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7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8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9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10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1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2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3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4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uben\Downloads\"/>
    </mc:Choice>
  </mc:AlternateContent>
  <xr:revisionPtr revIDLastSave="0" documentId="13_ncr:1_{5876CC2F-58B9-4DAC-B45B-B76A0CBE4276}" xr6:coauthVersionLast="47" xr6:coauthVersionMax="47" xr10:uidLastSave="{00000000-0000-0000-0000-000000000000}"/>
  <bookViews>
    <workbookView xWindow="-108" yWindow="-108" windowWidth="23256" windowHeight="12456" tabRatio="828" activeTab="2" xr2:uid="{76D8B127-F22E-4191-BFCA-2B9A6AA03022}"/>
  </bookViews>
  <sheets>
    <sheet name="Legend" sheetId="31" r:id="rId1"/>
    <sheet name="Transfer costs" sheetId="30" r:id="rId2"/>
    <sheet name="Output emissions" sheetId="29" r:id="rId3"/>
    <sheet name="Output costs" sheetId="28" r:id="rId4"/>
    <sheet name="Comments Ruben (temp)" sheetId="27" r:id="rId5"/>
    <sheet name="Parameter Input" sheetId="2" r:id="rId6"/>
    <sheet name="Semi-trailer truck (Diesel)" sheetId="3" r:id="rId7"/>
    <sheet name="Semi-trailer truck (Battery)" sheetId="19" r:id="rId8"/>
    <sheet name="Semi-trailer truck (Hydrogen)" sheetId="20" r:id="rId9"/>
    <sheet name="Railway (Diesel)" sheetId="9" r:id="rId10"/>
    <sheet name="Railway (Catenary)" sheetId="21" r:id="rId11"/>
    <sheet name="Railway (Battery)" sheetId="22" r:id="rId12"/>
    <sheet name="Railway (Hydrogen)" sheetId="23" r:id="rId13"/>
    <sheet name="Short-sea (HFO)" sheetId="32" r:id="rId14"/>
    <sheet name="Short-sea (MGO)" sheetId="13" r:id="rId15"/>
    <sheet name="Short-sea (Hydrogen)" sheetId="24" r:id="rId16"/>
    <sheet name="Short-sea (Ammonia)" sheetId="25" r:id="rId17"/>
    <sheet name="Short-sea (Methanol)" sheetId="26" r:id="rId18"/>
    <sheet name="Template_Cost_Calculator" sheetId="1" r:id="rId19"/>
  </sheets>
  <definedNames>
    <definedName name="_xlnm._FilterDatabase" localSheetId="3" hidden="1">'Output costs'!$A$1:$AF$61</definedName>
    <definedName name="_xlnm._FilterDatabase" localSheetId="2" hidden="1">'Output emissions'!$A$1:$J$62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2" i="28" l="1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R44" i="28"/>
  <c r="S44" i="28"/>
  <c r="T44" i="28"/>
  <c r="U44" i="28"/>
  <c r="V44" i="28"/>
  <c r="W44" i="28"/>
  <c r="X44" i="28"/>
  <c r="Y44" i="28"/>
  <c r="Z44" i="28"/>
  <c r="AA44" i="28"/>
  <c r="AB44" i="28"/>
  <c r="AC44" i="28"/>
  <c r="AD44" i="28"/>
  <c r="AE44" i="28"/>
  <c r="AF44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W46" i="28"/>
  <c r="X46" i="28"/>
  <c r="Y46" i="28"/>
  <c r="Z46" i="28"/>
  <c r="AA46" i="28"/>
  <c r="AB46" i="28"/>
  <c r="AC46" i="28"/>
  <c r="AD46" i="28"/>
  <c r="AE46" i="28"/>
  <c r="AF46" i="28"/>
  <c r="E46" i="28"/>
  <c r="E45" i="28"/>
  <c r="E44" i="28"/>
  <c r="E42" i="28"/>
  <c r="J42" i="29"/>
  <c r="J44" i="29"/>
  <c r="J45" i="29"/>
  <c r="J46" i="29"/>
  <c r="I42" i="29"/>
  <c r="I44" i="29"/>
  <c r="I45" i="29"/>
  <c r="I46" i="29"/>
  <c r="I36" i="29"/>
  <c r="H46" i="29"/>
  <c r="H45" i="29"/>
  <c r="H44" i="29"/>
  <c r="H42" i="29"/>
  <c r="G46" i="29"/>
  <c r="G45" i="29"/>
  <c r="G44" i="29"/>
  <c r="G42" i="29"/>
  <c r="F42" i="29"/>
  <c r="F43" i="29"/>
  <c r="F44" i="29"/>
  <c r="F45" i="29"/>
  <c r="F46" i="29"/>
  <c r="E43" i="29"/>
  <c r="E44" i="29"/>
  <c r="E45" i="29"/>
  <c r="E46" i="29"/>
  <c r="E42" i="29"/>
  <c r="X79" i="2"/>
  <c r="A38" i="32" l="1"/>
  <c r="A56" i="32" s="1"/>
  <c r="M182" i="2"/>
  <c r="L182" i="2"/>
  <c r="M170" i="2"/>
  <c r="L170" i="2"/>
  <c r="M194" i="2"/>
  <c r="L194" i="2"/>
  <c r="M157" i="2"/>
  <c r="L157" i="2"/>
  <c r="M145" i="2"/>
  <c r="L145" i="2"/>
  <c r="C181" i="2"/>
  <c r="B181" i="2"/>
  <c r="C168" i="2"/>
  <c r="B168" i="2"/>
  <c r="C156" i="2"/>
  <c r="B156" i="2"/>
  <c r="C144" i="2"/>
  <c r="B144" i="2"/>
  <c r="C186" i="2"/>
  <c r="B186" i="2"/>
  <c r="C173" i="2"/>
  <c r="B173" i="2"/>
  <c r="C161" i="2"/>
  <c r="B161" i="2"/>
  <c r="C149" i="2"/>
  <c r="B149" i="2"/>
  <c r="M196" i="2"/>
  <c r="L196" i="2"/>
  <c r="AG60" i="32" l="1"/>
  <c r="E150" i="2"/>
  <c r="M191" i="2" l="1"/>
  <c r="L191" i="2"/>
  <c r="L179" i="2"/>
  <c r="M179" i="2"/>
  <c r="M167" i="2"/>
  <c r="L167" i="2"/>
  <c r="C349" i="32"/>
  <c r="B349" i="32"/>
  <c r="C240" i="32"/>
  <c r="B240" i="32"/>
  <c r="C132" i="32"/>
  <c r="B132" i="32"/>
  <c r="C345" i="32"/>
  <c r="B345" i="32"/>
  <c r="C343" i="32"/>
  <c r="B343" i="32"/>
  <c r="C342" i="32"/>
  <c r="B342" i="32"/>
  <c r="C236" i="32"/>
  <c r="B236" i="32"/>
  <c r="C234" i="32"/>
  <c r="B234" i="32"/>
  <c r="C233" i="32"/>
  <c r="B233" i="32"/>
  <c r="C128" i="32"/>
  <c r="B128" i="32"/>
  <c r="C126" i="32"/>
  <c r="B126" i="32"/>
  <c r="C125" i="32"/>
  <c r="B125" i="32"/>
  <c r="C340" i="32"/>
  <c r="B340" i="32"/>
  <c r="C231" i="32"/>
  <c r="B231" i="32"/>
  <c r="C123" i="32"/>
  <c r="B123" i="32"/>
  <c r="C338" i="32"/>
  <c r="B338" i="32"/>
  <c r="C229" i="32"/>
  <c r="B229" i="32"/>
  <c r="C121" i="32"/>
  <c r="B121" i="32"/>
  <c r="C334" i="32"/>
  <c r="B334" i="32"/>
  <c r="C225" i="32"/>
  <c r="B225" i="32"/>
  <c r="C117" i="32"/>
  <c r="B117" i="32"/>
  <c r="C26" i="32"/>
  <c r="B26" i="32"/>
  <c r="C22" i="32"/>
  <c r="B22" i="32"/>
  <c r="C20" i="32"/>
  <c r="B20" i="32"/>
  <c r="C19" i="32"/>
  <c r="B19" i="32"/>
  <c r="B18" i="32"/>
  <c r="C17" i="32"/>
  <c r="B17" i="32"/>
  <c r="C15" i="32"/>
  <c r="B15" i="32"/>
  <c r="B13" i="32"/>
  <c r="C11" i="32"/>
  <c r="B11" i="32"/>
  <c r="A407" i="32"/>
  <c r="A406" i="32"/>
  <c r="A399" i="32"/>
  <c r="A393" i="32"/>
  <c r="A381" i="32"/>
  <c r="A377" i="32"/>
  <c r="A370" i="32"/>
  <c r="A368" i="32"/>
  <c r="A405" i="32" s="1"/>
  <c r="A367" i="32"/>
  <c r="A366" i="32"/>
  <c r="A365" i="32"/>
  <c r="A364" i="32"/>
  <c r="A363" i="32"/>
  <c r="A380" i="32" s="1"/>
  <c r="A362" i="32"/>
  <c r="A361" i="32"/>
  <c r="A379" i="32" s="1"/>
  <c r="A360" i="32"/>
  <c r="A378" i="32" s="1"/>
  <c r="A359" i="32"/>
  <c r="A358" i="32"/>
  <c r="A357" i="32"/>
  <c r="A376" i="32" s="1"/>
  <c r="A356" i="32"/>
  <c r="A375" i="32" s="1"/>
  <c r="A387" i="32" s="1"/>
  <c r="A355" i="32"/>
  <c r="A374" i="32" s="1"/>
  <c r="A354" i="32"/>
  <c r="A373" i="32" s="1"/>
  <c r="P350" i="32"/>
  <c r="O350" i="32"/>
  <c r="L350" i="32"/>
  <c r="C350" i="32"/>
  <c r="B350" i="32"/>
  <c r="P349" i="32"/>
  <c r="O349" i="32"/>
  <c r="L349" i="32"/>
  <c r="P348" i="32"/>
  <c r="O348" i="32"/>
  <c r="L348" i="32"/>
  <c r="C348" i="32"/>
  <c r="B348" i="32"/>
  <c r="P347" i="32"/>
  <c r="O347" i="32"/>
  <c r="L347" i="32"/>
  <c r="C347" i="32"/>
  <c r="B347" i="32"/>
  <c r="P346" i="32"/>
  <c r="O346" i="32"/>
  <c r="L346" i="32"/>
  <c r="C346" i="32"/>
  <c r="B346" i="32"/>
  <c r="P345" i="32"/>
  <c r="O345" i="32"/>
  <c r="L345" i="32"/>
  <c r="P343" i="32"/>
  <c r="O343" i="32"/>
  <c r="L343" i="32"/>
  <c r="P342" i="32"/>
  <c r="O342" i="32"/>
  <c r="L342" i="32"/>
  <c r="P341" i="32"/>
  <c r="O341" i="32"/>
  <c r="L341" i="32"/>
  <c r="C341" i="32"/>
  <c r="B341" i="32"/>
  <c r="P340" i="32"/>
  <c r="O340" i="32"/>
  <c r="L340" i="32"/>
  <c r="P339" i="32"/>
  <c r="O339" i="32"/>
  <c r="L339" i="32"/>
  <c r="C339" i="32"/>
  <c r="B339" i="32"/>
  <c r="P338" i="32"/>
  <c r="O338" i="32"/>
  <c r="L338" i="32"/>
  <c r="P337" i="32"/>
  <c r="O337" i="32"/>
  <c r="L337" i="32"/>
  <c r="P336" i="32"/>
  <c r="O336" i="32"/>
  <c r="L336" i="32"/>
  <c r="C336" i="32"/>
  <c r="B336" i="32"/>
  <c r="P335" i="32"/>
  <c r="O335" i="32"/>
  <c r="L335" i="32"/>
  <c r="P334" i="32"/>
  <c r="O334" i="32"/>
  <c r="L334" i="32"/>
  <c r="A324" i="32"/>
  <c r="A298" i="32"/>
  <c r="A297" i="32"/>
  <c r="A284" i="32"/>
  <c r="A272" i="32"/>
  <c r="A269" i="32"/>
  <c r="A267" i="32"/>
  <c r="A291" i="32" s="1"/>
  <c r="A261" i="32"/>
  <c r="A259" i="32"/>
  <c r="A296" i="32" s="1"/>
  <c r="A258" i="32"/>
  <c r="A257" i="32"/>
  <c r="A256" i="32"/>
  <c r="A255" i="32"/>
  <c r="A254" i="32"/>
  <c r="A271" i="32" s="1"/>
  <c r="A253" i="32"/>
  <c r="A252" i="32"/>
  <c r="A270" i="32" s="1"/>
  <c r="A251" i="32"/>
  <c r="A250" i="32"/>
  <c r="A268" i="32" s="1"/>
  <c r="A292" i="32" s="1"/>
  <c r="A249" i="32"/>
  <c r="A248" i="32"/>
  <c r="A247" i="32"/>
  <c r="A266" i="32" s="1"/>
  <c r="A246" i="32"/>
  <c r="A265" i="32" s="1"/>
  <c r="A277" i="32" s="1"/>
  <c r="A245" i="32"/>
  <c r="A264" i="32" s="1"/>
  <c r="P241" i="32"/>
  <c r="O241" i="32"/>
  <c r="L241" i="32"/>
  <c r="C241" i="32"/>
  <c r="B241" i="32"/>
  <c r="P240" i="32"/>
  <c r="O240" i="32"/>
  <c r="L240" i="32"/>
  <c r="P239" i="32"/>
  <c r="O239" i="32"/>
  <c r="L239" i="32"/>
  <c r="C239" i="32"/>
  <c r="B239" i="32"/>
  <c r="P238" i="32"/>
  <c r="O238" i="32"/>
  <c r="L238" i="32"/>
  <c r="C238" i="32"/>
  <c r="B238" i="32"/>
  <c r="P237" i="32"/>
  <c r="O237" i="32"/>
  <c r="L237" i="32"/>
  <c r="C237" i="32"/>
  <c r="B237" i="32"/>
  <c r="P236" i="32"/>
  <c r="O236" i="32"/>
  <c r="L236" i="32"/>
  <c r="P234" i="32"/>
  <c r="O234" i="32"/>
  <c r="L234" i="32"/>
  <c r="P233" i="32"/>
  <c r="O233" i="32"/>
  <c r="L233" i="32"/>
  <c r="P232" i="32"/>
  <c r="O232" i="32"/>
  <c r="L232" i="32"/>
  <c r="C232" i="32"/>
  <c r="B232" i="32"/>
  <c r="P231" i="32"/>
  <c r="O231" i="32"/>
  <c r="L231" i="32"/>
  <c r="P230" i="32"/>
  <c r="O230" i="32"/>
  <c r="L230" i="32"/>
  <c r="C230" i="32"/>
  <c r="B230" i="32"/>
  <c r="P229" i="32"/>
  <c r="AD229" i="32" s="1"/>
  <c r="O229" i="32"/>
  <c r="L229" i="32"/>
  <c r="P228" i="32"/>
  <c r="O228" i="32"/>
  <c r="L228" i="32"/>
  <c r="P227" i="32"/>
  <c r="O227" i="32"/>
  <c r="L227" i="32"/>
  <c r="C227" i="32"/>
  <c r="B227" i="32"/>
  <c r="P226" i="32"/>
  <c r="O226" i="32"/>
  <c r="L226" i="32"/>
  <c r="P225" i="32"/>
  <c r="O225" i="32"/>
  <c r="L225" i="32"/>
  <c r="A215" i="32"/>
  <c r="A190" i="32"/>
  <c r="A189" i="32"/>
  <c r="A188" i="32"/>
  <c r="A176" i="32"/>
  <c r="A164" i="32"/>
  <c r="A153" i="32"/>
  <c r="A151" i="32"/>
  <c r="A150" i="32"/>
  <c r="A149" i="32"/>
  <c r="A148" i="32"/>
  <c r="A147" i="32"/>
  <c r="A146" i="32"/>
  <c r="A163" i="32" s="1"/>
  <c r="A145" i="32"/>
  <c r="A144" i="32"/>
  <c r="A162" i="32" s="1"/>
  <c r="A143" i="32"/>
  <c r="A161" i="32" s="1"/>
  <c r="A173" i="32" s="1"/>
  <c r="A142" i="32"/>
  <c r="A160" i="32" s="1"/>
  <c r="A141" i="32"/>
  <c r="A140" i="32"/>
  <c r="A159" i="32" s="1"/>
  <c r="A139" i="32"/>
  <c r="A158" i="32" s="1"/>
  <c r="A138" i="32"/>
  <c r="A157" i="32" s="1"/>
  <c r="A137" i="32"/>
  <c r="A156" i="32" s="1"/>
  <c r="P133" i="32"/>
  <c r="O133" i="32"/>
  <c r="L133" i="32"/>
  <c r="C133" i="32"/>
  <c r="B133" i="32"/>
  <c r="P132" i="32"/>
  <c r="O132" i="32"/>
  <c r="L132" i="32"/>
  <c r="P131" i="32"/>
  <c r="O131" i="32"/>
  <c r="L131" i="32"/>
  <c r="C131" i="32"/>
  <c r="B131" i="32"/>
  <c r="P130" i="32"/>
  <c r="O130" i="32"/>
  <c r="L130" i="32"/>
  <c r="C130" i="32"/>
  <c r="B130" i="32"/>
  <c r="P129" i="32"/>
  <c r="O129" i="32"/>
  <c r="L129" i="32"/>
  <c r="C129" i="32"/>
  <c r="B129" i="32"/>
  <c r="P128" i="32"/>
  <c r="O128" i="32"/>
  <c r="L128" i="32"/>
  <c r="P126" i="32"/>
  <c r="O126" i="32"/>
  <c r="L126" i="32"/>
  <c r="AK126" i="32" s="1"/>
  <c r="P125" i="32"/>
  <c r="O125" i="32"/>
  <c r="L125" i="32"/>
  <c r="P124" i="32"/>
  <c r="O124" i="32"/>
  <c r="L124" i="32"/>
  <c r="C124" i="32"/>
  <c r="B124" i="32"/>
  <c r="P123" i="32"/>
  <c r="O123" i="32"/>
  <c r="L123" i="32"/>
  <c r="P122" i="32"/>
  <c r="O122" i="32"/>
  <c r="L122" i="32"/>
  <c r="C122" i="32"/>
  <c r="B122" i="32"/>
  <c r="P121" i="32"/>
  <c r="O121" i="32"/>
  <c r="L121" i="32"/>
  <c r="P120" i="32"/>
  <c r="O120" i="32"/>
  <c r="L120" i="32"/>
  <c r="P119" i="32"/>
  <c r="O119" i="32"/>
  <c r="L119" i="32"/>
  <c r="C119" i="32"/>
  <c r="B119" i="32"/>
  <c r="P118" i="32"/>
  <c r="O118" i="32"/>
  <c r="L118" i="32"/>
  <c r="P117" i="32"/>
  <c r="O117" i="32"/>
  <c r="L117" i="32"/>
  <c r="A107" i="32"/>
  <c r="A84" i="32"/>
  <c r="A83" i="32"/>
  <c r="A70" i="32"/>
  <c r="A58" i="32"/>
  <c r="A47" i="32"/>
  <c r="A45" i="32"/>
  <c r="A82" i="32" s="1"/>
  <c r="A44" i="32"/>
  <c r="A43" i="32"/>
  <c r="A42" i="32"/>
  <c r="A41" i="32"/>
  <c r="A40" i="32"/>
  <c r="A57" i="32" s="1"/>
  <c r="A39" i="32"/>
  <c r="A80" i="32"/>
  <c r="A37" i="32"/>
  <c r="A55" i="32" s="1"/>
  <c r="A36" i="32"/>
  <c r="A54" i="32" s="1"/>
  <c r="A35" i="32"/>
  <c r="A34" i="32"/>
  <c r="A53" i="32" s="1"/>
  <c r="A33" i="32"/>
  <c r="A52" i="32" s="1"/>
  <c r="A76" i="32" s="1"/>
  <c r="A32" i="32"/>
  <c r="A51" i="32" s="1"/>
  <c r="A31" i="32"/>
  <c r="A50" i="32" s="1"/>
  <c r="P27" i="32"/>
  <c r="O27" i="32"/>
  <c r="L27" i="32"/>
  <c r="C27" i="32"/>
  <c r="B27" i="32"/>
  <c r="P26" i="32"/>
  <c r="O26" i="32"/>
  <c r="L26" i="32"/>
  <c r="P25" i="32"/>
  <c r="O25" i="32"/>
  <c r="L25" i="32"/>
  <c r="C25" i="32"/>
  <c r="B25" i="32"/>
  <c r="P24" i="32"/>
  <c r="O24" i="32"/>
  <c r="L24" i="32"/>
  <c r="C24" i="32"/>
  <c r="B24" i="32"/>
  <c r="P23" i="32"/>
  <c r="O23" i="32"/>
  <c r="L23" i="32"/>
  <c r="C23" i="32"/>
  <c r="B23" i="32"/>
  <c r="P22" i="32"/>
  <c r="O22" i="32"/>
  <c r="L22" i="32"/>
  <c r="P20" i="32"/>
  <c r="O20" i="32"/>
  <c r="L20" i="32"/>
  <c r="P19" i="32"/>
  <c r="O19" i="32"/>
  <c r="L19" i="32"/>
  <c r="P18" i="32"/>
  <c r="O18" i="32"/>
  <c r="L18" i="32"/>
  <c r="C18" i="32"/>
  <c r="P17" i="32"/>
  <c r="O17" i="32"/>
  <c r="L17" i="32"/>
  <c r="P16" i="32"/>
  <c r="O16" i="32"/>
  <c r="L16" i="32"/>
  <c r="C16" i="32"/>
  <c r="B16" i="32"/>
  <c r="P15" i="32"/>
  <c r="O15" i="32"/>
  <c r="L15" i="32"/>
  <c r="P14" i="32"/>
  <c r="O14" i="32"/>
  <c r="L14" i="32"/>
  <c r="P13" i="32"/>
  <c r="O13" i="32"/>
  <c r="L13" i="32"/>
  <c r="C13" i="32"/>
  <c r="P12" i="32"/>
  <c r="O12" i="32"/>
  <c r="L12" i="32"/>
  <c r="P11" i="32"/>
  <c r="O11" i="32"/>
  <c r="L11" i="32"/>
  <c r="A1" i="32"/>
  <c r="AC144" i="2"/>
  <c r="AD145" i="2" s="1"/>
  <c r="AD141" i="2"/>
  <c r="AC141" i="2"/>
  <c r="Q162" i="2"/>
  <c r="P162" i="2"/>
  <c r="O162" i="2"/>
  <c r="M155" i="2"/>
  <c r="C226" i="32" s="1"/>
  <c r="L155" i="2"/>
  <c r="B335" i="32" s="1"/>
  <c r="B77" i="2"/>
  <c r="L101" i="2"/>
  <c r="A279" i="32" l="1"/>
  <c r="A280" i="32"/>
  <c r="AD146" i="2"/>
  <c r="M162" i="2" s="1"/>
  <c r="AK232" i="32"/>
  <c r="AF233" i="32"/>
  <c r="U350" i="32"/>
  <c r="F370" i="32" s="1"/>
  <c r="S346" i="32"/>
  <c r="AG336" i="32"/>
  <c r="AD348" i="32"/>
  <c r="X24" i="32"/>
  <c r="I44" i="32" s="1"/>
  <c r="AN347" i="32"/>
  <c r="U229" i="32"/>
  <c r="AM25" i="32"/>
  <c r="AI27" i="32"/>
  <c r="AK129" i="32"/>
  <c r="V149" i="32" s="1"/>
  <c r="AB133" i="32"/>
  <c r="Z133" i="32"/>
  <c r="K153" i="32" s="1"/>
  <c r="AB239" i="32"/>
  <c r="AF335" i="32"/>
  <c r="V229" i="32"/>
  <c r="G249" i="32" s="1"/>
  <c r="S231" i="32"/>
  <c r="Z342" i="32"/>
  <c r="AE345" i="32"/>
  <c r="AN121" i="32"/>
  <c r="V123" i="32"/>
  <c r="G143" i="32" s="1"/>
  <c r="AF125" i="32"/>
  <c r="AA130" i="32"/>
  <c r="T229" i="32"/>
  <c r="E249" i="32" s="1"/>
  <c r="AM337" i="32"/>
  <c r="AO20" i="32"/>
  <c r="Z40" i="32" s="1"/>
  <c r="V133" i="32"/>
  <c r="AK334" i="32"/>
  <c r="Z11" i="32"/>
  <c r="K31" i="32" s="1"/>
  <c r="W22" i="32"/>
  <c r="H42" i="32" s="1"/>
  <c r="AQ26" i="32"/>
  <c r="S119" i="32"/>
  <c r="AB225" i="32"/>
  <c r="AC120" i="32"/>
  <c r="AG122" i="32"/>
  <c r="R142" i="32" s="1"/>
  <c r="AA339" i="32"/>
  <c r="L359" i="32" s="1"/>
  <c r="AC343" i="32"/>
  <c r="N363" i="32" s="1"/>
  <c r="AF19" i="32"/>
  <c r="Q39" i="32" s="1"/>
  <c r="AC128" i="32"/>
  <c r="AN338" i="32"/>
  <c r="C344" i="32"/>
  <c r="C21" i="32"/>
  <c r="C127" i="32"/>
  <c r="C235" i="32"/>
  <c r="AF11" i="32"/>
  <c r="Q31" i="32" s="1"/>
  <c r="AI18" i="32"/>
  <c r="T38" i="32" s="1"/>
  <c r="AI26" i="32"/>
  <c r="AB129" i="32"/>
  <c r="AR130" i="32"/>
  <c r="AB132" i="32"/>
  <c r="AA231" i="32"/>
  <c r="L251" i="32" s="1"/>
  <c r="AH126" i="32"/>
  <c r="S146" i="32" s="1"/>
  <c r="AL128" i="32"/>
  <c r="W148" i="32" s="1"/>
  <c r="AN228" i="32"/>
  <c r="AP233" i="32"/>
  <c r="AA253" i="32" s="1"/>
  <c r="AD334" i="32"/>
  <c r="O354" i="32" s="1"/>
  <c r="T337" i="32"/>
  <c r="AN339" i="32"/>
  <c r="AI341" i="32"/>
  <c r="AL343" i="32"/>
  <c r="C118" i="32"/>
  <c r="S126" i="32"/>
  <c r="D146" i="32" s="1"/>
  <c r="AL225" i="32"/>
  <c r="W245" i="32" s="1"/>
  <c r="U233" i="32"/>
  <c r="R225" i="32"/>
  <c r="C245" i="32" s="1"/>
  <c r="AP236" i="32"/>
  <c r="AA256" i="32" s="1"/>
  <c r="AK339" i="32"/>
  <c r="AD349" i="32"/>
  <c r="AC145" i="2"/>
  <c r="AC146" i="2" s="1"/>
  <c r="L162" i="2" s="1"/>
  <c r="AN11" i="32"/>
  <c r="Y31" i="32" s="1"/>
  <c r="AD117" i="32"/>
  <c r="O137" i="32" s="1"/>
  <c r="AD130" i="32"/>
  <c r="O150" i="32" s="1"/>
  <c r="Z236" i="32"/>
  <c r="K256" i="32" s="1"/>
  <c r="AO341" i="32"/>
  <c r="Z361" i="32" s="1"/>
  <c r="AO340" i="32"/>
  <c r="Z360" i="32" s="1"/>
  <c r="AB20" i="32"/>
  <c r="M40" i="32" s="1"/>
  <c r="AN24" i="32"/>
  <c r="AK118" i="32"/>
  <c r="AA125" i="32"/>
  <c r="AL231" i="32"/>
  <c r="AO234" i="32"/>
  <c r="C335" i="32"/>
  <c r="Q355" i="32" s="1"/>
  <c r="AG117" i="32"/>
  <c r="AK14" i="32"/>
  <c r="AN16" i="32"/>
  <c r="Y36" i="32" s="1"/>
  <c r="AA26" i="32"/>
  <c r="T117" i="32"/>
  <c r="AB118" i="32"/>
  <c r="R119" i="32"/>
  <c r="V120" i="32"/>
  <c r="AN225" i="32"/>
  <c r="AG225" i="32"/>
  <c r="AO230" i="32"/>
  <c r="Z250" i="32" s="1"/>
  <c r="W236" i="32"/>
  <c r="H256" i="32" s="1"/>
  <c r="AP237" i="32"/>
  <c r="AA257" i="32" s="1"/>
  <c r="AL241" i="32"/>
  <c r="W261" i="32" s="1"/>
  <c r="AG337" i="32"/>
  <c r="AP345" i="32"/>
  <c r="T346" i="32"/>
  <c r="AQ347" i="32"/>
  <c r="AB367" i="32" s="1"/>
  <c r="W20" i="32"/>
  <c r="H40" i="32" s="1"/>
  <c r="AD26" i="32"/>
  <c r="U117" i="32"/>
  <c r="U118" i="32"/>
  <c r="AD120" i="32"/>
  <c r="AM124" i="32"/>
  <c r="AJ130" i="32"/>
  <c r="AQ133" i="32"/>
  <c r="AB153" i="32" s="1"/>
  <c r="AH225" i="32"/>
  <c r="S245" i="32" s="1"/>
  <c r="Y236" i="32"/>
  <c r="J256" i="32" s="1"/>
  <c r="AR337" i="32"/>
  <c r="Q345" i="32"/>
  <c r="B365" i="32" s="1"/>
  <c r="V346" i="32"/>
  <c r="G366" i="32" s="1"/>
  <c r="S347" i="32"/>
  <c r="Y349" i="32"/>
  <c r="J369" i="32" s="1"/>
  <c r="AF22" i="32"/>
  <c r="Q42" i="32" s="1"/>
  <c r="R22" i="32"/>
  <c r="C42" i="32" s="1"/>
  <c r="AP119" i="32"/>
  <c r="AA139" i="32" s="1"/>
  <c r="Z117" i="32"/>
  <c r="Y119" i="32"/>
  <c r="J139" i="32" s="1"/>
  <c r="AO125" i="32"/>
  <c r="AO226" i="32"/>
  <c r="AJ346" i="32"/>
  <c r="U366" i="32" s="1"/>
  <c r="Y20" i="32"/>
  <c r="V26" i="32"/>
  <c r="X11" i="32"/>
  <c r="I31" i="32" s="1"/>
  <c r="AA13" i="32"/>
  <c r="L33" i="32" s="1"/>
  <c r="AJ15" i="32"/>
  <c r="AP17" i="32"/>
  <c r="AA37" i="32" s="1"/>
  <c r="U24" i="32"/>
  <c r="F44" i="32" s="1"/>
  <c r="AK117" i="32"/>
  <c r="V137" i="32" s="1"/>
  <c r="AG119" i="32"/>
  <c r="R139" i="32" s="1"/>
  <c r="R126" i="32"/>
  <c r="C146" i="32" s="1"/>
  <c r="S130" i="32"/>
  <c r="D150" i="32" s="1"/>
  <c r="T133" i="32"/>
  <c r="E153" i="32" s="1"/>
  <c r="Q225" i="32"/>
  <c r="B245" i="32" s="1"/>
  <c r="AB226" i="32"/>
  <c r="AJ231" i="32"/>
  <c r="Z232" i="32"/>
  <c r="AN238" i="32"/>
  <c r="Y258" i="32" s="1"/>
  <c r="Z240" i="32"/>
  <c r="V336" i="32"/>
  <c r="G356" i="32" s="1"/>
  <c r="AE337" i="32"/>
  <c r="AN346" i="32"/>
  <c r="Y366" i="32" s="1"/>
  <c r="AH349" i="32"/>
  <c r="AO117" i="32"/>
  <c r="Z137" i="32" s="1"/>
  <c r="AO132" i="32"/>
  <c r="T335" i="32"/>
  <c r="AE336" i="32"/>
  <c r="P356" i="32" s="1"/>
  <c r="Q337" i="32"/>
  <c r="AJ338" i="32"/>
  <c r="U358" i="32" s="1"/>
  <c r="AO339" i="32"/>
  <c r="Z359" i="32" s="1"/>
  <c r="D139" i="32"/>
  <c r="AC11" i="32"/>
  <c r="N31" i="32" s="1"/>
  <c r="AI13" i="32"/>
  <c r="T33" i="32" s="1"/>
  <c r="AG18" i="32"/>
  <c r="AG20" i="32"/>
  <c r="R40" i="32" s="1"/>
  <c r="AK23" i="32"/>
  <c r="V43" i="32" s="1"/>
  <c r="AF24" i="32"/>
  <c r="AP117" i="32"/>
  <c r="AO119" i="32"/>
  <c r="V125" i="32"/>
  <c r="G145" i="32" s="1"/>
  <c r="AI126" i="32"/>
  <c r="T146" i="32" s="1"/>
  <c r="V128" i="32"/>
  <c r="G148" i="32" s="1"/>
  <c r="AI130" i="32"/>
  <c r="T150" i="32" s="1"/>
  <c r="T225" i="32"/>
  <c r="E245" i="32" s="1"/>
  <c r="AH229" i="32"/>
  <c r="AB231" i="32"/>
  <c r="AQ232" i="32"/>
  <c r="AB252" i="32" s="1"/>
  <c r="AM236" i="32"/>
  <c r="X256" i="32" s="1"/>
  <c r="AJ238" i="32"/>
  <c r="U258" i="32" s="1"/>
  <c r="AI240" i="32"/>
  <c r="AD335" i="32"/>
  <c r="O355" i="32" s="1"/>
  <c r="AF336" i="32"/>
  <c r="Q356" i="32" s="1"/>
  <c r="S337" i="32"/>
  <c r="AD340" i="32"/>
  <c r="O360" i="32" s="1"/>
  <c r="AR343" i="32"/>
  <c r="Y18" i="32"/>
  <c r="AF225" i="32"/>
  <c r="AP229" i="32"/>
  <c r="Z231" i="32"/>
  <c r="K251" i="32" s="1"/>
  <c r="Q234" i="32"/>
  <c r="B254" i="32" s="1"/>
  <c r="R236" i="32"/>
  <c r="C256" i="32" s="1"/>
  <c r="U334" i="32"/>
  <c r="AF337" i="32"/>
  <c r="AI343" i="32"/>
  <c r="AH346" i="32"/>
  <c r="C12" i="32"/>
  <c r="B226" i="32"/>
  <c r="B12" i="32"/>
  <c r="B118" i="32"/>
  <c r="Q253" i="32"/>
  <c r="Y358" i="32"/>
  <c r="F249" i="32"/>
  <c r="R17" i="32"/>
  <c r="C37" i="32" s="1"/>
  <c r="R19" i="32"/>
  <c r="C39" i="32" s="1"/>
  <c r="R121" i="32"/>
  <c r="C141" i="32" s="1"/>
  <c r="AQ228" i="32"/>
  <c r="AH11" i="32"/>
  <c r="AE14" i="32"/>
  <c r="Q15" i="32"/>
  <c r="B35" i="32" s="1"/>
  <c r="S16" i="32"/>
  <c r="T17" i="32"/>
  <c r="E37" i="32" s="1"/>
  <c r="Q18" i="32"/>
  <c r="B38" i="32" s="1"/>
  <c r="AO18" i="32"/>
  <c r="Z38" i="32" s="1"/>
  <c r="U19" i="32"/>
  <c r="AE22" i="32"/>
  <c r="U27" i="32"/>
  <c r="AI117" i="32"/>
  <c r="AA117" i="32"/>
  <c r="L137" i="32" s="1"/>
  <c r="AQ117" i="32"/>
  <c r="AB137" i="32" s="1"/>
  <c r="AB119" i="32"/>
  <c r="M139" i="32" s="1"/>
  <c r="AI120" i="32"/>
  <c r="T121" i="32"/>
  <c r="E141" i="32" s="1"/>
  <c r="AJ121" i="32"/>
  <c r="U141" i="32" s="1"/>
  <c r="AC123" i="32"/>
  <c r="U126" i="32"/>
  <c r="F146" i="32" s="1"/>
  <c r="AP126" i="32"/>
  <c r="AA146" i="32" s="1"/>
  <c r="AE133" i="32"/>
  <c r="P153" i="32" s="1"/>
  <c r="U225" i="32"/>
  <c r="F245" i="32" s="1"/>
  <c r="S228" i="32"/>
  <c r="AC230" i="32"/>
  <c r="AO232" i="32"/>
  <c r="Z252" i="32" s="1"/>
  <c r="AL233" i="32"/>
  <c r="W253" i="32" s="1"/>
  <c r="T234" i="32"/>
  <c r="AI236" i="32"/>
  <c r="T256" i="32" s="1"/>
  <c r="V237" i="32"/>
  <c r="G257" i="32" s="1"/>
  <c r="U337" i="32"/>
  <c r="AN337" i="32"/>
  <c r="AL339" i="32"/>
  <c r="W359" i="32" s="1"/>
  <c r="AO343" i="32"/>
  <c r="S345" i="32"/>
  <c r="D365" i="32" s="1"/>
  <c r="AG345" i="32"/>
  <c r="R365" i="32" s="1"/>
  <c r="X346" i="32"/>
  <c r="I366" i="32" s="1"/>
  <c r="AQ346" i="32"/>
  <c r="AB366" i="32" s="1"/>
  <c r="T347" i="32"/>
  <c r="E367" i="32" s="1"/>
  <c r="AP347" i="32"/>
  <c r="AQ18" i="32"/>
  <c r="Z27" i="32"/>
  <c r="AC117" i="32"/>
  <c r="Q120" i="32"/>
  <c r="AN120" i="32"/>
  <c r="U121" i="32"/>
  <c r="F141" i="32" s="1"/>
  <c r="AK121" i="32"/>
  <c r="V141" i="32" s="1"/>
  <c r="V122" i="32"/>
  <c r="AP123" i="32"/>
  <c r="W126" i="32"/>
  <c r="AQ126" i="32"/>
  <c r="AB146" i="32" s="1"/>
  <c r="V225" i="32"/>
  <c r="G245" i="32" s="1"/>
  <c r="AO225" i="32"/>
  <c r="Z245" i="32" s="1"/>
  <c r="Q226" i="32"/>
  <c r="W228" i="32"/>
  <c r="AF229" i="32"/>
  <c r="Q249" i="32" s="1"/>
  <c r="AI230" i="32"/>
  <c r="T250" i="32" s="1"/>
  <c r="AR232" i="32"/>
  <c r="U234" i="32"/>
  <c r="F254" i="32" s="1"/>
  <c r="X237" i="32"/>
  <c r="S238" i="32"/>
  <c r="D258" i="32" s="1"/>
  <c r="Q240" i="32"/>
  <c r="W337" i="32"/>
  <c r="AO337" i="32"/>
  <c r="R338" i="32"/>
  <c r="C358" i="32" s="1"/>
  <c r="AE339" i="32"/>
  <c r="P359" i="32" s="1"/>
  <c r="T345" i="32"/>
  <c r="E365" i="32" s="1"/>
  <c r="AI345" i="32"/>
  <c r="AL346" i="32"/>
  <c r="AA346" i="32"/>
  <c r="L366" i="32" s="1"/>
  <c r="AR346" i="32"/>
  <c r="W347" i="32"/>
  <c r="AR347" i="32"/>
  <c r="AR349" i="32"/>
  <c r="AK15" i="32"/>
  <c r="V35" i="32" s="1"/>
  <c r="AL18" i="32"/>
  <c r="W38" i="32" s="1"/>
  <c r="R27" i="32"/>
  <c r="C47" i="32" s="1"/>
  <c r="AG120" i="32"/>
  <c r="AH121" i="32"/>
  <c r="S141" i="32" s="1"/>
  <c r="X19" i="32"/>
  <c r="AM22" i="32"/>
  <c r="X42" i="32" s="1"/>
  <c r="AN20" i="32"/>
  <c r="S120" i="32"/>
  <c r="W121" i="32"/>
  <c r="X126" i="32"/>
  <c r="I146" i="32" s="1"/>
  <c r="AP225" i="32"/>
  <c r="AA245" i="32" s="1"/>
  <c r="V232" i="32"/>
  <c r="AA234" i="32"/>
  <c r="AN237" i="32"/>
  <c r="AB337" i="32"/>
  <c r="AQ337" i="32"/>
  <c r="Z338" i="32"/>
  <c r="U345" i="32"/>
  <c r="F365" i="32" s="1"/>
  <c r="AJ345" i="32"/>
  <c r="U365" i="32" s="1"/>
  <c r="AD346" i="32"/>
  <c r="O366" i="32" s="1"/>
  <c r="Z347" i="32"/>
  <c r="K367" i="32" s="1"/>
  <c r="AF14" i="32"/>
  <c r="S18" i="32"/>
  <c r="AL15" i="32"/>
  <c r="W35" i="32" s="1"/>
  <c r="AR17" i="32"/>
  <c r="AC27" i="32"/>
  <c r="N47" i="32" s="1"/>
  <c r="AM121" i="32"/>
  <c r="X141" i="32" s="1"/>
  <c r="T226" i="32"/>
  <c r="Y228" i="32"/>
  <c r="Q230" i="32"/>
  <c r="R11" i="32"/>
  <c r="AH19" i="32"/>
  <c r="Q20" i="32"/>
  <c r="AP26" i="32"/>
  <c r="AH27" i="32"/>
  <c r="S47" i="32" s="1"/>
  <c r="Q117" i="32"/>
  <c r="B137" i="32" s="1"/>
  <c r="Z119" i="32"/>
  <c r="U120" i="32"/>
  <c r="X121" i="32"/>
  <c r="I141" i="32" s="1"/>
  <c r="AR121" i="32"/>
  <c r="AC141" i="32" s="1"/>
  <c r="AC126" i="32"/>
  <c r="N146" i="32" s="1"/>
  <c r="AA132" i="32"/>
  <c r="AC225" i="32"/>
  <c r="N245" i="32" s="1"/>
  <c r="AR225" i="32"/>
  <c r="AC245" i="32" s="1"/>
  <c r="AA226" i="32"/>
  <c r="Z228" i="32"/>
  <c r="AL229" i="32"/>
  <c r="Y230" i="32"/>
  <c r="AD231" i="32"/>
  <c r="O251" i="32" s="1"/>
  <c r="AN231" i="32"/>
  <c r="Y251" i="32" s="1"/>
  <c r="W232" i="32"/>
  <c r="H252" i="32" s="1"/>
  <c r="AE234" i="32"/>
  <c r="P254" i="32" s="1"/>
  <c r="AC238" i="32"/>
  <c r="AH240" i="32"/>
  <c r="AJ337" i="32"/>
  <c r="AC337" i="32"/>
  <c r="AB338" i="32"/>
  <c r="M358" i="32" s="1"/>
  <c r="Y339" i="32"/>
  <c r="J359" i="32" s="1"/>
  <c r="V343" i="32"/>
  <c r="G363" i="32" s="1"/>
  <c r="W345" i="32"/>
  <c r="H365" i="32" s="1"/>
  <c r="AK345" i="32"/>
  <c r="V365" i="32" s="1"/>
  <c r="AF346" i="32"/>
  <c r="Q366" i="32" s="1"/>
  <c r="AB347" i="32"/>
  <c r="AP18" i="32"/>
  <c r="AA38" i="32" s="1"/>
  <c r="AG23" i="32"/>
  <c r="V18" i="32"/>
  <c r="G38" i="32" s="1"/>
  <c r="AC19" i="32"/>
  <c r="N39" i="32" s="1"/>
  <c r="AR20" i="32"/>
  <c r="AC40" i="32" s="1"/>
  <c r="AN117" i="32"/>
  <c r="Y137" i="32" s="1"/>
  <c r="X132" i="32"/>
  <c r="T238" i="32"/>
  <c r="E258" i="32" s="1"/>
  <c r="AA18" i="32"/>
  <c r="AN19" i="32"/>
  <c r="Y39" i="32" s="1"/>
  <c r="T20" i="32"/>
  <c r="E40" i="32" s="1"/>
  <c r="AH22" i="32"/>
  <c r="AD23" i="32"/>
  <c r="O43" i="32" s="1"/>
  <c r="AJ25" i="32"/>
  <c r="S26" i="32"/>
  <c r="AK27" i="32"/>
  <c r="V47" i="32" s="1"/>
  <c r="S117" i="32"/>
  <c r="D137" i="32" s="1"/>
  <c r="AJ117" i="32"/>
  <c r="U137" i="32" s="1"/>
  <c r="AM119" i="32"/>
  <c r="X139" i="32" s="1"/>
  <c r="Z121" i="32"/>
  <c r="K141" i="32" s="1"/>
  <c r="AK123" i="32"/>
  <c r="V143" i="32" s="1"/>
  <c r="AE126" i="32"/>
  <c r="AK128" i="32"/>
  <c r="V148" i="32" s="1"/>
  <c r="AP129" i="32"/>
  <c r="AA149" i="32" s="1"/>
  <c r="AJ225" i="32"/>
  <c r="AD225" i="32"/>
  <c r="O245" i="32" s="1"/>
  <c r="AE226" i="32"/>
  <c r="AH228" i="32"/>
  <c r="AJ229" i="32"/>
  <c r="AO229" i="32"/>
  <c r="AE230" i="32"/>
  <c r="P250" i="32" s="1"/>
  <c r="R231" i="32"/>
  <c r="C251" i="32" s="1"/>
  <c r="AR231" i="32"/>
  <c r="Y232" i="32"/>
  <c r="J252" i="32" s="1"/>
  <c r="AF234" i="32"/>
  <c r="Q254" i="32" s="1"/>
  <c r="Z339" i="32"/>
  <c r="Y343" i="32"/>
  <c r="Y345" i="32"/>
  <c r="J365" i="32" s="1"/>
  <c r="AO345" i="32"/>
  <c r="R346" i="32"/>
  <c r="AI347" i="32"/>
  <c r="AE347" i="32"/>
  <c r="P367" i="32" s="1"/>
  <c r="AR12" i="32"/>
  <c r="AB15" i="32"/>
  <c r="AJ17" i="32"/>
  <c r="U37" i="32" s="1"/>
  <c r="AP19" i="32"/>
  <c r="AA39" i="32" s="1"/>
  <c r="AP27" i="32"/>
  <c r="AA47" i="32" s="1"/>
  <c r="AE121" i="32"/>
  <c r="P141" i="32" s="1"/>
  <c r="AI132" i="32"/>
  <c r="AI228" i="32"/>
  <c r="AF230" i="32"/>
  <c r="AG232" i="32"/>
  <c r="AQ234" i="32"/>
  <c r="AB340" i="32"/>
  <c r="M360" i="32" s="1"/>
  <c r="S341" i="32"/>
  <c r="D361" i="32" s="1"/>
  <c r="AM345" i="32"/>
  <c r="X365" i="32" s="1"/>
  <c r="AB345" i="32"/>
  <c r="M365" i="32" s="1"/>
  <c r="AQ345" i="32"/>
  <c r="AB365" i="32" s="1"/>
  <c r="AI346" i="32"/>
  <c r="AH347" i="32"/>
  <c r="AJ347" i="32"/>
  <c r="Q349" i="32"/>
  <c r="AF121" i="32"/>
  <c r="AG228" i="32"/>
  <c r="AO228" i="32"/>
  <c r="AH232" i="32"/>
  <c r="AC345" i="32"/>
  <c r="N365" i="32" s="1"/>
  <c r="AR345" i="32"/>
  <c r="AC365" i="32" s="1"/>
  <c r="AM347" i="32"/>
  <c r="AE12" i="32"/>
  <c r="AF13" i="32"/>
  <c r="Q33" i="32" s="1"/>
  <c r="AH14" i="32"/>
  <c r="V16" i="32"/>
  <c r="G36" i="32" s="1"/>
  <c r="AR16" i="32"/>
  <c r="AC36" i="32" s="1"/>
  <c r="AJ16" i="32"/>
  <c r="AB16" i="32"/>
  <c r="M36" i="32" s="1"/>
  <c r="T16" i="32"/>
  <c r="E36" i="32" s="1"/>
  <c r="AP16" i="32"/>
  <c r="AA36" i="32" s="1"/>
  <c r="AH16" i="32"/>
  <c r="S36" i="32" s="1"/>
  <c r="Z16" i="32"/>
  <c r="K36" i="32" s="1"/>
  <c r="R16" i="32"/>
  <c r="C36" i="32" s="1"/>
  <c r="AG16" i="32"/>
  <c r="Q16" i="32"/>
  <c r="AO16" i="32"/>
  <c r="Y16" i="32"/>
  <c r="J36" i="32" s="1"/>
  <c r="AM16" i="32"/>
  <c r="X36" i="32" s="1"/>
  <c r="AE16" i="32"/>
  <c r="P36" i="32" s="1"/>
  <c r="W16" i="32"/>
  <c r="H36" i="32" s="1"/>
  <c r="AL16" i="32"/>
  <c r="W36" i="32" s="1"/>
  <c r="AD16" i="32"/>
  <c r="AK16" i="32"/>
  <c r="V36" i="32" s="1"/>
  <c r="AM17" i="32"/>
  <c r="X37" i="32" s="1"/>
  <c r="AD24" i="32"/>
  <c r="AR24" i="32"/>
  <c r="AC44" i="32" s="1"/>
  <c r="AJ24" i="32"/>
  <c r="U44" i="32" s="1"/>
  <c r="U151" i="32" s="1"/>
  <c r="AB24" i="32"/>
  <c r="M44" i="32" s="1"/>
  <c r="M152" i="32" s="1"/>
  <c r="T24" i="32"/>
  <c r="E44" i="32" s="1"/>
  <c r="AI24" i="32"/>
  <c r="S24" i="32"/>
  <c r="AQ24" i="32"/>
  <c r="AA24" i="32"/>
  <c r="AP24" i="32"/>
  <c r="AA44" i="32" s="1"/>
  <c r="AH24" i="32"/>
  <c r="S44" i="32" s="1"/>
  <c r="Z24" i="32"/>
  <c r="K44" i="32" s="1"/>
  <c r="K368" i="32" s="1"/>
  <c r="R24" i="32"/>
  <c r="C44" i="32" s="1"/>
  <c r="AO24" i="32"/>
  <c r="Z44" i="32" s="1"/>
  <c r="Z152" i="32" s="1"/>
  <c r="Q24" i="32"/>
  <c r="B44" i="32" s="1"/>
  <c r="AG24" i="32"/>
  <c r="R44" i="32" s="1"/>
  <c r="Y24" i="32"/>
  <c r="AM24" i="32"/>
  <c r="X44" i="32" s="1"/>
  <c r="AE24" i="32"/>
  <c r="P44" i="32" s="1"/>
  <c r="W24" i="32"/>
  <c r="AL24" i="32"/>
  <c r="W44" i="32" s="1"/>
  <c r="V24" i="32"/>
  <c r="G44" i="32" s="1"/>
  <c r="K47" i="32"/>
  <c r="U35" i="32"/>
  <c r="U36" i="32"/>
  <c r="AG12" i="32"/>
  <c r="AN12" i="32"/>
  <c r="AG13" i="32"/>
  <c r="R33" i="32" s="1"/>
  <c r="Q13" i="32"/>
  <c r="AM13" i="32"/>
  <c r="X33" i="32" s="1"/>
  <c r="AE13" i="32"/>
  <c r="P33" i="32" s="1"/>
  <c r="W13" i="32"/>
  <c r="H33" i="32" s="1"/>
  <c r="AK13" i="32"/>
  <c r="V33" i="32" s="1"/>
  <c r="AC13" i="32"/>
  <c r="N33" i="32" s="1"/>
  <c r="U13" i="32"/>
  <c r="F33" i="32" s="1"/>
  <c r="AJ13" i="32"/>
  <c r="T13" i="32"/>
  <c r="E33" i="32" s="1"/>
  <c r="AR13" i="32"/>
  <c r="AB13" i="32"/>
  <c r="M33" i="32" s="1"/>
  <c r="AP13" i="32"/>
  <c r="AH13" i="32"/>
  <c r="S33" i="32" s="1"/>
  <c r="Z13" i="32"/>
  <c r="K33" i="32" s="1"/>
  <c r="R13" i="32"/>
  <c r="C33" i="32" s="1"/>
  <c r="AO13" i="32"/>
  <c r="Z33" i="32" s="1"/>
  <c r="Y13" i="32"/>
  <c r="J33" i="32" s="1"/>
  <c r="AL13" i="32"/>
  <c r="W33" i="32" s="1"/>
  <c r="R14" i="32"/>
  <c r="T15" i="32"/>
  <c r="AO15" i="32"/>
  <c r="Z35" i="32" s="1"/>
  <c r="U16" i="32"/>
  <c r="F36" i="32" s="1"/>
  <c r="AQ16" i="32"/>
  <c r="AB36" i="32" s="1"/>
  <c r="W17" i="32"/>
  <c r="H37" i="32" s="1"/>
  <c r="J40" i="32"/>
  <c r="Y40" i="32"/>
  <c r="B40" i="32"/>
  <c r="AE23" i="32"/>
  <c r="AR23" i="32"/>
  <c r="AC43" i="32" s="1"/>
  <c r="AB23" i="32"/>
  <c r="M43" i="32" s="1"/>
  <c r="AJ23" i="32"/>
  <c r="U43" i="32" s="1"/>
  <c r="T23" i="32"/>
  <c r="E43" i="32" s="1"/>
  <c r="AH23" i="32"/>
  <c r="S43" i="32" s="1"/>
  <c r="R23" i="32"/>
  <c r="C43" i="32" s="1"/>
  <c r="AP23" i="32"/>
  <c r="AA43" i="32" s="1"/>
  <c r="Z23" i="32"/>
  <c r="AM23" i="32"/>
  <c r="W23" i="32"/>
  <c r="AL23" i="32"/>
  <c r="W43" i="32" s="1"/>
  <c r="AH25" i="32"/>
  <c r="R25" i="32"/>
  <c r="AP25" i="32"/>
  <c r="Z25" i="32"/>
  <c r="AR25" i="32"/>
  <c r="A63" i="32"/>
  <c r="A75" i="32"/>
  <c r="V146" i="32"/>
  <c r="AJ12" i="32"/>
  <c r="AM14" i="32"/>
  <c r="AA11" i="32"/>
  <c r="L31" i="32" s="1"/>
  <c r="AO11" i="32"/>
  <c r="Z31" i="32" s="1"/>
  <c r="AG11" i="32"/>
  <c r="R31" i="32" s="1"/>
  <c r="Y11" i="32"/>
  <c r="J31" i="32" s="1"/>
  <c r="Q11" i="32"/>
  <c r="B31" i="32" s="1"/>
  <c r="AM11" i="32"/>
  <c r="X31" i="32" s="1"/>
  <c r="AE11" i="32"/>
  <c r="W11" i="32"/>
  <c r="AL11" i="32"/>
  <c r="W31" i="32" s="1"/>
  <c r="V11" i="32"/>
  <c r="G31" i="32" s="1"/>
  <c r="AD11" i="32"/>
  <c r="O31" i="32" s="1"/>
  <c r="AR11" i="32"/>
  <c r="AC31" i="32" s="1"/>
  <c r="AJ11" i="32"/>
  <c r="U31" i="32" s="1"/>
  <c r="AB11" i="32"/>
  <c r="M31" i="32" s="1"/>
  <c r="T11" i="32"/>
  <c r="AQ11" i="32"/>
  <c r="AB31" i="32" s="1"/>
  <c r="AI11" i="32"/>
  <c r="T31" i="32" s="1"/>
  <c r="S11" i="32"/>
  <c r="D31" i="32" s="1"/>
  <c r="AK11" i="32"/>
  <c r="V31" i="32" s="1"/>
  <c r="Q12" i="32"/>
  <c r="AM12" i="32"/>
  <c r="S13" i="32"/>
  <c r="D33" i="32" s="1"/>
  <c r="AN13" i="32"/>
  <c r="Y33" i="32" s="1"/>
  <c r="U14" i="32"/>
  <c r="AP14" i="32"/>
  <c r="V15" i="32"/>
  <c r="G35" i="32" s="1"/>
  <c r="AR15" i="32"/>
  <c r="AC35" i="32" s="1"/>
  <c r="X16" i="32"/>
  <c r="I36" i="32" s="1"/>
  <c r="AC37" i="32"/>
  <c r="Z17" i="32"/>
  <c r="K37" i="32" s="1"/>
  <c r="Z19" i="32"/>
  <c r="K39" i="32" s="1"/>
  <c r="Z22" i="32"/>
  <c r="K42" i="32" s="1"/>
  <c r="AO23" i="32"/>
  <c r="Z43" i="32" s="1"/>
  <c r="AC24" i="32"/>
  <c r="N44" i="32" s="1"/>
  <c r="AK25" i="32"/>
  <c r="A74" i="32"/>
  <c r="A62" i="32"/>
  <c r="A78" i="32"/>
  <c r="A66" i="32"/>
  <c r="A67" i="32"/>
  <c r="A79" i="32"/>
  <c r="N143" i="32"/>
  <c r="AO12" i="32"/>
  <c r="AQ13" i="32"/>
  <c r="AB33" i="32" s="1"/>
  <c r="AA16" i="32"/>
  <c r="F39" i="32"/>
  <c r="AB44" i="32"/>
  <c r="T25" i="32"/>
  <c r="E35" i="32"/>
  <c r="A81" i="32"/>
  <c r="A69" i="32"/>
  <c r="AM131" i="32"/>
  <c r="AE131" i="32"/>
  <c r="AQ131" i="32"/>
  <c r="AI131" i="32"/>
  <c r="AP131" i="32"/>
  <c r="AF131" i="32"/>
  <c r="W131" i="32"/>
  <c r="H151" i="32" s="1"/>
  <c r="AL131" i="32"/>
  <c r="AB131" i="32"/>
  <c r="T131" i="32"/>
  <c r="AH131" i="32"/>
  <c r="Y131" i="32"/>
  <c r="Q131" i="32"/>
  <c r="AR131" i="32"/>
  <c r="AA131" i="32"/>
  <c r="AO131" i="32"/>
  <c r="Z131" i="32"/>
  <c r="AC131" i="32"/>
  <c r="X131" i="32"/>
  <c r="AJ131" i="32"/>
  <c r="R131" i="32"/>
  <c r="AG131" i="32"/>
  <c r="AD131" i="32"/>
  <c r="O151" i="32" s="1"/>
  <c r="V131" i="32"/>
  <c r="U131" i="32"/>
  <c r="S131" i="32"/>
  <c r="AN131" i="32"/>
  <c r="AK131" i="32"/>
  <c r="T12" i="32"/>
  <c r="V13" i="32"/>
  <c r="G33" i="32" s="1"/>
  <c r="W14" i="32"/>
  <c r="Y15" i="32"/>
  <c r="J35" i="32" s="1"/>
  <c r="AB17" i="32"/>
  <c r="M37" i="32" s="1"/>
  <c r="U11" i="32"/>
  <c r="F31" i="32" s="1"/>
  <c r="AP11" i="32"/>
  <c r="AA31" i="32" s="1"/>
  <c r="W12" i="32"/>
  <c r="X13" i="32"/>
  <c r="I33" i="32" s="1"/>
  <c r="Z14" i="32"/>
  <c r="AC16" i="32"/>
  <c r="N36" i="32" s="1"/>
  <c r="AE17" i="32"/>
  <c r="P37" i="32" s="1"/>
  <c r="AR18" i="32"/>
  <c r="AC38" i="32" s="1"/>
  <c r="AB18" i="32"/>
  <c r="M38" i="32" s="1"/>
  <c r="AH18" i="32"/>
  <c r="S38" i="32" s="1"/>
  <c r="Z18" i="32"/>
  <c r="K38" i="32" s="1"/>
  <c r="R18" i="32"/>
  <c r="C38" i="32" s="1"/>
  <c r="AM18" i="32"/>
  <c r="X38" i="32" s="1"/>
  <c r="W18" i="32"/>
  <c r="AE18" i="32"/>
  <c r="AK18" i="32"/>
  <c r="V38" i="32" s="1"/>
  <c r="AC18" i="32"/>
  <c r="N38" i="32" s="1"/>
  <c r="U18" i="32"/>
  <c r="F38" i="32" s="1"/>
  <c r="AJ18" i="32"/>
  <c r="U38" i="32" s="1"/>
  <c r="T18" i="32"/>
  <c r="AD18" i="32"/>
  <c r="O38" i="32" s="1"/>
  <c r="AH20" i="32"/>
  <c r="S40" i="32" s="1"/>
  <c r="R20" i="32"/>
  <c r="C40" i="32" s="1"/>
  <c r="AE20" i="32"/>
  <c r="P40" i="32" s="1"/>
  <c r="AM20" i="32"/>
  <c r="X40" i="32" s="1"/>
  <c r="AK20" i="32"/>
  <c r="V40" i="32" s="1"/>
  <c r="U20" i="32"/>
  <c r="F40" i="32" s="1"/>
  <c r="AC20" i="32"/>
  <c r="N40" i="32" s="1"/>
  <c r="S20" i="32"/>
  <c r="D40" i="32" s="1"/>
  <c r="AP20" i="32"/>
  <c r="AA40" i="32" s="1"/>
  <c r="Z20" i="32"/>
  <c r="K40" i="32" s="1"/>
  <c r="AJ20" i="32"/>
  <c r="U40" i="32" s="1"/>
  <c r="Q23" i="32"/>
  <c r="B43" i="32" s="1"/>
  <c r="Q44" i="32"/>
  <c r="Y44" i="32"/>
  <c r="AK24" i="32"/>
  <c r="V44" i="32" s="1"/>
  <c r="W25" i="32"/>
  <c r="AJ26" i="32"/>
  <c r="T26" i="32"/>
  <c r="AG26" i="32"/>
  <c r="Q26" i="32"/>
  <c r="AO26" i="32"/>
  <c r="Y26" i="32"/>
  <c r="AM26" i="32"/>
  <c r="W26" i="32"/>
  <c r="AE26" i="32"/>
  <c r="U26" i="32"/>
  <c r="AR26" i="32"/>
  <c r="AB26" i="32"/>
  <c r="AL26" i="32"/>
  <c r="AJ124" i="32"/>
  <c r="U144" i="32" s="1"/>
  <c r="W124" i="32"/>
  <c r="AH124" i="32"/>
  <c r="S144" i="32" s="1"/>
  <c r="U124" i="32"/>
  <c r="F144" i="32" s="1"/>
  <c r="AR124" i="32"/>
  <c r="AC144" i="32" s="1"/>
  <c r="AB124" i="32"/>
  <c r="AP124" i="32"/>
  <c r="AA144" i="32" s="1"/>
  <c r="Z124" i="32"/>
  <c r="AG124" i="32"/>
  <c r="R144" i="32" s="1"/>
  <c r="Q124" i="32"/>
  <c r="AE124" i="32"/>
  <c r="P144" i="32" s="1"/>
  <c r="AC124" i="32"/>
  <c r="N144" i="32" s="1"/>
  <c r="Y124" i="32"/>
  <c r="T124" i="32"/>
  <c r="R124" i="32"/>
  <c r="C144" i="32" s="1"/>
  <c r="AO124" i="32"/>
  <c r="Z144" i="32" s="1"/>
  <c r="AK124" i="32"/>
  <c r="V144" i="32" s="1"/>
  <c r="AH12" i="32"/>
  <c r="R12" i="32"/>
  <c r="AK12" i="32"/>
  <c r="U12" i="32"/>
  <c r="AC12" i="32"/>
  <c r="AP12" i="32"/>
  <c r="Z12" i="32"/>
  <c r="Y12" i="32"/>
  <c r="J32" i="32" s="1"/>
  <c r="AC33" i="32"/>
  <c r="AC14" i="32"/>
  <c r="AM15" i="32"/>
  <c r="X35" i="32" s="1"/>
  <c r="W15" i="32"/>
  <c r="H35" i="32" s="1"/>
  <c r="AC15" i="32"/>
  <c r="N35" i="32" s="1"/>
  <c r="U15" i="32"/>
  <c r="F35" i="32" s="1"/>
  <c r="AH15" i="32"/>
  <c r="S35" i="32" s="1"/>
  <c r="R15" i="32"/>
  <c r="C35" i="32" s="1"/>
  <c r="AP15" i="32"/>
  <c r="AA35" i="32" s="1"/>
  <c r="Z15" i="32"/>
  <c r="K35" i="32" s="1"/>
  <c r="AE15" i="32"/>
  <c r="P35" i="32" s="1"/>
  <c r="AD15" i="32"/>
  <c r="O35" i="32" s="1"/>
  <c r="AF16" i="32"/>
  <c r="Q36" i="32" s="1"/>
  <c r="AH17" i="32"/>
  <c r="S37" i="32" s="1"/>
  <c r="V23" i="32"/>
  <c r="G43" i="32" s="1"/>
  <c r="AB25" i="32"/>
  <c r="M35" i="32"/>
  <c r="H44" i="32"/>
  <c r="AB12" i="32"/>
  <c r="AD13" i="32"/>
  <c r="O33" i="32" s="1"/>
  <c r="AG15" i="32"/>
  <c r="R35" i="32" s="1"/>
  <c r="AI16" i="32"/>
  <c r="AC17" i="32"/>
  <c r="N37" i="32" s="1"/>
  <c r="AA19" i="32"/>
  <c r="L39" i="32" s="1"/>
  <c r="AO19" i="32"/>
  <c r="Z39" i="32" s="1"/>
  <c r="AG19" i="32"/>
  <c r="R39" i="32" s="1"/>
  <c r="Y19" i="32"/>
  <c r="J39" i="32" s="1"/>
  <c r="Q19" i="32"/>
  <c r="B39" i="32" s="1"/>
  <c r="AM19" i="32"/>
  <c r="X39" i="32" s="1"/>
  <c r="AE19" i="32"/>
  <c r="P39" i="32" s="1"/>
  <c r="W19" i="32"/>
  <c r="H39" i="32" s="1"/>
  <c r="AL19" i="32"/>
  <c r="W39" i="32" s="1"/>
  <c r="V19" i="32"/>
  <c r="G39" i="32" s="1"/>
  <c r="AD19" i="32"/>
  <c r="O39" i="32" s="1"/>
  <c r="AR19" i="32"/>
  <c r="AC39" i="32" s="1"/>
  <c r="AJ19" i="32"/>
  <c r="U39" i="32" s="1"/>
  <c r="AB19" i="32"/>
  <c r="M39" i="32" s="1"/>
  <c r="T19" i="32"/>
  <c r="E39" i="32" s="1"/>
  <c r="AQ19" i="32"/>
  <c r="AB39" i="32" s="1"/>
  <c r="AI19" i="32"/>
  <c r="T39" i="32" s="1"/>
  <c r="S19" i="32"/>
  <c r="D39" i="32" s="1"/>
  <c r="AK19" i="32"/>
  <c r="V39" i="32" s="1"/>
  <c r="AC22" i="32"/>
  <c r="N42" i="32" s="1"/>
  <c r="AK22" i="32"/>
  <c r="V42" i="32" s="1"/>
  <c r="U22" i="32"/>
  <c r="F42" i="32" s="1"/>
  <c r="AP22" i="32"/>
  <c r="AA42" i="32" s="1"/>
  <c r="Y23" i="32"/>
  <c r="J43" i="32" s="1"/>
  <c r="AE25" i="32"/>
  <c r="I39" i="32"/>
  <c r="X14" i="32"/>
  <c r="AN14" i="32"/>
  <c r="U17" i="32"/>
  <c r="F37" i="32" s="1"/>
  <c r="AK17" i="32"/>
  <c r="V37" i="32" s="1"/>
  <c r="X22" i="32"/>
  <c r="I42" i="32" s="1"/>
  <c r="AN22" i="32"/>
  <c r="U25" i="32"/>
  <c r="AA27" i="32"/>
  <c r="L47" i="32" s="1"/>
  <c r="AQ27" i="32"/>
  <c r="U33" i="32"/>
  <c r="D38" i="32"/>
  <c r="L38" i="32"/>
  <c r="AB38" i="32"/>
  <c r="P42" i="32"/>
  <c r="K43" i="32"/>
  <c r="E137" i="32"/>
  <c r="N137" i="32"/>
  <c r="T137" i="32"/>
  <c r="AA137" i="32"/>
  <c r="F137" i="32"/>
  <c r="AH118" i="32"/>
  <c r="AM122" i="32"/>
  <c r="X142" i="32" s="1"/>
  <c r="Z123" i="32"/>
  <c r="K143" i="32" s="1"/>
  <c r="AK125" i="32"/>
  <c r="V145" i="32" s="1"/>
  <c r="AC125" i="32"/>
  <c r="N145" i="32" s="1"/>
  <c r="U125" i="32"/>
  <c r="AP125" i="32"/>
  <c r="AA145" i="32" s="1"/>
  <c r="AH125" i="32"/>
  <c r="S145" i="32" s="1"/>
  <c r="Z125" i="32"/>
  <c r="K145" i="32" s="1"/>
  <c r="R125" i="32"/>
  <c r="C145" i="32" s="1"/>
  <c r="AM125" i="32"/>
  <c r="X145" i="32" s="1"/>
  <c r="AE125" i="32"/>
  <c r="P145" i="32" s="1"/>
  <c r="W125" i="32"/>
  <c r="H145" i="32" s="1"/>
  <c r="AL125" i="32"/>
  <c r="W145" i="32" s="1"/>
  <c r="Y125" i="32"/>
  <c r="J145" i="32" s="1"/>
  <c r="AJ125" i="32"/>
  <c r="X125" i="32"/>
  <c r="I145" i="32" s="1"/>
  <c r="AN125" i="32"/>
  <c r="Y145" i="32" s="1"/>
  <c r="T125" i="32"/>
  <c r="AI125" i="32"/>
  <c r="T145" i="32" s="1"/>
  <c r="S125" i="32"/>
  <c r="D145" i="32" s="1"/>
  <c r="AR125" i="32"/>
  <c r="AB125" i="32"/>
  <c r="M145" i="32" s="1"/>
  <c r="AQ125" i="32"/>
  <c r="AB145" i="32" s="1"/>
  <c r="S12" i="32"/>
  <c r="AA12" i="32"/>
  <c r="AI12" i="32"/>
  <c r="AQ12" i="32"/>
  <c r="Q14" i="32"/>
  <c r="Y14" i="32"/>
  <c r="AG14" i="32"/>
  <c r="AO14" i="32"/>
  <c r="X15" i="32"/>
  <c r="I35" i="32" s="1"/>
  <c r="AF15" i="32"/>
  <c r="Q35" i="32" s="1"/>
  <c r="AN15" i="32"/>
  <c r="Y35" i="32" s="1"/>
  <c r="V17" i="32"/>
  <c r="G37" i="32" s="1"/>
  <c r="AD17" i="32"/>
  <c r="O37" i="32" s="1"/>
  <c r="AL17" i="32"/>
  <c r="W37" i="32" s="1"/>
  <c r="AA20" i="32"/>
  <c r="L40" i="32" s="1"/>
  <c r="AI20" i="32"/>
  <c r="T40" i="32" s="1"/>
  <c r="AQ20" i="32"/>
  <c r="AB40" i="32" s="1"/>
  <c r="Q22" i="32"/>
  <c r="B42" i="32" s="1"/>
  <c r="Y22" i="32"/>
  <c r="J42" i="32" s="1"/>
  <c r="AG22" i="32"/>
  <c r="R42" i="32" s="1"/>
  <c r="AO22" i="32"/>
  <c r="Z42" i="32" s="1"/>
  <c r="X23" i="32"/>
  <c r="I43" i="32" s="1"/>
  <c r="AF23" i="32"/>
  <c r="Q43" i="32" s="1"/>
  <c r="AN23" i="32"/>
  <c r="Y43" i="32" s="1"/>
  <c r="V25" i="32"/>
  <c r="AD25" i="32"/>
  <c r="AL25" i="32"/>
  <c r="AC26" i="32"/>
  <c r="AK26" i="32"/>
  <c r="AB47" i="32"/>
  <c r="T47" i="32"/>
  <c r="T27" i="32"/>
  <c r="E47" i="32" s="1"/>
  <c r="AB27" i="32"/>
  <c r="M47" i="32" s="1"/>
  <c r="AJ27" i="32"/>
  <c r="U47" i="32" s="1"/>
  <c r="AR27" i="32"/>
  <c r="AC47" i="32" s="1"/>
  <c r="H31" i="32"/>
  <c r="P31" i="32"/>
  <c r="A77" i="32"/>
  <c r="A65" i="32"/>
  <c r="O36" i="32"/>
  <c r="E38" i="32"/>
  <c r="Y42" i="32"/>
  <c r="O44" i="32"/>
  <c r="O369" i="32" s="1"/>
  <c r="R118" i="32"/>
  <c r="AJ118" i="32"/>
  <c r="AL119" i="32"/>
  <c r="W139" i="32" s="1"/>
  <c r="AA123" i="32"/>
  <c r="L143" i="32" s="1"/>
  <c r="Q125" i="32"/>
  <c r="B145" i="32" s="1"/>
  <c r="Z129" i="32"/>
  <c r="K149" i="32" s="1"/>
  <c r="AA14" i="32"/>
  <c r="AQ14" i="32"/>
  <c r="X17" i="32"/>
  <c r="I37" i="32" s="1"/>
  <c r="AF17" i="32"/>
  <c r="Q37" i="32" s="1"/>
  <c r="AA22" i="32"/>
  <c r="L42" i="32" s="1"/>
  <c r="AQ22" i="32"/>
  <c r="AB42" i="32" s="1"/>
  <c r="AF25" i="32"/>
  <c r="Q45" i="32" s="1"/>
  <c r="AD27" i="32"/>
  <c r="O47" i="32" s="1"/>
  <c r="S42" i="32"/>
  <c r="X118" i="32"/>
  <c r="AN118" i="32"/>
  <c r="W122" i="32"/>
  <c r="H142" i="32" s="1"/>
  <c r="AG130" i="32"/>
  <c r="R150" i="32" s="1"/>
  <c r="Q130" i="32"/>
  <c r="B150" i="32" s="1"/>
  <c r="AE130" i="32"/>
  <c r="P150" i="32" s="1"/>
  <c r="AO130" i="32"/>
  <c r="V130" i="32"/>
  <c r="G150" i="32" s="1"/>
  <c r="K137" i="32"/>
  <c r="P268" i="32"/>
  <c r="S14" i="32"/>
  <c r="AI14" i="32"/>
  <c r="AN17" i="32"/>
  <c r="Y37" i="32" s="1"/>
  <c r="S22" i="32"/>
  <c r="D42" i="32" s="1"/>
  <c r="AI22" i="32"/>
  <c r="T42" i="32" s="1"/>
  <c r="X25" i="32"/>
  <c r="AN25" i="32"/>
  <c r="V27" i="32"/>
  <c r="G47" i="32" s="1"/>
  <c r="AL27" i="32"/>
  <c r="W47" i="32" s="1"/>
  <c r="Y141" i="32"/>
  <c r="Q141" i="32"/>
  <c r="AD123" i="32"/>
  <c r="O143" i="32" s="1"/>
  <c r="AN123" i="32"/>
  <c r="Y143" i="32" s="1"/>
  <c r="X123" i="32"/>
  <c r="I143" i="32" s="1"/>
  <c r="AL124" i="32"/>
  <c r="W144" i="32" s="1"/>
  <c r="AP128" i="32"/>
  <c r="AA148" i="32" s="1"/>
  <c r="AH128" i="32"/>
  <c r="Z128" i="32"/>
  <c r="K148" i="32" s="1"/>
  <c r="R128" i="32"/>
  <c r="AM128" i="32"/>
  <c r="X148" i="32" s="1"/>
  <c r="AE128" i="32"/>
  <c r="P148" i="32" s="1"/>
  <c r="W128" i="32"/>
  <c r="H148" i="32" s="1"/>
  <c r="AR128" i="32"/>
  <c r="AJ128" i="32"/>
  <c r="U148" i="32" s="1"/>
  <c r="AB128" i="32"/>
  <c r="M148" i="32" s="1"/>
  <c r="T128" i="32"/>
  <c r="E148" i="32" s="1"/>
  <c r="AF128" i="32"/>
  <c r="Q148" i="32" s="1"/>
  <c r="S128" i="32"/>
  <c r="D148" i="32" s="1"/>
  <c r="AQ128" i="32"/>
  <c r="AB148" i="32" s="1"/>
  <c r="AD128" i="32"/>
  <c r="O148" i="32" s="1"/>
  <c r="Q128" i="32"/>
  <c r="AO128" i="32"/>
  <c r="Z148" i="32" s="1"/>
  <c r="Y128" i="32"/>
  <c r="AN128" i="32"/>
  <c r="X128" i="32"/>
  <c r="I148" i="32" s="1"/>
  <c r="AG128" i="32"/>
  <c r="R148" i="32" s="1"/>
  <c r="AE129" i="32"/>
  <c r="P149" i="32" s="1"/>
  <c r="AM130" i="32"/>
  <c r="X150" i="32" s="1"/>
  <c r="V12" i="32"/>
  <c r="AD12" i="32"/>
  <c r="AL12" i="32"/>
  <c r="T14" i="32"/>
  <c r="AB14" i="32"/>
  <c r="AJ14" i="32"/>
  <c r="AR14" i="32"/>
  <c r="S15" i="32"/>
  <c r="D35" i="32" s="1"/>
  <c r="AA15" i="32"/>
  <c r="L35" i="32" s="1"/>
  <c r="AI15" i="32"/>
  <c r="T35" i="32" s="1"/>
  <c r="AQ15" i="32"/>
  <c r="AB35" i="32" s="1"/>
  <c r="Q17" i="32"/>
  <c r="B37" i="32" s="1"/>
  <c r="Y17" i="32"/>
  <c r="J37" i="32" s="1"/>
  <c r="AG17" i="32"/>
  <c r="R37" i="32" s="1"/>
  <c r="AO17" i="32"/>
  <c r="Z37" i="32" s="1"/>
  <c r="X18" i="32"/>
  <c r="I38" i="32" s="1"/>
  <c r="AF18" i="32"/>
  <c r="Q38" i="32" s="1"/>
  <c r="AN18" i="32"/>
  <c r="Y38" i="32" s="1"/>
  <c r="V20" i="32"/>
  <c r="G40" i="32" s="1"/>
  <c r="AD20" i="32"/>
  <c r="O40" i="32" s="1"/>
  <c r="AL20" i="32"/>
  <c r="W40" i="32" s="1"/>
  <c r="T22" i="32"/>
  <c r="E42" i="32" s="1"/>
  <c r="AB22" i="32"/>
  <c r="M42" i="32" s="1"/>
  <c r="AJ22" i="32"/>
  <c r="U42" i="32" s="1"/>
  <c r="AR22" i="32"/>
  <c r="AC42" i="32" s="1"/>
  <c r="S23" i="32"/>
  <c r="D43" i="32" s="1"/>
  <c r="AA23" i="32"/>
  <c r="L43" i="32" s="1"/>
  <c r="AI23" i="32"/>
  <c r="T43" i="32" s="1"/>
  <c r="AQ23" i="32"/>
  <c r="AB43" i="32" s="1"/>
  <c r="Q25" i="32"/>
  <c r="Y25" i="32"/>
  <c r="AG25" i="32"/>
  <c r="AO25" i="32"/>
  <c r="X26" i="32"/>
  <c r="AF26" i="32"/>
  <c r="AN26" i="32"/>
  <c r="W27" i="32"/>
  <c r="H47" i="32" s="1"/>
  <c r="AE27" i="32"/>
  <c r="P47" i="32" s="1"/>
  <c r="AM27" i="32"/>
  <c r="X47" i="32" s="1"/>
  <c r="C31" i="32"/>
  <c r="S31" i="32"/>
  <c r="B36" i="32"/>
  <c r="R36" i="32"/>
  <c r="Z36" i="32"/>
  <c r="H38" i="32"/>
  <c r="P38" i="32"/>
  <c r="S39" i="32"/>
  <c r="J44" i="32"/>
  <c r="F47" i="32"/>
  <c r="A64" i="32"/>
  <c r="Z118" i="32"/>
  <c r="AQ118" i="32"/>
  <c r="AR119" i="32"/>
  <c r="AC139" i="32" s="1"/>
  <c r="AA122" i="32"/>
  <c r="L142" i="32" s="1"/>
  <c r="AL123" i="32"/>
  <c r="Q145" i="32"/>
  <c r="F145" i="32"/>
  <c r="AC145" i="32"/>
  <c r="U145" i="32"/>
  <c r="E145" i="32"/>
  <c r="Z145" i="32"/>
  <c r="L145" i="32"/>
  <c r="AD125" i="32"/>
  <c r="O145" i="32" s="1"/>
  <c r="U128" i="32"/>
  <c r="AF129" i="32"/>
  <c r="Q149" i="32" s="1"/>
  <c r="AQ130" i="32"/>
  <c r="AB150" i="32" s="1"/>
  <c r="G153" i="32"/>
  <c r="M153" i="32"/>
  <c r="R137" i="32"/>
  <c r="X27" i="32"/>
  <c r="AN27" i="32"/>
  <c r="Y47" i="32" s="1"/>
  <c r="P43" i="32"/>
  <c r="A184" i="32"/>
  <c r="A172" i="32"/>
  <c r="AF27" i="32"/>
  <c r="Q47" i="32" s="1"/>
  <c r="B33" i="32"/>
  <c r="H43" i="32"/>
  <c r="X43" i="32"/>
  <c r="AA118" i="32"/>
  <c r="AR118" i="32"/>
  <c r="AB122" i="32"/>
  <c r="M142" i="32" s="1"/>
  <c r="X12" i="32"/>
  <c r="AF12" i="32"/>
  <c r="V14" i="32"/>
  <c r="AD14" i="32"/>
  <c r="AL14" i="32"/>
  <c r="S17" i="32"/>
  <c r="D37" i="32" s="1"/>
  <c r="AA17" i="32"/>
  <c r="L37" i="32" s="1"/>
  <c r="AI17" i="32"/>
  <c r="T37" i="32" s="1"/>
  <c r="AQ17" i="32"/>
  <c r="AB37" i="32" s="1"/>
  <c r="X20" i="32"/>
  <c r="I40" i="32" s="1"/>
  <c r="AF20" i="32"/>
  <c r="Q40" i="32" s="1"/>
  <c r="V22" i="32"/>
  <c r="G42" i="32" s="1"/>
  <c r="AD22" i="32"/>
  <c r="O42" i="32" s="1"/>
  <c r="AL22" i="32"/>
  <c r="W42" i="32" s="1"/>
  <c r="U23" i="32"/>
  <c r="F43" i="32" s="1"/>
  <c r="AC23" i="32"/>
  <c r="N43" i="32" s="1"/>
  <c r="S25" i="32"/>
  <c r="AA25" i="32"/>
  <c r="AI25" i="32"/>
  <c r="AQ25" i="32"/>
  <c r="R26" i="32"/>
  <c r="Z26" i="32"/>
  <c r="AH26" i="32"/>
  <c r="S46" i="32" s="1"/>
  <c r="Q27" i="32"/>
  <c r="B47" i="32" s="1"/>
  <c r="Y27" i="32"/>
  <c r="J47" i="32" s="1"/>
  <c r="AG27" i="32"/>
  <c r="R47" i="32" s="1"/>
  <c r="AO27" i="32"/>
  <c r="Z47" i="32" s="1"/>
  <c r="E31" i="32"/>
  <c r="AA33" i="32"/>
  <c r="D36" i="32"/>
  <c r="L36" i="32"/>
  <c r="T36" i="32"/>
  <c r="J38" i="32"/>
  <c r="R38" i="32"/>
  <c r="D44" i="32"/>
  <c r="L44" i="32"/>
  <c r="T44" i="32"/>
  <c r="T46" i="32" s="1"/>
  <c r="I47" i="32"/>
  <c r="A68" i="32"/>
  <c r="R123" i="32"/>
  <c r="AQ123" i="32"/>
  <c r="AB143" i="32" s="1"/>
  <c r="AG125" i="32"/>
  <c r="R145" i="32" s="1"/>
  <c r="AA128" i="32"/>
  <c r="L148" i="32" s="1"/>
  <c r="T130" i="32"/>
  <c r="E150" i="32" s="1"/>
  <c r="AL132" i="32"/>
  <c r="AD132" i="32"/>
  <c r="O152" i="32" s="1"/>
  <c r="V132" i="32"/>
  <c r="AP132" i="32"/>
  <c r="AH132" i="32"/>
  <c r="S152" i="32" s="1"/>
  <c r="Z132" i="32"/>
  <c r="R132" i="32"/>
  <c r="AN132" i="32"/>
  <c r="AC132" i="32"/>
  <c r="N152" i="32" s="1"/>
  <c r="S132" i="32"/>
  <c r="AJ132" i="32"/>
  <c r="Y132" i="32"/>
  <c r="J152" i="32" s="1"/>
  <c r="AQ132" i="32"/>
  <c r="AF132" i="32"/>
  <c r="Q152" i="32" s="1"/>
  <c r="U132" i="32"/>
  <c r="AM132" i="32"/>
  <c r="W132" i="32"/>
  <c r="AK132" i="32"/>
  <c r="T132" i="32"/>
  <c r="AG132" i="32"/>
  <c r="AE132" i="32"/>
  <c r="AR132" i="32"/>
  <c r="Q132" i="32"/>
  <c r="B152" i="32" s="1"/>
  <c r="AR133" i="32"/>
  <c r="AC153" i="32" s="1"/>
  <c r="AH133" i="32"/>
  <c r="S153" i="32" s="1"/>
  <c r="W133" i="32"/>
  <c r="H153" i="32" s="1"/>
  <c r="AN133" i="32"/>
  <c r="Y153" i="32" s="1"/>
  <c r="AD133" i="32"/>
  <c r="O153" i="32" s="1"/>
  <c r="S133" i="32"/>
  <c r="D153" i="32" s="1"/>
  <c r="AI133" i="32"/>
  <c r="T153" i="32" s="1"/>
  <c r="R133" i="32"/>
  <c r="C153" i="32" s="1"/>
  <c r="AF133" i="32"/>
  <c r="Q153" i="32" s="1"/>
  <c r="AM133" i="32"/>
  <c r="X153" i="32" s="1"/>
  <c r="AJ133" i="32"/>
  <c r="U153" i="32" s="1"/>
  <c r="X133" i="32"/>
  <c r="I153" i="32" s="1"/>
  <c r="AP133" i="32"/>
  <c r="AA153" i="32" s="1"/>
  <c r="R43" i="32"/>
  <c r="AM118" i="32"/>
  <c r="AE118" i="32"/>
  <c r="W118" i="32"/>
  <c r="AL118" i="32"/>
  <c r="AD118" i="32"/>
  <c r="V118" i="32"/>
  <c r="AP118" i="32"/>
  <c r="AF118" i="32"/>
  <c r="T118" i="32"/>
  <c r="AO118" i="32"/>
  <c r="AC118" i="32"/>
  <c r="S118" i="32"/>
  <c r="AI118" i="32"/>
  <c r="Y118" i="32"/>
  <c r="AG118" i="32"/>
  <c r="U122" i="32"/>
  <c r="F142" i="32" s="1"/>
  <c r="AR122" i="32"/>
  <c r="AC142" i="32" s="1"/>
  <c r="AE122" i="32"/>
  <c r="P142" i="32" s="1"/>
  <c r="S122" i="32"/>
  <c r="D142" i="32" s="1"/>
  <c r="AQ122" i="32"/>
  <c r="AD122" i="32"/>
  <c r="O142" i="32" s="1"/>
  <c r="Q122" i="32"/>
  <c r="B142" i="32" s="1"/>
  <c r="AJ122" i="32"/>
  <c r="U142" i="32" s="1"/>
  <c r="T122" i="32"/>
  <c r="E142" i="32" s="1"/>
  <c r="AI122" i="32"/>
  <c r="T142" i="32" s="1"/>
  <c r="AO122" i="32"/>
  <c r="Z142" i="32" s="1"/>
  <c r="Y122" i="32"/>
  <c r="J142" i="32" s="1"/>
  <c r="AL122" i="32"/>
  <c r="W142" i="32" s="1"/>
  <c r="AO129" i="32"/>
  <c r="Z149" i="32" s="1"/>
  <c r="AG129" i="32"/>
  <c r="R149" i="32" s="1"/>
  <c r="Y129" i="32"/>
  <c r="J149" i="32" s="1"/>
  <c r="Q129" i="32"/>
  <c r="B149" i="32" s="1"/>
  <c r="AL129" i="32"/>
  <c r="W149" i="32" s="1"/>
  <c r="AD129" i="32"/>
  <c r="O149" i="32" s="1"/>
  <c r="V129" i="32"/>
  <c r="G149" i="32" s="1"/>
  <c r="AQ129" i="32"/>
  <c r="AB149" i="32" s="1"/>
  <c r="AI129" i="32"/>
  <c r="T149" i="32" s="1"/>
  <c r="AA129" i="32"/>
  <c r="L149" i="32" s="1"/>
  <c r="S129" i="32"/>
  <c r="D149" i="32" s="1"/>
  <c r="AJ129" i="32"/>
  <c r="U149" i="32" s="1"/>
  <c r="W129" i="32"/>
  <c r="H149" i="32" s="1"/>
  <c r="AH129" i="32"/>
  <c r="S149" i="32" s="1"/>
  <c r="U129" i="32"/>
  <c r="F149" i="32" s="1"/>
  <c r="AN129" i="32"/>
  <c r="Y149" i="32" s="1"/>
  <c r="X129" i="32"/>
  <c r="I149" i="32" s="1"/>
  <c r="AM129" i="32"/>
  <c r="X149" i="32" s="1"/>
  <c r="T129" i="32"/>
  <c r="E149" i="32" s="1"/>
  <c r="AC129" i="32"/>
  <c r="AR129" i="32"/>
  <c r="AC149" i="32" s="1"/>
  <c r="A169" i="32"/>
  <c r="A181" i="32"/>
  <c r="Q245" i="32"/>
  <c r="AC25" i="32"/>
  <c r="S27" i="32"/>
  <c r="D47" i="32" s="1"/>
  <c r="Q118" i="32"/>
  <c r="C148" i="32"/>
  <c r="Y148" i="32"/>
  <c r="AI128" i="32"/>
  <c r="T148" i="32" s="1"/>
  <c r="R129" i="32"/>
  <c r="C149" i="32" s="1"/>
  <c r="AB130" i="32"/>
  <c r="M150" i="32" s="1"/>
  <c r="H141" i="32"/>
  <c r="S148" i="32"/>
  <c r="M245" i="32"/>
  <c r="AJ227" i="32"/>
  <c r="R227" i="32"/>
  <c r="S227" i="32"/>
  <c r="D247" i="32" s="1"/>
  <c r="AR227" i="32"/>
  <c r="AC247" i="32" s="1"/>
  <c r="AL227" i="32"/>
  <c r="AA227" i="32"/>
  <c r="AM227" i="32"/>
  <c r="X247" i="32" s="1"/>
  <c r="AD227" i="32"/>
  <c r="O247" i="32" s="1"/>
  <c r="AB227" i="32"/>
  <c r="W227" i="32"/>
  <c r="R117" i="32"/>
  <c r="C137" i="32" s="1"/>
  <c r="AB117" i="32"/>
  <c r="M137" i="32" s="1"/>
  <c r="AL117" i="32"/>
  <c r="W137" i="32" s="1"/>
  <c r="K139" i="32"/>
  <c r="C139" i="32"/>
  <c r="Z139" i="32"/>
  <c r="T119" i="32"/>
  <c r="E139" i="32" s="1"/>
  <c r="AP120" i="32"/>
  <c r="AH120" i="32"/>
  <c r="Z120" i="32"/>
  <c r="R120" i="32"/>
  <c r="AM120" i="32"/>
  <c r="AE120" i="32"/>
  <c r="W120" i="32"/>
  <c r="AR120" i="32"/>
  <c r="AJ120" i="32"/>
  <c r="AB120" i="32"/>
  <c r="T120" i="32"/>
  <c r="AL120" i="32"/>
  <c r="Y120" i="32"/>
  <c r="AK120" i="32"/>
  <c r="X120" i="32"/>
  <c r="AF120" i="32"/>
  <c r="AB142" i="32"/>
  <c r="G142" i="32"/>
  <c r="AC150" i="32"/>
  <c r="U150" i="32"/>
  <c r="L150" i="32"/>
  <c r="Z150" i="32"/>
  <c r="A168" i="32"/>
  <c r="A180" i="32"/>
  <c r="A187" i="32"/>
  <c r="A175" i="32"/>
  <c r="V117" i="32"/>
  <c r="G137" i="32" s="1"/>
  <c r="AH117" i="32"/>
  <c r="S137" i="32" s="1"/>
  <c r="AR117" i="32"/>
  <c r="AC137" i="32" s="1"/>
  <c r="AQ119" i="32"/>
  <c r="AB139" i="32" s="1"/>
  <c r="AI119" i="32"/>
  <c r="T139" i="32" s="1"/>
  <c r="AA119" i="32"/>
  <c r="L139" i="32" s="1"/>
  <c r="AN119" i="32"/>
  <c r="Y139" i="32" s="1"/>
  <c r="AF119" i="32"/>
  <c r="Q139" i="32" s="1"/>
  <c r="X119" i="32"/>
  <c r="I139" i="32" s="1"/>
  <c r="AK119" i="32"/>
  <c r="V139" i="32" s="1"/>
  <c r="AC119" i="32"/>
  <c r="N139" i="32" s="1"/>
  <c r="U119" i="32"/>
  <c r="F139" i="32" s="1"/>
  <c r="AJ119" i="32"/>
  <c r="U139" i="32" s="1"/>
  <c r="W119" i="32"/>
  <c r="H139" i="32" s="1"/>
  <c r="AH119" i="32"/>
  <c r="S139" i="32" s="1"/>
  <c r="V119" i="32"/>
  <c r="G139" i="32" s="1"/>
  <c r="AD119" i="32"/>
  <c r="O139" i="32" s="1"/>
  <c r="AO120" i="32"/>
  <c r="AN122" i="32"/>
  <c r="Y142" i="32" s="1"/>
  <c r="AN130" i="32"/>
  <c r="Y150" i="32" s="1"/>
  <c r="Y117" i="32"/>
  <c r="J137" i="32" s="1"/>
  <c r="Q119" i="32"/>
  <c r="B139" i="32" s="1"/>
  <c r="AE119" i="32"/>
  <c r="P139" i="32" s="1"/>
  <c r="AA120" i="32"/>
  <c r="AQ120" i="32"/>
  <c r="AM123" i="32"/>
  <c r="X143" i="32" s="1"/>
  <c r="AE123" i="32"/>
  <c r="P143" i="32" s="1"/>
  <c r="W123" i="32"/>
  <c r="H143" i="32" s="1"/>
  <c r="AR123" i="32"/>
  <c r="AC143" i="32" s="1"/>
  <c r="AJ123" i="32"/>
  <c r="U143" i="32" s="1"/>
  <c r="AB123" i="32"/>
  <c r="M143" i="32" s="1"/>
  <c r="T123" i="32"/>
  <c r="E143" i="32" s="1"/>
  <c r="AO123" i="32"/>
  <c r="Z143" i="32" s="1"/>
  <c r="AG123" i="32"/>
  <c r="R143" i="32" s="1"/>
  <c r="Y123" i="32"/>
  <c r="J143" i="32" s="1"/>
  <c r="Q123" i="32"/>
  <c r="B143" i="32" s="1"/>
  <c r="AH123" i="32"/>
  <c r="S143" i="32" s="1"/>
  <c r="U123" i="32"/>
  <c r="F143" i="32" s="1"/>
  <c r="AF123" i="32"/>
  <c r="Q143" i="32" s="1"/>
  <c r="S123" i="32"/>
  <c r="D143" i="32" s="1"/>
  <c r="AI123" i="32"/>
  <c r="T143" i="32" s="1"/>
  <c r="AR126" i="32"/>
  <c r="AC146" i="32" s="1"/>
  <c r="AJ126" i="32"/>
  <c r="U146" i="32" s="1"/>
  <c r="AB126" i="32"/>
  <c r="M146" i="32" s="1"/>
  <c r="T126" i="32"/>
  <c r="E146" i="32" s="1"/>
  <c r="AO126" i="32"/>
  <c r="Z146" i="32" s="1"/>
  <c r="AG126" i="32"/>
  <c r="R146" i="32" s="1"/>
  <c r="Y126" i="32"/>
  <c r="J146" i="32" s="1"/>
  <c r="Q126" i="32"/>
  <c r="B146" i="32" s="1"/>
  <c r="AL126" i="32"/>
  <c r="W146" i="32" s="1"/>
  <c r="AD126" i="32"/>
  <c r="O146" i="32" s="1"/>
  <c r="V126" i="32"/>
  <c r="G146" i="32" s="1"/>
  <c r="AN126" i="32"/>
  <c r="Y146" i="32" s="1"/>
  <c r="AA126" i="32"/>
  <c r="L146" i="32" s="1"/>
  <c r="AM126" i="32"/>
  <c r="X146" i="32" s="1"/>
  <c r="Z126" i="32"/>
  <c r="K146" i="32" s="1"/>
  <c r="AF126" i="32"/>
  <c r="A182" i="32"/>
  <c r="A170" i="32"/>
  <c r="W117" i="32"/>
  <c r="H137" i="32" s="1"/>
  <c r="AE117" i="32"/>
  <c r="P137" i="32" s="1"/>
  <c r="AM117" i="32"/>
  <c r="X137" i="32" s="1"/>
  <c r="AB121" i="32"/>
  <c r="M141" i="32" s="1"/>
  <c r="K144" i="32"/>
  <c r="J144" i="32"/>
  <c r="B144" i="32"/>
  <c r="E144" i="32"/>
  <c r="M144" i="32"/>
  <c r="H144" i="32"/>
  <c r="W130" i="32"/>
  <c r="H150" i="32" s="1"/>
  <c r="A186" i="32"/>
  <c r="A174" i="32"/>
  <c r="A183" i="32"/>
  <c r="A171" i="32"/>
  <c r="X117" i="32"/>
  <c r="I137" i="32" s="1"/>
  <c r="AF117" i="32"/>
  <c r="Q137" i="32" s="1"/>
  <c r="AO121" i="32"/>
  <c r="Z141" i="32" s="1"/>
  <c r="AG121" i="32"/>
  <c r="R141" i="32" s="1"/>
  <c r="Y121" i="32"/>
  <c r="J141" i="32" s="1"/>
  <c r="Q121" i="32"/>
  <c r="B141" i="32" s="1"/>
  <c r="AL121" i="32"/>
  <c r="W141" i="32" s="1"/>
  <c r="AD121" i="32"/>
  <c r="O141" i="32" s="1"/>
  <c r="V121" i="32"/>
  <c r="G141" i="32" s="1"/>
  <c r="AQ121" i="32"/>
  <c r="AB141" i="32" s="1"/>
  <c r="AI121" i="32"/>
  <c r="T141" i="32" s="1"/>
  <c r="AA121" i="32"/>
  <c r="L141" i="32" s="1"/>
  <c r="S121" i="32"/>
  <c r="D141" i="32" s="1"/>
  <c r="AC121" i="32"/>
  <c r="N141" i="32" s="1"/>
  <c r="AP121" i="32"/>
  <c r="AA141" i="32" s="1"/>
  <c r="M149" i="32"/>
  <c r="AK130" i="32"/>
  <c r="V150" i="32" s="1"/>
  <c r="AC130" i="32"/>
  <c r="N150" i="32" s="1"/>
  <c r="U130" i="32"/>
  <c r="F150" i="32" s="1"/>
  <c r="AP130" i="32"/>
  <c r="AA150" i="32" s="1"/>
  <c r="AH130" i="32"/>
  <c r="S150" i="32" s="1"/>
  <c r="Z130" i="32"/>
  <c r="K150" i="32" s="1"/>
  <c r="R130" i="32"/>
  <c r="C150" i="32" s="1"/>
  <c r="Y130" i="32"/>
  <c r="J150" i="32" s="1"/>
  <c r="AL130" i="32"/>
  <c r="W150" i="32" s="1"/>
  <c r="X144" i="32"/>
  <c r="N149" i="32"/>
  <c r="AN233" i="32"/>
  <c r="Y253" i="32" s="1"/>
  <c r="AC233" i="32"/>
  <c r="N253" i="32" s="1"/>
  <c r="R233" i="32"/>
  <c r="AH233" i="32"/>
  <c r="S253" i="32" s="1"/>
  <c r="X233" i="32"/>
  <c r="AG233" i="32"/>
  <c r="AB233" i="32"/>
  <c r="M253" i="32" s="1"/>
  <c r="AR233" i="32"/>
  <c r="AC253" i="32" s="1"/>
  <c r="V233" i="32"/>
  <c r="G253" i="32" s="1"/>
  <c r="T233" i="32"/>
  <c r="E253" i="32" s="1"/>
  <c r="Q233" i="32"/>
  <c r="B253" i="32" s="1"/>
  <c r="AO233" i="32"/>
  <c r="Z253" i="32" s="1"/>
  <c r="AD233" i="32"/>
  <c r="R122" i="32"/>
  <c r="C142" i="32" s="1"/>
  <c r="Z122" i="32"/>
  <c r="K142" i="32" s="1"/>
  <c r="AH122" i="32"/>
  <c r="S142" i="32" s="1"/>
  <c r="AP122" i="32"/>
  <c r="AA142" i="32" s="1"/>
  <c r="X124" i="32"/>
  <c r="I144" i="32" s="1"/>
  <c r="AF124" i="32"/>
  <c r="Q144" i="32" s="1"/>
  <c r="AN124" i="32"/>
  <c r="Y144" i="32" s="1"/>
  <c r="J148" i="32"/>
  <c r="B148" i="32"/>
  <c r="N148" i="32"/>
  <c r="F148" i="32"/>
  <c r="AC148" i="32"/>
  <c r="A185" i="32"/>
  <c r="S226" i="32"/>
  <c r="AQ226" i="32"/>
  <c r="J250" i="32"/>
  <c r="B250" i="32"/>
  <c r="N250" i="32"/>
  <c r="Q250" i="32"/>
  <c r="AC122" i="32"/>
  <c r="N142" i="32" s="1"/>
  <c r="AK122" i="32"/>
  <c r="V142" i="32" s="1"/>
  <c r="AA143" i="32"/>
  <c r="C143" i="32"/>
  <c r="W143" i="32"/>
  <c r="S124" i="32"/>
  <c r="D144" i="32" s="1"/>
  <c r="AA124" i="32"/>
  <c r="L144" i="32" s="1"/>
  <c r="AI124" i="32"/>
  <c r="T144" i="32" s="1"/>
  <c r="AQ124" i="32"/>
  <c r="AB144" i="32" s="1"/>
  <c r="J151" i="32"/>
  <c r="W249" i="32"/>
  <c r="O249" i="32"/>
  <c r="AA249" i="32"/>
  <c r="S249" i="32"/>
  <c r="U249" i="32"/>
  <c r="AQ230" i="32"/>
  <c r="AB250" i="32" s="1"/>
  <c r="AB230" i="32"/>
  <c r="M250" i="32" s="1"/>
  <c r="AM230" i="32"/>
  <c r="T230" i="32"/>
  <c r="E250" i="32" s="1"/>
  <c r="AJ230" i="32"/>
  <c r="U250" i="32" s="1"/>
  <c r="S230" i="32"/>
  <c r="D250" i="32" s="1"/>
  <c r="AN230" i="32"/>
  <c r="Y250" i="32" s="1"/>
  <c r="Z249" i="32"/>
  <c r="AN226" i="32"/>
  <c r="Y226" i="32"/>
  <c r="AM226" i="32"/>
  <c r="U226" i="32"/>
  <c r="AF226" i="32"/>
  <c r="AO239" i="32"/>
  <c r="AG239" i="32"/>
  <c r="Y239" i="32"/>
  <c r="J259" i="32" s="1"/>
  <c r="Q239" i="32"/>
  <c r="B259" i="32" s="1"/>
  <c r="AL239" i="32"/>
  <c r="W259" i="32" s="1"/>
  <c r="AD239" i="32"/>
  <c r="V239" i="32"/>
  <c r="AK239" i="32"/>
  <c r="AC239" i="32"/>
  <c r="U239" i="32"/>
  <c r="AQ239" i="32"/>
  <c r="AE239" i="32"/>
  <c r="R239" i="32"/>
  <c r="C259" i="32" s="1"/>
  <c r="AN239" i="32"/>
  <c r="AA239" i="32"/>
  <c r="AJ239" i="32"/>
  <c r="X239" i="32"/>
  <c r="AF239" i="32"/>
  <c r="Z239" i="32"/>
  <c r="AR239" i="32"/>
  <c r="W239" i="32"/>
  <c r="H259" i="32" s="1"/>
  <c r="AP239" i="32"/>
  <c r="T239" i="32"/>
  <c r="AH239" i="32"/>
  <c r="AM239" i="32"/>
  <c r="AI239" i="32"/>
  <c r="AM241" i="32"/>
  <c r="AE241" i="32"/>
  <c r="P261" i="32" s="1"/>
  <c r="W241" i="32"/>
  <c r="AR241" i="32"/>
  <c r="AC261" i="32" s="1"/>
  <c r="AJ241" i="32"/>
  <c r="U261" i="32" s="1"/>
  <c r="AB241" i="32"/>
  <c r="T241" i="32"/>
  <c r="E261" i="32" s="1"/>
  <c r="AQ241" i="32"/>
  <c r="AB261" i="32" s="1"/>
  <c r="AI241" i="32"/>
  <c r="AA241" i="32"/>
  <c r="L261" i="32" s="1"/>
  <c r="S241" i="32"/>
  <c r="AG241" i="32"/>
  <c r="R261" i="32" s="1"/>
  <c r="U241" i="32"/>
  <c r="F261" i="32" s="1"/>
  <c r="AP241" i="32"/>
  <c r="AA261" i="32" s="1"/>
  <c r="AD241" i="32"/>
  <c r="O261" i="32" s="1"/>
  <c r="Q241" i="32"/>
  <c r="B261" i="32" s="1"/>
  <c r="AN241" i="32"/>
  <c r="Y261" i="32" s="1"/>
  <c r="Z241" i="32"/>
  <c r="K261" i="32" s="1"/>
  <c r="AF241" i="32"/>
  <c r="Q261" i="32" s="1"/>
  <c r="Y241" i="32"/>
  <c r="J261" i="32" s="1"/>
  <c r="X241" i="32"/>
  <c r="I261" i="32" s="1"/>
  <c r="AO241" i="32"/>
  <c r="Z261" i="32" s="1"/>
  <c r="V241" i="32"/>
  <c r="G261" i="32" s="1"/>
  <c r="AH241" i="32"/>
  <c r="S261" i="32" s="1"/>
  <c r="AC241" i="32"/>
  <c r="R241" i="32"/>
  <c r="C261" i="32" s="1"/>
  <c r="X122" i="32"/>
  <c r="I142" i="32" s="1"/>
  <c r="AF122" i="32"/>
  <c r="Q142" i="32" s="1"/>
  <c r="V124" i="32"/>
  <c r="G144" i="32" s="1"/>
  <c r="AD124" i="32"/>
  <c r="O144" i="32" s="1"/>
  <c r="Q146" i="32"/>
  <c r="P146" i="32"/>
  <c r="H146" i="32"/>
  <c r="X130" i="32"/>
  <c r="I150" i="32" s="1"/>
  <c r="AF130" i="32"/>
  <c r="Q150" i="32" s="1"/>
  <c r="AK133" i="32"/>
  <c r="V153" i="32" s="1"/>
  <c r="AC133" i="32"/>
  <c r="N153" i="32" s="1"/>
  <c r="U133" i="32"/>
  <c r="F153" i="32" s="1"/>
  <c r="AO133" i="32"/>
  <c r="Z153" i="32" s="1"/>
  <c r="AG133" i="32"/>
  <c r="R153" i="32" s="1"/>
  <c r="Y133" i="32"/>
  <c r="J153" i="32" s="1"/>
  <c r="Q133" i="32"/>
  <c r="B153" i="32" s="1"/>
  <c r="AA133" i="32"/>
  <c r="L153" i="32" s="1"/>
  <c r="AL133" i="32"/>
  <c r="W153" i="32" s="1"/>
  <c r="Y245" i="32"/>
  <c r="U245" i="32"/>
  <c r="R245" i="32"/>
  <c r="AJ226" i="32"/>
  <c r="U230" i="32"/>
  <c r="F250" i="32" s="1"/>
  <c r="Y257" i="32"/>
  <c r="I257" i="32"/>
  <c r="S239" i="32"/>
  <c r="AK241" i="32"/>
  <c r="V261" i="32" s="1"/>
  <c r="X250" i="32"/>
  <c r="E246" i="32"/>
  <c r="AO227" i="32"/>
  <c r="Z247" i="32" s="1"/>
  <c r="AG227" i="32"/>
  <c r="R247" i="32" s="1"/>
  <c r="Y227" i="32"/>
  <c r="J247" i="32" s="1"/>
  <c r="Q227" i="32"/>
  <c r="AK227" i="32"/>
  <c r="V247" i="32" s="1"/>
  <c r="AC227" i="32"/>
  <c r="U227" i="32"/>
  <c r="F247" i="32" s="1"/>
  <c r="AI227" i="32"/>
  <c r="X227" i="32"/>
  <c r="I247" i="32" s="1"/>
  <c r="AQ227" i="32"/>
  <c r="AB247" i="32" s="1"/>
  <c r="AF227" i="32"/>
  <c r="Q247" i="32" s="1"/>
  <c r="V227" i="32"/>
  <c r="G247" i="32" s="1"/>
  <c r="AP227" i="32"/>
  <c r="AA247" i="32" s="1"/>
  <c r="AE227" i="32"/>
  <c r="T227" i="32"/>
  <c r="AH227" i="32"/>
  <c r="AR228" i="32"/>
  <c r="AJ228" i="32"/>
  <c r="AB228" i="32"/>
  <c r="T228" i="32"/>
  <c r="AP228" i="32"/>
  <c r="AE228" i="32"/>
  <c r="U228" i="32"/>
  <c r="AM228" i="32"/>
  <c r="AC228" i="32"/>
  <c r="R228" i="32"/>
  <c r="AL228" i="32"/>
  <c r="AA228" i="32"/>
  <c r="Q228" i="32"/>
  <c r="AD228" i="32"/>
  <c r="X229" i="32"/>
  <c r="I249" i="32" s="1"/>
  <c r="V252" i="32"/>
  <c r="S252" i="32"/>
  <c r="C253" i="32"/>
  <c r="O253" i="32"/>
  <c r="I253" i="32"/>
  <c r="R253" i="32"/>
  <c r="F253" i="32"/>
  <c r="AN229" i="32"/>
  <c r="Y249" i="32" s="1"/>
  <c r="AC229" i="32"/>
  <c r="N249" i="32" s="1"/>
  <c r="R229" i="32"/>
  <c r="C249" i="32" s="1"/>
  <c r="AB229" i="32"/>
  <c r="M249" i="32" s="1"/>
  <c r="AR229" i="32"/>
  <c r="AC249" i="32" s="1"/>
  <c r="AK231" i="32"/>
  <c r="AC231" i="32"/>
  <c r="N251" i="32" s="1"/>
  <c r="U231" i="32"/>
  <c r="F251" i="32" s="1"/>
  <c r="AO231" i="32"/>
  <c r="Z251" i="32" s="1"/>
  <c r="AG231" i="32"/>
  <c r="R251" i="32" s="1"/>
  <c r="Y231" i="32"/>
  <c r="J251" i="32" s="1"/>
  <c r="Q231" i="32"/>
  <c r="B251" i="32" s="1"/>
  <c r="AI231" i="32"/>
  <c r="T251" i="32" s="1"/>
  <c r="X231" i="32"/>
  <c r="I251" i="32" s="1"/>
  <c r="AQ231" i="32"/>
  <c r="AB251" i="32" s="1"/>
  <c r="AF231" i="32"/>
  <c r="V231" i="32"/>
  <c r="G251" i="32" s="1"/>
  <c r="AP231" i="32"/>
  <c r="AA251" i="32" s="1"/>
  <c r="AE231" i="32"/>
  <c r="P251" i="32" s="1"/>
  <c r="T231" i="32"/>
  <c r="E251" i="32" s="1"/>
  <c r="AH231" i="32"/>
  <c r="S251" i="32" s="1"/>
  <c r="AP232" i="32"/>
  <c r="AA252" i="32" s="1"/>
  <c r="AE232" i="32"/>
  <c r="P252" i="32" s="1"/>
  <c r="U232" i="32"/>
  <c r="AM232" i="32"/>
  <c r="X252" i="32" s="1"/>
  <c r="AC232" i="32"/>
  <c r="N252" i="32" s="1"/>
  <c r="R232" i="32"/>
  <c r="C252" i="32" s="1"/>
  <c r="AL232" i="32"/>
  <c r="W252" i="32" s="1"/>
  <c r="AA232" i="32"/>
  <c r="L252" i="32" s="1"/>
  <c r="Q232" i="32"/>
  <c r="B252" i="32" s="1"/>
  <c r="AD232" i="32"/>
  <c r="O252" i="32" s="1"/>
  <c r="AQ237" i="32"/>
  <c r="AB257" i="32" s="1"/>
  <c r="AI237" i="32"/>
  <c r="T257" i="32" s="1"/>
  <c r="AA237" i="32"/>
  <c r="L257" i="32" s="1"/>
  <c r="S237" i="32"/>
  <c r="D257" i="32" s="1"/>
  <c r="AM237" i="32"/>
  <c r="X257" i="32" s="1"/>
  <c r="AE237" i="32"/>
  <c r="P257" i="32" s="1"/>
  <c r="W237" i="32"/>
  <c r="H257" i="32" s="1"/>
  <c r="AO237" i="32"/>
  <c r="Z257" i="32" s="1"/>
  <c r="AD237" i="32"/>
  <c r="O257" i="32" s="1"/>
  <c r="T237" i="32"/>
  <c r="E257" i="32" s="1"/>
  <c r="AL237" i="32"/>
  <c r="W257" i="32" s="1"/>
  <c r="AB237" i="32"/>
  <c r="M257" i="32" s="1"/>
  <c r="Q237" i="32"/>
  <c r="B257" i="32" s="1"/>
  <c r="AJ237" i="32"/>
  <c r="U257" i="32" s="1"/>
  <c r="Y237" i="32"/>
  <c r="J257" i="32" s="1"/>
  <c r="AH237" i="32"/>
  <c r="S257" i="32" s="1"/>
  <c r="R237" i="32"/>
  <c r="C257" i="32" s="1"/>
  <c r="AF237" i="32"/>
  <c r="Q257" i="32" s="1"/>
  <c r="AC237" i="32"/>
  <c r="N257" i="32" s="1"/>
  <c r="AR237" i="32"/>
  <c r="AC257" i="32" s="1"/>
  <c r="Z237" i="32"/>
  <c r="K257" i="32" s="1"/>
  <c r="AK237" i="32"/>
  <c r="V257" i="32" s="1"/>
  <c r="U237" i="32"/>
  <c r="F257" i="32" s="1"/>
  <c r="X225" i="32"/>
  <c r="I245" i="32" s="1"/>
  <c r="AP226" i="32"/>
  <c r="AH226" i="32"/>
  <c r="Z226" i="32"/>
  <c r="R226" i="32"/>
  <c r="AL226" i="32"/>
  <c r="AD226" i="32"/>
  <c r="O246" i="32" s="1"/>
  <c r="V226" i="32"/>
  <c r="AK226" i="32"/>
  <c r="AI226" i="32"/>
  <c r="X226" i="32"/>
  <c r="AR226" i="32"/>
  <c r="AG226" i="32"/>
  <c r="W226" i="32"/>
  <c r="AC226" i="32"/>
  <c r="N246" i="32" s="1"/>
  <c r="T247" i="32"/>
  <c r="Z227" i="32"/>
  <c r="K247" i="32" s="1"/>
  <c r="AN227" i="32"/>
  <c r="Y247" i="32" s="1"/>
  <c r="V228" i="32"/>
  <c r="AK228" i="32"/>
  <c r="Q229" i="32"/>
  <c r="B249" i="32" s="1"/>
  <c r="AG229" i="32"/>
  <c r="R249" i="32" s="1"/>
  <c r="W231" i="32"/>
  <c r="H251" i="32" s="1"/>
  <c r="AM231" i="32"/>
  <c r="X251" i="32" s="1"/>
  <c r="S232" i="32"/>
  <c r="D252" i="32" s="1"/>
  <c r="AI232" i="32"/>
  <c r="T252" i="32" s="1"/>
  <c r="AJ233" i="32"/>
  <c r="U253" i="32" s="1"/>
  <c r="AK234" i="32"/>
  <c r="V254" i="32" s="1"/>
  <c r="V234" i="32"/>
  <c r="G254" i="32" s="1"/>
  <c r="AI234" i="32"/>
  <c r="T254" i="32" s="1"/>
  <c r="AG237" i="32"/>
  <c r="R257" i="32" s="1"/>
  <c r="N261" i="32"/>
  <c r="M261" i="32"/>
  <c r="A288" i="32"/>
  <c r="A276" i="32"/>
  <c r="G252" i="32"/>
  <c r="AP238" i="32"/>
  <c r="AA258" i="32" s="1"/>
  <c r="AH238" i="32"/>
  <c r="S258" i="32" s="1"/>
  <c r="Z238" i="32"/>
  <c r="K258" i="32" s="1"/>
  <c r="R238" i="32"/>
  <c r="C258" i="32" s="1"/>
  <c r="AM238" i="32"/>
  <c r="X258" i="32" s="1"/>
  <c r="AE238" i="32"/>
  <c r="P258" i="32" s="1"/>
  <c r="AL238" i="32"/>
  <c r="W258" i="32" s="1"/>
  <c r="AD238" i="32"/>
  <c r="O258" i="32" s="1"/>
  <c r="V238" i="32"/>
  <c r="G258" i="32" s="1"/>
  <c r="AO238" i="32"/>
  <c r="Z258" i="32" s="1"/>
  <c r="AB238" i="32"/>
  <c r="Q238" i="32"/>
  <c r="B258" i="32" s="1"/>
  <c r="AK238" i="32"/>
  <c r="V258" i="32" s="1"/>
  <c r="Y238" i="32"/>
  <c r="J258" i="32" s="1"/>
  <c r="AI238" i="32"/>
  <c r="T258" i="32" s="1"/>
  <c r="W238" i="32"/>
  <c r="H258" i="32" s="1"/>
  <c r="AG238" i="32"/>
  <c r="R258" i="32" s="1"/>
  <c r="AO240" i="32"/>
  <c r="AA240" i="32"/>
  <c r="AG240" i="32"/>
  <c r="AP348" i="32"/>
  <c r="AE348" i="32"/>
  <c r="U348" i="32"/>
  <c r="AA348" i="32"/>
  <c r="AQ348" i="32"/>
  <c r="Z348" i="32"/>
  <c r="AO348" i="32"/>
  <c r="Y348" i="32"/>
  <c r="J368" i="32" s="1"/>
  <c r="AK348" i="32"/>
  <c r="S348" i="32"/>
  <c r="AG348" i="32"/>
  <c r="AI348" i="32"/>
  <c r="Q348" i="32"/>
  <c r="AL348" i="32"/>
  <c r="V348" i="32"/>
  <c r="Z254" i="32"/>
  <c r="E254" i="32"/>
  <c r="AB254" i="32"/>
  <c r="L254" i="32"/>
  <c r="AQ236" i="32"/>
  <c r="AB256" i="32" s="1"/>
  <c r="AG236" i="32"/>
  <c r="R256" i="32" s="1"/>
  <c r="V236" i="32"/>
  <c r="G256" i="32" s="1"/>
  <c r="AO236" i="32"/>
  <c r="Z256" i="32" s="1"/>
  <c r="AD236" i="32"/>
  <c r="O256" i="32" s="1"/>
  <c r="S236" i="32"/>
  <c r="D256" i="32" s="1"/>
  <c r="AL236" i="32"/>
  <c r="W256" i="32" s="1"/>
  <c r="AA236" i="32"/>
  <c r="L256" i="32" s="1"/>
  <c r="Q236" i="32"/>
  <c r="B256" i="32" s="1"/>
  <c r="AC236" i="32"/>
  <c r="N256" i="32" s="1"/>
  <c r="U238" i="32"/>
  <c r="F258" i="32" s="1"/>
  <c r="AQ238" i="32"/>
  <c r="AB258" i="32" s="1"/>
  <c r="S240" i="32"/>
  <c r="AM240" i="32"/>
  <c r="A289" i="32"/>
  <c r="Y225" i="32"/>
  <c r="J245" i="32" s="1"/>
  <c r="Y229" i="32"/>
  <c r="J249" i="32" s="1"/>
  <c r="W230" i="32"/>
  <c r="H250" i="32" s="1"/>
  <c r="AG230" i="32"/>
  <c r="R250" i="32" s="1"/>
  <c r="AR230" i="32"/>
  <c r="AC250" i="32" s="1"/>
  <c r="Y233" i="32"/>
  <c r="J253" i="32" s="1"/>
  <c r="X234" i="32"/>
  <c r="I254" i="32" s="1"/>
  <c r="AN234" i="32"/>
  <c r="Y254" i="32" s="1"/>
  <c r="AE236" i="32"/>
  <c r="P256" i="32" s="1"/>
  <c r="N258" i="32"/>
  <c r="M258" i="32"/>
  <c r="X238" i="32"/>
  <c r="I258" i="32" s="1"/>
  <c r="AR238" i="32"/>
  <c r="AC258" i="32" s="1"/>
  <c r="V240" i="32"/>
  <c r="AP240" i="32"/>
  <c r="A281" i="32"/>
  <c r="A293" i="32"/>
  <c r="Y334" i="32"/>
  <c r="J354" i="32" s="1"/>
  <c r="AO334" i="32"/>
  <c r="Q334" i="32"/>
  <c r="B354" i="32" s="1"/>
  <c r="AL334" i="32"/>
  <c r="W354" i="32" s="1"/>
  <c r="AG334" i="32"/>
  <c r="R354" i="32" s="1"/>
  <c r="V334" i="32"/>
  <c r="G354" i="32" s="1"/>
  <c r="AL342" i="32"/>
  <c r="W362" i="32" s="1"/>
  <c r="X342" i="32"/>
  <c r="AJ342" i="32"/>
  <c r="U362" i="32" s="1"/>
  <c r="AF342" i="32"/>
  <c r="W342" i="32"/>
  <c r="H362" i="32" s="1"/>
  <c r="AM342" i="32"/>
  <c r="X362" i="32" s="1"/>
  <c r="AH342" i="32"/>
  <c r="S362" i="32" s="1"/>
  <c r="T342" i="32"/>
  <c r="E362" i="32" s="1"/>
  <c r="AQ225" i="32"/>
  <c r="AB245" i="32" s="1"/>
  <c r="AI225" i="32"/>
  <c r="T245" i="32" s="1"/>
  <c r="AA225" i="32"/>
  <c r="L245" i="32" s="1"/>
  <c r="S225" i="32"/>
  <c r="D245" i="32" s="1"/>
  <c r="AM225" i="32"/>
  <c r="X245" i="32" s="1"/>
  <c r="AE225" i="32"/>
  <c r="P245" i="32" s="1"/>
  <c r="W225" i="32"/>
  <c r="H245" i="32" s="1"/>
  <c r="Z225" i="32"/>
  <c r="K245" i="32" s="1"/>
  <c r="AK225" i="32"/>
  <c r="V245" i="32" s="1"/>
  <c r="N247" i="32"/>
  <c r="U247" i="32"/>
  <c r="M247" i="32"/>
  <c r="E247" i="32"/>
  <c r="S247" i="32"/>
  <c r="P247" i="32"/>
  <c r="C247" i="32"/>
  <c r="L247" i="32"/>
  <c r="AM229" i="32"/>
  <c r="X249" i="32" s="1"/>
  <c r="AE229" i="32"/>
  <c r="P249" i="32" s="1"/>
  <c r="W229" i="32"/>
  <c r="H249" i="32" s="1"/>
  <c r="AQ229" i="32"/>
  <c r="AB249" i="32" s="1"/>
  <c r="AI229" i="32"/>
  <c r="T249" i="32" s="1"/>
  <c r="AA229" i="32"/>
  <c r="L249" i="32" s="1"/>
  <c r="S229" i="32"/>
  <c r="D249" i="32" s="1"/>
  <c r="Z229" i="32"/>
  <c r="K249" i="32" s="1"/>
  <c r="AK229" i="32"/>
  <c r="V249" i="32" s="1"/>
  <c r="X230" i="32"/>
  <c r="I250" i="32" s="1"/>
  <c r="AC251" i="32"/>
  <c r="U251" i="32"/>
  <c r="M251" i="32"/>
  <c r="Q251" i="32"/>
  <c r="V251" i="32"/>
  <c r="AQ233" i="32"/>
  <c r="AB253" i="32" s="1"/>
  <c r="AI233" i="32"/>
  <c r="T253" i="32" s="1"/>
  <c r="AA233" i="32"/>
  <c r="L253" i="32" s="1"/>
  <c r="S233" i="32"/>
  <c r="D253" i="32" s="1"/>
  <c r="AM233" i="32"/>
  <c r="X253" i="32" s="1"/>
  <c r="AE233" i="32"/>
  <c r="P253" i="32" s="1"/>
  <c r="W233" i="32"/>
  <c r="H253" i="32" s="1"/>
  <c r="Z233" i="32"/>
  <c r="K253" i="32" s="1"/>
  <c r="AK233" i="32"/>
  <c r="V253" i="32" s="1"/>
  <c r="Y234" i="32"/>
  <c r="J254" i="32" s="1"/>
  <c r="AR236" i="32"/>
  <c r="AC256" i="32" s="1"/>
  <c r="AH236" i="32"/>
  <c r="S256" i="32" s="1"/>
  <c r="AA238" i="32"/>
  <c r="L258" i="32" s="1"/>
  <c r="W240" i="32"/>
  <c r="B247" i="32"/>
  <c r="W247" i="32"/>
  <c r="D251" i="32"/>
  <c r="W251" i="32"/>
  <c r="AL230" i="32"/>
  <c r="W250" i="32" s="1"/>
  <c r="AD230" i="32"/>
  <c r="O250" i="32" s="1"/>
  <c r="V230" i="32"/>
  <c r="G250" i="32" s="1"/>
  <c r="AP230" i="32"/>
  <c r="AA250" i="32" s="1"/>
  <c r="AH230" i="32"/>
  <c r="S250" i="32" s="1"/>
  <c r="Z230" i="32"/>
  <c r="K250" i="32" s="1"/>
  <c r="R230" i="32"/>
  <c r="C250" i="32" s="1"/>
  <c r="AA230" i="32"/>
  <c r="L250" i="32" s="1"/>
  <c r="AK230" i="32"/>
  <c r="V250" i="32" s="1"/>
  <c r="R252" i="32"/>
  <c r="AL234" i="32"/>
  <c r="W254" i="32" s="1"/>
  <c r="AD234" i="32"/>
  <c r="O254" i="32" s="1"/>
  <c r="AP234" i="32"/>
  <c r="AA254" i="32" s="1"/>
  <c r="AH234" i="32"/>
  <c r="S254" i="32" s="1"/>
  <c r="Z234" i="32"/>
  <c r="K254" i="32" s="1"/>
  <c r="R234" i="32"/>
  <c r="C254" i="32" s="1"/>
  <c r="AM234" i="32"/>
  <c r="X254" i="32" s="1"/>
  <c r="AB234" i="32"/>
  <c r="M254" i="32" s="1"/>
  <c r="S234" i="32"/>
  <c r="D254" i="32" s="1"/>
  <c r="AJ234" i="32"/>
  <c r="U254" i="32" s="1"/>
  <c r="AR234" i="32"/>
  <c r="AC254" i="32" s="1"/>
  <c r="AG234" i="32"/>
  <c r="R254" i="32" s="1"/>
  <c r="W234" i="32"/>
  <c r="H254" i="32" s="1"/>
  <c r="AC234" i="32"/>
  <c r="N254" i="32" s="1"/>
  <c r="U236" i="32"/>
  <c r="F256" i="32" s="1"/>
  <c r="AK236" i="32"/>
  <c r="V256" i="32" s="1"/>
  <c r="AF238" i="32"/>
  <c r="Q258" i="32" s="1"/>
  <c r="AD240" i="32"/>
  <c r="O260" i="32" s="1"/>
  <c r="H247" i="32"/>
  <c r="A294" i="32"/>
  <c r="A282" i="32"/>
  <c r="V342" i="32"/>
  <c r="X232" i="32"/>
  <c r="I252" i="32" s="1"/>
  <c r="AF232" i="32"/>
  <c r="Q252" i="32" s="1"/>
  <c r="AN232" i="32"/>
  <c r="Y252" i="32" s="1"/>
  <c r="AK240" i="32"/>
  <c r="AC240" i="32"/>
  <c r="U240" i="32"/>
  <c r="Y240" i="32"/>
  <c r="J260" i="32" s="1"/>
  <c r="AL240" i="32"/>
  <c r="A290" i="32"/>
  <c r="A278" i="32"/>
  <c r="F252" i="32"/>
  <c r="AR335" i="32"/>
  <c r="AC355" i="32" s="1"/>
  <c r="AJ335" i="32"/>
  <c r="U355" i="32" s="1"/>
  <c r="AI335" i="32"/>
  <c r="T355" i="32" s="1"/>
  <c r="AA335" i="32"/>
  <c r="L355" i="32" s="1"/>
  <c r="S335" i="32"/>
  <c r="AQ335" i="32"/>
  <c r="AB355" i="32" s="1"/>
  <c r="AH335" i="32"/>
  <c r="S355" i="32" s="1"/>
  <c r="Z335" i="32"/>
  <c r="R335" i="32"/>
  <c r="AP335" i="32"/>
  <c r="AG335" i="32"/>
  <c r="Y335" i="32"/>
  <c r="Q335" i="32"/>
  <c r="B355" i="32" s="1"/>
  <c r="AN335" i="32"/>
  <c r="Y355" i="32" s="1"/>
  <c r="AE335" i="32"/>
  <c r="W335" i="32"/>
  <c r="H355" i="32" s="1"/>
  <c r="AC335" i="32"/>
  <c r="N355" i="32" s="1"/>
  <c r="AO335" i="32"/>
  <c r="X335" i="32"/>
  <c r="AL335" i="32"/>
  <c r="U335" i="32"/>
  <c r="AK335" i="32"/>
  <c r="V355" i="32" s="1"/>
  <c r="AB335" i="32"/>
  <c r="M355" i="32" s="1"/>
  <c r="V335" i="32"/>
  <c r="G355" i="32" s="1"/>
  <c r="T363" i="32"/>
  <c r="AJ350" i="32"/>
  <c r="U370" i="32" s="1"/>
  <c r="T350" i="32"/>
  <c r="E370" i="32" s="1"/>
  <c r="AG350" i="32"/>
  <c r="R370" i="32" s="1"/>
  <c r="Q350" i="32"/>
  <c r="B370" i="32" s="1"/>
  <c r="AF350" i="32"/>
  <c r="Q370" i="32" s="1"/>
  <c r="AB350" i="32"/>
  <c r="M370" i="32" s="1"/>
  <c r="AO350" i="32"/>
  <c r="W350" i="32"/>
  <c r="H370" i="32" s="1"/>
  <c r="AM350" i="32"/>
  <c r="X370" i="32" s="1"/>
  <c r="Y350" i="32"/>
  <c r="J370" i="32" s="1"/>
  <c r="AR350" i="32"/>
  <c r="AE350" i="32"/>
  <c r="AN240" i="32"/>
  <c r="A295" i="32"/>
  <c r="A283" i="32"/>
  <c r="AL341" i="32"/>
  <c r="W361" i="32" s="1"/>
  <c r="AD341" i="32"/>
  <c r="O361" i="32" s="1"/>
  <c r="V341" i="32"/>
  <c r="G361" i="32" s="1"/>
  <c r="AR341" i="32"/>
  <c r="AC361" i="32" s="1"/>
  <c r="AJ341" i="32"/>
  <c r="U361" i="32" s="1"/>
  <c r="AB341" i="32"/>
  <c r="M361" i="32" s="1"/>
  <c r="T341" i="32"/>
  <c r="E361" i="32" s="1"/>
  <c r="AP341" i="32"/>
  <c r="AH341" i="32"/>
  <c r="S361" i="32" s="1"/>
  <c r="Z341" i="32"/>
  <c r="K361" i="32" s="1"/>
  <c r="R341" i="32"/>
  <c r="AN341" i="32"/>
  <c r="AA341" i="32"/>
  <c r="AM341" i="32"/>
  <c r="X361" i="32" s="1"/>
  <c r="Y341" i="32"/>
  <c r="J361" i="32" s="1"/>
  <c r="AK341" i="32"/>
  <c r="V361" i="32" s="1"/>
  <c r="X341" i="32"/>
  <c r="I361" i="32" s="1"/>
  <c r="AG341" i="32"/>
  <c r="R361" i="32" s="1"/>
  <c r="U341" i="32"/>
  <c r="AE341" i="32"/>
  <c r="P361" i="32" s="1"/>
  <c r="W341" i="32"/>
  <c r="H361" i="32" s="1"/>
  <c r="AQ341" i="32"/>
  <c r="AB361" i="32" s="1"/>
  <c r="Q341" i="32"/>
  <c r="B361" i="32" s="1"/>
  <c r="AC341" i="32"/>
  <c r="N361" i="32" s="1"/>
  <c r="A400" i="32"/>
  <c r="A388" i="32"/>
  <c r="X228" i="32"/>
  <c r="AF228" i="32"/>
  <c r="AC252" i="32"/>
  <c r="T232" i="32"/>
  <c r="E252" i="32" s="1"/>
  <c r="AB232" i="32"/>
  <c r="M252" i="32" s="1"/>
  <c r="AJ232" i="32"/>
  <c r="U252" i="32" s="1"/>
  <c r="R240" i="32"/>
  <c r="AE240" i="32"/>
  <c r="AQ240" i="32"/>
  <c r="K252" i="32"/>
  <c r="AE334" i="32"/>
  <c r="P354" i="32" s="1"/>
  <c r="AM335" i="32"/>
  <c r="X355" i="32" s="1"/>
  <c r="AF341" i="32"/>
  <c r="X236" i="32"/>
  <c r="I256" i="32" s="1"/>
  <c r="AF236" i="32"/>
  <c r="Q256" i="32" s="1"/>
  <c r="AN236" i="32"/>
  <c r="Y256" i="32" s="1"/>
  <c r="T240" i="32"/>
  <c r="AB240" i="32"/>
  <c r="AJ240" i="32"/>
  <c r="AR240" i="32"/>
  <c r="H261" i="32"/>
  <c r="X261" i="32"/>
  <c r="Z336" i="32"/>
  <c r="K356" i="32" s="1"/>
  <c r="AP336" i="32"/>
  <c r="AA356" i="32" s="1"/>
  <c r="W336" i="32"/>
  <c r="H356" i="32" s="1"/>
  <c r="AJ336" i="32"/>
  <c r="U356" i="32" s="1"/>
  <c r="Q336" i="32"/>
  <c r="B356" i="32" s="1"/>
  <c r="AO336" i="32"/>
  <c r="Z356" i="32" s="1"/>
  <c r="AM340" i="32"/>
  <c r="AE340" i="32"/>
  <c r="W340" i="32"/>
  <c r="H360" i="32" s="1"/>
  <c r="AK340" i="32"/>
  <c r="V360" i="32" s="1"/>
  <c r="AC340" i="32"/>
  <c r="N360" i="32" s="1"/>
  <c r="U340" i="32"/>
  <c r="F360" i="32" s="1"/>
  <c r="AQ340" i="32"/>
  <c r="AB360" i="32" s="1"/>
  <c r="AI340" i="32"/>
  <c r="T360" i="32" s="1"/>
  <c r="AA340" i="32"/>
  <c r="S340" i="32"/>
  <c r="D360" i="32" s="1"/>
  <c r="AL340" i="32"/>
  <c r="W360" i="32" s="1"/>
  <c r="Y340" i="32"/>
  <c r="J360" i="32" s="1"/>
  <c r="AJ340" i="32"/>
  <c r="U360" i="32" s="1"/>
  <c r="X340" i="32"/>
  <c r="I360" i="32" s="1"/>
  <c r="AH340" i="32"/>
  <c r="S360" i="32" s="1"/>
  <c r="V340" i="32"/>
  <c r="G360" i="32" s="1"/>
  <c r="AR340" i="32"/>
  <c r="AC360" i="32" s="1"/>
  <c r="AF340" i="32"/>
  <c r="Q360" i="32" s="1"/>
  <c r="R340" i="32"/>
  <c r="C360" i="32" s="1"/>
  <c r="Z340" i="32"/>
  <c r="K360" i="32" s="1"/>
  <c r="AP340" i="32"/>
  <c r="AA360" i="32" s="1"/>
  <c r="Q340" i="32"/>
  <c r="AN340" i="32"/>
  <c r="G362" i="32"/>
  <c r="Q362" i="32"/>
  <c r="K362" i="32"/>
  <c r="I362" i="32"/>
  <c r="AR336" i="32"/>
  <c r="AC356" i="32" s="1"/>
  <c r="AE338" i="32"/>
  <c r="P358" i="32" s="1"/>
  <c r="AA338" i="32"/>
  <c r="L358" i="32" s="1"/>
  <c r="AQ338" i="32"/>
  <c r="T340" i="32"/>
  <c r="T236" i="32"/>
  <c r="E256" i="32" s="1"/>
  <c r="AB236" i="32"/>
  <c r="M256" i="32" s="1"/>
  <c r="AJ236" i="32"/>
  <c r="U256" i="32" s="1"/>
  <c r="X240" i="32"/>
  <c r="AF240" i="32"/>
  <c r="Q260" i="32" s="1"/>
  <c r="D261" i="32"/>
  <c r="T261" i="32"/>
  <c r="X336" i="32"/>
  <c r="I356" i="32" s="1"/>
  <c r="T338" i="32"/>
  <c r="E358" i="32" s="1"/>
  <c r="AG340" i="32"/>
  <c r="R360" i="32" s="1"/>
  <c r="AN342" i="32"/>
  <c r="Y362" i="32" s="1"/>
  <c r="W334" i="32"/>
  <c r="AM334" i="32"/>
  <c r="X354" i="32" s="1"/>
  <c r="AP343" i="32"/>
  <c r="AA363" i="32" s="1"/>
  <c r="AH343" i="32"/>
  <c r="Z343" i="32"/>
  <c r="R343" i="32"/>
  <c r="C363" i="32" s="1"/>
  <c r="AG343" i="32"/>
  <c r="R363" i="32" s="1"/>
  <c r="U343" i="32"/>
  <c r="F363" i="32" s="1"/>
  <c r="AE343" i="32"/>
  <c r="P363" i="32" s="1"/>
  <c r="S343" i="32"/>
  <c r="D363" i="32" s="1"/>
  <c r="AQ343" i="32"/>
  <c r="AB363" i="32" s="1"/>
  <c r="AD343" i="32"/>
  <c r="Q343" i="32"/>
  <c r="AM343" i="32"/>
  <c r="X363" i="32" s="1"/>
  <c r="AA343" i="32"/>
  <c r="L363" i="32" s="1"/>
  <c r="AK343" i="32"/>
  <c r="V363" i="32" s="1"/>
  <c r="AA365" i="32"/>
  <c r="P365" i="32"/>
  <c r="Z365" i="32"/>
  <c r="T365" i="32"/>
  <c r="AC334" i="32"/>
  <c r="N354" i="32" s="1"/>
  <c r="E355" i="32"/>
  <c r="J355" i="32"/>
  <c r="AA355" i="32"/>
  <c r="F355" i="32"/>
  <c r="AI339" i="32"/>
  <c r="T359" i="32" s="1"/>
  <c r="W339" i="32"/>
  <c r="H359" i="32" s="1"/>
  <c r="AH339" i="32"/>
  <c r="U339" i="32"/>
  <c r="F359" i="32" s="1"/>
  <c r="AG339" i="32"/>
  <c r="R359" i="32" s="1"/>
  <c r="S339" i="32"/>
  <c r="D359" i="32" s="1"/>
  <c r="AP339" i="32"/>
  <c r="AC339" i="32"/>
  <c r="N359" i="32" s="1"/>
  <c r="Q339" i="32"/>
  <c r="B359" i="32" s="1"/>
  <c r="AM339" i="32"/>
  <c r="X359" i="32" s="1"/>
  <c r="AR334" i="32"/>
  <c r="AC354" i="32" s="1"/>
  <c r="AO338" i="32"/>
  <c r="Z358" i="32" s="1"/>
  <c r="AG338" i="32"/>
  <c r="R358" i="32" s="1"/>
  <c r="Y338" i="32"/>
  <c r="J358" i="32" s="1"/>
  <c r="Q338" i="32"/>
  <c r="B358" i="32" s="1"/>
  <c r="AM338" i="32"/>
  <c r="X358" i="32" s="1"/>
  <c r="AK338" i="32"/>
  <c r="AC338" i="32"/>
  <c r="N358" i="32" s="1"/>
  <c r="U338" i="32"/>
  <c r="F358" i="32" s="1"/>
  <c r="AI338" i="32"/>
  <c r="T358" i="32" s="1"/>
  <c r="X338" i="32"/>
  <c r="I358" i="32" s="1"/>
  <c r="AH338" i="32"/>
  <c r="S358" i="32" s="1"/>
  <c r="W338" i="32"/>
  <c r="H358" i="32" s="1"/>
  <c r="AR338" i="32"/>
  <c r="AC358" i="32" s="1"/>
  <c r="AF338" i="32"/>
  <c r="Q358" i="32" s="1"/>
  <c r="V338" i="32"/>
  <c r="G358" i="32" s="1"/>
  <c r="AP338" i="32"/>
  <c r="AA358" i="32" s="1"/>
  <c r="AD338" i="32"/>
  <c r="O358" i="32" s="1"/>
  <c r="S338" i="32"/>
  <c r="D358" i="32" s="1"/>
  <c r="AL338" i="32"/>
  <c r="W358" i="32" s="1"/>
  <c r="R339" i="32"/>
  <c r="C359" i="32" s="1"/>
  <c r="AQ339" i="32"/>
  <c r="AB359" i="32" s="1"/>
  <c r="W343" i="32"/>
  <c r="H363" i="32" s="1"/>
  <c r="AN348" i="32"/>
  <c r="AP349" i="32"/>
  <c r="AF349" i="32"/>
  <c r="U349" i="32"/>
  <c r="AN349" i="32"/>
  <c r="Y369" i="32" s="1"/>
  <c r="AC349" i="32"/>
  <c r="R349" i="32"/>
  <c r="AB349" i="32"/>
  <c r="P370" i="32"/>
  <c r="AC370" i="32"/>
  <c r="X334" i="32"/>
  <c r="I354" i="32" s="1"/>
  <c r="AF334" i="32"/>
  <c r="Q354" i="32" s="1"/>
  <c r="AN334" i="32"/>
  <c r="Y354" i="32" s="1"/>
  <c r="AQ336" i="32"/>
  <c r="AB356" i="32" s="1"/>
  <c r="AI336" i="32"/>
  <c r="T356" i="32" s="1"/>
  <c r="AA336" i="32"/>
  <c r="L356" i="32" s="1"/>
  <c r="S336" i="32"/>
  <c r="D356" i="32" s="1"/>
  <c r="AM336" i="32"/>
  <c r="Y336" i="32"/>
  <c r="J356" i="32" s="1"/>
  <c r="AH336" i="32"/>
  <c r="S356" i="32" s="1"/>
  <c r="W366" i="32"/>
  <c r="S366" i="32"/>
  <c r="E366" i="32"/>
  <c r="D366" i="32"/>
  <c r="C366" i="32"/>
  <c r="T366" i="32"/>
  <c r="AG349" i="32"/>
  <c r="A397" i="32"/>
  <c r="A385" i="32"/>
  <c r="R334" i="32"/>
  <c r="C354" i="32" s="1"/>
  <c r="Z334" i="32"/>
  <c r="K354" i="32" s="1"/>
  <c r="AH334" i="32"/>
  <c r="S354" i="32" s="1"/>
  <c r="AP334" i="32"/>
  <c r="AA354" i="32" s="1"/>
  <c r="R336" i="32"/>
  <c r="C356" i="32" s="1"/>
  <c r="AB336" i="32"/>
  <c r="M356" i="32" s="1"/>
  <c r="AK336" i="32"/>
  <c r="V356" i="32" s="1"/>
  <c r="X337" i="32"/>
  <c r="AI337" i="32"/>
  <c r="V358" i="32"/>
  <c r="AB358" i="32"/>
  <c r="K358" i="32"/>
  <c r="L360" i="32"/>
  <c r="B360" i="32"/>
  <c r="Y360" i="32"/>
  <c r="X360" i="32"/>
  <c r="P360" i="32"/>
  <c r="AB342" i="32"/>
  <c r="M362" i="32" s="1"/>
  <c r="Z346" i="32"/>
  <c r="K366" i="32" s="1"/>
  <c r="AD347" i="32"/>
  <c r="O367" i="32" s="1"/>
  <c r="T349" i="32"/>
  <c r="AJ349" i="32"/>
  <c r="AI350" i="32"/>
  <c r="T370" i="32" s="1"/>
  <c r="H354" i="32"/>
  <c r="E360" i="32"/>
  <c r="S334" i="32"/>
  <c r="D354" i="32" s="1"/>
  <c r="AA334" i="32"/>
  <c r="L354" i="32" s="1"/>
  <c r="AI334" i="32"/>
  <c r="T354" i="32" s="1"/>
  <c r="AQ334" i="32"/>
  <c r="AB354" i="32" s="1"/>
  <c r="T336" i="32"/>
  <c r="E356" i="32" s="1"/>
  <c r="AC336" i="32"/>
  <c r="N356" i="32" s="1"/>
  <c r="AL336" i="32"/>
  <c r="W356" i="32" s="1"/>
  <c r="Y337" i="32"/>
  <c r="AK342" i="32"/>
  <c r="V362" i="32" s="1"/>
  <c r="AC342" i="32"/>
  <c r="N362" i="32" s="1"/>
  <c r="U342" i="32"/>
  <c r="F362" i="32" s="1"/>
  <c r="AQ342" i="32"/>
  <c r="AB362" i="32" s="1"/>
  <c r="AI342" i="32"/>
  <c r="T362" i="32" s="1"/>
  <c r="AA342" i="32"/>
  <c r="L362" i="32" s="1"/>
  <c r="S342" i="32"/>
  <c r="D362" i="32" s="1"/>
  <c r="AO342" i="32"/>
  <c r="Z362" i="32" s="1"/>
  <c r="AG342" i="32"/>
  <c r="R362" i="32" s="1"/>
  <c r="Y342" i="32"/>
  <c r="J362" i="32" s="1"/>
  <c r="Q342" i="32"/>
  <c r="B362" i="32" s="1"/>
  <c r="AD342" i="32"/>
  <c r="O362" i="32" s="1"/>
  <c r="AP342" i="32"/>
  <c r="AA362" i="32" s="1"/>
  <c r="V349" i="32"/>
  <c r="AL349" i="32"/>
  <c r="A389" i="32"/>
  <c r="A401" i="32"/>
  <c r="Z354" i="32"/>
  <c r="V354" i="32"/>
  <c r="F354" i="32"/>
  <c r="T334" i="32"/>
  <c r="E354" i="32" s="1"/>
  <c r="AB334" i="32"/>
  <c r="M354" i="32" s="1"/>
  <c r="AJ334" i="32"/>
  <c r="U354" i="32" s="1"/>
  <c r="R356" i="32"/>
  <c r="X356" i="32"/>
  <c r="U336" i="32"/>
  <c r="F356" i="32" s="1"/>
  <c r="AD336" i="32"/>
  <c r="O356" i="32" s="1"/>
  <c r="AN336" i="32"/>
  <c r="Y356" i="32" s="1"/>
  <c r="AP337" i="32"/>
  <c r="AH337" i="32"/>
  <c r="Z337" i="32"/>
  <c r="R337" i="32"/>
  <c r="AL337" i="32"/>
  <c r="AD337" i="32"/>
  <c r="V337" i="32"/>
  <c r="AA337" i="32"/>
  <c r="AK337" i="32"/>
  <c r="R342" i="32"/>
  <c r="C362" i="32" s="1"/>
  <c r="AE342" i="32"/>
  <c r="P362" i="32" s="1"/>
  <c r="AR342" i="32"/>
  <c r="AC362" i="32" s="1"/>
  <c r="AA345" i="32"/>
  <c r="L365" i="32" s="1"/>
  <c r="AO346" i="32"/>
  <c r="Z366" i="32" s="1"/>
  <c r="AG346" i="32"/>
  <c r="R366" i="32" s="1"/>
  <c r="Y346" i="32"/>
  <c r="J366" i="32" s="1"/>
  <c r="Q346" i="32"/>
  <c r="B366" i="32" s="1"/>
  <c r="AM346" i="32"/>
  <c r="X366" i="32" s="1"/>
  <c r="AE346" i="32"/>
  <c r="P366" i="32" s="1"/>
  <c r="W346" i="32"/>
  <c r="H366" i="32" s="1"/>
  <c r="AK346" i="32"/>
  <c r="V366" i="32" s="1"/>
  <c r="AC346" i="32"/>
  <c r="N366" i="32" s="1"/>
  <c r="U346" i="32"/>
  <c r="F366" i="32" s="1"/>
  <c r="AB346" i="32"/>
  <c r="M366" i="32" s="1"/>
  <c r="AP346" i="32"/>
  <c r="AA366" i="32" s="1"/>
  <c r="R347" i="32"/>
  <c r="C367" i="32" s="1"/>
  <c r="AH348" i="32"/>
  <c r="X349" i="32"/>
  <c r="AO349" i="32"/>
  <c r="AC366" i="32"/>
  <c r="Z370" i="32"/>
  <c r="AA359" i="32"/>
  <c r="S359" i="32"/>
  <c r="K359" i="32"/>
  <c r="Y359" i="32"/>
  <c r="V359" i="32"/>
  <c r="T339" i="32"/>
  <c r="E359" i="32" s="1"/>
  <c r="AB339" i="32"/>
  <c r="M359" i="32" s="1"/>
  <c r="AJ339" i="32"/>
  <c r="U359" i="32" s="1"/>
  <c r="AR339" i="32"/>
  <c r="AC359" i="32" s="1"/>
  <c r="X343" i="32"/>
  <c r="I363" i="32" s="1"/>
  <c r="AF343" i="32"/>
  <c r="Q363" i="32" s="1"/>
  <c r="AN343" i="32"/>
  <c r="Y363" i="32" s="1"/>
  <c r="V345" i="32"/>
  <c r="G365" i="32" s="1"/>
  <c r="AD345" i="32"/>
  <c r="O365" i="32" s="1"/>
  <c r="AL345" i="32"/>
  <c r="W365" i="32" s="1"/>
  <c r="AA367" i="32"/>
  <c r="H367" i="32"/>
  <c r="X367" i="32"/>
  <c r="M367" i="32"/>
  <c r="D367" i="32"/>
  <c r="U367" i="32"/>
  <c r="AC367" i="32"/>
  <c r="T367" i="32"/>
  <c r="V347" i="32"/>
  <c r="G367" i="32" s="1"/>
  <c r="AF347" i="32"/>
  <c r="Q367" i="32" s="1"/>
  <c r="R348" i="32"/>
  <c r="AC348" i="32"/>
  <c r="AM348" i="32"/>
  <c r="AM349" i="32"/>
  <c r="AE349" i="32"/>
  <c r="W349" i="32"/>
  <c r="H369" i="32" s="1"/>
  <c r="AQ349" i="32"/>
  <c r="AI349" i="32"/>
  <c r="AA349" i="32"/>
  <c r="S349" i="32"/>
  <c r="Z349" i="32"/>
  <c r="AK349" i="32"/>
  <c r="X350" i="32"/>
  <c r="I370" i="32" s="1"/>
  <c r="V339" i="32"/>
  <c r="G359" i="32" s="1"/>
  <c r="AD339" i="32"/>
  <c r="O359" i="32" s="1"/>
  <c r="Y361" i="32"/>
  <c r="Q361" i="32"/>
  <c r="T361" i="32"/>
  <c r="L361" i="32"/>
  <c r="AA361" i="32"/>
  <c r="C361" i="32"/>
  <c r="X345" i="32"/>
  <c r="I365" i="32" s="1"/>
  <c r="AF345" i="32"/>
  <c r="Q365" i="32" s="1"/>
  <c r="AN345" i="32"/>
  <c r="Y365" i="32" s="1"/>
  <c r="X347" i="32"/>
  <c r="I367" i="32" s="1"/>
  <c r="AL350" i="32"/>
  <c r="W370" i="32" s="1"/>
  <c r="AD350" i="32"/>
  <c r="O370" i="32" s="1"/>
  <c r="V350" i="32"/>
  <c r="G370" i="32" s="1"/>
  <c r="AQ350" i="32"/>
  <c r="AB370" i="32" s="1"/>
  <c r="AP350" i="32"/>
  <c r="AA370" i="32" s="1"/>
  <c r="AH350" i="32"/>
  <c r="S370" i="32" s="1"/>
  <c r="Z350" i="32"/>
  <c r="K370" i="32" s="1"/>
  <c r="R350" i="32"/>
  <c r="C370" i="32" s="1"/>
  <c r="AA350" i="32"/>
  <c r="L370" i="32" s="1"/>
  <c r="AK350" i="32"/>
  <c r="V370" i="32" s="1"/>
  <c r="A386" i="32"/>
  <c r="A398" i="32"/>
  <c r="F361" i="32"/>
  <c r="S367" i="32"/>
  <c r="X339" i="32"/>
  <c r="I359" i="32" s="1"/>
  <c r="AF339" i="32"/>
  <c r="Q359" i="32" s="1"/>
  <c r="W363" i="32"/>
  <c r="O363" i="32"/>
  <c r="AC363" i="32"/>
  <c r="S363" i="32"/>
  <c r="K363" i="32"/>
  <c r="Z363" i="32"/>
  <c r="J363" i="32"/>
  <c r="B363" i="32"/>
  <c r="T343" i="32"/>
  <c r="E363" i="32" s="1"/>
  <c r="AB343" i="32"/>
  <c r="M363" i="32" s="1"/>
  <c r="AJ343" i="32"/>
  <c r="U363" i="32" s="1"/>
  <c r="R345" i="32"/>
  <c r="C365" i="32" s="1"/>
  <c r="Z345" i="32"/>
  <c r="K365" i="32" s="1"/>
  <c r="AH345" i="32"/>
  <c r="S365" i="32" s="1"/>
  <c r="AO347" i="32"/>
  <c r="Z367" i="32" s="1"/>
  <c r="AG347" i="32"/>
  <c r="R367" i="32" s="1"/>
  <c r="Y347" i="32"/>
  <c r="J367" i="32" s="1"/>
  <c r="Q347" i="32"/>
  <c r="B367" i="32" s="1"/>
  <c r="AK347" i="32"/>
  <c r="V367" i="32" s="1"/>
  <c r="AC347" i="32"/>
  <c r="N367" i="32" s="1"/>
  <c r="U347" i="32"/>
  <c r="F367" i="32" s="1"/>
  <c r="AA347" i="32"/>
  <c r="L367" i="32" s="1"/>
  <c r="AL347" i="32"/>
  <c r="W367" i="32" s="1"/>
  <c r="W348" i="32"/>
  <c r="H368" i="32" s="1"/>
  <c r="Q369" i="32"/>
  <c r="S350" i="32"/>
  <c r="D370" i="32" s="1"/>
  <c r="AC350" i="32"/>
  <c r="N370" i="32" s="1"/>
  <c r="AN350" i="32"/>
  <c r="Y370" i="32" s="1"/>
  <c r="Y367" i="32"/>
  <c r="T348" i="32"/>
  <c r="AB348" i="32"/>
  <c r="AJ348" i="32"/>
  <c r="AR348" i="32"/>
  <c r="A404" i="32"/>
  <c r="A392" i="32"/>
  <c r="A402" i="32"/>
  <c r="A390" i="32"/>
  <c r="L368" i="32"/>
  <c r="X348" i="32"/>
  <c r="AF348" i="32"/>
  <c r="Q368" i="32" s="1"/>
  <c r="O368" i="32"/>
  <c r="A403" i="32"/>
  <c r="A391" i="32"/>
  <c r="I152" i="32" l="1"/>
  <c r="I259" i="32"/>
  <c r="I369" i="32"/>
  <c r="I151" i="32"/>
  <c r="B369" i="32"/>
  <c r="B151" i="32"/>
  <c r="B368" i="32"/>
  <c r="F259" i="32"/>
  <c r="I368" i="32"/>
  <c r="F369" i="32"/>
  <c r="I260" i="32"/>
  <c r="K259" i="32"/>
  <c r="D355" i="32"/>
  <c r="W355" i="32"/>
  <c r="Q259" i="32"/>
  <c r="Z246" i="32"/>
  <c r="Z265" i="32" s="1"/>
  <c r="L369" i="32"/>
  <c r="P355" i="32"/>
  <c r="P386" i="32" s="1"/>
  <c r="I355" i="32"/>
  <c r="I386" i="32" s="1"/>
  <c r="H152" i="32"/>
  <c r="Y45" i="32"/>
  <c r="U369" i="32"/>
  <c r="K369" i="32"/>
  <c r="P32" i="32"/>
  <c r="Z355" i="32"/>
  <c r="F260" i="32"/>
  <c r="F45" i="32"/>
  <c r="H260" i="32"/>
  <c r="R355" i="32"/>
  <c r="R386" i="32" s="1"/>
  <c r="O259" i="32"/>
  <c r="D259" i="32"/>
  <c r="AB46" i="32"/>
  <c r="D46" i="32"/>
  <c r="K260" i="32"/>
  <c r="F368" i="32"/>
  <c r="Q46" i="32"/>
  <c r="C355" i="32"/>
  <c r="C398" i="32" s="1"/>
  <c r="AB259" i="32"/>
  <c r="K46" i="32"/>
  <c r="B260" i="32"/>
  <c r="K355" i="32"/>
  <c r="K152" i="32"/>
  <c r="W151" i="32"/>
  <c r="W368" i="32"/>
  <c r="C369" i="32"/>
  <c r="C152" i="32"/>
  <c r="C151" i="32"/>
  <c r="E368" i="32"/>
  <c r="C368" i="32"/>
  <c r="G246" i="32"/>
  <c r="G277" i="32" s="1"/>
  <c r="M246" i="32"/>
  <c r="U32" i="32"/>
  <c r="E369" i="32"/>
  <c r="E260" i="32"/>
  <c r="D368" i="32"/>
  <c r="P246" i="32"/>
  <c r="P265" i="32" s="1"/>
  <c r="H246" i="32"/>
  <c r="H289" i="32" s="1"/>
  <c r="W246" i="32"/>
  <c r="W265" i="32" s="1"/>
  <c r="L246" i="32"/>
  <c r="L277" i="32" s="1"/>
  <c r="Y246" i="32"/>
  <c r="Y265" i="32" s="1"/>
  <c r="AB246" i="32"/>
  <c r="C260" i="32"/>
  <c r="D260" i="32"/>
  <c r="R246" i="32"/>
  <c r="C246" i="32"/>
  <c r="X246" i="32"/>
  <c r="X265" i="32" s="1"/>
  <c r="D246" i="32"/>
  <c r="D289" i="32" s="1"/>
  <c r="D152" i="32"/>
  <c r="AC246" i="32"/>
  <c r="K246" i="32"/>
  <c r="K289" i="32" s="1"/>
  <c r="B246" i="32"/>
  <c r="B265" i="32" s="1"/>
  <c r="E152" i="32"/>
  <c r="F46" i="32"/>
  <c r="W369" i="32"/>
  <c r="I246" i="32"/>
  <c r="I289" i="32" s="1"/>
  <c r="S246" i="32"/>
  <c r="S289" i="32" s="1"/>
  <c r="J246" i="32"/>
  <c r="J289" i="32" s="1"/>
  <c r="E151" i="32"/>
  <c r="W260" i="32"/>
  <c r="T246" i="32"/>
  <c r="T289" i="32" s="1"/>
  <c r="AA246" i="32"/>
  <c r="U246" i="32"/>
  <c r="U265" i="32" s="1"/>
  <c r="Q246" i="32"/>
  <c r="Q265" i="32" s="1"/>
  <c r="D369" i="32"/>
  <c r="V246" i="32"/>
  <c r="V289" i="32" s="1"/>
  <c r="E259" i="32"/>
  <c r="F246" i="32"/>
  <c r="F289" i="32" s="1"/>
  <c r="C46" i="32"/>
  <c r="F138" i="32"/>
  <c r="F157" i="32" s="1"/>
  <c r="AC369" i="32"/>
  <c r="AC45" i="32"/>
  <c r="AC259" i="32"/>
  <c r="M260" i="32"/>
  <c r="B32" i="32"/>
  <c r="B51" i="32" s="1"/>
  <c r="R32" i="32"/>
  <c r="R63" i="32" s="1"/>
  <c r="M369" i="32"/>
  <c r="T259" i="32"/>
  <c r="T260" i="32"/>
  <c r="L46" i="32"/>
  <c r="M368" i="32"/>
  <c r="M259" i="32"/>
  <c r="AC152" i="32"/>
  <c r="E32" i="32"/>
  <c r="E63" i="32" s="1"/>
  <c r="X368" i="32"/>
  <c r="AB152" i="32"/>
  <c r="O46" i="32"/>
  <c r="AC368" i="32"/>
  <c r="T368" i="32"/>
  <c r="AA152" i="32"/>
  <c r="D32" i="32"/>
  <c r="D51" i="32" s="1"/>
  <c r="AC260" i="32"/>
  <c r="T369" i="32"/>
  <c r="N369" i="32"/>
  <c r="N151" i="32"/>
  <c r="N260" i="32"/>
  <c r="P292" i="32"/>
  <c r="N368" i="32"/>
  <c r="K32" i="32"/>
  <c r="K75" i="32" s="1"/>
  <c r="N259" i="32"/>
  <c r="H45" i="32"/>
  <c r="N45" i="32"/>
  <c r="L32" i="32"/>
  <c r="L63" i="32" s="1"/>
  <c r="S32" i="32"/>
  <c r="H32" i="32"/>
  <c r="X32" i="32"/>
  <c r="X75" i="32" s="1"/>
  <c r="Y32" i="32"/>
  <c r="Y51" i="32" s="1"/>
  <c r="O138" i="32"/>
  <c r="O181" i="32" s="1"/>
  <c r="W32" i="32"/>
  <c r="W75" i="32" s="1"/>
  <c r="AC32" i="32"/>
  <c r="AC63" i="32" s="1"/>
  <c r="AA32" i="32"/>
  <c r="AA75" i="32" s="1"/>
  <c r="O32" i="32"/>
  <c r="Z32" i="32"/>
  <c r="Z75" i="32" s="1"/>
  <c r="N32" i="32"/>
  <c r="N75" i="32" s="1"/>
  <c r="Q32" i="32"/>
  <c r="Q63" i="32" s="1"/>
  <c r="G32" i="32"/>
  <c r="G51" i="32" s="1"/>
  <c r="F32" i="32"/>
  <c r="F75" i="32" s="1"/>
  <c r="P138" i="32"/>
  <c r="P181" i="32" s="1"/>
  <c r="I32" i="32"/>
  <c r="I63" i="32" s="1"/>
  <c r="AB32" i="32"/>
  <c r="AB75" i="32" s="1"/>
  <c r="M32" i="32"/>
  <c r="M63" i="32" s="1"/>
  <c r="V32" i="32"/>
  <c r="T32" i="32"/>
  <c r="T51" i="32" s="1"/>
  <c r="C32" i="32"/>
  <c r="C75" i="32" s="1"/>
  <c r="Q138" i="32"/>
  <c r="Q181" i="32" s="1"/>
  <c r="G138" i="32"/>
  <c r="G157" i="32" s="1"/>
  <c r="K138" i="32"/>
  <c r="K181" i="32" s="1"/>
  <c r="S138" i="32"/>
  <c r="S181" i="32" s="1"/>
  <c r="X138" i="32"/>
  <c r="X169" i="32" s="1"/>
  <c r="W138" i="32"/>
  <c r="W169" i="32" s="1"/>
  <c r="U138" i="32"/>
  <c r="U181" i="32" s="1"/>
  <c r="J138" i="32"/>
  <c r="J157" i="32" s="1"/>
  <c r="D138" i="32"/>
  <c r="D181" i="32" s="1"/>
  <c r="N138" i="32"/>
  <c r="N157" i="32" s="1"/>
  <c r="H138" i="32"/>
  <c r="H169" i="32" s="1"/>
  <c r="C138" i="32"/>
  <c r="C181" i="32" s="1"/>
  <c r="Z138" i="32"/>
  <c r="Z181" i="32" s="1"/>
  <c r="L138" i="32"/>
  <c r="L169" i="32" s="1"/>
  <c r="V138" i="32"/>
  <c r="V157" i="32" s="1"/>
  <c r="B138" i="32"/>
  <c r="B169" i="32" s="1"/>
  <c r="T138" i="32"/>
  <c r="T157" i="32" s="1"/>
  <c r="E138" i="32"/>
  <c r="E157" i="32" s="1"/>
  <c r="Y138" i="32"/>
  <c r="Y169" i="32" s="1"/>
  <c r="M138" i="32"/>
  <c r="M181" i="32" s="1"/>
  <c r="I138" i="32"/>
  <c r="I169" i="32" s="1"/>
  <c r="R138" i="32"/>
  <c r="R181" i="32" s="1"/>
  <c r="AA138" i="32"/>
  <c r="AA181" i="32" s="1"/>
  <c r="AC138" i="32"/>
  <c r="AC169" i="32" s="1"/>
  <c r="AB138" i="32"/>
  <c r="AB169" i="32" s="1"/>
  <c r="P46" i="32"/>
  <c r="P151" i="32"/>
  <c r="P259" i="32"/>
  <c r="S151" i="32"/>
  <c r="S369" i="32"/>
  <c r="S260" i="32"/>
  <c r="S259" i="32"/>
  <c r="P260" i="32"/>
  <c r="P152" i="32"/>
  <c r="P369" i="32"/>
  <c r="W152" i="32"/>
  <c r="M46" i="32"/>
  <c r="M45" i="32"/>
  <c r="E46" i="32"/>
  <c r="P368" i="32"/>
  <c r="L260" i="32"/>
  <c r="I45" i="32"/>
  <c r="O45" i="32"/>
  <c r="S368" i="32"/>
  <c r="I46" i="32"/>
  <c r="T45" i="32"/>
  <c r="L45" i="32"/>
  <c r="B45" i="32"/>
  <c r="D45" i="32"/>
  <c r="U46" i="32"/>
  <c r="Y46" i="32"/>
  <c r="T152" i="32"/>
  <c r="B180" i="32"/>
  <c r="AC46" i="32"/>
  <c r="F151" i="32"/>
  <c r="K151" i="32"/>
  <c r="M151" i="32"/>
  <c r="C45" i="32"/>
  <c r="AA79" i="32"/>
  <c r="S45" i="32"/>
  <c r="AA68" i="32"/>
  <c r="B21" i="32"/>
  <c r="B344" i="32"/>
  <c r="B235" i="32"/>
  <c r="B127" i="32"/>
  <c r="AA56" i="32"/>
  <c r="G46" i="32"/>
  <c r="G151" i="32"/>
  <c r="G368" i="32"/>
  <c r="G259" i="32"/>
  <c r="G369" i="32"/>
  <c r="G152" i="32"/>
  <c r="V152" i="32"/>
  <c r="V151" i="32"/>
  <c r="V368" i="32"/>
  <c r="V46" i="32"/>
  <c r="V45" i="32"/>
  <c r="V259" i="32"/>
  <c r="V369" i="32"/>
  <c r="AA80" i="32"/>
  <c r="AA151" i="32"/>
  <c r="AA369" i="32"/>
  <c r="AA259" i="32"/>
  <c r="AA46" i="32"/>
  <c r="R151" i="32"/>
  <c r="R368" i="32"/>
  <c r="AB368" i="32"/>
  <c r="U260" i="32"/>
  <c r="U259" i="32"/>
  <c r="AA260" i="32"/>
  <c r="AA368" i="32"/>
  <c r="AB151" i="32"/>
  <c r="Z45" i="32"/>
  <c r="H46" i="32"/>
  <c r="U45" i="32"/>
  <c r="E45" i="32"/>
  <c r="AA45" i="32"/>
  <c r="Y259" i="32"/>
  <c r="R260" i="32"/>
  <c r="R259" i="32"/>
  <c r="Y151" i="32"/>
  <c r="J45" i="32"/>
  <c r="U152" i="32"/>
  <c r="Z368" i="32"/>
  <c r="Q295" i="32"/>
  <c r="Z260" i="32"/>
  <c r="Z151" i="32"/>
  <c r="B76" i="32"/>
  <c r="AA67" i="32"/>
  <c r="AB369" i="32"/>
  <c r="R369" i="32"/>
  <c r="U368" i="32"/>
  <c r="Y368" i="32"/>
  <c r="Y260" i="32"/>
  <c r="Z259" i="32"/>
  <c r="L259" i="32"/>
  <c r="N46" i="32"/>
  <c r="K45" i="32"/>
  <c r="AA55" i="32"/>
  <c r="R45" i="32"/>
  <c r="Z369" i="32"/>
  <c r="V260" i="32"/>
  <c r="Y152" i="32"/>
  <c r="L152" i="32"/>
  <c r="T151" i="32"/>
  <c r="W45" i="32"/>
  <c r="P45" i="32"/>
  <c r="G260" i="32"/>
  <c r="AB260" i="32"/>
  <c r="AB45" i="32"/>
  <c r="Y404" i="32"/>
  <c r="Y380" i="32"/>
  <c r="Y392" i="32"/>
  <c r="R397" i="32"/>
  <c r="R385" i="32"/>
  <c r="R398" i="32"/>
  <c r="R399" i="32"/>
  <c r="R375" i="32"/>
  <c r="R387" i="32"/>
  <c r="R373" i="32"/>
  <c r="T161" i="32"/>
  <c r="T185" i="32"/>
  <c r="T173" i="32"/>
  <c r="F404" i="32"/>
  <c r="F392" i="32"/>
  <c r="F380" i="32"/>
  <c r="T398" i="32"/>
  <c r="T397" i="32"/>
  <c r="T373" i="32"/>
  <c r="T387" i="32"/>
  <c r="T385" i="32"/>
  <c r="T374" i="32"/>
  <c r="T375" i="32"/>
  <c r="T399" i="32"/>
  <c r="T386" i="32"/>
  <c r="L271" i="32"/>
  <c r="L295" i="32"/>
  <c r="L283" i="32"/>
  <c r="I389" i="32"/>
  <c r="I401" i="32"/>
  <c r="I377" i="32"/>
  <c r="R392" i="32"/>
  <c r="R404" i="32"/>
  <c r="R380" i="32"/>
  <c r="N386" i="32"/>
  <c r="N399" i="32"/>
  <c r="N387" i="32"/>
  <c r="N398" i="32"/>
  <c r="N385" i="32"/>
  <c r="N374" i="32"/>
  <c r="N373" i="32"/>
  <c r="N375" i="32"/>
  <c r="N397" i="32"/>
  <c r="O292" i="32"/>
  <c r="O268" i="32"/>
  <c r="O280" i="32"/>
  <c r="V295" i="32"/>
  <c r="V283" i="32"/>
  <c r="V271" i="32"/>
  <c r="AB271" i="32"/>
  <c r="AB295" i="32"/>
  <c r="AB283" i="32"/>
  <c r="H278" i="32"/>
  <c r="H290" i="32"/>
  <c r="H264" i="32"/>
  <c r="H276" i="32"/>
  <c r="H288" i="32"/>
  <c r="H266" i="32"/>
  <c r="J290" i="32"/>
  <c r="J277" i="32"/>
  <c r="J288" i="32"/>
  <c r="J265" i="32"/>
  <c r="J266" i="32"/>
  <c r="J276" i="32"/>
  <c r="J264" i="32"/>
  <c r="J278" i="32"/>
  <c r="Z294" i="32"/>
  <c r="AB280" i="32"/>
  <c r="AB292" i="32"/>
  <c r="AB268" i="32"/>
  <c r="Y186" i="32"/>
  <c r="Y174" i="32"/>
  <c r="Y162" i="32"/>
  <c r="L168" i="32"/>
  <c r="L158" i="32"/>
  <c r="L180" i="32"/>
  <c r="L182" i="32"/>
  <c r="L156" i="32"/>
  <c r="L181" i="32"/>
  <c r="L170" i="32"/>
  <c r="R170" i="32"/>
  <c r="R156" i="32"/>
  <c r="R169" i="32"/>
  <c r="R182" i="32"/>
  <c r="R168" i="32"/>
  <c r="R157" i="32"/>
  <c r="R180" i="32"/>
  <c r="R158" i="32"/>
  <c r="F185" i="32"/>
  <c r="F173" i="32"/>
  <c r="F161" i="32"/>
  <c r="Q80" i="32"/>
  <c r="Q56" i="32"/>
  <c r="Q68" i="32"/>
  <c r="L74" i="32"/>
  <c r="L64" i="32"/>
  <c r="L62" i="32"/>
  <c r="L52" i="32"/>
  <c r="L76" i="32"/>
  <c r="L51" i="32"/>
  <c r="L50" i="32"/>
  <c r="I74" i="32"/>
  <c r="I52" i="32"/>
  <c r="I62" i="32"/>
  <c r="I76" i="32"/>
  <c r="I64" i="32"/>
  <c r="I50" i="32"/>
  <c r="J81" i="32"/>
  <c r="J69" i="32"/>
  <c r="J57" i="32"/>
  <c r="AA54" i="32"/>
  <c r="AA78" i="32"/>
  <c r="AA66" i="32"/>
  <c r="T404" i="32"/>
  <c r="T392" i="32"/>
  <c r="T380" i="32"/>
  <c r="B403" i="32"/>
  <c r="B391" i="32"/>
  <c r="B379" i="32"/>
  <c r="B290" i="32"/>
  <c r="B276" i="32"/>
  <c r="B278" i="32"/>
  <c r="B266" i="32"/>
  <c r="B288" i="32"/>
  <c r="B264" i="32"/>
  <c r="D398" i="32"/>
  <c r="D397" i="32"/>
  <c r="D399" i="32"/>
  <c r="D387" i="32"/>
  <c r="D374" i="32"/>
  <c r="D375" i="32"/>
  <c r="D373" i="32"/>
  <c r="D386" i="32"/>
  <c r="D385" i="32"/>
  <c r="D271" i="32"/>
  <c r="D295" i="32"/>
  <c r="D283" i="32"/>
  <c r="AC268" i="32"/>
  <c r="AC280" i="32"/>
  <c r="AC292" i="32"/>
  <c r="I290" i="32"/>
  <c r="I266" i="32"/>
  <c r="I288" i="32"/>
  <c r="I278" i="32"/>
  <c r="I265" i="32"/>
  <c r="I264" i="32"/>
  <c r="I276" i="32"/>
  <c r="B392" i="32"/>
  <c r="B404" i="32"/>
  <c r="B380" i="32"/>
  <c r="O399" i="32"/>
  <c r="O397" i="32"/>
  <c r="O398" i="32"/>
  <c r="O385" i="32"/>
  <c r="O374" i="32"/>
  <c r="O386" i="32"/>
  <c r="O373" i="32"/>
  <c r="O375" i="32"/>
  <c r="O387" i="32"/>
  <c r="AA268" i="32"/>
  <c r="AA292" i="32"/>
  <c r="AA280" i="32"/>
  <c r="R280" i="32"/>
  <c r="R292" i="32"/>
  <c r="R268" i="32"/>
  <c r="N294" i="32"/>
  <c r="N270" i="32"/>
  <c r="N282" i="32"/>
  <c r="O389" i="32"/>
  <c r="O401" i="32"/>
  <c r="O377" i="32"/>
  <c r="V404" i="32"/>
  <c r="V392" i="32"/>
  <c r="V380" i="32"/>
  <c r="G389" i="32"/>
  <c r="G377" i="32"/>
  <c r="G401" i="32"/>
  <c r="I270" i="32"/>
  <c r="I282" i="32"/>
  <c r="I294" i="32"/>
  <c r="V280" i="32"/>
  <c r="V292" i="32"/>
  <c r="V268" i="32"/>
  <c r="W292" i="32"/>
  <c r="W280" i="32"/>
  <c r="W268" i="32"/>
  <c r="K283" i="32"/>
  <c r="K271" i="32"/>
  <c r="K295" i="32"/>
  <c r="I292" i="32"/>
  <c r="I280" i="32"/>
  <c r="I268" i="32"/>
  <c r="Q186" i="32"/>
  <c r="Q174" i="32"/>
  <c r="Q162" i="32"/>
  <c r="E295" i="32"/>
  <c r="E283" i="32"/>
  <c r="E271" i="32"/>
  <c r="N295" i="32"/>
  <c r="N283" i="32"/>
  <c r="N271" i="32"/>
  <c r="T168" i="32"/>
  <c r="T158" i="32"/>
  <c r="T180" i="32"/>
  <c r="T170" i="32"/>
  <c r="T182" i="32"/>
  <c r="T156" i="32"/>
  <c r="Z170" i="32"/>
  <c r="Z156" i="32"/>
  <c r="Z180" i="32"/>
  <c r="Z168" i="32"/>
  <c r="Z158" i="32"/>
  <c r="Z182" i="32"/>
  <c r="D75" i="32"/>
  <c r="D64" i="32"/>
  <c r="D74" i="32"/>
  <c r="D50" i="32"/>
  <c r="D62" i="32"/>
  <c r="D52" i="32"/>
  <c r="D76" i="32"/>
  <c r="V81" i="32"/>
  <c r="V69" i="32"/>
  <c r="V57" i="32"/>
  <c r="R69" i="32"/>
  <c r="R57" i="32"/>
  <c r="R81" i="32"/>
  <c r="AA76" i="32"/>
  <c r="AA74" i="32"/>
  <c r="AA50" i="32"/>
  <c r="AA64" i="32"/>
  <c r="AA62" i="32"/>
  <c r="AA52" i="32"/>
  <c r="P79" i="32"/>
  <c r="P67" i="32"/>
  <c r="P55" i="32"/>
  <c r="M79" i="32"/>
  <c r="M67" i="32"/>
  <c r="M55" i="32"/>
  <c r="E78" i="32"/>
  <c r="E66" i="32"/>
  <c r="E54" i="32"/>
  <c r="M401" i="32"/>
  <c r="M377" i="32"/>
  <c r="M389" i="32"/>
  <c r="AA392" i="32"/>
  <c r="AA404" i="32"/>
  <c r="AA380" i="32"/>
  <c r="M288" i="32"/>
  <c r="M266" i="32"/>
  <c r="M278" i="32"/>
  <c r="M265" i="32"/>
  <c r="M289" i="32"/>
  <c r="M290" i="32"/>
  <c r="M264" i="32"/>
  <c r="M277" i="32"/>
  <c r="M276" i="32"/>
  <c r="L67" i="32"/>
  <c r="L79" i="32"/>
  <c r="L55" i="32"/>
  <c r="AC404" i="32"/>
  <c r="AC392" i="32"/>
  <c r="AC380" i="32"/>
  <c r="L292" i="32"/>
  <c r="L268" i="32"/>
  <c r="L280" i="32"/>
  <c r="X277" i="32"/>
  <c r="X276" i="32"/>
  <c r="X290" i="32"/>
  <c r="X278" i="32"/>
  <c r="X264" i="32"/>
  <c r="X266" i="32"/>
  <c r="X288" i="32"/>
  <c r="H281" i="32"/>
  <c r="H293" i="32"/>
  <c r="H269" i="32"/>
  <c r="Y292" i="32"/>
  <c r="Y268" i="32"/>
  <c r="Y280" i="32"/>
  <c r="B161" i="32"/>
  <c r="B185" i="32"/>
  <c r="B173" i="32"/>
  <c r="H185" i="32"/>
  <c r="H173" i="32"/>
  <c r="H161" i="32"/>
  <c r="U172" i="32"/>
  <c r="U160" i="32"/>
  <c r="U184" i="32"/>
  <c r="AB67" i="32"/>
  <c r="AB55" i="32"/>
  <c r="AB79" i="32"/>
  <c r="Y161" i="32"/>
  <c r="Y185" i="32"/>
  <c r="Y173" i="32"/>
  <c r="V55" i="32"/>
  <c r="V67" i="32"/>
  <c r="V79" i="32"/>
  <c r="D57" i="32"/>
  <c r="D81" i="32"/>
  <c r="D69" i="32"/>
  <c r="G69" i="32"/>
  <c r="G81" i="32"/>
  <c r="G57" i="32"/>
  <c r="Z81" i="32"/>
  <c r="Z69" i="32"/>
  <c r="Z57" i="32"/>
  <c r="C50" i="32"/>
  <c r="C64" i="32"/>
  <c r="C74" i="32"/>
  <c r="C76" i="32"/>
  <c r="C62" i="32"/>
  <c r="C52" i="32"/>
  <c r="K268" i="32"/>
  <c r="K292" i="32"/>
  <c r="K280" i="32"/>
  <c r="D278" i="32"/>
  <c r="D276" i="32"/>
  <c r="D264" i="32"/>
  <c r="D288" i="32"/>
  <c r="D266" i="32"/>
  <c r="D265" i="32"/>
  <c r="D277" i="32"/>
  <c r="D290" i="32"/>
  <c r="R185" i="32"/>
  <c r="R173" i="32"/>
  <c r="R161" i="32"/>
  <c r="D404" i="32"/>
  <c r="D392" i="32"/>
  <c r="D380" i="32"/>
  <c r="U294" i="32"/>
  <c r="U282" i="32"/>
  <c r="U270" i="32"/>
  <c r="H295" i="32"/>
  <c r="H271" i="32"/>
  <c r="H283" i="32"/>
  <c r="V276" i="32"/>
  <c r="V278" i="32"/>
  <c r="V265" i="32"/>
  <c r="V290" i="32"/>
  <c r="V288" i="32"/>
  <c r="V264" i="32"/>
  <c r="V266" i="32"/>
  <c r="F278" i="32"/>
  <c r="F290" i="32"/>
  <c r="F266" i="32"/>
  <c r="B282" i="32"/>
  <c r="B294" i="32"/>
  <c r="B270" i="32"/>
  <c r="Y373" i="32"/>
  <c r="Y397" i="32"/>
  <c r="Y374" i="32"/>
  <c r="Y385" i="32"/>
  <c r="Y398" i="32"/>
  <c r="Y386" i="32"/>
  <c r="U401" i="32"/>
  <c r="U389" i="32"/>
  <c r="U377" i="32"/>
  <c r="P392" i="32"/>
  <c r="P380" i="32"/>
  <c r="P404" i="32"/>
  <c r="L404" i="32"/>
  <c r="L392" i="32"/>
  <c r="L380" i="32"/>
  <c r="N401" i="32"/>
  <c r="N389" i="32"/>
  <c r="N377" i="32"/>
  <c r="M294" i="32"/>
  <c r="M282" i="32"/>
  <c r="M270" i="32"/>
  <c r="V403" i="32"/>
  <c r="V379" i="32"/>
  <c r="V391" i="32"/>
  <c r="C268" i="32"/>
  <c r="C292" i="32"/>
  <c r="C280" i="32"/>
  <c r="P295" i="32"/>
  <c r="P271" i="32"/>
  <c r="P283" i="32"/>
  <c r="R290" i="32"/>
  <c r="R289" i="32"/>
  <c r="R265" i="32"/>
  <c r="R288" i="32"/>
  <c r="R277" i="32"/>
  <c r="R266" i="32"/>
  <c r="R264" i="32"/>
  <c r="R276" i="32"/>
  <c r="R278" i="32"/>
  <c r="T293" i="32"/>
  <c r="T269" i="32"/>
  <c r="T281" i="32"/>
  <c r="G170" i="32"/>
  <c r="G180" i="32"/>
  <c r="G158" i="32"/>
  <c r="G182" i="32"/>
  <c r="G168" i="32"/>
  <c r="G156" i="32"/>
  <c r="M156" i="32"/>
  <c r="M157" i="32"/>
  <c r="M182" i="32"/>
  <c r="M180" i="32"/>
  <c r="M170" i="32"/>
  <c r="M168" i="32"/>
  <c r="M158" i="32"/>
  <c r="M169" i="32"/>
  <c r="J161" i="32"/>
  <c r="J173" i="32"/>
  <c r="J185" i="32"/>
  <c r="B184" i="32"/>
  <c r="B160" i="32"/>
  <c r="B172" i="32"/>
  <c r="AB185" i="32"/>
  <c r="AB161" i="32"/>
  <c r="AB173" i="32"/>
  <c r="T79" i="32"/>
  <c r="T67" i="32"/>
  <c r="T55" i="32"/>
  <c r="O187" i="32"/>
  <c r="O163" i="32"/>
  <c r="O175" i="32"/>
  <c r="R67" i="32"/>
  <c r="R55" i="32"/>
  <c r="R79" i="32"/>
  <c r="W79" i="32"/>
  <c r="W55" i="32"/>
  <c r="W67" i="32"/>
  <c r="F67" i="32"/>
  <c r="F55" i="32"/>
  <c r="F79" i="32"/>
  <c r="W69" i="32"/>
  <c r="W81" i="32"/>
  <c r="W57" i="32"/>
  <c r="L69" i="32"/>
  <c r="L57" i="32"/>
  <c r="L81" i="32"/>
  <c r="S75" i="32"/>
  <c r="S51" i="32"/>
  <c r="S50" i="32"/>
  <c r="S64" i="32"/>
  <c r="S63" i="32"/>
  <c r="S74" i="32"/>
  <c r="S62" i="32"/>
  <c r="S52" i="32"/>
  <c r="S76" i="32"/>
  <c r="O68" i="32"/>
  <c r="O80" i="32"/>
  <c r="O56" i="32"/>
  <c r="X56" i="32"/>
  <c r="X80" i="32"/>
  <c r="X68" i="32"/>
  <c r="J79" i="32"/>
  <c r="J55" i="32"/>
  <c r="J67" i="32"/>
  <c r="O79" i="32"/>
  <c r="O55" i="32"/>
  <c r="O67" i="32"/>
  <c r="AB57" i="32"/>
  <c r="AB69" i="32"/>
  <c r="AB81" i="32"/>
  <c r="H69" i="32"/>
  <c r="H57" i="32"/>
  <c r="H81" i="32"/>
  <c r="S67" i="32"/>
  <c r="S79" i="32"/>
  <c r="S55" i="32"/>
  <c r="F76" i="32"/>
  <c r="F52" i="32"/>
  <c r="F62" i="32"/>
  <c r="F74" i="32"/>
  <c r="F64" i="32"/>
  <c r="F50" i="32"/>
  <c r="C392" i="32"/>
  <c r="C404" i="32"/>
  <c r="C380" i="32"/>
  <c r="J295" i="32"/>
  <c r="J271" i="32"/>
  <c r="J283" i="32"/>
  <c r="AB404" i="32"/>
  <c r="AB380" i="32"/>
  <c r="AB392" i="32"/>
  <c r="Q160" i="32"/>
  <c r="Q172" i="32"/>
  <c r="Q184" i="32"/>
  <c r="E280" i="32"/>
  <c r="E292" i="32"/>
  <c r="E268" i="32"/>
  <c r="D162" i="32"/>
  <c r="D186" i="32"/>
  <c r="D174" i="32"/>
  <c r="AA180" i="32"/>
  <c r="AA158" i="32"/>
  <c r="AA170" i="32"/>
  <c r="AA182" i="32"/>
  <c r="AA156" i="32"/>
  <c r="AA168" i="32"/>
  <c r="W170" i="32"/>
  <c r="W180" i="32"/>
  <c r="W158" i="32"/>
  <c r="W182" i="32"/>
  <c r="W156" i="32"/>
  <c r="W168" i="32"/>
  <c r="Z161" i="32"/>
  <c r="Z185" i="32"/>
  <c r="Z173" i="32"/>
  <c r="D79" i="32"/>
  <c r="D55" i="32"/>
  <c r="D67" i="32"/>
  <c r="Y81" i="32"/>
  <c r="Y57" i="32"/>
  <c r="Y69" i="32"/>
  <c r="B67" i="32"/>
  <c r="B55" i="32"/>
  <c r="B79" i="32"/>
  <c r="Y67" i="32"/>
  <c r="Y55" i="32"/>
  <c r="Y79" i="32"/>
  <c r="Q67" i="32"/>
  <c r="Q79" i="32"/>
  <c r="Q55" i="32"/>
  <c r="G79" i="32"/>
  <c r="G67" i="32"/>
  <c r="G55" i="32"/>
  <c r="H187" i="32"/>
  <c r="H163" i="32"/>
  <c r="H175" i="32"/>
  <c r="N175" i="32"/>
  <c r="N163" i="32"/>
  <c r="N187" i="32"/>
  <c r="P81" i="32"/>
  <c r="P57" i="32"/>
  <c r="P69" i="32"/>
  <c r="Q78" i="32"/>
  <c r="Q54" i="32"/>
  <c r="Q66" i="32"/>
  <c r="N76" i="32"/>
  <c r="N52" i="32"/>
  <c r="N62" i="32"/>
  <c r="N51" i="32"/>
  <c r="N64" i="32"/>
  <c r="N50" i="32"/>
  <c r="N74" i="32"/>
  <c r="N63" i="32"/>
  <c r="AB78" i="32"/>
  <c r="AB54" i="32"/>
  <c r="AB66" i="32"/>
  <c r="R293" i="32"/>
  <c r="R269" i="32"/>
  <c r="R281" i="32"/>
  <c r="N182" i="32"/>
  <c r="N170" i="32"/>
  <c r="N156" i="32"/>
  <c r="N158" i="32"/>
  <c r="N180" i="32"/>
  <c r="N168" i="32"/>
  <c r="B170" i="32"/>
  <c r="B156" i="32"/>
  <c r="B182" i="32"/>
  <c r="B158" i="32"/>
  <c r="B168" i="32"/>
  <c r="D161" i="32"/>
  <c r="D173" i="32"/>
  <c r="D185" i="32"/>
  <c r="E185" i="32"/>
  <c r="E173" i="32"/>
  <c r="E161" i="32"/>
  <c r="Y160" i="32"/>
  <c r="Y184" i="32"/>
  <c r="Y172" i="32"/>
  <c r="AB76" i="32"/>
  <c r="AB64" i="32"/>
  <c r="AB50" i="32"/>
  <c r="AB74" i="32"/>
  <c r="AB62" i="32"/>
  <c r="AB52" i="32"/>
  <c r="I67" i="32"/>
  <c r="I79" i="32"/>
  <c r="I55" i="32"/>
  <c r="Y74" i="32"/>
  <c r="Y75" i="32"/>
  <c r="Y63" i="32"/>
  <c r="Y52" i="32"/>
  <c r="Y62" i="32"/>
  <c r="Y76" i="32"/>
  <c r="Y50" i="32"/>
  <c r="Y64" i="32"/>
  <c r="O76" i="32"/>
  <c r="O75" i="32"/>
  <c r="O62" i="32"/>
  <c r="O50" i="32"/>
  <c r="O74" i="32"/>
  <c r="O52" i="32"/>
  <c r="O51" i="32"/>
  <c r="O64" i="32"/>
  <c r="O63" i="32"/>
  <c r="H74" i="32"/>
  <c r="H76" i="32"/>
  <c r="H50" i="32"/>
  <c r="H75" i="32"/>
  <c r="H64" i="32"/>
  <c r="H63" i="32"/>
  <c r="H62" i="32"/>
  <c r="H52" i="32"/>
  <c r="H51" i="32"/>
  <c r="J403" i="32"/>
  <c r="J391" i="32"/>
  <c r="J379" i="32"/>
  <c r="X295" i="32"/>
  <c r="X271" i="32"/>
  <c r="X283" i="32"/>
  <c r="S172" i="32"/>
  <c r="S184" i="32"/>
  <c r="S160" i="32"/>
  <c r="I387" i="32"/>
  <c r="I397" i="32"/>
  <c r="I399" i="32"/>
  <c r="I375" i="32"/>
  <c r="I385" i="32"/>
  <c r="I374" i="32"/>
  <c r="I373" i="32"/>
  <c r="S268" i="32"/>
  <c r="S280" i="32"/>
  <c r="S292" i="32"/>
  <c r="L278" i="32"/>
  <c r="L288" i="32"/>
  <c r="L290" i="32"/>
  <c r="L276" i="32"/>
  <c r="L264" i="32"/>
  <c r="L266" i="32"/>
  <c r="C290" i="32"/>
  <c r="C288" i="32"/>
  <c r="C278" i="32"/>
  <c r="C289" i="32"/>
  <c r="C264" i="32"/>
  <c r="C277" i="32"/>
  <c r="C276" i="32"/>
  <c r="C266" i="32"/>
  <c r="C265" i="32"/>
  <c r="F292" i="32"/>
  <c r="F280" i="32"/>
  <c r="F268" i="32"/>
  <c r="Y387" i="32"/>
  <c r="Z397" i="32"/>
  <c r="Z385" i="32"/>
  <c r="Z398" i="32"/>
  <c r="Z399" i="32"/>
  <c r="Z375" i="32"/>
  <c r="Z373" i="32"/>
  <c r="Z386" i="32"/>
  <c r="Z374" i="32"/>
  <c r="Z387" i="32"/>
  <c r="T278" i="32"/>
  <c r="T276" i="32"/>
  <c r="T288" i="32"/>
  <c r="T264" i="32"/>
  <c r="T290" i="32"/>
  <c r="T266" i="32"/>
  <c r="N276" i="32"/>
  <c r="N289" i="32"/>
  <c r="N290" i="32"/>
  <c r="N277" i="32"/>
  <c r="N266" i="32"/>
  <c r="N278" i="32"/>
  <c r="N265" i="32"/>
  <c r="N264" i="32"/>
  <c r="N288" i="32"/>
  <c r="I160" i="32"/>
  <c r="I184" i="32"/>
  <c r="I172" i="32"/>
  <c r="J392" i="32"/>
  <c r="J404" i="32"/>
  <c r="J380" i="32"/>
  <c r="N404" i="32"/>
  <c r="N392" i="32"/>
  <c r="N380" i="32"/>
  <c r="K402" i="32"/>
  <c r="K378" i="32"/>
  <c r="K390" i="32"/>
  <c r="J390" i="32"/>
  <c r="J378" i="32"/>
  <c r="J402" i="32"/>
  <c r="V402" i="32"/>
  <c r="V390" i="32"/>
  <c r="V378" i="32"/>
  <c r="Y270" i="32"/>
  <c r="Y294" i="32"/>
  <c r="Y282" i="32"/>
  <c r="AB278" i="32"/>
  <c r="AB290" i="32"/>
  <c r="AB277" i="32"/>
  <c r="AB288" i="32"/>
  <c r="AB289" i="32"/>
  <c r="AB276" i="32"/>
  <c r="AB266" i="32"/>
  <c r="AB264" i="32"/>
  <c r="AB265" i="32"/>
  <c r="H392" i="32"/>
  <c r="H380" i="32"/>
  <c r="H404" i="32"/>
  <c r="H292" i="32"/>
  <c r="H280" i="32"/>
  <c r="H268" i="32"/>
  <c r="Y290" i="32"/>
  <c r="Y276" i="32"/>
  <c r="Y288" i="32"/>
  <c r="Y278" i="32"/>
  <c r="Y266" i="32"/>
  <c r="Y264" i="32"/>
  <c r="M292" i="32"/>
  <c r="M268" i="32"/>
  <c r="M280" i="32"/>
  <c r="D168" i="32"/>
  <c r="D182" i="32"/>
  <c r="D156" i="32"/>
  <c r="D180" i="32"/>
  <c r="D170" i="32"/>
  <c r="D158" i="32"/>
  <c r="M185" i="32"/>
  <c r="M161" i="32"/>
  <c r="M173" i="32"/>
  <c r="Y56" i="32"/>
  <c r="Y68" i="32"/>
  <c r="Y80" i="32"/>
  <c r="T75" i="32"/>
  <c r="T50" i="32"/>
  <c r="T74" i="32"/>
  <c r="T63" i="32"/>
  <c r="T62" i="32"/>
  <c r="T52" i="32"/>
  <c r="T76" i="32"/>
  <c r="T64" i="32"/>
  <c r="B69" i="32"/>
  <c r="B81" i="32"/>
  <c r="B57" i="32"/>
  <c r="N79" i="32"/>
  <c r="N55" i="32"/>
  <c r="N67" i="32"/>
  <c r="P64" i="32"/>
  <c r="P74" i="32"/>
  <c r="P50" i="32"/>
  <c r="P76" i="32"/>
  <c r="P51" i="32"/>
  <c r="P63" i="32"/>
  <c r="P75" i="32"/>
  <c r="P62" i="32"/>
  <c r="P52" i="32"/>
  <c r="X64" i="32"/>
  <c r="X74" i="32"/>
  <c r="X50" i="32"/>
  <c r="X62" i="32"/>
  <c r="X52" i="32"/>
  <c r="X63" i="32"/>
  <c r="X76" i="32"/>
  <c r="X45" i="32"/>
  <c r="X151" i="32"/>
  <c r="X369" i="32"/>
  <c r="X46" i="32"/>
  <c r="X152" i="32"/>
  <c r="L294" i="32"/>
  <c r="L270" i="32"/>
  <c r="L282" i="32"/>
  <c r="P282" i="32"/>
  <c r="P270" i="32"/>
  <c r="P294" i="32"/>
  <c r="D293" i="32"/>
  <c r="D281" i="32"/>
  <c r="D269" i="32"/>
  <c r="V269" i="32"/>
  <c r="V281" i="32"/>
  <c r="V293" i="32"/>
  <c r="Y293" i="32"/>
  <c r="Y281" i="32"/>
  <c r="Y269" i="32"/>
  <c r="AC281" i="32"/>
  <c r="AC269" i="32"/>
  <c r="AC293" i="32"/>
  <c r="AA293" i="32"/>
  <c r="AA269" i="32"/>
  <c r="AA281" i="32"/>
  <c r="F295" i="32"/>
  <c r="F271" i="32"/>
  <c r="F283" i="32"/>
  <c r="I295" i="32"/>
  <c r="I283" i="32"/>
  <c r="I271" i="32"/>
  <c r="C283" i="32"/>
  <c r="C295" i="32"/>
  <c r="C271" i="32"/>
  <c r="O294" i="32"/>
  <c r="O282" i="32"/>
  <c r="O270" i="32"/>
  <c r="Z290" i="32"/>
  <c r="Z278" i="32"/>
  <c r="Z288" i="32"/>
  <c r="Z276" i="32"/>
  <c r="Z266" i="32"/>
  <c r="Z264" i="32"/>
  <c r="AC288" i="32"/>
  <c r="AC266" i="32"/>
  <c r="AC289" i="32"/>
  <c r="AC276" i="32"/>
  <c r="AC290" i="32"/>
  <c r="AC277" i="32"/>
  <c r="AC265" i="32"/>
  <c r="AC278" i="32"/>
  <c r="AC264" i="32"/>
  <c r="K290" i="32"/>
  <c r="K288" i="32"/>
  <c r="K276" i="32"/>
  <c r="K264" i="32"/>
  <c r="K266" i="32"/>
  <c r="K265" i="32"/>
  <c r="K278" i="32"/>
  <c r="O289" i="32"/>
  <c r="O264" i="32"/>
  <c r="O278" i="32"/>
  <c r="O265" i="32"/>
  <c r="O277" i="32"/>
  <c r="O290" i="32"/>
  <c r="O266" i="32"/>
  <c r="O288" i="32"/>
  <c r="O276" i="32"/>
  <c r="S185" i="32"/>
  <c r="S173" i="32"/>
  <c r="S161" i="32"/>
  <c r="U268" i="32"/>
  <c r="U292" i="32"/>
  <c r="U280" i="32"/>
  <c r="D292" i="32"/>
  <c r="D280" i="32"/>
  <c r="D268" i="32"/>
  <c r="G292" i="32"/>
  <c r="G268" i="32"/>
  <c r="G280" i="32"/>
  <c r="U162" i="32"/>
  <c r="U174" i="32"/>
  <c r="U186" i="32"/>
  <c r="Z186" i="32"/>
  <c r="Z174" i="32"/>
  <c r="Z162" i="32"/>
  <c r="Z184" i="32"/>
  <c r="Z160" i="32"/>
  <c r="Z172" i="32"/>
  <c r="AA160" i="32"/>
  <c r="AA184" i="32"/>
  <c r="AA172" i="32"/>
  <c r="S163" i="32"/>
  <c r="S175" i="32"/>
  <c r="S187" i="32"/>
  <c r="U81" i="32"/>
  <c r="U57" i="32"/>
  <c r="U69" i="32"/>
  <c r="L78" i="32"/>
  <c r="L54" i="32"/>
  <c r="L66" i="32"/>
  <c r="F276" i="32"/>
  <c r="AA187" i="32"/>
  <c r="AA175" i="32"/>
  <c r="AA163" i="32"/>
  <c r="L187" i="32"/>
  <c r="L175" i="32"/>
  <c r="L163" i="32"/>
  <c r="V187" i="32"/>
  <c r="V175" i="32"/>
  <c r="V163" i="32"/>
  <c r="C69" i="32"/>
  <c r="C81" i="32"/>
  <c r="C57" i="32"/>
  <c r="AB168" i="32"/>
  <c r="AB170" i="32"/>
  <c r="AB158" i="32"/>
  <c r="AB182" i="32"/>
  <c r="AB156" i="32"/>
  <c r="AB180" i="32"/>
  <c r="J170" i="32"/>
  <c r="J156" i="32"/>
  <c r="J168" i="32"/>
  <c r="J158" i="32"/>
  <c r="J182" i="32"/>
  <c r="J180" i="32"/>
  <c r="E156" i="32"/>
  <c r="E182" i="32"/>
  <c r="E168" i="32"/>
  <c r="E170" i="32"/>
  <c r="E158" i="32"/>
  <c r="E180" i="32"/>
  <c r="W80" i="32"/>
  <c r="W56" i="32"/>
  <c r="W68" i="32"/>
  <c r="U68" i="32"/>
  <c r="U56" i="32"/>
  <c r="U80" i="32"/>
  <c r="D175" i="32"/>
  <c r="D187" i="32"/>
  <c r="D163" i="32"/>
  <c r="P66" i="32"/>
  <c r="P54" i="32"/>
  <c r="P78" i="32"/>
  <c r="H79" i="32"/>
  <c r="H67" i="32"/>
  <c r="H55" i="32"/>
  <c r="F66" i="32"/>
  <c r="F54" i="32"/>
  <c r="F78" i="32"/>
  <c r="S54" i="32"/>
  <c r="S66" i="32"/>
  <c r="S78" i="32"/>
  <c r="O69" i="32"/>
  <c r="O57" i="32"/>
  <c r="O81" i="32"/>
  <c r="T81" i="32"/>
  <c r="T57" i="32"/>
  <c r="T69" i="32"/>
  <c r="K74" i="32"/>
  <c r="K76" i="32"/>
  <c r="K50" i="32"/>
  <c r="K62" i="32"/>
  <c r="K52" i="32"/>
  <c r="K64" i="32"/>
  <c r="K63" i="32"/>
  <c r="V76" i="32"/>
  <c r="V74" i="32"/>
  <c r="V64" i="32"/>
  <c r="V52" i="32"/>
  <c r="V62" i="32"/>
  <c r="V51" i="32"/>
  <c r="V63" i="32"/>
  <c r="V75" i="32"/>
  <c r="V50" i="32"/>
  <c r="Q74" i="32"/>
  <c r="Q76" i="32"/>
  <c r="Q64" i="32"/>
  <c r="Q52" i="32"/>
  <c r="Q50" i="32"/>
  <c r="Q51" i="32"/>
  <c r="Q75" i="32"/>
  <c r="Q62" i="32"/>
  <c r="AC81" i="32"/>
  <c r="AC57" i="32"/>
  <c r="AC69" i="32"/>
  <c r="Z79" i="32"/>
  <c r="Z55" i="32"/>
  <c r="Z67" i="32"/>
  <c r="AC67" i="32"/>
  <c r="AC79" i="32"/>
  <c r="AC55" i="32"/>
  <c r="X79" i="32"/>
  <c r="X67" i="32"/>
  <c r="X55" i="32"/>
  <c r="AC78" i="32"/>
  <c r="AC66" i="32"/>
  <c r="AC54" i="32"/>
  <c r="X78" i="32"/>
  <c r="X66" i="32"/>
  <c r="X54" i="32"/>
  <c r="Q57" i="32"/>
  <c r="Q81" i="32"/>
  <c r="Q69" i="32"/>
  <c r="T401" i="32"/>
  <c r="T389" i="32"/>
  <c r="T377" i="32"/>
  <c r="H399" i="32"/>
  <c r="H387" i="32"/>
  <c r="H397" i="32"/>
  <c r="H385" i="32"/>
  <c r="H386" i="32"/>
  <c r="H375" i="32"/>
  <c r="H398" i="32"/>
  <c r="H373" i="32"/>
  <c r="H374" i="32"/>
  <c r="Q402" i="32"/>
  <c r="Q390" i="32"/>
  <c r="Q378" i="32"/>
  <c r="T390" i="32"/>
  <c r="T402" i="32"/>
  <c r="T378" i="32"/>
  <c r="B397" i="32"/>
  <c r="B385" i="32"/>
  <c r="B398" i="32"/>
  <c r="B399" i="32"/>
  <c r="B386" i="32"/>
  <c r="B375" i="32"/>
  <c r="B387" i="32"/>
  <c r="B374" i="32"/>
  <c r="B373" i="32"/>
  <c r="P399" i="32"/>
  <c r="P387" i="32"/>
  <c r="P397" i="32"/>
  <c r="P385" i="32"/>
  <c r="P375" i="32"/>
  <c r="P373" i="32"/>
  <c r="S404" i="32"/>
  <c r="S380" i="32"/>
  <c r="S392" i="32"/>
  <c r="W404" i="32"/>
  <c r="W392" i="32"/>
  <c r="W380" i="32"/>
  <c r="C402" i="32"/>
  <c r="C378" i="32"/>
  <c r="C390" i="32"/>
  <c r="W402" i="32"/>
  <c r="W390" i="32"/>
  <c r="W378" i="32"/>
  <c r="T282" i="32"/>
  <c r="T294" i="32"/>
  <c r="T270" i="32"/>
  <c r="X282" i="32"/>
  <c r="X270" i="32"/>
  <c r="X294" i="32"/>
  <c r="X391" i="32"/>
  <c r="X403" i="32"/>
  <c r="X379" i="32"/>
  <c r="L293" i="32"/>
  <c r="L281" i="32"/>
  <c r="L269" i="32"/>
  <c r="B293" i="32"/>
  <c r="B269" i="32"/>
  <c r="B281" i="32"/>
  <c r="P276" i="32"/>
  <c r="P290" i="32"/>
  <c r="P278" i="32"/>
  <c r="P264" i="32"/>
  <c r="P266" i="32"/>
  <c r="P288" i="32"/>
  <c r="Z295" i="32"/>
  <c r="Z283" i="32"/>
  <c r="Z271" i="32"/>
  <c r="U295" i="32"/>
  <c r="U283" i="32"/>
  <c r="U271" i="32"/>
  <c r="S294" i="32"/>
  <c r="S282" i="32"/>
  <c r="S270" i="32"/>
  <c r="O162" i="32"/>
  <c r="O186" i="32"/>
  <c r="O174" i="32"/>
  <c r="X259" i="32"/>
  <c r="E288" i="32"/>
  <c r="E277" i="32"/>
  <c r="E266" i="32"/>
  <c r="E289" i="32"/>
  <c r="E276" i="32"/>
  <c r="E264" i="32"/>
  <c r="E278" i="32"/>
  <c r="E265" i="32"/>
  <c r="E290" i="32"/>
  <c r="S290" i="32"/>
  <c r="S288" i="32"/>
  <c r="S277" i="32"/>
  <c r="S278" i="32"/>
  <c r="S266" i="32"/>
  <c r="S264" i="32"/>
  <c r="S276" i="32"/>
  <c r="W288" i="32"/>
  <c r="W266" i="32"/>
  <c r="W264" i="32"/>
  <c r="W276" i="32"/>
  <c r="W290" i="32"/>
  <c r="W278" i="32"/>
  <c r="G185" i="32"/>
  <c r="G173" i="32"/>
  <c r="G161" i="32"/>
  <c r="AA185" i="32"/>
  <c r="AA173" i="32"/>
  <c r="AA161" i="32"/>
  <c r="Q292" i="32"/>
  <c r="Q280" i="32"/>
  <c r="Q268" i="32"/>
  <c r="I186" i="32"/>
  <c r="I162" i="32"/>
  <c r="I174" i="32"/>
  <c r="W162" i="32"/>
  <c r="W186" i="32"/>
  <c r="W174" i="32"/>
  <c r="M186" i="32"/>
  <c r="M174" i="32"/>
  <c r="M162" i="32"/>
  <c r="C186" i="32"/>
  <c r="C174" i="32"/>
  <c r="C162" i="32"/>
  <c r="Z282" i="32"/>
  <c r="D184" i="32"/>
  <c r="D172" i="32"/>
  <c r="D160" i="32"/>
  <c r="M81" i="32"/>
  <c r="M69" i="32"/>
  <c r="M57" i="32"/>
  <c r="D78" i="32"/>
  <c r="D66" i="32"/>
  <c r="D54" i="32"/>
  <c r="J163" i="32"/>
  <c r="J187" i="32"/>
  <c r="J175" i="32"/>
  <c r="Z163" i="32"/>
  <c r="Z187" i="32"/>
  <c r="Z175" i="32"/>
  <c r="I187" i="32"/>
  <c r="I175" i="32"/>
  <c r="I163" i="32"/>
  <c r="G80" i="32"/>
  <c r="G56" i="32"/>
  <c r="G68" i="32"/>
  <c r="M80" i="32"/>
  <c r="M56" i="32"/>
  <c r="M68" i="32"/>
  <c r="R76" i="32"/>
  <c r="R51" i="32"/>
  <c r="R62" i="32"/>
  <c r="R64" i="32"/>
  <c r="R50" i="32"/>
  <c r="R74" i="32"/>
  <c r="R52" i="32"/>
  <c r="G45" i="32"/>
  <c r="H78" i="32"/>
  <c r="H66" i="32"/>
  <c r="H54" i="32"/>
  <c r="C80" i="32"/>
  <c r="C68" i="32"/>
  <c r="C56" i="32"/>
  <c r="N66" i="32"/>
  <c r="N78" i="32"/>
  <c r="N54" i="32"/>
  <c r="F81" i="32"/>
  <c r="F69" i="32"/>
  <c r="F57" i="32"/>
  <c r="G76" i="32"/>
  <c r="G62" i="32"/>
  <c r="G50" i="32"/>
  <c r="G74" i="32"/>
  <c r="G64" i="32"/>
  <c r="G52" i="32"/>
  <c r="T68" i="32"/>
  <c r="T80" i="32"/>
  <c r="T56" i="32"/>
  <c r="AC52" i="32"/>
  <c r="AC76" i="32"/>
  <c r="AC64" i="32"/>
  <c r="AC50" i="32"/>
  <c r="AC62" i="32"/>
  <c r="AC74" i="32"/>
  <c r="B63" i="32"/>
  <c r="C403" i="32"/>
  <c r="C379" i="32"/>
  <c r="C391" i="32"/>
  <c r="I402" i="32"/>
  <c r="I390" i="32"/>
  <c r="I378" i="32"/>
  <c r="E398" i="32"/>
  <c r="E386" i="32"/>
  <c r="E399" i="32"/>
  <c r="E385" i="32"/>
  <c r="E387" i="32"/>
  <c r="E374" i="32"/>
  <c r="E375" i="32"/>
  <c r="E373" i="32"/>
  <c r="E397" i="32"/>
  <c r="M404" i="32"/>
  <c r="M392" i="32"/>
  <c r="M380" i="32"/>
  <c r="K403" i="32"/>
  <c r="K379" i="32"/>
  <c r="K391" i="32"/>
  <c r="S403" i="32"/>
  <c r="S391" i="32"/>
  <c r="S379" i="32"/>
  <c r="U391" i="32"/>
  <c r="U403" i="32"/>
  <c r="U379" i="32"/>
  <c r="C401" i="32"/>
  <c r="C389" i="32"/>
  <c r="C377" i="32"/>
  <c r="Q387" i="32"/>
  <c r="Q397" i="32"/>
  <c r="Q386" i="32"/>
  <c r="Q375" i="32"/>
  <c r="Q399" i="32"/>
  <c r="Q373" i="32"/>
  <c r="Q374" i="32"/>
  <c r="Q385" i="32"/>
  <c r="Q398" i="32"/>
  <c r="Y402" i="32"/>
  <c r="Y390" i="32"/>
  <c r="Y378" i="32"/>
  <c r="AB390" i="32"/>
  <c r="AB402" i="32"/>
  <c r="AB378" i="32"/>
  <c r="J397" i="32"/>
  <c r="J385" i="32"/>
  <c r="J398" i="32"/>
  <c r="J399" i="32"/>
  <c r="J375" i="32"/>
  <c r="J386" i="32"/>
  <c r="J374" i="32"/>
  <c r="J373" i="32"/>
  <c r="J387" i="32"/>
  <c r="L398" i="32"/>
  <c r="L397" i="32"/>
  <c r="L385" i="32"/>
  <c r="L387" i="32"/>
  <c r="L386" i="32"/>
  <c r="L374" i="32"/>
  <c r="L373" i="32"/>
  <c r="L375" i="32"/>
  <c r="L399" i="32"/>
  <c r="X399" i="32"/>
  <c r="X387" i="32"/>
  <c r="X397" i="32"/>
  <c r="X385" i="32"/>
  <c r="X386" i="32"/>
  <c r="X375" i="32"/>
  <c r="X398" i="32"/>
  <c r="X373" i="32"/>
  <c r="X374" i="32"/>
  <c r="Y399" i="32"/>
  <c r="AB282" i="32"/>
  <c r="AB270" i="32"/>
  <c r="AB294" i="32"/>
  <c r="Q270" i="32"/>
  <c r="Q294" i="32"/>
  <c r="Q282" i="32"/>
  <c r="X293" i="32"/>
  <c r="X281" i="32"/>
  <c r="X269" i="32"/>
  <c r="J293" i="32"/>
  <c r="J281" i="32"/>
  <c r="J269" i="32"/>
  <c r="S293" i="32"/>
  <c r="S269" i="32"/>
  <c r="S281" i="32"/>
  <c r="AC295" i="32"/>
  <c r="AC283" i="32"/>
  <c r="AC271" i="32"/>
  <c r="F269" i="32"/>
  <c r="F281" i="32"/>
  <c r="F293" i="32"/>
  <c r="G283" i="32"/>
  <c r="G271" i="32"/>
  <c r="G295" i="32"/>
  <c r="S283" i="32"/>
  <c r="S271" i="32"/>
  <c r="S295" i="32"/>
  <c r="G186" i="32"/>
  <c r="G162" i="32"/>
  <c r="G174" i="32"/>
  <c r="Q277" i="32"/>
  <c r="Q290" i="32"/>
  <c r="Q278" i="32"/>
  <c r="Q288" i="32"/>
  <c r="Q276" i="32"/>
  <c r="Q266" i="32"/>
  <c r="Q289" i="32"/>
  <c r="Q264" i="32"/>
  <c r="AA290" i="32"/>
  <c r="AA288" i="32"/>
  <c r="AA278" i="32"/>
  <c r="AA266" i="32"/>
  <c r="AA264" i="32"/>
  <c r="AA265" i="32"/>
  <c r="AA277" i="32"/>
  <c r="AA276" i="32"/>
  <c r="AA289" i="32"/>
  <c r="AC173" i="32"/>
  <c r="AC161" i="32"/>
  <c r="AC185" i="32"/>
  <c r="O185" i="32"/>
  <c r="O173" i="32"/>
  <c r="O161" i="32"/>
  <c r="V160" i="32"/>
  <c r="V172" i="32"/>
  <c r="V184" i="32"/>
  <c r="K174" i="32"/>
  <c r="K162" i="32"/>
  <c r="K186" i="32"/>
  <c r="Z270" i="32"/>
  <c r="E172" i="32"/>
  <c r="E160" i="32"/>
  <c r="E184" i="32"/>
  <c r="L184" i="32"/>
  <c r="L172" i="32"/>
  <c r="L160" i="32"/>
  <c r="H180" i="32"/>
  <c r="H158" i="32"/>
  <c r="H168" i="32"/>
  <c r="H181" i="32"/>
  <c r="H156" i="32"/>
  <c r="H182" i="32"/>
  <c r="H170" i="32"/>
  <c r="O172" i="32"/>
  <c r="O184" i="32"/>
  <c r="O160" i="32"/>
  <c r="R163" i="32"/>
  <c r="R187" i="32"/>
  <c r="R175" i="32"/>
  <c r="E81" i="32"/>
  <c r="E57" i="32"/>
  <c r="E69" i="32"/>
  <c r="K175" i="32"/>
  <c r="K163" i="32"/>
  <c r="K187" i="32"/>
  <c r="E187" i="32"/>
  <c r="E175" i="32"/>
  <c r="E163" i="32"/>
  <c r="Q187" i="32"/>
  <c r="Q175" i="32"/>
  <c r="Q163" i="32"/>
  <c r="P80" i="32"/>
  <c r="P68" i="32"/>
  <c r="P56" i="32"/>
  <c r="S180" i="32"/>
  <c r="S158" i="32"/>
  <c r="S182" i="32"/>
  <c r="S156" i="32"/>
  <c r="S170" i="32"/>
  <c r="S168" i="32"/>
  <c r="S157" i="32"/>
  <c r="C180" i="32"/>
  <c r="C158" i="32"/>
  <c r="C170" i="32"/>
  <c r="C168" i="32"/>
  <c r="C156" i="32"/>
  <c r="C182" i="32"/>
  <c r="C157" i="32"/>
  <c r="U156" i="32"/>
  <c r="U157" i="32"/>
  <c r="U182" i="32"/>
  <c r="U168" i="32"/>
  <c r="U180" i="32"/>
  <c r="U170" i="32"/>
  <c r="U158" i="32"/>
  <c r="E68" i="32"/>
  <c r="E56" i="32"/>
  <c r="E80" i="32"/>
  <c r="K67" i="32"/>
  <c r="K79" i="32"/>
  <c r="K55" i="32"/>
  <c r="AC186" i="32"/>
  <c r="AC174" i="32"/>
  <c r="AC162" i="32"/>
  <c r="J63" i="32"/>
  <c r="J51" i="32"/>
  <c r="J62" i="32"/>
  <c r="J75" i="32"/>
  <c r="J52" i="32"/>
  <c r="J76" i="32"/>
  <c r="J74" i="32"/>
  <c r="J50" i="32"/>
  <c r="J64" i="32"/>
  <c r="K80" i="32"/>
  <c r="K68" i="32"/>
  <c r="K56" i="32"/>
  <c r="V66" i="32"/>
  <c r="V78" i="32"/>
  <c r="V54" i="32"/>
  <c r="C55" i="32"/>
  <c r="C67" i="32"/>
  <c r="C79" i="32"/>
  <c r="N81" i="32"/>
  <c r="N69" i="32"/>
  <c r="N57" i="32"/>
  <c r="Z63" i="32"/>
  <c r="Z51" i="32"/>
  <c r="Z64" i="32"/>
  <c r="Z62" i="32"/>
  <c r="Z52" i="32"/>
  <c r="Z76" i="32"/>
  <c r="Z50" i="32"/>
  <c r="Z74" i="32"/>
  <c r="B52" i="32"/>
  <c r="Q403" i="32"/>
  <c r="Q391" i="32"/>
  <c r="Q379" i="32"/>
  <c r="Q389" i="32"/>
  <c r="Q401" i="32"/>
  <c r="Q377" i="32"/>
  <c r="Z392" i="32"/>
  <c r="Z380" i="32"/>
  <c r="Z404" i="32"/>
  <c r="M390" i="32"/>
  <c r="M402" i="32"/>
  <c r="M378" i="32"/>
  <c r="AA403" i="32"/>
  <c r="AA379" i="32"/>
  <c r="AA391" i="32"/>
  <c r="AC391" i="32"/>
  <c r="AC379" i="32"/>
  <c r="AC403" i="32"/>
  <c r="V401" i="32"/>
  <c r="V389" i="32"/>
  <c r="V377" i="32"/>
  <c r="K401" i="32"/>
  <c r="K389" i="32"/>
  <c r="K377" i="32"/>
  <c r="O402" i="32"/>
  <c r="O390" i="32"/>
  <c r="O378" i="32"/>
  <c r="B390" i="32"/>
  <c r="B378" i="32"/>
  <c r="B402" i="32"/>
  <c r="F402" i="32"/>
  <c r="F390" i="32"/>
  <c r="F378" i="32"/>
  <c r="R389" i="32"/>
  <c r="R401" i="32"/>
  <c r="R377" i="32"/>
  <c r="Y375" i="32"/>
  <c r="E294" i="32"/>
  <c r="E282" i="32"/>
  <c r="E270" i="32"/>
  <c r="P403" i="32"/>
  <c r="P391" i="32"/>
  <c r="P379" i="32"/>
  <c r="C293" i="32"/>
  <c r="C281" i="32"/>
  <c r="C269" i="32"/>
  <c r="G294" i="32"/>
  <c r="G270" i="32"/>
  <c r="G282" i="32"/>
  <c r="N269" i="32"/>
  <c r="N281" i="32"/>
  <c r="N293" i="32"/>
  <c r="B295" i="32"/>
  <c r="B283" i="32"/>
  <c r="B271" i="32"/>
  <c r="O271" i="32"/>
  <c r="O283" i="32"/>
  <c r="O295" i="32"/>
  <c r="AA283" i="32"/>
  <c r="AA295" i="32"/>
  <c r="AA271" i="32"/>
  <c r="V294" i="32"/>
  <c r="V282" i="32"/>
  <c r="V270" i="32"/>
  <c r="Q185" i="32"/>
  <c r="Q161" i="32"/>
  <c r="Q173" i="32"/>
  <c r="W185" i="32"/>
  <c r="W173" i="32"/>
  <c r="W161" i="32"/>
  <c r="N184" i="32"/>
  <c r="N160" i="32"/>
  <c r="N172" i="32"/>
  <c r="B280" i="32"/>
  <c r="B292" i="32"/>
  <c r="B268" i="32"/>
  <c r="L185" i="32"/>
  <c r="L161" i="32"/>
  <c r="L173" i="32"/>
  <c r="X186" i="32"/>
  <c r="X162" i="32"/>
  <c r="X174" i="32"/>
  <c r="E186" i="32"/>
  <c r="E174" i="32"/>
  <c r="E162" i="32"/>
  <c r="S186" i="32"/>
  <c r="S174" i="32"/>
  <c r="S162" i="32"/>
  <c r="R184" i="32"/>
  <c r="R160" i="32"/>
  <c r="R172" i="32"/>
  <c r="T184" i="32"/>
  <c r="T172" i="32"/>
  <c r="T160" i="32"/>
  <c r="Z80" i="32"/>
  <c r="Z56" i="32"/>
  <c r="Z68" i="32"/>
  <c r="C187" i="32"/>
  <c r="C163" i="32"/>
  <c r="C175" i="32"/>
  <c r="M187" i="32"/>
  <c r="M175" i="32"/>
  <c r="M163" i="32"/>
  <c r="Y187" i="32"/>
  <c r="Y175" i="32"/>
  <c r="Y163" i="32"/>
  <c r="H80" i="32"/>
  <c r="H56" i="32"/>
  <c r="H68" i="32"/>
  <c r="AC156" i="32"/>
  <c r="AC182" i="32"/>
  <c r="AC180" i="32"/>
  <c r="AC168" i="32"/>
  <c r="AC158" i="32"/>
  <c r="AC170" i="32"/>
  <c r="W78" i="32"/>
  <c r="W54" i="32"/>
  <c r="W66" i="32"/>
  <c r="M78" i="32"/>
  <c r="M66" i="32"/>
  <c r="M54" i="32"/>
  <c r="F56" i="32"/>
  <c r="F80" i="32"/>
  <c r="F68" i="32"/>
  <c r="S80" i="32"/>
  <c r="S68" i="32"/>
  <c r="S56" i="32"/>
  <c r="D151" i="32"/>
  <c r="E64" i="32"/>
  <c r="E76" i="32"/>
  <c r="E52" i="32"/>
  <c r="E74" i="32"/>
  <c r="E50" i="32"/>
  <c r="E62" i="32"/>
  <c r="W76" i="32"/>
  <c r="W62" i="32"/>
  <c r="W50" i="32"/>
  <c r="W74" i="32"/>
  <c r="W52" i="32"/>
  <c r="W64" i="32"/>
  <c r="V161" i="32"/>
  <c r="V185" i="32"/>
  <c r="V173" i="32"/>
  <c r="U78" i="32"/>
  <c r="U66" i="32"/>
  <c r="U54" i="32"/>
  <c r="B50" i="32"/>
  <c r="B74" i="32"/>
  <c r="E391" i="32"/>
  <c r="E379" i="32"/>
  <c r="E403" i="32"/>
  <c r="AC401" i="32"/>
  <c r="AC377" i="32"/>
  <c r="AC389" i="32"/>
  <c r="U398" i="32"/>
  <c r="U386" i="32"/>
  <c r="U399" i="32"/>
  <c r="U385" i="32"/>
  <c r="U387" i="32"/>
  <c r="U397" i="32"/>
  <c r="U374" i="32"/>
  <c r="U375" i="32"/>
  <c r="U373" i="32"/>
  <c r="P401" i="32"/>
  <c r="P377" i="32"/>
  <c r="P389" i="32"/>
  <c r="O404" i="32"/>
  <c r="O392" i="32"/>
  <c r="O380" i="32"/>
  <c r="Y403" i="32"/>
  <c r="Y391" i="32"/>
  <c r="Y379" i="32"/>
  <c r="Y389" i="32"/>
  <c r="Y401" i="32"/>
  <c r="Y377" i="32"/>
  <c r="Z403" i="32"/>
  <c r="Z391" i="32"/>
  <c r="Z379" i="32"/>
  <c r="D403" i="32"/>
  <c r="D391" i="32"/>
  <c r="D379" i="32"/>
  <c r="G391" i="32"/>
  <c r="G403" i="32"/>
  <c r="G379" i="32"/>
  <c r="S401" i="32"/>
  <c r="S389" i="32"/>
  <c r="S377" i="32"/>
  <c r="H403" i="32"/>
  <c r="H391" i="32"/>
  <c r="H379" i="32"/>
  <c r="U402" i="32"/>
  <c r="U390" i="32"/>
  <c r="U378" i="32"/>
  <c r="N402" i="32"/>
  <c r="N390" i="32"/>
  <c r="N378" i="32"/>
  <c r="AB398" i="32"/>
  <c r="AB397" i="32"/>
  <c r="AB399" i="32"/>
  <c r="AB373" i="32"/>
  <c r="AB385" i="32"/>
  <c r="AB387" i="32"/>
  <c r="AB374" i="32"/>
  <c r="AB375" i="32"/>
  <c r="AB386" i="32"/>
  <c r="N403" i="32"/>
  <c r="N379" i="32"/>
  <c r="N391" i="32"/>
  <c r="I404" i="32"/>
  <c r="I380" i="32"/>
  <c r="I392" i="32"/>
  <c r="X392" i="32"/>
  <c r="X380" i="32"/>
  <c r="X404" i="32"/>
  <c r="O293" i="32"/>
  <c r="O269" i="32"/>
  <c r="O281" i="32"/>
  <c r="Z293" i="32"/>
  <c r="Z281" i="32"/>
  <c r="Z269" i="32"/>
  <c r="X260" i="32"/>
  <c r="K293" i="32"/>
  <c r="K281" i="32"/>
  <c r="K269" i="32"/>
  <c r="AA294" i="32"/>
  <c r="AA282" i="32"/>
  <c r="AA270" i="32"/>
  <c r="M295" i="32"/>
  <c r="M283" i="32"/>
  <c r="M271" i="32"/>
  <c r="W283" i="32"/>
  <c r="W295" i="32"/>
  <c r="W271" i="32"/>
  <c r="X292" i="32"/>
  <c r="X268" i="32"/>
  <c r="X280" i="32"/>
  <c r="U288" i="32"/>
  <c r="U266" i="32"/>
  <c r="U290" i="32"/>
  <c r="U289" i="32"/>
  <c r="U278" i="32"/>
  <c r="U264" i="32"/>
  <c r="U276" i="32"/>
  <c r="U277" i="32"/>
  <c r="P173" i="32"/>
  <c r="P161" i="32"/>
  <c r="P185" i="32"/>
  <c r="T292" i="32"/>
  <c r="T268" i="32"/>
  <c r="T280" i="32"/>
  <c r="J280" i="32"/>
  <c r="J268" i="32"/>
  <c r="J292" i="32"/>
  <c r="K184" i="32"/>
  <c r="K172" i="32"/>
  <c r="K160" i="32"/>
  <c r="AA186" i="32"/>
  <c r="AA174" i="32"/>
  <c r="AA162" i="32"/>
  <c r="Q271" i="32"/>
  <c r="M172" i="32"/>
  <c r="M184" i="32"/>
  <c r="M160" i="32"/>
  <c r="AB184" i="32"/>
  <c r="AB172" i="32"/>
  <c r="AB160" i="32"/>
  <c r="R80" i="32"/>
  <c r="R56" i="32"/>
  <c r="R68" i="32"/>
  <c r="F277" i="32"/>
  <c r="G163" i="32"/>
  <c r="G187" i="32"/>
  <c r="G175" i="32"/>
  <c r="P187" i="32"/>
  <c r="P163" i="32"/>
  <c r="P175" i="32"/>
  <c r="U187" i="32"/>
  <c r="U175" i="32"/>
  <c r="U163" i="32"/>
  <c r="Z66" i="32"/>
  <c r="Z78" i="32"/>
  <c r="Z54" i="32"/>
  <c r="V182" i="32"/>
  <c r="V170" i="32"/>
  <c r="V168" i="32"/>
  <c r="V158" i="32"/>
  <c r="V156" i="32"/>
  <c r="V180" i="32"/>
  <c r="X180" i="32"/>
  <c r="X158" i="32"/>
  <c r="X168" i="32"/>
  <c r="X170" i="32"/>
  <c r="X156" i="32"/>
  <c r="X182" i="32"/>
  <c r="P280" i="32"/>
  <c r="X69" i="32"/>
  <c r="X57" i="32"/>
  <c r="X81" i="32"/>
  <c r="O66" i="32"/>
  <c r="O54" i="32"/>
  <c r="O78" i="32"/>
  <c r="Z46" i="32"/>
  <c r="M64" i="32"/>
  <c r="M52" i="32"/>
  <c r="M62" i="32"/>
  <c r="M76" i="32"/>
  <c r="M50" i="32"/>
  <c r="M75" i="32"/>
  <c r="M74" i="32"/>
  <c r="P162" i="32"/>
  <c r="P174" i="32"/>
  <c r="P186" i="32"/>
  <c r="J46" i="32"/>
  <c r="N80" i="32"/>
  <c r="N68" i="32"/>
  <c r="N56" i="32"/>
  <c r="I66" i="32"/>
  <c r="I78" i="32"/>
  <c r="I54" i="32"/>
  <c r="U74" i="32"/>
  <c r="U64" i="32"/>
  <c r="U52" i="32"/>
  <c r="U76" i="32"/>
  <c r="U63" i="32"/>
  <c r="U50" i="32"/>
  <c r="U62" i="32"/>
  <c r="U75" i="32"/>
  <c r="U51" i="32"/>
  <c r="B64" i="32"/>
  <c r="L390" i="32"/>
  <c r="L402" i="32"/>
  <c r="L378" i="32"/>
  <c r="F401" i="32"/>
  <c r="F389" i="32"/>
  <c r="F377" i="32"/>
  <c r="F403" i="32"/>
  <c r="F379" i="32"/>
  <c r="F391" i="32"/>
  <c r="O391" i="32"/>
  <c r="O403" i="32"/>
  <c r="O379" i="32"/>
  <c r="E401" i="32"/>
  <c r="E377" i="32"/>
  <c r="E389" i="32"/>
  <c r="AA401" i="32"/>
  <c r="AA389" i="32"/>
  <c r="AA377" i="32"/>
  <c r="G402" i="32"/>
  <c r="G390" i="32"/>
  <c r="G378" i="32"/>
  <c r="E402" i="32"/>
  <c r="E390" i="32"/>
  <c r="E378" i="32"/>
  <c r="H402" i="32"/>
  <c r="H378" i="32"/>
  <c r="H390" i="32"/>
  <c r="R390" i="32"/>
  <c r="R378" i="32"/>
  <c r="R402" i="32"/>
  <c r="C385" i="32"/>
  <c r="C387" i="32"/>
  <c r="C397" i="32"/>
  <c r="C373" i="32"/>
  <c r="C399" i="32"/>
  <c r="C375" i="32"/>
  <c r="C374" i="32"/>
  <c r="F386" i="32"/>
  <c r="F399" i="32"/>
  <c r="F387" i="32"/>
  <c r="F374" i="32"/>
  <c r="F398" i="32"/>
  <c r="F385" i="32"/>
  <c r="F397" i="32"/>
  <c r="F373" i="32"/>
  <c r="F375" i="32"/>
  <c r="AB401" i="32"/>
  <c r="AB389" i="32"/>
  <c r="AB377" i="32"/>
  <c r="AC398" i="32"/>
  <c r="AC386" i="32"/>
  <c r="AC399" i="32"/>
  <c r="AC385" i="32"/>
  <c r="AC374" i="32"/>
  <c r="AC387" i="32"/>
  <c r="AC375" i="32"/>
  <c r="AC397" i="32"/>
  <c r="AC373" i="32"/>
  <c r="K404" i="32"/>
  <c r="K380" i="32"/>
  <c r="K392" i="32"/>
  <c r="S402" i="32"/>
  <c r="S378" i="32"/>
  <c r="S390" i="32"/>
  <c r="K282" i="32"/>
  <c r="K270" i="32"/>
  <c r="K294" i="32"/>
  <c r="R403" i="32"/>
  <c r="R391" i="32"/>
  <c r="R379" i="32"/>
  <c r="T271" i="32"/>
  <c r="T283" i="32"/>
  <c r="T295" i="32"/>
  <c r="AB293" i="32"/>
  <c r="AB269" i="32"/>
  <c r="AB281" i="32"/>
  <c r="E281" i="32"/>
  <c r="E293" i="32"/>
  <c r="E269" i="32"/>
  <c r="E404" i="32"/>
  <c r="E392" i="32"/>
  <c r="E380" i="32"/>
  <c r="W294" i="32"/>
  <c r="W282" i="32"/>
  <c r="W270" i="32"/>
  <c r="U185" i="32"/>
  <c r="U173" i="32"/>
  <c r="U161" i="32"/>
  <c r="AB162" i="32"/>
  <c r="AB174" i="32"/>
  <c r="AB186" i="32"/>
  <c r="X185" i="32"/>
  <c r="X173" i="32"/>
  <c r="X161" i="32"/>
  <c r="C184" i="32"/>
  <c r="C160" i="32"/>
  <c r="C172" i="32"/>
  <c r="B186" i="32"/>
  <c r="B174" i="32"/>
  <c r="B162" i="32"/>
  <c r="F186" i="32"/>
  <c r="F174" i="32"/>
  <c r="F162" i="32"/>
  <c r="R152" i="32"/>
  <c r="Q283" i="32"/>
  <c r="G184" i="32"/>
  <c r="G172" i="32"/>
  <c r="G160" i="32"/>
  <c r="W184" i="32"/>
  <c r="W172" i="32"/>
  <c r="W160" i="32"/>
  <c r="H184" i="32"/>
  <c r="H172" i="32"/>
  <c r="H160" i="32"/>
  <c r="J80" i="32"/>
  <c r="J68" i="32"/>
  <c r="J56" i="32"/>
  <c r="F288" i="32"/>
  <c r="I68" i="32"/>
  <c r="I56" i="32"/>
  <c r="I80" i="32"/>
  <c r="AB187" i="32"/>
  <c r="AB163" i="32"/>
  <c r="AB175" i="32"/>
  <c r="AC187" i="32"/>
  <c r="AC175" i="32"/>
  <c r="AC163" i="32"/>
  <c r="AA69" i="32"/>
  <c r="AA57" i="32"/>
  <c r="AA81" i="32"/>
  <c r="R54" i="32"/>
  <c r="R78" i="32"/>
  <c r="R66" i="32"/>
  <c r="F181" i="32"/>
  <c r="F182" i="32"/>
  <c r="F170" i="32"/>
  <c r="F169" i="32"/>
  <c r="F156" i="32"/>
  <c r="F158" i="32"/>
  <c r="F168" i="32"/>
  <c r="F180" i="32"/>
  <c r="I182" i="32"/>
  <c r="I168" i="32"/>
  <c r="I156" i="32"/>
  <c r="I180" i="32"/>
  <c r="I158" i="32"/>
  <c r="I170" i="32"/>
  <c r="K180" i="32"/>
  <c r="K158" i="32"/>
  <c r="K170" i="32"/>
  <c r="K157" i="32"/>
  <c r="K182" i="32"/>
  <c r="K168" i="32"/>
  <c r="K156" i="32"/>
  <c r="G78" i="32"/>
  <c r="G54" i="32"/>
  <c r="G66" i="32"/>
  <c r="AB68" i="32"/>
  <c r="AB80" i="32"/>
  <c r="AB56" i="32"/>
  <c r="W46" i="32"/>
  <c r="V68" i="32"/>
  <c r="V56" i="32"/>
  <c r="V80" i="32"/>
  <c r="Y66" i="32"/>
  <c r="Y78" i="32"/>
  <c r="Y54" i="32"/>
  <c r="N185" i="32"/>
  <c r="N161" i="32"/>
  <c r="N173" i="32"/>
  <c r="E79" i="32"/>
  <c r="E67" i="32"/>
  <c r="E55" i="32"/>
  <c r="L403" i="32"/>
  <c r="L391" i="32"/>
  <c r="L379" i="32"/>
  <c r="Z389" i="32"/>
  <c r="Z377" i="32"/>
  <c r="Z401" i="32"/>
  <c r="T403" i="32"/>
  <c r="T391" i="32"/>
  <c r="T379" i="32"/>
  <c r="W391" i="32"/>
  <c r="W403" i="32"/>
  <c r="W379" i="32"/>
  <c r="W389" i="32"/>
  <c r="W377" i="32"/>
  <c r="W401" i="32"/>
  <c r="L401" i="32"/>
  <c r="L389" i="32"/>
  <c r="L377" i="32"/>
  <c r="H401" i="32"/>
  <c r="H377" i="32"/>
  <c r="H389" i="32"/>
  <c r="P402" i="32"/>
  <c r="P378" i="32"/>
  <c r="P390" i="32"/>
  <c r="Z390" i="32"/>
  <c r="Z402" i="32"/>
  <c r="Z378" i="32"/>
  <c r="K385" i="32"/>
  <c r="K398" i="32"/>
  <c r="K386" i="32"/>
  <c r="K387" i="32"/>
  <c r="K373" i="32"/>
  <c r="K397" i="32"/>
  <c r="K399" i="32"/>
  <c r="K374" i="32"/>
  <c r="K375" i="32"/>
  <c r="X401" i="32"/>
  <c r="X377" i="32"/>
  <c r="X389" i="32"/>
  <c r="Q404" i="32"/>
  <c r="Q380" i="32"/>
  <c r="Q392" i="32"/>
  <c r="AC294" i="32"/>
  <c r="AC270" i="32"/>
  <c r="AC282" i="32"/>
  <c r="R270" i="32"/>
  <c r="R282" i="32"/>
  <c r="R294" i="32"/>
  <c r="I269" i="32"/>
  <c r="I293" i="32"/>
  <c r="I281" i="32"/>
  <c r="M281" i="32"/>
  <c r="M293" i="32"/>
  <c r="M269" i="32"/>
  <c r="J270" i="32"/>
  <c r="J282" i="32"/>
  <c r="J294" i="32"/>
  <c r="I161" i="32"/>
  <c r="I185" i="32"/>
  <c r="I173" i="32"/>
  <c r="T186" i="32"/>
  <c r="T162" i="32"/>
  <c r="T174" i="32"/>
  <c r="C185" i="32"/>
  <c r="C173" i="32"/>
  <c r="C161" i="32"/>
  <c r="N280" i="32"/>
  <c r="N268" i="32"/>
  <c r="N292" i="32"/>
  <c r="Z280" i="32"/>
  <c r="Z268" i="32"/>
  <c r="Z292" i="32"/>
  <c r="J186" i="32"/>
  <c r="J174" i="32"/>
  <c r="J162" i="32"/>
  <c r="N186" i="32"/>
  <c r="N174" i="32"/>
  <c r="N162" i="32"/>
  <c r="F160" i="32"/>
  <c r="F184" i="32"/>
  <c r="F172" i="32"/>
  <c r="P184" i="32"/>
  <c r="P172" i="32"/>
  <c r="P160" i="32"/>
  <c r="AC184" i="32"/>
  <c r="AC172" i="32"/>
  <c r="AC160" i="32"/>
  <c r="B80" i="32"/>
  <c r="B56" i="32"/>
  <c r="B68" i="32"/>
  <c r="F264" i="32"/>
  <c r="X175" i="32"/>
  <c r="X163" i="32"/>
  <c r="X187" i="32"/>
  <c r="F175" i="32"/>
  <c r="F163" i="32"/>
  <c r="F187" i="32"/>
  <c r="S57" i="32"/>
  <c r="S81" i="32"/>
  <c r="S69" i="32"/>
  <c r="J66" i="32"/>
  <c r="J78" i="32"/>
  <c r="J54" i="32"/>
  <c r="P180" i="32"/>
  <c r="P158" i="32"/>
  <c r="P168" i="32"/>
  <c r="P170" i="32"/>
  <c r="P156" i="32"/>
  <c r="P182" i="32"/>
  <c r="Q182" i="32"/>
  <c r="Q168" i="32"/>
  <c r="Q156" i="32"/>
  <c r="Q180" i="32"/>
  <c r="Q158" i="32"/>
  <c r="Q170" i="32"/>
  <c r="L68" i="32"/>
  <c r="L56" i="32"/>
  <c r="L80" i="32"/>
  <c r="I81" i="32"/>
  <c r="I69" i="32"/>
  <c r="I57" i="32"/>
  <c r="B46" i="32"/>
  <c r="C66" i="32"/>
  <c r="C54" i="32"/>
  <c r="C78" i="32"/>
  <c r="L151" i="32"/>
  <c r="B62" i="32"/>
  <c r="AA385" i="32"/>
  <c r="AA398" i="32"/>
  <c r="AA386" i="32"/>
  <c r="AA387" i="32"/>
  <c r="AA399" i="32"/>
  <c r="AA373" i="32"/>
  <c r="AA374" i="32"/>
  <c r="AA397" i="32"/>
  <c r="AA375" i="32"/>
  <c r="M391" i="32"/>
  <c r="M379" i="32"/>
  <c r="M403" i="32"/>
  <c r="J401" i="32"/>
  <c r="J389" i="32"/>
  <c r="J377" i="32"/>
  <c r="D401" i="32"/>
  <c r="D389" i="32"/>
  <c r="D377" i="32"/>
  <c r="AB403" i="32"/>
  <c r="AB391" i="32"/>
  <c r="AB379" i="32"/>
  <c r="I403" i="32"/>
  <c r="I391" i="32"/>
  <c r="I379" i="32"/>
  <c r="M398" i="32"/>
  <c r="M386" i="32"/>
  <c r="M399" i="32"/>
  <c r="M385" i="32"/>
  <c r="M374" i="32"/>
  <c r="M397" i="32"/>
  <c r="M387" i="32"/>
  <c r="M375" i="32"/>
  <c r="M373" i="32"/>
  <c r="G399" i="32"/>
  <c r="G397" i="32"/>
  <c r="G398" i="32"/>
  <c r="G374" i="32"/>
  <c r="G385" i="32"/>
  <c r="G373" i="32"/>
  <c r="G387" i="32"/>
  <c r="G375" i="32"/>
  <c r="G386" i="32"/>
  <c r="X402" i="32"/>
  <c r="X390" i="32"/>
  <c r="X378" i="32"/>
  <c r="D390" i="32"/>
  <c r="D402" i="32"/>
  <c r="D378" i="32"/>
  <c r="S385" i="32"/>
  <c r="S398" i="32"/>
  <c r="S386" i="32"/>
  <c r="S387" i="32"/>
  <c r="S373" i="32"/>
  <c r="S397" i="32"/>
  <c r="S399" i="32"/>
  <c r="S374" i="32"/>
  <c r="S375" i="32"/>
  <c r="V386" i="32"/>
  <c r="V399" i="32"/>
  <c r="V387" i="32"/>
  <c r="V397" i="32"/>
  <c r="V374" i="32"/>
  <c r="V385" i="32"/>
  <c r="V398" i="32"/>
  <c r="V373" i="32"/>
  <c r="V375" i="32"/>
  <c r="W399" i="32"/>
  <c r="W397" i="32"/>
  <c r="W398" i="32"/>
  <c r="W374" i="32"/>
  <c r="W385" i="32"/>
  <c r="W373" i="32"/>
  <c r="W375" i="32"/>
  <c r="W386" i="32"/>
  <c r="W387" i="32"/>
  <c r="B401" i="32"/>
  <c r="B389" i="32"/>
  <c r="B377" i="32"/>
  <c r="AC390" i="32"/>
  <c r="AC378" i="32"/>
  <c r="AC402" i="32"/>
  <c r="U404" i="32"/>
  <c r="U392" i="32"/>
  <c r="U380" i="32"/>
  <c r="G404" i="32"/>
  <c r="G392" i="32"/>
  <c r="G380" i="32"/>
  <c r="AA402" i="32"/>
  <c r="AA378" i="32"/>
  <c r="AA390" i="32"/>
  <c r="D270" i="32"/>
  <c r="D294" i="32"/>
  <c r="D282" i="32"/>
  <c r="H282" i="32"/>
  <c r="H294" i="32"/>
  <c r="H270" i="32"/>
  <c r="F294" i="32"/>
  <c r="F282" i="32"/>
  <c r="F270" i="32"/>
  <c r="G293" i="32"/>
  <c r="G269" i="32"/>
  <c r="G281" i="32"/>
  <c r="W293" i="32"/>
  <c r="W269" i="32"/>
  <c r="W281" i="32"/>
  <c r="Q281" i="32"/>
  <c r="Q269" i="32"/>
  <c r="Q293" i="32"/>
  <c r="U281" i="32"/>
  <c r="U293" i="32"/>
  <c r="U269" i="32"/>
  <c r="C294" i="32"/>
  <c r="C282" i="32"/>
  <c r="C270" i="32"/>
  <c r="P293" i="32"/>
  <c r="P281" i="32"/>
  <c r="P269" i="32"/>
  <c r="Y295" i="32"/>
  <c r="Y283" i="32"/>
  <c r="Y271" i="32"/>
  <c r="R295" i="32"/>
  <c r="R283" i="32"/>
  <c r="R271" i="32"/>
  <c r="G289" i="32"/>
  <c r="G290" i="32"/>
  <c r="G288" i="32"/>
  <c r="G276" i="32"/>
  <c r="G278" i="32"/>
  <c r="G264" i="32"/>
  <c r="G266" i="32"/>
  <c r="L162" i="32"/>
  <c r="L174" i="32"/>
  <c r="L186" i="32"/>
  <c r="K185" i="32"/>
  <c r="K173" i="32"/>
  <c r="K161" i="32"/>
  <c r="O170" i="32"/>
  <c r="O180" i="32"/>
  <c r="O158" i="32"/>
  <c r="O182" i="32"/>
  <c r="O156" i="32"/>
  <c r="O168" i="32"/>
  <c r="H174" i="32"/>
  <c r="H186" i="32"/>
  <c r="H162" i="32"/>
  <c r="R186" i="32"/>
  <c r="R174" i="32"/>
  <c r="R162" i="32"/>
  <c r="V186" i="32"/>
  <c r="V174" i="32"/>
  <c r="V162" i="32"/>
  <c r="J184" i="32"/>
  <c r="J160" i="32"/>
  <c r="J172" i="32"/>
  <c r="X184" i="32"/>
  <c r="X172" i="32"/>
  <c r="X160" i="32"/>
  <c r="F152" i="32"/>
  <c r="T78" i="32"/>
  <c r="T54" i="32"/>
  <c r="T66" i="32"/>
  <c r="B187" i="32"/>
  <c r="B163" i="32"/>
  <c r="B175" i="32"/>
  <c r="T187" i="32"/>
  <c r="T163" i="32"/>
  <c r="T175" i="32"/>
  <c r="K81" i="32"/>
  <c r="K69" i="32"/>
  <c r="K57" i="32"/>
  <c r="B78" i="32"/>
  <c r="B54" i="32"/>
  <c r="B66" i="32"/>
  <c r="Y182" i="32"/>
  <c r="Y168" i="32"/>
  <c r="Y156" i="32"/>
  <c r="Y158" i="32"/>
  <c r="Y180" i="32"/>
  <c r="Y181" i="32"/>
  <c r="Y170" i="32"/>
  <c r="AC80" i="32"/>
  <c r="AC56" i="32"/>
  <c r="AC68" i="32"/>
  <c r="W187" i="32"/>
  <c r="W163" i="32"/>
  <c r="W175" i="32"/>
  <c r="D68" i="32"/>
  <c r="D80" i="32"/>
  <c r="D56" i="32"/>
  <c r="R46" i="32"/>
  <c r="K78" i="32"/>
  <c r="K54" i="32"/>
  <c r="K66" i="32"/>
  <c r="AC151" i="32"/>
  <c r="Q151" i="32"/>
  <c r="U55" i="32"/>
  <c r="U67" i="32"/>
  <c r="U79" i="32"/>
  <c r="P374" i="32" l="1"/>
  <c r="L157" i="32"/>
  <c r="C386" i="32"/>
  <c r="V169" i="32"/>
  <c r="K51" i="32"/>
  <c r="W157" i="32"/>
  <c r="H277" i="32"/>
  <c r="C169" i="32"/>
  <c r="P398" i="32"/>
  <c r="Y289" i="32"/>
  <c r="L265" i="32"/>
  <c r="W181" i="32"/>
  <c r="H157" i="32"/>
  <c r="Z277" i="32"/>
  <c r="V277" i="32"/>
  <c r="H265" i="32"/>
  <c r="Y277" i="32"/>
  <c r="AB63" i="32"/>
  <c r="V181" i="32"/>
  <c r="K277" i="32"/>
  <c r="L289" i="32"/>
  <c r="AB51" i="32"/>
  <c r="I51" i="32"/>
  <c r="R374" i="32"/>
  <c r="M51" i="32"/>
  <c r="I398" i="32"/>
  <c r="Z289" i="32"/>
  <c r="U169" i="32"/>
  <c r="X51" i="32"/>
  <c r="D63" i="32"/>
  <c r="I277" i="32"/>
  <c r="T277" i="32"/>
  <c r="X181" i="32"/>
  <c r="S169" i="32"/>
  <c r="P289" i="32"/>
  <c r="AA157" i="32"/>
  <c r="P277" i="32"/>
  <c r="S265" i="32"/>
  <c r="T265" i="32"/>
  <c r="P169" i="32"/>
  <c r="AA169" i="32"/>
  <c r="P157" i="32"/>
  <c r="G265" i="32"/>
  <c r="E51" i="32"/>
  <c r="E75" i="32"/>
  <c r="F265" i="32"/>
  <c r="B289" i="32"/>
  <c r="R75" i="32"/>
  <c r="W277" i="32"/>
  <c r="B277" i="32"/>
  <c r="I75" i="32"/>
  <c r="B75" i="32"/>
  <c r="W289" i="32"/>
  <c r="X289" i="32"/>
  <c r="Y157" i="32"/>
  <c r="K169" i="32"/>
  <c r="AA51" i="32"/>
  <c r="AA63" i="32"/>
  <c r="L75" i="32"/>
  <c r="AC51" i="32"/>
  <c r="E181" i="32"/>
  <c r="AC75" i="32"/>
  <c r="E169" i="32"/>
  <c r="N181" i="32"/>
  <c r="G169" i="32"/>
  <c r="G181" i="32"/>
  <c r="N169" i="32"/>
  <c r="G75" i="32"/>
  <c r="AB181" i="32"/>
  <c r="G63" i="32"/>
  <c r="C63" i="32"/>
  <c r="T181" i="32"/>
  <c r="O157" i="32"/>
  <c r="Q169" i="32"/>
  <c r="F63" i="32"/>
  <c r="O169" i="32"/>
  <c r="Q157" i="32"/>
  <c r="W51" i="32"/>
  <c r="AB157" i="32"/>
  <c r="D157" i="32"/>
  <c r="F51" i="32"/>
  <c r="W63" i="32"/>
  <c r="D169" i="32"/>
  <c r="C51" i="32"/>
  <c r="T169" i="32"/>
  <c r="I181" i="32"/>
  <c r="Z169" i="32"/>
  <c r="X157" i="32"/>
  <c r="B157" i="32"/>
  <c r="Z157" i="32"/>
  <c r="AC181" i="32"/>
  <c r="I157" i="32"/>
  <c r="AC157" i="32"/>
  <c r="B181" i="32"/>
  <c r="J181" i="32"/>
  <c r="J169" i="32"/>
  <c r="X76" i="2"/>
  <c r="X7" i="2"/>
  <c r="Q199" i="2" l="1"/>
  <c r="P199" i="2"/>
  <c r="O199" i="2"/>
  <c r="Q187" i="2"/>
  <c r="P187" i="2"/>
  <c r="O187" i="2"/>
  <c r="Q175" i="2"/>
  <c r="P175" i="2"/>
  <c r="O175" i="2"/>
  <c r="Q150" i="2"/>
  <c r="P150" i="2"/>
  <c r="O150" i="2"/>
  <c r="Q121" i="2"/>
  <c r="P121" i="2"/>
  <c r="O121" i="2"/>
  <c r="Q109" i="2"/>
  <c r="P109" i="2"/>
  <c r="O109" i="2"/>
  <c r="Q97" i="2"/>
  <c r="P97" i="2"/>
  <c r="O97" i="2"/>
  <c r="Q40" i="2"/>
  <c r="P40" i="2"/>
  <c r="O40" i="2"/>
  <c r="Q28" i="2"/>
  <c r="P28" i="2"/>
  <c r="O28" i="2"/>
  <c r="Q16" i="2"/>
  <c r="P16" i="2"/>
  <c r="AS141" i="2"/>
  <c r="AN141" i="2"/>
  <c r="AI141" i="2"/>
  <c r="AM141" i="2"/>
  <c r="AH141" i="2"/>
  <c r="AR141" i="2"/>
  <c r="Y141" i="2"/>
  <c r="X141" i="2"/>
  <c r="AN76" i="2"/>
  <c r="AM76" i="2"/>
  <c r="AI76" i="2"/>
  <c r="AH76" i="2"/>
  <c r="AD76" i="2"/>
  <c r="AC76" i="2"/>
  <c r="Y76" i="2"/>
  <c r="Y7" i="2"/>
  <c r="AD7" i="2"/>
  <c r="AC7" i="2"/>
  <c r="AI7" i="2"/>
  <c r="AH7" i="2"/>
  <c r="H41" i="29"/>
  <c r="H51" i="29"/>
  <c r="H56" i="29"/>
  <c r="H61" i="29"/>
  <c r="G51" i="29"/>
  <c r="G56" i="29"/>
  <c r="G61" i="29"/>
  <c r="G41" i="29"/>
  <c r="H37" i="29"/>
  <c r="H47" i="29"/>
  <c r="H52" i="29"/>
  <c r="H57" i="29"/>
  <c r="G47" i="29"/>
  <c r="G52" i="29"/>
  <c r="G57" i="29"/>
  <c r="G37" i="29"/>
  <c r="H39" i="29"/>
  <c r="H49" i="29"/>
  <c r="H54" i="29"/>
  <c r="H59" i="29"/>
  <c r="G49" i="29"/>
  <c r="G54" i="29"/>
  <c r="G59" i="29"/>
  <c r="G39" i="29"/>
  <c r="H40" i="29"/>
  <c r="H50" i="29"/>
  <c r="H55" i="29"/>
  <c r="H60" i="29"/>
  <c r="G50" i="29"/>
  <c r="G55" i="29"/>
  <c r="G60" i="29"/>
  <c r="G40" i="29"/>
  <c r="H6" i="29"/>
  <c r="H11" i="29"/>
  <c r="H16" i="29"/>
  <c r="G11" i="29"/>
  <c r="G16" i="29"/>
  <c r="G6" i="29"/>
  <c r="H3" i="29"/>
  <c r="H8" i="29"/>
  <c r="H13" i="29"/>
  <c r="G8" i="29"/>
  <c r="G13" i="29"/>
  <c r="G3" i="29"/>
  <c r="H2" i="29"/>
  <c r="H7" i="29"/>
  <c r="H12" i="29"/>
  <c r="G7" i="29"/>
  <c r="G12" i="29"/>
  <c r="G2" i="29"/>
  <c r="H4" i="29"/>
  <c r="H9" i="29"/>
  <c r="H14" i="29"/>
  <c r="G9" i="29"/>
  <c r="G14" i="29"/>
  <c r="G4" i="29"/>
  <c r="H5" i="29"/>
  <c r="H10" i="29"/>
  <c r="H15" i="29"/>
  <c r="G10" i="29"/>
  <c r="G15" i="29"/>
  <c r="G5" i="29"/>
  <c r="H21" i="29"/>
  <c r="H26" i="29"/>
  <c r="H31" i="29"/>
  <c r="H36" i="29"/>
  <c r="G26" i="29"/>
  <c r="G31" i="29"/>
  <c r="G36" i="29"/>
  <c r="G21" i="29"/>
  <c r="L344" i="32" l="1"/>
  <c r="L127" i="32"/>
  <c r="L235" i="32"/>
  <c r="L21" i="32"/>
  <c r="O344" i="32"/>
  <c r="O127" i="32"/>
  <c r="O21" i="32"/>
  <c r="O235" i="32"/>
  <c r="P127" i="32"/>
  <c r="P235" i="32"/>
  <c r="P21" i="32"/>
  <c r="P344" i="32"/>
  <c r="V21" i="32" l="1"/>
  <c r="G41" i="32" s="1"/>
  <c r="AP21" i="32"/>
  <c r="AA41" i="32" s="1"/>
  <c r="AG21" i="32"/>
  <c r="R41" i="32" s="1"/>
  <c r="AK21" i="32"/>
  <c r="V41" i="32" s="1"/>
  <c r="AH21" i="32"/>
  <c r="S41" i="32" s="1"/>
  <c r="AA21" i="32"/>
  <c r="L41" i="32" s="1"/>
  <c r="AI21" i="32"/>
  <c r="T41" i="32" s="1"/>
  <c r="AN21" i="32"/>
  <c r="Y41" i="32" s="1"/>
  <c r="Q21" i="32"/>
  <c r="B41" i="32" s="1"/>
  <c r="B58" i="32" s="1"/>
  <c r="AC21" i="32"/>
  <c r="N41" i="32" s="1"/>
  <c r="Z21" i="32"/>
  <c r="K41" i="32" s="1"/>
  <c r="X21" i="32"/>
  <c r="I41" i="32" s="1"/>
  <c r="AM21" i="32"/>
  <c r="X41" i="32" s="1"/>
  <c r="U21" i="32"/>
  <c r="F41" i="32" s="1"/>
  <c r="R21" i="32"/>
  <c r="C41" i="32" s="1"/>
  <c r="S21" i="32"/>
  <c r="D41" i="32" s="1"/>
  <c r="AF21" i="32"/>
  <c r="Q41" i="32" s="1"/>
  <c r="AE21" i="32"/>
  <c r="P41" i="32" s="1"/>
  <c r="AJ21" i="32"/>
  <c r="U41" i="32" s="1"/>
  <c r="AO21" i="32"/>
  <c r="Z41" i="32" s="1"/>
  <c r="W21" i="32"/>
  <c r="H41" i="32" s="1"/>
  <c r="T21" i="32"/>
  <c r="E41" i="32" s="1"/>
  <c r="Y21" i="32"/>
  <c r="J41" i="32" s="1"/>
  <c r="AD21" i="32"/>
  <c r="O41" i="32" s="1"/>
  <c r="AR21" i="32"/>
  <c r="AC41" i="32" s="1"/>
  <c r="AQ21" i="32"/>
  <c r="AB41" i="32" s="1"/>
  <c r="AL21" i="32"/>
  <c r="W41" i="32" s="1"/>
  <c r="AB21" i="32"/>
  <c r="M41" i="32" s="1"/>
  <c r="AA344" i="32"/>
  <c r="L364" i="32" s="1"/>
  <c r="W344" i="32"/>
  <c r="H364" i="32" s="1"/>
  <c r="AD344" i="32"/>
  <c r="O364" i="32" s="1"/>
  <c r="S344" i="32"/>
  <c r="D364" i="32" s="1"/>
  <c r="AK344" i="32"/>
  <c r="V364" i="32" s="1"/>
  <c r="R344" i="32"/>
  <c r="C364" i="32" s="1"/>
  <c r="AP344" i="32"/>
  <c r="AA364" i="32" s="1"/>
  <c r="AO344" i="32"/>
  <c r="Z364" i="32" s="1"/>
  <c r="X344" i="32"/>
  <c r="I364" i="32" s="1"/>
  <c r="AF344" i="32"/>
  <c r="Q364" i="32" s="1"/>
  <c r="AE344" i="32"/>
  <c r="P364" i="32" s="1"/>
  <c r="AN344" i="32"/>
  <c r="Y364" i="32" s="1"/>
  <c r="AG344" i="32"/>
  <c r="R364" i="32" s="1"/>
  <c r="AJ344" i="32"/>
  <c r="U364" i="32" s="1"/>
  <c r="AB344" i="32"/>
  <c r="M364" i="32" s="1"/>
  <c r="AL344" i="32"/>
  <c r="W364" i="32" s="1"/>
  <c r="AI344" i="32"/>
  <c r="T364" i="32" s="1"/>
  <c r="Z344" i="32"/>
  <c r="K364" i="32" s="1"/>
  <c r="Y344" i="32"/>
  <c r="J364" i="32" s="1"/>
  <c r="V344" i="32"/>
  <c r="G364" i="32" s="1"/>
  <c r="T344" i="32"/>
  <c r="E364" i="32" s="1"/>
  <c r="Q344" i="32"/>
  <c r="B364" i="32" s="1"/>
  <c r="AH344" i="32"/>
  <c r="S364" i="32" s="1"/>
  <c r="AC344" i="32"/>
  <c r="N364" i="32" s="1"/>
  <c r="AQ344" i="32"/>
  <c r="AB364" i="32" s="1"/>
  <c r="AM344" i="32"/>
  <c r="X364" i="32" s="1"/>
  <c r="U344" i="32"/>
  <c r="F364" i="32" s="1"/>
  <c r="AR344" i="32"/>
  <c r="AC364" i="32" s="1"/>
  <c r="AB235" i="32"/>
  <c r="M255" i="32" s="1"/>
  <c r="AM235" i="32"/>
  <c r="X255" i="32" s="1"/>
  <c r="Y235" i="32"/>
  <c r="J255" i="32" s="1"/>
  <c r="AE235" i="32"/>
  <c r="P255" i="32" s="1"/>
  <c r="AI235" i="32"/>
  <c r="T255" i="32" s="1"/>
  <c r="AN235" i="32"/>
  <c r="Y255" i="32" s="1"/>
  <c r="Q235" i="32"/>
  <c r="B255" i="32" s="1"/>
  <c r="T235" i="32"/>
  <c r="E255" i="32" s="1"/>
  <c r="AJ235" i="32"/>
  <c r="U255" i="32" s="1"/>
  <c r="AF235" i="32"/>
  <c r="Q255" i="32" s="1"/>
  <c r="S235" i="32"/>
  <c r="D255" i="32" s="1"/>
  <c r="AK235" i="32"/>
  <c r="V255" i="32" s="1"/>
  <c r="Z235" i="32"/>
  <c r="K255" i="32" s="1"/>
  <c r="AL235" i="32"/>
  <c r="W255" i="32" s="1"/>
  <c r="AA235" i="32"/>
  <c r="L255" i="32" s="1"/>
  <c r="AQ235" i="32"/>
  <c r="AB255" i="32" s="1"/>
  <c r="AC235" i="32"/>
  <c r="N255" i="32" s="1"/>
  <c r="AR235" i="32"/>
  <c r="AC255" i="32" s="1"/>
  <c r="X235" i="32"/>
  <c r="I255" i="32" s="1"/>
  <c r="AD235" i="32"/>
  <c r="O255" i="32" s="1"/>
  <c r="V235" i="32"/>
  <c r="G255" i="32" s="1"/>
  <c r="U235" i="32"/>
  <c r="F255" i="32" s="1"/>
  <c r="AH235" i="32"/>
  <c r="S255" i="32" s="1"/>
  <c r="AO235" i="32"/>
  <c r="Z255" i="32" s="1"/>
  <c r="W235" i="32"/>
  <c r="H255" i="32" s="1"/>
  <c r="AG235" i="32"/>
  <c r="R255" i="32" s="1"/>
  <c r="AP235" i="32"/>
  <c r="AA255" i="32" s="1"/>
  <c r="R235" i="32"/>
  <c r="C255" i="32" s="1"/>
  <c r="AM127" i="32"/>
  <c r="X147" i="32" s="1"/>
  <c r="AD127" i="32"/>
  <c r="O147" i="32" s="1"/>
  <c r="V127" i="32"/>
  <c r="G147" i="32" s="1"/>
  <c r="AL127" i="32"/>
  <c r="W147" i="32" s="1"/>
  <c r="T127" i="32"/>
  <c r="E147" i="32" s="1"/>
  <c r="Q127" i="32"/>
  <c r="B147" i="32" s="1"/>
  <c r="AE127" i="32"/>
  <c r="P147" i="32" s="1"/>
  <c r="AG127" i="32"/>
  <c r="R147" i="32" s="1"/>
  <c r="AO127" i="32"/>
  <c r="Z147" i="32" s="1"/>
  <c r="S127" i="32"/>
  <c r="D147" i="32" s="1"/>
  <c r="AJ127" i="32"/>
  <c r="U147" i="32" s="1"/>
  <c r="AR127" i="32"/>
  <c r="AC147" i="32" s="1"/>
  <c r="AB127" i="32"/>
  <c r="M147" i="32" s="1"/>
  <c r="U127" i="32"/>
  <c r="F147" i="32" s="1"/>
  <c r="AA127" i="32"/>
  <c r="L147" i="32" s="1"/>
  <c r="Y127" i="32"/>
  <c r="J147" i="32" s="1"/>
  <c r="Z127" i="32"/>
  <c r="K147" i="32" s="1"/>
  <c r="AC127" i="32"/>
  <c r="N147" i="32" s="1"/>
  <c r="AI127" i="32"/>
  <c r="T147" i="32" s="1"/>
  <c r="AH127" i="32"/>
  <c r="S147" i="32" s="1"/>
  <c r="AQ127" i="32"/>
  <c r="AB147" i="32" s="1"/>
  <c r="AK127" i="32"/>
  <c r="V147" i="32" s="1"/>
  <c r="X127" i="32"/>
  <c r="I147" i="32" s="1"/>
  <c r="W127" i="32"/>
  <c r="H147" i="32" s="1"/>
  <c r="R127" i="32"/>
  <c r="C147" i="32" s="1"/>
  <c r="AF127" i="32"/>
  <c r="Q147" i="32" s="1"/>
  <c r="AP127" i="32"/>
  <c r="AA147" i="32" s="1"/>
  <c r="AN127" i="32"/>
  <c r="Y147" i="32" s="1"/>
  <c r="L192" i="2"/>
  <c r="M192" i="2"/>
  <c r="L180" i="2"/>
  <c r="L168" i="2"/>
  <c r="AC176" i="32" l="1"/>
  <c r="AC190" i="32"/>
  <c r="AC164" i="32"/>
  <c r="W176" i="32"/>
  <c r="W164" i="32"/>
  <c r="W190" i="32"/>
  <c r="Z298" i="32"/>
  <c r="Z284" i="32"/>
  <c r="Z272" i="32"/>
  <c r="AB284" i="32"/>
  <c r="AB298" i="32"/>
  <c r="AB272" i="32"/>
  <c r="E272" i="32"/>
  <c r="E298" i="32"/>
  <c r="E284" i="32"/>
  <c r="AC407" i="32"/>
  <c r="AC381" i="32"/>
  <c r="AC393" i="32"/>
  <c r="G381" i="32"/>
  <c r="G393" i="32"/>
  <c r="G407" i="32"/>
  <c r="Y393" i="32"/>
  <c r="Y407" i="32"/>
  <c r="Y381" i="32"/>
  <c r="D381" i="32"/>
  <c r="D407" i="32"/>
  <c r="D393" i="32"/>
  <c r="O84" i="32"/>
  <c r="O70" i="32"/>
  <c r="O58" i="32"/>
  <c r="D70" i="32"/>
  <c r="D84" i="32"/>
  <c r="D58" i="32"/>
  <c r="Y70" i="32"/>
  <c r="Y84" i="32"/>
  <c r="Y58" i="32"/>
  <c r="T190" i="32"/>
  <c r="T164" i="32"/>
  <c r="T176" i="32"/>
  <c r="G190" i="32"/>
  <c r="G164" i="32"/>
  <c r="G176" i="32"/>
  <c r="S272" i="32"/>
  <c r="S298" i="32"/>
  <c r="S284" i="32"/>
  <c r="L298" i="32"/>
  <c r="L272" i="32"/>
  <c r="L284" i="32"/>
  <c r="B284" i="32"/>
  <c r="B272" i="32"/>
  <c r="B298" i="32"/>
  <c r="F381" i="32"/>
  <c r="F407" i="32"/>
  <c r="F393" i="32"/>
  <c r="J407" i="32"/>
  <c r="J381" i="32"/>
  <c r="J393" i="32"/>
  <c r="P393" i="32"/>
  <c r="P407" i="32"/>
  <c r="P381" i="32"/>
  <c r="O393" i="32"/>
  <c r="O381" i="32"/>
  <c r="O407" i="32"/>
  <c r="J84" i="32"/>
  <c r="J58" i="32"/>
  <c r="J70" i="32"/>
  <c r="C84" i="32"/>
  <c r="C58" i="32"/>
  <c r="C70" i="32"/>
  <c r="T70" i="32"/>
  <c r="T58" i="32"/>
  <c r="T84" i="32"/>
  <c r="Q176" i="32"/>
  <c r="Q190" i="32"/>
  <c r="Q164" i="32"/>
  <c r="D164" i="32"/>
  <c r="D190" i="32"/>
  <c r="D176" i="32"/>
  <c r="O164" i="32"/>
  <c r="O190" i="32"/>
  <c r="O176" i="32"/>
  <c r="F284" i="32"/>
  <c r="F272" i="32"/>
  <c r="F298" i="32"/>
  <c r="W298" i="32"/>
  <c r="W284" i="32"/>
  <c r="W272" i="32"/>
  <c r="Y272" i="32"/>
  <c r="Y298" i="32"/>
  <c r="Y284" i="32"/>
  <c r="X407" i="32"/>
  <c r="X393" i="32"/>
  <c r="X381" i="32"/>
  <c r="K407" i="32"/>
  <c r="K393" i="32"/>
  <c r="K381" i="32"/>
  <c r="Q381" i="32"/>
  <c r="Q407" i="32"/>
  <c r="Q393" i="32"/>
  <c r="H407" i="32"/>
  <c r="H393" i="32"/>
  <c r="H381" i="32"/>
  <c r="E70" i="32"/>
  <c r="E84" i="32"/>
  <c r="E58" i="32"/>
  <c r="F58" i="32"/>
  <c r="F70" i="32"/>
  <c r="F84" i="32"/>
  <c r="L70" i="32"/>
  <c r="L58" i="32"/>
  <c r="L84" i="32"/>
  <c r="AA176" i="32"/>
  <c r="AA190" i="32"/>
  <c r="AA164" i="32"/>
  <c r="Z190" i="32"/>
  <c r="Z164" i="32"/>
  <c r="Z176" i="32"/>
  <c r="X164" i="32"/>
  <c r="X176" i="32"/>
  <c r="X190" i="32"/>
  <c r="G298" i="32"/>
  <c r="G272" i="32"/>
  <c r="G284" i="32"/>
  <c r="K272" i="32"/>
  <c r="K298" i="32"/>
  <c r="K284" i="32"/>
  <c r="T284" i="32"/>
  <c r="T272" i="32"/>
  <c r="T298" i="32"/>
  <c r="AB381" i="32"/>
  <c r="AB407" i="32"/>
  <c r="AB393" i="32"/>
  <c r="T381" i="32"/>
  <c r="T407" i="32"/>
  <c r="T393" i="32"/>
  <c r="I407" i="32"/>
  <c r="I381" i="32"/>
  <c r="I393" i="32"/>
  <c r="L381" i="32"/>
  <c r="L393" i="32"/>
  <c r="L407" i="32"/>
  <c r="H84" i="32"/>
  <c r="H58" i="32"/>
  <c r="H70" i="32"/>
  <c r="X84" i="32"/>
  <c r="X58" i="32"/>
  <c r="X70" i="32"/>
  <c r="S84" i="32"/>
  <c r="S58" i="32"/>
  <c r="S70" i="32"/>
  <c r="U190" i="32"/>
  <c r="U164" i="32"/>
  <c r="U176" i="32"/>
  <c r="H176" i="32"/>
  <c r="H190" i="32"/>
  <c r="H164" i="32"/>
  <c r="J190" i="32"/>
  <c r="J164" i="32"/>
  <c r="J176" i="32"/>
  <c r="R164" i="32"/>
  <c r="R190" i="32"/>
  <c r="R176" i="32"/>
  <c r="C284" i="32"/>
  <c r="C272" i="32"/>
  <c r="C298" i="32"/>
  <c r="O284" i="32"/>
  <c r="O272" i="32"/>
  <c r="O298" i="32"/>
  <c r="V272" i="32"/>
  <c r="V284" i="32"/>
  <c r="V298" i="32"/>
  <c r="P284" i="32"/>
  <c r="P298" i="32"/>
  <c r="P272" i="32"/>
  <c r="N407" i="32"/>
  <c r="N393" i="32"/>
  <c r="N381" i="32"/>
  <c r="W407" i="32"/>
  <c r="W393" i="32"/>
  <c r="W381" i="32"/>
  <c r="Z393" i="32"/>
  <c r="Z407" i="32"/>
  <c r="Z381" i="32"/>
  <c r="M84" i="32"/>
  <c r="M58" i="32"/>
  <c r="M70" i="32"/>
  <c r="Z58" i="32"/>
  <c r="Z84" i="32"/>
  <c r="Z70" i="32"/>
  <c r="I70" i="32"/>
  <c r="I58" i="32"/>
  <c r="I84" i="32"/>
  <c r="V84" i="32"/>
  <c r="V58" i="32"/>
  <c r="V70" i="32"/>
  <c r="S176" i="32"/>
  <c r="S164" i="32"/>
  <c r="S190" i="32"/>
  <c r="C164" i="32"/>
  <c r="C190" i="32"/>
  <c r="C176" i="32"/>
  <c r="L190" i="32"/>
  <c r="L176" i="32"/>
  <c r="L164" i="32"/>
  <c r="P164" i="32"/>
  <c r="P176" i="32"/>
  <c r="P190" i="32"/>
  <c r="AA272" i="32"/>
  <c r="AA298" i="32"/>
  <c r="AA284" i="32"/>
  <c r="I272" i="32"/>
  <c r="I284" i="32"/>
  <c r="I298" i="32"/>
  <c r="D298" i="32"/>
  <c r="D284" i="32"/>
  <c r="D272" i="32"/>
  <c r="J272" i="32"/>
  <c r="J298" i="32"/>
  <c r="J284" i="32"/>
  <c r="S381" i="32"/>
  <c r="S407" i="32"/>
  <c r="S393" i="32"/>
  <c r="M381" i="32"/>
  <c r="M393" i="32"/>
  <c r="M407" i="32"/>
  <c r="AA393" i="32"/>
  <c r="AA381" i="32"/>
  <c r="AA407" i="32"/>
  <c r="W84" i="32"/>
  <c r="W58" i="32"/>
  <c r="W70" i="32"/>
  <c r="U84" i="32"/>
  <c r="U70" i="32"/>
  <c r="U58" i="32"/>
  <c r="K70" i="32"/>
  <c r="K84" i="32"/>
  <c r="K58" i="32"/>
  <c r="R70" i="32"/>
  <c r="R58" i="32"/>
  <c r="R84" i="32"/>
  <c r="K190" i="32"/>
  <c r="K164" i="32"/>
  <c r="K176" i="32"/>
  <c r="F190" i="32"/>
  <c r="F176" i="32"/>
  <c r="F164" i="32"/>
  <c r="B190" i="32"/>
  <c r="B176" i="32"/>
  <c r="B164" i="32"/>
  <c r="R298" i="32"/>
  <c r="R272" i="32"/>
  <c r="R284" i="32"/>
  <c r="AC298" i="32"/>
  <c r="AC284" i="32"/>
  <c r="AC272" i="32"/>
  <c r="Q284" i="32"/>
  <c r="Q298" i="32"/>
  <c r="Q272" i="32"/>
  <c r="X272" i="32"/>
  <c r="X298" i="32"/>
  <c r="X284" i="32"/>
  <c r="B407" i="32"/>
  <c r="B381" i="32"/>
  <c r="B393" i="32"/>
  <c r="U407" i="32"/>
  <c r="U393" i="32"/>
  <c r="U381" i="32"/>
  <c r="C393" i="32"/>
  <c r="C381" i="32"/>
  <c r="C407" i="32"/>
  <c r="AB84" i="32"/>
  <c r="AB58" i="32"/>
  <c r="AB70" i="32"/>
  <c r="P58" i="32"/>
  <c r="P84" i="32"/>
  <c r="P70" i="32"/>
  <c r="N70" i="32"/>
  <c r="N58" i="32"/>
  <c r="N84" i="32"/>
  <c r="AA70" i="32"/>
  <c r="AA58" i="32"/>
  <c r="AA84" i="32"/>
  <c r="Y190" i="32"/>
  <c r="Y176" i="32"/>
  <c r="Y164" i="32"/>
  <c r="N190" i="32"/>
  <c r="N176" i="32"/>
  <c r="N164" i="32"/>
  <c r="I176" i="32"/>
  <c r="I164" i="32"/>
  <c r="I190" i="32"/>
  <c r="V190" i="32"/>
  <c r="V176" i="32"/>
  <c r="V164" i="32"/>
  <c r="AB164" i="32"/>
  <c r="AB190" i="32"/>
  <c r="AB176" i="32"/>
  <c r="M190" i="32"/>
  <c r="M164" i="32"/>
  <c r="M176" i="32"/>
  <c r="E176" i="32"/>
  <c r="E164" i="32"/>
  <c r="E190" i="32"/>
  <c r="H272" i="32"/>
  <c r="H284" i="32"/>
  <c r="H298" i="32"/>
  <c r="N284" i="32"/>
  <c r="N298" i="32"/>
  <c r="N272" i="32"/>
  <c r="U298" i="32"/>
  <c r="U284" i="32"/>
  <c r="U272" i="32"/>
  <c r="M284" i="32"/>
  <c r="M272" i="32"/>
  <c r="M298" i="32"/>
  <c r="E393" i="32"/>
  <c r="E381" i="32"/>
  <c r="E407" i="32"/>
  <c r="R381" i="32"/>
  <c r="R393" i="32"/>
  <c r="R407" i="32"/>
  <c r="V407" i="32"/>
  <c r="V393" i="32"/>
  <c r="V381" i="32"/>
  <c r="AC70" i="32"/>
  <c r="AC84" i="32"/>
  <c r="AC58" i="32"/>
  <c r="Q58" i="32"/>
  <c r="Q70" i="32"/>
  <c r="Q84" i="32"/>
  <c r="B70" i="32"/>
  <c r="B84" i="32"/>
  <c r="G84" i="32"/>
  <c r="G58" i="32"/>
  <c r="G70" i="32"/>
  <c r="M143" i="2"/>
  <c r="L143" i="2"/>
  <c r="M119" i="2" l="1"/>
  <c r="L119" i="2"/>
  <c r="M107" i="2"/>
  <c r="L107" i="2"/>
  <c r="M9" i="2" l="1"/>
  <c r="L9" i="2"/>
  <c r="AH144" i="2" l="1"/>
  <c r="AH145" i="2" s="1"/>
  <c r="AS144" i="2"/>
  <c r="AS145" i="2" s="1"/>
  <c r="AR144" i="2"/>
  <c r="AR145" i="2" s="1"/>
  <c r="AN144" i="2"/>
  <c r="AN145" i="2" s="1"/>
  <c r="AM144" i="2"/>
  <c r="AM145" i="2" s="1"/>
  <c r="AI144" i="2"/>
  <c r="AI145" i="2" s="1"/>
  <c r="AN79" i="2"/>
  <c r="AM79" i="2"/>
  <c r="AC79" i="2"/>
  <c r="AI79" i="2"/>
  <c r="AH79" i="2"/>
  <c r="AD79" i="2"/>
  <c r="AH10" i="2"/>
  <c r="AH11" i="2" s="1"/>
  <c r="AI10" i="2"/>
  <c r="AI11" i="2" s="1"/>
  <c r="AC10" i="2"/>
  <c r="AC11" i="2" s="1"/>
  <c r="AD10" i="2"/>
  <c r="AD11" i="2" s="1"/>
  <c r="A407" i="26"/>
  <c r="A298" i="26"/>
  <c r="A190" i="26"/>
  <c r="A84" i="26"/>
  <c r="A84" i="25"/>
  <c r="A190" i="25"/>
  <c r="A298" i="25"/>
  <c r="A407" i="25"/>
  <c r="A407" i="24"/>
  <c r="A298" i="24"/>
  <c r="A190" i="24"/>
  <c r="A84" i="24"/>
  <c r="A84" i="13"/>
  <c r="A190" i="13"/>
  <c r="A298" i="13"/>
  <c r="A407" i="13"/>
  <c r="A512" i="23"/>
  <c r="A407" i="23"/>
  <c r="A298" i="23"/>
  <c r="A190" i="23"/>
  <c r="A84" i="23"/>
  <c r="A84" i="22"/>
  <c r="A190" i="22"/>
  <c r="A298" i="22"/>
  <c r="A407" i="22"/>
  <c r="A512" i="22"/>
  <c r="A512" i="21"/>
  <c r="A407" i="21"/>
  <c r="A298" i="21"/>
  <c r="A190" i="21"/>
  <c r="A84" i="21"/>
  <c r="A84" i="20"/>
  <c r="A190" i="20"/>
  <c r="A298" i="20"/>
  <c r="A407" i="20"/>
  <c r="A512" i="20"/>
  <c r="A512" i="19"/>
  <c r="A407" i="19"/>
  <c r="A298" i="19"/>
  <c r="A190" i="19"/>
  <c r="A84" i="19"/>
  <c r="A58" i="20"/>
  <c r="A70" i="20" s="1"/>
  <c r="A164" i="20"/>
  <c r="A176" i="20" s="1"/>
  <c r="A272" i="20"/>
  <c r="A284" i="20" s="1"/>
  <c r="A381" i="20"/>
  <c r="A393" i="20" s="1"/>
  <c r="A486" i="20"/>
  <c r="A498" i="20" s="1"/>
  <c r="A469" i="20"/>
  <c r="A364" i="20"/>
  <c r="A255" i="20"/>
  <c r="A147" i="20"/>
  <c r="A41" i="20"/>
  <c r="A381" i="26"/>
  <c r="A393" i="26" s="1"/>
  <c r="A272" i="26"/>
  <c r="A284" i="26" s="1"/>
  <c r="A164" i="26"/>
  <c r="A176" i="26" s="1"/>
  <c r="A58" i="26"/>
  <c r="A70" i="26" s="1"/>
  <c r="A381" i="25"/>
  <c r="A393" i="25" s="1"/>
  <c r="A272" i="25"/>
  <c r="A284" i="25" s="1"/>
  <c r="A164" i="25"/>
  <c r="A176" i="25" s="1"/>
  <c r="A58" i="25"/>
  <c r="A70" i="25" s="1"/>
  <c r="A381" i="24"/>
  <c r="A393" i="24" s="1"/>
  <c r="A272" i="24"/>
  <c r="A284" i="24" s="1"/>
  <c r="A164" i="24"/>
  <c r="A176" i="24" s="1"/>
  <c r="A58" i="24"/>
  <c r="A70" i="24" s="1"/>
  <c r="A486" i="23"/>
  <c r="A498" i="23" s="1"/>
  <c r="A381" i="23"/>
  <c r="A393" i="23" s="1"/>
  <c r="A272" i="23"/>
  <c r="A284" i="23" s="1"/>
  <c r="A164" i="23"/>
  <c r="A176" i="23" s="1"/>
  <c r="A58" i="23"/>
  <c r="A70" i="23" s="1"/>
  <c r="A58" i="22"/>
  <c r="A70" i="22" s="1"/>
  <c r="A164" i="22"/>
  <c r="A176" i="22" s="1"/>
  <c r="A272" i="22"/>
  <c r="A284" i="22" s="1"/>
  <c r="A381" i="22"/>
  <c r="A393" i="22" s="1"/>
  <c r="A486" i="22"/>
  <c r="A498" i="22" s="1"/>
  <c r="A486" i="21"/>
  <c r="A498" i="21" s="1"/>
  <c r="A381" i="21"/>
  <c r="A393" i="21" s="1"/>
  <c r="A272" i="21"/>
  <c r="A284" i="21" s="1"/>
  <c r="A164" i="21"/>
  <c r="A176" i="21" s="1"/>
  <c r="A58" i="21"/>
  <c r="A70" i="21" s="1"/>
  <c r="A364" i="26"/>
  <c r="A255" i="26"/>
  <c r="A147" i="26"/>
  <c r="A41" i="26"/>
  <c r="A41" i="25"/>
  <c r="A147" i="25"/>
  <c r="A255" i="25"/>
  <c r="A364" i="25"/>
  <c r="A41" i="24"/>
  <c r="A147" i="24"/>
  <c r="A255" i="24"/>
  <c r="A364" i="24"/>
  <c r="A41" i="23"/>
  <c r="A147" i="23"/>
  <c r="A146" i="23"/>
  <c r="A255" i="23"/>
  <c r="A364" i="23"/>
  <c r="A469" i="23"/>
  <c r="A41" i="22"/>
  <c r="A147" i="22"/>
  <c r="A255" i="22"/>
  <c r="A364" i="22"/>
  <c r="A469" i="22"/>
  <c r="A469" i="21"/>
  <c r="A364" i="21"/>
  <c r="A255" i="21"/>
  <c r="A147" i="21"/>
  <c r="A41" i="21"/>
  <c r="P344" i="26"/>
  <c r="O344" i="26"/>
  <c r="L344" i="26"/>
  <c r="P235" i="26"/>
  <c r="O235" i="26"/>
  <c r="L235" i="26"/>
  <c r="P127" i="26"/>
  <c r="O127" i="26"/>
  <c r="L127" i="26"/>
  <c r="P21" i="26"/>
  <c r="O21" i="26"/>
  <c r="L21" i="26"/>
  <c r="P344" i="25"/>
  <c r="O344" i="25"/>
  <c r="L344" i="25"/>
  <c r="P235" i="25"/>
  <c r="O235" i="25"/>
  <c r="L235" i="25"/>
  <c r="P127" i="25"/>
  <c r="O127" i="25"/>
  <c r="L127" i="25"/>
  <c r="P21" i="25"/>
  <c r="O21" i="25"/>
  <c r="L21" i="25"/>
  <c r="P344" i="24"/>
  <c r="O344" i="24"/>
  <c r="L344" i="24"/>
  <c r="P235" i="24"/>
  <c r="O235" i="24"/>
  <c r="L235" i="24"/>
  <c r="P127" i="24"/>
  <c r="O127" i="24"/>
  <c r="L127" i="24"/>
  <c r="P21" i="24"/>
  <c r="O21" i="24"/>
  <c r="L21" i="24"/>
  <c r="P449" i="23"/>
  <c r="O449" i="23"/>
  <c r="L449" i="23"/>
  <c r="P344" i="23"/>
  <c r="O344" i="23"/>
  <c r="L344" i="23"/>
  <c r="P235" i="23"/>
  <c r="O235" i="23"/>
  <c r="L235" i="23"/>
  <c r="P127" i="23"/>
  <c r="O127" i="23"/>
  <c r="L127" i="23"/>
  <c r="P21" i="23"/>
  <c r="O21" i="23"/>
  <c r="L21" i="23"/>
  <c r="P449" i="22"/>
  <c r="O449" i="22"/>
  <c r="L449" i="22"/>
  <c r="P344" i="22"/>
  <c r="O344" i="22"/>
  <c r="L344" i="22"/>
  <c r="P235" i="22"/>
  <c r="O235" i="22"/>
  <c r="L235" i="22"/>
  <c r="P127" i="22"/>
  <c r="O127" i="22"/>
  <c r="L127" i="22"/>
  <c r="P21" i="22"/>
  <c r="O21" i="22"/>
  <c r="L21" i="22"/>
  <c r="P449" i="21"/>
  <c r="O449" i="21"/>
  <c r="L449" i="21"/>
  <c r="P344" i="21"/>
  <c r="O344" i="21"/>
  <c r="L344" i="21"/>
  <c r="P235" i="21"/>
  <c r="O235" i="21"/>
  <c r="L235" i="21"/>
  <c r="P127" i="21"/>
  <c r="O127" i="21"/>
  <c r="L127" i="21"/>
  <c r="P21" i="21"/>
  <c r="O21" i="21"/>
  <c r="L21" i="21"/>
  <c r="P449" i="20"/>
  <c r="O449" i="20"/>
  <c r="L449" i="20"/>
  <c r="P344" i="20"/>
  <c r="O344" i="20"/>
  <c r="L344" i="20"/>
  <c r="P235" i="20"/>
  <c r="O235" i="20"/>
  <c r="L235" i="20"/>
  <c r="P127" i="20"/>
  <c r="O127" i="20"/>
  <c r="L127" i="20"/>
  <c r="P21" i="20"/>
  <c r="O21" i="20"/>
  <c r="L21" i="20"/>
  <c r="A486" i="19"/>
  <c r="A498" i="19" s="1"/>
  <c r="A381" i="19"/>
  <c r="A393" i="19" s="1"/>
  <c r="A272" i="19"/>
  <c r="A284" i="19" s="1"/>
  <c r="A164" i="19"/>
  <c r="A176" i="19" s="1"/>
  <c r="A58" i="19"/>
  <c r="A70" i="19" s="1"/>
  <c r="A469" i="19"/>
  <c r="A364" i="19"/>
  <c r="A255" i="19"/>
  <c r="A147" i="19"/>
  <c r="A41" i="19"/>
  <c r="P449" i="19"/>
  <c r="O449" i="19"/>
  <c r="L449" i="19"/>
  <c r="P344" i="19"/>
  <c r="O344" i="19"/>
  <c r="L344" i="19"/>
  <c r="P235" i="19"/>
  <c r="O235" i="19"/>
  <c r="L235" i="19"/>
  <c r="P127" i="19"/>
  <c r="O127" i="19"/>
  <c r="L127" i="19"/>
  <c r="P21" i="19"/>
  <c r="O21" i="19"/>
  <c r="L21" i="19"/>
  <c r="P449" i="3"/>
  <c r="O449" i="3"/>
  <c r="L449" i="3"/>
  <c r="P344" i="3"/>
  <c r="O344" i="3"/>
  <c r="L344" i="3"/>
  <c r="P235" i="3"/>
  <c r="O235" i="3"/>
  <c r="L235" i="3"/>
  <c r="P127" i="3"/>
  <c r="O127" i="3"/>
  <c r="L127" i="3"/>
  <c r="P21" i="3"/>
  <c r="O21" i="3"/>
  <c r="L21" i="3"/>
  <c r="C124" i="2"/>
  <c r="C125" i="2" s="1"/>
  <c r="B124" i="2"/>
  <c r="B125" i="2" s="1"/>
  <c r="B113" i="2"/>
  <c r="B114" i="2" s="1"/>
  <c r="B101" i="2"/>
  <c r="B102" i="2" s="1"/>
  <c r="B89" i="2"/>
  <c r="B90" i="2" s="1"/>
  <c r="C115" i="2"/>
  <c r="B115" i="2"/>
  <c r="C113" i="2"/>
  <c r="C114" i="2" s="1"/>
  <c r="C103" i="2"/>
  <c r="B103" i="2"/>
  <c r="C101" i="2"/>
  <c r="C102" i="2" s="1"/>
  <c r="C89" i="2"/>
  <c r="C90" i="2" s="1"/>
  <c r="C91" i="2"/>
  <c r="B91" i="2"/>
  <c r="B78" i="2"/>
  <c r="C77" i="2"/>
  <c r="C78" i="2" s="1"/>
  <c r="E73" i="2"/>
  <c r="B80" i="2" s="1"/>
  <c r="M113" i="2"/>
  <c r="M116" i="2" s="1"/>
  <c r="L113" i="2"/>
  <c r="M101" i="2"/>
  <c r="M104" i="2" s="1"/>
  <c r="M92" i="2"/>
  <c r="L92" i="2"/>
  <c r="M78" i="2"/>
  <c r="M81" i="2" l="1"/>
  <c r="L81" i="2"/>
  <c r="X80" i="2" s="1"/>
  <c r="X81" i="2" s="1"/>
  <c r="AI12" i="2"/>
  <c r="M28" i="2" s="1"/>
  <c r="C127" i="19" s="1"/>
  <c r="F8" i="29"/>
  <c r="J8" i="29" s="1"/>
  <c r="F9" i="29"/>
  <c r="J9" i="29" s="1"/>
  <c r="F10" i="29"/>
  <c r="J10" i="29" s="1"/>
  <c r="F11" i="29"/>
  <c r="J11" i="29" s="1"/>
  <c r="F7" i="29"/>
  <c r="J7" i="29" s="1"/>
  <c r="F47" i="29"/>
  <c r="J47" i="29" s="1"/>
  <c r="F48" i="29"/>
  <c r="F49" i="29"/>
  <c r="J49" i="29" s="1"/>
  <c r="F50" i="29"/>
  <c r="J50" i="29" s="1"/>
  <c r="F51" i="29"/>
  <c r="J51" i="29" s="1"/>
  <c r="E52" i="29"/>
  <c r="I52" i="29" s="1"/>
  <c r="E56" i="29"/>
  <c r="I56" i="29" s="1"/>
  <c r="E53" i="29"/>
  <c r="E54" i="29"/>
  <c r="I54" i="29" s="1"/>
  <c r="E55" i="29"/>
  <c r="I55" i="29" s="1"/>
  <c r="E58" i="29"/>
  <c r="E59" i="29"/>
  <c r="I59" i="29" s="1"/>
  <c r="E60" i="29"/>
  <c r="I60" i="29" s="1"/>
  <c r="E61" i="29"/>
  <c r="I61" i="29" s="1"/>
  <c r="E57" i="29"/>
  <c r="I57" i="29" s="1"/>
  <c r="AH12" i="2"/>
  <c r="E7" i="29"/>
  <c r="I7" i="29" s="1"/>
  <c r="E11" i="29"/>
  <c r="I11" i="29" s="1"/>
  <c r="E8" i="29"/>
  <c r="I8" i="29" s="1"/>
  <c r="E9" i="29"/>
  <c r="I9" i="29" s="1"/>
  <c r="E10" i="29"/>
  <c r="I10" i="29" s="1"/>
  <c r="F53" i="29"/>
  <c r="F54" i="29"/>
  <c r="J54" i="29" s="1"/>
  <c r="F55" i="29"/>
  <c r="J55" i="29" s="1"/>
  <c r="F56" i="29"/>
  <c r="J56" i="29" s="1"/>
  <c r="F52" i="29"/>
  <c r="J52" i="29" s="1"/>
  <c r="AD12" i="2"/>
  <c r="F15" i="29"/>
  <c r="J15" i="29" s="1"/>
  <c r="F16" i="29"/>
  <c r="J16" i="29" s="1"/>
  <c r="F12" i="29"/>
  <c r="J12" i="29" s="1"/>
  <c r="F13" i="29"/>
  <c r="J13" i="29" s="1"/>
  <c r="F14" i="29"/>
  <c r="J14" i="29" s="1"/>
  <c r="AS146" i="2"/>
  <c r="M199" i="2" s="1"/>
  <c r="C127" i="26" s="1"/>
  <c r="F60" i="29"/>
  <c r="J60" i="29" s="1"/>
  <c r="F61" i="29"/>
  <c r="J61" i="29" s="1"/>
  <c r="F59" i="29"/>
  <c r="J59" i="29" s="1"/>
  <c r="F57" i="29"/>
  <c r="J57" i="29" s="1"/>
  <c r="F58" i="29"/>
  <c r="AC12" i="2"/>
  <c r="L40" i="2" s="1"/>
  <c r="B449" i="20" s="1"/>
  <c r="E13" i="29"/>
  <c r="I13" i="29" s="1"/>
  <c r="E14" i="29"/>
  <c r="I14" i="29" s="1"/>
  <c r="E15" i="29"/>
  <c r="I15" i="29" s="1"/>
  <c r="E16" i="29"/>
  <c r="I16" i="29" s="1"/>
  <c r="E12" i="29"/>
  <c r="I12" i="29" s="1"/>
  <c r="AH146" i="2"/>
  <c r="L175" i="2" s="1"/>
  <c r="B235" i="24" s="1"/>
  <c r="E50" i="29"/>
  <c r="I50" i="29" s="1"/>
  <c r="E51" i="29"/>
  <c r="I51" i="29" s="1"/>
  <c r="E47" i="29"/>
  <c r="I47" i="29" s="1"/>
  <c r="E48" i="29"/>
  <c r="E49" i="29"/>
  <c r="I49" i="29" s="1"/>
  <c r="L102" i="2"/>
  <c r="L104" i="2"/>
  <c r="L114" i="2"/>
  <c r="L116" i="2"/>
  <c r="C92" i="2"/>
  <c r="C116" i="2"/>
  <c r="B116" i="2"/>
  <c r="C104" i="2"/>
  <c r="B104" i="2"/>
  <c r="B92" i="2"/>
  <c r="C80" i="2"/>
  <c r="AR235" i="24"/>
  <c r="AP21" i="23"/>
  <c r="AK21" i="21"/>
  <c r="W344" i="20"/>
  <c r="AD344" i="22"/>
  <c r="AQ344" i="24"/>
  <c r="AQ235" i="22"/>
  <c r="AI127" i="20"/>
  <c r="AN146" i="2"/>
  <c r="M187" i="2" s="1"/>
  <c r="AI146" i="2"/>
  <c r="M175" i="2" s="1"/>
  <c r="C344" i="24" s="1"/>
  <c r="AR146" i="2"/>
  <c r="L199" i="2" s="1"/>
  <c r="B21" i="26" s="1"/>
  <c r="AM146" i="2"/>
  <c r="L187" i="2" s="1"/>
  <c r="B235" i="25" s="1"/>
  <c r="U235" i="20"/>
  <c r="AQ449" i="21"/>
  <c r="AQ449" i="22"/>
  <c r="S127" i="3"/>
  <c r="W235" i="19"/>
  <c r="AJ127" i="20"/>
  <c r="M40" i="2"/>
  <c r="C21" i="20" s="1"/>
  <c r="AK235" i="3"/>
  <c r="AD449" i="20"/>
  <c r="AE127" i="24"/>
  <c r="AR21" i="25"/>
  <c r="R127" i="20"/>
  <c r="AI21" i="20"/>
  <c r="AO449" i="20"/>
  <c r="AC235" i="20"/>
  <c r="AQ235" i="19"/>
  <c r="AL449" i="20"/>
  <c r="W344" i="19"/>
  <c r="AP344" i="20"/>
  <c r="AP449" i="20"/>
  <c r="U235" i="3"/>
  <c r="AA344" i="25"/>
  <c r="AR127" i="21"/>
  <c r="AQ127" i="20"/>
  <c r="AD127" i="21"/>
  <c r="AR344" i="21"/>
  <c r="R449" i="21"/>
  <c r="AR127" i="23"/>
  <c r="Y235" i="24"/>
  <c r="AR344" i="24"/>
  <c r="AP127" i="20"/>
  <c r="AM21" i="19"/>
  <c r="V449" i="21"/>
  <c r="AA235" i="24"/>
  <c r="R344" i="24"/>
  <c r="AR344" i="25"/>
  <c r="AR449" i="3"/>
  <c r="AR21" i="20"/>
  <c r="AQ344" i="20"/>
  <c r="AQ344" i="21"/>
  <c r="AA449" i="21"/>
  <c r="AR21" i="23"/>
  <c r="AI235" i="24"/>
  <c r="Z344" i="24"/>
  <c r="S344" i="25"/>
  <c r="AR127" i="26"/>
  <c r="Q235" i="24"/>
  <c r="U449" i="19"/>
  <c r="AA21" i="20"/>
  <c r="S127" i="20"/>
  <c r="AL235" i="20"/>
  <c r="AR235" i="21"/>
  <c r="AI449" i="21"/>
  <c r="AK449" i="22"/>
  <c r="Z21" i="23"/>
  <c r="Z21" i="24"/>
  <c r="AK235" i="24"/>
  <c r="AA344" i="24"/>
  <c r="T127" i="20"/>
  <c r="AR127" i="22"/>
  <c r="AQ235" i="24"/>
  <c r="AI344" i="24"/>
  <c r="AC344" i="26"/>
  <c r="T344" i="3"/>
  <c r="AH127" i="20"/>
  <c r="AR235" i="20"/>
  <c r="S344" i="20"/>
  <c r="AQ127" i="21"/>
  <c r="AJ449" i="21"/>
  <c r="AQ449" i="23"/>
  <c r="AK344" i="24"/>
  <c r="AR127" i="25"/>
  <c r="AP21" i="26"/>
  <c r="AQ344" i="26"/>
  <c r="AI449" i="20"/>
  <c r="Z127" i="20"/>
  <c r="AR127" i="20"/>
  <c r="AK235" i="20"/>
  <c r="AA344" i="20"/>
  <c r="R449" i="20"/>
  <c r="AQ449" i="20"/>
  <c r="AA127" i="20"/>
  <c r="AI344" i="20"/>
  <c r="S449" i="20"/>
  <c r="AQ21" i="20"/>
  <c r="AB127" i="20"/>
  <c r="Z449" i="20"/>
  <c r="AA449" i="20"/>
  <c r="AO127" i="20"/>
  <c r="AR344" i="20"/>
  <c r="AH449" i="20"/>
  <c r="AQ344" i="19"/>
  <c r="AB449" i="19"/>
  <c r="AC449" i="19"/>
  <c r="AJ449" i="19"/>
  <c r="AM449" i="19"/>
  <c r="W449" i="19"/>
  <c r="AR449" i="19"/>
  <c r="AQ127" i="19"/>
  <c r="AQ449" i="19"/>
  <c r="T449" i="19"/>
  <c r="AR127" i="3"/>
  <c r="AC235" i="3"/>
  <c r="AQ449" i="3"/>
  <c r="AQ235" i="3"/>
  <c r="AM344" i="3"/>
  <c r="V449" i="3"/>
  <c r="AR235" i="3"/>
  <c r="AQ344" i="3"/>
  <c r="AD449" i="3"/>
  <c r="AQ127" i="3"/>
  <c r="AR235" i="23"/>
  <c r="AR449" i="23"/>
  <c r="AR344" i="23"/>
  <c r="AR449" i="22"/>
  <c r="AR235" i="22"/>
  <c r="AR344" i="22"/>
  <c r="U449" i="22"/>
  <c r="V235" i="22"/>
  <c r="V344" i="22"/>
  <c r="AC449" i="22"/>
  <c r="AD235" i="22"/>
  <c r="AL344" i="22"/>
  <c r="AO127" i="22"/>
  <c r="AL235" i="22"/>
  <c r="AC21" i="21"/>
  <c r="AL127" i="21"/>
  <c r="V235" i="21"/>
  <c r="AO449" i="21"/>
  <c r="AP449" i="21"/>
  <c r="Z235" i="21"/>
  <c r="AA235" i="21"/>
  <c r="S449" i="21"/>
  <c r="AH235" i="21"/>
  <c r="U21" i="21"/>
  <c r="AI235" i="21"/>
  <c r="Z449" i="21"/>
  <c r="AO235" i="21"/>
  <c r="AP235" i="21"/>
  <c r="R235" i="21"/>
  <c r="AQ235" i="21"/>
  <c r="AH449" i="21"/>
  <c r="S235" i="21"/>
  <c r="Z21" i="26"/>
  <c r="AR344" i="26"/>
  <c r="AH21" i="26"/>
  <c r="AI235" i="25"/>
  <c r="AP127" i="25"/>
  <c r="AR235" i="25"/>
  <c r="U127" i="25"/>
  <c r="AC127" i="25"/>
  <c r="AK127" i="25"/>
  <c r="AQ344" i="25"/>
  <c r="AC235" i="24"/>
  <c r="AC344" i="24"/>
  <c r="AG235" i="24"/>
  <c r="AH344" i="24"/>
  <c r="AP127" i="24"/>
  <c r="S235" i="24"/>
  <c r="AO235" i="24"/>
  <c r="S344" i="24"/>
  <c r="AP344" i="24"/>
  <c r="V127" i="24"/>
  <c r="U235" i="24"/>
  <c r="U344" i="24"/>
  <c r="AQ235" i="26"/>
  <c r="AK344" i="26"/>
  <c r="AQ127" i="26"/>
  <c r="AR235" i="26"/>
  <c r="U344" i="26"/>
  <c r="AQ127" i="23"/>
  <c r="AQ235" i="23"/>
  <c r="AI344" i="23"/>
  <c r="AH21" i="23"/>
  <c r="U127" i="23"/>
  <c r="U235" i="23"/>
  <c r="U344" i="23"/>
  <c r="AC127" i="23"/>
  <c r="AC235" i="23"/>
  <c r="AC344" i="23"/>
  <c r="AK127" i="23"/>
  <c r="AK235" i="23"/>
  <c r="AK344" i="23"/>
  <c r="V344" i="26"/>
  <c r="AD344" i="26"/>
  <c r="AL344" i="26"/>
  <c r="W344" i="26"/>
  <c r="AE344" i="26"/>
  <c r="AM344" i="26"/>
  <c r="X344" i="26"/>
  <c r="AF344" i="26"/>
  <c r="AN344" i="26"/>
  <c r="Q344" i="26"/>
  <c r="Y344" i="26"/>
  <c r="AG344" i="26"/>
  <c r="AO344" i="26"/>
  <c r="R344" i="26"/>
  <c r="Z344" i="26"/>
  <c r="AH344" i="26"/>
  <c r="AP344" i="26"/>
  <c r="S344" i="26"/>
  <c r="AA344" i="26"/>
  <c r="AI344" i="26"/>
  <c r="T344" i="26"/>
  <c r="AB344" i="26"/>
  <c r="AJ344" i="26"/>
  <c r="T235" i="26"/>
  <c r="U235" i="26"/>
  <c r="AC235" i="26"/>
  <c r="AK235" i="26"/>
  <c r="W235" i="26"/>
  <c r="AE235" i="26"/>
  <c r="AM235" i="26"/>
  <c r="V235" i="26"/>
  <c r="X235" i="26"/>
  <c r="AF235" i="26"/>
  <c r="AN235" i="26"/>
  <c r="Q235" i="26"/>
  <c r="Y235" i="26"/>
  <c r="AG235" i="26"/>
  <c r="AO235" i="26"/>
  <c r="AD235" i="26"/>
  <c r="R235" i="26"/>
  <c r="Z235" i="26"/>
  <c r="AH235" i="26"/>
  <c r="AP235" i="26"/>
  <c r="AL235" i="26"/>
  <c r="S235" i="26"/>
  <c r="AA235" i="26"/>
  <c r="AI235" i="26"/>
  <c r="AB235" i="26"/>
  <c r="AJ235" i="26"/>
  <c r="U127" i="26"/>
  <c r="AC127" i="26"/>
  <c r="AK127" i="26"/>
  <c r="W127" i="26"/>
  <c r="AE127" i="26"/>
  <c r="AM127" i="26"/>
  <c r="X127" i="26"/>
  <c r="AF127" i="26"/>
  <c r="AN127" i="26"/>
  <c r="V127" i="26"/>
  <c r="Q127" i="26"/>
  <c r="Y127" i="26"/>
  <c r="AG127" i="26"/>
  <c r="AO127" i="26"/>
  <c r="AL127" i="26"/>
  <c r="R127" i="26"/>
  <c r="Z127" i="26"/>
  <c r="AH127" i="26"/>
  <c r="AP127" i="26"/>
  <c r="AD127" i="26"/>
  <c r="S127" i="26"/>
  <c r="AA127" i="26"/>
  <c r="AI127" i="26"/>
  <c r="T127" i="26"/>
  <c r="AB127" i="26"/>
  <c r="AJ127" i="26"/>
  <c r="AO21" i="26"/>
  <c r="AR21" i="26"/>
  <c r="R21" i="26"/>
  <c r="AA21" i="26"/>
  <c r="AQ21" i="26"/>
  <c r="U21" i="26"/>
  <c r="AC21" i="26"/>
  <c r="AK21" i="26"/>
  <c r="V21" i="26"/>
  <c r="W21" i="26"/>
  <c r="AE21" i="26"/>
  <c r="AM21" i="26"/>
  <c r="AL21" i="26"/>
  <c r="X21" i="26"/>
  <c r="AF21" i="26"/>
  <c r="AN21" i="26"/>
  <c r="AD21" i="26"/>
  <c r="Q21" i="26"/>
  <c r="Y21" i="26"/>
  <c r="AG21" i="26"/>
  <c r="S21" i="26"/>
  <c r="AI21" i="26"/>
  <c r="T21" i="26"/>
  <c r="AB21" i="26"/>
  <c r="AJ21" i="26"/>
  <c r="U344" i="25"/>
  <c r="AC344" i="25"/>
  <c r="AK344" i="25"/>
  <c r="V344" i="25"/>
  <c r="AD344" i="25"/>
  <c r="AL344" i="25"/>
  <c r="W344" i="25"/>
  <c r="X344" i="25"/>
  <c r="AF344" i="25"/>
  <c r="AN344" i="25"/>
  <c r="AM344" i="25"/>
  <c r="Q344" i="25"/>
  <c r="Y344" i="25"/>
  <c r="AG344" i="25"/>
  <c r="AO344" i="25"/>
  <c r="AE344" i="25"/>
  <c r="R344" i="25"/>
  <c r="Z344" i="25"/>
  <c r="AH344" i="25"/>
  <c r="AP344" i="25"/>
  <c r="AI344" i="25"/>
  <c r="T344" i="25"/>
  <c r="AB344" i="25"/>
  <c r="AJ344" i="25"/>
  <c r="U235" i="25"/>
  <c r="AC235" i="25"/>
  <c r="AK235" i="25"/>
  <c r="V235" i="25"/>
  <c r="AD235" i="25"/>
  <c r="AL235" i="25"/>
  <c r="AM235" i="25"/>
  <c r="AE235" i="25"/>
  <c r="X235" i="25"/>
  <c r="AF235" i="25"/>
  <c r="AN235" i="25"/>
  <c r="Q235" i="25"/>
  <c r="Y235" i="25"/>
  <c r="AG235" i="25"/>
  <c r="AO235" i="25"/>
  <c r="W235" i="25"/>
  <c r="R235" i="25"/>
  <c r="Z235" i="25"/>
  <c r="AH235" i="25"/>
  <c r="AP235" i="25"/>
  <c r="S235" i="25"/>
  <c r="AA235" i="25"/>
  <c r="AQ235" i="25"/>
  <c r="T235" i="25"/>
  <c r="AB235" i="25"/>
  <c r="AJ235" i="25"/>
  <c r="AL127" i="25"/>
  <c r="W127" i="25"/>
  <c r="AE127" i="25"/>
  <c r="AM127" i="25"/>
  <c r="AD127" i="25"/>
  <c r="X127" i="25"/>
  <c r="AF127" i="25"/>
  <c r="AN127" i="25"/>
  <c r="Q127" i="25"/>
  <c r="Y127" i="25"/>
  <c r="AG127" i="25"/>
  <c r="AO127" i="25"/>
  <c r="V127" i="25"/>
  <c r="R127" i="25"/>
  <c r="Z127" i="25"/>
  <c r="AH127" i="25"/>
  <c r="S127" i="25"/>
  <c r="AA127" i="25"/>
  <c r="AI127" i="25"/>
  <c r="AQ127" i="25"/>
  <c r="T127" i="25"/>
  <c r="AB127" i="25"/>
  <c r="AJ127" i="25"/>
  <c r="AO21" i="25"/>
  <c r="AI21" i="25"/>
  <c r="U21" i="25"/>
  <c r="AC21" i="25"/>
  <c r="AK21" i="25"/>
  <c r="V21" i="25"/>
  <c r="W21" i="25"/>
  <c r="AE21" i="25"/>
  <c r="AM21" i="25"/>
  <c r="AD21" i="25"/>
  <c r="X21" i="25"/>
  <c r="AF21" i="25"/>
  <c r="AN21" i="25"/>
  <c r="AL21" i="25"/>
  <c r="Q21" i="25"/>
  <c r="Y21" i="25"/>
  <c r="AG21" i="25"/>
  <c r="R21" i="25"/>
  <c r="Z21" i="25"/>
  <c r="AH21" i="25"/>
  <c r="AP21" i="25"/>
  <c r="AA21" i="25"/>
  <c r="AQ21" i="25"/>
  <c r="S21" i="25"/>
  <c r="T21" i="25"/>
  <c r="AB21" i="25"/>
  <c r="AJ21" i="25"/>
  <c r="V344" i="24"/>
  <c r="AD344" i="24"/>
  <c r="AL344" i="24"/>
  <c r="W344" i="24"/>
  <c r="AE344" i="24"/>
  <c r="AM344" i="24"/>
  <c r="X344" i="24"/>
  <c r="AF344" i="24"/>
  <c r="AN344" i="24"/>
  <c r="Q344" i="24"/>
  <c r="Y344" i="24"/>
  <c r="AG344" i="24"/>
  <c r="AO344" i="24"/>
  <c r="T344" i="24"/>
  <c r="AB344" i="24"/>
  <c r="AJ344" i="24"/>
  <c r="V235" i="24"/>
  <c r="AD235" i="24"/>
  <c r="AL235" i="24"/>
  <c r="W235" i="24"/>
  <c r="AE235" i="24"/>
  <c r="AM235" i="24"/>
  <c r="X235" i="24"/>
  <c r="AF235" i="24"/>
  <c r="AN235" i="24"/>
  <c r="R235" i="24"/>
  <c r="Z235" i="24"/>
  <c r="AH235" i="24"/>
  <c r="AP235" i="24"/>
  <c r="T235" i="24"/>
  <c r="AB235" i="24"/>
  <c r="AJ235" i="24"/>
  <c r="AD127" i="24"/>
  <c r="S127" i="24"/>
  <c r="AA127" i="24"/>
  <c r="AI127" i="24"/>
  <c r="AQ127" i="24"/>
  <c r="T127" i="24"/>
  <c r="AB127" i="24"/>
  <c r="AJ127" i="24"/>
  <c r="AR127" i="24"/>
  <c r="U127" i="24"/>
  <c r="AC127" i="24"/>
  <c r="AK127" i="24"/>
  <c r="AL127" i="24"/>
  <c r="W127" i="24"/>
  <c r="AM127" i="24"/>
  <c r="X127" i="24"/>
  <c r="AN127" i="24"/>
  <c r="Q127" i="24"/>
  <c r="Y127" i="24"/>
  <c r="AG127" i="24"/>
  <c r="AO127" i="24"/>
  <c r="AF127" i="24"/>
  <c r="R127" i="24"/>
  <c r="Z127" i="24"/>
  <c r="AH127" i="24"/>
  <c r="AR21" i="24"/>
  <c r="R21" i="24"/>
  <c r="AP21" i="24"/>
  <c r="AO21" i="24"/>
  <c r="AH21" i="24"/>
  <c r="S21" i="24"/>
  <c r="AA21" i="24"/>
  <c r="AQ21" i="24"/>
  <c r="U21" i="24"/>
  <c r="AC21" i="24"/>
  <c r="AK21" i="24"/>
  <c r="V21" i="24"/>
  <c r="W21" i="24"/>
  <c r="AE21" i="24"/>
  <c r="AM21" i="24"/>
  <c r="AD21" i="24"/>
  <c r="X21" i="24"/>
  <c r="AF21" i="24"/>
  <c r="AN21" i="24"/>
  <c r="AL21" i="24"/>
  <c r="Q21" i="24"/>
  <c r="Y21" i="24"/>
  <c r="AG21" i="24"/>
  <c r="AI21" i="24"/>
  <c r="T21" i="24"/>
  <c r="AB21" i="24"/>
  <c r="AJ21" i="24"/>
  <c r="U449" i="23"/>
  <c r="AC449" i="23"/>
  <c r="AK449" i="23"/>
  <c r="AL449" i="23"/>
  <c r="W449" i="23"/>
  <c r="AE449" i="23"/>
  <c r="AM449" i="23"/>
  <c r="AD449" i="23"/>
  <c r="X449" i="23"/>
  <c r="AF449" i="23"/>
  <c r="AN449" i="23"/>
  <c r="V449" i="23"/>
  <c r="Q449" i="23"/>
  <c r="Y449" i="23"/>
  <c r="AG449" i="23"/>
  <c r="AO449" i="23"/>
  <c r="R449" i="23"/>
  <c r="Z449" i="23"/>
  <c r="AH449" i="23"/>
  <c r="AP449" i="23"/>
  <c r="S449" i="23"/>
  <c r="AA449" i="23"/>
  <c r="AI449" i="23"/>
  <c r="T449" i="23"/>
  <c r="AB449" i="23"/>
  <c r="AJ449" i="23"/>
  <c r="V344" i="23"/>
  <c r="AD344" i="23"/>
  <c r="AL344" i="23"/>
  <c r="W344" i="23"/>
  <c r="AE344" i="23"/>
  <c r="AM344" i="23"/>
  <c r="X344" i="23"/>
  <c r="AF344" i="23"/>
  <c r="AN344" i="23"/>
  <c r="Q344" i="23"/>
  <c r="Y344" i="23"/>
  <c r="AG344" i="23"/>
  <c r="AO344" i="23"/>
  <c r="R344" i="23"/>
  <c r="Z344" i="23"/>
  <c r="AH344" i="23"/>
  <c r="AP344" i="23"/>
  <c r="S344" i="23"/>
  <c r="AA344" i="23"/>
  <c r="AQ344" i="23"/>
  <c r="T344" i="23"/>
  <c r="AB344" i="23"/>
  <c r="AJ344" i="23"/>
  <c r="V235" i="23"/>
  <c r="AD235" i="23"/>
  <c r="AL235" i="23"/>
  <c r="W235" i="23"/>
  <c r="AE235" i="23"/>
  <c r="AM235" i="23"/>
  <c r="X235" i="23"/>
  <c r="AF235" i="23"/>
  <c r="AN235" i="23"/>
  <c r="Q235" i="23"/>
  <c r="Y235" i="23"/>
  <c r="AG235" i="23"/>
  <c r="AO235" i="23"/>
  <c r="R235" i="23"/>
  <c r="Z235" i="23"/>
  <c r="AH235" i="23"/>
  <c r="AP235" i="23"/>
  <c r="S235" i="23"/>
  <c r="AA235" i="23"/>
  <c r="AI235" i="23"/>
  <c r="T235" i="23"/>
  <c r="AB235" i="23"/>
  <c r="AJ235" i="23"/>
  <c r="V127" i="23"/>
  <c r="AD127" i="23"/>
  <c r="AL127" i="23"/>
  <c r="W127" i="23"/>
  <c r="AE127" i="23"/>
  <c r="AM127" i="23"/>
  <c r="X127" i="23"/>
  <c r="AF127" i="23"/>
  <c r="AN127" i="23"/>
  <c r="Q127" i="23"/>
  <c r="Y127" i="23"/>
  <c r="AG127" i="23"/>
  <c r="AO127" i="23"/>
  <c r="R127" i="23"/>
  <c r="Z127" i="23"/>
  <c r="AH127" i="23"/>
  <c r="AP127" i="23"/>
  <c r="S127" i="23"/>
  <c r="AA127" i="23"/>
  <c r="AI127" i="23"/>
  <c r="T127" i="23"/>
  <c r="AB127" i="23"/>
  <c r="AJ127" i="23"/>
  <c r="AO21" i="23"/>
  <c r="R21" i="23"/>
  <c r="AA21" i="23"/>
  <c r="AQ21" i="23"/>
  <c r="U21" i="23"/>
  <c r="AC21" i="23"/>
  <c r="AK21" i="23"/>
  <c r="V21" i="23"/>
  <c r="W21" i="23"/>
  <c r="AE21" i="23"/>
  <c r="AM21" i="23"/>
  <c r="AD21" i="23"/>
  <c r="X21" i="23"/>
  <c r="AF21" i="23"/>
  <c r="AN21" i="23"/>
  <c r="AL21" i="23"/>
  <c r="Q21" i="23"/>
  <c r="Y21" i="23"/>
  <c r="AG21" i="23"/>
  <c r="S21" i="23"/>
  <c r="AI21" i="23"/>
  <c r="T21" i="23"/>
  <c r="AB21" i="23"/>
  <c r="AJ21" i="23"/>
  <c r="V449" i="22"/>
  <c r="AD449" i="22"/>
  <c r="AL449" i="22"/>
  <c r="W449" i="22"/>
  <c r="AE449" i="22"/>
  <c r="AM449" i="22"/>
  <c r="X449" i="22"/>
  <c r="AF449" i="22"/>
  <c r="AN449" i="22"/>
  <c r="Q449" i="22"/>
  <c r="Y449" i="22"/>
  <c r="AG449" i="22"/>
  <c r="AO449" i="22"/>
  <c r="R449" i="22"/>
  <c r="Z449" i="22"/>
  <c r="AH449" i="22"/>
  <c r="AP449" i="22"/>
  <c r="S449" i="22"/>
  <c r="AA449" i="22"/>
  <c r="AI449" i="22"/>
  <c r="T449" i="22"/>
  <c r="AB449" i="22"/>
  <c r="AJ449" i="22"/>
  <c r="U344" i="22"/>
  <c r="AC344" i="22"/>
  <c r="AK344" i="22"/>
  <c r="W344" i="22"/>
  <c r="AE344" i="22"/>
  <c r="AM344" i="22"/>
  <c r="X344" i="22"/>
  <c r="AF344" i="22"/>
  <c r="AN344" i="22"/>
  <c r="Q344" i="22"/>
  <c r="Y344" i="22"/>
  <c r="AG344" i="22"/>
  <c r="AO344" i="22"/>
  <c r="R344" i="22"/>
  <c r="Z344" i="22"/>
  <c r="AH344" i="22"/>
  <c r="AP344" i="22"/>
  <c r="S344" i="22"/>
  <c r="AA344" i="22"/>
  <c r="AI344" i="22"/>
  <c r="AQ344" i="22"/>
  <c r="T344" i="22"/>
  <c r="AB344" i="22"/>
  <c r="AJ344" i="22"/>
  <c r="U235" i="22"/>
  <c r="AC235" i="22"/>
  <c r="AK235" i="22"/>
  <c r="W235" i="22"/>
  <c r="AE235" i="22"/>
  <c r="AM235" i="22"/>
  <c r="X235" i="22"/>
  <c r="AF235" i="22"/>
  <c r="AN235" i="22"/>
  <c r="Q235" i="22"/>
  <c r="Y235" i="22"/>
  <c r="AG235" i="22"/>
  <c r="AO235" i="22"/>
  <c r="R235" i="22"/>
  <c r="Z235" i="22"/>
  <c r="AH235" i="22"/>
  <c r="AP235" i="22"/>
  <c r="S235" i="22"/>
  <c r="AA235" i="22"/>
  <c r="AI235" i="22"/>
  <c r="T235" i="22"/>
  <c r="AB235" i="22"/>
  <c r="AJ235" i="22"/>
  <c r="U127" i="22"/>
  <c r="AC127" i="22"/>
  <c r="AK127" i="22"/>
  <c r="AL127" i="22"/>
  <c r="W127" i="22"/>
  <c r="AE127" i="22"/>
  <c r="AM127" i="22"/>
  <c r="AD127" i="22"/>
  <c r="X127" i="22"/>
  <c r="AF127" i="22"/>
  <c r="AN127" i="22"/>
  <c r="V127" i="22"/>
  <c r="Q127" i="22"/>
  <c r="Y127" i="22"/>
  <c r="AG127" i="22"/>
  <c r="R127" i="22"/>
  <c r="Z127" i="22"/>
  <c r="AH127" i="22"/>
  <c r="AP127" i="22"/>
  <c r="S127" i="22"/>
  <c r="AA127" i="22"/>
  <c r="AI127" i="22"/>
  <c r="AQ127" i="22"/>
  <c r="T127" i="22"/>
  <c r="AB127" i="22"/>
  <c r="AJ127" i="22"/>
  <c r="AR21" i="22"/>
  <c r="AK21" i="22"/>
  <c r="V21" i="22"/>
  <c r="AD21" i="22"/>
  <c r="AL21" i="22"/>
  <c r="U21" i="22"/>
  <c r="AC21" i="22"/>
  <c r="W21" i="22"/>
  <c r="AE21" i="22"/>
  <c r="AM21" i="22"/>
  <c r="AN21" i="22"/>
  <c r="AF21" i="22"/>
  <c r="Q21" i="22"/>
  <c r="Y21" i="22"/>
  <c r="AG21" i="22"/>
  <c r="AO21" i="22"/>
  <c r="R21" i="22"/>
  <c r="Z21" i="22"/>
  <c r="AH21" i="22"/>
  <c r="AP21" i="22"/>
  <c r="X21" i="22"/>
  <c r="S21" i="22"/>
  <c r="AA21" i="22"/>
  <c r="AI21" i="22"/>
  <c r="AQ21" i="22"/>
  <c r="T21" i="22"/>
  <c r="AB21" i="22"/>
  <c r="AJ21" i="22"/>
  <c r="T449" i="21"/>
  <c r="AB449" i="21"/>
  <c r="AR449" i="21"/>
  <c r="U449" i="21"/>
  <c r="AC449" i="21"/>
  <c r="AK449" i="21"/>
  <c r="W449" i="21"/>
  <c r="AL449" i="21"/>
  <c r="AM449" i="21"/>
  <c r="X449" i="21"/>
  <c r="AF449" i="21"/>
  <c r="AN449" i="21"/>
  <c r="AD449" i="21"/>
  <c r="AE449" i="21"/>
  <c r="Q449" i="21"/>
  <c r="Y449" i="21"/>
  <c r="AG449" i="21"/>
  <c r="AB344" i="21"/>
  <c r="U344" i="21"/>
  <c r="AC344" i="21"/>
  <c r="AK344" i="21"/>
  <c r="AE344" i="21"/>
  <c r="AM344" i="21"/>
  <c r="X344" i="21"/>
  <c r="AF344" i="21"/>
  <c r="AN344" i="21"/>
  <c r="V344" i="21"/>
  <c r="W344" i="21"/>
  <c r="Q344" i="21"/>
  <c r="Y344" i="21"/>
  <c r="AG344" i="21"/>
  <c r="AO344" i="21"/>
  <c r="AD344" i="21"/>
  <c r="R344" i="21"/>
  <c r="Z344" i="21"/>
  <c r="AH344" i="21"/>
  <c r="AP344" i="21"/>
  <c r="AL344" i="21"/>
  <c r="S344" i="21"/>
  <c r="AA344" i="21"/>
  <c r="AI344" i="21"/>
  <c r="T344" i="21"/>
  <c r="AJ344" i="21"/>
  <c r="U235" i="21"/>
  <c r="AC235" i="21"/>
  <c r="AK235" i="21"/>
  <c r="W235" i="21"/>
  <c r="AL235" i="21"/>
  <c r="AE235" i="21"/>
  <c r="X235" i="21"/>
  <c r="AF235" i="21"/>
  <c r="AN235" i="21"/>
  <c r="AD235" i="21"/>
  <c r="AM235" i="21"/>
  <c r="Q235" i="21"/>
  <c r="Y235" i="21"/>
  <c r="AG235" i="21"/>
  <c r="T235" i="21"/>
  <c r="AB235" i="21"/>
  <c r="AJ235" i="21"/>
  <c r="V127" i="21"/>
  <c r="U127" i="21"/>
  <c r="AC127" i="21"/>
  <c r="AK127" i="21"/>
  <c r="W127" i="21"/>
  <c r="AE127" i="21"/>
  <c r="AM127" i="21"/>
  <c r="X127" i="21"/>
  <c r="AF127" i="21"/>
  <c r="AN127" i="21"/>
  <c r="Q127" i="21"/>
  <c r="Y127" i="21"/>
  <c r="AG127" i="21"/>
  <c r="AO127" i="21"/>
  <c r="R127" i="21"/>
  <c r="Z127" i="21"/>
  <c r="AH127" i="21"/>
  <c r="AP127" i="21"/>
  <c r="S127" i="21"/>
  <c r="AA127" i="21"/>
  <c r="AI127" i="21"/>
  <c r="T127" i="21"/>
  <c r="AB127" i="21"/>
  <c r="AJ127" i="21"/>
  <c r="AQ21" i="21"/>
  <c r="AR21" i="21"/>
  <c r="V21" i="21"/>
  <c r="AD21" i="21"/>
  <c r="AL21" i="21"/>
  <c r="W21" i="21"/>
  <c r="AE21" i="21"/>
  <c r="AM21" i="21"/>
  <c r="X21" i="21"/>
  <c r="AF21" i="21"/>
  <c r="AN21" i="21"/>
  <c r="Q21" i="21"/>
  <c r="Y21" i="21"/>
  <c r="AG21" i="21"/>
  <c r="AO21" i="21"/>
  <c r="R21" i="21"/>
  <c r="Z21" i="21"/>
  <c r="AH21" i="21"/>
  <c r="AP21" i="21"/>
  <c r="S21" i="21"/>
  <c r="AA21" i="21"/>
  <c r="AI21" i="21"/>
  <c r="T21" i="21"/>
  <c r="AB21" i="21"/>
  <c r="AJ21" i="21"/>
  <c r="T449" i="20"/>
  <c r="AB449" i="20"/>
  <c r="AJ449" i="20"/>
  <c r="AR449" i="20"/>
  <c r="U449" i="20"/>
  <c r="AC449" i="20"/>
  <c r="AK449" i="20"/>
  <c r="V449" i="20"/>
  <c r="W449" i="20"/>
  <c r="AE449" i="20"/>
  <c r="AM449" i="20"/>
  <c r="X449" i="20"/>
  <c r="AF449" i="20"/>
  <c r="AN449" i="20"/>
  <c r="Q449" i="20"/>
  <c r="Y449" i="20"/>
  <c r="AG449" i="20"/>
  <c r="U344" i="20"/>
  <c r="AC344" i="20"/>
  <c r="AK344" i="20"/>
  <c r="V344" i="20"/>
  <c r="AD344" i="20"/>
  <c r="AL344" i="20"/>
  <c r="AE344" i="20"/>
  <c r="AN344" i="20"/>
  <c r="Q344" i="20"/>
  <c r="Y344" i="20"/>
  <c r="AG344" i="20"/>
  <c r="AO344" i="20"/>
  <c r="AM344" i="20"/>
  <c r="X344" i="20"/>
  <c r="AF344" i="20"/>
  <c r="R344" i="20"/>
  <c r="Z344" i="20"/>
  <c r="AH344" i="20"/>
  <c r="T344" i="20"/>
  <c r="AB344" i="20"/>
  <c r="AJ344" i="20"/>
  <c r="V235" i="20"/>
  <c r="AD235" i="20"/>
  <c r="W235" i="20"/>
  <c r="AE235" i="20"/>
  <c r="AM235" i="20"/>
  <c r="X235" i="20"/>
  <c r="AF235" i="20"/>
  <c r="AN235" i="20"/>
  <c r="Q235" i="20"/>
  <c r="Y235" i="20"/>
  <c r="AG235" i="20"/>
  <c r="AO235" i="20"/>
  <c r="R235" i="20"/>
  <c r="Z235" i="20"/>
  <c r="AH235" i="20"/>
  <c r="AP235" i="20"/>
  <c r="S235" i="20"/>
  <c r="AA235" i="20"/>
  <c r="AI235" i="20"/>
  <c r="AQ235" i="20"/>
  <c r="T235" i="20"/>
  <c r="AB235" i="20"/>
  <c r="AJ235" i="20"/>
  <c r="AK127" i="20"/>
  <c r="V127" i="20"/>
  <c r="AD127" i="20"/>
  <c r="AL127" i="20"/>
  <c r="U127" i="20"/>
  <c r="AC127" i="20"/>
  <c r="W127" i="20"/>
  <c r="AE127" i="20"/>
  <c r="AM127" i="20"/>
  <c r="X127" i="20"/>
  <c r="AF127" i="20"/>
  <c r="AN127" i="20"/>
  <c r="Q127" i="20"/>
  <c r="Y127" i="20"/>
  <c r="AG127" i="20"/>
  <c r="AP21" i="20"/>
  <c r="AO21" i="20"/>
  <c r="T21" i="20"/>
  <c r="S21" i="20"/>
  <c r="AB21" i="20"/>
  <c r="AJ21" i="20"/>
  <c r="U21" i="20"/>
  <c r="AC21" i="20"/>
  <c r="AK21" i="20"/>
  <c r="V21" i="20"/>
  <c r="AD21" i="20"/>
  <c r="AL21" i="20"/>
  <c r="W21" i="20"/>
  <c r="AE21" i="20"/>
  <c r="AM21" i="20"/>
  <c r="X21" i="20"/>
  <c r="AF21" i="20"/>
  <c r="AN21" i="20"/>
  <c r="Q21" i="20"/>
  <c r="Y21" i="20"/>
  <c r="AG21" i="20"/>
  <c r="R21" i="20"/>
  <c r="Z21" i="20"/>
  <c r="AH21" i="20"/>
  <c r="AK449" i="19"/>
  <c r="V449" i="19"/>
  <c r="AD449" i="19"/>
  <c r="AL449" i="19"/>
  <c r="X449" i="19"/>
  <c r="AF449" i="19"/>
  <c r="AN449" i="19"/>
  <c r="AE449" i="19"/>
  <c r="Q449" i="19"/>
  <c r="Y449" i="19"/>
  <c r="AG449" i="19"/>
  <c r="AO449" i="19"/>
  <c r="R449" i="19"/>
  <c r="Z449" i="19"/>
  <c r="AH449" i="19"/>
  <c r="AP449" i="19"/>
  <c r="S449" i="19"/>
  <c r="AA449" i="19"/>
  <c r="AI449" i="19"/>
  <c r="T344" i="19"/>
  <c r="AB344" i="19"/>
  <c r="AJ344" i="19"/>
  <c r="AR344" i="19"/>
  <c r="U344" i="19"/>
  <c r="AC344" i="19"/>
  <c r="AK344" i="19"/>
  <c r="AD344" i="19"/>
  <c r="AM344" i="19"/>
  <c r="X344" i="19"/>
  <c r="AF344" i="19"/>
  <c r="AN344" i="19"/>
  <c r="AL344" i="19"/>
  <c r="AE344" i="19"/>
  <c r="Q344" i="19"/>
  <c r="Y344" i="19"/>
  <c r="AG344" i="19"/>
  <c r="AO344" i="19"/>
  <c r="R344" i="19"/>
  <c r="Z344" i="19"/>
  <c r="AH344" i="19"/>
  <c r="AP344" i="19"/>
  <c r="V344" i="19"/>
  <c r="S344" i="19"/>
  <c r="AA344" i="19"/>
  <c r="AI344" i="19"/>
  <c r="T235" i="19"/>
  <c r="AB235" i="19"/>
  <c r="AJ235" i="19"/>
  <c r="AR235" i="19"/>
  <c r="U235" i="19"/>
  <c r="AC235" i="19"/>
  <c r="AK235" i="19"/>
  <c r="V235" i="19"/>
  <c r="AM235" i="19"/>
  <c r="X235" i="19"/>
  <c r="AF235" i="19"/>
  <c r="AN235" i="19"/>
  <c r="AD235" i="19"/>
  <c r="AE235" i="19"/>
  <c r="Q235" i="19"/>
  <c r="Y235" i="19"/>
  <c r="AG235" i="19"/>
  <c r="AO235" i="19"/>
  <c r="R235" i="19"/>
  <c r="Z235" i="19"/>
  <c r="AH235" i="19"/>
  <c r="AP235" i="19"/>
  <c r="AL235" i="19"/>
  <c r="S235" i="19"/>
  <c r="AA235" i="19"/>
  <c r="AI235" i="19"/>
  <c r="AA127" i="19"/>
  <c r="AI127" i="19"/>
  <c r="AR127" i="19"/>
  <c r="S127" i="19"/>
  <c r="U127" i="19"/>
  <c r="AC127" i="19"/>
  <c r="AK127" i="19"/>
  <c r="V127" i="19"/>
  <c r="AD127" i="19"/>
  <c r="AL127" i="19"/>
  <c r="X127" i="19"/>
  <c r="AF127" i="19"/>
  <c r="AN127" i="19"/>
  <c r="AM127" i="19"/>
  <c r="Q127" i="19"/>
  <c r="Y127" i="19"/>
  <c r="AG127" i="19"/>
  <c r="AO127" i="19"/>
  <c r="W127" i="19"/>
  <c r="AE127" i="19"/>
  <c r="R127" i="19"/>
  <c r="Z127" i="19"/>
  <c r="AH127" i="19"/>
  <c r="AP127" i="19"/>
  <c r="T127" i="19"/>
  <c r="AB127" i="19"/>
  <c r="AJ127" i="19"/>
  <c r="AK21" i="19"/>
  <c r="AC21" i="19"/>
  <c r="U21" i="19"/>
  <c r="AR21" i="19"/>
  <c r="W21" i="19"/>
  <c r="AD21" i="19"/>
  <c r="AE21" i="19"/>
  <c r="AN21" i="19"/>
  <c r="Q21" i="19"/>
  <c r="Y21" i="19"/>
  <c r="AG21" i="19"/>
  <c r="AO21" i="19"/>
  <c r="AL21" i="19"/>
  <c r="AF21" i="19"/>
  <c r="R21" i="19"/>
  <c r="Z21" i="19"/>
  <c r="AH21" i="19"/>
  <c r="AP21" i="19"/>
  <c r="V21" i="19"/>
  <c r="X21" i="19"/>
  <c r="S21" i="19"/>
  <c r="AA21" i="19"/>
  <c r="AI21" i="19"/>
  <c r="AQ21" i="19"/>
  <c r="T21" i="19"/>
  <c r="AB21" i="19"/>
  <c r="AJ21" i="19"/>
  <c r="U449" i="3"/>
  <c r="AC449" i="3"/>
  <c r="AK449" i="3"/>
  <c r="AL449" i="3"/>
  <c r="W449" i="3"/>
  <c r="AE449" i="3"/>
  <c r="AM449" i="3"/>
  <c r="X449" i="3"/>
  <c r="AF449" i="3"/>
  <c r="AN449" i="3"/>
  <c r="Q449" i="3"/>
  <c r="Y449" i="3"/>
  <c r="AG449" i="3"/>
  <c r="AO449" i="3"/>
  <c r="R449" i="3"/>
  <c r="Z449" i="3"/>
  <c r="AH449" i="3"/>
  <c r="AP449" i="3"/>
  <c r="S449" i="3"/>
  <c r="AA449" i="3"/>
  <c r="AI449" i="3"/>
  <c r="T449" i="3"/>
  <c r="AB449" i="3"/>
  <c r="AJ449" i="3"/>
  <c r="AB344" i="3"/>
  <c r="AJ344" i="3"/>
  <c r="AR344" i="3"/>
  <c r="U344" i="3"/>
  <c r="AC344" i="3"/>
  <c r="AK344" i="3"/>
  <c r="V344" i="3"/>
  <c r="AD344" i="3"/>
  <c r="AL344" i="3"/>
  <c r="AE344" i="3"/>
  <c r="AN344" i="3"/>
  <c r="Q344" i="3"/>
  <c r="Y344" i="3"/>
  <c r="AG344" i="3"/>
  <c r="AO344" i="3"/>
  <c r="W344" i="3"/>
  <c r="AF344" i="3"/>
  <c r="R344" i="3"/>
  <c r="Z344" i="3"/>
  <c r="AH344" i="3"/>
  <c r="AP344" i="3"/>
  <c r="X344" i="3"/>
  <c r="S344" i="3"/>
  <c r="AA344" i="3"/>
  <c r="AI344" i="3"/>
  <c r="V235" i="3"/>
  <c r="AD235" i="3"/>
  <c r="AL235" i="3"/>
  <c r="W235" i="3"/>
  <c r="AE235" i="3"/>
  <c r="AM235" i="3"/>
  <c r="X235" i="3"/>
  <c r="AF235" i="3"/>
  <c r="AN235" i="3"/>
  <c r="Q235" i="3"/>
  <c r="Y235" i="3"/>
  <c r="AG235" i="3"/>
  <c r="AO235" i="3"/>
  <c r="R235" i="3"/>
  <c r="Z235" i="3"/>
  <c r="AH235" i="3"/>
  <c r="AP235" i="3"/>
  <c r="S235" i="3"/>
  <c r="AA235" i="3"/>
  <c r="AI235" i="3"/>
  <c r="T235" i="3"/>
  <c r="AB235" i="3"/>
  <c r="AJ235" i="3"/>
  <c r="U127" i="3"/>
  <c r="AC127" i="3"/>
  <c r="AK127" i="3"/>
  <c r="V127" i="3"/>
  <c r="AD127" i="3"/>
  <c r="AL127" i="3"/>
  <c r="AM127" i="3"/>
  <c r="X127" i="3"/>
  <c r="AF127" i="3"/>
  <c r="AN127" i="3"/>
  <c r="AE127" i="3"/>
  <c r="Q127" i="3"/>
  <c r="Y127" i="3"/>
  <c r="AG127" i="3"/>
  <c r="AO127" i="3"/>
  <c r="W127" i="3"/>
  <c r="R127" i="3"/>
  <c r="Z127" i="3"/>
  <c r="AH127" i="3"/>
  <c r="AP127" i="3"/>
  <c r="AA127" i="3"/>
  <c r="AI127" i="3"/>
  <c r="T127" i="3"/>
  <c r="AB127" i="3"/>
  <c r="AJ127" i="3"/>
  <c r="B21" i="20" l="1"/>
  <c r="B344" i="20"/>
  <c r="B235" i="20"/>
  <c r="B21" i="24"/>
  <c r="B127" i="20"/>
  <c r="L28" i="2"/>
  <c r="B449" i="19" s="1"/>
  <c r="C344" i="26"/>
  <c r="B344" i="24"/>
  <c r="T364" i="24" s="1"/>
  <c r="T393" i="24" s="1"/>
  <c r="B127" i="24"/>
  <c r="G25" i="29"/>
  <c r="G30" i="29"/>
  <c r="G35" i="29"/>
  <c r="G20" i="29"/>
  <c r="H35" i="29"/>
  <c r="H30" i="29"/>
  <c r="H20" i="29"/>
  <c r="H25" i="29"/>
  <c r="H33" i="29"/>
  <c r="H18" i="29"/>
  <c r="H28" i="29"/>
  <c r="H23" i="29"/>
  <c r="H32" i="29"/>
  <c r="H27" i="29"/>
  <c r="H17" i="29"/>
  <c r="H22" i="29"/>
  <c r="H34" i="29"/>
  <c r="H29" i="29"/>
  <c r="H19" i="29"/>
  <c r="H24" i="29"/>
  <c r="C21" i="26"/>
  <c r="P41" i="26" s="1"/>
  <c r="P70" i="26" s="1"/>
  <c r="Y80" i="2"/>
  <c r="G22" i="29"/>
  <c r="G27" i="29"/>
  <c r="G32" i="29"/>
  <c r="G17" i="29"/>
  <c r="C235" i="26"/>
  <c r="G23" i="29"/>
  <c r="G28" i="29"/>
  <c r="G33" i="29"/>
  <c r="G18" i="29"/>
  <c r="G24" i="29"/>
  <c r="G29" i="29"/>
  <c r="G34" i="29"/>
  <c r="G19" i="29"/>
  <c r="B21" i="25"/>
  <c r="B344" i="25"/>
  <c r="B127" i="25"/>
  <c r="V41" i="20"/>
  <c r="V70" i="20" s="1"/>
  <c r="S41" i="20"/>
  <c r="S70" i="20" s="1"/>
  <c r="N41" i="20"/>
  <c r="N70" i="20" s="1"/>
  <c r="K41" i="20"/>
  <c r="K70" i="20" s="1"/>
  <c r="X41" i="20"/>
  <c r="X70" i="20" s="1"/>
  <c r="F41" i="20"/>
  <c r="F70" i="20" s="1"/>
  <c r="Q41" i="20"/>
  <c r="Q70" i="20" s="1"/>
  <c r="AA41" i="20"/>
  <c r="AA70" i="20" s="1"/>
  <c r="I41" i="20"/>
  <c r="I70" i="20" s="1"/>
  <c r="T41" i="20"/>
  <c r="T70" i="20" s="1"/>
  <c r="B235" i="26"/>
  <c r="B344" i="26"/>
  <c r="B127" i="26"/>
  <c r="AC147" i="26" s="1"/>
  <c r="AC176" i="26" s="1"/>
  <c r="C235" i="25"/>
  <c r="S255" i="25" s="1"/>
  <c r="S284" i="25" s="1"/>
  <c r="C344" i="25"/>
  <c r="C21" i="25"/>
  <c r="C127" i="25"/>
  <c r="C127" i="24"/>
  <c r="C235" i="24"/>
  <c r="AC255" i="24" s="1"/>
  <c r="AC284" i="24" s="1"/>
  <c r="C21" i="24"/>
  <c r="AC41" i="24" s="1"/>
  <c r="AC70" i="24" s="1"/>
  <c r="C127" i="20"/>
  <c r="R147" i="20" s="1"/>
  <c r="R176" i="20" s="1"/>
  <c r="C344" i="20"/>
  <c r="H364" i="20" s="1"/>
  <c r="H393" i="20" s="1"/>
  <c r="C41" i="20"/>
  <c r="C70" i="20" s="1"/>
  <c r="P41" i="20"/>
  <c r="P70" i="20" s="1"/>
  <c r="U41" i="20"/>
  <c r="U70" i="20" s="1"/>
  <c r="C344" i="19"/>
  <c r="C21" i="19"/>
  <c r="C235" i="19"/>
  <c r="C449" i="19"/>
  <c r="R41" i="20"/>
  <c r="R70" i="20" s="1"/>
  <c r="H41" i="20"/>
  <c r="H70" i="20" s="1"/>
  <c r="M41" i="20"/>
  <c r="M70" i="20" s="1"/>
  <c r="J41" i="20"/>
  <c r="J70" i="20" s="1"/>
  <c r="W41" i="20"/>
  <c r="W70" i="20" s="1"/>
  <c r="D41" i="20"/>
  <c r="D70" i="20" s="1"/>
  <c r="B41" i="20"/>
  <c r="B70" i="20" s="1"/>
  <c r="O41" i="20"/>
  <c r="O70" i="20" s="1"/>
  <c r="E41" i="20"/>
  <c r="E70" i="20" s="1"/>
  <c r="AB41" i="20"/>
  <c r="AB70" i="20" s="1"/>
  <c r="C449" i="20"/>
  <c r="X469" i="20" s="1"/>
  <c r="X498" i="20" s="1"/>
  <c r="Y41" i="20"/>
  <c r="Y70" i="20" s="1"/>
  <c r="G41" i="20"/>
  <c r="G70" i="20" s="1"/>
  <c r="Z41" i="20"/>
  <c r="Z70" i="20" s="1"/>
  <c r="AC41" i="20"/>
  <c r="AC70" i="20" s="1"/>
  <c r="C235" i="20"/>
  <c r="I255" i="20" s="1"/>
  <c r="I284" i="20" s="1"/>
  <c r="L41" i="20"/>
  <c r="L70" i="20" s="1"/>
  <c r="L117" i="2"/>
  <c r="AC80" i="2" s="1"/>
  <c r="L93" i="2"/>
  <c r="AH80" i="2" s="1"/>
  <c r="L105" i="2"/>
  <c r="AM80" i="2" s="1"/>
  <c r="AE111" i="2"/>
  <c r="AF111" i="2" s="1"/>
  <c r="G147" i="24" l="1"/>
  <c r="G176" i="24" s="1"/>
  <c r="N469" i="19"/>
  <c r="N498" i="19" s="1"/>
  <c r="J364" i="24"/>
  <c r="J393" i="24" s="1"/>
  <c r="E364" i="24"/>
  <c r="E393" i="24" s="1"/>
  <c r="Q364" i="24"/>
  <c r="Q393" i="24" s="1"/>
  <c r="N364" i="24"/>
  <c r="N393" i="24" s="1"/>
  <c r="AB364" i="24"/>
  <c r="AB393" i="24" s="1"/>
  <c r="U364" i="24"/>
  <c r="U393" i="24" s="1"/>
  <c r="H364" i="24"/>
  <c r="H393" i="24" s="1"/>
  <c r="L364" i="24"/>
  <c r="L393" i="24" s="1"/>
  <c r="W364" i="24"/>
  <c r="W393" i="24" s="1"/>
  <c r="V364" i="24"/>
  <c r="V393" i="24" s="1"/>
  <c r="G364" i="24"/>
  <c r="G393" i="24" s="1"/>
  <c r="F364" i="24"/>
  <c r="F393" i="24" s="1"/>
  <c r="Z364" i="24"/>
  <c r="Z393" i="24" s="1"/>
  <c r="Y364" i="24"/>
  <c r="Y393" i="24" s="1"/>
  <c r="I364" i="24"/>
  <c r="I393" i="24" s="1"/>
  <c r="K364" i="24"/>
  <c r="K393" i="24" s="1"/>
  <c r="X364" i="24"/>
  <c r="X393" i="24" s="1"/>
  <c r="AC364" i="24"/>
  <c r="AC393" i="24" s="1"/>
  <c r="B127" i="19"/>
  <c r="R147" i="19" s="1"/>
  <c r="R176" i="19" s="1"/>
  <c r="U364" i="26"/>
  <c r="U393" i="26" s="1"/>
  <c r="B235" i="19"/>
  <c r="P255" i="19" s="1"/>
  <c r="P284" i="19" s="1"/>
  <c r="B344" i="19"/>
  <c r="U364" i="19" s="1"/>
  <c r="U393" i="19" s="1"/>
  <c r="B21" i="19"/>
  <c r="T41" i="19" s="1"/>
  <c r="T70" i="19" s="1"/>
  <c r="B41" i="26"/>
  <c r="B70" i="26" s="1"/>
  <c r="D364" i="20"/>
  <c r="D393" i="20" s="1"/>
  <c r="L147" i="20"/>
  <c r="L176" i="20" s="1"/>
  <c r="V147" i="19"/>
  <c r="V176" i="19" s="1"/>
  <c r="AC147" i="19"/>
  <c r="AC176" i="19" s="1"/>
  <c r="C147" i="19"/>
  <c r="C176" i="19" s="1"/>
  <c r="D364" i="24"/>
  <c r="D393" i="24" s="1"/>
  <c r="C364" i="24"/>
  <c r="C393" i="24" s="1"/>
  <c r="O364" i="24"/>
  <c r="O393" i="24" s="1"/>
  <c r="R364" i="24"/>
  <c r="R393" i="24" s="1"/>
  <c r="F147" i="19"/>
  <c r="F176" i="19" s="1"/>
  <c r="S147" i="19"/>
  <c r="S176" i="19" s="1"/>
  <c r="I147" i="19"/>
  <c r="I176" i="19" s="1"/>
  <c r="L147" i="19"/>
  <c r="L176" i="19" s="1"/>
  <c r="P364" i="24"/>
  <c r="P393" i="24" s="1"/>
  <c r="M364" i="24"/>
  <c r="M393" i="24" s="1"/>
  <c r="B364" i="24"/>
  <c r="B393" i="24" s="1"/>
  <c r="AA147" i="19"/>
  <c r="AA176" i="19" s="1"/>
  <c r="K147" i="19"/>
  <c r="K176" i="19" s="1"/>
  <c r="AB147" i="19"/>
  <c r="AB176" i="19" s="1"/>
  <c r="B147" i="19"/>
  <c r="B176" i="19" s="1"/>
  <c r="H147" i="19"/>
  <c r="H176" i="19" s="1"/>
  <c r="O147" i="19"/>
  <c r="O176" i="19" s="1"/>
  <c r="Q147" i="19"/>
  <c r="Q176" i="19" s="1"/>
  <c r="N147" i="19"/>
  <c r="N176" i="19" s="1"/>
  <c r="W147" i="19"/>
  <c r="W176" i="19" s="1"/>
  <c r="AA364" i="24"/>
  <c r="AA393" i="24" s="1"/>
  <c r="S364" i="24"/>
  <c r="S393" i="24" s="1"/>
  <c r="H41" i="26"/>
  <c r="H70" i="26" s="1"/>
  <c r="M255" i="26"/>
  <c r="M284" i="26" s="1"/>
  <c r="AC41" i="25"/>
  <c r="AC70" i="25" s="1"/>
  <c r="N41" i="26"/>
  <c r="N70" i="26" s="1"/>
  <c r="S41" i="26"/>
  <c r="S70" i="26" s="1"/>
  <c r="Y41" i="26"/>
  <c r="Y70" i="26" s="1"/>
  <c r="AA41" i="26"/>
  <c r="AA70" i="26" s="1"/>
  <c r="Z41" i="26"/>
  <c r="Z70" i="26" s="1"/>
  <c r="T41" i="26"/>
  <c r="T70" i="26" s="1"/>
  <c r="G41" i="26"/>
  <c r="G70" i="26" s="1"/>
  <c r="J41" i="26"/>
  <c r="J70" i="26" s="1"/>
  <c r="AM81" i="2"/>
  <c r="L109" i="2" s="1"/>
  <c r="B235" i="22" s="1"/>
  <c r="E27" i="29"/>
  <c r="I27" i="29" s="1"/>
  <c r="E31" i="29"/>
  <c r="I31" i="29" s="1"/>
  <c r="E28" i="29"/>
  <c r="I28" i="29" s="1"/>
  <c r="E29" i="29"/>
  <c r="I29" i="29" s="1"/>
  <c r="E30" i="29"/>
  <c r="I30" i="29" s="1"/>
  <c r="AC41" i="26"/>
  <c r="AC70" i="26" s="1"/>
  <c r="E41" i="26"/>
  <c r="E70" i="26" s="1"/>
  <c r="Q41" i="26"/>
  <c r="Q70" i="26" s="1"/>
  <c r="M41" i="26"/>
  <c r="M70" i="26" s="1"/>
  <c r="AC81" i="2"/>
  <c r="L121" i="2" s="1"/>
  <c r="B127" i="23" s="1"/>
  <c r="E33" i="29"/>
  <c r="I33" i="29" s="1"/>
  <c r="E34" i="29"/>
  <c r="I34" i="29" s="1"/>
  <c r="E35" i="29"/>
  <c r="I35" i="29" s="1"/>
  <c r="E36" i="29"/>
  <c r="E32" i="29"/>
  <c r="I32" i="29" s="1"/>
  <c r="M117" i="2"/>
  <c r="AD80" i="2" s="1"/>
  <c r="M93" i="2"/>
  <c r="AI80" i="2" s="1"/>
  <c r="M105" i="2"/>
  <c r="AN80" i="2" s="1"/>
  <c r="L41" i="26"/>
  <c r="L70" i="26" s="1"/>
  <c r="AB41" i="26"/>
  <c r="AB70" i="26" s="1"/>
  <c r="K41" i="26"/>
  <c r="K70" i="26" s="1"/>
  <c r="O41" i="26"/>
  <c r="O70" i="26" s="1"/>
  <c r="X41" i="26"/>
  <c r="X70" i="26" s="1"/>
  <c r="W41" i="26"/>
  <c r="W70" i="26" s="1"/>
  <c r="U41" i="26"/>
  <c r="U70" i="26" s="1"/>
  <c r="AH81" i="2"/>
  <c r="L97" i="2" s="1"/>
  <c r="B449" i="21" s="1"/>
  <c r="E25" i="29"/>
  <c r="I25" i="29" s="1"/>
  <c r="E26" i="29"/>
  <c r="I26" i="29" s="1"/>
  <c r="E22" i="29"/>
  <c r="I22" i="29" s="1"/>
  <c r="E24" i="29"/>
  <c r="I24" i="29" s="1"/>
  <c r="E23" i="29"/>
  <c r="I23" i="29" s="1"/>
  <c r="R41" i="26"/>
  <c r="R70" i="26" s="1"/>
  <c r="D41" i="26"/>
  <c r="D70" i="26" s="1"/>
  <c r="C41" i="26"/>
  <c r="C70" i="26" s="1"/>
  <c r="I41" i="26"/>
  <c r="I70" i="26" s="1"/>
  <c r="F41" i="26"/>
  <c r="F70" i="26" s="1"/>
  <c r="V41" i="26"/>
  <c r="V70" i="26" s="1"/>
  <c r="Y41" i="25"/>
  <c r="Y70" i="25" s="1"/>
  <c r="E41" i="25"/>
  <c r="E70" i="25" s="1"/>
  <c r="AB41" i="25"/>
  <c r="AB70" i="25" s="1"/>
  <c r="O41" i="25"/>
  <c r="O70" i="25" s="1"/>
  <c r="F41" i="25"/>
  <c r="F70" i="25" s="1"/>
  <c r="Z364" i="25"/>
  <c r="Z393" i="25" s="1"/>
  <c r="Z41" i="25"/>
  <c r="Z70" i="25" s="1"/>
  <c r="W41" i="25"/>
  <c r="W70" i="25" s="1"/>
  <c r="G147" i="25"/>
  <c r="G176" i="25" s="1"/>
  <c r="J364" i="25"/>
  <c r="J393" i="25" s="1"/>
  <c r="L364" i="25"/>
  <c r="L393" i="25" s="1"/>
  <c r="AC364" i="25"/>
  <c r="AC393" i="25" s="1"/>
  <c r="H364" i="25"/>
  <c r="H393" i="25" s="1"/>
  <c r="W364" i="25"/>
  <c r="W393" i="25" s="1"/>
  <c r="M364" i="25"/>
  <c r="M393" i="25" s="1"/>
  <c r="V364" i="25"/>
  <c r="V393" i="25" s="1"/>
  <c r="R364" i="25"/>
  <c r="R393" i="25" s="1"/>
  <c r="X364" i="25"/>
  <c r="X393" i="25" s="1"/>
  <c r="E364" i="25"/>
  <c r="E393" i="25" s="1"/>
  <c r="S364" i="25"/>
  <c r="S393" i="25" s="1"/>
  <c r="N364" i="25"/>
  <c r="N393" i="25" s="1"/>
  <c r="D364" i="25"/>
  <c r="D393" i="25" s="1"/>
  <c r="Y364" i="25"/>
  <c r="Y393" i="25" s="1"/>
  <c r="AB364" i="25"/>
  <c r="AB393" i="25" s="1"/>
  <c r="K364" i="25"/>
  <c r="K393" i="25" s="1"/>
  <c r="O147" i="24"/>
  <c r="O176" i="24" s="1"/>
  <c r="AB147" i="24"/>
  <c r="AB176" i="24" s="1"/>
  <c r="W147" i="24"/>
  <c r="W176" i="24" s="1"/>
  <c r="Z147" i="24"/>
  <c r="Z176" i="24" s="1"/>
  <c r="AC147" i="24"/>
  <c r="AC176" i="24" s="1"/>
  <c r="S147" i="24"/>
  <c r="S176" i="24" s="1"/>
  <c r="Y147" i="24"/>
  <c r="Y176" i="24" s="1"/>
  <c r="B21" i="22"/>
  <c r="K41" i="25"/>
  <c r="K70" i="25" s="1"/>
  <c r="U41" i="25"/>
  <c r="U70" i="25" s="1"/>
  <c r="V41" i="25"/>
  <c r="V70" i="25" s="1"/>
  <c r="G41" i="25"/>
  <c r="G70" i="25" s="1"/>
  <c r="T41" i="25"/>
  <c r="T70" i="25" s="1"/>
  <c r="P364" i="26"/>
  <c r="P393" i="26" s="1"/>
  <c r="AA41" i="25"/>
  <c r="AA70" i="25" s="1"/>
  <c r="L41" i="25"/>
  <c r="L70" i="25" s="1"/>
  <c r="X41" i="25"/>
  <c r="X70" i="25" s="1"/>
  <c r="C41" i="25"/>
  <c r="C70" i="25" s="1"/>
  <c r="B41" i="25"/>
  <c r="B70" i="25" s="1"/>
  <c r="R41" i="25"/>
  <c r="R70" i="25" s="1"/>
  <c r="M41" i="25"/>
  <c r="M70" i="25" s="1"/>
  <c r="H41" i="25"/>
  <c r="H70" i="25" s="1"/>
  <c r="I41" i="25"/>
  <c r="I70" i="25" s="1"/>
  <c r="H255" i="24"/>
  <c r="H284" i="24" s="1"/>
  <c r="N255" i="24"/>
  <c r="N284" i="24" s="1"/>
  <c r="AA147" i="24"/>
  <c r="AA176" i="24" s="1"/>
  <c r="G255" i="24"/>
  <c r="G284" i="24" s="1"/>
  <c r="AB147" i="25"/>
  <c r="AB176" i="25" s="1"/>
  <c r="Q147" i="26"/>
  <c r="Q176" i="26" s="1"/>
  <c r="C147" i="26"/>
  <c r="C176" i="26" s="1"/>
  <c r="V147" i="25"/>
  <c r="V176" i="25" s="1"/>
  <c r="E147" i="26"/>
  <c r="E176" i="26" s="1"/>
  <c r="O147" i="26"/>
  <c r="O176" i="26" s="1"/>
  <c r="AA147" i="25"/>
  <c r="AA176" i="25" s="1"/>
  <c r="M147" i="24"/>
  <c r="M176" i="24" s="1"/>
  <c r="P147" i="25"/>
  <c r="P176" i="25" s="1"/>
  <c r="J147" i="24"/>
  <c r="J176" i="24" s="1"/>
  <c r="U364" i="25"/>
  <c r="U393" i="25" s="1"/>
  <c r="R147" i="25"/>
  <c r="R176" i="25" s="1"/>
  <c r="C364" i="25"/>
  <c r="C393" i="25" s="1"/>
  <c r="D255" i="24"/>
  <c r="D284" i="24" s="1"/>
  <c r="N147" i="25"/>
  <c r="N176" i="25" s="1"/>
  <c r="G364" i="25"/>
  <c r="G393" i="25" s="1"/>
  <c r="P41" i="25"/>
  <c r="P70" i="25" s="1"/>
  <c r="T147" i="24"/>
  <c r="T176" i="24" s="1"/>
  <c r="D147" i="25"/>
  <c r="D176" i="25" s="1"/>
  <c r="AA364" i="25"/>
  <c r="AA393" i="25" s="1"/>
  <c r="J41" i="25"/>
  <c r="J70" i="25" s="1"/>
  <c r="V147" i="24"/>
  <c r="V176" i="24" s="1"/>
  <c r="H147" i="25"/>
  <c r="H176" i="25" s="1"/>
  <c r="T364" i="25"/>
  <c r="T393" i="25" s="1"/>
  <c r="B364" i="25"/>
  <c r="B393" i="25" s="1"/>
  <c r="R147" i="26"/>
  <c r="R176" i="26" s="1"/>
  <c r="R147" i="24"/>
  <c r="R176" i="24" s="1"/>
  <c r="J147" i="25"/>
  <c r="J176" i="25" s="1"/>
  <c r="Q41" i="25"/>
  <c r="Q70" i="25" s="1"/>
  <c r="I364" i="25"/>
  <c r="I393" i="25" s="1"/>
  <c r="U147" i="24"/>
  <c r="U176" i="24" s="1"/>
  <c r="C147" i="24"/>
  <c r="C176" i="24" s="1"/>
  <c r="P364" i="25"/>
  <c r="P393" i="25" s="1"/>
  <c r="B147" i="26"/>
  <c r="B176" i="26" s="1"/>
  <c r="Q147" i="25"/>
  <c r="Q176" i="25" s="1"/>
  <c r="X255" i="25"/>
  <c r="X284" i="25" s="1"/>
  <c r="M147" i="25"/>
  <c r="M176" i="25" s="1"/>
  <c r="L147" i="26"/>
  <c r="L176" i="26" s="1"/>
  <c r="F147" i="26"/>
  <c r="F176" i="26" s="1"/>
  <c r="O469" i="19"/>
  <c r="O498" i="19" s="1"/>
  <c r="X147" i="25"/>
  <c r="X176" i="25" s="1"/>
  <c r="F41" i="24"/>
  <c r="F70" i="24" s="1"/>
  <c r="K147" i="25"/>
  <c r="K176" i="25" s="1"/>
  <c r="E147" i="25"/>
  <c r="E176" i="25" s="1"/>
  <c r="F364" i="25"/>
  <c r="F393" i="25" s="1"/>
  <c r="C255" i="26"/>
  <c r="C284" i="26" s="1"/>
  <c r="I469" i="19"/>
  <c r="I498" i="19" s="1"/>
  <c r="P364" i="20"/>
  <c r="P393" i="20" s="1"/>
  <c r="Z147" i="25"/>
  <c r="Z176" i="25" s="1"/>
  <c r="AC147" i="25"/>
  <c r="AC176" i="25" s="1"/>
  <c r="Y255" i="26"/>
  <c r="Y284" i="26" s="1"/>
  <c r="B147" i="25"/>
  <c r="B176" i="25" s="1"/>
  <c r="F147" i="25"/>
  <c r="F176" i="25" s="1"/>
  <c r="Q364" i="25"/>
  <c r="Q393" i="25" s="1"/>
  <c r="I147" i="26"/>
  <c r="I176" i="26" s="1"/>
  <c r="AA469" i="19"/>
  <c r="AA498" i="19" s="1"/>
  <c r="I41" i="24"/>
  <c r="I70" i="24" s="1"/>
  <c r="AC255" i="26"/>
  <c r="AC284" i="26" s="1"/>
  <c r="Q147" i="24"/>
  <c r="Q176" i="24" s="1"/>
  <c r="B147" i="24"/>
  <c r="B176" i="24" s="1"/>
  <c r="T147" i="25"/>
  <c r="T176" i="25" s="1"/>
  <c r="L147" i="25"/>
  <c r="L176" i="25" s="1"/>
  <c r="N41" i="25"/>
  <c r="N70" i="25" s="1"/>
  <c r="I147" i="25"/>
  <c r="I176" i="25" s="1"/>
  <c r="D41" i="25"/>
  <c r="D70" i="25" s="1"/>
  <c r="C147" i="25"/>
  <c r="C176" i="25" s="1"/>
  <c r="F364" i="20"/>
  <c r="F393" i="20" s="1"/>
  <c r="S364" i="20"/>
  <c r="S393" i="20" s="1"/>
  <c r="D255" i="20"/>
  <c r="D284" i="20" s="1"/>
  <c r="U364" i="20"/>
  <c r="U393" i="20" s="1"/>
  <c r="R364" i="20"/>
  <c r="R393" i="20" s="1"/>
  <c r="C364" i="20"/>
  <c r="C393" i="20" s="1"/>
  <c r="AA364" i="20"/>
  <c r="AA393" i="20" s="1"/>
  <c r="G147" i="20"/>
  <c r="G176" i="20" s="1"/>
  <c r="AB364" i="20"/>
  <c r="AB393" i="20" s="1"/>
  <c r="Q364" i="20"/>
  <c r="Q393" i="20" s="1"/>
  <c r="E364" i="26"/>
  <c r="E393" i="26" s="1"/>
  <c r="R364" i="26"/>
  <c r="R393" i="26" s="1"/>
  <c r="AA364" i="26"/>
  <c r="AA393" i="26" s="1"/>
  <c r="AB255" i="26"/>
  <c r="AB284" i="26" s="1"/>
  <c r="W364" i="26"/>
  <c r="W393" i="26" s="1"/>
  <c r="P255" i="26"/>
  <c r="P284" i="26" s="1"/>
  <c r="X255" i="26"/>
  <c r="X284" i="26" s="1"/>
  <c r="W147" i="26"/>
  <c r="W176" i="26" s="1"/>
  <c r="F255" i="26"/>
  <c r="F284" i="26" s="1"/>
  <c r="O364" i="26"/>
  <c r="O393" i="26" s="1"/>
  <c r="R255" i="26"/>
  <c r="R284" i="26" s="1"/>
  <c r="J364" i="26"/>
  <c r="J393" i="26" s="1"/>
  <c r="H255" i="26"/>
  <c r="H284" i="26" s="1"/>
  <c r="Q364" i="26"/>
  <c r="Q393" i="26" s="1"/>
  <c r="T147" i="26"/>
  <c r="T176" i="26" s="1"/>
  <c r="B364" i="26"/>
  <c r="B393" i="26" s="1"/>
  <c r="L255" i="26"/>
  <c r="L284" i="26" s="1"/>
  <c r="Y147" i="26"/>
  <c r="Y176" i="26" s="1"/>
  <c r="S364" i="26"/>
  <c r="S393" i="26" s="1"/>
  <c r="G147" i="26"/>
  <c r="G176" i="26" s="1"/>
  <c r="M364" i="26"/>
  <c r="M393" i="26" s="1"/>
  <c r="K255" i="26"/>
  <c r="K284" i="26" s="1"/>
  <c r="D364" i="26"/>
  <c r="D393" i="26" s="1"/>
  <c r="F364" i="26"/>
  <c r="F393" i="26" s="1"/>
  <c r="H147" i="26"/>
  <c r="H176" i="26" s="1"/>
  <c r="G255" i="26"/>
  <c r="G284" i="26" s="1"/>
  <c r="N147" i="26"/>
  <c r="N176" i="26" s="1"/>
  <c r="W255" i="26"/>
  <c r="W284" i="26" s="1"/>
  <c r="AB147" i="26"/>
  <c r="AB176" i="26" s="1"/>
  <c r="X147" i="26"/>
  <c r="X176" i="26" s="1"/>
  <c r="K147" i="26"/>
  <c r="K176" i="26" s="1"/>
  <c r="E255" i="26"/>
  <c r="E284" i="26" s="1"/>
  <c r="Y364" i="26"/>
  <c r="Y393" i="26" s="1"/>
  <c r="V364" i="26"/>
  <c r="V393" i="26" s="1"/>
  <c r="C364" i="26"/>
  <c r="C393" i="26" s="1"/>
  <c r="AC364" i="26"/>
  <c r="AC393" i="26" s="1"/>
  <c r="T364" i="26"/>
  <c r="T393" i="26" s="1"/>
  <c r="I364" i="26"/>
  <c r="I393" i="26" s="1"/>
  <c r="M147" i="26"/>
  <c r="M176" i="26" s="1"/>
  <c r="B255" i="26"/>
  <c r="B284" i="26" s="1"/>
  <c r="Z255" i="26"/>
  <c r="Z284" i="26" s="1"/>
  <c r="K364" i="26"/>
  <c r="K393" i="26" s="1"/>
  <c r="Q255" i="26"/>
  <c r="Q284" i="26" s="1"/>
  <c r="AA255" i="26"/>
  <c r="AA284" i="26" s="1"/>
  <c r="D255" i="26"/>
  <c r="D284" i="26" s="1"/>
  <c r="L364" i="26"/>
  <c r="L393" i="26" s="1"/>
  <c r="J255" i="26"/>
  <c r="J284" i="26" s="1"/>
  <c r="T255" i="26"/>
  <c r="T284" i="26" s="1"/>
  <c r="U255" i="26"/>
  <c r="U284" i="26" s="1"/>
  <c r="N255" i="26"/>
  <c r="N284" i="26" s="1"/>
  <c r="V255" i="26"/>
  <c r="V284" i="26" s="1"/>
  <c r="J147" i="26"/>
  <c r="J176" i="26" s="1"/>
  <c r="O255" i="26"/>
  <c r="O284" i="26" s="1"/>
  <c r="U147" i="26"/>
  <c r="U176" i="26" s="1"/>
  <c r="V147" i="26"/>
  <c r="V176" i="26" s="1"/>
  <c r="P147" i="26"/>
  <c r="P176" i="26" s="1"/>
  <c r="Z147" i="26"/>
  <c r="Z176" i="26" s="1"/>
  <c r="I255" i="26"/>
  <c r="I284" i="26" s="1"/>
  <c r="N364" i="26"/>
  <c r="N393" i="26" s="1"/>
  <c r="AB364" i="26"/>
  <c r="AB393" i="26" s="1"/>
  <c r="G364" i="26"/>
  <c r="G393" i="26" s="1"/>
  <c r="S255" i="26"/>
  <c r="S284" i="26" s="1"/>
  <c r="Z364" i="26"/>
  <c r="Z393" i="26" s="1"/>
  <c r="X364" i="26"/>
  <c r="X393" i="26" s="1"/>
  <c r="H364" i="26"/>
  <c r="H393" i="26" s="1"/>
  <c r="AA147" i="26"/>
  <c r="AA176" i="26" s="1"/>
  <c r="D147" i="26"/>
  <c r="D176" i="26" s="1"/>
  <c r="S147" i="26"/>
  <c r="S176" i="26" s="1"/>
  <c r="T255" i="25"/>
  <c r="T284" i="25" s="1"/>
  <c r="AB255" i="25"/>
  <c r="AB284" i="25" s="1"/>
  <c r="P255" i="25"/>
  <c r="P284" i="25" s="1"/>
  <c r="AA255" i="25"/>
  <c r="AA284" i="25" s="1"/>
  <c r="Y147" i="25"/>
  <c r="Y176" i="25" s="1"/>
  <c r="U147" i="25"/>
  <c r="U176" i="25" s="1"/>
  <c r="O364" i="25"/>
  <c r="O393" i="25" s="1"/>
  <c r="S41" i="25"/>
  <c r="S70" i="25" s="1"/>
  <c r="O147" i="25"/>
  <c r="O176" i="25" s="1"/>
  <c r="H255" i="25"/>
  <c r="H284" i="25" s="1"/>
  <c r="F255" i="25"/>
  <c r="F284" i="25" s="1"/>
  <c r="K255" i="25"/>
  <c r="K284" i="25" s="1"/>
  <c r="B255" i="25"/>
  <c r="B284" i="25" s="1"/>
  <c r="Z255" i="25"/>
  <c r="Z284" i="25" s="1"/>
  <c r="Q255" i="25"/>
  <c r="Q284" i="25" s="1"/>
  <c r="S147" i="25"/>
  <c r="S176" i="25" s="1"/>
  <c r="W147" i="25"/>
  <c r="W176" i="25" s="1"/>
  <c r="W255" i="25"/>
  <c r="W284" i="25" s="1"/>
  <c r="E255" i="25"/>
  <c r="E284" i="25" s="1"/>
  <c r="I255" i="25"/>
  <c r="I284" i="25" s="1"/>
  <c r="N255" i="25"/>
  <c r="N284" i="25" s="1"/>
  <c r="R255" i="25"/>
  <c r="R284" i="25" s="1"/>
  <c r="C255" i="25"/>
  <c r="C284" i="25" s="1"/>
  <c r="U255" i="25"/>
  <c r="U284" i="25" s="1"/>
  <c r="O255" i="25"/>
  <c r="O284" i="25" s="1"/>
  <c r="L255" i="25"/>
  <c r="L284" i="25" s="1"/>
  <c r="M255" i="25"/>
  <c r="M284" i="25" s="1"/>
  <c r="V255" i="25"/>
  <c r="V284" i="25" s="1"/>
  <c r="J255" i="25"/>
  <c r="J284" i="25" s="1"/>
  <c r="AC255" i="25"/>
  <c r="AC284" i="25" s="1"/>
  <c r="Y255" i="25"/>
  <c r="Y284" i="25" s="1"/>
  <c r="G255" i="25"/>
  <c r="G284" i="25" s="1"/>
  <c r="D255" i="25"/>
  <c r="D284" i="25" s="1"/>
  <c r="B41" i="24"/>
  <c r="B70" i="24" s="1"/>
  <c r="W255" i="24"/>
  <c r="W284" i="24" s="1"/>
  <c r="AA41" i="24"/>
  <c r="AA70" i="24" s="1"/>
  <c r="L41" i="24"/>
  <c r="L70" i="24" s="1"/>
  <c r="P255" i="24"/>
  <c r="P284" i="24" s="1"/>
  <c r="K255" i="24"/>
  <c r="K284" i="24" s="1"/>
  <c r="V41" i="24"/>
  <c r="V70" i="24" s="1"/>
  <c r="Y255" i="24"/>
  <c r="Y284" i="24" s="1"/>
  <c r="X147" i="24"/>
  <c r="X176" i="24" s="1"/>
  <c r="L147" i="24"/>
  <c r="L176" i="24" s="1"/>
  <c r="V255" i="24"/>
  <c r="V284" i="24" s="1"/>
  <c r="C255" i="24"/>
  <c r="C284" i="24" s="1"/>
  <c r="U255" i="24"/>
  <c r="U284" i="24" s="1"/>
  <c r="C41" i="24"/>
  <c r="C70" i="24" s="1"/>
  <c r="AA255" i="24"/>
  <c r="AA284" i="24" s="1"/>
  <c r="F255" i="24"/>
  <c r="F284" i="24" s="1"/>
  <c r="I147" i="24"/>
  <c r="I176" i="24" s="1"/>
  <c r="E147" i="24"/>
  <c r="E176" i="24" s="1"/>
  <c r="P41" i="24"/>
  <c r="P70" i="24" s="1"/>
  <c r="M41" i="24"/>
  <c r="M70" i="24" s="1"/>
  <c r="X255" i="24"/>
  <c r="X284" i="24" s="1"/>
  <c r="J255" i="24"/>
  <c r="J284" i="24" s="1"/>
  <c r="O255" i="24"/>
  <c r="O284" i="24" s="1"/>
  <c r="D41" i="24"/>
  <c r="D70" i="24" s="1"/>
  <c r="W41" i="24"/>
  <c r="W70" i="24" s="1"/>
  <c r="K147" i="24"/>
  <c r="K176" i="24" s="1"/>
  <c r="H147" i="24"/>
  <c r="H176" i="24" s="1"/>
  <c r="D147" i="24"/>
  <c r="D176" i="24" s="1"/>
  <c r="K41" i="24"/>
  <c r="K70" i="24" s="1"/>
  <c r="E255" i="24"/>
  <c r="E284" i="24" s="1"/>
  <c r="M255" i="24"/>
  <c r="M284" i="24" s="1"/>
  <c r="F147" i="24"/>
  <c r="F176" i="24" s="1"/>
  <c r="AB41" i="24"/>
  <c r="AB70" i="24" s="1"/>
  <c r="Z41" i="24"/>
  <c r="Z70" i="24" s="1"/>
  <c r="N41" i="24"/>
  <c r="N70" i="24" s="1"/>
  <c r="Y41" i="24"/>
  <c r="Y70" i="24" s="1"/>
  <c r="E41" i="24"/>
  <c r="E70" i="24" s="1"/>
  <c r="T41" i="24"/>
  <c r="T70" i="24" s="1"/>
  <c r="G41" i="24"/>
  <c r="G70" i="24" s="1"/>
  <c r="B255" i="24"/>
  <c r="B284" i="24" s="1"/>
  <c r="Q41" i="24"/>
  <c r="Q70" i="24" s="1"/>
  <c r="U41" i="24"/>
  <c r="U70" i="24" s="1"/>
  <c r="Q255" i="24"/>
  <c r="Q284" i="24" s="1"/>
  <c r="L255" i="24"/>
  <c r="L284" i="24" s="1"/>
  <c r="P147" i="24"/>
  <c r="P176" i="24" s="1"/>
  <c r="X41" i="24"/>
  <c r="X70" i="24" s="1"/>
  <c r="S41" i="24"/>
  <c r="S70" i="24" s="1"/>
  <c r="J41" i="24"/>
  <c r="J70" i="24" s="1"/>
  <c r="O41" i="24"/>
  <c r="O70" i="24" s="1"/>
  <c r="T255" i="24"/>
  <c r="T284" i="24" s="1"/>
  <c r="AB255" i="24"/>
  <c r="AB284" i="24" s="1"/>
  <c r="H41" i="24"/>
  <c r="H70" i="24" s="1"/>
  <c r="R41" i="24"/>
  <c r="R70" i="24" s="1"/>
  <c r="N147" i="24"/>
  <c r="N176" i="24" s="1"/>
  <c r="S255" i="24"/>
  <c r="S284" i="24" s="1"/>
  <c r="Z255" i="24"/>
  <c r="Z284" i="24" s="1"/>
  <c r="R255" i="24"/>
  <c r="R284" i="24" s="1"/>
  <c r="I255" i="24"/>
  <c r="I284" i="24" s="1"/>
  <c r="R469" i="19"/>
  <c r="R498" i="19" s="1"/>
  <c r="C469" i="19"/>
  <c r="C498" i="19" s="1"/>
  <c r="H469" i="19"/>
  <c r="H498" i="19" s="1"/>
  <c r="I147" i="20"/>
  <c r="I176" i="20" s="1"/>
  <c r="T469" i="19"/>
  <c r="T498" i="19" s="1"/>
  <c r="F469" i="19"/>
  <c r="F498" i="19" s="1"/>
  <c r="Q147" i="20"/>
  <c r="Q176" i="20" s="1"/>
  <c r="P147" i="20"/>
  <c r="P176" i="20" s="1"/>
  <c r="Q469" i="19"/>
  <c r="Q498" i="19" s="1"/>
  <c r="N147" i="20"/>
  <c r="N176" i="20" s="1"/>
  <c r="V469" i="19"/>
  <c r="V498" i="19" s="1"/>
  <c r="AB469" i="19"/>
  <c r="AB498" i="19" s="1"/>
  <c r="U469" i="19"/>
  <c r="U498" i="19" s="1"/>
  <c r="B469" i="19"/>
  <c r="B498" i="19" s="1"/>
  <c r="Y147" i="20"/>
  <c r="Y176" i="20" s="1"/>
  <c r="G469" i="19"/>
  <c r="G498" i="19" s="1"/>
  <c r="K469" i="19"/>
  <c r="K498" i="19" s="1"/>
  <c r="J147" i="20"/>
  <c r="J176" i="20" s="1"/>
  <c r="W469" i="19"/>
  <c r="W498" i="19" s="1"/>
  <c r="Y469" i="19"/>
  <c r="Y498" i="19" s="1"/>
  <c r="D469" i="19"/>
  <c r="D498" i="19" s="1"/>
  <c r="F147" i="20"/>
  <c r="F176" i="20" s="1"/>
  <c r="J469" i="19"/>
  <c r="J498" i="19" s="1"/>
  <c r="T147" i="20"/>
  <c r="T176" i="20" s="1"/>
  <c r="T255" i="19"/>
  <c r="T284" i="19" s="1"/>
  <c r="Z469" i="19"/>
  <c r="Z498" i="19" s="1"/>
  <c r="S469" i="19"/>
  <c r="S498" i="19" s="1"/>
  <c r="C147" i="20"/>
  <c r="C176" i="20" s="1"/>
  <c r="K147" i="20"/>
  <c r="K176" i="20" s="1"/>
  <c r="L469" i="19"/>
  <c r="L498" i="19" s="1"/>
  <c r="D147" i="20"/>
  <c r="D176" i="20" s="1"/>
  <c r="M469" i="19"/>
  <c r="M498" i="19" s="1"/>
  <c r="AA147" i="20"/>
  <c r="AA176" i="20" s="1"/>
  <c r="AC469" i="19"/>
  <c r="AC498" i="19" s="1"/>
  <c r="AC147" i="20"/>
  <c r="AC176" i="20" s="1"/>
  <c r="X469" i="19"/>
  <c r="X498" i="19" s="1"/>
  <c r="E469" i="19"/>
  <c r="E498" i="19" s="1"/>
  <c r="P469" i="19"/>
  <c r="P498" i="19" s="1"/>
  <c r="S255" i="19"/>
  <c r="S284" i="19" s="1"/>
  <c r="I41" i="19"/>
  <c r="I70" i="19" s="1"/>
  <c r="C41" i="19"/>
  <c r="C70" i="19" s="1"/>
  <c r="F255" i="20"/>
  <c r="F284" i="20" s="1"/>
  <c r="B255" i="20"/>
  <c r="B284" i="20" s="1"/>
  <c r="AB255" i="20"/>
  <c r="AB284" i="20" s="1"/>
  <c r="L255" i="20"/>
  <c r="L284" i="20" s="1"/>
  <c r="G255" i="20"/>
  <c r="G284" i="20" s="1"/>
  <c r="Z255" i="20"/>
  <c r="Z284" i="20" s="1"/>
  <c r="V255" i="20"/>
  <c r="V284" i="20" s="1"/>
  <c r="J255" i="20"/>
  <c r="J284" i="20" s="1"/>
  <c r="R255" i="20"/>
  <c r="R284" i="20" s="1"/>
  <c r="S255" i="20"/>
  <c r="S284" i="20" s="1"/>
  <c r="C255" i="20"/>
  <c r="C284" i="20" s="1"/>
  <c r="H255" i="20"/>
  <c r="H284" i="20" s="1"/>
  <c r="K255" i="20"/>
  <c r="K284" i="20" s="1"/>
  <c r="P255" i="20"/>
  <c r="P284" i="20" s="1"/>
  <c r="W255" i="20"/>
  <c r="W284" i="20" s="1"/>
  <c r="N255" i="20"/>
  <c r="N284" i="20" s="1"/>
  <c r="O255" i="20"/>
  <c r="O284" i="20" s="1"/>
  <c r="AC255" i="20"/>
  <c r="AC284" i="20" s="1"/>
  <c r="T255" i="20"/>
  <c r="T284" i="20" s="1"/>
  <c r="U255" i="20"/>
  <c r="U284" i="20" s="1"/>
  <c r="E255" i="20"/>
  <c r="E284" i="20" s="1"/>
  <c r="AA255" i="20"/>
  <c r="AA284" i="20" s="1"/>
  <c r="M255" i="20"/>
  <c r="M284" i="20" s="1"/>
  <c r="Y255" i="20"/>
  <c r="Y284" i="20" s="1"/>
  <c r="Q255" i="20"/>
  <c r="Q284" i="20" s="1"/>
  <c r="X255" i="20"/>
  <c r="X284" i="20" s="1"/>
  <c r="Z469" i="20"/>
  <c r="Z498" i="20" s="1"/>
  <c r="W469" i="20"/>
  <c r="W498" i="20" s="1"/>
  <c r="AA469" i="20"/>
  <c r="AA498" i="20" s="1"/>
  <c r="P469" i="20"/>
  <c r="P498" i="20" s="1"/>
  <c r="M469" i="20"/>
  <c r="M498" i="20" s="1"/>
  <c r="B469" i="20"/>
  <c r="B498" i="20" s="1"/>
  <c r="F469" i="20"/>
  <c r="F498" i="20" s="1"/>
  <c r="I469" i="20"/>
  <c r="I498" i="20" s="1"/>
  <c r="U469" i="20"/>
  <c r="U498" i="20" s="1"/>
  <c r="R469" i="20"/>
  <c r="R498" i="20" s="1"/>
  <c r="V469" i="20"/>
  <c r="V498" i="20" s="1"/>
  <c r="S469" i="20"/>
  <c r="S498" i="20" s="1"/>
  <c r="AC469" i="20"/>
  <c r="AC498" i="20" s="1"/>
  <c r="J469" i="20"/>
  <c r="J498" i="20" s="1"/>
  <c r="L469" i="20"/>
  <c r="L498" i="20" s="1"/>
  <c r="H469" i="20"/>
  <c r="H498" i="20" s="1"/>
  <c r="Y469" i="20"/>
  <c r="Y498" i="20" s="1"/>
  <c r="D469" i="20"/>
  <c r="D498" i="20" s="1"/>
  <c r="T469" i="20"/>
  <c r="T498" i="20" s="1"/>
  <c r="G469" i="20"/>
  <c r="G498" i="20" s="1"/>
  <c r="O469" i="20"/>
  <c r="O498" i="20" s="1"/>
  <c r="AB469" i="20"/>
  <c r="AB498" i="20" s="1"/>
  <c r="C469" i="20"/>
  <c r="C498" i="20" s="1"/>
  <c r="E469" i="20"/>
  <c r="E498" i="20" s="1"/>
  <c r="N469" i="20"/>
  <c r="N498" i="20" s="1"/>
  <c r="K469" i="20"/>
  <c r="K498" i="20" s="1"/>
  <c r="Q469" i="20"/>
  <c r="Q498" i="20" s="1"/>
  <c r="AC364" i="20"/>
  <c r="AC393" i="20" s="1"/>
  <c r="B255" i="19"/>
  <c r="B284" i="19" s="1"/>
  <c r="AB255" i="19"/>
  <c r="AB284" i="19" s="1"/>
  <c r="U147" i="20"/>
  <c r="U176" i="20" s="1"/>
  <c r="AB147" i="20"/>
  <c r="AB176" i="20" s="1"/>
  <c r="W147" i="20"/>
  <c r="W176" i="20" s="1"/>
  <c r="J364" i="19"/>
  <c r="J393" i="19" s="1"/>
  <c r="H147" i="20"/>
  <c r="H176" i="20" s="1"/>
  <c r="Z364" i="20"/>
  <c r="Z393" i="20" s="1"/>
  <c r="X147" i="20"/>
  <c r="X176" i="20" s="1"/>
  <c r="J255" i="19"/>
  <c r="J284" i="19" s="1"/>
  <c r="E364" i="20"/>
  <c r="E393" i="20" s="1"/>
  <c r="T364" i="20"/>
  <c r="T393" i="20" s="1"/>
  <c r="B364" i="20"/>
  <c r="B393" i="20" s="1"/>
  <c r="B147" i="20"/>
  <c r="B176" i="20" s="1"/>
  <c r="G364" i="20"/>
  <c r="G393" i="20" s="1"/>
  <c r="V147" i="20"/>
  <c r="V176" i="20" s="1"/>
  <c r="M147" i="20"/>
  <c r="M176" i="20" s="1"/>
  <c r="M364" i="20"/>
  <c r="M393" i="20" s="1"/>
  <c r="W364" i="20"/>
  <c r="W393" i="20" s="1"/>
  <c r="N255" i="19"/>
  <c r="N284" i="19" s="1"/>
  <c r="Z147" i="20"/>
  <c r="Z176" i="20" s="1"/>
  <c r="O364" i="20"/>
  <c r="O393" i="20" s="1"/>
  <c r="I364" i="20"/>
  <c r="I393" i="20" s="1"/>
  <c r="N364" i="20"/>
  <c r="N393" i="20" s="1"/>
  <c r="M255" i="19"/>
  <c r="M284" i="19" s="1"/>
  <c r="U255" i="19"/>
  <c r="U284" i="19" s="1"/>
  <c r="O147" i="20"/>
  <c r="O176" i="20" s="1"/>
  <c r="X364" i="20"/>
  <c r="X393" i="20" s="1"/>
  <c r="AA255" i="19"/>
  <c r="AA284" i="19" s="1"/>
  <c r="Y364" i="20"/>
  <c r="Y393" i="20" s="1"/>
  <c r="J364" i="20"/>
  <c r="J393" i="20" s="1"/>
  <c r="I255" i="19"/>
  <c r="I284" i="19" s="1"/>
  <c r="C255" i="19"/>
  <c r="C284" i="19" s="1"/>
  <c r="E147" i="20"/>
  <c r="E176" i="20" s="1"/>
  <c r="V364" i="20"/>
  <c r="V393" i="20" s="1"/>
  <c r="L364" i="20"/>
  <c r="L393" i="20" s="1"/>
  <c r="G255" i="19"/>
  <c r="G284" i="19" s="1"/>
  <c r="S147" i="20"/>
  <c r="S176" i="20" s="1"/>
  <c r="K364" i="20"/>
  <c r="K393" i="20" s="1"/>
  <c r="N41" i="19" l="1"/>
  <c r="N70" i="19" s="1"/>
  <c r="W41" i="19"/>
  <c r="W70" i="19" s="1"/>
  <c r="F41" i="19"/>
  <c r="F70" i="19" s="1"/>
  <c r="L41" i="19"/>
  <c r="L70" i="19" s="1"/>
  <c r="J41" i="19"/>
  <c r="J70" i="19" s="1"/>
  <c r="AB41" i="19"/>
  <c r="AB70" i="19" s="1"/>
  <c r="V41" i="19"/>
  <c r="V70" i="19" s="1"/>
  <c r="AC41" i="19"/>
  <c r="AC70" i="19" s="1"/>
  <c r="S41" i="19"/>
  <c r="S70" i="19" s="1"/>
  <c r="M41" i="19"/>
  <c r="M70" i="19" s="1"/>
  <c r="P41" i="19"/>
  <c r="P70" i="19" s="1"/>
  <c r="D41" i="19"/>
  <c r="D70" i="19" s="1"/>
  <c r="K41" i="19"/>
  <c r="K70" i="19" s="1"/>
  <c r="Q41" i="19"/>
  <c r="Q70" i="19" s="1"/>
  <c r="R41" i="19"/>
  <c r="R70" i="19" s="1"/>
  <c r="X41" i="19"/>
  <c r="X70" i="19" s="1"/>
  <c r="M147" i="19"/>
  <c r="M176" i="19" s="1"/>
  <c r="Y41" i="19"/>
  <c r="Y70" i="19" s="1"/>
  <c r="AA41" i="19"/>
  <c r="AA70" i="19" s="1"/>
  <c r="O41" i="19"/>
  <c r="O70" i="19" s="1"/>
  <c r="G41" i="19"/>
  <c r="G70" i="19" s="1"/>
  <c r="Z41" i="19"/>
  <c r="Z70" i="19" s="1"/>
  <c r="U41" i="19"/>
  <c r="U70" i="19" s="1"/>
  <c r="E41" i="19"/>
  <c r="E70" i="19" s="1"/>
  <c r="H41" i="19"/>
  <c r="H70" i="19" s="1"/>
  <c r="U147" i="19"/>
  <c r="U176" i="19" s="1"/>
  <c r="J147" i="19"/>
  <c r="J176" i="19" s="1"/>
  <c r="B127" i="21"/>
  <c r="T147" i="19"/>
  <c r="T176" i="19" s="1"/>
  <c r="D147" i="19"/>
  <c r="D176" i="19" s="1"/>
  <c r="M364" i="19"/>
  <c r="M393" i="19" s="1"/>
  <c r="V364" i="19"/>
  <c r="V393" i="19" s="1"/>
  <c r="F364" i="19"/>
  <c r="F393" i="19" s="1"/>
  <c r="AA364" i="19"/>
  <c r="AA393" i="19" s="1"/>
  <c r="H364" i="19"/>
  <c r="H393" i="19" s="1"/>
  <c r="O364" i="19"/>
  <c r="O393" i="19" s="1"/>
  <c r="K364" i="19"/>
  <c r="K393" i="19" s="1"/>
  <c r="Z364" i="19"/>
  <c r="Z393" i="19" s="1"/>
  <c r="R364" i="19"/>
  <c r="R393" i="19" s="1"/>
  <c r="G364" i="19"/>
  <c r="G393" i="19" s="1"/>
  <c r="D364" i="19"/>
  <c r="D393" i="19" s="1"/>
  <c r="P364" i="19"/>
  <c r="P393" i="19" s="1"/>
  <c r="AB364" i="19"/>
  <c r="AB393" i="19" s="1"/>
  <c r="Q364" i="19"/>
  <c r="Q393" i="19" s="1"/>
  <c r="B364" i="19"/>
  <c r="B393" i="19" s="1"/>
  <c r="L364" i="19"/>
  <c r="L393" i="19" s="1"/>
  <c r="C364" i="19"/>
  <c r="C393" i="19" s="1"/>
  <c r="S364" i="19"/>
  <c r="S393" i="19" s="1"/>
  <c r="T364" i="19"/>
  <c r="T393" i="19" s="1"/>
  <c r="I364" i="19"/>
  <c r="I393" i="19" s="1"/>
  <c r="E147" i="19"/>
  <c r="E176" i="19" s="1"/>
  <c r="X364" i="19"/>
  <c r="X393" i="19" s="1"/>
  <c r="E364" i="19"/>
  <c r="E393" i="19" s="1"/>
  <c r="Y364" i="19"/>
  <c r="Y393" i="19" s="1"/>
  <c r="AC364" i="19"/>
  <c r="AC393" i="19" s="1"/>
  <c r="Z147" i="19"/>
  <c r="Z176" i="19" s="1"/>
  <c r="N364" i="19"/>
  <c r="N393" i="19" s="1"/>
  <c r="W364" i="19"/>
  <c r="W393" i="19" s="1"/>
  <c r="X147" i="19"/>
  <c r="X176" i="19" s="1"/>
  <c r="G147" i="19"/>
  <c r="G176" i="19" s="1"/>
  <c r="P147" i="19"/>
  <c r="P176" i="19" s="1"/>
  <c r="Y147" i="19"/>
  <c r="Y176" i="19" s="1"/>
  <c r="F255" i="19"/>
  <c r="F284" i="19" s="1"/>
  <c r="E255" i="19"/>
  <c r="E284" i="19" s="1"/>
  <c r="Y255" i="19"/>
  <c r="Y284" i="19" s="1"/>
  <c r="R255" i="19"/>
  <c r="R284" i="19" s="1"/>
  <c r="AC255" i="19"/>
  <c r="AC284" i="19" s="1"/>
  <c r="K255" i="19"/>
  <c r="K284" i="19" s="1"/>
  <c r="X255" i="19"/>
  <c r="X284" i="19" s="1"/>
  <c r="H255" i="19"/>
  <c r="H284" i="19" s="1"/>
  <c r="O255" i="19"/>
  <c r="O284" i="19" s="1"/>
  <c r="D255" i="19"/>
  <c r="D284" i="19" s="1"/>
  <c r="L255" i="19"/>
  <c r="L284" i="19" s="1"/>
  <c r="Q255" i="19"/>
  <c r="Q284" i="19" s="1"/>
  <c r="W255" i="19"/>
  <c r="W284" i="19" s="1"/>
  <c r="Z255" i="19"/>
  <c r="Z284" i="19" s="1"/>
  <c r="V255" i="19"/>
  <c r="V284" i="19" s="1"/>
  <c r="B344" i="22"/>
  <c r="B127" i="22"/>
  <c r="B449" i="22"/>
  <c r="B41" i="19"/>
  <c r="B70" i="19" s="1"/>
  <c r="B344" i="23"/>
  <c r="B449" i="23"/>
  <c r="B21" i="21"/>
  <c r="B344" i="21"/>
  <c r="B235" i="23"/>
  <c r="B235" i="21"/>
  <c r="B21" i="23"/>
  <c r="AN81" i="2"/>
  <c r="M109" i="2" s="1"/>
  <c r="F28" i="29"/>
  <c r="J28" i="29" s="1"/>
  <c r="F29" i="29"/>
  <c r="J29" i="29" s="1"/>
  <c r="F30" i="29"/>
  <c r="J30" i="29" s="1"/>
  <c r="F31" i="29"/>
  <c r="J31" i="29" s="1"/>
  <c r="F27" i="29"/>
  <c r="J27" i="29" s="1"/>
  <c r="AI81" i="2"/>
  <c r="M97" i="2" s="1"/>
  <c r="F22" i="29"/>
  <c r="J22" i="29" s="1"/>
  <c r="F23" i="29"/>
  <c r="J23" i="29" s="1"/>
  <c r="F24" i="29"/>
  <c r="J24" i="29" s="1"/>
  <c r="F25" i="29"/>
  <c r="J25" i="29" s="1"/>
  <c r="F26" i="29"/>
  <c r="J26" i="29" s="1"/>
  <c r="AD81" i="2"/>
  <c r="M121" i="2" s="1"/>
  <c r="F35" i="29"/>
  <c r="J35" i="29" s="1"/>
  <c r="F36" i="29"/>
  <c r="J36" i="29" s="1"/>
  <c r="F34" i="29"/>
  <c r="J34" i="29" s="1"/>
  <c r="F32" i="29"/>
  <c r="J32" i="29" s="1"/>
  <c r="F33" i="29"/>
  <c r="J33" i="29" s="1"/>
  <c r="C21" i="23" l="1"/>
  <c r="C235" i="23"/>
  <c r="C449" i="23"/>
  <c r="C127" i="23"/>
  <c r="C344" i="23"/>
  <c r="C235" i="21"/>
  <c r="C127" i="21"/>
  <c r="C344" i="21"/>
  <c r="C449" i="21"/>
  <c r="C21" i="21"/>
  <c r="C344" i="22"/>
  <c r="C127" i="22"/>
  <c r="C21" i="22"/>
  <c r="C235" i="22"/>
  <c r="C449" i="22"/>
  <c r="M80" i="2"/>
  <c r="L80" i="2"/>
  <c r="I364" i="21" l="1"/>
  <c r="I393" i="21" s="1"/>
  <c r="J364" i="21"/>
  <c r="J393" i="21" s="1"/>
  <c r="L364" i="21"/>
  <c r="L393" i="21" s="1"/>
  <c r="O364" i="21"/>
  <c r="O393" i="21" s="1"/>
  <c r="K364" i="21"/>
  <c r="K393" i="21" s="1"/>
  <c r="G364" i="21"/>
  <c r="G393" i="21" s="1"/>
  <c r="V364" i="21"/>
  <c r="V393" i="21" s="1"/>
  <c r="Y364" i="21"/>
  <c r="Y393" i="21" s="1"/>
  <c r="AA364" i="21"/>
  <c r="AA393" i="21" s="1"/>
  <c r="N364" i="21"/>
  <c r="N393" i="21" s="1"/>
  <c r="U364" i="21"/>
  <c r="U393" i="21" s="1"/>
  <c r="AB364" i="21"/>
  <c r="AB393" i="21" s="1"/>
  <c r="Q364" i="21"/>
  <c r="Q393" i="21" s="1"/>
  <c r="R364" i="21"/>
  <c r="R393" i="21" s="1"/>
  <c r="T364" i="21"/>
  <c r="T393" i="21" s="1"/>
  <c r="Z364" i="21"/>
  <c r="Z393" i="21" s="1"/>
  <c r="B364" i="21"/>
  <c r="B393" i="21" s="1"/>
  <c r="F364" i="21"/>
  <c r="F393" i="21" s="1"/>
  <c r="S364" i="21"/>
  <c r="S393" i="21" s="1"/>
  <c r="X364" i="21"/>
  <c r="X393" i="21" s="1"/>
  <c r="C364" i="21"/>
  <c r="C393" i="21" s="1"/>
  <c r="AC364" i="21"/>
  <c r="AC393" i="21" s="1"/>
  <c r="E364" i="21"/>
  <c r="E393" i="21" s="1"/>
  <c r="P364" i="21"/>
  <c r="P393" i="21" s="1"/>
  <c r="H364" i="21"/>
  <c r="H393" i="21" s="1"/>
  <c r="W364" i="21"/>
  <c r="W393" i="21" s="1"/>
  <c r="M364" i="21"/>
  <c r="M393" i="21" s="1"/>
  <c r="D364" i="21"/>
  <c r="D393" i="21" s="1"/>
  <c r="P147" i="21"/>
  <c r="P176" i="21" s="1"/>
  <c r="R147" i="21"/>
  <c r="R176" i="21" s="1"/>
  <c r="N147" i="21"/>
  <c r="N176" i="21" s="1"/>
  <c r="Z147" i="21"/>
  <c r="Z176" i="21" s="1"/>
  <c r="E147" i="21"/>
  <c r="E176" i="21" s="1"/>
  <c r="Y147" i="21"/>
  <c r="Y176" i="21" s="1"/>
  <c r="U147" i="21"/>
  <c r="U176" i="21" s="1"/>
  <c r="F147" i="21"/>
  <c r="F176" i="21" s="1"/>
  <c r="D147" i="21"/>
  <c r="D176" i="21" s="1"/>
  <c r="Q147" i="21"/>
  <c r="Q176" i="21" s="1"/>
  <c r="W147" i="21"/>
  <c r="W176" i="21" s="1"/>
  <c r="AC147" i="21"/>
  <c r="AC176" i="21" s="1"/>
  <c r="C147" i="21"/>
  <c r="C176" i="21" s="1"/>
  <c r="I147" i="21"/>
  <c r="I176" i="21" s="1"/>
  <c r="X147" i="21"/>
  <c r="X176" i="21" s="1"/>
  <c r="V147" i="21"/>
  <c r="V176" i="21" s="1"/>
  <c r="B147" i="21"/>
  <c r="B176" i="21" s="1"/>
  <c r="S147" i="21"/>
  <c r="S176" i="21" s="1"/>
  <c r="M147" i="21"/>
  <c r="M176" i="21" s="1"/>
  <c r="H147" i="21"/>
  <c r="H176" i="21" s="1"/>
  <c r="AB147" i="21"/>
  <c r="AB176" i="21" s="1"/>
  <c r="O147" i="21"/>
  <c r="O176" i="21" s="1"/>
  <c r="AA147" i="21"/>
  <c r="AA176" i="21" s="1"/>
  <c r="J147" i="21"/>
  <c r="J176" i="21" s="1"/>
  <c r="T147" i="21"/>
  <c r="T176" i="21" s="1"/>
  <c r="L147" i="21"/>
  <c r="L176" i="21" s="1"/>
  <c r="G147" i="21"/>
  <c r="G176" i="21" s="1"/>
  <c r="K147" i="21"/>
  <c r="K176" i="21" s="1"/>
  <c r="E255" i="21"/>
  <c r="E284" i="21" s="1"/>
  <c r="I255" i="21"/>
  <c r="I284" i="21" s="1"/>
  <c r="M255" i="21"/>
  <c r="M284" i="21" s="1"/>
  <c r="AA255" i="21"/>
  <c r="AA284" i="21" s="1"/>
  <c r="Q255" i="21"/>
  <c r="Q284" i="21" s="1"/>
  <c r="P255" i="21"/>
  <c r="P284" i="21" s="1"/>
  <c r="F255" i="21"/>
  <c r="F284" i="21" s="1"/>
  <c r="W255" i="21"/>
  <c r="W284" i="21" s="1"/>
  <c r="D255" i="21"/>
  <c r="D284" i="21" s="1"/>
  <c r="R255" i="21"/>
  <c r="R284" i="21" s="1"/>
  <c r="K255" i="21"/>
  <c r="K284" i="21" s="1"/>
  <c r="O255" i="21"/>
  <c r="O284" i="21" s="1"/>
  <c r="B255" i="21"/>
  <c r="B284" i="21" s="1"/>
  <c r="H255" i="21"/>
  <c r="H284" i="21" s="1"/>
  <c r="AC255" i="21"/>
  <c r="AC284" i="21" s="1"/>
  <c r="G255" i="21"/>
  <c r="G284" i="21" s="1"/>
  <c r="S255" i="21"/>
  <c r="S284" i="21" s="1"/>
  <c r="X255" i="21"/>
  <c r="X284" i="21" s="1"/>
  <c r="AB255" i="21"/>
  <c r="AB284" i="21" s="1"/>
  <c r="V255" i="21"/>
  <c r="V284" i="21" s="1"/>
  <c r="C255" i="21"/>
  <c r="C284" i="21" s="1"/>
  <c r="T255" i="21"/>
  <c r="T284" i="21" s="1"/>
  <c r="J255" i="21"/>
  <c r="J284" i="21" s="1"/>
  <c r="U255" i="21"/>
  <c r="U284" i="21" s="1"/>
  <c r="Z255" i="21"/>
  <c r="Z284" i="21" s="1"/>
  <c r="Y255" i="21"/>
  <c r="Y284" i="21" s="1"/>
  <c r="N255" i="21"/>
  <c r="N284" i="21" s="1"/>
  <c r="L255" i="21"/>
  <c r="L284" i="21" s="1"/>
  <c r="D364" i="23"/>
  <c r="D393" i="23" s="1"/>
  <c r="C364" i="23"/>
  <c r="C393" i="23" s="1"/>
  <c r="G364" i="23"/>
  <c r="G393" i="23" s="1"/>
  <c r="X364" i="23"/>
  <c r="X393" i="23" s="1"/>
  <c r="T364" i="23"/>
  <c r="T393" i="23" s="1"/>
  <c r="Z364" i="23"/>
  <c r="Z393" i="23" s="1"/>
  <c r="AA364" i="23"/>
  <c r="AA393" i="23" s="1"/>
  <c r="AB364" i="23"/>
  <c r="AB393" i="23" s="1"/>
  <c r="I364" i="23"/>
  <c r="I393" i="23" s="1"/>
  <c r="O364" i="23"/>
  <c r="O393" i="23" s="1"/>
  <c r="K364" i="23"/>
  <c r="K393" i="23" s="1"/>
  <c r="B364" i="23"/>
  <c r="B393" i="23" s="1"/>
  <c r="V364" i="23"/>
  <c r="V393" i="23" s="1"/>
  <c r="L364" i="23"/>
  <c r="L393" i="23" s="1"/>
  <c r="Y364" i="23"/>
  <c r="Y393" i="23" s="1"/>
  <c r="H364" i="23"/>
  <c r="H393" i="23" s="1"/>
  <c r="M364" i="23"/>
  <c r="M393" i="23" s="1"/>
  <c r="Q364" i="23"/>
  <c r="Q393" i="23" s="1"/>
  <c r="U364" i="23"/>
  <c r="U393" i="23" s="1"/>
  <c r="J364" i="23"/>
  <c r="J393" i="23" s="1"/>
  <c r="S364" i="23"/>
  <c r="S393" i="23" s="1"/>
  <c r="W364" i="23"/>
  <c r="W393" i="23" s="1"/>
  <c r="P364" i="23"/>
  <c r="P393" i="23" s="1"/>
  <c r="AC364" i="23"/>
  <c r="AC393" i="23" s="1"/>
  <c r="R364" i="23"/>
  <c r="R393" i="23" s="1"/>
  <c r="N364" i="23"/>
  <c r="N393" i="23" s="1"/>
  <c r="E364" i="23"/>
  <c r="E393" i="23" s="1"/>
  <c r="F364" i="23"/>
  <c r="F393" i="23" s="1"/>
  <c r="T147" i="23"/>
  <c r="T176" i="23" s="1"/>
  <c r="E147" i="23"/>
  <c r="E176" i="23" s="1"/>
  <c r="P147" i="23"/>
  <c r="P176" i="23" s="1"/>
  <c r="G147" i="23"/>
  <c r="G176" i="23" s="1"/>
  <c r="D147" i="23"/>
  <c r="D176" i="23" s="1"/>
  <c r="L147" i="23"/>
  <c r="L176" i="23" s="1"/>
  <c r="B147" i="23"/>
  <c r="B176" i="23" s="1"/>
  <c r="AC147" i="23"/>
  <c r="AC176" i="23" s="1"/>
  <c r="AA147" i="23"/>
  <c r="AA176" i="23" s="1"/>
  <c r="X147" i="23"/>
  <c r="X176" i="23" s="1"/>
  <c r="Z147" i="23"/>
  <c r="Z176" i="23" s="1"/>
  <c r="AB147" i="23"/>
  <c r="AB176" i="23" s="1"/>
  <c r="H147" i="23"/>
  <c r="H176" i="23" s="1"/>
  <c r="K147" i="23"/>
  <c r="K176" i="23" s="1"/>
  <c r="V147" i="23"/>
  <c r="V176" i="23" s="1"/>
  <c r="M147" i="23"/>
  <c r="M176" i="23" s="1"/>
  <c r="C147" i="23"/>
  <c r="C176" i="23" s="1"/>
  <c r="R147" i="23"/>
  <c r="R176" i="23" s="1"/>
  <c r="N147" i="23"/>
  <c r="N176" i="23" s="1"/>
  <c r="J147" i="23"/>
  <c r="J176" i="23" s="1"/>
  <c r="W147" i="23"/>
  <c r="W176" i="23" s="1"/>
  <c r="Q147" i="23"/>
  <c r="Q176" i="23" s="1"/>
  <c r="F147" i="23"/>
  <c r="F176" i="23" s="1"/>
  <c r="Y147" i="23"/>
  <c r="Y176" i="23" s="1"/>
  <c r="O147" i="23"/>
  <c r="O176" i="23" s="1"/>
  <c r="I147" i="23"/>
  <c r="I176" i="23" s="1"/>
  <c r="U147" i="23"/>
  <c r="U176" i="23" s="1"/>
  <c r="S147" i="23"/>
  <c r="S176" i="23" s="1"/>
  <c r="L85" i="2"/>
  <c r="E18" i="29"/>
  <c r="I18" i="29" s="1"/>
  <c r="E19" i="29"/>
  <c r="I19" i="29" s="1"/>
  <c r="E20" i="29"/>
  <c r="I20" i="29" s="1"/>
  <c r="E21" i="29"/>
  <c r="I21" i="29" s="1"/>
  <c r="E17" i="29"/>
  <c r="I17" i="29" s="1"/>
  <c r="Y41" i="22"/>
  <c r="Y70" i="22" s="1"/>
  <c r="U41" i="22"/>
  <c r="U70" i="22" s="1"/>
  <c r="Q41" i="22"/>
  <c r="Q70" i="22" s="1"/>
  <c r="AA41" i="22"/>
  <c r="AA70" i="22" s="1"/>
  <c r="J41" i="22"/>
  <c r="J70" i="22" s="1"/>
  <c r="Z41" i="22"/>
  <c r="Z70" i="22" s="1"/>
  <c r="S41" i="22"/>
  <c r="S70" i="22" s="1"/>
  <c r="N41" i="22"/>
  <c r="N70" i="22" s="1"/>
  <c r="H41" i="22"/>
  <c r="H70" i="22" s="1"/>
  <c r="C41" i="22"/>
  <c r="C70" i="22" s="1"/>
  <c r="G41" i="22"/>
  <c r="G70" i="22" s="1"/>
  <c r="I41" i="22"/>
  <c r="I70" i="22" s="1"/>
  <c r="L41" i="22"/>
  <c r="L70" i="22" s="1"/>
  <c r="X41" i="22"/>
  <c r="X70" i="22" s="1"/>
  <c r="T41" i="22"/>
  <c r="T70" i="22" s="1"/>
  <c r="R41" i="22"/>
  <c r="R70" i="22" s="1"/>
  <c r="K41" i="22"/>
  <c r="K70" i="22" s="1"/>
  <c r="AB41" i="22"/>
  <c r="AB70" i="22" s="1"/>
  <c r="P41" i="22"/>
  <c r="P70" i="22" s="1"/>
  <c r="W41" i="22"/>
  <c r="W70" i="22" s="1"/>
  <c r="O41" i="22"/>
  <c r="O70" i="22" s="1"/>
  <c r="V41" i="22"/>
  <c r="V70" i="22" s="1"/>
  <c r="AC41" i="22"/>
  <c r="AC70" i="22" s="1"/>
  <c r="D41" i="22"/>
  <c r="D70" i="22" s="1"/>
  <c r="F41" i="22"/>
  <c r="F70" i="22" s="1"/>
  <c r="E41" i="22"/>
  <c r="E70" i="22" s="1"/>
  <c r="M41" i="22"/>
  <c r="M70" i="22" s="1"/>
  <c r="B41" i="22"/>
  <c r="B70" i="22" s="1"/>
  <c r="T364" i="22"/>
  <c r="T393" i="22" s="1"/>
  <c r="J364" i="22"/>
  <c r="J393" i="22" s="1"/>
  <c r="X364" i="22"/>
  <c r="X393" i="22" s="1"/>
  <c r="K364" i="22"/>
  <c r="K393" i="22" s="1"/>
  <c r="V364" i="22"/>
  <c r="V393" i="22" s="1"/>
  <c r="O364" i="22"/>
  <c r="O393" i="22" s="1"/>
  <c r="Y364" i="22"/>
  <c r="Y393" i="22" s="1"/>
  <c r="AB364" i="22"/>
  <c r="AB393" i="22" s="1"/>
  <c r="N364" i="22"/>
  <c r="N393" i="22" s="1"/>
  <c r="M364" i="22"/>
  <c r="M393" i="22" s="1"/>
  <c r="D364" i="22"/>
  <c r="D393" i="22" s="1"/>
  <c r="C364" i="22"/>
  <c r="C393" i="22" s="1"/>
  <c r="Z364" i="22"/>
  <c r="Z393" i="22" s="1"/>
  <c r="Q364" i="22"/>
  <c r="Q393" i="22" s="1"/>
  <c r="P364" i="22"/>
  <c r="P393" i="22" s="1"/>
  <c r="L364" i="22"/>
  <c r="L393" i="22" s="1"/>
  <c r="H364" i="22"/>
  <c r="H393" i="22" s="1"/>
  <c r="AC364" i="22"/>
  <c r="AC393" i="22" s="1"/>
  <c r="E364" i="22"/>
  <c r="E393" i="22" s="1"/>
  <c r="S364" i="22"/>
  <c r="S393" i="22" s="1"/>
  <c r="AA364" i="22"/>
  <c r="AA393" i="22" s="1"/>
  <c r="G364" i="22"/>
  <c r="G393" i="22" s="1"/>
  <c r="W364" i="22"/>
  <c r="W393" i="22" s="1"/>
  <c r="U364" i="22"/>
  <c r="U393" i="22" s="1"/>
  <c r="R364" i="22"/>
  <c r="R393" i="22" s="1"/>
  <c r="I364" i="22"/>
  <c r="I393" i="22" s="1"/>
  <c r="B364" i="22"/>
  <c r="B393" i="22" s="1"/>
  <c r="F364" i="22"/>
  <c r="F393" i="22" s="1"/>
  <c r="Z469" i="22"/>
  <c r="Z498" i="22" s="1"/>
  <c r="K469" i="22"/>
  <c r="K498" i="22" s="1"/>
  <c r="L469" i="22"/>
  <c r="L498" i="22" s="1"/>
  <c r="M469" i="22"/>
  <c r="M498" i="22" s="1"/>
  <c r="G469" i="22"/>
  <c r="G498" i="22" s="1"/>
  <c r="D469" i="22"/>
  <c r="D498" i="22" s="1"/>
  <c r="F469" i="22"/>
  <c r="F498" i="22" s="1"/>
  <c r="E469" i="22"/>
  <c r="E498" i="22" s="1"/>
  <c r="X469" i="22"/>
  <c r="X498" i="22" s="1"/>
  <c r="O469" i="22"/>
  <c r="O498" i="22" s="1"/>
  <c r="Q469" i="22"/>
  <c r="Q498" i="22" s="1"/>
  <c r="R469" i="22"/>
  <c r="R498" i="22" s="1"/>
  <c r="V469" i="22"/>
  <c r="V498" i="22" s="1"/>
  <c r="S469" i="22"/>
  <c r="S498" i="22" s="1"/>
  <c r="B469" i="22"/>
  <c r="B498" i="22" s="1"/>
  <c r="T469" i="22"/>
  <c r="T498" i="22" s="1"/>
  <c r="W469" i="22"/>
  <c r="W498" i="22" s="1"/>
  <c r="U469" i="22"/>
  <c r="U498" i="22" s="1"/>
  <c r="C469" i="22"/>
  <c r="C498" i="22" s="1"/>
  <c r="J469" i="22"/>
  <c r="J498" i="22" s="1"/>
  <c r="AA469" i="22"/>
  <c r="AA498" i="22" s="1"/>
  <c r="N469" i="22"/>
  <c r="N498" i="22" s="1"/>
  <c r="P469" i="22"/>
  <c r="P498" i="22" s="1"/>
  <c r="I469" i="22"/>
  <c r="I498" i="22" s="1"/>
  <c r="AB469" i="22"/>
  <c r="AB498" i="22" s="1"/>
  <c r="AC469" i="22"/>
  <c r="AC498" i="22" s="1"/>
  <c r="Y469" i="22"/>
  <c r="Y498" i="22" s="1"/>
  <c r="H469" i="22"/>
  <c r="H498" i="22" s="1"/>
  <c r="L255" i="22"/>
  <c r="L284" i="22" s="1"/>
  <c r="AA255" i="22"/>
  <c r="AA284" i="22" s="1"/>
  <c r="M255" i="22"/>
  <c r="M284" i="22" s="1"/>
  <c r="X255" i="22"/>
  <c r="X284" i="22" s="1"/>
  <c r="H255" i="22"/>
  <c r="H284" i="22" s="1"/>
  <c r="Y255" i="22"/>
  <c r="Y284" i="22" s="1"/>
  <c r="Q255" i="22"/>
  <c r="Q284" i="22" s="1"/>
  <c r="E255" i="22"/>
  <c r="E284" i="22" s="1"/>
  <c r="B255" i="22"/>
  <c r="B284" i="22" s="1"/>
  <c r="K255" i="22"/>
  <c r="K284" i="22" s="1"/>
  <c r="D255" i="22"/>
  <c r="D284" i="22" s="1"/>
  <c r="U255" i="22"/>
  <c r="U284" i="22" s="1"/>
  <c r="R255" i="22"/>
  <c r="R284" i="22" s="1"/>
  <c r="W255" i="22"/>
  <c r="W284" i="22" s="1"/>
  <c r="F255" i="22"/>
  <c r="F284" i="22" s="1"/>
  <c r="S255" i="22"/>
  <c r="S284" i="22" s="1"/>
  <c r="V255" i="22"/>
  <c r="V284" i="22" s="1"/>
  <c r="I255" i="22"/>
  <c r="I284" i="22" s="1"/>
  <c r="G255" i="22"/>
  <c r="G284" i="22" s="1"/>
  <c r="C255" i="22"/>
  <c r="C284" i="22" s="1"/>
  <c r="O255" i="22"/>
  <c r="O284" i="22" s="1"/>
  <c r="T255" i="22"/>
  <c r="T284" i="22" s="1"/>
  <c r="J255" i="22"/>
  <c r="J284" i="22" s="1"/>
  <c r="Z255" i="22"/>
  <c r="Z284" i="22" s="1"/>
  <c r="AC255" i="22"/>
  <c r="AC284" i="22" s="1"/>
  <c r="N255" i="22"/>
  <c r="N284" i="22" s="1"/>
  <c r="AB255" i="22"/>
  <c r="AB284" i="22" s="1"/>
  <c r="P255" i="22"/>
  <c r="P284" i="22" s="1"/>
  <c r="AB147" i="22"/>
  <c r="AB176" i="22" s="1"/>
  <c r="W147" i="22"/>
  <c r="W176" i="22" s="1"/>
  <c r="I147" i="22"/>
  <c r="I176" i="22" s="1"/>
  <c r="N147" i="22"/>
  <c r="N176" i="22" s="1"/>
  <c r="P147" i="22"/>
  <c r="P176" i="22" s="1"/>
  <c r="J147" i="22"/>
  <c r="J176" i="22" s="1"/>
  <c r="AC147" i="22"/>
  <c r="AC176" i="22" s="1"/>
  <c r="O147" i="22"/>
  <c r="O176" i="22" s="1"/>
  <c r="H147" i="22"/>
  <c r="H176" i="22" s="1"/>
  <c r="AA147" i="22"/>
  <c r="AA176" i="22" s="1"/>
  <c r="G147" i="22"/>
  <c r="G176" i="22" s="1"/>
  <c r="X147" i="22"/>
  <c r="X176" i="22" s="1"/>
  <c r="B147" i="22"/>
  <c r="B176" i="22" s="1"/>
  <c r="D147" i="22"/>
  <c r="D176" i="22" s="1"/>
  <c r="R147" i="22"/>
  <c r="R176" i="22" s="1"/>
  <c r="L147" i="22"/>
  <c r="L176" i="22" s="1"/>
  <c r="S147" i="22"/>
  <c r="S176" i="22" s="1"/>
  <c r="Z147" i="22"/>
  <c r="Z176" i="22" s="1"/>
  <c r="M147" i="22"/>
  <c r="M176" i="22" s="1"/>
  <c r="U147" i="22"/>
  <c r="U176" i="22" s="1"/>
  <c r="Y147" i="22"/>
  <c r="Y176" i="22" s="1"/>
  <c r="Q147" i="22"/>
  <c r="Q176" i="22" s="1"/>
  <c r="T147" i="22"/>
  <c r="T176" i="22" s="1"/>
  <c r="V147" i="22"/>
  <c r="V176" i="22" s="1"/>
  <c r="E147" i="22"/>
  <c r="E176" i="22" s="1"/>
  <c r="F147" i="22"/>
  <c r="F176" i="22" s="1"/>
  <c r="K147" i="22"/>
  <c r="K176" i="22" s="1"/>
  <c r="C147" i="22"/>
  <c r="C176" i="22" s="1"/>
  <c r="N469" i="23"/>
  <c r="N498" i="23" s="1"/>
  <c r="Z469" i="23"/>
  <c r="Z498" i="23" s="1"/>
  <c r="U469" i="23"/>
  <c r="U498" i="23" s="1"/>
  <c r="AC469" i="23"/>
  <c r="AC498" i="23" s="1"/>
  <c r="G469" i="23"/>
  <c r="G498" i="23" s="1"/>
  <c r="V469" i="23"/>
  <c r="V498" i="23" s="1"/>
  <c r="X469" i="23"/>
  <c r="X498" i="23" s="1"/>
  <c r="C469" i="23"/>
  <c r="C498" i="23" s="1"/>
  <c r="Y469" i="23"/>
  <c r="Y498" i="23" s="1"/>
  <c r="M469" i="23"/>
  <c r="M498" i="23" s="1"/>
  <c r="J469" i="23"/>
  <c r="J498" i="23" s="1"/>
  <c r="H469" i="23"/>
  <c r="H498" i="23" s="1"/>
  <c r="T469" i="23"/>
  <c r="T498" i="23" s="1"/>
  <c r="W469" i="23"/>
  <c r="W498" i="23" s="1"/>
  <c r="B469" i="23"/>
  <c r="B498" i="23" s="1"/>
  <c r="E469" i="23"/>
  <c r="E498" i="23" s="1"/>
  <c r="R469" i="23"/>
  <c r="R498" i="23" s="1"/>
  <c r="D469" i="23"/>
  <c r="D498" i="23" s="1"/>
  <c r="L469" i="23"/>
  <c r="L498" i="23" s="1"/>
  <c r="AA469" i="23"/>
  <c r="AA498" i="23" s="1"/>
  <c r="AB469" i="23"/>
  <c r="AB498" i="23" s="1"/>
  <c r="K469" i="23"/>
  <c r="K498" i="23" s="1"/>
  <c r="I469" i="23"/>
  <c r="I498" i="23" s="1"/>
  <c r="Q469" i="23"/>
  <c r="Q498" i="23" s="1"/>
  <c r="P469" i="23"/>
  <c r="P498" i="23" s="1"/>
  <c r="O469" i="23"/>
  <c r="O498" i="23" s="1"/>
  <c r="S469" i="23"/>
  <c r="S498" i="23" s="1"/>
  <c r="F469" i="23"/>
  <c r="F498" i="23" s="1"/>
  <c r="K41" i="21"/>
  <c r="K70" i="21" s="1"/>
  <c r="O41" i="21"/>
  <c r="O70" i="21" s="1"/>
  <c r="J41" i="21"/>
  <c r="J70" i="21" s="1"/>
  <c r="U41" i="21"/>
  <c r="U70" i="21" s="1"/>
  <c r="I41" i="21"/>
  <c r="I70" i="21" s="1"/>
  <c r="G41" i="21"/>
  <c r="G70" i="21" s="1"/>
  <c r="D41" i="21"/>
  <c r="D70" i="21" s="1"/>
  <c r="Q41" i="21"/>
  <c r="Q70" i="21" s="1"/>
  <c r="AB41" i="21"/>
  <c r="AB70" i="21" s="1"/>
  <c r="X41" i="21"/>
  <c r="X70" i="21" s="1"/>
  <c r="S41" i="21"/>
  <c r="S70" i="21" s="1"/>
  <c r="N41" i="21"/>
  <c r="N70" i="21" s="1"/>
  <c r="H41" i="21"/>
  <c r="H70" i="21" s="1"/>
  <c r="R41" i="21"/>
  <c r="R70" i="21" s="1"/>
  <c r="W41" i="21"/>
  <c r="W70" i="21" s="1"/>
  <c r="T41" i="21"/>
  <c r="T70" i="21" s="1"/>
  <c r="AC41" i="21"/>
  <c r="AC70" i="21" s="1"/>
  <c r="AA41" i="21"/>
  <c r="AA70" i="21" s="1"/>
  <c r="Y41" i="21"/>
  <c r="Y70" i="21" s="1"/>
  <c r="E41" i="21"/>
  <c r="E70" i="21" s="1"/>
  <c r="L41" i="21"/>
  <c r="L70" i="21" s="1"/>
  <c r="C41" i="21"/>
  <c r="C70" i="21" s="1"/>
  <c r="B41" i="21"/>
  <c r="B70" i="21" s="1"/>
  <c r="M41" i="21"/>
  <c r="M70" i="21" s="1"/>
  <c r="F41" i="21"/>
  <c r="F70" i="21" s="1"/>
  <c r="V41" i="21"/>
  <c r="V70" i="21" s="1"/>
  <c r="P41" i="21"/>
  <c r="P70" i="21" s="1"/>
  <c r="Z41" i="21"/>
  <c r="Z70" i="21" s="1"/>
  <c r="Z255" i="23"/>
  <c r="Z284" i="23" s="1"/>
  <c r="M255" i="23"/>
  <c r="M284" i="23" s="1"/>
  <c r="U255" i="23"/>
  <c r="U284" i="23" s="1"/>
  <c r="L255" i="23"/>
  <c r="L284" i="23" s="1"/>
  <c r="Y255" i="23"/>
  <c r="Y284" i="23" s="1"/>
  <c r="Q255" i="23"/>
  <c r="Q284" i="23" s="1"/>
  <c r="R255" i="23"/>
  <c r="R284" i="23" s="1"/>
  <c r="X255" i="23"/>
  <c r="X284" i="23" s="1"/>
  <c r="K255" i="23"/>
  <c r="K284" i="23" s="1"/>
  <c r="I255" i="23"/>
  <c r="I284" i="23" s="1"/>
  <c r="AA255" i="23"/>
  <c r="AA284" i="23" s="1"/>
  <c r="G255" i="23"/>
  <c r="G284" i="23" s="1"/>
  <c r="J255" i="23"/>
  <c r="J284" i="23" s="1"/>
  <c r="AC255" i="23"/>
  <c r="AC284" i="23" s="1"/>
  <c r="S255" i="23"/>
  <c r="S284" i="23" s="1"/>
  <c r="O255" i="23"/>
  <c r="O284" i="23" s="1"/>
  <c r="E255" i="23"/>
  <c r="E284" i="23" s="1"/>
  <c r="P255" i="23"/>
  <c r="P284" i="23" s="1"/>
  <c r="B255" i="23"/>
  <c r="B284" i="23" s="1"/>
  <c r="N255" i="23"/>
  <c r="N284" i="23" s="1"/>
  <c r="T255" i="23"/>
  <c r="T284" i="23" s="1"/>
  <c r="D255" i="23"/>
  <c r="D284" i="23" s="1"/>
  <c r="AB255" i="23"/>
  <c r="AB284" i="23" s="1"/>
  <c r="F255" i="23"/>
  <c r="F284" i="23" s="1"/>
  <c r="C255" i="23"/>
  <c r="C284" i="23" s="1"/>
  <c r="V255" i="23"/>
  <c r="V284" i="23" s="1"/>
  <c r="H255" i="23"/>
  <c r="H284" i="23" s="1"/>
  <c r="W255" i="23"/>
  <c r="W284" i="23" s="1"/>
  <c r="E469" i="21"/>
  <c r="E498" i="21" s="1"/>
  <c r="W469" i="21"/>
  <c r="W498" i="21" s="1"/>
  <c r="T469" i="21"/>
  <c r="T498" i="21" s="1"/>
  <c r="X469" i="21"/>
  <c r="X498" i="21" s="1"/>
  <c r="D469" i="21"/>
  <c r="D498" i="21" s="1"/>
  <c r="AB469" i="21"/>
  <c r="AB498" i="21" s="1"/>
  <c r="M469" i="21"/>
  <c r="M498" i="21" s="1"/>
  <c r="Q469" i="21"/>
  <c r="Q498" i="21" s="1"/>
  <c r="H469" i="21"/>
  <c r="H498" i="21" s="1"/>
  <c r="O469" i="21"/>
  <c r="O498" i="21" s="1"/>
  <c r="S469" i="21"/>
  <c r="S498" i="21" s="1"/>
  <c r="P469" i="21"/>
  <c r="P498" i="21" s="1"/>
  <c r="V469" i="21"/>
  <c r="V498" i="21" s="1"/>
  <c r="N469" i="21"/>
  <c r="N498" i="21" s="1"/>
  <c r="I469" i="21"/>
  <c r="I498" i="21" s="1"/>
  <c r="K469" i="21"/>
  <c r="K498" i="21" s="1"/>
  <c r="AA469" i="21"/>
  <c r="AA498" i="21" s="1"/>
  <c r="C469" i="21"/>
  <c r="C498" i="21" s="1"/>
  <c r="Z469" i="21"/>
  <c r="Z498" i="21" s="1"/>
  <c r="J469" i="21"/>
  <c r="J498" i="21" s="1"/>
  <c r="L469" i="21"/>
  <c r="L498" i="21" s="1"/>
  <c r="F469" i="21"/>
  <c r="F498" i="21" s="1"/>
  <c r="B469" i="21"/>
  <c r="B498" i="21" s="1"/>
  <c r="U469" i="21"/>
  <c r="U498" i="21" s="1"/>
  <c r="R469" i="21"/>
  <c r="R498" i="21" s="1"/>
  <c r="Y469" i="21"/>
  <c r="Y498" i="21" s="1"/>
  <c r="AC469" i="21"/>
  <c r="AC498" i="21" s="1"/>
  <c r="G469" i="21"/>
  <c r="G498" i="21" s="1"/>
  <c r="O41" i="23"/>
  <c r="O70" i="23" s="1"/>
  <c r="C41" i="23"/>
  <c r="C70" i="23" s="1"/>
  <c r="X41" i="23"/>
  <c r="X70" i="23" s="1"/>
  <c r="M41" i="23"/>
  <c r="M70" i="23" s="1"/>
  <c r="H41" i="23"/>
  <c r="H70" i="23" s="1"/>
  <c r="U41" i="23"/>
  <c r="U70" i="23" s="1"/>
  <c r="B41" i="23"/>
  <c r="B70" i="23" s="1"/>
  <c r="Q41" i="23"/>
  <c r="Q70" i="23" s="1"/>
  <c r="G41" i="23"/>
  <c r="G70" i="23" s="1"/>
  <c r="E41" i="23"/>
  <c r="E70" i="23" s="1"/>
  <c r="V41" i="23"/>
  <c r="V70" i="23" s="1"/>
  <c r="T41" i="23"/>
  <c r="T70" i="23" s="1"/>
  <c r="AC41" i="23"/>
  <c r="AC70" i="23" s="1"/>
  <c r="AA41" i="23"/>
  <c r="AA70" i="23" s="1"/>
  <c r="J41" i="23"/>
  <c r="J70" i="23" s="1"/>
  <c r="F41" i="23"/>
  <c r="F70" i="23" s="1"/>
  <c r="P41" i="23"/>
  <c r="P70" i="23" s="1"/>
  <c r="N41" i="23"/>
  <c r="N70" i="23" s="1"/>
  <c r="L41" i="23"/>
  <c r="L70" i="23" s="1"/>
  <c r="I41" i="23"/>
  <c r="I70" i="23" s="1"/>
  <c r="Y41" i="23"/>
  <c r="Y70" i="23" s="1"/>
  <c r="Z41" i="23"/>
  <c r="Z70" i="23" s="1"/>
  <c r="S41" i="23"/>
  <c r="S70" i="23" s="1"/>
  <c r="AB41" i="23"/>
  <c r="AB70" i="23" s="1"/>
  <c r="R41" i="23"/>
  <c r="R70" i="23" s="1"/>
  <c r="W41" i="23"/>
  <c r="W70" i="23" s="1"/>
  <c r="D41" i="23"/>
  <c r="D70" i="23" s="1"/>
  <c r="K41" i="23"/>
  <c r="K70" i="23" s="1"/>
  <c r="X10" i="2"/>
  <c r="Y11" i="2" s="1"/>
  <c r="X144" i="2"/>
  <c r="X145" i="2" s="1"/>
  <c r="Y145" i="2" l="1"/>
  <c r="F2" i="29"/>
  <c r="J2" i="29" s="1"/>
  <c r="F3" i="29"/>
  <c r="J3" i="29" s="1"/>
  <c r="F4" i="29"/>
  <c r="J4" i="29" s="1"/>
  <c r="F5" i="29"/>
  <c r="J5" i="29" s="1"/>
  <c r="F6" i="29"/>
  <c r="J6" i="29" s="1"/>
  <c r="P344" i="13"/>
  <c r="O344" i="13"/>
  <c r="L344" i="13"/>
  <c r="P235" i="13"/>
  <c r="O235" i="13"/>
  <c r="L235" i="13"/>
  <c r="P127" i="13"/>
  <c r="O127" i="13"/>
  <c r="L127" i="13"/>
  <c r="A393" i="13"/>
  <c r="A381" i="13"/>
  <c r="A364" i="13"/>
  <c r="A284" i="13"/>
  <c r="A272" i="13"/>
  <c r="A255" i="13"/>
  <c r="A176" i="13"/>
  <c r="A164" i="13"/>
  <c r="A147" i="13"/>
  <c r="A70" i="13"/>
  <c r="A58" i="13"/>
  <c r="A41" i="13"/>
  <c r="P21" i="13"/>
  <c r="O21" i="13"/>
  <c r="L21" i="13"/>
  <c r="B128" i="13"/>
  <c r="C128" i="13"/>
  <c r="L128" i="13"/>
  <c r="O128" i="13"/>
  <c r="P128" i="13"/>
  <c r="P449" i="9"/>
  <c r="O449" i="9"/>
  <c r="L449" i="9"/>
  <c r="P344" i="9"/>
  <c r="O344" i="9"/>
  <c r="L344" i="9"/>
  <c r="P235" i="9"/>
  <c r="O235" i="9"/>
  <c r="L235" i="9"/>
  <c r="P127" i="9"/>
  <c r="O127" i="9"/>
  <c r="L127" i="9"/>
  <c r="P21" i="9"/>
  <c r="O21" i="9"/>
  <c r="L21" i="9"/>
  <c r="A512" i="9"/>
  <c r="A498" i="9"/>
  <c r="A486" i="9"/>
  <c r="A469" i="9"/>
  <c r="A407" i="9"/>
  <c r="A393" i="9"/>
  <c r="A381" i="9"/>
  <c r="A364" i="9"/>
  <c r="A298" i="9"/>
  <c r="A284" i="9"/>
  <c r="A272" i="9"/>
  <c r="A255" i="9"/>
  <c r="A190" i="9"/>
  <c r="A176" i="9"/>
  <c r="A164" i="9"/>
  <c r="A147" i="9"/>
  <c r="A84" i="9"/>
  <c r="A70" i="9"/>
  <c r="A58" i="9"/>
  <c r="A41" i="9"/>
  <c r="A512" i="3"/>
  <c r="A498" i="3"/>
  <c r="A486" i="3"/>
  <c r="A469" i="3"/>
  <c r="A407" i="3"/>
  <c r="A393" i="3"/>
  <c r="A381" i="3"/>
  <c r="A364" i="3"/>
  <c r="A298" i="3"/>
  <c r="A284" i="3"/>
  <c r="A272" i="3"/>
  <c r="A255" i="3"/>
  <c r="A190" i="3"/>
  <c r="A164" i="3"/>
  <c r="A176" i="3"/>
  <c r="A147" i="3"/>
  <c r="A84" i="3"/>
  <c r="A58" i="3"/>
  <c r="A70" i="3" s="1"/>
  <c r="A41" i="3"/>
  <c r="X11" i="2"/>
  <c r="X146" i="2" l="1"/>
  <c r="L150" i="2" s="1"/>
  <c r="B235" i="13" s="1"/>
  <c r="E38" i="29"/>
  <c r="E39" i="29"/>
  <c r="I39" i="29" s="1"/>
  <c r="E40" i="29"/>
  <c r="I40" i="29" s="1"/>
  <c r="E41" i="29"/>
  <c r="I41" i="29" s="1"/>
  <c r="E37" i="29"/>
  <c r="I37" i="29" s="1"/>
  <c r="X12" i="2"/>
  <c r="L16" i="2" s="1"/>
  <c r="B21" i="3" s="1"/>
  <c r="E5" i="29"/>
  <c r="I5" i="29" s="1"/>
  <c r="E6" i="29"/>
  <c r="I6" i="29" s="1"/>
  <c r="E2" i="29"/>
  <c r="I2" i="29" s="1"/>
  <c r="E4" i="29"/>
  <c r="I4" i="29" s="1"/>
  <c r="E3" i="29"/>
  <c r="I3" i="29" s="1"/>
  <c r="F38" i="29"/>
  <c r="Y12" i="2"/>
  <c r="M16" i="2" s="1"/>
  <c r="AB235" i="9"/>
  <c r="X449" i="9"/>
  <c r="Q127" i="9"/>
  <c r="V344" i="13"/>
  <c r="AN21" i="13"/>
  <c r="AK235" i="13"/>
  <c r="AF449" i="9"/>
  <c r="T344" i="9"/>
  <c r="U127" i="9"/>
  <c r="V127" i="13"/>
  <c r="W21" i="13"/>
  <c r="U21" i="13"/>
  <c r="AM344" i="9"/>
  <c r="AK21" i="13"/>
  <c r="AQ235" i="9"/>
  <c r="AR344" i="9"/>
  <c r="AN449" i="9"/>
  <c r="AC21" i="13"/>
  <c r="V127" i="9"/>
  <c r="AK235" i="9"/>
  <c r="W344" i="9"/>
  <c r="AJ235" i="9"/>
  <c r="R344" i="9"/>
  <c r="AA344" i="13"/>
  <c r="U235" i="9"/>
  <c r="AI235" i="9"/>
  <c r="AE344" i="9"/>
  <c r="Y235" i="13"/>
  <c r="AD344" i="13"/>
  <c r="T235" i="9"/>
  <c r="AC235" i="9"/>
  <c r="AQ344" i="13"/>
  <c r="AA235" i="9"/>
  <c r="AK127" i="9"/>
  <c r="Q235" i="9"/>
  <c r="AP344" i="9"/>
  <c r="V21" i="13"/>
  <c r="AC127" i="9"/>
  <c r="AR235" i="9"/>
  <c r="V449" i="9"/>
  <c r="Q21" i="13"/>
  <c r="AD127" i="13"/>
  <c r="W21" i="9"/>
  <c r="AE21" i="9"/>
  <c r="AF21" i="9"/>
  <c r="AN21" i="9"/>
  <c r="X21" i="9"/>
  <c r="Y21" i="9"/>
  <c r="AG21" i="9"/>
  <c r="AO21" i="9"/>
  <c r="S21" i="9"/>
  <c r="AA21" i="9"/>
  <c r="AI21" i="9"/>
  <c r="AQ21" i="9"/>
  <c r="AR21" i="9"/>
  <c r="Q21" i="9"/>
  <c r="R21" i="9"/>
  <c r="AM21" i="9"/>
  <c r="AL21" i="9"/>
  <c r="AD21" i="9"/>
  <c r="V21" i="9"/>
  <c r="AR127" i="9"/>
  <c r="AJ127" i="9"/>
  <c r="AB127" i="9"/>
  <c r="T127" i="9"/>
  <c r="AP235" i="9"/>
  <c r="AH235" i="9"/>
  <c r="Y235" i="9"/>
  <c r="AJ344" i="9"/>
  <c r="AK21" i="9"/>
  <c r="AC21" i="9"/>
  <c r="U21" i="9"/>
  <c r="AQ127" i="9"/>
  <c r="AI127" i="9"/>
  <c r="AA127" i="9"/>
  <c r="S127" i="9"/>
  <c r="AO235" i="9"/>
  <c r="AG235" i="9"/>
  <c r="V235" i="9"/>
  <c r="AH344" i="9"/>
  <c r="AJ21" i="9"/>
  <c r="AB21" i="9"/>
  <c r="T21" i="9"/>
  <c r="AP127" i="9"/>
  <c r="AH127" i="9"/>
  <c r="Z127" i="9"/>
  <c r="R127" i="9"/>
  <c r="AN235" i="9"/>
  <c r="AF235" i="9"/>
  <c r="AO127" i="9"/>
  <c r="AG127" i="9"/>
  <c r="Y127" i="9"/>
  <c r="AM235" i="9"/>
  <c r="AE235" i="9"/>
  <c r="Y344" i="9"/>
  <c r="AG344" i="9"/>
  <c r="AO344" i="9"/>
  <c r="S344" i="9"/>
  <c r="AA344" i="9"/>
  <c r="AI344" i="9"/>
  <c r="AQ344" i="9"/>
  <c r="AB344" i="9"/>
  <c r="R449" i="9"/>
  <c r="Z449" i="9"/>
  <c r="AH449" i="9"/>
  <c r="AP449" i="9"/>
  <c r="S449" i="9"/>
  <c r="AA449" i="9"/>
  <c r="AI449" i="9"/>
  <c r="AQ449" i="9"/>
  <c r="T449" i="9"/>
  <c r="AB449" i="9"/>
  <c r="AJ449" i="9"/>
  <c r="AR449" i="9"/>
  <c r="U449" i="9"/>
  <c r="AC449" i="9"/>
  <c r="AK449" i="9"/>
  <c r="Q449" i="9"/>
  <c r="AP21" i="9"/>
  <c r="AH21" i="9"/>
  <c r="Z21" i="9"/>
  <c r="AN127" i="9"/>
  <c r="AF127" i="9"/>
  <c r="X127" i="9"/>
  <c r="W235" i="9"/>
  <c r="X235" i="9"/>
  <c r="R235" i="9"/>
  <c r="Z235" i="9"/>
  <c r="AL235" i="9"/>
  <c r="AD235" i="9"/>
  <c r="S235" i="9"/>
  <c r="U344" i="9"/>
  <c r="Z344" i="9"/>
  <c r="AM127" i="9"/>
  <c r="AE127" i="9"/>
  <c r="W127" i="9"/>
  <c r="AL127" i="9"/>
  <c r="AD127" i="9"/>
  <c r="AN344" i="9"/>
  <c r="AF344" i="9"/>
  <c r="X344" i="9"/>
  <c r="AO449" i="9"/>
  <c r="AG449" i="9"/>
  <c r="Y449" i="9"/>
  <c r="AL344" i="9"/>
  <c r="AD344" i="9"/>
  <c r="V344" i="9"/>
  <c r="AM449" i="9"/>
  <c r="AE449" i="9"/>
  <c r="W449" i="9"/>
  <c r="Q344" i="9"/>
  <c r="AK344" i="9"/>
  <c r="AC344" i="9"/>
  <c r="AL449" i="9"/>
  <c r="AD449" i="9"/>
  <c r="W127" i="13"/>
  <c r="AE127" i="13"/>
  <c r="AM127" i="13"/>
  <c r="X127" i="13"/>
  <c r="AF127" i="13"/>
  <c r="AN127" i="13"/>
  <c r="Y127" i="13"/>
  <c r="AG127" i="13"/>
  <c r="AO127" i="13"/>
  <c r="R127" i="13"/>
  <c r="Z127" i="13"/>
  <c r="AH127" i="13"/>
  <c r="AP127" i="13"/>
  <c r="S127" i="13"/>
  <c r="AA127" i="13"/>
  <c r="AI127" i="13"/>
  <c r="AQ127" i="13"/>
  <c r="T127" i="13"/>
  <c r="AB127" i="13"/>
  <c r="AJ127" i="13"/>
  <c r="AR127" i="13"/>
  <c r="U127" i="13"/>
  <c r="AC127" i="13"/>
  <c r="AK127" i="13"/>
  <c r="Q127" i="13"/>
  <c r="R235" i="13"/>
  <c r="Z235" i="13"/>
  <c r="AH235" i="13"/>
  <c r="AP235" i="13"/>
  <c r="AA235" i="13"/>
  <c r="AN235" i="13"/>
  <c r="AB235" i="13"/>
  <c r="AO235" i="13"/>
  <c r="AC235" i="13"/>
  <c r="AQ235" i="13"/>
  <c r="S235" i="13"/>
  <c r="AF235" i="13"/>
  <c r="AR235" i="13"/>
  <c r="T235" i="13"/>
  <c r="AG235" i="13"/>
  <c r="Q235" i="13"/>
  <c r="U235" i="13"/>
  <c r="AI235" i="13"/>
  <c r="X235" i="13"/>
  <c r="AJ235" i="13"/>
  <c r="AL127" i="13"/>
  <c r="AR21" i="13"/>
  <c r="AJ21" i="13"/>
  <c r="AB21" i="13"/>
  <c r="T21" i="13"/>
  <c r="AM344" i="13"/>
  <c r="S344" i="13"/>
  <c r="AQ21" i="13"/>
  <c r="AI21" i="13"/>
  <c r="AA21" i="13"/>
  <c r="S21" i="13"/>
  <c r="V235" i="13"/>
  <c r="AL344" i="13"/>
  <c r="AP21" i="13"/>
  <c r="AH21" i="13"/>
  <c r="Z21" i="13"/>
  <c r="R21" i="13"/>
  <c r="AI344" i="13"/>
  <c r="AO21" i="13"/>
  <c r="AG21" i="13"/>
  <c r="Y21" i="13"/>
  <c r="AE344" i="13"/>
  <c r="AF21" i="13"/>
  <c r="X21" i="13"/>
  <c r="AM21" i="13"/>
  <c r="AE21" i="13"/>
  <c r="AL21" i="13"/>
  <c r="AD21" i="13"/>
  <c r="R344" i="13"/>
  <c r="Z344" i="13"/>
  <c r="AH344" i="13"/>
  <c r="AP344" i="13"/>
  <c r="T344" i="13"/>
  <c r="AB344" i="13"/>
  <c r="AJ344" i="13"/>
  <c r="AR344" i="13"/>
  <c r="U344" i="13"/>
  <c r="AC344" i="13"/>
  <c r="AK344" i="13"/>
  <c r="Q344" i="13"/>
  <c r="X344" i="13"/>
  <c r="AF344" i="13"/>
  <c r="AN344" i="13"/>
  <c r="Y344" i="13"/>
  <c r="AG344" i="13"/>
  <c r="AO344" i="13"/>
  <c r="W344" i="13"/>
  <c r="AM235" i="13"/>
  <c r="AE235" i="13"/>
  <c r="W235" i="13"/>
  <c r="AL235" i="13"/>
  <c r="AD235" i="13"/>
  <c r="R128" i="13"/>
  <c r="AP128" i="13"/>
  <c r="AH128" i="13"/>
  <c r="Z128" i="13"/>
  <c r="T128" i="13"/>
  <c r="AQ128" i="13"/>
  <c r="AI128" i="13"/>
  <c r="AA128" i="13"/>
  <c r="S128" i="13"/>
  <c r="AO128" i="13"/>
  <c r="AG128" i="13"/>
  <c r="Y128" i="13"/>
  <c r="Q128" i="13"/>
  <c r="AN128" i="13"/>
  <c r="AF128" i="13"/>
  <c r="X128" i="13"/>
  <c r="AM128" i="13"/>
  <c r="AE128" i="13"/>
  <c r="W128" i="13"/>
  <c r="AL128" i="13"/>
  <c r="AD128" i="13"/>
  <c r="V128" i="13"/>
  <c r="AK128" i="13"/>
  <c r="AC128" i="13"/>
  <c r="U128" i="13"/>
  <c r="AR128" i="13"/>
  <c r="AJ128" i="13"/>
  <c r="AB128" i="13"/>
  <c r="T21" i="3"/>
  <c r="R21" i="3"/>
  <c r="S21" i="3"/>
  <c r="AP21" i="3"/>
  <c r="AI21" i="3"/>
  <c r="AQ21" i="3"/>
  <c r="AH21" i="3"/>
  <c r="AA21" i="3"/>
  <c r="Z21" i="3"/>
  <c r="AO21" i="3"/>
  <c r="AG21" i="3"/>
  <c r="Y21" i="3"/>
  <c r="AN21" i="3"/>
  <c r="AF21" i="3"/>
  <c r="X21" i="3"/>
  <c r="W21" i="3"/>
  <c r="AM21" i="3"/>
  <c r="AD21" i="3"/>
  <c r="Q21" i="3"/>
  <c r="AK21" i="3"/>
  <c r="AC21" i="3"/>
  <c r="U21" i="3"/>
  <c r="AE21" i="3"/>
  <c r="AL21" i="3"/>
  <c r="V21" i="3"/>
  <c r="AR21" i="3"/>
  <c r="AJ21" i="3"/>
  <c r="AB21" i="3"/>
  <c r="B344" i="13" l="1"/>
  <c r="B127" i="13"/>
  <c r="B21" i="13"/>
  <c r="B127" i="3"/>
  <c r="B235" i="3"/>
  <c r="B344" i="3"/>
  <c r="B449" i="3"/>
  <c r="Y81" i="2"/>
  <c r="M85" i="2" s="1"/>
  <c r="C344" i="9" s="1"/>
  <c r="F17" i="29"/>
  <c r="J17" i="29" s="1"/>
  <c r="F21" i="29"/>
  <c r="J21" i="29" s="1"/>
  <c r="F18" i="29"/>
  <c r="J18" i="29" s="1"/>
  <c r="F19" i="29"/>
  <c r="J19" i="29" s="1"/>
  <c r="F20" i="29"/>
  <c r="J20" i="29" s="1"/>
  <c r="Y146" i="2"/>
  <c r="F37" i="29"/>
  <c r="J37" i="29" s="1"/>
  <c r="F39" i="29"/>
  <c r="J39" i="29" s="1"/>
  <c r="F41" i="29"/>
  <c r="J41" i="29" s="1"/>
  <c r="F40" i="29"/>
  <c r="J40" i="29" s="1"/>
  <c r="C449" i="3"/>
  <c r="C344" i="3"/>
  <c r="C235" i="3"/>
  <c r="C127" i="3"/>
  <c r="C21" i="3"/>
  <c r="B41" i="3" s="1"/>
  <c r="B70" i="3" s="1"/>
  <c r="B344" i="9"/>
  <c r="B127" i="9"/>
  <c r="B449" i="9"/>
  <c r="B21" i="9"/>
  <c r="B235" i="9"/>
  <c r="Z469" i="3" l="1"/>
  <c r="Z498" i="3" s="1"/>
  <c r="F147" i="3"/>
  <c r="F176" i="3" s="1"/>
  <c r="M150" i="2"/>
  <c r="C21" i="13" s="1"/>
  <c r="X41" i="13" s="1"/>
  <c r="X70" i="13" s="1"/>
  <c r="N469" i="3"/>
  <c r="N498" i="3" s="1"/>
  <c r="Q364" i="9"/>
  <c r="Q393" i="9" s="1"/>
  <c r="C235" i="9"/>
  <c r="N255" i="9" s="1"/>
  <c r="N284" i="9" s="1"/>
  <c r="M255" i="3"/>
  <c r="M284" i="3" s="1"/>
  <c r="C21" i="9"/>
  <c r="N41" i="9" s="1"/>
  <c r="N70" i="9" s="1"/>
  <c r="R364" i="9"/>
  <c r="R393" i="9" s="1"/>
  <c r="C127" i="9"/>
  <c r="Z147" i="9" s="1"/>
  <c r="Z176" i="9" s="1"/>
  <c r="M364" i="9"/>
  <c r="M393" i="9" s="1"/>
  <c r="C344" i="13"/>
  <c r="B364" i="13" s="1"/>
  <c r="B393" i="13" s="1"/>
  <c r="J469" i="3"/>
  <c r="J498" i="3" s="1"/>
  <c r="I469" i="3"/>
  <c r="I498" i="3" s="1"/>
  <c r="AB469" i="3"/>
  <c r="AB498" i="3" s="1"/>
  <c r="C449" i="9"/>
  <c r="O469" i="9" s="1"/>
  <c r="O498" i="9" s="1"/>
  <c r="Y469" i="3"/>
  <c r="Y498" i="3" s="1"/>
  <c r="AC469" i="3"/>
  <c r="AC498" i="3" s="1"/>
  <c r="M469" i="3"/>
  <c r="M498" i="3" s="1"/>
  <c r="Q469" i="3"/>
  <c r="Q498" i="3" s="1"/>
  <c r="L469" i="3"/>
  <c r="L498" i="3" s="1"/>
  <c r="D469" i="3"/>
  <c r="D498" i="3" s="1"/>
  <c r="S469" i="3"/>
  <c r="S498" i="3" s="1"/>
  <c r="P469" i="3"/>
  <c r="P498" i="3" s="1"/>
  <c r="F469" i="3"/>
  <c r="F498" i="3" s="1"/>
  <c r="E469" i="3"/>
  <c r="E498" i="3" s="1"/>
  <c r="K469" i="3"/>
  <c r="K498" i="3" s="1"/>
  <c r="W469" i="3"/>
  <c r="W498" i="3" s="1"/>
  <c r="R469" i="3"/>
  <c r="R498" i="3" s="1"/>
  <c r="B469" i="3"/>
  <c r="B498" i="3" s="1"/>
  <c r="H469" i="3"/>
  <c r="H498" i="3" s="1"/>
  <c r="O469" i="3"/>
  <c r="O498" i="3" s="1"/>
  <c r="C235" i="13"/>
  <c r="W255" i="13" s="1"/>
  <c r="W284" i="13" s="1"/>
  <c r="AC364" i="3"/>
  <c r="AC393" i="3" s="1"/>
  <c r="C364" i="9"/>
  <c r="C393" i="9" s="1"/>
  <c r="W364" i="9"/>
  <c r="W393" i="9" s="1"/>
  <c r="AA364" i="9"/>
  <c r="AA393" i="9" s="1"/>
  <c r="P364" i="9"/>
  <c r="P393" i="9" s="1"/>
  <c r="G364" i="9"/>
  <c r="G393" i="9" s="1"/>
  <c r="Z364" i="9"/>
  <c r="Z393" i="9" s="1"/>
  <c r="AB364" i="9"/>
  <c r="AB393" i="9" s="1"/>
  <c r="U469" i="3"/>
  <c r="U498" i="3" s="1"/>
  <c r="V469" i="3"/>
  <c r="V498" i="3" s="1"/>
  <c r="T469" i="3"/>
  <c r="T498" i="3" s="1"/>
  <c r="G469" i="3"/>
  <c r="G498" i="3" s="1"/>
  <c r="C469" i="3"/>
  <c r="C498" i="3" s="1"/>
  <c r="K41" i="3"/>
  <c r="K70" i="3" s="1"/>
  <c r="X469" i="3"/>
  <c r="X498" i="3" s="1"/>
  <c r="AA469" i="3"/>
  <c r="AA498" i="3" s="1"/>
  <c r="AC364" i="9"/>
  <c r="AC393" i="9" s="1"/>
  <c r="N364" i="9"/>
  <c r="N393" i="9" s="1"/>
  <c r="L364" i="9"/>
  <c r="L393" i="9" s="1"/>
  <c r="B364" i="9"/>
  <c r="B393" i="9" s="1"/>
  <c r="J364" i="9"/>
  <c r="J393" i="9" s="1"/>
  <c r="V364" i="9"/>
  <c r="V393" i="9" s="1"/>
  <c r="Y364" i="9"/>
  <c r="Y393" i="9" s="1"/>
  <c r="U364" i="9"/>
  <c r="U393" i="9" s="1"/>
  <c r="E364" i="9"/>
  <c r="E393" i="9" s="1"/>
  <c r="D364" i="9"/>
  <c r="D393" i="9" s="1"/>
  <c r="K364" i="9"/>
  <c r="K393" i="9" s="1"/>
  <c r="X364" i="9"/>
  <c r="X393" i="9" s="1"/>
  <c r="O364" i="9"/>
  <c r="O393" i="9" s="1"/>
  <c r="T364" i="9"/>
  <c r="T393" i="9" s="1"/>
  <c r="I364" i="9"/>
  <c r="I393" i="9" s="1"/>
  <c r="H364" i="9"/>
  <c r="H393" i="9" s="1"/>
  <c r="S364" i="9"/>
  <c r="S393" i="9" s="1"/>
  <c r="F364" i="9"/>
  <c r="F393" i="9" s="1"/>
  <c r="Z41" i="13"/>
  <c r="L41" i="13"/>
  <c r="R41" i="13"/>
  <c r="Q41" i="13"/>
  <c r="W41" i="13"/>
  <c r="H41" i="13"/>
  <c r="S41" i="13"/>
  <c r="B41" i="13"/>
  <c r="F41" i="13"/>
  <c r="AB41" i="13"/>
  <c r="Y41" i="13"/>
  <c r="O41" i="13"/>
  <c r="T41" i="13"/>
  <c r="M41" i="13"/>
  <c r="J41" i="13"/>
  <c r="P41" i="13"/>
  <c r="I41" i="13"/>
  <c r="C41" i="13"/>
  <c r="N255" i="13"/>
  <c r="Z255" i="13"/>
  <c r="O255" i="13"/>
  <c r="Q255" i="13"/>
  <c r="M255" i="13"/>
  <c r="G255" i="13"/>
  <c r="N41" i="13"/>
  <c r="V41" i="13"/>
  <c r="N41" i="3"/>
  <c r="N70" i="3" s="1"/>
  <c r="J41" i="3"/>
  <c r="J70" i="3" s="1"/>
  <c r="F41" i="3"/>
  <c r="F70" i="3" s="1"/>
  <c r="D147" i="3"/>
  <c r="D176" i="3" s="1"/>
  <c r="T255" i="3"/>
  <c r="T284" i="3" s="1"/>
  <c r="C41" i="9"/>
  <c r="C70" i="9" s="1"/>
  <c r="G41" i="9"/>
  <c r="G70" i="9" s="1"/>
  <c r="T41" i="9"/>
  <c r="T70" i="9" s="1"/>
  <c r="M41" i="3"/>
  <c r="M70" i="3" s="1"/>
  <c r="C41" i="3"/>
  <c r="C70" i="3" s="1"/>
  <c r="AA41" i="3"/>
  <c r="AA70" i="3" s="1"/>
  <c r="L147" i="3"/>
  <c r="L176" i="3" s="1"/>
  <c r="R255" i="3"/>
  <c r="R284" i="3" s="1"/>
  <c r="T147" i="3"/>
  <c r="T176" i="3" s="1"/>
  <c r="S147" i="3"/>
  <c r="S176" i="3" s="1"/>
  <c r="K147" i="3"/>
  <c r="K176" i="3" s="1"/>
  <c r="X147" i="3"/>
  <c r="X176" i="3" s="1"/>
  <c r="AC147" i="3"/>
  <c r="AC176" i="3" s="1"/>
  <c r="P147" i="3"/>
  <c r="P176" i="3" s="1"/>
  <c r="AA147" i="3"/>
  <c r="AA176" i="3" s="1"/>
  <c r="V147" i="3"/>
  <c r="V176" i="3" s="1"/>
  <c r="W147" i="3"/>
  <c r="W176" i="3" s="1"/>
  <c r="S255" i="3"/>
  <c r="S284" i="3" s="1"/>
  <c r="B147" i="3"/>
  <c r="C147" i="3"/>
  <c r="C176" i="3" s="1"/>
  <c r="I255" i="3"/>
  <c r="I284" i="3" s="1"/>
  <c r="J255" i="3"/>
  <c r="J284" i="3" s="1"/>
  <c r="L255" i="3"/>
  <c r="L284" i="3" s="1"/>
  <c r="O41" i="3"/>
  <c r="O70" i="3" s="1"/>
  <c r="N147" i="3"/>
  <c r="N176" i="3" s="1"/>
  <c r="M147" i="3"/>
  <c r="M176" i="3" s="1"/>
  <c r="R147" i="3"/>
  <c r="R176" i="3" s="1"/>
  <c r="E147" i="3"/>
  <c r="E176" i="3" s="1"/>
  <c r="C255" i="3"/>
  <c r="C284" i="3" s="1"/>
  <c r="C364" i="3"/>
  <c r="C393" i="3" s="1"/>
  <c r="K364" i="3"/>
  <c r="K393" i="3" s="1"/>
  <c r="T41" i="3"/>
  <c r="T70" i="3" s="1"/>
  <c r="L41" i="3"/>
  <c r="L70" i="3" s="1"/>
  <c r="Y41" i="3"/>
  <c r="Y70" i="3" s="1"/>
  <c r="V41" i="3"/>
  <c r="V70" i="3" s="1"/>
  <c r="AC41" i="3"/>
  <c r="AC70" i="3" s="1"/>
  <c r="AB41" i="3"/>
  <c r="AB70" i="3" s="1"/>
  <c r="R41" i="3"/>
  <c r="R70" i="3" s="1"/>
  <c r="Q41" i="3"/>
  <c r="Q70" i="3" s="1"/>
  <c r="O255" i="3"/>
  <c r="O284" i="3" s="1"/>
  <c r="Y147" i="3"/>
  <c r="Y176" i="3" s="1"/>
  <c r="Q147" i="3"/>
  <c r="Q176" i="3" s="1"/>
  <c r="U41" i="3"/>
  <c r="U70" i="3" s="1"/>
  <c r="W255" i="3"/>
  <c r="W284" i="3" s="1"/>
  <c r="U255" i="3"/>
  <c r="U284" i="3" s="1"/>
  <c r="J147" i="3"/>
  <c r="J176" i="3" s="1"/>
  <c r="G255" i="3"/>
  <c r="G284" i="3" s="1"/>
  <c r="B255" i="3"/>
  <c r="B284" i="3" s="1"/>
  <c r="D255" i="3"/>
  <c r="D284" i="3" s="1"/>
  <c r="Z147" i="3"/>
  <c r="Z176" i="3" s="1"/>
  <c r="S41" i="3"/>
  <c r="S70" i="3" s="1"/>
  <c r="Z41" i="3"/>
  <c r="Z70" i="3" s="1"/>
  <c r="AA255" i="3"/>
  <c r="AA284" i="3" s="1"/>
  <c r="H147" i="3"/>
  <c r="H176" i="3" s="1"/>
  <c r="Y255" i="3"/>
  <c r="Y284" i="3" s="1"/>
  <c r="AB147" i="3"/>
  <c r="AB176" i="3" s="1"/>
  <c r="I147" i="3"/>
  <c r="I176" i="3" s="1"/>
  <c r="Y364" i="3"/>
  <c r="Y393" i="3" s="1"/>
  <c r="N364" i="3"/>
  <c r="N393" i="3" s="1"/>
  <c r="P41" i="3"/>
  <c r="P70" i="3" s="1"/>
  <c r="X41" i="3"/>
  <c r="X70" i="3" s="1"/>
  <c r="E255" i="3"/>
  <c r="E284" i="3" s="1"/>
  <c r="K255" i="3"/>
  <c r="K284" i="3" s="1"/>
  <c r="I364" i="3"/>
  <c r="I393" i="3" s="1"/>
  <c r="E41" i="3"/>
  <c r="E70" i="3" s="1"/>
  <c r="X255" i="3"/>
  <c r="X284" i="3" s="1"/>
  <c r="I41" i="3"/>
  <c r="I70" i="3" s="1"/>
  <c r="G41" i="3"/>
  <c r="G70" i="3" s="1"/>
  <c r="Z255" i="3"/>
  <c r="Z284" i="3" s="1"/>
  <c r="G147" i="3"/>
  <c r="G176" i="3" s="1"/>
  <c r="Q255" i="3"/>
  <c r="Q284" i="3" s="1"/>
  <c r="O147" i="3"/>
  <c r="O176" i="3" s="1"/>
  <c r="H41" i="3"/>
  <c r="H70" i="3" s="1"/>
  <c r="AC255" i="3"/>
  <c r="AC284" i="3" s="1"/>
  <c r="AB255" i="3"/>
  <c r="AB284" i="3" s="1"/>
  <c r="U147" i="3"/>
  <c r="U176" i="3" s="1"/>
  <c r="W41" i="3"/>
  <c r="W70" i="3" s="1"/>
  <c r="D41" i="3"/>
  <c r="D70" i="3" s="1"/>
  <c r="H255" i="3"/>
  <c r="H284" i="3" s="1"/>
  <c r="P255" i="3"/>
  <c r="P284" i="3" s="1"/>
  <c r="AA364" i="3"/>
  <c r="AA393" i="3" s="1"/>
  <c r="X364" i="3"/>
  <c r="X393" i="3" s="1"/>
  <c r="M364" i="3"/>
  <c r="M393" i="3" s="1"/>
  <c r="S364" i="3"/>
  <c r="S393" i="3" s="1"/>
  <c r="F364" i="3"/>
  <c r="F393" i="3" s="1"/>
  <c r="R364" i="3"/>
  <c r="R393" i="3" s="1"/>
  <c r="V364" i="3"/>
  <c r="V393" i="3" s="1"/>
  <c r="L364" i="3"/>
  <c r="L393" i="3" s="1"/>
  <c r="Q364" i="3"/>
  <c r="Q393" i="3" s="1"/>
  <c r="Z364" i="3"/>
  <c r="Z393" i="3" s="1"/>
  <c r="H364" i="3"/>
  <c r="H393" i="3" s="1"/>
  <c r="E364" i="3"/>
  <c r="E393" i="3" s="1"/>
  <c r="AB364" i="3"/>
  <c r="AB393" i="3" s="1"/>
  <c r="N255" i="3"/>
  <c r="N284" i="3" s="1"/>
  <c r="P364" i="3"/>
  <c r="P393" i="3" s="1"/>
  <c r="V255" i="3"/>
  <c r="V284" i="3" s="1"/>
  <c r="F255" i="3"/>
  <c r="F284" i="3" s="1"/>
  <c r="U364" i="3"/>
  <c r="U393" i="3" s="1"/>
  <c r="W364" i="3"/>
  <c r="W393" i="3" s="1"/>
  <c r="T364" i="3"/>
  <c r="T393" i="3" s="1"/>
  <c r="G364" i="3"/>
  <c r="G393" i="3" s="1"/>
  <c r="J364" i="3"/>
  <c r="J393" i="3" s="1"/>
  <c r="B364" i="3"/>
  <c r="B393" i="3" s="1"/>
  <c r="O364" i="3"/>
  <c r="O393" i="3" s="1"/>
  <c r="D364" i="3"/>
  <c r="D393" i="3" s="1"/>
  <c r="AA41" i="13" l="1"/>
  <c r="AC41" i="13"/>
  <c r="D41" i="13"/>
  <c r="G41" i="13"/>
  <c r="K41" i="13"/>
  <c r="K70" i="13" s="1"/>
  <c r="R255" i="13"/>
  <c r="R284" i="13" s="1"/>
  <c r="E41" i="13"/>
  <c r="H364" i="13"/>
  <c r="H393" i="13" s="1"/>
  <c r="I255" i="13"/>
  <c r="I284" i="13" s="1"/>
  <c r="AB255" i="13"/>
  <c r="AB284" i="13" s="1"/>
  <c r="S255" i="13"/>
  <c r="U41" i="13"/>
  <c r="S41" i="9"/>
  <c r="S70" i="9" s="1"/>
  <c r="L41" i="9"/>
  <c r="L70" i="9" s="1"/>
  <c r="H41" i="9"/>
  <c r="H70" i="9" s="1"/>
  <c r="AB41" i="9"/>
  <c r="AB70" i="9" s="1"/>
  <c r="I41" i="9"/>
  <c r="I70" i="9" s="1"/>
  <c r="X41" i="9"/>
  <c r="X70" i="9" s="1"/>
  <c r="Y41" i="9"/>
  <c r="Y70" i="9" s="1"/>
  <c r="Z41" i="9"/>
  <c r="Z70" i="9" s="1"/>
  <c r="AC41" i="9"/>
  <c r="AC70" i="9" s="1"/>
  <c r="O41" i="9"/>
  <c r="O70" i="9" s="1"/>
  <c r="F41" i="9"/>
  <c r="F70" i="9" s="1"/>
  <c r="D41" i="9"/>
  <c r="D70" i="9" s="1"/>
  <c r="B41" i="9"/>
  <c r="B70" i="9" s="1"/>
  <c r="Q41" i="9"/>
  <c r="Q70" i="9" s="1"/>
  <c r="AA41" i="9"/>
  <c r="AA70" i="9" s="1"/>
  <c r="K41" i="9"/>
  <c r="K70" i="9" s="1"/>
  <c r="U41" i="9"/>
  <c r="U70" i="9" s="1"/>
  <c r="E41" i="9"/>
  <c r="E70" i="9" s="1"/>
  <c r="V41" i="9"/>
  <c r="V70" i="9" s="1"/>
  <c r="O147" i="9"/>
  <c r="O176" i="9" s="1"/>
  <c r="C127" i="13"/>
  <c r="M41" i="9"/>
  <c r="M70" i="9" s="1"/>
  <c r="J41" i="9"/>
  <c r="J70" i="9" s="1"/>
  <c r="W41" i="9"/>
  <c r="W70" i="9" s="1"/>
  <c r="R41" i="9"/>
  <c r="R70" i="9" s="1"/>
  <c r="P41" i="9"/>
  <c r="P70" i="9" s="1"/>
  <c r="Y255" i="9"/>
  <c r="Y284" i="9" s="1"/>
  <c r="Z255" i="9"/>
  <c r="Z284" i="9" s="1"/>
  <c r="V255" i="9"/>
  <c r="V284" i="9" s="1"/>
  <c r="T255" i="9"/>
  <c r="T284" i="9" s="1"/>
  <c r="M255" i="9"/>
  <c r="M284" i="9" s="1"/>
  <c r="R255" i="9"/>
  <c r="R284" i="9" s="1"/>
  <c r="U469" i="9"/>
  <c r="U498" i="9" s="1"/>
  <c r="H255" i="9"/>
  <c r="H284" i="9" s="1"/>
  <c r="K255" i="9"/>
  <c r="K284" i="9" s="1"/>
  <c r="S255" i="9"/>
  <c r="S284" i="9" s="1"/>
  <c r="P255" i="9"/>
  <c r="P284" i="9" s="1"/>
  <c r="B255" i="9"/>
  <c r="B284" i="9" s="1"/>
  <c r="W255" i="9"/>
  <c r="W284" i="9" s="1"/>
  <c r="AA255" i="9"/>
  <c r="AA284" i="9" s="1"/>
  <c r="E255" i="9"/>
  <c r="E284" i="9" s="1"/>
  <c r="N147" i="9"/>
  <c r="N176" i="9" s="1"/>
  <c r="I255" i="9"/>
  <c r="I284" i="9" s="1"/>
  <c r="U255" i="9"/>
  <c r="U284" i="9" s="1"/>
  <c r="D255" i="9"/>
  <c r="D284" i="9" s="1"/>
  <c r="Q255" i="9"/>
  <c r="Q284" i="9" s="1"/>
  <c r="AB255" i="9"/>
  <c r="AB284" i="9" s="1"/>
  <c r="X255" i="9"/>
  <c r="X284" i="9" s="1"/>
  <c r="AC255" i="9"/>
  <c r="AC284" i="9" s="1"/>
  <c r="W147" i="9"/>
  <c r="W176" i="9" s="1"/>
  <c r="C255" i="9"/>
  <c r="C284" i="9" s="1"/>
  <c r="G255" i="9"/>
  <c r="G284" i="9" s="1"/>
  <c r="L255" i="9"/>
  <c r="L284" i="9" s="1"/>
  <c r="J255" i="9"/>
  <c r="J284" i="9" s="1"/>
  <c r="O255" i="9"/>
  <c r="O284" i="9" s="1"/>
  <c r="F255" i="9"/>
  <c r="F284" i="9" s="1"/>
  <c r="E147" i="9"/>
  <c r="E176" i="9" s="1"/>
  <c r="H255" i="13"/>
  <c r="H284" i="13" s="1"/>
  <c r="X255" i="13"/>
  <c r="X284" i="13" s="1"/>
  <c r="P255" i="13"/>
  <c r="P284" i="13" s="1"/>
  <c r="C255" i="13"/>
  <c r="C284" i="13" s="1"/>
  <c r="Y255" i="13"/>
  <c r="Y284" i="13" s="1"/>
  <c r="K255" i="13"/>
  <c r="F255" i="13"/>
  <c r="F284" i="13" s="1"/>
  <c r="D255" i="13"/>
  <c r="D284" i="13" s="1"/>
  <c r="U255" i="13"/>
  <c r="U284" i="13" s="1"/>
  <c r="B255" i="13"/>
  <c r="B284" i="13" s="1"/>
  <c r="T255" i="13"/>
  <c r="T284" i="13" s="1"/>
  <c r="J255" i="13"/>
  <c r="J284" i="13" s="1"/>
  <c r="L255" i="13"/>
  <c r="L284" i="13" s="1"/>
  <c r="E255" i="13"/>
  <c r="E284" i="13" s="1"/>
  <c r="V255" i="13"/>
  <c r="V284" i="13" s="1"/>
  <c r="AC255" i="13"/>
  <c r="AC284" i="13" s="1"/>
  <c r="AA255" i="13"/>
  <c r="AA284" i="13" s="1"/>
  <c r="J147" i="9"/>
  <c r="J176" i="9" s="1"/>
  <c r="C147" i="9"/>
  <c r="C176" i="9" s="1"/>
  <c r="S147" i="9"/>
  <c r="S176" i="9" s="1"/>
  <c r="I147" i="9"/>
  <c r="I176" i="9" s="1"/>
  <c r="M469" i="9"/>
  <c r="M498" i="9" s="1"/>
  <c r="R147" i="9"/>
  <c r="R176" i="9" s="1"/>
  <c r="K147" i="9"/>
  <c r="K176" i="9" s="1"/>
  <c r="D469" i="9"/>
  <c r="D498" i="9" s="1"/>
  <c r="D147" i="9"/>
  <c r="D176" i="9" s="1"/>
  <c r="G147" i="9"/>
  <c r="G176" i="9" s="1"/>
  <c r="F147" i="9"/>
  <c r="F176" i="9" s="1"/>
  <c r="P147" i="9"/>
  <c r="P176" i="9" s="1"/>
  <c r="AB147" i="9"/>
  <c r="AB176" i="9" s="1"/>
  <c r="M147" i="9"/>
  <c r="M176" i="9" s="1"/>
  <c r="W469" i="9"/>
  <c r="W498" i="9" s="1"/>
  <c r="H147" i="9"/>
  <c r="H176" i="9" s="1"/>
  <c r="Y147" i="9"/>
  <c r="Y176" i="9" s="1"/>
  <c r="U147" i="9"/>
  <c r="U176" i="9" s="1"/>
  <c r="T147" i="9"/>
  <c r="T176" i="9" s="1"/>
  <c r="AC469" i="9"/>
  <c r="AC498" i="9" s="1"/>
  <c r="J469" i="9"/>
  <c r="J498" i="9" s="1"/>
  <c r="P469" i="9"/>
  <c r="P498" i="9" s="1"/>
  <c r="Q469" i="9"/>
  <c r="Q498" i="9" s="1"/>
  <c r="B147" i="9"/>
  <c r="B176" i="9" s="1"/>
  <c r="V147" i="9"/>
  <c r="V176" i="9" s="1"/>
  <c r="AA147" i="9"/>
  <c r="AA176" i="9" s="1"/>
  <c r="Q147" i="9"/>
  <c r="Q176" i="9" s="1"/>
  <c r="AC147" i="9"/>
  <c r="AC176" i="9" s="1"/>
  <c r="X147" i="9"/>
  <c r="X176" i="9" s="1"/>
  <c r="L147" i="9"/>
  <c r="L176" i="9" s="1"/>
  <c r="X364" i="13"/>
  <c r="X393" i="13" s="1"/>
  <c r="D364" i="13"/>
  <c r="D393" i="13" s="1"/>
  <c r="N364" i="13"/>
  <c r="N393" i="13" s="1"/>
  <c r="AA469" i="9"/>
  <c r="AA498" i="9" s="1"/>
  <c r="Y469" i="9"/>
  <c r="Y498" i="9" s="1"/>
  <c r="H469" i="9"/>
  <c r="H498" i="9" s="1"/>
  <c r="S469" i="9"/>
  <c r="S498" i="9" s="1"/>
  <c r="L364" i="13"/>
  <c r="L393" i="13" s="1"/>
  <c r="K364" i="13"/>
  <c r="K393" i="13" s="1"/>
  <c r="AB364" i="13"/>
  <c r="AB393" i="13" s="1"/>
  <c r="B469" i="9"/>
  <c r="B498" i="9" s="1"/>
  <c r="X469" i="9"/>
  <c r="X498" i="9" s="1"/>
  <c r="L469" i="9"/>
  <c r="L498" i="9" s="1"/>
  <c r="P364" i="13"/>
  <c r="P393" i="13" s="1"/>
  <c r="T364" i="13"/>
  <c r="T393" i="13" s="1"/>
  <c r="V469" i="9"/>
  <c r="V498" i="9" s="1"/>
  <c r="C469" i="9"/>
  <c r="C498" i="9" s="1"/>
  <c r="I469" i="9"/>
  <c r="I498" i="9" s="1"/>
  <c r="AA364" i="13"/>
  <c r="AA393" i="13" s="1"/>
  <c r="G364" i="13"/>
  <c r="G393" i="13" s="1"/>
  <c r="S364" i="13"/>
  <c r="S393" i="13" s="1"/>
  <c r="K469" i="9"/>
  <c r="K498" i="9" s="1"/>
  <c r="R469" i="9"/>
  <c r="R498" i="9" s="1"/>
  <c r="U364" i="13"/>
  <c r="U393" i="13" s="1"/>
  <c r="Y364" i="13"/>
  <c r="Y393" i="13" s="1"/>
  <c r="AB469" i="9"/>
  <c r="AB498" i="9" s="1"/>
  <c r="J364" i="13"/>
  <c r="J393" i="13" s="1"/>
  <c r="V364" i="13"/>
  <c r="V393" i="13" s="1"/>
  <c r="C364" i="13"/>
  <c r="C393" i="13" s="1"/>
  <c r="W364" i="13"/>
  <c r="W393" i="13" s="1"/>
  <c r="AC364" i="13"/>
  <c r="AC393" i="13" s="1"/>
  <c r="E469" i="9"/>
  <c r="E498" i="9" s="1"/>
  <c r="N469" i="9"/>
  <c r="N498" i="9" s="1"/>
  <c r="T469" i="9"/>
  <c r="T498" i="9" s="1"/>
  <c r="I364" i="13"/>
  <c r="I393" i="13" s="1"/>
  <c r="Z469" i="9"/>
  <c r="Z498" i="9" s="1"/>
  <c r="Q364" i="13"/>
  <c r="Q393" i="13" s="1"/>
  <c r="M364" i="13"/>
  <c r="M393" i="13" s="1"/>
  <c r="F364" i="13"/>
  <c r="F393" i="13" s="1"/>
  <c r="O364" i="13"/>
  <c r="O393" i="13" s="1"/>
  <c r="Z364" i="13"/>
  <c r="Z393" i="13" s="1"/>
  <c r="R364" i="13"/>
  <c r="R393" i="13" s="1"/>
  <c r="E364" i="13"/>
  <c r="E393" i="13" s="1"/>
  <c r="F469" i="9"/>
  <c r="F498" i="9" s="1"/>
  <c r="G469" i="9"/>
  <c r="G498" i="9" s="1"/>
  <c r="N284" i="13"/>
  <c r="B70" i="13"/>
  <c r="AC70" i="13"/>
  <c r="C70" i="13"/>
  <c r="M70" i="13"/>
  <c r="S70" i="13"/>
  <c r="V70" i="13"/>
  <c r="I70" i="13"/>
  <c r="H70" i="13"/>
  <c r="N70" i="13"/>
  <c r="S284" i="13"/>
  <c r="P70" i="13"/>
  <c r="T70" i="13"/>
  <c r="W70" i="13"/>
  <c r="AA70" i="13"/>
  <c r="G284" i="13"/>
  <c r="J70" i="13"/>
  <c r="O70" i="13"/>
  <c r="Q70" i="13"/>
  <c r="M284" i="13"/>
  <c r="Q284" i="13"/>
  <c r="U70" i="13"/>
  <c r="R70" i="13"/>
  <c r="O284" i="13"/>
  <c r="G70" i="13"/>
  <c r="Y70" i="13"/>
  <c r="AB70" i="13"/>
  <c r="L70" i="13"/>
  <c r="K284" i="13"/>
  <c r="Z284" i="13"/>
  <c r="D70" i="13"/>
  <c r="E70" i="13"/>
  <c r="F70" i="13"/>
  <c r="Z70" i="13"/>
  <c r="B176" i="3"/>
  <c r="M114" i="2"/>
  <c r="M102" i="2"/>
  <c r="M90" i="2"/>
  <c r="L90" i="2"/>
  <c r="L78" i="2"/>
  <c r="T147" i="13" l="1"/>
  <c r="T176" i="13" s="1"/>
  <c r="P147" i="13"/>
  <c r="P176" i="13" s="1"/>
  <c r="M147" i="13"/>
  <c r="M176" i="13" s="1"/>
  <c r="G147" i="13"/>
  <c r="G176" i="13" s="1"/>
  <c r="O147" i="13"/>
  <c r="O176" i="13" s="1"/>
  <c r="U147" i="13"/>
  <c r="U176" i="13" s="1"/>
  <c r="H147" i="13"/>
  <c r="H176" i="13" s="1"/>
  <c r="E147" i="13"/>
  <c r="E176" i="13" s="1"/>
  <c r="Y147" i="13"/>
  <c r="Y176" i="13" s="1"/>
  <c r="X147" i="13"/>
  <c r="X176" i="13" s="1"/>
  <c r="D147" i="13"/>
  <c r="D176" i="13" s="1"/>
  <c r="J147" i="13"/>
  <c r="J176" i="13" s="1"/>
  <c r="N147" i="13"/>
  <c r="N176" i="13" s="1"/>
  <c r="R147" i="13"/>
  <c r="R176" i="13" s="1"/>
  <c r="K147" i="13"/>
  <c r="K176" i="13" s="1"/>
  <c r="F147" i="13"/>
  <c r="F176" i="13" s="1"/>
  <c r="AC147" i="13"/>
  <c r="AC176" i="13" s="1"/>
  <c r="Q147" i="13"/>
  <c r="Q176" i="13" s="1"/>
  <c r="V147" i="13"/>
  <c r="V176" i="13" s="1"/>
  <c r="I147" i="13"/>
  <c r="I176" i="13" s="1"/>
  <c r="C147" i="13"/>
  <c r="C176" i="13" s="1"/>
  <c r="Z147" i="13"/>
  <c r="Z176" i="13" s="1"/>
  <c r="AB147" i="13"/>
  <c r="AB176" i="13" s="1"/>
  <c r="W147" i="13"/>
  <c r="W176" i="13" s="1"/>
  <c r="L147" i="13"/>
  <c r="L176" i="13" s="1"/>
  <c r="B147" i="13"/>
  <c r="B176" i="13" s="1"/>
  <c r="AA147" i="13"/>
  <c r="AA176" i="13" s="1"/>
  <c r="S147" i="13"/>
  <c r="S176" i="13" s="1"/>
  <c r="C180" i="2"/>
  <c r="C337" i="32" s="1"/>
  <c r="B180" i="2"/>
  <c r="B337" i="32" s="1"/>
  <c r="C167" i="2"/>
  <c r="C228" i="32" s="1"/>
  <c r="B167" i="2"/>
  <c r="B228" i="32" s="1"/>
  <c r="C155" i="2"/>
  <c r="C120" i="32" s="1"/>
  <c r="B155" i="2"/>
  <c r="B120" i="32" s="1"/>
  <c r="C143" i="2"/>
  <c r="C14" i="32" s="1"/>
  <c r="B143" i="2"/>
  <c r="B14" i="32" s="1"/>
  <c r="B140" i="32" l="1"/>
  <c r="L140" i="32"/>
  <c r="V140" i="32"/>
  <c r="W140" i="32"/>
  <c r="N140" i="32"/>
  <c r="F140" i="32"/>
  <c r="D140" i="32"/>
  <c r="O140" i="32"/>
  <c r="Y140" i="32"/>
  <c r="R140" i="32"/>
  <c r="H140" i="32"/>
  <c r="P140" i="32"/>
  <c r="J140" i="32"/>
  <c r="AB140" i="32"/>
  <c r="AC140" i="32"/>
  <c r="E140" i="32"/>
  <c r="Z140" i="32"/>
  <c r="U140" i="32"/>
  <c r="C140" i="32"/>
  <c r="K140" i="32"/>
  <c r="M140" i="32"/>
  <c r="AA140" i="32"/>
  <c r="S140" i="32"/>
  <c r="X140" i="32"/>
  <c r="T140" i="32"/>
  <c r="G140" i="32"/>
  <c r="Q140" i="32"/>
  <c r="I140" i="32"/>
  <c r="P248" i="32"/>
  <c r="K248" i="32"/>
  <c r="H248" i="32"/>
  <c r="B248" i="32"/>
  <c r="R248" i="32"/>
  <c r="AB248" i="32"/>
  <c r="N248" i="32"/>
  <c r="S248" i="32"/>
  <c r="T248" i="32"/>
  <c r="AA248" i="32"/>
  <c r="Z248" i="32"/>
  <c r="L248" i="32"/>
  <c r="G248" i="32"/>
  <c r="X248" i="32"/>
  <c r="D248" i="32"/>
  <c r="U248" i="32"/>
  <c r="Y248" i="32"/>
  <c r="AC248" i="32"/>
  <c r="F248" i="32"/>
  <c r="C248" i="32"/>
  <c r="W248" i="32"/>
  <c r="M248" i="32"/>
  <c r="J248" i="32"/>
  <c r="I248" i="32"/>
  <c r="Q248" i="32"/>
  <c r="E248" i="32"/>
  <c r="O248" i="32"/>
  <c r="V248" i="32"/>
  <c r="U357" i="32"/>
  <c r="AB357" i="32"/>
  <c r="M357" i="32"/>
  <c r="F357" i="32"/>
  <c r="E357" i="32"/>
  <c r="B357" i="32"/>
  <c r="Y357" i="32"/>
  <c r="R357" i="32"/>
  <c r="AC357" i="32"/>
  <c r="H357" i="32"/>
  <c r="Q357" i="32"/>
  <c r="N357" i="32"/>
  <c r="X357" i="32"/>
  <c r="Z357" i="32"/>
  <c r="P357" i="32"/>
  <c r="D357" i="32"/>
  <c r="J357" i="32"/>
  <c r="V357" i="32"/>
  <c r="C357" i="32"/>
  <c r="O357" i="32"/>
  <c r="W357" i="32"/>
  <c r="AA357" i="32"/>
  <c r="I357" i="32"/>
  <c r="L357" i="32"/>
  <c r="G357" i="32"/>
  <c r="S357" i="32"/>
  <c r="T357" i="32"/>
  <c r="K357" i="32"/>
  <c r="S34" i="32"/>
  <c r="T34" i="32"/>
  <c r="Q34" i="32"/>
  <c r="V34" i="32"/>
  <c r="X34" i="32"/>
  <c r="AB34" i="32"/>
  <c r="H34" i="32"/>
  <c r="AA34" i="32"/>
  <c r="L34" i="32"/>
  <c r="P34" i="32"/>
  <c r="N34" i="32"/>
  <c r="M34" i="32"/>
  <c r="I34" i="32"/>
  <c r="F34" i="32"/>
  <c r="D34" i="32"/>
  <c r="K34" i="32"/>
  <c r="Y34" i="32"/>
  <c r="W34" i="32"/>
  <c r="U34" i="32"/>
  <c r="J34" i="32"/>
  <c r="E34" i="32"/>
  <c r="O34" i="32"/>
  <c r="B34" i="32"/>
  <c r="Z34" i="32"/>
  <c r="C34" i="32"/>
  <c r="AC34" i="32"/>
  <c r="G34" i="32"/>
  <c r="R34" i="32"/>
  <c r="M180" i="2"/>
  <c r="M168" i="2"/>
  <c r="A324" i="26"/>
  <c r="A215" i="26"/>
  <c r="A107" i="26"/>
  <c r="A1" i="26"/>
  <c r="A324" i="25"/>
  <c r="A215" i="25"/>
  <c r="A107" i="25"/>
  <c r="A1" i="25"/>
  <c r="A324" i="24"/>
  <c r="A215" i="24"/>
  <c r="A107" i="24"/>
  <c r="A1" i="24"/>
  <c r="A324" i="13"/>
  <c r="A215" i="13"/>
  <c r="A107" i="13"/>
  <c r="A1" i="13"/>
  <c r="A429" i="23"/>
  <c r="A324" i="23"/>
  <c r="A215" i="23"/>
  <c r="A107" i="23"/>
  <c r="A1" i="23"/>
  <c r="A429" i="22"/>
  <c r="A324" i="22"/>
  <c r="A215" i="22"/>
  <c r="A107" i="22"/>
  <c r="A1" i="22"/>
  <c r="A429" i="21"/>
  <c r="A324" i="21"/>
  <c r="A215" i="21"/>
  <c r="A107" i="21"/>
  <c r="A1" i="21"/>
  <c r="A429" i="9"/>
  <c r="A324" i="9"/>
  <c r="A215" i="9"/>
  <c r="A107" i="9"/>
  <c r="A1" i="9"/>
  <c r="A429" i="20"/>
  <c r="A324" i="20"/>
  <c r="A215" i="20"/>
  <c r="A107" i="20"/>
  <c r="A1" i="20"/>
  <c r="A429" i="19"/>
  <c r="A324" i="19"/>
  <c r="A215" i="19"/>
  <c r="A107" i="19"/>
  <c r="A1" i="19"/>
  <c r="P26" i="19"/>
  <c r="O26" i="19"/>
  <c r="L26" i="19"/>
  <c r="C26" i="19"/>
  <c r="B26" i="19"/>
  <c r="P454" i="3"/>
  <c r="O454" i="3"/>
  <c r="L454" i="3"/>
  <c r="C454" i="3"/>
  <c r="B454" i="3"/>
  <c r="P349" i="3"/>
  <c r="O349" i="3"/>
  <c r="L349" i="3"/>
  <c r="C349" i="3"/>
  <c r="B349" i="3"/>
  <c r="P240" i="3"/>
  <c r="O240" i="3"/>
  <c r="L240" i="3"/>
  <c r="C240" i="3"/>
  <c r="B240" i="3"/>
  <c r="P132" i="3"/>
  <c r="O132" i="3"/>
  <c r="L132" i="3"/>
  <c r="C132" i="3"/>
  <c r="B132" i="3"/>
  <c r="A429" i="3"/>
  <c r="A324" i="3"/>
  <c r="A215" i="3"/>
  <c r="A107" i="3"/>
  <c r="A1" i="3"/>
  <c r="L388" i="32" l="1"/>
  <c r="L394" i="32" s="1"/>
  <c r="L376" i="32"/>
  <c r="L382" i="32" s="1"/>
  <c r="L400" i="32"/>
  <c r="D388" i="32"/>
  <c r="D394" i="32" s="1"/>
  <c r="D400" i="32"/>
  <c r="D376" i="32"/>
  <c r="D382" i="32" s="1"/>
  <c r="R400" i="32"/>
  <c r="R388" i="32"/>
  <c r="R394" i="32" s="1"/>
  <c r="R376" i="32"/>
  <c r="R382" i="32" s="1"/>
  <c r="V267" i="32"/>
  <c r="V273" i="32" s="1"/>
  <c r="V279" i="32"/>
  <c r="V285" i="32" s="1"/>
  <c r="V291" i="32"/>
  <c r="C291" i="32"/>
  <c r="C279" i="32"/>
  <c r="C285" i="32" s="1"/>
  <c r="C267" i="32"/>
  <c r="C273" i="32" s="1"/>
  <c r="L267" i="32"/>
  <c r="L273" i="32" s="1"/>
  <c r="L291" i="32"/>
  <c r="L279" i="32"/>
  <c r="L285" i="32" s="1"/>
  <c r="B279" i="32"/>
  <c r="B285" i="32" s="1"/>
  <c r="B267" i="32"/>
  <c r="B273" i="32" s="1"/>
  <c r="B291" i="32"/>
  <c r="X171" i="32"/>
  <c r="X177" i="32" s="1"/>
  <c r="X183" i="32"/>
  <c r="X159" i="32"/>
  <c r="X165" i="32" s="1"/>
  <c r="E183" i="32"/>
  <c r="E171" i="32"/>
  <c r="E177" i="32" s="1"/>
  <c r="E159" i="32"/>
  <c r="E165" i="32" s="1"/>
  <c r="O171" i="32"/>
  <c r="O177" i="32" s="1"/>
  <c r="O183" i="32"/>
  <c r="O159" i="32"/>
  <c r="O165" i="32" s="1"/>
  <c r="I400" i="32"/>
  <c r="I388" i="32"/>
  <c r="I394" i="32" s="1"/>
  <c r="I376" i="32"/>
  <c r="I382" i="32" s="1"/>
  <c r="P388" i="32"/>
  <c r="P394" i="32" s="1"/>
  <c r="P376" i="32"/>
  <c r="P382" i="32" s="1"/>
  <c r="P400" i="32"/>
  <c r="Y376" i="32"/>
  <c r="Y382" i="32" s="1"/>
  <c r="Y388" i="32"/>
  <c r="Y394" i="32" s="1"/>
  <c r="Y400" i="32"/>
  <c r="O279" i="32"/>
  <c r="O285" i="32" s="1"/>
  <c r="O267" i="32"/>
  <c r="O273" i="32" s="1"/>
  <c r="O291" i="32"/>
  <c r="F267" i="32"/>
  <c r="F273" i="32" s="1"/>
  <c r="F279" i="32"/>
  <c r="F285" i="32" s="1"/>
  <c r="F291" i="32"/>
  <c r="Z267" i="32"/>
  <c r="Z273" i="32" s="1"/>
  <c r="Z279" i="32"/>
  <c r="Z285" i="32" s="1"/>
  <c r="Z291" i="32"/>
  <c r="H291" i="32"/>
  <c r="H267" i="32"/>
  <c r="H273" i="32" s="1"/>
  <c r="H279" i="32"/>
  <c r="H285" i="32" s="1"/>
  <c r="S183" i="32"/>
  <c r="S171" i="32"/>
  <c r="S177" i="32" s="1"/>
  <c r="S159" i="32"/>
  <c r="S165" i="32" s="1"/>
  <c r="AC159" i="32"/>
  <c r="AC165" i="32" s="1"/>
  <c r="AC183" i="32"/>
  <c r="AC171" i="32"/>
  <c r="AC177" i="32" s="1"/>
  <c r="D159" i="32"/>
  <c r="D165" i="32" s="1"/>
  <c r="D183" i="32"/>
  <c r="D171" i="32"/>
  <c r="D177" i="32" s="1"/>
  <c r="AA400" i="32"/>
  <c r="AA376" i="32"/>
  <c r="AA382" i="32" s="1"/>
  <c r="AA388" i="32"/>
  <c r="AA394" i="32" s="1"/>
  <c r="Z400" i="32"/>
  <c r="Z376" i="32"/>
  <c r="Z382" i="32" s="1"/>
  <c r="Z388" i="32"/>
  <c r="Z394" i="32" s="1"/>
  <c r="B400" i="32"/>
  <c r="B376" i="32"/>
  <c r="B382" i="32" s="1"/>
  <c r="B388" i="32"/>
  <c r="B394" i="32" s="1"/>
  <c r="E279" i="32"/>
  <c r="E285" i="32" s="1"/>
  <c r="E291" i="32"/>
  <c r="E267" i="32"/>
  <c r="E273" i="32" s="1"/>
  <c r="AC267" i="32"/>
  <c r="AC273" i="32" s="1"/>
  <c r="AC291" i="32"/>
  <c r="AC279" i="32"/>
  <c r="AC285" i="32" s="1"/>
  <c r="AA291" i="32"/>
  <c r="AA279" i="32"/>
  <c r="AA285" i="32" s="1"/>
  <c r="AA267" i="32"/>
  <c r="AA273" i="32" s="1"/>
  <c r="K279" i="32"/>
  <c r="K285" i="32" s="1"/>
  <c r="K291" i="32"/>
  <c r="K267" i="32"/>
  <c r="K273" i="32" s="1"/>
  <c r="AA183" i="32"/>
  <c r="AA159" i="32"/>
  <c r="AA165" i="32" s="1"/>
  <c r="AA171" i="32"/>
  <c r="AA177" i="32" s="1"/>
  <c r="AB159" i="32"/>
  <c r="AB165" i="32" s="1"/>
  <c r="AB183" i="32"/>
  <c r="AB171" i="32"/>
  <c r="AB177" i="32" s="1"/>
  <c r="F183" i="32"/>
  <c r="F159" i="32"/>
  <c r="F165" i="32" s="1"/>
  <c r="F171" i="32"/>
  <c r="F177" i="32" s="1"/>
  <c r="W376" i="32"/>
  <c r="W382" i="32" s="1"/>
  <c r="W388" i="32"/>
  <c r="W394" i="32" s="1"/>
  <c r="W400" i="32"/>
  <c r="X388" i="32"/>
  <c r="X394" i="32" s="1"/>
  <c r="X376" i="32"/>
  <c r="X382" i="32" s="1"/>
  <c r="X400" i="32"/>
  <c r="E400" i="32"/>
  <c r="E376" i="32"/>
  <c r="E382" i="32" s="1"/>
  <c r="E388" i="32"/>
  <c r="E394" i="32" s="1"/>
  <c r="Q291" i="32"/>
  <c r="Q267" i="32"/>
  <c r="Q273" i="32" s="1"/>
  <c r="Q279" i="32"/>
  <c r="Q285" i="32" s="1"/>
  <c r="Y267" i="32"/>
  <c r="Y273" i="32" s="1"/>
  <c r="Y279" i="32"/>
  <c r="Y285" i="32" s="1"/>
  <c r="Y291" i="32"/>
  <c r="T279" i="32"/>
  <c r="T285" i="32" s="1"/>
  <c r="T291" i="32"/>
  <c r="T267" i="32"/>
  <c r="T273" i="32" s="1"/>
  <c r="P267" i="32"/>
  <c r="P273" i="32" s="1"/>
  <c r="P279" i="32"/>
  <c r="P285" i="32" s="1"/>
  <c r="P291" i="32"/>
  <c r="M183" i="32"/>
  <c r="M171" i="32"/>
  <c r="M177" i="32" s="1"/>
  <c r="M159" i="32"/>
  <c r="M165" i="32" s="1"/>
  <c r="J171" i="32"/>
  <c r="J177" i="32" s="1"/>
  <c r="J183" i="32"/>
  <c r="J159" i="32"/>
  <c r="J165" i="32" s="1"/>
  <c r="N159" i="32"/>
  <c r="N165" i="32" s="1"/>
  <c r="N171" i="32"/>
  <c r="N177" i="32" s="1"/>
  <c r="N183" i="32"/>
  <c r="K376" i="32"/>
  <c r="K382" i="32" s="1"/>
  <c r="K400" i="32"/>
  <c r="K388" i="32"/>
  <c r="K394" i="32" s="1"/>
  <c r="O400" i="32"/>
  <c r="O388" i="32"/>
  <c r="O394" i="32" s="1"/>
  <c r="O376" i="32"/>
  <c r="O382" i="32" s="1"/>
  <c r="N376" i="32"/>
  <c r="N382" i="32" s="1"/>
  <c r="N388" i="32"/>
  <c r="N394" i="32" s="1"/>
  <c r="N400" i="32"/>
  <c r="F400" i="32"/>
  <c r="F376" i="32"/>
  <c r="F382" i="32" s="1"/>
  <c r="F388" i="32"/>
  <c r="F394" i="32" s="1"/>
  <c r="I267" i="32"/>
  <c r="I273" i="32" s="1"/>
  <c r="I291" i="32"/>
  <c r="I279" i="32"/>
  <c r="I285" i="32" s="1"/>
  <c r="U291" i="32"/>
  <c r="U267" i="32"/>
  <c r="U273" i="32" s="1"/>
  <c r="U279" i="32"/>
  <c r="U285" i="32" s="1"/>
  <c r="S279" i="32"/>
  <c r="S285" i="32" s="1"/>
  <c r="S291" i="32"/>
  <c r="S267" i="32"/>
  <c r="S273" i="32" s="1"/>
  <c r="I183" i="32"/>
  <c r="I171" i="32"/>
  <c r="I177" i="32" s="1"/>
  <c r="I159" i="32"/>
  <c r="I165" i="32" s="1"/>
  <c r="K183" i="32"/>
  <c r="K159" i="32"/>
  <c r="K165" i="32" s="1"/>
  <c r="K171" i="32"/>
  <c r="K177" i="32" s="1"/>
  <c r="P171" i="32"/>
  <c r="P177" i="32" s="1"/>
  <c r="P183" i="32"/>
  <c r="P159" i="32"/>
  <c r="P165" i="32" s="1"/>
  <c r="W171" i="32"/>
  <c r="W177" i="32" s="1"/>
  <c r="W183" i="32"/>
  <c r="W159" i="32"/>
  <c r="W165" i="32" s="1"/>
  <c r="T388" i="32"/>
  <c r="T394" i="32" s="1"/>
  <c r="T400" i="32"/>
  <c r="T376" i="32"/>
  <c r="T382" i="32" s="1"/>
  <c r="C400" i="32"/>
  <c r="C376" i="32"/>
  <c r="C382" i="32" s="1"/>
  <c r="C388" i="32"/>
  <c r="C394" i="32" s="1"/>
  <c r="Q376" i="32"/>
  <c r="Q382" i="32" s="1"/>
  <c r="Q400" i="32"/>
  <c r="Q388" i="32"/>
  <c r="Q394" i="32" s="1"/>
  <c r="M400" i="32"/>
  <c r="M388" i="32"/>
  <c r="M394" i="32" s="1"/>
  <c r="M376" i="32"/>
  <c r="M382" i="32" s="1"/>
  <c r="J291" i="32"/>
  <c r="J267" i="32"/>
  <c r="J273" i="32" s="1"/>
  <c r="J279" i="32"/>
  <c r="J285" i="32" s="1"/>
  <c r="D279" i="32"/>
  <c r="D285" i="32" s="1"/>
  <c r="D267" i="32"/>
  <c r="D273" i="32" s="1"/>
  <c r="D291" i="32"/>
  <c r="N291" i="32"/>
  <c r="N267" i="32"/>
  <c r="N273" i="32" s="1"/>
  <c r="N279" i="32"/>
  <c r="N285" i="32" s="1"/>
  <c r="Q171" i="32"/>
  <c r="Q177" i="32" s="1"/>
  <c r="Q159" i="32"/>
  <c r="Q165" i="32" s="1"/>
  <c r="Q183" i="32"/>
  <c r="C159" i="32"/>
  <c r="C165" i="32" s="1"/>
  <c r="C183" i="32"/>
  <c r="C171" i="32"/>
  <c r="C177" i="32" s="1"/>
  <c r="H183" i="32"/>
  <c r="H171" i="32"/>
  <c r="H177" i="32" s="1"/>
  <c r="H159" i="32"/>
  <c r="H165" i="32" s="1"/>
  <c r="V159" i="32"/>
  <c r="V165" i="32" s="1"/>
  <c r="V183" i="32"/>
  <c r="V171" i="32"/>
  <c r="V177" i="32" s="1"/>
  <c r="S388" i="32"/>
  <c r="S394" i="32" s="1"/>
  <c r="S400" i="32"/>
  <c r="S376" i="32"/>
  <c r="S382" i="32" s="1"/>
  <c r="V388" i="32"/>
  <c r="V394" i="32" s="1"/>
  <c r="V376" i="32"/>
  <c r="V382" i="32" s="1"/>
  <c r="V400" i="32"/>
  <c r="H400" i="32"/>
  <c r="H388" i="32"/>
  <c r="H394" i="32" s="1"/>
  <c r="H376" i="32"/>
  <c r="H382" i="32" s="1"/>
  <c r="AB376" i="32"/>
  <c r="AB382" i="32" s="1"/>
  <c r="AB388" i="32"/>
  <c r="AB394" i="32" s="1"/>
  <c r="AB400" i="32"/>
  <c r="M291" i="32"/>
  <c r="M279" i="32"/>
  <c r="M285" i="32" s="1"/>
  <c r="M267" i="32"/>
  <c r="M273" i="32" s="1"/>
  <c r="X279" i="32"/>
  <c r="X285" i="32" s="1"/>
  <c r="X267" i="32"/>
  <c r="X273" i="32" s="1"/>
  <c r="X291" i="32"/>
  <c r="AB291" i="32"/>
  <c r="AB279" i="32"/>
  <c r="AB285" i="32" s="1"/>
  <c r="AB267" i="32"/>
  <c r="AB273" i="32" s="1"/>
  <c r="G183" i="32"/>
  <c r="G159" i="32"/>
  <c r="G165" i="32" s="1"/>
  <c r="G171" i="32"/>
  <c r="G177" i="32" s="1"/>
  <c r="U159" i="32"/>
  <c r="U165" i="32" s="1"/>
  <c r="U183" i="32"/>
  <c r="U171" i="32"/>
  <c r="U177" i="32" s="1"/>
  <c r="R159" i="32"/>
  <c r="R165" i="32" s="1"/>
  <c r="R183" i="32"/>
  <c r="R171" i="32"/>
  <c r="R177" i="32" s="1"/>
  <c r="L159" i="32"/>
  <c r="L165" i="32" s="1"/>
  <c r="L183" i="32"/>
  <c r="L171" i="32"/>
  <c r="L177" i="32" s="1"/>
  <c r="G388" i="32"/>
  <c r="G394" i="32" s="1"/>
  <c r="G400" i="32"/>
  <c r="G376" i="32"/>
  <c r="G382" i="32" s="1"/>
  <c r="J376" i="32"/>
  <c r="J382" i="32" s="1"/>
  <c r="J400" i="32"/>
  <c r="J388" i="32"/>
  <c r="J394" i="32" s="1"/>
  <c r="AC388" i="32"/>
  <c r="AC394" i="32" s="1"/>
  <c r="AC400" i="32"/>
  <c r="AC376" i="32"/>
  <c r="AC382" i="32" s="1"/>
  <c r="U400" i="32"/>
  <c r="U376" i="32"/>
  <c r="U382" i="32" s="1"/>
  <c r="U388" i="32"/>
  <c r="U394" i="32" s="1"/>
  <c r="W279" i="32"/>
  <c r="W285" i="32" s="1"/>
  <c r="W267" i="32"/>
  <c r="W273" i="32" s="1"/>
  <c r="W291" i="32"/>
  <c r="G279" i="32"/>
  <c r="G285" i="32" s="1"/>
  <c r="G267" i="32"/>
  <c r="G273" i="32" s="1"/>
  <c r="G291" i="32"/>
  <c r="R279" i="32"/>
  <c r="R285" i="32" s="1"/>
  <c r="R267" i="32"/>
  <c r="R273" i="32" s="1"/>
  <c r="R291" i="32"/>
  <c r="T183" i="32"/>
  <c r="T159" i="32"/>
  <c r="T165" i="32" s="1"/>
  <c r="T171" i="32"/>
  <c r="T177" i="32" s="1"/>
  <c r="Z159" i="32"/>
  <c r="Z165" i="32" s="1"/>
  <c r="Z183" i="32"/>
  <c r="Z171" i="32"/>
  <c r="Z177" i="32" s="1"/>
  <c r="Y171" i="32"/>
  <c r="Y177" i="32" s="1"/>
  <c r="Y159" i="32"/>
  <c r="Y165" i="32" s="1"/>
  <c r="Y183" i="32"/>
  <c r="B183" i="32"/>
  <c r="B171" i="32"/>
  <c r="B177" i="32" s="1"/>
  <c r="B159" i="32"/>
  <c r="B165" i="32" s="1"/>
  <c r="Y77" i="32"/>
  <c r="Y65" i="32"/>
  <c r="Y71" i="32" s="1"/>
  <c r="Y53" i="32"/>
  <c r="Y59" i="32" s="1"/>
  <c r="K65" i="32"/>
  <c r="K71" i="32" s="1"/>
  <c r="K77" i="32"/>
  <c r="K53" i="32"/>
  <c r="K59" i="32" s="1"/>
  <c r="B77" i="32"/>
  <c r="B65" i="32"/>
  <c r="B71" i="32" s="1"/>
  <c r="B53" i="32"/>
  <c r="D77" i="32"/>
  <c r="D53" i="32"/>
  <c r="D59" i="32" s="1"/>
  <c r="D65" i="32"/>
  <c r="D71" i="32" s="1"/>
  <c r="H53" i="32"/>
  <c r="H59" i="32" s="1"/>
  <c r="H65" i="32"/>
  <c r="H71" i="32" s="1"/>
  <c r="H77" i="32"/>
  <c r="S77" i="32"/>
  <c r="S53" i="32"/>
  <c r="S59" i="32" s="1"/>
  <c r="S65" i="32"/>
  <c r="S71" i="32" s="1"/>
  <c r="Z65" i="32"/>
  <c r="Z71" i="32" s="1"/>
  <c r="Z77" i="32"/>
  <c r="Z53" i="32"/>
  <c r="Z59" i="32" s="1"/>
  <c r="O53" i="32"/>
  <c r="O59" i="32" s="1"/>
  <c r="O77" i="32"/>
  <c r="O65" i="32"/>
  <c r="O71" i="32" s="1"/>
  <c r="F53" i="32"/>
  <c r="F59" i="32" s="1"/>
  <c r="F65" i="32"/>
  <c r="F71" i="32" s="1"/>
  <c r="F77" i="32"/>
  <c r="AB65" i="32"/>
  <c r="AB71" i="32" s="1"/>
  <c r="AB53" i="32"/>
  <c r="AB59" i="32" s="1"/>
  <c r="AB77" i="32"/>
  <c r="L77" i="32"/>
  <c r="L65" i="32"/>
  <c r="L71" i="32" s="1"/>
  <c r="L53" i="32"/>
  <c r="L59" i="32" s="1"/>
  <c r="AA77" i="32"/>
  <c r="AA65" i="32"/>
  <c r="AA71" i="32" s="1"/>
  <c r="AA53" i="32"/>
  <c r="AA59" i="32" s="1"/>
  <c r="E77" i="32"/>
  <c r="E65" i="32"/>
  <c r="E71" i="32" s="1"/>
  <c r="E53" i="32"/>
  <c r="E59" i="32" s="1"/>
  <c r="I53" i="32"/>
  <c r="I59" i="32" s="1"/>
  <c r="I65" i="32"/>
  <c r="I71" i="32" s="1"/>
  <c r="I77" i="32"/>
  <c r="X65" i="32"/>
  <c r="X71" i="32" s="1"/>
  <c r="X53" i="32"/>
  <c r="X59" i="32" s="1"/>
  <c r="X77" i="32"/>
  <c r="C65" i="32"/>
  <c r="C71" i="32" s="1"/>
  <c r="C53" i="32"/>
  <c r="C59" i="32" s="1"/>
  <c r="C77" i="32"/>
  <c r="J53" i="32"/>
  <c r="J59" i="32" s="1"/>
  <c r="J77" i="32"/>
  <c r="J65" i="32"/>
  <c r="J71" i="32" s="1"/>
  <c r="V65" i="32"/>
  <c r="V71" i="32" s="1"/>
  <c r="V77" i="32"/>
  <c r="V53" i="32"/>
  <c r="V59" i="32" s="1"/>
  <c r="G53" i="32"/>
  <c r="G59" i="32" s="1"/>
  <c r="G77" i="32"/>
  <c r="G65" i="32"/>
  <c r="G71" i="32" s="1"/>
  <c r="U65" i="32"/>
  <c r="U71" i="32" s="1"/>
  <c r="U77" i="32"/>
  <c r="U53" i="32"/>
  <c r="U59" i="32" s="1"/>
  <c r="N53" i="32"/>
  <c r="N59" i="32" s="1"/>
  <c r="N77" i="32"/>
  <c r="N65" i="32"/>
  <c r="N71" i="32" s="1"/>
  <c r="Q65" i="32"/>
  <c r="Q71" i="32" s="1"/>
  <c r="Q77" i="32"/>
  <c r="Q53" i="32"/>
  <c r="Q59" i="32" s="1"/>
  <c r="R77" i="32"/>
  <c r="R65" i="32"/>
  <c r="R71" i="32" s="1"/>
  <c r="R53" i="32"/>
  <c r="R59" i="32" s="1"/>
  <c r="M65" i="32"/>
  <c r="M71" i="32" s="1"/>
  <c r="M77" i="32"/>
  <c r="M53" i="32"/>
  <c r="M59" i="32" s="1"/>
  <c r="AC65" i="32"/>
  <c r="AC71" i="32" s="1"/>
  <c r="AC53" i="32"/>
  <c r="AC59" i="32" s="1"/>
  <c r="AC77" i="32"/>
  <c r="W53" i="32"/>
  <c r="W59" i="32" s="1"/>
  <c r="W65" i="32"/>
  <c r="W71" i="32" s="1"/>
  <c r="W77" i="32"/>
  <c r="P53" i="32"/>
  <c r="P59" i="32" s="1"/>
  <c r="P65" i="32"/>
  <c r="P71" i="32" s="1"/>
  <c r="P77" i="32"/>
  <c r="T65" i="32"/>
  <c r="T71" i="32" s="1"/>
  <c r="T53" i="32"/>
  <c r="T59" i="32" s="1"/>
  <c r="T77" i="32"/>
  <c r="M33" i="2"/>
  <c r="L33" i="2"/>
  <c r="M21" i="2"/>
  <c r="L21" i="2"/>
  <c r="C61" i="2"/>
  <c r="B61" i="2"/>
  <c r="C47" i="2"/>
  <c r="B47" i="2"/>
  <c r="C34" i="2"/>
  <c r="B34" i="2"/>
  <c r="C21" i="2"/>
  <c r="B21" i="2"/>
  <c r="C9" i="2"/>
  <c r="B9" i="2"/>
  <c r="B59" i="32" l="1"/>
  <c r="AG61" i="32"/>
  <c r="AG62" i="32" s="1"/>
  <c r="W297" i="32"/>
  <c r="W296" i="32"/>
  <c r="R188" i="32"/>
  <c r="R189" i="32"/>
  <c r="M296" i="32"/>
  <c r="M297" i="32"/>
  <c r="J297" i="32"/>
  <c r="J296" i="32"/>
  <c r="N406" i="32"/>
  <c r="N405" i="32"/>
  <c r="Y297" i="32"/>
  <c r="Y296" i="32"/>
  <c r="O297" i="32"/>
  <c r="O296" i="32"/>
  <c r="I405" i="32"/>
  <c r="I406" i="32"/>
  <c r="R406" i="32"/>
  <c r="R405" i="32"/>
  <c r="Y189" i="32"/>
  <c r="Y188" i="32"/>
  <c r="U406" i="32"/>
  <c r="U405" i="32"/>
  <c r="Q189" i="32"/>
  <c r="Q188" i="32"/>
  <c r="C405" i="32"/>
  <c r="C406" i="32"/>
  <c r="W189" i="32"/>
  <c r="W188" i="32"/>
  <c r="I188" i="32"/>
  <c r="I189" i="32"/>
  <c r="I296" i="32"/>
  <c r="I297" i="32"/>
  <c r="N188" i="32"/>
  <c r="N189" i="32"/>
  <c r="AB188" i="32"/>
  <c r="AB189" i="32"/>
  <c r="K296" i="32"/>
  <c r="K297" i="32"/>
  <c r="AA406" i="32"/>
  <c r="AA405" i="32"/>
  <c r="Z296" i="32"/>
  <c r="Z297" i="32"/>
  <c r="Z188" i="32"/>
  <c r="Z189" i="32"/>
  <c r="R297" i="32"/>
  <c r="R296" i="32"/>
  <c r="AB296" i="32"/>
  <c r="AB297" i="32"/>
  <c r="V405" i="32"/>
  <c r="V406" i="32"/>
  <c r="H188" i="32"/>
  <c r="H189" i="32"/>
  <c r="N297" i="32"/>
  <c r="N296" i="32"/>
  <c r="P297" i="32"/>
  <c r="P296" i="32"/>
  <c r="Q296" i="32"/>
  <c r="Q297" i="32"/>
  <c r="X405" i="32"/>
  <c r="X406" i="32"/>
  <c r="E296" i="32"/>
  <c r="E297" i="32"/>
  <c r="Y406" i="32"/>
  <c r="Y405" i="32"/>
  <c r="X188" i="32"/>
  <c r="X189" i="32"/>
  <c r="C296" i="32"/>
  <c r="C297" i="32"/>
  <c r="U189" i="32"/>
  <c r="U188" i="32"/>
  <c r="AB405" i="32"/>
  <c r="AB406" i="32"/>
  <c r="O405" i="32"/>
  <c r="O406" i="32"/>
  <c r="AA296" i="32"/>
  <c r="AA297" i="32"/>
  <c r="B405" i="32"/>
  <c r="B406" i="32"/>
  <c r="S189" i="32"/>
  <c r="S188" i="32"/>
  <c r="G405" i="32"/>
  <c r="G406" i="32"/>
  <c r="C189" i="32"/>
  <c r="C188" i="32"/>
  <c r="M405" i="32"/>
  <c r="M406" i="32"/>
  <c r="P189" i="32"/>
  <c r="P188" i="32"/>
  <c r="F406" i="32"/>
  <c r="F405" i="32"/>
  <c r="W405" i="32"/>
  <c r="W406" i="32"/>
  <c r="AA189" i="32"/>
  <c r="AA188" i="32"/>
  <c r="D188" i="32"/>
  <c r="D189" i="32"/>
  <c r="F296" i="32"/>
  <c r="F297" i="32"/>
  <c r="O189" i="32"/>
  <c r="O188" i="32"/>
  <c r="D406" i="32"/>
  <c r="D405" i="32"/>
  <c r="B188" i="32"/>
  <c r="B189" i="32"/>
  <c r="T189" i="32"/>
  <c r="T188" i="32"/>
  <c r="G296" i="32"/>
  <c r="G297" i="32"/>
  <c r="L189" i="32"/>
  <c r="L188" i="32"/>
  <c r="S406" i="32"/>
  <c r="S405" i="32"/>
  <c r="K189" i="32"/>
  <c r="K188" i="32"/>
  <c r="S297" i="32"/>
  <c r="S296" i="32"/>
  <c r="K406" i="32"/>
  <c r="K405" i="32"/>
  <c r="J188" i="32"/>
  <c r="J189" i="32"/>
  <c r="E405" i="32"/>
  <c r="E406" i="32"/>
  <c r="AC296" i="32"/>
  <c r="AC297" i="32"/>
  <c r="H296" i="32"/>
  <c r="H297" i="32"/>
  <c r="B297" i="32"/>
  <c r="B296" i="32"/>
  <c r="V297" i="32"/>
  <c r="V296" i="32"/>
  <c r="AC405" i="32"/>
  <c r="AC406" i="32"/>
  <c r="G189" i="32"/>
  <c r="G188" i="32"/>
  <c r="X297" i="32"/>
  <c r="X296" i="32"/>
  <c r="H405" i="32"/>
  <c r="H406" i="32"/>
  <c r="V189" i="32"/>
  <c r="V188" i="32"/>
  <c r="Q406" i="32"/>
  <c r="Q405" i="32"/>
  <c r="T405" i="32"/>
  <c r="T406" i="32"/>
  <c r="U297" i="32"/>
  <c r="U296" i="32"/>
  <c r="T296" i="32"/>
  <c r="T297" i="32"/>
  <c r="F189" i="32"/>
  <c r="F188" i="32"/>
  <c r="Z406" i="32"/>
  <c r="Z405" i="32"/>
  <c r="P405" i="32"/>
  <c r="P406" i="32"/>
  <c r="E189" i="32"/>
  <c r="E188" i="32"/>
  <c r="L297" i="32"/>
  <c r="L296" i="32"/>
  <c r="J405" i="32"/>
  <c r="J406" i="32"/>
  <c r="D296" i="32"/>
  <c r="D297" i="32"/>
  <c r="M189" i="32"/>
  <c r="M188" i="32"/>
  <c r="AC188" i="32"/>
  <c r="AC189" i="32"/>
  <c r="L406" i="32"/>
  <c r="L405" i="32"/>
  <c r="P82" i="32"/>
  <c r="P83" i="32"/>
  <c r="N82" i="32"/>
  <c r="N83" i="32"/>
  <c r="G82" i="32"/>
  <c r="G83" i="32"/>
  <c r="O82" i="32"/>
  <c r="O83" i="32"/>
  <c r="M82" i="32"/>
  <c r="M83" i="32"/>
  <c r="C83" i="32"/>
  <c r="C82" i="32"/>
  <c r="E83" i="32"/>
  <c r="E82" i="32"/>
  <c r="H82" i="32"/>
  <c r="H83" i="32"/>
  <c r="AC83" i="32"/>
  <c r="AC82" i="32"/>
  <c r="I83" i="32"/>
  <c r="I82" i="32"/>
  <c r="B82" i="32"/>
  <c r="B83" i="32"/>
  <c r="W82" i="32"/>
  <c r="W83" i="32"/>
  <c r="Q83" i="32"/>
  <c r="Q82" i="32"/>
  <c r="L82" i="32"/>
  <c r="L83" i="32"/>
  <c r="R82" i="32"/>
  <c r="R83" i="32"/>
  <c r="V82" i="32"/>
  <c r="V83" i="32"/>
  <c r="AB82" i="32"/>
  <c r="AB83" i="32"/>
  <c r="D83" i="32"/>
  <c r="D82" i="32"/>
  <c r="K82" i="32"/>
  <c r="K83" i="32"/>
  <c r="J82" i="32"/>
  <c r="J83" i="32"/>
  <c r="X82" i="32"/>
  <c r="X83" i="32"/>
  <c r="AA82" i="32"/>
  <c r="AA83" i="32"/>
  <c r="Z83" i="32"/>
  <c r="Z82" i="32"/>
  <c r="T83" i="32"/>
  <c r="T82" i="32"/>
  <c r="U83" i="32"/>
  <c r="U82" i="32"/>
  <c r="F83" i="32"/>
  <c r="F82" i="32"/>
  <c r="S82" i="32"/>
  <c r="S83" i="32"/>
  <c r="Y83" i="32"/>
  <c r="Y82" i="32"/>
  <c r="P349" i="26"/>
  <c r="O349" i="26"/>
  <c r="L349" i="26"/>
  <c r="P240" i="26"/>
  <c r="O240" i="26"/>
  <c r="L240" i="26"/>
  <c r="P132" i="26"/>
  <c r="O132" i="26"/>
  <c r="L132" i="26"/>
  <c r="C349" i="26"/>
  <c r="B349" i="26"/>
  <c r="C240" i="26"/>
  <c r="B240" i="26"/>
  <c r="C132" i="26"/>
  <c r="B132" i="26"/>
  <c r="P345" i="26"/>
  <c r="O345" i="26"/>
  <c r="L345" i="26"/>
  <c r="P343" i="26"/>
  <c r="O343" i="26"/>
  <c r="L343" i="26"/>
  <c r="P342" i="26"/>
  <c r="O342" i="26"/>
  <c r="L342" i="26"/>
  <c r="P236" i="26"/>
  <c r="O236" i="26"/>
  <c r="L236" i="26"/>
  <c r="P234" i="26"/>
  <c r="O234" i="26"/>
  <c r="L234" i="26"/>
  <c r="P233" i="26"/>
  <c r="O233" i="26"/>
  <c r="L233" i="26"/>
  <c r="P128" i="26"/>
  <c r="O128" i="26"/>
  <c r="L128" i="26"/>
  <c r="P126" i="26"/>
  <c r="O126" i="26"/>
  <c r="L126" i="26"/>
  <c r="P125" i="26"/>
  <c r="O125" i="26"/>
  <c r="L125" i="26"/>
  <c r="C345" i="26"/>
  <c r="B345" i="26"/>
  <c r="C343" i="26"/>
  <c r="B343" i="26"/>
  <c r="C342" i="26"/>
  <c r="B342" i="26"/>
  <c r="C236" i="26"/>
  <c r="B236" i="26"/>
  <c r="C234" i="26"/>
  <c r="B234" i="26"/>
  <c r="C233" i="26"/>
  <c r="B233" i="26"/>
  <c r="C128" i="26"/>
  <c r="B128" i="26"/>
  <c r="C126" i="26"/>
  <c r="B126" i="26"/>
  <c r="C125" i="26"/>
  <c r="B125" i="26"/>
  <c r="P340" i="26"/>
  <c r="O340" i="26"/>
  <c r="L340" i="26"/>
  <c r="P231" i="26"/>
  <c r="O231" i="26"/>
  <c r="L231" i="26"/>
  <c r="P123" i="26"/>
  <c r="O123" i="26"/>
  <c r="L123" i="26"/>
  <c r="C340" i="26"/>
  <c r="B340" i="26"/>
  <c r="C231" i="26"/>
  <c r="B231" i="26"/>
  <c r="C123" i="26"/>
  <c r="B123" i="26"/>
  <c r="P338" i="26"/>
  <c r="O338" i="26"/>
  <c r="L338" i="26"/>
  <c r="P229" i="26"/>
  <c r="O229" i="26"/>
  <c r="L229" i="26"/>
  <c r="P121" i="26"/>
  <c r="O121" i="26"/>
  <c r="L121" i="26"/>
  <c r="C338" i="26"/>
  <c r="B338" i="26"/>
  <c r="C229" i="26"/>
  <c r="B229" i="26"/>
  <c r="C121" i="26"/>
  <c r="B121" i="26"/>
  <c r="P335" i="26"/>
  <c r="O335" i="26"/>
  <c r="L335" i="26"/>
  <c r="P334" i="26"/>
  <c r="O334" i="26"/>
  <c r="L334" i="26"/>
  <c r="P226" i="26"/>
  <c r="O226" i="26"/>
  <c r="L226" i="26"/>
  <c r="P225" i="26"/>
  <c r="O225" i="26"/>
  <c r="L225" i="26"/>
  <c r="P118" i="26"/>
  <c r="O118" i="26"/>
  <c r="L118" i="26"/>
  <c r="P117" i="26"/>
  <c r="O117" i="26"/>
  <c r="L117" i="26"/>
  <c r="C335" i="26"/>
  <c r="B335" i="26"/>
  <c r="C334" i="26"/>
  <c r="B334" i="26"/>
  <c r="C226" i="26"/>
  <c r="B226" i="26"/>
  <c r="C225" i="26"/>
  <c r="B225" i="26"/>
  <c r="C118" i="26"/>
  <c r="B118" i="26"/>
  <c r="C117" i="26"/>
  <c r="B117" i="26"/>
  <c r="P26" i="26"/>
  <c r="O26" i="26"/>
  <c r="L26" i="26"/>
  <c r="C26" i="26"/>
  <c r="B26" i="26"/>
  <c r="P22" i="26"/>
  <c r="O22" i="26"/>
  <c r="L22" i="26"/>
  <c r="C22" i="26"/>
  <c r="B22" i="26"/>
  <c r="P20" i="26"/>
  <c r="O20" i="26"/>
  <c r="L20" i="26"/>
  <c r="C20" i="26"/>
  <c r="B20" i="26"/>
  <c r="P19" i="26"/>
  <c r="O19" i="26"/>
  <c r="L19" i="26"/>
  <c r="C19" i="26"/>
  <c r="B19" i="26"/>
  <c r="P17" i="26"/>
  <c r="O17" i="26"/>
  <c r="L17" i="26"/>
  <c r="C17" i="26"/>
  <c r="B17" i="26"/>
  <c r="P15" i="26"/>
  <c r="O15" i="26"/>
  <c r="L15" i="26"/>
  <c r="C15" i="26"/>
  <c r="B15" i="26"/>
  <c r="P12" i="26"/>
  <c r="O12" i="26"/>
  <c r="L12" i="26"/>
  <c r="C12" i="26"/>
  <c r="B12" i="26"/>
  <c r="P11" i="26"/>
  <c r="O11" i="26"/>
  <c r="L11" i="26"/>
  <c r="C11" i="26"/>
  <c r="B11" i="26"/>
  <c r="A406" i="26"/>
  <c r="A370" i="26"/>
  <c r="A368" i="26"/>
  <c r="A405" i="26" s="1"/>
  <c r="A367" i="26"/>
  <c r="A366" i="26"/>
  <c r="A365" i="26"/>
  <c r="A363" i="26"/>
  <c r="A380" i="26" s="1"/>
  <c r="A362" i="26"/>
  <c r="A361" i="26"/>
  <c r="A379" i="26" s="1"/>
  <c r="A360" i="26"/>
  <c r="A378" i="26" s="1"/>
  <c r="A359" i="26"/>
  <c r="A377" i="26" s="1"/>
  <c r="A358" i="26"/>
  <c r="A357" i="26"/>
  <c r="A376" i="26" s="1"/>
  <c r="A356" i="26"/>
  <c r="A375" i="26" s="1"/>
  <c r="A399" i="26" s="1"/>
  <c r="A355" i="26"/>
  <c r="A374" i="26" s="1"/>
  <c r="A354" i="26"/>
  <c r="A373" i="26" s="1"/>
  <c r="A397" i="26" s="1"/>
  <c r="P350" i="26"/>
  <c r="O350" i="26"/>
  <c r="L350" i="26"/>
  <c r="C350" i="26"/>
  <c r="B350" i="26"/>
  <c r="P348" i="26"/>
  <c r="O348" i="26"/>
  <c r="L348" i="26"/>
  <c r="C348" i="26"/>
  <c r="B348" i="26"/>
  <c r="P347" i="26"/>
  <c r="O347" i="26"/>
  <c r="L347" i="26"/>
  <c r="C347" i="26"/>
  <c r="B347" i="26"/>
  <c r="P346" i="26"/>
  <c r="O346" i="26"/>
  <c r="L346" i="26"/>
  <c r="C346" i="26"/>
  <c r="B346" i="26"/>
  <c r="P341" i="26"/>
  <c r="O341" i="26"/>
  <c r="L341" i="26"/>
  <c r="C341" i="26"/>
  <c r="B341" i="26"/>
  <c r="P339" i="26"/>
  <c r="O339" i="26"/>
  <c r="L339" i="26"/>
  <c r="C339" i="26"/>
  <c r="B339" i="26"/>
  <c r="P337" i="26"/>
  <c r="O337" i="26"/>
  <c r="L337" i="26"/>
  <c r="C337" i="26"/>
  <c r="B337" i="26"/>
  <c r="P336" i="26"/>
  <c r="O336" i="26"/>
  <c r="L336" i="26"/>
  <c r="C336" i="26"/>
  <c r="B336" i="26"/>
  <c r="A297" i="26"/>
  <c r="A261" i="26"/>
  <c r="A259" i="26"/>
  <c r="A296" i="26" s="1"/>
  <c r="A258" i="26"/>
  <c r="A257" i="26"/>
  <c r="A256" i="26"/>
  <c r="A254" i="26"/>
  <c r="A271" i="26" s="1"/>
  <c r="A295" i="26" s="1"/>
  <c r="A253" i="26"/>
  <c r="A252" i="26"/>
  <c r="A270" i="26" s="1"/>
  <c r="A251" i="26"/>
  <c r="A269" i="26" s="1"/>
  <c r="A250" i="26"/>
  <c r="A268" i="26" s="1"/>
  <c r="A292" i="26" s="1"/>
  <c r="A249" i="26"/>
  <c r="A248" i="26"/>
  <c r="A267" i="26" s="1"/>
  <c r="A247" i="26"/>
  <c r="A266" i="26" s="1"/>
  <c r="A246" i="26"/>
  <c r="A265" i="26" s="1"/>
  <c r="A245" i="26"/>
  <c r="A264" i="26" s="1"/>
  <c r="P241" i="26"/>
  <c r="O241" i="26"/>
  <c r="L241" i="26"/>
  <c r="C241" i="26"/>
  <c r="B241" i="26"/>
  <c r="P239" i="26"/>
  <c r="O239" i="26"/>
  <c r="L239" i="26"/>
  <c r="C239" i="26"/>
  <c r="B239" i="26"/>
  <c r="P238" i="26"/>
  <c r="O238" i="26"/>
  <c r="L238" i="26"/>
  <c r="C238" i="26"/>
  <c r="B238" i="26"/>
  <c r="P237" i="26"/>
  <c r="O237" i="26"/>
  <c r="L237" i="26"/>
  <c r="C237" i="26"/>
  <c r="B237" i="26"/>
  <c r="P232" i="26"/>
  <c r="O232" i="26"/>
  <c r="L232" i="26"/>
  <c r="C232" i="26"/>
  <c r="B232" i="26"/>
  <c r="P230" i="26"/>
  <c r="O230" i="26"/>
  <c r="L230" i="26"/>
  <c r="C230" i="26"/>
  <c r="B230" i="26"/>
  <c r="P228" i="26"/>
  <c r="O228" i="26"/>
  <c r="L228" i="26"/>
  <c r="C228" i="26"/>
  <c r="B228" i="26"/>
  <c r="P227" i="26"/>
  <c r="O227" i="26"/>
  <c r="L227" i="26"/>
  <c r="C227" i="26"/>
  <c r="B227" i="26"/>
  <c r="A189" i="26"/>
  <c r="A153" i="26"/>
  <c r="A151" i="26"/>
  <c r="A188" i="26" s="1"/>
  <c r="A150" i="26"/>
  <c r="A149" i="26"/>
  <c r="A148" i="26"/>
  <c r="A146" i="26"/>
  <c r="A163" i="26" s="1"/>
  <c r="A145" i="26"/>
  <c r="A144" i="26"/>
  <c r="A162" i="26" s="1"/>
  <c r="A174" i="26" s="1"/>
  <c r="A143" i="26"/>
  <c r="A161" i="26" s="1"/>
  <c r="A142" i="26"/>
  <c r="A160" i="26" s="1"/>
  <c r="A141" i="26"/>
  <c r="A140" i="26"/>
  <c r="A159" i="26" s="1"/>
  <c r="A139" i="26"/>
  <c r="A158" i="26" s="1"/>
  <c r="A138" i="26"/>
  <c r="A157" i="26" s="1"/>
  <c r="A181" i="26" s="1"/>
  <c r="A137" i="26"/>
  <c r="A156" i="26" s="1"/>
  <c r="P133" i="26"/>
  <c r="O133" i="26"/>
  <c r="L133" i="26"/>
  <c r="C133" i="26"/>
  <c r="B133" i="26"/>
  <c r="P131" i="26"/>
  <c r="O131" i="26"/>
  <c r="L131" i="26"/>
  <c r="C131" i="26"/>
  <c r="B131" i="26"/>
  <c r="P130" i="26"/>
  <c r="O130" i="26"/>
  <c r="L130" i="26"/>
  <c r="C130" i="26"/>
  <c r="B130" i="26"/>
  <c r="P129" i="26"/>
  <c r="O129" i="26"/>
  <c r="L129" i="26"/>
  <c r="C129" i="26"/>
  <c r="B129" i="26"/>
  <c r="P124" i="26"/>
  <c r="O124" i="26"/>
  <c r="L124" i="26"/>
  <c r="C124" i="26"/>
  <c r="B124" i="26"/>
  <c r="P122" i="26"/>
  <c r="O122" i="26"/>
  <c r="L122" i="26"/>
  <c r="C122" i="26"/>
  <c r="B122" i="26"/>
  <c r="P120" i="26"/>
  <c r="O120" i="26"/>
  <c r="L120" i="26"/>
  <c r="C120" i="26"/>
  <c r="B120" i="26"/>
  <c r="P119" i="26"/>
  <c r="O119" i="26"/>
  <c r="L119" i="26"/>
  <c r="C119" i="26"/>
  <c r="B119" i="26"/>
  <c r="A83" i="26"/>
  <c r="A47" i="26"/>
  <c r="A45" i="26"/>
  <c r="A82" i="26" s="1"/>
  <c r="A44" i="26"/>
  <c r="A43" i="26"/>
  <c r="A42" i="26"/>
  <c r="A40" i="26"/>
  <c r="A57" i="26" s="1"/>
  <c r="A39" i="26"/>
  <c r="A38" i="26"/>
  <c r="A56" i="26" s="1"/>
  <c r="A80" i="26" s="1"/>
  <c r="A37" i="26"/>
  <c r="A55" i="26" s="1"/>
  <c r="A36" i="26"/>
  <c r="A54" i="26" s="1"/>
  <c r="A78" i="26" s="1"/>
  <c r="A35" i="26"/>
  <c r="A34" i="26"/>
  <c r="A53" i="26" s="1"/>
  <c r="A33" i="26"/>
  <c r="A52" i="26" s="1"/>
  <c r="A76" i="26" s="1"/>
  <c r="A32" i="26"/>
  <c r="A51" i="26" s="1"/>
  <c r="A63" i="26" s="1"/>
  <c r="A31" i="26"/>
  <c r="A50" i="26" s="1"/>
  <c r="P27" i="26"/>
  <c r="O27" i="26"/>
  <c r="L27" i="26"/>
  <c r="C27" i="26"/>
  <c r="B27" i="26"/>
  <c r="P25" i="26"/>
  <c r="O25" i="26"/>
  <c r="L25" i="26"/>
  <c r="C25" i="26"/>
  <c r="B25" i="26"/>
  <c r="P24" i="26"/>
  <c r="O24" i="26"/>
  <c r="L24" i="26"/>
  <c r="C24" i="26"/>
  <c r="B24" i="26"/>
  <c r="P23" i="26"/>
  <c r="O23" i="26"/>
  <c r="L23" i="26"/>
  <c r="C23" i="26"/>
  <c r="B23" i="26"/>
  <c r="P18" i="26"/>
  <c r="O18" i="26"/>
  <c r="L18" i="26"/>
  <c r="C18" i="26"/>
  <c r="B18" i="26"/>
  <c r="P16" i="26"/>
  <c r="O16" i="26"/>
  <c r="L16" i="26"/>
  <c r="C16" i="26"/>
  <c r="B16" i="26"/>
  <c r="P14" i="26"/>
  <c r="O14" i="26"/>
  <c r="L14" i="26"/>
  <c r="C14" i="26"/>
  <c r="B14" i="26"/>
  <c r="P13" i="26"/>
  <c r="O13" i="26"/>
  <c r="L13" i="26"/>
  <c r="C13" i="26"/>
  <c r="B13" i="26"/>
  <c r="P349" i="25"/>
  <c r="O349" i="25"/>
  <c r="L349" i="25"/>
  <c r="P240" i="25"/>
  <c r="O240" i="25"/>
  <c r="L240" i="25"/>
  <c r="P132" i="25"/>
  <c r="O132" i="25"/>
  <c r="L132" i="25"/>
  <c r="C349" i="25"/>
  <c r="B349" i="25"/>
  <c r="C240" i="25"/>
  <c r="B240" i="25"/>
  <c r="C132" i="25"/>
  <c r="B132" i="25"/>
  <c r="P345" i="25"/>
  <c r="O345" i="25"/>
  <c r="L345" i="25"/>
  <c r="P343" i="25"/>
  <c r="O343" i="25"/>
  <c r="L343" i="25"/>
  <c r="P342" i="25"/>
  <c r="O342" i="25"/>
  <c r="L342" i="25"/>
  <c r="P236" i="25"/>
  <c r="O236" i="25"/>
  <c r="L236" i="25"/>
  <c r="P234" i="25"/>
  <c r="O234" i="25"/>
  <c r="L234" i="25"/>
  <c r="P233" i="25"/>
  <c r="O233" i="25"/>
  <c r="L233" i="25"/>
  <c r="P128" i="25"/>
  <c r="O128" i="25"/>
  <c r="L128" i="25"/>
  <c r="P126" i="25"/>
  <c r="O126" i="25"/>
  <c r="L126" i="25"/>
  <c r="P125" i="25"/>
  <c r="O125" i="25"/>
  <c r="L125" i="25"/>
  <c r="C345" i="25"/>
  <c r="B345" i="25"/>
  <c r="C343" i="25"/>
  <c r="B343" i="25"/>
  <c r="C236" i="25"/>
  <c r="B236" i="25"/>
  <c r="C234" i="25"/>
  <c r="B234" i="25"/>
  <c r="C128" i="25"/>
  <c r="B128" i="25"/>
  <c r="C126" i="25"/>
  <c r="B126" i="25"/>
  <c r="C342" i="25"/>
  <c r="B342" i="25"/>
  <c r="C233" i="25"/>
  <c r="B233" i="25"/>
  <c r="C125" i="25"/>
  <c r="B125" i="25"/>
  <c r="P340" i="25"/>
  <c r="O340" i="25"/>
  <c r="L340" i="25"/>
  <c r="P231" i="25"/>
  <c r="O231" i="25"/>
  <c r="L231" i="25"/>
  <c r="P123" i="25"/>
  <c r="O123" i="25"/>
  <c r="L123" i="25"/>
  <c r="C340" i="25"/>
  <c r="B340" i="25"/>
  <c r="C231" i="25"/>
  <c r="B231" i="25"/>
  <c r="C123" i="25"/>
  <c r="B123" i="25"/>
  <c r="P338" i="25"/>
  <c r="O338" i="25"/>
  <c r="L338" i="25"/>
  <c r="P229" i="25"/>
  <c r="O229" i="25"/>
  <c r="L229" i="25"/>
  <c r="P121" i="25"/>
  <c r="O121" i="25"/>
  <c r="L121" i="25"/>
  <c r="C338" i="25"/>
  <c r="B338" i="25"/>
  <c r="C229" i="25"/>
  <c r="B229" i="25"/>
  <c r="C121" i="25"/>
  <c r="B121" i="25"/>
  <c r="P335" i="25"/>
  <c r="O335" i="25"/>
  <c r="L335" i="25"/>
  <c r="P334" i="25"/>
  <c r="O334" i="25"/>
  <c r="L334" i="25"/>
  <c r="P226" i="25"/>
  <c r="O226" i="25"/>
  <c r="L226" i="25"/>
  <c r="P225" i="25"/>
  <c r="O225" i="25"/>
  <c r="L225" i="25"/>
  <c r="P118" i="25"/>
  <c r="O118" i="25"/>
  <c r="L118" i="25"/>
  <c r="P117" i="25"/>
  <c r="O117" i="25"/>
  <c r="L117" i="25"/>
  <c r="C335" i="25"/>
  <c r="B335" i="25"/>
  <c r="C334" i="25"/>
  <c r="B334" i="25"/>
  <c r="C226" i="25"/>
  <c r="B226" i="25"/>
  <c r="C225" i="25"/>
  <c r="B225" i="25"/>
  <c r="C118" i="25"/>
  <c r="B118" i="25"/>
  <c r="C117" i="25"/>
  <c r="B117" i="25"/>
  <c r="P26" i="25"/>
  <c r="O26" i="25"/>
  <c r="L26" i="25"/>
  <c r="C26" i="25"/>
  <c r="B26" i="25"/>
  <c r="P22" i="25"/>
  <c r="O22" i="25"/>
  <c r="L22" i="25"/>
  <c r="C22" i="25"/>
  <c r="B22" i="25"/>
  <c r="P20" i="25"/>
  <c r="O20" i="25"/>
  <c r="L20" i="25"/>
  <c r="C20" i="25"/>
  <c r="B20" i="25"/>
  <c r="P19" i="25"/>
  <c r="O19" i="25"/>
  <c r="L19" i="25"/>
  <c r="C19" i="25"/>
  <c r="B19" i="25"/>
  <c r="P17" i="25"/>
  <c r="O17" i="25"/>
  <c r="L17" i="25"/>
  <c r="C17" i="25"/>
  <c r="B17" i="25"/>
  <c r="P15" i="25"/>
  <c r="O15" i="25"/>
  <c r="L15" i="25"/>
  <c r="C15" i="25"/>
  <c r="B15" i="25"/>
  <c r="P12" i="25"/>
  <c r="O12" i="25"/>
  <c r="L12" i="25"/>
  <c r="C12" i="25"/>
  <c r="B12" i="25"/>
  <c r="P11" i="25"/>
  <c r="O11" i="25"/>
  <c r="L11" i="25"/>
  <c r="C11" i="25"/>
  <c r="B11" i="25"/>
  <c r="A406" i="25"/>
  <c r="A370" i="25"/>
  <c r="A368" i="25"/>
  <c r="A405" i="25" s="1"/>
  <c r="A367" i="25"/>
  <c r="A366" i="25"/>
  <c r="A365" i="25"/>
  <c r="A363" i="25"/>
  <c r="A380" i="25" s="1"/>
  <c r="A362" i="25"/>
  <c r="A361" i="25"/>
  <c r="A379" i="25" s="1"/>
  <c r="A360" i="25"/>
  <c r="A378" i="25" s="1"/>
  <c r="A359" i="25"/>
  <c r="A377" i="25" s="1"/>
  <c r="A358" i="25"/>
  <c r="A357" i="25"/>
  <c r="A376" i="25" s="1"/>
  <c r="A356" i="25"/>
  <c r="A375" i="25" s="1"/>
  <c r="A355" i="25"/>
  <c r="A374" i="25" s="1"/>
  <c r="A354" i="25"/>
  <c r="A373" i="25" s="1"/>
  <c r="P350" i="25"/>
  <c r="O350" i="25"/>
  <c r="L350" i="25"/>
  <c r="C350" i="25"/>
  <c r="B350" i="25"/>
  <c r="P348" i="25"/>
  <c r="O348" i="25"/>
  <c r="L348" i="25"/>
  <c r="C348" i="25"/>
  <c r="B348" i="25"/>
  <c r="P347" i="25"/>
  <c r="O347" i="25"/>
  <c r="L347" i="25"/>
  <c r="C347" i="25"/>
  <c r="B347" i="25"/>
  <c r="P346" i="25"/>
  <c r="O346" i="25"/>
  <c r="L346" i="25"/>
  <c r="C346" i="25"/>
  <c r="B346" i="25"/>
  <c r="P341" i="25"/>
  <c r="O341" i="25"/>
  <c r="L341" i="25"/>
  <c r="C341" i="25"/>
  <c r="B341" i="25"/>
  <c r="P339" i="25"/>
  <c r="O339" i="25"/>
  <c r="L339" i="25"/>
  <c r="C339" i="25"/>
  <c r="B339" i="25"/>
  <c r="P337" i="25"/>
  <c r="O337" i="25"/>
  <c r="L337" i="25"/>
  <c r="C337" i="25"/>
  <c r="B337" i="25"/>
  <c r="P336" i="25"/>
  <c r="O336" i="25"/>
  <c r="L336" i="25"/>
  <c r="C336" i="25"/>
  <c r="B336" i="25"/>
  <c r="A297" i="25"/>
  <c r="A261" i="25"/>
  <c r="A259" i="25"/>
  <c r="A296" i="25" s="1"/>
  <c r="A258" i="25"/>
  <c r="A257" i="25"/>
  <c r="A256" i="25"/>
  <c r="A254" i="25"/>
  <c r="A271" i="25" s="1"/>
  <c r="A295" i="25" s="1"/>
  <c r="A253" i="25"/>
  <c r="A252" i="25"/>
  <c r="A270" i="25" s="1"/>
  <c r="A251" i="25"/>
  <c r="A269" i="25" s="1"/>
  <c r="A293" i="25" s="1"/>
  <c r="A250" i="25"/>
  <c r="A268" i="25" s="1"/>
  <c r="A249" i="25"/>
  <c r="A248" i="25"/>
  <c r="A267" i="25" s="1"/>
  <c r="A279" i="25" s="1"/>
  <c r="A247" i="25"/>
  <c r="A266" i="25" s="1"/>
  <c r="A246" i="25"/>
  <c r="A265" i="25" s="1"/>
  <c r="A245" i="25"/>
  <c r="A264" i="25" s="1"/>
  <c r="P241" i="25"/>
  <c r="O241" i="25"/>
  <c r="L241" i="25"/>
  <c r="C241" i="25"/>
  <c r="B241" i="25"/>
  <c r="P239" i="25"/>
  <c r="O239" i="25"/>
  <c r="L239" i="25"/>
  <c r="C239" i="25"/>
  <c r="B239" i="25"/>
  <c r="P238" i="25"/>
  <c r="O238" i="25"/>
  <c r="L238" i="25"/>
  <c r="C238" i="25"/>
  <c r="B238" i="25"/>
  <c r="P237" i="25"/>
  <c r="O237" i="25"/>
  <c r="L237" i="25"/>
  <c r="C237" i="25"/>
  <c r="B237" i="25"/>
  <c r="P232" i="25"/>
  <c r="O232" i="25"/>
  <c r="L232" i="25"/>
  <c r="C232" i="25"/>
  <c r="B232" i="25"/>
  <c r="P230" i="25"/>
  <c r="O230" i="25"/>
  <c r="L230" i="25"/>
  <c r="C230" i="25"/>
  <c r="B230" i="25"/>
  <c r="P228" i="25"/>
  <c r="O228" i="25"/>
  <c r="L228" i="25"/>
  <c r="C228" i="25"/>
  <c r="B228" i="25"/>
  <c r="P227" i="25"/>
  <c r="O227" i="25"/>
  <c r="L227" i="25"/>
  <c r="C227" i="25"/>
  <c r="B227" i="25"/>
  <c r="A189" i="25"/>
  <c r="A153" i="25"/>
  <c r="A151" i="25"/>
  <c r="A188" i="25" s="1"/>
  <c r="A150" i="25"/>
  <c r="A149" i="25"/>
  <c r="A148" i="25"/>
  <c r="A146" i="25"/>
  <c r="A163" i="25" s="1"/>
  <c r="A187" i="25" s="1"/>
  <c r="A145" i="25"/>
  <c r="A144" i="25"/>
  <c r="A162" i="25" s="1"/>
  <c r="A186" i="25" s="1"/>
  <c r="A143" i="25"/>
  <c r="A161" i="25" s="1"/>
  <c r="A142" i="25"/>
  <c r="A160" i="25" s="1"/>
  <c r="A141" i="25"/>
  <c r="A140" i="25"/>
  <c r="A159" i="25" s="1"/>
  <c r="A139" i="25"/>
  <c r="A158" i="25" s="1"/>
  <c r="A138" i="25"/>
  <c r="A157" i="25" s="1"/>
  <c r="A181" i="25" s="1"/>
  <c r="A137" i="25"/>
  <c r="A156" i="25" s="1"/>
  <c r="P133" i="25"/>
  <c r="O133" i="25"/>
  <c r="L133" i="25"/>
  <c r="C133" i="25"/>
  <c r="B133" i="25"/>
  <c r="P131" i="25"/>
  <c r="O131" i="25"/>
  <c r="L131" i="25"/>
  <c r="C131" i="25"/>
  <c r="B131" i="25"/>
  <c r="P130" i="25"/>
  <c r="O130" i="25"/>
  <c r="L130" i="25"/>
  <c r="C130" i="25"/>
  <c r="B130" i="25"/>
  <c r="P129" i="25"/>
  <c r="O129" i="25"/>
  <c r="L129" i="25"/>
  <c r="C129" i="25"/>
  <c r="B129" i="25"/>
  <c r="P124" i="25"/>
  <c r="O124" i="25"/>
  <c r="L124" i="25"/>
  <c r="C124" i="25"/>
  <c r="B124" i="25"/>
  <c r="P122" i="25"/>
  <c r="O122" i="25"/>
  <c r="L122" i="25"/>
  <c r="C122" i="25"/>
  <c r="B122" i="25"/>
  <c r="P120" i="25"/>
  <c r="O120" i="25"/>
  <c r="L120" i="25"/>
  <c r="C120" i="25"/>
  <c r="B120" i="25"/>
  <c r="P119" i="25"/>
  <c r="O119" i="25"/>
  <c r="L119" i="25"/>
  <c r="C119" i="25"/>
  <c r="B119" i="25"/>
  <c r="A83" i="25"/>
  <c r="A47" i="25"/>
  <c r="A45" i="25"/>
  <c r="A82" i="25" s="1"/>
  <c r="A44" i="25"/>
  <c r="A43" i="25"/>
  <c r="A42" i="25"/>
  <c r="A40" i="25"/>
  <c r="A57" i="25" s="1"/>
  <c r="A39" i="25"/>
  <c r="A38" i="25"/>
  <c r="A56" i="25" s="1"/>
  <c r="A37" i="25"/>
  <c r="A55" i="25" s="1"/>
  <c r="A79" i="25" s="1"/>
  <c r="A36" i="25"/>
  <c r="A54" i="25" s="1"/>
  <c r="A35" i="25"/>
  <c r="A34" i="25"/>
  <c r="A53" i="25" s="1"/>
  <c r="A33" i="25"/>
  <c r="A52" i="25" s="1"/>
  <c r="A76" i="25" s="1"/>
  <c r="A32" i="25"/>
  <c r="A51" i="25" s="1"/>
  <c r="A31" i="25"/>
  <c r="A50" i="25" s="1"/>
  <c r="A74" i="25" s="1"/>
  <c r="P27" i="25"/>
  <c r="O27" i="25"/>
  <c r="L27" i="25"/>
  <c r="C27" i="25"/>
  <c r="B27" i="25"/>
  <c r="P25" i="25"/>
  <c r="O25" i="25"/>
  <c r="L25" i="25"/>
  <c r="C25" i="25"/>
  <c r="B25" i="25"/>
  <c r="P24" i="25"/>
  <c r="O24" i="25"/>
  <c r="L24" i="25"/>
  <c r="C24" i="25"/>
  <c r="B24" i="25"/>
  <c r="P23" i="25"/>
  <c r="O23" i="25"/>
  <c r="L23" i="25"/>
  <c r="C23" i="25"/>
  <c r="B23" i="25"/>
  <c r="P18" i="25"/>
  <c r="O18" i="25"/>
  <c r="L18" i="25"/>
  <c r="C18" i="25"/>
  <c r="B18" i="25"/>
  <c r="P16" i="25"/>
  <c r="O16" i="25"/>
  <c r="L16" i="25"/>
  <c r="C16" i="25"/>
  <c r="B16" i="25"/>
  <c r="P14" i="25"/>
  <c r="O14" i="25"/>
  <c r="L14" i="25"/>
  <c r="C14" i="25"/>
  <c r="B14" i="25"/>
  <c r="P13" i="25"/>
  <c r="O13" i="25"/>
  <c r="L13" i="25"/>
  <c r="C13" i="25"/>
  <c r="B13" i="25"/>
  <c r="P349" i="24"/>
  <c r="O349" i="24"/>
  <c r="L349" i="24"/>
  <c r="P240" i="24"/>
  <c r="O240" i="24"/>
  <c r="L240" i="24"/>
  <c r="P132" i="24"/>
  <c r="O132" i="24"/>
  <c r="L132" i="24"/>
  <c r="C349" i="24"/>
  <c r="B349" i="24"/>
  <c r="C240" i="24"/>
  <c r="B240" i="24"/>
  <c r="C132" i="24"/>
  <c r="B132" i="24"/>
  <c r="P345" i="24"/>
  <c r="O345" i="24"/>
  <c r="L345" i="24"/>
  <c r="P343" i="24"/>
  <c r="O343" i="24"/>
  <c r="L343" i="24"/>
  <c r="P342" i="24"/>
  <c r="O342" i="24"/>
  <c r="L342" i="24"/>
  <c r="P236" i="24"/>
  <c r="O236" i="24"/>
  <c r="L236" i="24"/>
  <c r="P234" i="24"/>
  <c r="O234" i="24"/>
  <c r="L234" i="24"/>
  <c r="P233" i="24"/>
  <c r="O233" i="24"/>
  <c r="L233" i="24"/>
  <c r="P128" i="24"/>
  <c r="O128" i="24"/>
  <c r="L128" i="24"/>
  <c r="P126" i="24"/>
  <c r="O126" i="24"/>
  <c r="L126" i="24"/>
  <c r="P125" i="24"/>
  <c r="O125" i="24"/>
  <c r="L125" i="24"/>
  <c r="C345" i="24"/>
  <c r="B345" i="24"/>
  <c r="C343" i="24"/>
  <c r="B343" i="24"/>
  <c r="C342" i="24"/>
  <c r="B342" i="24"/>
  <c r="C236" i="24"/>
  <c r="B236" i="24"/>
  <c r="C234" i="24"/>
  <c r="B234" i="24"/>
  <c r="C233" i="24"/>
  <c r="B233" i="24"/>
  <c r="C128" i="24"/>
  <c r="B128" i="24"/>
  <c r="C126" i="24"/>
  <c r="B126" i="24"/>
  <c r="C125" i="24"/>
  <c r="B125" i="24"/>
  <c r="P340" i="24"/>
  <c r="O340" i="24"/>
  <c r="L340" i="24"/>
  <c r="P231" i="24"/>
  <c r="O231" i="24"/>
  <c r="L231" i="24"/>
  <c r="P123" i="24"/>
  <c r="O123" i="24"/>
  <c r="L123" i="24"/>
  <c r="C340" i="24"/>
  <c r="B340" i="24"/>
  <c r="C231" i="24"/>
  <c r="B231" i="24"/>
  <c r="C123" i="24"/>
  <c r="B123" i="24"/>
  <c r="P338" i="24"/>
  <c r="O338" i="24"/>
  <c r="L338" i="24"/>
  <c r="P229" i="24"/>
  <c r="O229" i="24"/>
  <c r="L229" i="24"/>
  <c r="P121" i="24"/>
  <c r="O121" i="24"/>
  <c r="L121" i="24"/>
  <c r="C338" i="24"/>
  <c r="B338" i="24"/>
  <c r="C229" i="24"/>
  <c r="B229" i="24"/>
  <c r="C121" i="24"/>
  <c r="B121" i="24"/>
  <c r="P335" i="24"/>
  <c r="O335" i="24"/>
  <c r="L335" i="24"/>
  <c r="P334" i="24"/>
  <c r="O334" i="24"/>
  <c r="L334" i="24"/>
  <c r="P226" i="24"/>
  <c r="O226" i="24"/>
  <c r="L226" i="24"/>
  <c r="P225" i="24"/>
  <c r="O225" i="24"/>
  <c r="L225" i="24"/>
  <c r="P118" i="24"/>
  <c r="O118" i="24"/>
  <c r="L118" i="24"/>
  <c r="P117" i="24"/>
  <c r="O117" i="24"/>
  <c r="L117" i="24"/>
  <c r="C335" i="24"/>
  <c r="B335" i="24"/>
  <c r="C334" i="24"/>
  <c r="B334" i="24"/>
  <c r="C226" i="24"/>
  <c r="B226" i="24"/>
  <c r="C225" i="24"/>
  <c r="B225" i="24"/>
  <c r="C118" i="24"/>
  <c r="B118" i="24"/>
  <c r="C117" i="24"/>
  <c r="B117" i="24"/>
  <c r="P26" i="24"/>
  <c r="O26" i="24"/>
  <c r="L26" i="24"/>
  <c r="C26" i="24"/>
  <c r="B26" i="24"/>
  <c r="P22" i="24"/>
  <c r="O22" i="24"/>
  <c r="L22" i="24"/>
  <c r="C22" i="24"/>
  <c r="B22" i="24"/>
  <c r="P20" i="24"/>
  <c r="O20" i="24"/>
  <c r="L20" i="24"/>
  <c r="C20" i="24"/>
  <c r="B20" i="24"/>
  <c r="P19" i="24"/>
  <c r="O19" i="24"/>
  <c r="L19" i="24"/>
  <c r="C19" i="24"/>
  <c r="B19" i="24"/>
  <c r="P17" i="24"/>
  <c r="O17" i="24"/>
  <c r="L17" i="24"/>
  <c r="C17" i="24"/>
  <c r="B17" i="24"/>
  <c r="P15" i="24"/>
  <c r="O15" i="24"/>
  <c r="L15" i="24"/>
  <c r="C15" i="24"/>
  <c r="B15" i="24"/>
  <c r="P12" i="24"/>
  <c r="O12" i="24"/>
  <c r="L12" i="24"/>
  <c r="C12" i="24"/>
  <c r="B12" i="24"/>
  <c r="P11" i="24"/>
  <c r="O11" i="24"/>
  <c r="L11" i="24"/>
  <c r="C11" i="24"/>
  <c r="B11" i="24"/>
  <c r="A406" i="24"/>
  <c r="A370" i="24"/>
  <c r="A368" i="24"/>
  <c r="A405" i="24" s="1"/>
  <c r="A367" i="24"/>
  <c r="A366" i="24"/>
  <c r="A365" i="24"/>
  <c r="A363" i="24"/>
  <c r="A380" i="24" s="1"/>
  <c r="A404" i="24" s="1"/>
  <c r="A362" i="24"/>
  <c r="A361" i="24"/>
  <c r="A379" i="24" s="1"/>
  <c r="A360" i="24"/>
  <c r="A378" i="24" s="1"/>
  <c r="A359" i="24"/>
  <c r="A377" i="24" s="1"/>
  <c r="A358" i="24"/>
  <c r="A357" i="24"/>
  <c r="A376" i="24" s="1"/>
  <c r="A356" i="24"/>
  <c r="A375" i="24" s="1"/>
  <c r="A355" i="24"/>
  <c r="A374" i="24" s="1"/>
  <c r="A354" i="24"/>
  <c r="A373" i="24" s="1"/>
  <c r="A385" i="24" s="1"/>
  <c r="P350" i="24"/>
  <c r="O350" i="24"/>
  <c r="L350" i="24"/>
  <c r="C350" i="24"/>
  <c r="B350" i="24"/>
  <c r="P348" i="24"/>
  <c r="O348" i="24"/>
  <c r="L348" i="24"/>
  <c r="C348" i="24"/>
  <c r="B348" i="24"/>
  <c r="P347" i="24"/>
  <c r="O347" i="24"/>
  <c r="L347" i="24"/>
  <c r="C347" i="24"/>
  <c r="B347" i="24"/>
  <c r="P346" i="24"/>
  <c r="O346" i="24"/>
  <c r="L346" i="24"/>
  <c r="C346" i="24"/>
  <c r="B346" i="24"/>
  <c r="P341" i="24"/>
  <c r="O341" i="24"/>
  <c r="L341" i="24"/>
  <c r="C341" i="24"/>
  <c r="B341" i="24"/>
  <c r="P339" i="24"/>
  <c r="O339" i="24"/>
  <c r="L339" i="24"/>
  <c r="C339" i="24"/>
  <c r="B339" i="24"/>
  <c r="P337" i="24"/>
  <c r="O337" i="24"/>
  <c r="L337" i="24"/>
  <c r="C337" i="24"/>
  <c r="B337" i="24"/>
  <c r="P336" i="24"/>
  <c r="O336" i="24"/>
  <c r="L336" i="24"/>
  <c r="C336" i="24"/>
  <c r="B336" i="24"/>
  <c r="A297" i="24"/>
  <c r="A261" i="24"/>
  <c r="A259" i="24"/>
  <c r="A296" i="24" s="1"/>
  <c r="A258" i="24"/>
  <c r="A257" i="24"/>
  <c r="A256" i="24"/>
  <c r="A254" i="24"/>
  <c r="A271" i="24" s="1"/>
  <c r="A253" i="24"/>
  <c r="A252" i="24"/>
  <c r="A270" i="24" s="1"/>
  <c r="A251" i="24"/>
  <c r="A269" i="24" s="1"/>
  <c r="A250" i="24"/>
  <c r="A268" i="24" s="1"/>
  <c r="A249" i="24"/>
  <c r="A248" i="24"/>
  <c r="A267" i="24" s="1"/>
  <c r="A279" i="24" s="1"/>
  <c r="A247" i="24"/>
  <c r="A266" i="24" s="1"/>
  <c r="A246" i="24"/>
  <c r="A265" i="24" s="1"/>
  <c r="A245" i="24"/>
  <c r="A264" i="24" s="1"/>
  <c r="P241" i="24"/>
  <c r="O241" i="24"/>
  <c r="L241" i="24"/>
  <c r="C241" i="24"/>
  <c r="B241" i="24"/>
  <c r="P239" i="24"/>
  <c r="O239" i="24"/>
  <c r="L239" i="24"/>
  <c r="C239" i="24"/>
  <c r="B239" i="24"/>
  <c r="P238" i="24"/>
  <c r="O238" i="24"/>
  <c r="L238" i="24"/>
  <c r="C238" i="24"/>
  <c r="B238" i="24"/>
  <c r="P237" i="24"/>
  <c r="O237" i="24"/>
  <c r="L237" i="24"/>
  <c r="C237" i="24"/>
  <c r="B237" i="24"/>
  <c r="P232" i="24"/>
  <c r="O232" i="24"/>
  <c r="L232" i="24"/>
  <c r="C232" i="24"/>
  <c r="B232" i="24"/>
  <c r="P230" i="24"/>
  <c r="O230" i="24"/>
  <c r="L230" i="24"/>
  <c r="C230" i="24"/>
  <c r="B230" i="24"/>
  <c r="P228" i="24"/>
  <c r="O228" i="24"/>
  <c r="L228" i="24"/>
  <c r="C228" i="24"/>
  <c r="B228" i="24"/>
  <c r="P227" i="24"/>
  <c r="O227" i="24"/>
  <c r="L227" i="24"/>
  <c r="C227" i="24"/>
  <c r="B227" i="24"/>
  <c r="A189" i="24"/>
  <c r="A153" i="24"/>
  <c r="A151" i="24"/>
  <c r="A188" i="24" s="1"/>
  <c r="A150" i="24"/>
  <c r="A149" i="24"/>
  <c r="A148" i="24"/>
  <c r="A146" i="24"/>
  <c r="A163" i="24" s="1"/>
  <c r="A145" i="24"/>
  <c r="A144" i="24"/>
  <c r="A162" i="24" s="1"/>
  <c r="A143" i="24"/>
  <c r="A161" i="24" s="1"/>
  <c r="A142" i="24"/>
  <c r="A160" i="24" s="1"/>
  <c r="A141" i="24"/>
  <c r="A140" i="24"/>
  <c r="A159" i="24" s="1"/>
  <c r="A171" i="24" s="1"/>
  <c r="A139" i="24"/>
  <c r="A158" i="24" s="1"/>
  <c r="A138" i="24"/>
  <c r="A157" i="24" s="1"/>
  <c r="A169" i="24" s="1"/>
  <c r="A137" i="24"/>
  <c r="A156" i="24" s="1"/>
  <c r="P133" i="24"/>
  <c r="O133" i="24"/>
  <c r="L133" i="24"/>
  <c r="C133" i="24"/>
  <c r="B133" i="24"/>
  <c r="P131" i="24"/>
  <c r="O131" i="24"/>
  <c r="L131" i="24"/>
  <c r="C131" i="24"/>
  <c r="B131" i="24"/>
  <c r="P130" i="24"/>
  <c r="O130" i="24"/>
  <c r="L130" i="24"/>
  <c r="C130" i="24"/>
  <c r="B130" i="24"/>
  <c r="P129" i="24"/>
  <c r="O129" i="24"/>
  <c r="L129" i="24"/>
  <c r="C129" i="24"/>
  <c r="B129" i="24"/>
  <c r="P124" i="24"/>
  <c r="O124" i="24"/>
  <c r="L124" i="24"/>
  <c r="C124" i="24"/>
  <c r="B124" i="24"/>
  <c r="P122" i="24"/>
  <c r="O122" i="24"/>
  <c r="L122" i="24"/>
  <c r="C122" i="24"/>
  <c r="B122" i="24"/>
  <c r="P120" i="24"/>
  <c r="O120" i="24"/>
  <c r="L120" i="24"/>
  <c r="C120" i="24"/>
  <c r="B120" i="24"/>
  <c r="P119" i="24"/>
  <c r="O119" i="24"/>
  <c r="L119" i="24"/>
  <c r="C119" i="24"/>
  <c r="B119" i="24"/>
  <c r="A83" i="24"/>
  <c r="A47" i="24"/>
  <c r="A45" i="24"/>
  <c r="A82" i="24" s="1"/>
  <c r="A44" i="24"/>
  <c r="A43" i="24"/>
  <c r="A42" i="24"/>
  <c r="A40" i="24"/>
  <c r="A57" i="24" s="1"/>
  <c r="A81" i="24" s="1"/>
  <c r="A39" i="24"/>
  <c r="A38" i="24"/>
  <c r="A56" i="24" s="1"/>
  <c r="A37" i="24"/>
  <c r="A55" i="24" s="1"/>
  <c r="A67" i="24" s="1"/>
  <c r="A36" i="24"/>
  <c r="A54" i="24" s="1"/>
  <c r="A35" i="24"/>
  <c r="A34" i="24"/>
  <c r="A53" i="24" s="1"/>
  <c r="A33" i="24"/>
  <c r="A52" i="24" s="1"/>
  <c r="A32" i="24"/>
  <c r="A51" i="24" s="1"/>
  <c r="A31" i="24"/>
  <c r="A50" i="24" s="1"/>
  <c r="A74" i="24" s="1"/>
  <c r="P27" i="24"/>
  <c r="O27" i="24"/>
  <c r="L27" i="24"/>
  <c r="C27" i="24"/>
  <c r="B27" i="24"/>
  <c r="P25" i="24"/>
  <c r="O25" i="24"/>
  <c r="L25" i="24"/>
  <c r="C25" i="24"/>
  <c r="B25" i="24"/>
  <c r="P24" i="24"/>
  <c r="O24" i="24"/>
  <c r="L24" i="24"/>
  <c r="C24" i="24"/>
  <c r="B24" i="24"/>
  <c r="P23" i="24"/>
  <c r="O23" i="24"/>
  <c r="L23" i="24"/>
  <c r="C23" i="24"/>
  <c r="B23" i="24"/>
  <c r="P18" i="24"/>
  <c r="O18" i="24"/>
  <c r="L18" i="24"/>
  <c r="C18" i="24"/>
  <c r="B18" i="24"/>
  <c r="P16" i="24"/>
  <c r="O16" i="24"/>
  <c r="L16" i="24"/>
  <c r="C16" i="24"/>
  <c r="B16" i="24"/>
  <c r="P14" i="24"/>
  <c r="O14" i="24"/>
  <c r="L14" i="24"/>
  <c r="C14" i="24"/>
  <c r="B14" i="24"/>
  <c r="P13" i="24"/>
  <c r="O13" i="24"/>
  <c r="L13" i="24"/>
  <c r="C13" i="24"/>
  <c r="B13" i="24"/>
  <c r="P350" i="13"/>
  <c r="O350" i="13"/>
  <c r="L350" i="13"/>
  <c r="P348" i="13"/>
  <c r="O348" i="13"/>
  <c r="L348" i="13"/>
  <c r="P347" i="13"/>
  <c r="O347" i="13"/>
  <c r="L347" i="13"/>
  <c r="P346" i="13"/>
  <c r="O346" i="13"/>
  <c r="L346" i="13"/>
  <c r="P341" i="13"/>
  <c r="O341" i="13"/>
  <c r="L341" i="13"/>
  <c r="P339" i="13"/>
  <c r="O339" i="13"/>
  <c r="L339" i="13"/>
  <c r="P337" i="13"/>
  <c r="O337" i="13"/>
  <c r="L337" i="13"/>
  <c r="P336" i="13"/>
  <c r="O336" i="13"/>
  <c r="L336" i="13"/>
  <c r="C350" i="13"/>
  <c r="B350" i="13"/>
  <c r="C348" i="13"/>
  <c r="B348" i="13"/>
  <c r="C347" i="13"/>
  <c r="B347" i="13"/>
  <c r="C346" i="13"/>
  <c r="B346" i="13"/>
  <c r="C341" i="13"/>
  <c r="B341" i="13"/>
  <c r="C339" i="13"/>
  <c r="B339" i="13"/>
  <c r="C337" i="13"/>
  <c r="B337" i="13"/>
  <c r="C336" i="13"/>
  <c r="B336" i="13"/>
  <c r="P241" i="13"/>
  <c r="O241" i="13"/>
  <c r="L241" i="13"/>
  <c r="P239" i="13"/>
  <c r="O239" i="13"/>
  <c r="L239" i="13"/>
  <c r="P238" i="13"/>
  <c r="O238" i="13"/>
  <c r="L238" i="13"/>
  <c r="P237" i="13"/>
  <c r="O237" i="13"/>
  <c r="L237" i="13"/>
  <c r="P232" i="13"/>
  <c r="O232" i="13"/>
  <c r="L232" i="13"/>
  <c r="P230" i="13"/>
  <c r="O230" i="13"/>
  <c r="L230" i="13"/>
  <c r="P228" i="13"/>
  <c r="O228" i="13"/>
  <c r="L228" i="13"/>
  <c r="P227" i="13"/>
  <c r="O227" i="13"/>
  <c r="L227" i="13"/>
  <c r="C241" i="13"/>
  <c r="B241" i="13"/>
  <c r="C239" i="13"/>
  <c r="B239" i="13"/>
  <c r="C238" i="13"/>
  <c r="B238" i="13"/>
  <c r="C237" i="13"/>
  <c r="B237" i="13"/>
  <c r="C232" i="13"/>
  <c r="B232" i="13"/>
  <c r="C230" i="13"/>
  <c r="B230" i="13"/>
  <c r="C228" i="13"/>
  <c r="B228" i="13"/>
  <c r="C227" i="13"/>
  <c r="B227" i="13"/>
  <c r="P133" i="13"/>
  <c r="O133" i="13"/>
  <c r="L133" i="13"/>
  <c r="P131" i="13"/>
  <c r="O131" i="13"/>
  <c r="L131" i="13"/>
  <c r="P130" i="13"/>
  <c r="O130" i="13"/>
  <c r="L130" i="13"/>
  <c r="P129" i="13"/>
  <c r="O129" i="13"/>
  <c r="L129" i="13"/>
  <c r="P124" i="13"/>
  <c r="O124" i="13"/>
  <c r="L124" i="13"/>
  <c r="P122" i="13"/>
  <c r="O122" i="13"/>
  <c r="L122" i="13"/>
  <c r="P120" i="13"/>
  <c r="O120" i="13"/>
  <c r="L120" i="13"/>
  <c r="P119" i="13"/>
  <c r="O119" i="13"/>
  <c r="L119" i="13"/>
  <c r="C133" i="13"/>
  <c r="B133" i="13"/>
  <c r="C131" i="13"/>
  <c r="B131" i="13"/>
  <c r="C130" i="13"/>
  <c r="B130" i="13"/>
  <c r="C129" i="13"/>
  <c r="B129" i="13"/>
  <c r="C124" i="13"/>
  <c r="B124" i="13"/>
  <c r="C122" i="13"/>
  <c r="B122" i="13"/>
  <c r="C120" i="13"/>
  <c r="B120" i="13"/>
  <c r="C119" i="13"/>
  <c r="B119" i="13"/>
  <c r="P349" i="13"/>
  <c r="O349" i="13"/>
  <c r="L349" i="13"/>
  <c r="P345" i="13"/>
  <c r="O345" i="13"/>
  <c r="L345" i="13"/>
  <c r="P343" i="13"/>
  <c r="O343" i="13"/>
  <c r="L343" i="13"/>
  <c r="P342" i="13"/>
  <c r="O342" i="13"/>
  <c r="L342" i="13"/>
  <c r="P340" i="13"/>
  <c r="O340" i="13"/>
  <c r="L340" i="13"/>
  <c r="P338" i="13"/>
  <c r="O338" i="13"/>
  <c r="L338" i="13"/>
  <c r="P335" i="13"/>
  <c r="O335" i="13"/>
  <c r="L335" i="13"/>
  <c r="P334" i="13"/>
  <c r="O334" i="13"/>
  <c r="L334" i="13"/>
  <c r="P240" i="13"/>
  <c r="O240" i="13"/>
  <c r="L240" i="13"/>
  <c r="P236" i="13"/>
  <c r="O236" i="13"/>
  <c r="L236" i="13"/>
  <c r="P234" i="13"/>
  <c r="O234" i="13"/>
  <c r="L234" i="13"/>
  <c r="P233" i="13"/>
  <c r="O233" i="13"/>
  <c r="L233" i="13"/>
  <c r="P231" i="13"/>
  <c r="O231" i="13"/>
  <c r="L231" i="13"/>
  <c r="P229" i="13"/>
  <c r="O229" i="13"/>
  <c r="L229" i="13"/>
  <c r="P226" i="13"/>
  <c r="O226" i="13"/>
  <c r="L226" i="13"/>
  <c r="P225" i="13"/>
  <c r="O225" i="13"/>
  <c r="L225" i="13"/>
  <c r="P132" i="13"/>
  <c r="O132" i="13"/>
  <c r="L132" i="13"/>
  <c r="P126" i="13"/>
  <c r="O126" i="13"/>
  <c r="L126" i="13"/>
  <c r="P125" i="13"/>
  <c r="O125" i="13"/>
  <c r="L125" i="13"/>
  <c r="P123" i="13"/>
  <c r="O123" i="13"/>
  <c r="L123" i="13"/>
  <c r="P121" i="13"/>
  <c r="O121" i="13"/>
  <c r="L121" i="13"/>
  <c r="P118" i="13"/>
  <c r="O118" i="13"/>
  <c r="L118" i="13"/>
  <c r="P117" i="13"/>
  <c r="O117" i="13"/>
  <c r="L117" i="13"/>
  <c r="C349" i="13"/>
  <c r="B349" i="13"/>
  <c r="C345" i="13"/>
  <c r="B345" i="13"/>
  <c r="C343" i="13"/>
  <c r="B343" i="13"/>
  <c r="C342" i="13"/>
  <c r="B342" i="13"/>
  <c r="C340" i="13"/>
  <c r="B340" i="13"/>
  <c r="C338" i="13"/>
  <c r="B338" i="13"/>
  <c r="C335" i="13"/>
  <c r="B335" i="13"/>
  <c r="C334" i="13"/>
  <c r="B334" i="13"/>
  <c r="C240" i="13"/>
  <c r="B240" i="13"/>
  <c r="C236" i="13"/>
  <c r="B236" i="13"/>
  <c r="C234" i="13"/>
  <c r="B234" i="13"/>
  <c r="C233" i="13"/>
  <c r="B233" i="13"/>
  <c r="C231" i="13"/>
  <c r="B231" i="13"/>
  <c r="C229" i="13"/>
  <c r="B229" i="13"/>
  <c r="C226" i="13"/>
  <c r="B226" i="13"/>
  <c r="C225" i="13"/>
  <c r="B225" i="13"/>
  <c r="C132" i="13"/>
  <c r="B132" i="13"/>
  <c r="C126" i="13"/>
  <c r="B126" i="13"/>
  <c r="C125" i="13"/>
  <c r="B125" i="13"/>
  <c r="C123" i="13"/>
  <c r="B123" i="13"/>
  <c r="C121" i="13"/>
  <c r="B121" i="13"/>
  <c r="C118" i="13"/>
  <c r="B118" i="13"/>
  <c r="C117" i="13"/>
  <c r="B117" i="13"/>
  <c r="P22" i="13"/>
  <c r="P20" i="13"/>
  <c r="P19" i="13"/>
  <c r="P17" i="13"/>
  <c r="P15" i="13"/>
  <c r="P12" i="13"/>
  <c r="P11" i="13"/>
  <c r="O26" i="13"/>
  <c r="O22" i="13"/>
  <c r="O20" i="13"/>
  <c r="O19" i="13"/>
  <c r="O17" i="13"/>
  <c r="O15" i="13"/>
  <c r="O12" i="13"/>
  <c r="O11" i="13"/>
  <c r="L26" i="13"/>
  <c r="L22" i="13"/>
  <c r="L20" i="13"/>
  <c r="L19" i="13"/>
  <c r="L17" i="13"/>
  <c r="L15" i="13"/>
  <c r="L12" i="13"/>
  <c r="L11" i="13"/>
  <c r="P26" i="13"/>
  <c r="C26" i="13"/>
  <c r="C27" i="13"/>
  <c r="B26" i="13"/>
  <c r="C15" i="13"/>
  <c r="C191" i="32" l="1"/>
  <c r="U191" i="32"/>
  <c r="N299" i="32"/>
  <c r="R299" i="32"/>
  <c r="AA299" i="32"/>
  <c r="C299" i="32"/>
  <c r="AB191" i="32"/>
  <c r="W191" i="32"/>
  <c r="Y191" i="32"/>
  <c r="Y299" i="32"/>
  <c r="M408" i="32"/>
  <c r="O299" i="32"/>
  <c r="U299" i="32"/>
  <c r="O408" i="32"/>
  <c r="Z299" i="32"/>
  <c r="C408" i="32"/>
  <c r="N408" i="32"/>
  <c r="W299" i="32"/>
  <c r="R191" i="32"/>
  <c r="I299" i="32"/>
  <c r="Q191" i="32"/>
  <c r="J299" i="32"/>
  <c r="W408" i="32"/>
  <c r="Q408" i="32"/>
  <c r="H299" i="32"/>
  <c r="L191" i="32"/>
  <c r="E191" i="32"/>
  <c r="V191" i="32"/>
  <c r="T191" i="32"/>
  <c r="AA408" i="32"/>
  <c r="I408" i="32"/>
  <c r="T299" i="32"/>
  <c r="AC299" i="32"/>
  <c r="M299" i="32"/>
  <c r="X191" i="32"/>
  <c r="H191" i="32"/>
  <c r="P191" i="32"/>
  <c r="Y408" i="32"/>
  <c r="P299" i="32"/>
  <c r="Z85" i="32"/>
  <c r="R85" i="32"/>
  <c r="I85" i="32"/>
  <c r="C85" i="32"/>
  <c r="N85" i="32"/>
  <c r="P408" i="32"/>
  <c r="H408" i="32"/>
  <c r="E408" i="32"/>
  <c r="T408" i="32"/>
  <c r="K408" i="32"/>
  <c r="AC408" i="32"/>
  <c r="V299" i="32"/>
  <c r="F299" i="32"/>
  <c r="K299" i="32"/>
  <c r="D299" i="32"/>
  <c r="M191" i="32"/>
  <c r="F191" i="32"/>
  <c r="G191" i="32"/>
  <c r="I191" i="32"/>
  <c r="K191" i="32"/>
  <c r="N191" i="32"/>
  <c r="L299" i="32"/>
  <c r="X299" i="32"/>
  <c r="B299" i="32"/>
  <c r="J191" i="32"/>
  <c r="B408" i="32"/>
  <c r="AB408" i="32"/>
  <c r="Z191" i="32"/>
  <c r="E85" i="32"/>
  <c r="S408" i="32"/>
  <c r="G408" i="32"/>
  <c r="V408" i="32"/>
  <c r="AC191" i="32"/>
  <c r="B191" i="32"/>
  <c r="J408" i="32"/>
  <c r="D408" i="32"/>
  <c r="AA191" i="32"/>
  <c r="S191" i="32"/>
  <c r="X408" i="32"/>
  <c r="AB299" i="32"/>
  <c r="R408" i="32"/>
  <c r="Z408" i="32"/>
  <c r="G299" i="32"/>
  <c r="O191" i="32"/>
  <c r="Q299" i="32"/>
  <c r="Q85" i="32"/>
  <c r="AC85" i="32"/>
  <c r="D191" i="32"/>
  <c r="F408" i="32"/>
  <c r="U408" i="32"/>
  <c r="L408" i="32"/>
  <c r="S299" i="32"/>
  <c r="E299" i="32"/>
  <c r="AA85" i="32"/>
  <c r="U85" i="32"/>
  <c r="V85" i="32"/>
  <c r="W85" i="32"/>
  <c r="H85" i="32"/>
  <c r="O85" i="32"/>
  <c r="D85" i="32"/>
  <c r="X85" i="32"/>
  <c r="F85" i="32"/>
  <c r="B85" i="32"/>
  <c r="L85" i="32"/>
  <c r="M85" i="32"/>
  <c r="Y85" i="32"/>
  <c r="T85" i="32"/>
  <c r="P85" i="32"/>
  <c r="AB85" i="32"/>
  <c r="G85" i="32"/>
  <c r="S85" i="32"/>
  <c r="J85" i="32"/>
  <c r="K85" i="32"/>
  <c r="A280" i="26"/>
  <c r="A182" i="26"/>
  <c r="A170" i="26"/>
  <c r="A68" i="26"/>
  <c r="A399" i="25"/>
  <c r="A387" i="25"/>
  <c r="A283" i="25"/>
  <c r="A291" i="25"/>
  <c r="A174" i="25"/>
  <c r="A67" i="25"/>
  <c r="A397" i="24"/>
  <c r="A172" i="24"/>
  <c r="A184" i="24"/>
  <c r="A183" i="24"/>
  <c r="A79" i="24"/>
  <c r="AF236" i="26"/>
  <c r="Q256" i="26" s="1"/>
  <c r="Y20" i="24"/>
  <c r="J40" i="24" s="1"/>
  <c r="Z335" i="24"/>
  <c r="K355" i="24" s="1"/>
  <c r="AA123" i="24"/>
  <c r="L143" i="24" s="1"/>
  <c r="AP241" i="24"/>
  <c r="AA261" i="24" s="1"/>
  <c r="AE336" i="24"/>
  <c r="P356" i="24" s="1"/>
  <c r="AE117" i="26"/>
  <c r="P137" i="26" s="1"/>
  <c r="V121" i="26"/>
  <c r="G141" i="26" s="1"/>
  <c r="AN128" i="26"/>
  <c r="Y148" i="26" s="1"/>
  <c r="T128" i="26"/>
  <c r="E148" i="26" s="1"/>
  <c r="AF15" i="26"/>
  <c r="Q35" i="26" s="1"/>
  <c r="AN117" i="26"/>
  <c r="Y137" i="26" s="1"/>
  <c r="AQ128" i="26"/>
  <c r="AB148" i="26" s="1"/>
  <c r="AG231" i="24"/>
  <c r="R251" i="24" s="1"/>
  <c r="AA18" i="25"/>
  <c r="L38" i="25" s="1"/>
  <c r="AF20" i="25"/>
  <c r="Q40" i="25" s="1"/>
  <c r="AQ20" i="26"/>
  <c r="AB40" i="26" s="1"/>
  <c r="AQ225" i="26"/>
  <c r="AB245" i="26" s="1"/>
  <c r="S123" i="26"/>
  <c r="D143" i="26" s="1"/>
  <c r="AN234" i="26"/>
  <c r="Y254" i="26" s="1"/>
  <c r="V240" i="26"/>
  <c r="AR131" i="26"/>
  <c r="Y236" i="26"/>
  <c r="J256" i="26" s="1"/>
  <c r="AI130" i="24"/>
  <c r="T150" i="24" s="1"/>
  <c r="AQ126" i="26"/>
  <c r="AB146" i="26" s="1"/>
  <c r="V117" i="26"/>
  <c r="G137" i="26" s="1"/>
  <c r="AI128" i="26"/>
  <c r="T148" i="26" s="1"/>
  <c r="AC234" i="26"/>
  <c r="N254" i="26" s="1"/>
  <c r="AO234" i="26"/>
  <c r="Z254" i="26" s="1"/>
  <c r="V20" i="26"/>
  <c r="G40" i="26" s="1"/>
  <c r="AN13" i="26"/>
  <c r="Y33" i="26" s="1"/>
  <c r="AG26" i="26"/>
  <c r="V23" i="24"/>
  <c r="G43" i="24" s="1"/>
  <c r="T121" i="24"/>
  <c r="E141" i="24" s="1"/>
  <c r="W16" i="25"/>
  <c r="AP120" i="25"/>
  <c r="AA140" i="25" s="1"/>
  <c r="AK15" i="25"/>
  <c r="V35" i="25" s="1"/>
  <c r="AO19" i="25"/>
  <c r="Z39" i="25" s="1"/>
  <c r="W117" i="25"/>
  <c r="H137" i="25" s="1"/>
  <c r="AE121" i="25"/>
  <c r="P141" i="25" s="1"/>
  <c r="AR128" i="25"/>
  <c r="AC148" i="25" s="1"/>
  <c r="W120" i="26"/>
  <c r="H140" i="26" s="1"/>
  <c r="AI26" i="24"/>
  <c r="AQ236" i="24"/>
  <c r="AB256" i="24" s="1"/>
  <c r="AJ124" i="25"/>
  <c r="U144" i="25" s="1"/>
  <c r="Y16" i="26"/>
  <c r="J36" i="26" s="1"/>
  <c r="AN236" i="26"/>
  <c r="Y256" i="26" s="1"/>
  <c r="W238" i="26"/>
  <c r="H258" i="26" s="1"/>
  <c r="S231" i="24"/>
  <c r="D251" i="24" s="1"/>
  <c r="AQ341" i="25"/>
  <c r="AB361" i="25" s="1"/>
  <c r="AR12" i="25"/>
  <c r="AC32" i="25" s="1"/>
  <c r="AJ132" i="25"/>
  <c r="AO229" i="25"/>
  <c r="Z249" i="25" s="1"/>
  <c r="AQ18" i="24"/>
  <c r="AB38" i="24" s="1"/>
  <c r="AD339" i="25"/>
  <c r="O359" i="25" s="1"/>
  <c r="AC11" i="25"/>
  <c r="N31" i="25" s="1"/>
  <c r="AR225" i="25"/>
  <c r="AC245" i="25" s="1"/>
  <c r="AM240" i="25"/>
  <c r="AR240" i="26"/>
  <c r="AA19" i="24"/>
  <c r="L39" i="24" s="1"/>
  <c r="S18" i="26"/>
  <c r="D38" i="26" s="1"/>
  <c r="AQ129" i="26"/>
  <c r="AB149" i="26" s="1"/>
  <c r="AN125" i="24"/>
  <c r="Y145" i="24" s="1"/>
  <c r="Z119" i="24"/>
  <c r="K139" i="24" s="1"/>
  <c r="Z15" i="24"/>
  <c r="K35" i="24" s="1"/>
  <c r="AC117" i="24"/>
  <c r="N137" i="24" s="1"/>
  <c r="Q236" i="25"/>
  <c r="AD130" i="26"/>
  <c r="O150" i="26" s="1"/>
  <c r="AR118" i="26"/>
  <c r="AC138" i="26" s="1"/>
  <c r="T229" i="26"/>
  <c r="E249" i="26" s="1"/>
  <c r="X231" i="26"/>
  <c r="I251" i="26" s="1"/>
  <c r="I269" i="26" s="1"/>
  <c r="AC24" i="24"/>
  <c r="N44" i="24" s="1"/>
  <c r="T17" i="25"/>
  <c r="E37" i="25" s="1"/>
  <c r="AI22" i="25"/>
  <c r="T42" i="25" s="1"/>
  <c r="AR334" i="25"/>
  <c r="AJ126" i="25"/>
  <c r="U146" i="25" s="1"/>
  <c r="Z239" i="24"/>
  <c r="R11" i="24"/>
  <c r="C31" i="24" s="1"/>
  <c r="AK338" i="24"/>
  <c r="V358" i="24" s="1"/>
  <c r="T234" i="24"/>
  <c r="E254" i="24" s="1"/>
  <c r="AI240" i="24"/>
  <c r="Q126" i="26"/>
  <c r="B146" i="26" s="1"/>
  <c r="AN17" i="26"/>
  <c r="Y37" i="26" s="1"/>
  <c r="W335" i="26"/>
  <c r="H355" i="26" s="1"/>
  <c r="AI338" i="26"/>
  <c r="T358" i="26" s="1"/>
  <c r="AP123" i="26"/>
  <c r="AA143" i="26" s="1"/>
  <c r="X11" i="25"/>
  <c r="I31" i="25" s="1"/>
  <c r="AR226" i="25"/>
  <c r="AC246" i="25" s="1"/>
  <c r="U231" i="25"/>
  <c r="F251" i="25" s="1"/>
  <c r="AN15" i="26"/>
  <c r="Y35" i="26" s="1"/>
  <c r="AK117" i="26"/>
  <c r="V137" i="26" s="1"/>
  <c r="AD128" i="26"/>
  <c r="O148" i="26" s="1"/>
  <c r="U132" i="25"/>
  <c r="AP14" i="24"/>
  <c r="AA34" i="24" s="1"/>
  <c r="AA346" i="24"/>
  <c r="L366" i="24" s="1"/>
  <c r="X119" i="25"/>
  <c r="I139" i="25" s="1"/>
  <c r="AF229" i="25"/>
  <c r="Q249" i="25" s="1"/>
  <c r="AO237" i="25"/>
  <c r="Z257" i="25" s="1"/>
  <c r="AB337" i="25"/>
  <c r="M357" i="25" s="1"/>
  <c r="AA124" i="26"/>
  <c r="L144" i="26" s="1"/>
  <c r="V129" i="26"/>
  <c r="G149" i="26" s="1"/>
  <c r="AE227" i="26"/>
  <c r="P247" i="26" s="1"/>
  <c r="W347" i="26"/>
  <c r="H367" i="26" s="1"/>
  <c r="AP15" i="24"/>
  <c r="AA35" i="24" s="1"/>
  <c r="AN133" i="24"/>
  <c r="Y153" i="24" s="1"/>
  <c r="Z337" i="24"/>
  <c r="K357" i="24" s="1"/>
  <c r="AN27" i="25"/>
  <c r="Y47" i="25" s="1"/>
  <c r="AK19" i="25"/>
  <c r="V39" i="25" s="1"/>
  <c r="AP231" i="25"/>
  <c r="AA251" i="25" s="1"/>
  <c r="AK227" i="26"/>
  <c r="V247" i="26" s="1"/>
  <c r="AL347" i="26"/>
  <c r="W367" i="26" s="1"/>
  <c r="Y13" i="24"/>
  <c r="J33" i="24" s="1"/>
  <c r="W231" i="24"/>
  <c r="H251" i="24" s="1"/>
  <c r="AH239" i="25"/>
  <c r="AG340" i="26"/>
  <c r="R360" i="26" s="1"/>
  <c r="AF126" i="26"/>
  <c r="Q146" i="26" s="1"/>
  <c r="AD234" i="26"/>
  <c r="O254" i="26" s="1"/>
  <c r="X343" i="26"/>
  <c r="I363" i="26" s="1"/>
  <c r="AB240" i="26"/>
  <c r="T19" i="25"/>
  <c r="E39" i="25" s="1"/>
  <c r="AF14" i="26"/>
  <c r="Q34" i="26" s="1"/>
  <c r="AO16" i="26"/>
  <c r="Z36" i="26" s="1"/>
  <c r="AO25" i="26"/>
  <c r="AG237" i="26"/>
  <c r="R257" i="26" s="1"/>
  <c r="Y117" i="24"/>
  <c r="J137" i="24" s="1"/>
  <c r="S125" i="24"/>
  <c r="D145" i="24" s="1"/>
  <c r="W336" i="24"/>
  <c r="H356" i="24" s="1"/>
  <c r="AH12" i="24"/>
  <c r="S32" i="24" s="1"/>
  <c r="AR22" i="24"/>
  <c r="AC42" i="24" s="1"/>
  <c r="T118" i="24"/>
  <c r="E138" i="24" s="1"/>
  <c r="AL334" i="24"/>
  <c r="W354" i="24" s="1"/>
  <c r="AC229" i="24"/>
  <c r="N249" i="24" s="1"/>
  <c r="AM126" i="24"/>
  <c r="X146" i="24" s="1"/>
  <c r="V233" i="24"/>
  <c r="G253" i="24" s="1"/>
  <c r="AH342" i="24"/>
  <c r="S362" i="24" s="1"/>
  <c r="AP132" i="24"/>
  <c r="AG19" i="25"/>
  <c r="R39" i="25" s="1"/>
  <c r="AF132" i="25"/>
  <c r="AG17" i="26"/>
  <c r="R37" i="26" s="1"/>
  <c r="AI20" i="26"/>
  <c r="T40" i="26" s="1"/>
  <c r="U26" i="26"/>
  <c r="AG122" i="26"/>
  <c r="R142" i="26" s="1"/>
  <c r="W126" i="26"/>
  <c r="H146" i="26" s="1"/>
  <c r="R236" i="26"/>
  <c r="C256" i="26" s="1"/>
  <c r="AF237" i="26"/>
  <c r="Q257" i="26" s="1"/>
  <c r="Q335" i="26"/>
  <c r="B355" i="26" s="1"/>
  <c r="AB339" i="24"/>
  <c r="M359" i="24" s="1"/>
  <c r="Q347" i="24"/>
  <c r="B367" i="24" s="1"/>
  <c r="S120" i="26"/>
  <c r="D140" i="26" s="1"/>
  <c r="AI27" i="24"/>
  <c r="T47" i="24" s="1"/>
  <c r="V117" i="25"/>
  <c r="G137" i="25" s="1"/>
  <c r="AC226" i="25"/>
  <c r="N246" i="25" s="1"/>
  <c r="V121" i="25"/>
  <c r="G141" i="25" s="1"/>
  <c r="AB128" i="25"/>
  <c r="M148" i="25" s="1"/>
  <c r="AF341" i="26"/>
  <c r="Q361" i="26" s="1"/>
  <c r="AJ25" i="24"/>
  <c r="AI124" i="24"/>
  <c r="T144" i="24" s="1"/>
  <c r="AA350" i="24"/>
  <c r="L370" i="24" s="1"/>
  <c r="R18" i="25"/>
  <c r="C38" i="25" s="1"/>
  <c r="Z27" i="25"/>
  <c r="K47" i="25" s="1"/>
  <c r="V119" i="25"/>
  <c r="G139" i="25" s="1"/>
  <c r="AO238" i="25"/>
  <c r="Z258" i="25" s="1"/>
  <c r="AK350" i="25"/>
  <c r="AO133" i="26"/>
  <c r="Z153" i="26" s="1"/>
  <c r="AK239" i="26"/>
  <c r="AG335" i="26"/>
  <c r="R355" i="26" s="1"/>
  <c r="AE337" i="26"/>
  <c r="P357" i="26" s="1"/>
  <c r="AI347" i="26"/>
  <c r="T367" i="26" s="1"/>
  <c r="AP16" i="24"/>
  <c r="AA36" i="24" s="1"/>
  <c r="AK124" i="24"/>
  <c r="V144" i="24" s="1"/>
  <c r="AG238" i="24"/>
  <c r="R258" i="24" s="1"/>
  <c r="T241" i="24"/>
  <c r="E261" i="24" s="1"/>
  <c r="AL228" i="25"/>
  <c r="W248" i="25" s="1"/>
  <c r="U346" i="25"/>
  <c r="F366" i="25" s="1"/>
  <c r="AN350" i="25"/>
  <c r="Y370" i="25" s="1"/>
  <c r="AQ131" i="26"/>
  <c r="AL133" i="26"/>
  <c r="W153" i="26" s="1"/>
  <c r="AL346" i="26"/>
  <c r="W366" i="26" s="1"/>
  <c r="U17" i="25"/>
  <c r="F37" i="25" s="1"/>
  <c r="AR341" i="24"/>
  <c r="AC361" i="24" s="1"/>
  <c r="U126" i="25"/>
  <c r="F146" i="25" s="1"/>
  <c r="AQ133" i="25"/>
  <c r="AB153" i="25" s="1"/>
  <c r="AJ337" i="25"/>
  <c r="U357" i="25" s="1"/>
  <c r="Q122" i="26"/>
  <c r="B142" i="26" s="1"/>
  <c r="AF232" i="26"/>
  <c r="Q252" i="26" s="1"/>
  <c r="AQ341" i="26"/>
  <c r="AB361" i="26" s="1"/>
  <c r="AP120" i="24"/>
  <c r="AA140" i="24" s="1"/>
  <c r="AC227" i="24"/>
  <c r="T237" i="24"/>
  <c r="E257" i="24" s="1"/>
  <c r="AK126" i="25"/>
  <c r="V146" i="25" s="1"/>
  <c r="AB226" i="25"/>
  <c r="M246" i="25" s="1"/>
  <c r="AP236" i="25"/>
  <c r="AA256" i="25" s="1"/>
  <c r="AM230" i="26"/>
  <c r="X250" i="26" s="1"/>
  <c r="AH238" i="26"/>
  <c r="S258" i="26" s="1"/>
  <c r="AA341" i="26"/>
  <c r="L361" i="26" s="1"/>
  <c r="AL20" i="26"/>
  <c r="W40" i="26" s="1"/>
  <c r="Z123" i="26"/>
  <c r="K143" i="26" s="1"/>
  <c r="Z343" i="26"/>
  <c r="K363" i="26" s="1"/>
  <c r="AO336" i="24"/>
  <c r="Z356" i="24" s="1"/>
  <c r="AO125" i="24"/>
  <c r="Z145" i="24" s="1"/>
  <c r="AF236" i="24"/>
  <c r="Q256" i="24" s="1"/>
  <c r="AQ349" i="24"/>
  <c r="AE12" i="25"/>
  <c r="P32" i="25" s="1"/>
  <c r="AG118" i="25"/>
  <c r="R138" i="25" s="1"/>
  <c r="AM229" i="25"/>
  <c r="X249" i="25" s="1"/>
  <c r="T233" i="25"/>
  <c r="E253" i="25" s="1"/>
  <c r="X132" i="25"/>
  <c r="AQ119" i="26"/>
  <c r="AB139" i="26" s="1"/>
  <c r="AO130" i="26"/>
  <c r="Z150" i="26" s="1"/>
  <c r="S341" i="26"/>
  <c r="D361" i="26" s="1"/>
  <c r="V15" i="26"/>
  <c r="G35" i="26" s="1"/>
  <c r="T26" i="26"/>
  <c r="AH117" i="26"/>
  <c r="S137" i="26" s="1"/>
  <c r="AL121" i="26"/>
  <c r="W141" i="26" s="1"/>
  <c r="AP128" i="26"/>
  <c r="AA148" i="26" s="1"/>
  <c r="AG236" i="26"/>
  <c r="R256" i="26" s="1"/>
  <c r="AF119" i="24"/>
  <c r="Q139" i="24" s="1"/>
  <c r="X129" i="24"/>
  <c r="I149" i="24" s="1"/>
  <c r="AA233" i="24"/>
  <c r="L253" i="24" s="1"/>
  <c r="AP126" i="25"/>
  <c r="AA146" i="25" s="1"/>
  <c r="AD25" i="26"/>
  <c r="AM133" i="26"/>
  <c r="X153" i="26" s="1"/>
  <c r="AK241" i="26"/>
  <c r="V261" i="26" s="1"/>
  <c r="AR13" i="24"/>
  <c r="AC33" i="24" s="1"/>
  <c r="V14" i="24"/>
  <c r="G34" i="24" s="1"/>
  <c r="Z16" i="24"/>
  <c r="K36" i="24" s="1"/>
  <c r="AG124" i="24"/>
  <c r="R144" i="24" s="1"/>
  <c r="T125" i="24"/>
  <c r="E145" i="24" s="1"/>
  <c r="W133" i="24"/>
  <c r="H153" i="24" s="1"/>
  <c r="AI231" i="24"/>
  <c r="T251" i="24" s="1"/>
  <c r="AK239" i="24"/>
  <c r="AI241" i="24"/>
  <c r="T261" i="24" s="1"/>
  <c r="X348" i="24"/>
  <c r="AE17" i="25"/>
  <c r="P37" i="25" s="1"/>
  <c r="U18" i="25"/>
  <c r="AI124" i="25"/>
  <c r="T144" i="25" s="1"/>
  <c r="Y126" i="25"/>
  <c r="J146" i="25" s="1"/>
  <c r="AO126" i="25"/>
  <c r="Z146" i="25" s="1"/>
  <c r="AI129" i="25"/>
  <c r="T149" i="25" s="1"/>
  <c r="U228" i="25"/>
  <c r="F248" i="25" s="1"/>
  <c r="AD17" i="25"/>
  <c r="O37" i="25" s="1"/>
  <c r="S14" i="26"/>
  <c r="D34" i="26" s="1"/>
  <c r="AH16" i="26"/>
  <c r="S36" i="26" s="1"/>
  <c r="Z20" i="26"/>
  <c r="K40" i="26" s="1"/>
  <c r="AN23" i="26"/>
  <c r="Y43" i="26" s="1"/>
  <c r="AF26" i="26"/>
  <c r="R117" i="26"/>
  <c r="C137" i="26" s="1"/>
  <c r="AM117" i="26"/>
  <c r="X137" i="26" s="1"/>
  <c r="AE121" i="26"/>
  <c r="P141" i="26" s="1"/>
  <c r="AG126" i="26"/>
  <c r="R146" i="26" s="1"/>
  <c r="V128" i="26"/>
  <c r="G148" i="26" s="1"/>
  <c r="AA232" i="26"/>
  <c r="L252" i="26" s="1"/>
  <c r="AP234" i="26"/>
  <c r="AA254" i="26" s="1"/>
  <c r="AP236" i="26"/>
  <c r="AA256" i="26" s="1"/>
  <c r="X341" i="26"/>
  <c r="I361" i="26" s="1"/>
  <c r="Y347" i="26"/>
  <c r="J367" i="26" s="1"/>
  <c r="AG13" i="24"/>
  <c r="R33" i="24" s="1"/>
  <c r="AG22" i="24"/>
  <c r="R42" i="24" s="1"/>
  <c r="T27" i="24"/>
  <c r="E47" i="24" s="1"/>
  <c r="W118" i="24"/>
  <c r="H138" i="24" s="1"/>
  <c r="Z125" i="24"/>
  <c r="K145" i="24" s="1"/>
  <c r="AR129" i="24"/>
  <c r="AC149" i="24" s="1"/>
  <c r="AN231" i="24"/>
  <c r="Y251" i="24" s="1"/>
  <c r="AM236" i="24"/>
  <c r="X256" i="24" s="1"/>
  <c r="AI341" i="24"/>
  <c r="T361" i="24" s="1"/>
  <c r="AM350" i="24"/>
  <c r="X370" i="24" s="1"/>
  <c r="AE11" i="24"/>
  <c r="P31" i="24" s="1"/>
  <c r="W17" i="24"/>
  <c r="H37" i="24" s="1"/>
  <c r="AH20" i="24"/>
  <c r="S40" i="24" s="1"/>
  <c r="AL225" i="24"/>
  <c r="W245" i="24" s="1"/>
  <c r="AN335" i="24"/>
  <c r="Y355" i="24" s="1"/>
  <c r="W338" i="24"/>
  <c r="H358" i="24" s="1"/>
  <c r="AL123" i="24"/>
  <c r="W143" i="24" s="1"/>
  <c r="S340" i="24"/>
  <c r="D360" i="24" s="1"/>
  <c r="AO126" i="24"/>
  <c r="Z146" i="24" s="1"/>
  <c r="AN343" i="24"/>
  <c r="Y363" i="24" s="1"/>
  <c r="Q240" i="24"/>
  <c r="AI12" i="25"/>
  <c r="T32" i="25" s="1"/>
  <c r="AI13" i="25"/>
  <c r="T33" i="25" s="1"/>
  <c r="AQ17" i="25"/>
  <c r="AB37" i="25" s="1"/>
  <c r="AA119" i="25"/>
  <c r="L139" i="25" s="1"/>
  <c r="Z126" i="25"/>
  <c r="K146" i="25" s="1"/>
  <c r="AA129" i="25"/>
  <c r="AF225" i="25"/>
  <c r="Q245" i="25" s="1"/>
  <c r="AE227" i="25"/>
  <c r="P247" i="25" s="1"/>
  <c r="R231" i="25"/>
  <c r="C251" i="25" s="1"/>
  <c r="AB11" i="25"/>
  <c r="M31" i="25" s="1"/>
  <c r="AI20" i="25"/>
  <c r="T40" i="25" s="1"/>
  <c r="W121" i="25"/>
  <c r="H141" i="25" s="1"/>
  <c r="AJ338" i="25"/>
  <c r="U358" i="25" s="1"/>
  <c r="AE14" i="26"/>
  <c r="P34" i="26" s="1"/>
  <c r="AE16" i="26"/>
  <c r="P36" i="26" s="1"/>
  <c r="AC20" i="26"/>
  <c r="N40" i="26" s="1"/>
  <c r="U117" i="26"/>
  <c r="F137" i="26" s="1"/>
  <c r="AP117" i="26"/>
  <c r="AA137" i="26" s="1"/>
  <c r="AH120" i="26"/>
  <c r="S140" i="26" s="1"/>
  <c r="AO121" i="26"/>
  <c r="Z141" i="26" s="1"/>
  <c r="AI123" i="26"/>
  <c r="T143" i="26" s="1"/>
  <c r="AN124" i="26"/>
  <c r="Y144" i="26" s="1"/>
  <c r="AI126" i="26"/>
  <c r="T146" i="26" s="1"/>
  <c r="Z128" i="26"/>
  <c r="K148" i="26" s="1"/>
  <c r="AF131" i="26"/>
  <c r="T230" i="26"/>
  <c r="E250" i="26" s="1"/>
  <c r="AE232" i="26"/>
  <c r="P252" i="26" s="1"/>
  <c r="Q236" i="26"/>
  <c r="B256" i="26" s="1"/>
  <c r="AE239" i="26"/>
  <c r="AC337" i="26"/>
  <c r="N357" i="26" s="1"/>
  <c r="AJ340" i="26"/>
  <c r="U360" i="26" s="1"/>
  <c r="AG225" i="26"/>
  <c r="R245" i="26" s="1"/>
  <c r="AI234" i="26"/>
  <c r="T254" i="26" s="1"/>
  <c r="AJ240" i="26"/>
  <c r="AJ13" i="24"/>
  <c r="U33" i="24" s="1"/>
  <c r="V27" i="24"/>
  <c r="G47" i="24" s="1"/>
  <c r="AM126" i="25"/>
  <c r="X146" i="25" s="1"/>
  <c r="AB126" i="25"/>
  <c r="AR126" i="25"/>
  <c r="AC146" i="25" s="1"/>
  <c r="AQ334" i="25"/>
  <c r="AB354" i="25" s="1"/>
  <c r="Z124" i="26"/>
  <c r="K144" i="26" s="1"/>
  <c r="AK230" i="26"/>
  <c r="V250" i="26" s="1"/>
  <c r="AF241" i="24"/>
  <c r="Q261" i="24" s="1"/>
  <c r="AR350" i="24"/>
  <c r="AC370" i="24" s="1"/>
  <c r="AI24" i="24"/>
  <c r="T44" i="24" s="1"/>
  <c r="AP27" i="24"/>
  <c r="AA47" i="24" s="1"/>
  <c r="S124" i="24"/>
  <c r="Z131" i="24"/>
  <c r="AO230" i="24"/>
  <c r="AI238" i="24"/>
  <c r="T258" i="24" s="1"/>
  <c r="AA336" i="24"/>
  <c r="L356" i="24" s="1"/>
  <c r="AN339" i="24"/>
  <c r="Y359" i="24" s="1"/>
  <c r="AG347" i="24"/>
  <c r="R367" i="24" s="1"/>
  <c r="AI349" i="24"/>
  <c r="S12" i="25"/>
  <c r="D32" i="25" s="1"/>
  <c r="X19" i="25"/>
  <c r="I39" i="25" s="1"/>
  <c r="AL27" i="25"/>
  <c r="W47" i="25" s="1"/>
  <c r="Q117" i="25"/>
  <c r="B137" i="25" s="1"/>
  <c r="R121" i="25"/>
  <c r="C141" i="25" s="1"/>
  <c r="AN126" i="25"/>
  <c r="Y146" i="25" s="1"/>
  <c r="AC126" i="25"/>
  <c r="N146" i="25" s="1"/>
  <c r="S128" i="25"/>
  <c r="AD131" i="25"/>
  <c r="AO133" i="25"/>
  <c r="Z153" i="25" s="1"/>
  <c r="AE231" i="25"/>
  <c r="P251" i="25" s="1"/>
  <c r="AE341" i="25"/>
  <c r="P361" i="25" s="1"/>
  <c r="S15" i="26"/>
  <c r="D35" i="26" s="1"/>
  <c r="V16" i="26"/>
  <c r="G36" i="26" s="1"/>
  <c r="AP25" i="26"/>
  <c r="W117" i="26"/>
  <c r="H137" i="26" s="1"/>
  <c r="AI120" i="26"/>
  <c r="T140" i="26" s="1"/>
  <c r="AR126" i="26"/>
  <c r="AC146" i="26" s="1"/>
  <c r="AE128" i="26"/>
  <c r="P148" i="26" s="1"/>
  <c r="AG129" i="26"/>
  <c r="R149" i="26" s="1"/>
  <c r="AG131" i="26"/>
  <c r="Z227" i="26"/>
  <c r="K247" i="26" s="1"/>
  <c r="U234" i="26"/>
  <c r="F254" i="26" s="1"/>
  <c r="AP238" i="26"/>
  <c r="AA258" i="26" s="1"/>
  <c r="W239" i="26"/>
  <c r="AN241" i="26"/>
  <c r="Y261" i="26" s="1"/>
  <c r="AR338" i="26"/>
  <c r="AC358" i="26" s="1"/>
  <c r="V18" i="24"/>
  <c r="G38" i="24" s="1"/>
  <c r="AM24" i="24"/>
  <c r="X44" i="24" s="1"/>
  <c r="S122" i="24"/>
  <c r="D142" i="24" s="1"/>
  <c r="V124" i="24"/>
  <c r="G144" i="24" s="1"/>
  <c r="Q231" i="24"/>
  <c r="B251" i="24" s="1"/>
  <c r="S336" i="24"/>
  <c r="D356" i="24" s="1"/>
  <c r="AN337" i="24"/>
  <c r="Y357" i="24" s="1"/>
  <c r="AP347" i="24"/>
  <c r="AA367" i="24" s="1"/>
  <c r="AN349" i="24"/>
  <c r="AA15" i="24"/>
  <c r="L35" i="24" s="1"/>
  <c r="AI117" i="24"/>
  <c r="T137" i="24" s="1"/>
  <c r="AN121" i="24"/>
  <c r="Y141" i="24" s="1"/>
  <c r="AF231" i="24"/>
  <c r="Q251" i="24" s="1"/>
  <c r="AI125" i="24"/>
  <c r="T145" i="24" s="1"/>
  <c r="AP128" i="24"/>
  <c r="AA148" i="24" s="1"/>
  <c r="AI236" i="24"/>
  <c r="T256" i="24" s="1"/>
  <c r="T12" i="25"/>
  <c r="E32" i="25" s="1"/>
  <c r="AK16" i="25"/>
  <c r="V36" i="25" s="1"/>
  <c r="AB19" i="25"/>
  <c r="M39" i="25" s="1"/>
  <c r="Z23" i="25"/>
  <c r="K43" i="25" s="1"/>
  <c r="Q126" i="25"/>
  <c r="B146" i="25" s="1"/>
  <c r="AG126" i="25"/>
  <c r="R146" i="25" s="1"/>
  <c r="AL231" i="25"/>
  <c r="W251" i="25" s="1"/>
  <c r="AI341" i="25"/>
  <c r="T361" i="25" s="1"/>
  <c r="W16" i="26"/>
  <c r="H36" i="26" s="1"/>
  <c r="H54" i="26" s="1"/>
  <c r="AP20" i="26"/>
  <c r="AA40" i="26" s="1"/>
  <c r="Z117" i="26"/>
  <c r="K137" i="26" s="1"/>
  <c r="AD123" i="26"/>
  <c r="O143" i="26" s="1"/>
  <c r="AJ126" i="26"/>
  <c r="U146" i="26" s="1"/>
  <c r="AF128" i="26"/>
  <c r="Q148" i="26" s="1"/>
  <c r="AJ128" i="26"/>
  <c r="U148" i="26" s="1"/>
  <c r="AA129" i="26"/>
  <c r="L149" i="26" s="1"/>
  <c r="U131" i="26"/>
  <c r="AC133" i="26"/>
  <c r="N153" i="26" s="1"/>
  <c r="U227" i="26"/>
  <c r="F247" i="26" s="1"/>
  <c r="V234" i="26"/>
  <c r="G254" i="26" s="1"/>
  <c r="Z236" i="26"/>
  <c r="K256" i="26" s="1"/>
  <c r="AN237" i="26"/>
  <c r="Y257" i="26" s="1"/>
  <c r="AJ241" i="26"/>
  <c r="AO341" i="26"/>
  <c r="Z361" i="26" s="1"/>
  <c r="AA347" i="26"/>
  <c r="L367" i="26" s="1"/>
  <c r="AH15" i="26"/>
  <c r="S35" i="26" s="1"/>
  <c r="AB227" i="24"/>
  <c r="M247" i="24" s="1"/>
  <c r="AR229" i="24"/>
  <c r="AC249" i="24" s="1"/>
  <c r="AQ237" i="24"/>
  <c r="AB257" i="24" s="1"/>
  <c r="R126" i="25"/>
  <c r="C146" i="25" s="1"/>
  <c r="AH126" i="25"/>
  <c r="S146" i="25" s="1"/>
  <c r="AL240" i="25"/>
  <c r="AF334" i="25"/>
  <c r="Q354" i="25" s="1"/>
  <c r="AR14" i="26"/>
  <c r="AC34" i="26" s="1"/>
  <c r="W131" i="26"/>
  <c r="R133" i="26"/>
  <c r="C153" i="26" s="1"/>
  <c r="Y227" i="26"/>
  <c r="J247" i="26" s="1"/>
  <c r="W241" i="26"/>
  <c r="H261" i="26" s="1"/>
  <c r="T18" i="24"/>
  <c r="E38" i="24" s="1"/>
  <c r="AQ23" i="24"/>
  <c r="AB43" i="24" s="1"/>
  <c r="V119" i="24"/>
  <c r="G139" i="24" s="1"/>
  <c r="Z120" i="24"/>
  <c r="K140" i="24" s="1"/>
  <c r="AQ124" i="24"/>
  <c r="AB144" i="24" s="1"/>
  <c r="AE130" i="24"/>
  <c r="P150" i="24" s="1"/>
  <c r="V229" i="24"/>
  <c r="G249" i="24" s="1"/>
  <c r="AN237" i="24"/>
  <c r="Y257" i="24" s="1"/>
  <c r="AJ336" i="24"/>
  <c r="U356" i="24" s="1"/>
  <c r="AG14" i="25"/>
  <c r="R34" i="25" s="1"/>
  <c r="AM17" i="25"/>
  <c r="X37" i="25" s="1"/>
  <c r="Q18" i="25"/>
  <c r="B38" i="25" s="1"/>
  <c r="AG23" i="25"/>
  <c r="R43" i="25" s="1"/>
  <c r="R27" i="25"/>
  <c r="C47" i="25" s="1"/>
  <c r="T126" i="25"/>
  <c r="E146" i="25" s="1"/>
  <c r="AP230" i="25"/>
  <c r="AA250" i="25" s="1"/>
  <c r="AA268" i="25" s="1"/>
  <c r="AI337" i="25"/>
  <c r="T357" i="25" s="1"/>
  <c r="AN20" i="26"/>
  <c r="Y40" i="26" s="1"/>
  <c r="AD117" i="26"/>
  <c r="O137" i="26" s="1"/>
  <c r="AJ122" i="26"/>
  <c r="U142" i="26" s="1"/>
  <c r="U126" i="26"/>
  <c r="F146" i="26" s="1"/>
  <c r="S128" i="26"/>
  <c r="D148" i="26" s="1"/>
  <c r="Z129" i="26"/>
  <c r="K149" i="26" s="1"/>
  <c r="U133" i="26"/>
  <c r="F153" i="26" s="1"/>
  <c r="AB225" i="26"/>
  <c r="M245" i="26" s="1"/>
  <c r="AN232" i="26"/>
  <c r="Y252" i="26" s="1"/>
  <c r="Y237" i="26"/>
  <c r="J257" i="26" s="1"/>
  <c r="AM241" i="26"/>
  <c r="X261" i="26" s="1"/>
  <c r="AA335" i="26"/>
  <c r="L355" i="26" s="1"/>
  <c r="W226" i="26"/>
  <c r="H246" i="26" s="1"/>
  <c r="AK236" i="26"/>
  <c r="V256" i="26" s="1"/>
  <c r="AQ14" i="24"/>
  <c r="AO24" i="24"/>
  <c r="Z44" i="24" s="1"/>
  <c r="AL122" i="24"/>
  <c r="W142" i="24" s="1"/>
  <c r="V123" i="24"/>
  <c r="G143" i="24" s="1"/>
  <c r="AA133" i="24"/>
  <c r="L153" i="24" s="1"/>
  <c r="W227" i="24"/>
  <c r="H247" i="24" s="1"/>
  <c r="AN227" i="24"/>
  <c r="Y247" i="24" s="1"/>
  <c r="Z238" i="24"/>
  <c r="K258" i="24" s="1"/>
  <c r="X240" i="24"/>
  <c r="U335" i="24"/>
  <c r="F355" i="24" s="1"/>
  <c r="AP335" i="24"/>
  <c r="AA355" i="24" s="1"/>
  <c r="AC338" i="24"/>
  <c r="N358" i="24" s="1"/>
  <c r="AJ341" i="24"/>
  <c r="U361" i="24" s="1"/>
  <c r="AD350" i="24"/>
  <c r="O370" i="24" s="1"/>
  <c r="AR17" i="24"/>
  <c r="AC37" i="24" s="1"/>
  <c r="AC55" i="24" s="1"/>
  <c r="AK340" i="24"/>
  <c r="V360" i="24" s="1"/>
  <c r="AG126" i="24"/>
  <c r="AH14" i="25"/>
  <c r="S34" i="25" s="1"/>
  <c r="AQ120" i="25"/>
  <c r="AB140" i="25" s="1"/>
  <c r="AJ27" i="26"/>
  <c r="U47" i="26" s="1"/>
  <c r="T27" i="26"/>
  <c r="E47" i="26" s="1"/>
  <c r="AN339" i="26"/>
  <c r="Y359" i="26" s="1"/>
  <c r="AH339" i="26"/>
  <c r="S359" i="26" s="1"/>
  <c r="AC339" i="26"/>
  <c r="N359" i="26" s="1"/>
  <c r="AA339" i="26"/>
  <c r="L359" i="26" s="1"/>
  <c r="Z339" i="26"/>
  <c r="K359" i="26" s="1"/>
  <c r="AQ339" i="26"/>
  <c r="AB359" i="26" s="1"/>
  <c r="U339" i="26"/>
  <c r="F359" i="26" s="1"/>
  <c r="AP339" i="26"/>
  <c r="AA359" i="26" s="1"/>
  <c r="S339" i="26"/>
  <c r="D359" i="26" s="1"/>
  <c r="AK339" i="26"/>
  <c r="V359" i="26" s="1"/>
  <c r="R339" i="26"/>
  <c r="C359" i="26" s="1"/>
  <c r="AN348" i="26"/>
  <c r="AL348" i="26"/>
  <c r="AD348" i="26"/>
  <c r="AG12" i="26"/>
  <c r="R32" i="26" s="1"/>
  <c r="V12" i="26"/>
  <c r="G32" i="26" s="1"/>
  <c r="S12" i="26"/>
  <c r="D32" i="26" s="1"/>
  <c r="AN12" i="26"/>
  <c r="Y32" i="26" s="1"/>
  <c r="AH12" i="26"/>
  <c r="S32" i="26" s="1"/>
  <c r="AO12" i="26"/>
  <c r="Z32" i="26" s="1"/>
  <c r="AL12" i="26"/>
  <c r="W32" i="26" s="1"/>
  <c r="AI12" i="26"/>
  <c r="T32" i="26" s="1"/>
  <c r="S19" i="26"/>
  <c r="D39" i="26" s="1"/>
  <c r="AR19" i="26"/>
  <c r="AC39" i="26" s="1"/>
  <c r="AE19" i="26"/>
  <c r="P39" i="26" s="1"/>
  <c r="T19" i="26"/>
  <c r="E39" i="26" s="1"/>
  <c r="AO19" i="26"/>
  <c r="Z39" i="26" s="1"/>
  <c r="AO22" i="26"/>
  <c r="Z42" i="26" s="1"/>
  <c r="AR22" i="26"/>
  <c r="AC42" i="26" s="1"/>
  <c r="AJ22" i="26"/>
  <c r="U42" i="26" s="1"/>
  <c r="AH22" i="26"/>
  <c r="S42" i="26" s="1"/>
  <c r="U22" i="26"/>
  <c r="F42" i="26" s="1"/>
  <c r="AR334" i="26"/>
  <c r="AC354" i="26" s="1"/>
  <c r="AA334" i="26"/>
  <c r="L354" i="26" s="1"/>
  <c r="R334" i="26"/>
  <c r="C354" i="26" s="1"/>
  <c r="AB345" i="26"/>
  <c r="M365" i="26" s="1"/>
  <c r="AK345" i="26"/>
  <c r="V365" i="26" s="1"/>
  <c r="AQ11" i="24"/>
  <c r="AB31" i="24" s="1"/>
  <c r="V24" i="24"/>
  <c r="G44" i="24" s="1"/>
  <c r="AP123" i="24"/>
  <c r="AA143" i="24" s="1"/>
  <c r="AK11" i="24"/>
  <c r="V31" i="24" s="1"/>
  <c r="AI13" i="24"/>
  <c r="T33" i="24" s="1"/>
  <c r="T14" i="24"/>
  <c r="E34" i="24" s="1"/>
  <c r="AR14" i="24"/>
  <c r="AC34" i="24" s="1"/>
  <c r="Y16" i="24"/>
  <c r="J36" i="24" s="1"/>
  <c r="T23" i="24"/>
  <c r="E43" i="24" s="1"/>
  <c r="AK24" i="24"/>
  <c r="V44" i="24" s="1"/>
  <c r="AA24" i="24"/>
  <c r="L44" i="24" s="1"/>
  <c r="AP24" i="24"/>
  <c r="AA44" i="24" s="1"/>
  <c r="AE27" i="24"/>
  <c r="P47" i="24" s="1"/>
  <c r="AA119" i="24"/>
  <c r="L139" i="24" s="1"/>
  <c r="U120" i="24"/>
  <c r="F140" i="24" s="1"/>
  <c r="Z123" i="24"/>
  <c r="K143" i="24" s="1"/>
  <c r="AR123" i="24"/>
  <c r="AC143" i="24" s="1"/>
  <c r="U124" i="24"/>
  <c r="F144" i="24" s="1"/>
  <c r="AO124" i="24"/>
  <c r="Z144" i="24" s="1"/>
  <c r="AP126" i="24"/>
  <c r="AA146" i="24" s="1"/>
  <c r="V129" i="24"/>
  <c r="G149" i="24" s="1"/>
  <c r="AE133" i="24"/>
  <c r="P153" i="24" s="1"/>
  <c r="X227" i="24"/>
  <c r="AQ227" i="24"/>
  <c r="AB247" i="24" s="1"/>
  <c r="Q229" i="24"/>
  <c r="B249" i="24" s="1"/>
  <c r="AL233" i="24"/>
  <c r="W253" i="24" s="1"/>
  <c r="AI237" i="24"/>
  <c r="T257" i="24" s="1"/>
  <c r="AA238" i="24"/>
  <c r="L258" i="24" s="1"/>
  <c r="AB240" i="24"/>
  <c r="V241" i="24"/>
  <c r="G261" i="24" s="1"/>
  <c r="X335" i="24"/>
  <c r="I355" i="24" s="1"/>
  <c r="AR335" i="24"/>
  <c r="AC355" i="24" s="1"/>
  <c r="T336" i="24"/>
  <c r="E356" i="24" s="1"/>
  <c r="AM336" i="24"/>
  <c r="X356" i="24" s="1"/>
  <c r="X337" i="24"/>
  <c r="I357" i="24" s="1"/>
  <c r="AG338" i="24"/>
  <c r="R358" i="24" s="1"/>
  <c r="X339" i="24"/>
  <c r="I359" i="24" s="1"/>
  <c r="AM341" i="24"/>
  <c r="X361" i="24" s="1"/>
  <c r="AN341" i="24"/>
  <c r="Y361" i="24" s="1"/>
  <c r="AK14" i="25"/>
  <c r="V34" i="25" s="1"/>
  <c r="V16" i="25"/>
  <c r="G36" i="25" s="1"/>
  <c r="AC24" i="25"/>
  <c r="N44" i="25" s="1"/>
  <c r="Q120" i="25"/>
  <c r="B140" i="25" s="1"/>
  <c r="AK130" i="25"/>
  <c r="V150" i="25" s="1"/>
  <c r="AM130" i="25"/>
  <c r="AL130" i="25"/>
  <c r="W150" i="25" s="1"/>
  <c r="AD130" i="25"/>
  <c r="O150" i="25" s="1"/>
  <c r="W130" i="25"/>
  <c r="H150" i="25" s="1"/>
  <c r="V130" i="25"/>
  <c r="G150" i="25" s="1"/>
  <c r="U131" i="25"/>
  <c r="AG238" i="25"/>
  <c r="R258" i="25" s="1"/>
  <c r="Y238" i="25"/>
  <c r="J258" i="25" s="1"/>
  <c r="AD225" i="25"/>
  <c r="AA225" i="25"/>
  <c r="L245" i="25" s="1"/>
  <c r="AQ128" i="25"/>
  <c r="AB148" i="25" s="1"/>
  <c r="AG128" i="25"/>
  <c r="R148" i="25" s="1"/>
  <c r="AF128" i="25"/>
  <c r="Q148" i="25" s="1"/>
  <c r="AA128" i="25"/>
  <c r="L148" i="25" s="1"/>
  <c r="T128" i="25"/>
  <c r="E148" i="25" s="1"/>
  <c r="W240" i="25"/>
  <c r="AR240" i="25"/>
  <c r="AN119" i="26"/>
  <c r="Y139" i="26" s="1"/>
  <c r="AI339" i="26"/>
  <c r="T359" i="26" s="1"/>
  <c r="AJ346" i="26"/>
  <c r="U366" i="26" s="1"/>
  <c r="AE346" i="26"/>
  <c r="P366" i="26" s="1"/>
  <c r="AB346" i="26"/>
  <c r="M366" i="26" s="1"/>
  <c r="AA346" i="26"/>
  <c r="L366" i="26" s="1"/>
  <c r="V346" i="26"/>
  <c r="G366" i="26" s="1"/>
  <c r="S346" i="26"/>
  <c r="D366" i="26" s="1"/>
  <c r="AN346" i="26"/>
  <c r="Y366" i="26" s="1"/>
  <c r="R346" i="26"/>
  <c r="C366" i="26" s="1"/>
  <c r="U24" i="25"/>
  <c r="F44" i="25" s="1"/>
  <c r="AB25" i="25"/>
  <c r="AH27" i="25"/>
  <c r="S47" i="25" s="1"/>
  <c r="AG119" i="25"/>
  <c r="R139" i="25" s="1"/>
  <c r="X120" i="25"/>
  <c r="I140" i="25" s="1"/>
  <c r="X129" i="25"/>
  <c r="R130" i="25"/>
  <c r="C150" i="25" s="1"/>
  <c r="V131" i="25"/>
  <c r="AN336" i="25"/>
  <c r="Y356" i="25" s="1"/>
  <c r="AR336" i="25"/>
  <c r="AC356" i="25" s="1"/>
  <c r="AK336" i="25"/>
  <c r="V356" i="25" s="1"/>
  <c r="AF336" i="25"/>
  <c r="Q356" i="25" s="1"/>
  <c r="AD336" i="25"/>
  <c r="O356" i="25" s="1"/>
  <c r="X336" i="25"/>
  <c r="I356" i="25" s="1"/>
  <c r="T336" i="25"/>
  <c r="E356" i="25" s="1"/>
  <c r="AQ20" i="25"/>
  <c r="AB40" i="25" s="1"/>
  <c r="X226" i="25"/>
  <c r="I246" i="25" s="1"/>
  <c r="T226" i="25"/>
  <c r="E246" i="25" s="1"/>
  <c r="R226" i="25"/>
  <c r="C246" i="25" s="1"/>
  <c r="AJ226" i="25"/>
  <c r="U246" i="25" s="1"/>
  <c r="AD226" i="25"/>
  <c r="O246" i="25" s="1"/>
  <c r="AD335" i="25"/>
  <c r="AI335" i="25"/>
  <c r="T355" i="25" s="1"/>
  <c r="AM335" i="25"/>
  <c r="X355" i="25" s="1"/>
  <c r="AC123" i="25"/>
  <c r="N143" i="25" s="1"/>
  <c r="AM123" i="25"/>
  <c r="X143" i="25" s="1"/>
  <c r="AL236" i="25"/>
  <c r="W256" i="25" s="1"/>
  <c r="AA236" i="25"/>
  <c r="L256" i="25" s="1"/>
  <c r="V236" i="25"/>
  <c r="G256" i="25" s="1"/>
  <c r="AH343" i="25"/>
  <c r="S363" i="25" s="1"/>
  <c r="V343" i="25"/>
  <c r="G363" i="25" s="1"/>
  <c r="AG343" i="25"/>
  <c r="R363" i="25" s="1"/>
  <c r="AK343" i="25"/>
  <c r="V363" i="25" s="1"/>
  <c r="AH349" i="25"/>
  <c r="W349" i="25"/>
  <c r="AG23" i="26"/>
  <c r="R43" i="26" s="1"/>
  <c r="AJ228" i="26"/>
  <c r="U248" i="26" s="1"/>
  <c r="AN228" i="26"/>
  <c r="Y248" i="26" s="1"/>
  <c r="AG228" i="26"/>
  <c r="R248" i="26" s="1"/>
  <c r="AC228" i="26"/>
  <c r="N248" i="26" s="1"/>
  <c r="AB228" i="26"/>
  <c r="M248" i="26" s="1"/>
  <c r="U228" i="26"/>
  <c r="F248" i="26" s="1"/>
  <c r="X336" i="26"/>
  <c r="I356" i="26" s="1"/>
  <c r="Z336" i="26"/>
  <c r="K356" i="26" s="1"/>
  <c r="AN334" i="26"/>
  <c r="Y354" i="26" s="1"/>
  <c r="AH342" i="26"/>
  <c r="S362" i="26" s="1"/>
  <c r="AR227" i="24"/>
  <c r="AC247" i="24" s="1"/>
  <c r="U11" i="24"/>
  <c r="F31" i="24" s="1"/>
  <c r="W14" i="24"/>
  <c r="H34" i="24" s="1"/>
  <c r="AJ16" i="24"/>
  <c r="U36" i="24" s="1"/>
  <c r="AE23" i="24"/>
  <c r="P43" i="24" s="1"/>
  <c r="AD24" i="24"/>
  <c r="O44" i="24" s="1"/>
  <c r="AN119" i="24"/>
  <c r="Y139" i="24" s="1"/>
  <c r="AL120" i="24"/>
  <c r="W140" i="24" s="1"/>
  <c r="AD123" i="24"/>
  <c r="O143" i="24" s="1"/>
  <c r="AA124" i="24"/>
  <c r="L144" i="24" s="1"/>
  <c r="AR124" i="24"/>
  <c r="AC144" i="24" s="1"/>
  <c r="AK129" i="24"/>
  <c r="V149" i="24" s="1"/>
  <c r="AQ229" i="24"/>
  <c r="AB249" i="24" s="1"/>
  <c r="AJ232" i="24"/>
  <c r="U252" i="24" s="1"/>
  <c r="V237" i="24"/>
  <c r="G257" i="24" s="1"/>
  <c r="AQ241" i="24"/>
  <c r="AB261" i="24" s="1"/>
  <c r="AB335" i="24"/>
  <c r="M355" i="24" s="1"/>
  <c r="Y336" i="24"/>
  <c r="J356" i="24" s="1"/>
  <c r="AQ336" i="24"/>
  <c r="AB356" i="24" s="1"/>
  <c r="AM338" i="24"/>
  <c r="X358" i="24" s="1"/>
  <c r="AD339" i="24"/>
  <c r="O359" i="24" s="1"/>
  <c r="S341" i="24"/>
  <c r="D361" i="24" s="1"/>
  <c r="AG342" i="24"/>
  <c r="R362" i="24" s="1"/>
  <c r="X346" i="24"/>
  <c r="I366" i="24" s="1"/>
  <c r="V347" i="24"/>
  <c r="G367" i="24" s="1"/>
  <c r="AE350" i="24"/>
  <c r="P370" i="24" s="1"/>
  <c r="S11" i="24"/>
  <c r="D31" i="24" s="1"/>
  <c r="AJ20" i="24"/>
  <c r="U40" i="24" s="1"/>
  <c r="AR240" i="24"/>
  <c r="Q13" i="25"/>
  <c r="B33" i="25" s="1"/>
  <c r="AF16" i="25"/>
  <c r="Q36" i="25" s="1"/>
  <c r="AB18" i="25"/>
  <c r="M38" i="25" s="1"/>
  <c r="AF24" i="25"/>
  <c r="Q44" i="25" s="1"/>
  <c r="AP27" i="25"/>
  <c r="AA47" i="25" s="1"/>
  <c r="AO119" i="25"/>
  <c r="Z139" i="25" s="1"/>
  <c r="Z120" i="25"/>
  <c r="K140" i="25" s="1"/>
  <c r="Z129" i="25"/>
  <c r="K149" i="25" s="1"/>
  <c r="Z130" i="25"/>
  <c r="K150" i="25" s="1"/>
  <c r="AJ228" i="25"/>
  <c r="U248" i="25" s="1"/>
  <c r="AR228" i="25"/>
  <c r="AC248" i="25" s="1"/>
  <c r="AF228" i="25"/>
  <c r="Q248" i="25" s="1"/>
  <c r="AD228" i="25"/>
  <c r="O248" i="25" s="1"/>
  <c r="AQ238" i="25"/>
  <c r="AB258" i="25" s="1"/>
  <c r="Q336" i="25"/>
  <c r="B356" i="25" s="1"/>
  <c r="AC347" i="25"/>
  <c r="N367" i="25" s="1"/>
  <c r="AR347" i="25"/>
  <c r="AC367" i="25" s="1"/>
  <c r="AB347" i="25"/>
  <c r="M367" i="25" s="1"/>
  <c r="AO347" i="25"/>
  <c r="Z367" i="25" s="1"/>
  <c r="X347" i="25"/>
  <c r="I367" i="25" s="1"/>
  <c r="AN347" i="25"/>
  <c r="Y367" i="25" s="1"/>
  <c r="W347" i="25"/>
  <c r="H367" i="25" s="1"/>
  <c r="AM347" i="25"/>
  <c r="X367" i="25" s="1"/>
  <c r="T347" i="25"/>
  <c r="E367" i="25" s="1"/>
  <c r="AI347" i="25"/>
  <c r="T367" i="25" s="1"/>
  <c r="S347" i="25"/>
  <c r="D367" i="25" s="1"/>
  <c r="AK27" i="26"/>
  <c r="V47" i="26" s="1"/>
  <c r="AE229" i="26"/>
  <c r="P249" i="26" s="1"/>
  <c r="Y11" i="24"/>
  <c r="J31" i="24" s="1"/>
  <c r="AE14" i="24"/>
  <c r="P34" i="24" s="1"/>
  <c r="AE18" i="24"/>
  <c r="P38" i="24" s="1"/>
  <c r="AF23" i="24"/>
  <c r="Q43" i="24" s="1"/>
  <c r="Q24" i="24"/>
  <c r="B44" i="24" s="1"/>
  <c r="B260" i="24" s="1"/>
  <c r="AE24" i="24"/>
  <c r="P44" i="24" s="1"/>
  <c r="AO120" i="24"/>
  <c r="Z140" i="24" s="1"/>
  <c r="AI123" i="24"/>
  <c r="AE123" i="24"/>
  <c r="P143" i="24" s="1"/>
  <c r="AB124" i="24"/>
  <c r="M144" i="24" s="1"/>
  <c r="AM129" i="24"/>
  <c r="X149" i="24" s="1"/>
  <c r="AC133" i="24"/>
  <c r="N153" i="24" s="1"/>
  <c r="AQ133" i="24"/>
  <c r="AB153" i="24" s="1"/>
  <c r="AJ227" i="24"/>
  <c r="U247" i="24" s="1"/>
  <c r="AF227" i="24"/>
  <c r="Q247" i="24" s="1"/>
  <c r="AI232" i="24"/>
  <c r="T252" i="24" s="1"/>
  <c r="AE237" i="24"/>
  <c r="P257" i="24" s="1"/>
  <c r="AR238" i="24"/>
  <c r="AC258" i="24" s="1"/>
  <c r="AK238" i="24"/>
  <c r="V258" i="24" s="1"/>
  <c r="AC335" i="24"/>
  <c r="N355" i="24" s="1"/>
  <c r="AL336" i="24"/>
  <c r="W356" i="24" s="1"/>
  <c r="Q338" i="24"/>
  <c r="B358" i="24" s="1"/>
  <c r="W341" i="24"/>
  <c r="H361" i="24" s="1"/>
  <c r="X343" i="24"/>
  <c r="I363" i="24" s="1"/>
  <c r="Z347" i="24"/>
  <c r="K367" i="24" s="1"/>
  <c r="AA13" i="25"/>
  <c r="L33" i="25" s="1"/>
  <c r="AI16" i="25"/>
  <c r="T36" i="25" s="1"/>
  <c r="AD18" i="25"/>
  <c r="O38" i="25" s="1"/>
  <c r="AG18" i="25"/>
  <c r="R38" i="25" s="1"/>
  <c r="AG24" i="25"/>
  <c r="R44" i="25" s="1"/>
  <c r="AA120" i="25"/>
  <c r="AD124" i="25"/>
  <c r="O144" i="25" s="1"/>
  <c r="AP130" i="25"/>
  <c r="AA150" i="25" s="1"/>
  <c r="S238" i="25"/>
  <c r="D258" i="25" s="1"/>
  <c r="AO346" i="25"/>
  <c r="Z366" i="25" s="1"/>
  <c r="Q347" i="25"/>
  <c r="B367" i="25" s="1"/>
  <c r="AE23" i="26"/>
  <c r="P43" i="26" s="1"/>
  <c r="AN336" i="26"/>
  <c r="Y356" i="26" s="1"/>
  <c r="AC238" i="24"/>
  <c r="N258" i="24" s="1"/>
  <c r="AC11" i="24"/>
  <c r="N31" i="24" s="1"/>
  <c r="AN13" i="24"/>
  <c r="Y33" i="24" s="1"/>
  <c r="AF14" i="24"/>
  <c r="Q34" i="24" s="1"/>
  <c r="AF18" i="24"/>
  <c r="Q38" i="24" s="1"/>
  <c r="AP23" i="24"/>
  <c r="AA43" i="24" s="1"/>
  <c r="R24" i="24"/>
  <c r="C44" i="24" s="1"/>
  <c r="AG24" i="24"/>
  <c r="R44" i="24" s="1"/>
  <c r="AO123" i="24"/>
  <c r="Z143" i="24" s="1"/>
  <c r="AH123" i="24"/>
  <c r="S143" i="24" s="1"/>
  <c r="AC124" i="24"/>
  <c r="N144" i="24" s="1"/>
  <c r="Q133" i="24"/>
  <c r="B153" i="24" s="1"/>
  <c r="AR133" i="24"/>
  <c r="AC153" i="24" s="1"/>
  <c r="Q227" i="24"/>
  <c r="B247" i="24" s="1"/>
  <c r="AG227" i="24"/>
  <c r="R247" i="24" s="1"/>
  <c r="AD232" i="24"/>
  <c r="O252" i="24" s="1"/>
  <c r="AF237" i="24"/>
  <c r="Q257" i="24" s="1"/>
  <c r="Q238" i="24"/>
  <c r="B258" i="24" s="1"/>
  <c r="AL238" i="24"/>
  <c r="W258" i="24" s="1"/>
  <c r="AH335" i="24"/>
  <c r="S355" i="24" s="1"/>
  <c r="R338" i="24"/>
  <c r="C358" i="24" s="1"/>
  <c r="Z341" i="24"/>
  <c r="K361" i="24" s="1"/>
  <c r="AD347" i="24"/>
  <c r="O367" i="24" s="1"/>
  <c r="S350" i="24"/>
  <c r="D370" i="24" s="1"/>
  <c r="W345" i="24"/>
  <c r="H365" i="24" s="1"/>
  <c r="AM13" i="25"/>
  <c r="X33" i="25" s="1"/>
  <c r="AR16" i="25"/>
  <c r="AC36" i="25" s="1"/>
  <c r="AL18" i="25"/>
  <c r="W38" i="25" s="1"/>
  <c r="AO24" i="25"/>
  <c r="Z44" i="25" s="1"/>
  <c r="AC120" i="25"/>
  <c r="N140" i="25" s="1"/>
  <c r="AP124" i="25"/>
  <c r="AA144" i="25" s="1"/>
  <c r="AQ124" i="25"/>
  <c r="AB144" i="25" s="1"/>
  <c r="V124" i="25"/>
  <c r="G144" i="25" s="1"/>
  <c r="AM124" i="25"/>
  <c r="X144" i="25" s="1"/>
  <c r="T124" i="25"/>
  <c r="E144" i="25" s="1"/>
  <c r="AL124" i="25"/>
  <c r="W144" i="25" s="1"/>
  <c r="S124" i="25"/>
  <c r="D144" i="25" s="1"/>
  <c r="AE124" i="25"/>
  <c r="P144" i="25" s="1"/>
  <c r="S133" i="25"/>
  <c r="D153" i="25" s="1"/>
  <c r="AO232" i="25"/>
  <c r="Z252" i="25" s="1"/>
  <c r="AF232" i="25"/>
  <c r="Q252" i="25" s="1"/>
  <c r="AF237" i="25"/>
  <c r="Q257" i="25" s="1"/>
  <c r="W238" i="25"/>
  <c r="H258" i="25" s="1"/>
  <c r="AR241" i="25"/>
  <c r="AC261" i="25" s="1"/>
  <c r="AN241" i="25"/>
  <c r="Y261" i="25" s="1"/>
  <c r="AJ241" i="25"/>
  <c r="U261" i="25" s="1"/>
  <c r="X241" i="25"/>
  <c r="I261" i="25" s="1"/>
  <c r="V241" i="25"/>
  <c r="G261" i="25" s="1"/>
  <c r="T241" i="25"/>
  <c r="AF346" i="25"/>
  <c r="Q366" i="25" s="1"/>
  <c r="AE347" i="25"/>
  <c r="P367" i="25" s="1"/>
  <c r="AJ23" i="26"/>
  <c r="U43" i="26" s="1"/>
  <c r="AO350" i="26"/>
  <c r="Z370" i="26" s="1"/>
  <c r="AL350" i="26"/>
  <c r="W370" i="26" s="1"/>
  <c r="AB350" i="26"/>
  <c r="M370" i="26" s="1"/>
  <c r="W350" i="26"/>
  <c r="H370" i="26" s="1"/>
  <c r="T350" i="26"/>
  <c r="E370" i="26" s="1"/>
  <c r="AD11" i="24"/>
  <c r="O31" i="24" s="1"/>
  <c r="W13" i="24"/>
  <c r="H33" i="24" s="1"/>
  <c r="AJ14" i="24"/>
  <c r="U34" i="24" s="1"/>
  <c r="AH14" i="24"/>
  <c r="S34" i="24" s="1"/>
  <c r="AP18" i="24"/>
  <c r="AA38" i="24" s="1"/>
  <c r="AJ23" i="24"/>
  <c r="U43" i="24" s="1"/>
  <c r="S24" i="24"/>
  <c r="D44" i="24" s="1"/>
  <c r="AL24" i="24"/>
  <c r="W44" i="24" s="1"/>
  <c r="AH25" i="24"/>
  <c r="Q119" i="24"/>
  <c r="B139" i="24" s="1"/>
  <c r="AH120" i="24"/>
  <c r="S140" i="24" s="1"/>
  <c r="R123" i="24"/>
  <c r="C143" i="24" s="1"/>
  <c r="AK123" i="24"/>
  <c r="V143" i="24" s="1"/>
  <c r="AH124" i="24"/>
  <c r="S144" i="24" s="1"/>
  <c r="U133" i="24"/>
  <c r="F153" i="24" s="1"/>
  <c r="V225" i="24"/>
  <c r="G245" i="24" s="1"/>
  <c r="S227" i="24"/>
  <c r="D247" i="24" s="1"/>
  <c r="AI227" i="24"/>
  <c r="T247" i="24" s="1"/>
  <c r="AK230" i="24"/>
  <c r="V250" i="24" s="1"/>
  <c r="AN232" i="24"/>
  <c r="Y252" i="24" s="1"/>
  <c r="AP237" i="24"/>
  <c r="AA257" i="24" s="1"/>
  <c r="R238" i="24"/>
  <c r="C258" i="24" s="1"/>
  <c r="AM238" i="24"/>
  <c r="X258" i="24" s="1"/>
  <c r="AK335" i="24"/>
  <c r="V355" i="24" s="1"/>
  <c r="AN336" i="24"/>
  <c r="Y356" i="24" s="1"/>
  <c r="AG336" i="24"/>
  <c r="R356" i="24" s="1"/>
  <c r="AP337" i="24"/>
  <c r="AA357" i="24" s="1"/>
  <c r="U338" i="24"/>
  <c r="F358" i="24" s="1"/>
  <c r="AF339" i="24"/>
  <c r="Q359" i="24" s="1"/>
  <c r="AB341" i="24"/>
  <c r="M361" i="24" s="1"/>
  <c r="W350" i="24"/>
  <c r="H370" i="24" s="1"/>
  <c r="AD19" i="24"/>
  <c r="O39" i="24" s="1"/>
  <c r="AG26" i="24"/>
  <c r="AP226" i="24"/>
  <c r="AA246" i="24" s="1"/>
  <c r="AO18" i="25"/>
  <c r="Z38" i="25" s="1"/>
  <c r="AE120" i="25"/>
  <c r="P140" i="25" s="1"/>
  <c r="Y122" i="25"/>
  <c r="J142" i="25" s="1"/>
  <c r="W124" i="25"/>
  <c r="H144" i="25" s="1"/>
  <c r="AI133" i="25"/>
  <c r="T153" i="25" s="1"/>
  <c r="Y227" i="25"/>
  <c r="J247" i="25" s="1"/>
  <c r="W227" i="25"/>
  <c r="H247" i="25" s="1"/>
  <c r="AA238" i="25"/>
  <c r="L258" i="25" s="1"/>
  <c r="AK346" i="25"/>
  <c r="V366" i="25" s="1"/>
  <c r="AG347" i="25"/>
  <c r="R367" i="25" s="1"/>
  <c r="V350" i="25"/>
  <c r="G370" i="25" s="1"/>
  <c r="U350" i="25"/>
  <c r="F370" i="25" s="1"/>
  <c r="Z12" i="26"/>
  <c r="K32" i="26" s="1"/>
  <c r="AK133" i="24"/>
  <c r="V153" i="24" s="1"/>
  <c r="X13" i="24"/>
  <c r="I33" i="24" s="1"/>
  <c r="AJ18" i="24"/>
  <c r="U38" i="24" s="1"/>
  <c r="U24" i="24"/>
  <c r="F44" i="24" s="1"/>
  <c r="Y25" i="24"/>
  <c r="T123" i="24"/>
  <c r="E143" i="24" s="1"/>
  <c r="Q124" i="24"/>
  <c r="B144" i="24" s="1"/>
  <c r="AA130" i="24"/>
  <c r="L150" i="24" s="1"/>
  <c r="U227" i="24"/>
  <c r="F247" i="24" s="1"/>
  <c r="AM227" i="24"/>
  <c r="X247" i="24" s="1"/>
  <c r="AQ232" i="24"/>
  <c r="AB252" i="24" s="1"/>
  <c r="V238" i="24"/>
  <c r="G258" i="24" s="1"/>
  <c r="AQ238" i="24"/>
  <c r="AB258" i="24" s="1"/>
  <c r="R335" i="24"/>
  <c r="C355" i="24" s="1"/>
  <c r="Q336" i="24"/>
  <c r="B356" i="24" s="1"/>
  <c r="AI336" i="24"/>
  <c r="T356" i="24" s="1"/>
  <c r="AD341" i="24"/>
  <c r="O361" i="24" s="1"/>
  <c r="AF120" i="25"/>
  <c r="Q140" i="25" s="1"/>
  <c r="AA124" i="25"/>
  <c r="L144" i="25" s="1"/>
  <c r="AJ133" i="25"/>
  <c r="U153" i="25" s="1"/>
  <c r="AN238" i="25"/>
  <c r="Y258" i="25" s="1"/>
  <c r="AI19" i="26"/>
  <c r="T39" i="26" s="1"/>
  <c r="R22" i="26"/>
  <c r="C42" i="26" s="1"/>
  <c r="AN229" i="26"/>
  <c r="Y249" i="26" s="1"/>
  <c r="AE129" i="25"/>
  <c r="AL131" i="25"/>
  <c r="AM133" i="25"/>
  <c r="X153" i="25" s="1"/>
  <c r="Y231" i="25"/>
  <c r="J251" i="25" s="1"/>
  <c r="X238" i="25"/>
  <c r="I258" i="25" s="1"/>
  <c r="AN337" i="25"/>
  <c r="Y357" i="25" s="1"/>
  <c r="AE348" i="25"/>
  <c r="AL350" i="25"/>
  <c r="W370" i="25" s="1"/>
  <c r="AA26" i="25"/>
  <c r="AP117" i="25"/>
  <c r="AA137" i="25" s="1"/>
  <c r="AO236" i="25"/>
  <c r="Z256" i="25" s="1"/>
  <c r="AA20" i="26"/>
  <c r="L40" i="26" s="1"/>
  <c r="AM23" i="26"/>
  <c r="X43" i="26" s="1"/>
  <c r="AR119" i="26"/>
  <c r="AC139" i="26" s="1"/>
  <c r="Z120" i="26"/>
  <c r="K140" i="26" s="1"/>
  <c r="S122" i="26"/>
  <c r="D142" i="26" s="1"/>
  <c r="AI122" i="26"/>
  <c r="T142" i="26" s="1"/>
  <c r="T123" i="26"/>
  <c r="E143" i="26" s="1"/>
  <c r="AI124" i="26"/>
  <c r="T144" i="26" s="1"/>
  <c r="AC124" i="26"/>
  <c r="N144" i="26" s="1"/>
  <c r="S126" i="26"/>
  <c r="D146" i="26" s="1"/>
  <c r="AM126" i="26"/>
  <c r="X146" i="26" s="1"/>
  <c r="X131" i="26"/>
  <c r="V133" i="26"/>
  <c r="G153" i="26" s="1"/>
  <c r="AA234" i="26"/>
  <c r="L254" i="26" s="1"/>
  <c r="AQ234" i="26"/>
  <c r="AB254" i="26" s="1"/>
  <c r="AC236" i="26"/>
  <c r="N256" i="26" s="1"/>
  <c r="AR236" i="26"/>
  <c r="AC256" i="26" s="1"/>
  <c r="AP239" i="26"/>
  <c r="X241" i="26"/>
  <c r="I261" i="26" s="1"/>
  <c r="AR241" i="26"/>
  <c r="AC261" i="26" s="1"/>
  <c r="AF334" i="26"/>
  <c r="Q354" i="26" s="1"/>
  <c r="AL335" i="26"/>
  <c r="W355" i="26" s="1"/>
  <c r="AD335" i="26"/>
  <c r="O355" i="26" s="1"/>
  <c r="AR337" i="26"/>
  <c r="AC357" i="26" s="1"/>
  <c r="AR340" i="26"/>
  <c r="AC360" i="26" s="1"/>
  <c r="Y341" i="26"/>
  <c r="J361" i="26" s="1"/>
  <c r="AF343" i="26"/>
  <c r="Q363" i="26" s="1"/>
  <c r="AF229" i="26"/>
  <c r="Q249" i="26" s="1"/>
  <c r="AD233" i="26"/>
  <c r="O253" i="26" s="1"/>
  <c r="AP342" i="26"/>
  <c r="AA362" i="26" s="1"/>
  <c r="AP133" i="25"/>
  <c r="AA153" i="25" s="1"/>
  <c r="AR133" i="25"/>
  <c r="AC153" i="25" s="1"/>
  <c r="AR346" i="25"/>
  <c r="AC366" i="25" s="1"/>
  <c r="AP346" i="25"/>
  <c r="AA366" i="25" s="1"/>
  <c r="AO12" i="25"/>
  <c r="Z32" i="25" s="1"/>
  <c r="AM26" i="25"/>
  <c r="AC125" i="25"/>
  <c r="N145" i="25" s="1"/>
  <c r="AM233" i="25"/>
  <c r="X253" i="25" s="1"/>
  <c r="AI236" i="25"/>
  <c r="T256" i="25" s="1"/>
  <c r="AQ349" i="25"/>
  <c r="AQ14" i="26"/>
  <c r="AB34" i="26" s="1"/>
  <c r="AC16" i="26"/>
  <c r="N36" i="26" s="1"/>
  <c r="Q23" i="26"/>
  <c r="B43" i="26" s="1"/>
  <c r="AQ23" i="26"/>
  <c r="AB43" i="26" s="1"/>
  <c r="S25" i="26"/>
  <c r="AN27" i="26"/>
  <c r="Y47" i="26" s="1"/>
  <c r="U119" i="26"/>
  <c r="F139" i="26" s="1"/>
  <c r="AE120" i="26"/>
  <c r="P140" i="26" s="1"/>
  <c r="U122" i="26"/>
  <c r="F142" i="26" s="1"/>
  <c r="AM122" i="26"/>
  <c r="X142" i="26" s="1"/>
  <c r="AG124" i="26"/>
  <c r="R144" i="26" s="1"/>
  <c r="AI129" i="26"/>
  <c r="T149" i="26" s="1"/>
  <c r="AC129" i="26"/>
  <c r="N149" i="26" s="1"/>
  <c r="X130" i="26"/>
  <c r="I150" i="26" s="1"/>
  <c r="AB131" i="26"/>
  <c r="Z133" i="26"/>
  <c r="K153" i="26" s="1"/>
  <c r="AA241" i="26"/>
  <c r="L261" i="26" s="1"/>
  <c r="AR335" i="26"/>
  <c r="AC355" i="26" s="1"/>
  <c r="AE335" i="26"/>
  <c r="P355" i="26" s="1"/>
  <c r="AI343" i="26"/>
  <c r="T363" i="26" s="1"/>
  <c r="AP11" i="26"/>
  <c r="AA31" i="26" s="1"/>
  <c r="AF22" i="26"/>
  <c r="Q42" i="26" s="1"/>
  <c r="T23" i="26"/>
  <c r="E43" i="26" s="1"/>
  <c r="X119" i="26"/>
  <c r="I139" i="26" s="1"/>
  <c r="W122" i="26"/>
  <c r="H142" i="26" s="1"/>
  <c r="AN122" i="26"/>
  <c r="Y142" i="26" s="1"/>
  <c r="Y160" i="26" s="1"/>
  <c r="AK124" i="26"/>
  <c r="V144" i="26" s="1"/>
  <c r="AA133" i="26"/>
  <c r="L153" i="26" s="1"/>
  <c r="AE241" i="26"/>
  <c r="P261" i="26" s="1"/>
  <c r="T133" i="25"/>
  <c r="E153" i="25" s="1"/>
  <c r="AR237" i="25"/>
  <c r="AC257" i="25" s="1"/>
  <c r="U337" i="25"/>
  <c r="F357" i="25" s="1"/>
  <c r="V346" i="25"/>
  <c r="G366" i="25" s="1"/>
  <c r="X350" i="25"/>
  <c r="I370" i="25" s="1"/>
  <c r="AP12" i="25"/>
  <c r="AA32" i="25" s="1"/>
  <c r="AR118" i="25"/>
  <c r="AC138" i="25" s="1"/>
  <c r="AA334" i="25"/>
  <c r="L354" i="25" s="1"/>
  <c r="AC132" i="25"/>
  <c r="AN14" i="26"/>
  <c r="Y34" i="26" s="1"/>
  <c r="AR16" i="26"/>
  <c r="AC36" i="26" s="1"/>
  <c r="AG16" i="26"/>
  <c r="R36" i="26" s="1"/>
  <c r="X23" i="26"/>
  <c r="I43" i="26" s="1"/>
  <c r="AR25" i="26"/>
  <c r="W27" i="26"/>
  <c r="H47" i="26" s="1"/>
  <c r="AA119" i="26"/>
  <c r="L139" i="26" s="1"/>
  <c r="AR120" i="26"/>
  <c r="AC140" i="26" s="1"/>
  <c r="X122" i="26"/>
  <c r="I142" i="26" s="1"/>
  <c r="AQ122" i="26"/>
  <c r="AB142" i="26" s="1"/>
  <c r="AJ123" i="26"/>
  <c r="U143" i="26" s="1"/>
  <c r="Q124" i="26"/>
  <c r="B144" i="26" s="1"/>
  <c r="AL124" i="26"/>
  <c r="W144" i="26" s="1"/>
  <c r="X126" i="26"/>
  <c r="I146" i="26" s="1"/>
  <c r="AR129" i="26"/>
  <c r="AC149" i="26" s="1"/>
  <c r="AK129" i="26"/>
  <c r="V149" i="26" s="1"/>
  <c r="AJ130" i="26"/>
  <c r="U150" i="26" s="1"/>
  <c r="Q234" i="26"/>
  <c r="B254" i="26" s="1"/>
  <c r="AG234" i="26"/>
  <c r="R254" i="26" s="1"/>
  <c r="T236" i="26"/>
  <c r="E256" i="26" s="1"/>
  <c r="AH236" i="26"/>
  <c r="S256" i="26" s="1"/>
  <c r="Z239" i="26"/>
  <c r="AC240" i="26"/>
  <c r="AF241" i="26"/>
  <c r="Q261" i="26" s="1"/>
  <c r="AB334" i="26"/>
  <c r="M354" i="26" s="1"/>
  <c r="R335" i="26"/>
  <c r="C355" i="26" s="1"/>
  <c r="AI335" i="26"/>
  <c r="T355" i="26" s="1"/>
  <c r="AC336" i="26"/>
  <c r="N356" i="26" s="1"/>
  <c r="U337" i="26"/>
  <c r="F357" i="26" s="1"/>
  <c r="AN340" i="26"/>
  <c r="Y360" i="26" s="1"/>
  <c r="W129" i="25"/>
  <c r="H149" i="25" s="1"/>
  <c r="Q131" i="25"/>
  <c r="AA133" i="25"/>
  <c r="L153" i="25" s="1"/>
  <c r="T229" i="25"/>
  <c r="E249" i="25" s="1"/>
  <c r="Y237" i="25"/>
  <c r="J257" i="25" s="1"/>
  <c r="AE238" i="25"/>
  <c r="P258" i="25" s="1"/>
  <c r="AI238" i="25"/>
  <c r="T258" i="25" s="1"/>
  <c r="X334" i="25"/>
  <c r="I354" i="25" s="1"/>
  <c r="W337" i="25"/>
  <c r="H357" i="25" s="1"/>
  <c r="AK339" i="25"/>
  <c r="V359" i="25" s="1"/>
  <c r="AO341" i="25"/>
  <c r="Z361" i="25" s="1"/>
  <c r="Y346" i="25"/>
  <c r="J366" i="25" s="1"/>
  <c r="Z350" i="25"/>
  <c r="K370" i="25" s="1"/>
  <c r="AF342" i="25"/>
  <c r="Q362" i="25" s="1"/>
  <c r="AM14" i="26"/>
  <c r="X34" i="26" s="1"/>
  <c r="R16" i="26"/>
  <c r="C36" i="26" s="1"/>
  <c r="Y23" i="26"/>
  <c r="J43" i="26" s="1"/>
  <c r="AM24" i="26"/>
  <c r="X44" i="26" s="1"/>
  <c r="Q25" i="26"/>
  <c r="X27" i="26"/>
  <c r="I47" i="26" s="1"/>
  <c r="AC119" i="26"/>
  <c r="N139" i="26" s="1"/>
  <c r="AO120" i="26"/>
  <c r="Z140" i="26" s="1"/>
  <c r="AM120" i="26"/>
  <c r="X140" i="26" s="1"/>
  <c r="AB122" i="26"/>
  <c r="M142" i="26" s="1"/>
  <c r="AR122" i="26"/>
  <c r="AC142" i="26" s="1"/>
  <c r="AN123" i="26"/>
  <c r="Y143" i="26" s="1"/>
  <c r="Y161" i="26" s="1"/>
  <c r="R124" i="26"/>
  <c r="C144" i="26" s="1"/>
  <c r="AM124" i="26"/>
  <c r="X144" i="26" s="1"/>
  <c r="AB126" i="26"/>
  <c r="M146" i="26" s="1"/>
  <c r="Q129" i="26"/>
  <c r="B149" i="26" s="1"/>
  <c r="AL129" i="26"/>
  <c r="W149" i="26" s="1"/>
  <c r="T130" i="26"/>
  <c r="E150" i="26" s="1"/>
  <c r="AJ131" i="26"/>
  <c r="AI131" i="26"/>
  <c r="AN133" i="26"/>
  <c r="Y153" i="26" s="1"/>
  <c r="AG133" i="26"/>
  <c r="R153" i="26" s="1"/>
  <c r="R234" i="26"/>
  <c r="C254" i="26" s="1"/>
  <c r="AH234" i="26"/>
  <c r="S254" i="26" s="1"/>
  <c r="U236" i="26"/>
  <c r="F256" i="26" s="1"/>
  <c r="AJ236" i="26"/>
  <c r="U256" i="26" s="1"/>
  <c r="AG240" i="26"/>
  <c r="S241" i="26"/>
  <c r="D261" i="26" s="1"/>
  <c r="AI241" i="26"/>
  <c r="T261" i="26" s="1"/>
  <c r="AE334" i="26"/>
  <c r="P354" i="26" s="1"/>
  <c r="S335" i="26"/>
  <c r="AQ335" i="26"/>
  <c r="AB355" i="26" s="1"/>
  <c r="AD336" i="26"/>
  <c r="O356" i="26" s="1"/>
  <c r="W337" i="26"/>
  <c r="H357" i="26" s="1"/>
  <c r="Q340" i="26"/>
  <c r="B360" i="26" s="1"/>
  <c r="AO20" i="26"/>
  <c r="Z40" i="26" s="1"/>
  <c r="AH130" i="25"/>
  <c r="S150" i="25" s="1"/>
  <c r="AB133" i="25"/>
  <c r="M153" i="25" s="1"/>
  <c r="Y229" i="25"/>
  <c r="J249" i="25" s="1"/>
  <c r="AB237" i="25"/>
  <c r="M257" i="25" s="1"/>
  <c r="Q238" i="25"/>
  <c r="B258" i="25" s="1"/>
  <c r="AM238" i="25"/>
  <c r="X258" i="25" s="1"/>
  <c r="AB341" i="25"/>
  <c r="M361" i="25" s="1"/>
  <c r="AD346" i="25"/>
  <c r="O366" i="25" s="1"/>
  <c r="AJ347" i="25"/>
  <c r="U367" i="25" s="1"/>
  <c r="AH350" i="25"/>
  <c r="S370" i="25" s="1"/>
  <c r="T20" i="25"/>
  <c r="E40" i="25" s="1"/>
  <c r="W338" i="25"/>
  <c r="H358" i="25" s="1"/>
  <c r="AO240" i="25"/>
  <c r="Q14" i="26"/>
  <c r="B34" i="26" s="1"/>
  <c r="U16" i="26"/>
  <c r="F36" i="26" s="1"/>
  <c r="AK16" i="26"/>
  <c r="V36" i="26" s="1"/>
  <c r="AN18" i="26"/>
  <c r="Y38" i="26" s="1"/>
  <c r="Q20" i="26"/>
  <c r="B40" i="26" s="1"/>
  <c r="AN24" i="26"/>
  <c r="Y44" i="26" s="1"/>
  <c r="AC25" i="26"/>
  <c r="AF27" i="26"/>
  <c r="Q47" i="26" s="1"/>
  <c r="AK119" i="26"/>
  <c r="V139" i="26" s="1"/>
  <c r="R120" i="26"/>
  <c r="C140" i="26" s="1"/>
  <c r="AP120" i="26"/>
  <c r="AA140" i="26" s="1"/>
  <c r="AC122" i="26"/>
  <c r="N142" i="26" s="1"/>
  <c r="N160" i="26" s="1"/>
  <c r="AF123" i="26"/>
  <c r="Q143" i="26" s="1"/>
  <c r="V124" i="26"/>
  <c r="G144" i="26" s="1"/>
  <c r="AQ124" i="26"/>
  <c r="AB144" i="26" s="1"/>
  <c r="R129" i="26"/>
  <c r="C149" i="26" s="1"/>
  <c r="AM129" i="26"/>
  <c r="X149" i="26" s="1"/>
  <c r="Y130" i="26"/>
  <c r="J150" i="26" s="1"/>
  <c r="Q131" i="26"/>
  <c r="AM131" i="26"/>
  <c r="Q133" i="26"/>
  <c r="B153" i="26" s="1"/>
  <c r="AK133" i="26"/>
  <c r="V153" i="26" s="1"/>
  <c r="AF227" i="26"/>
  <c r="Q247" i="26" s="1"/>
  <c r="S234" i="26"/>
  <c r="D254" i="26" s="1"/>
  <c r="X236" i="26"/>
  <c r="I256" i="26" s="1"/>
  <c r="T241" i="26"/>
  <c r="E261" i="26" s="1"/>
  <c r="V335" i="26"/>
  <c r="G355" i="26" s="1"/>
  <c r="AB337" i="26"/>
  <c r="M357" i="26" s="1"/>
  <c r="AO339" i="26"/>
  <c r="Z359" i="26" s="1"/>
  <c r="Y340" i="26"/>
  <c r="J360" i="26" s="1"/>
  <c r="AG341" i="26"/>
  <c r="R361" i="26" s="1"/>
  <c r="AI346" i="26"/>
  <c r="T366" i="26" s="1"/>
  <c r="AK347" i="26"/>
  <c r="V367" i="26" s="1"/>
  <c r="AF122" i="26"/>
  <c r="Q142" i="26" s="1"/>
  <c r="AE230" i="26"/>
  <c r="P250" i="26" s="1"/>
  <c r="U241" i="26"/>
  <c r="F261" i="26" s="1"/>
  <c r="AM339" i="26"/>
  <c r="X359" i="26" s="1"/>
  <c r="AH340" i="26"/>
  <c r="S360" i="26" s="1"/>
  <c r="AQ346" i="26"/>
  <c r="AB366" i="26" s="1"/>
  <c r="AK350" i="26"/>
  <c r="V370" i="26" s="1"/>
  <c r="AK125" i="26"/>
  <c r="V145" i="26" s="1"/>
  <c r="W342" i="26"/>
  <c r="H362" i="26" s="1"/>
  <c r="X342" i="26"/>
  <c r="I362" i="26" s="1"/>
  <c r="Z342" i="26"/>
  <c r="K362" i="26" s="1"/>
  <c r="AE342" i="26"/>
  <c r="P362" i="26" s="1"/>
  <c r="Z345" i="26"/>
  <c r="K365" i="26" s="1"/>
  <c r="AF342" i="26"/>
  <c r="Q362" i="26" s="1"/>
  <c r="AP233" i="26"/>
  <c r="AA253" i="26" s="1"/>
  <c r="T233" i="26"/>
  <c r="E253" i="26" s="1"/>
  <c r="Z125" i="26"/>
  <c r="K145" i="26" s="1"/>
  <c r="R340" i="26"/>
  <c r="C360" i="26" s="1"/>
  <c r="C378" i="26" s="1"/>
  <c r="AO340" i="26"/>
  <c r="Z360" i="26" s="1"/>
  <c r="T340" i="26"/>
  <c r="E360" i="26" s="1"/>
  <c r="AP340" i="26"/>
  <c r="AA360" i="26" s="1"/>
  <c r="Z340" i="26"/>
  <c r="K360" i="26" s="1"/>
  <c r="AB340" i="26"/>
  <c r="M360" i="26" s="1"/>
  <c r="AL340" i="26"/>
  <c r="W360" i="26" s="1"/>
  <c r="AD226" i="26"/>
  <c r="O246" i="26" s="1"/>
  <c r="AN26" i="26"/>
  <c r="X22" i="26"/>
  <c r="I42" i="26" s="1"/>
  <c r="AD20" i="26"/>
  <c r="O40" i="26" s="1"/>
  <c r="U20" i="26"/>
  <c r="F40" i="26" s="1"/>
  <c r="AH20" i="26"/>
  <c r="S40" i="26" s="1"/>
  <c r="R20" i="26"/>
  <c r="C40" i="26" s="1"/>
  <c r="AG20" i="26"/>
  <c r="R40" i="26" s="1"/>
  <c r="S20" i="26"/>
  <c r="D40" i="26" s="1"/>
  <c r="AB19" i="26"/>
  <c r="M39" i="26" s="1"/>
  <c r="AH19" i="26"/>
  <c r="S39" i="26" s="1"/>
  <c r="AP19" i="26"/>
  <c r="AA39" i="26" s="1"/>
  <c r="AA12" i="26"/>
  <c r="L32" i="26" s="1"/>
  <c r="AA11" i="26"/>
  <c r="L31" i="26" s="1"/>
  <c r="Q13" i="26"/>
  <c r="B33" i="26" s="1"/>
  <c r="AP13" i="26"/>
  <c r="AA33" i="26" s="1"/>
  <c r="AR18" i="26"/>
  <c r="AC38" i="26" s="1"/>
  <c r="AB11" i="26"/>
  <c r="M31" i="26" s="1"/>
  <c r="Q12" i="26"/>
  <c r="B32" i="26" s="1"/>
  <c r="AP12" i="26"/>
  <c r="AA32" i="26" s="1"/>
  <c r="AF13" i="26"/>
  <c r="Q33" i="26" s="1"/>
  <c r="AR13" i="26"/>
  <c r="AC33" i="26" s="1"/>
  <c r="AG14" i="26"/>
  <c r="R34" i="26" s="1"/>
  <c r="W15" i="26"/>
  <c r="H35" i="26" s="1"/>
  <c r="AI15" i="26"/>
  <c r="T35" i="26" s="1"/>
  <c r="AI16" i="26"/>
  <c r="T36" i="26" s="1"/>
  <c r="AA16" i="26"/>
  <c r="L36" i="26" s="1"/>
  <c r="S16" i="26"/>
  <c r="D36" i="26" s="1"/>
  <c r="AL16" i="26"/>
  <c r="W36" i="26" s="1"/>
  <c r="AC17" i="26"/>
  <c r="N37" i="26" s="1"/>
  <c r="AO17" i="26"/>
  <c r="Z37" i="26" s="1"/>
  <c r="AF18" i="26"/>
  <c r="Q38" i="26" s="1"/>
  <c r="V19" i="26"/>
  <c r="G39" i="26" s="1"/>
  <c r="AK22" i="26"/>
  <c r="V42" i="26" s="1"/>
  <c r="AA23" i="26"/>
  <c r="L43" i="26" s="1"/>
  <c r="AK24" i="26"/>
  <c r="V44" i="26" s="1"/>
  <c r="AC24" i="26"/>
  <c r="N44" i="26" s="1"/>
  <c r="U24" i="26"/>
  <c r="F44" i="26" s="1"/>
  <c r="AR24" i="26"/>
  <c r="AC44" i="26" s="1"/>
  <c r="AJ24" i="26"/>
  <c r="U44" i="26" s="1"/>
  <c r="AB24" i="26"/>
  <c r="M44" i="26" s="1"/>
  <c r="T24" i="26"/>
  <c r="E44" i="26" s="1"/>
  <c r="AO24" i="26"/>
  <c r="Z44" i="26" s="1"/>
  <c r="AG24" i="26"/>
  <c r="R44" i="26" s="1"/>
  <c r="Y24" i="26"/>
  <c r="J44" i="26" s="1"/>
  <c r="Q24" i="26"/>
  <c r="B44" i="26" s="1"/>
  <c r="R25" i="26"/>
  <c r="AJ26" i="26"/>
  <c r="AA27" i="26"/>
  <c r="L47" i="26" s="1"/>
  <c r="R11" i="26"/>
  <c r="C31" i="26" s="1"/>
  <c r="AD11" i="26"/>
  <c r="O31" i="26" s="1"/>
  <c r="AQ11" i="26"/>
  <c r="AB31" i="26" s="1"/>
  <c r="R12" i="26"/>
  <c r="C32" i="26" s="1"/>
  <c r="AD12" i="26"/>
  <c r="O32" i="26" s="1"/>
  <c r="AQ12" i="26"/>
  <c r="AB32" i="26" s="1"/>
  <c r="T13" i="26"/>
  <c r="E33" i="26" s="1"/>
  <c r="AG13" i="26"/>
  <c r="R33" i="26" s="1"/>
  <c r="W14" i="26"/>
  <c r="H34" i="26" s="1"/>
  <c r="AI14" i="26"/>
  <c r="T34" i="26" s="1"/>
  <c r="X15" i="26"/>
  <c r="I35" i="26" s="1"/>
  <c r="AL15" i="26"/>
  <c r="W35" i="26" s="1"/>
  <c r="Z16" i="26"/>
  <c r="K36" i="26" s="1"/>
  <c r="AM16" i="26"/>
  <c r="X36" i="26" s="1"/>
  <c r="Q17" i="26"/>
  <c r="B37" i="26" s="1"/>
  <c r="AD17" i="26"/>
  <c r="O37" i="26" s="1"/>
  <c r="AR17" i="26"/>
  <c r="AC37" i="26" s="1"/>
  <c r="U18" i="26"/>
  <c r="F38" i="26" s="1"/>
  <c r="AI18" i="26"/>
  <c r="T38" i="26" s="1"/>
  <c r="W19" i="26"/>
  <c r="H39" i="26" s="1"/>
  <c r="AJ19" i="26"/>
  <c r="U39" i="26" s="1"/>
  <c r="AM20" i="26"/>
  <c r="X40" i="26" s="1"/>
  <c r="AE20" i="26"/>
  <c r="P40" i="26" s="1"/>
  <c r="W20" i="26"/>
  <c r="H40" i="26" s="1"/>
  <c r="Y20" i="26"/>
  <c r="J40" i="26" s="1"/>
  <c r="AK20" i="26"/>
  <c r="V40" i="26" s="1"/>
  <c r="Z22" i="26"/>
  <c r="K42" i="26" s="1"/>
  <c r="AN22" i="26"/>
  <c r="Y42" i="26" s="1"/>
  <c r="AL23" i="26"/>
  <c r="W43" i="26" s="1"/>
  <c r="AD23" i="26"/>
  <c r="O43" i="26" s="1"/>
  <c r="V23" i="26"/>
  <c r="G43" i="26" s="1"/>
  <c r="AK23" i="26"/>
  <c r="V43" i="26" s="1"/>
  <c r="AC23" i="26"/>
  <c r="N43" i="26" s="1"/>
  <c r="U23" i="26"/>
  <c r="F43" i="26" s="1"/>
  <c r="AP23" i="26"/>
  <c r="AA43" i="26" s="1"/>
  <c r="AH23" i="26"/>
  <c r="S43" i="26" s="1"/>
  <c r="Z23" i="26"/>
  <c r="K43" i="26" s="1"/>
  <c r="R23" i="26"/>
  <c r="C43" i="26" s="1"/>
  <c r="AB23" i="26"/>
  <c r="M43" i="26" s="1"/>
  <c r="AO23" i="26"/>
  <c r="Z43" i="26" s="1"/>
  <c r="R24" i="26"/>
  <c r="C44" i="26" s="1"/>
  <c r="AE24" i="26"/>
  <c r="P44" i="26" s="1"/>
  <c r="AQ24" i="26"/>
  <c r="AB44" i="26" s="1"/>
  <c r="U25" i="26"/>
  <c r="AG25" i="26"/>
  <c r="X26" i="26"/>
  <c r="AK26" i="26"/>
  <c r="AB27" i="26"/>
  <c r="M47" i="26" s="1"/>
  <c r="A64" i="26"/>
  <c r="T118" i="26"/>
  <c r="E138" i="26" s="1"/>
  <c r="AE11" i="26"/>
  <c r="P31" i="26" s="1"/>
  <c r="AH13" i="26"/>
  <c r="S33" i="26" s="1"/>
  <c r="AJ14" i="26"/>
  <c r="U34" i="26" s="1"/>
  <c r="Z15" i="26"/>
  <c r="K35" i="26" s="1"/>
  <c r="AM15" i="26"/>
  <c r="X35" i="26" s="1"/>
  <c r="T17" i="26"/>
  <c r="E37" i="26" s="1"/>
  <c r="AJ18" i="26"/>
  <c r="U38" i="26" s="1"/>
  <c r="Z19" i="26"/>
  <c r="K39" i="26" s="1"/>
  <c r="AB22" i="26"/>
  <c r="M42" i="26" s="1"/>
  <c r="S24" i="26"/>
  <c r="D44" i="26" s="1"/>
  <c r="AP27" i="26"/>
  <c r="AA47" i="26" s="1"/>
  <c r="AH27" i="26"/>
  <c r="S47" i="26" s="1"/>
  <c r="Z27" i="26"/>
  <c r="K47" i="26" s="1"/>
  <c r="R27" i="26"/>
  <c r="C47" i="26" s="1"/>
  <c r="AO27" i="26"/>
  <c r="Z47" i="26" s="1"/>
  <c r="AG27" i="26"/>
  <c r="R47" i="26" s="1"/>
  <c r="Y27" i="26"/>
  <c r="J47" i="26" s="1"/>
  <c r="Q27" i="26"/>
  <c r="B47" i="26" s="1"/>
  <c r="AL27" i="26"/>
  <c r="W47" i="26" s="1"/>
  <c r="AD27" i="26"/>
  <c r="O47" i="26" s="1"/>
  <c r="V27" i="26"/>
  <c r="G47" i="26" s="1"/>
  <c r="AQ27" i="26"/>
  <c r="AB47" i="26" s="1"/>
  <c r="A79" i="26"/>
  <c r="A67" i="26"/>
  <c r="AB118" i="26"/>
  <c r="M138" i="26" s="1"/>
  <c r="Z132" i="26"/>
  <c r="AP132" i="26"/>
  <c r="T132" i="26"/>
  <c r="AN132" i="26"/>
  <c r="S132" i="26"/>
  <c r="AJ132" i="26"/>
  <c r="AE132" i="26"/>
  <c r="AD132" i="26"/>
  <c r="A183" i="26"/>
  <c r="A171" i="26"/>
  <c r="S11" i="26"/>
  <c r="D31" i="26" s="1"/>
  <c r="AR11" i="26"/>
  <c r="AC31" i="26" s="1"/>
  <c r="U13" i="26"/>
  <c r="F33" i="26" s="1"/>
  <c r="X14" i="26"/>
  <c r="I34" i="26" s="1"/>
  <c r="AF17" i="26"/>
  <c r="Q37" i="26" s="1"/>
  <c r="W18" i="26"/>
  <c r="H38" i="26" s="1"/>
  <c r="AL19" i="26"/>
  <c r="W39" i="26" s="1"/>
  <c r="AM22" i="26"/>
  <c r="X42" i="26" s="1"/>
  <c r="AE22" i="26"/>
  <c r="P42" i="26" s="1"/>
  <c r="W22" i="26"/>
  <c r="H42" i="26" s="1"/>
  <c r="AL22" i="26"/>
  <c r="W42" i="26" s="1"/>
  <c r="AD22" i="26"/>
  <c r="O42" i="26" s="1"/>
  <c r="V22" i="26"/>
  <c r="G42" i="26" s="1"/>
  <c r="AQ22" i="26"/>
  <c r="AB42" i="26" s="1"/>
  <c r="AI22" i="26"/>
  <c r="T42" i="26" s="1"/>
  <c r="AA22" i="26"/>
  <c r="L42" i="26" s="1"/>
  <c r="S22" i="26"/>
  <c r="D42" i="26" s="1"/>
  <c r="AF24" i="26"/>
  <c r="Q44" i="26" s="1"/>
  <c r="V25" i="26"/>
  <c r="AH25" i="26"/>
  <c r="Y26" i="26"/>
  <c r="AL26" i="26"/>
  <c r="AC27" i="26"/>
  <c r="N47" i="26" s="1"/>
  <c r="T11" i="26"/>
  <c r="E31" i="26" s="1"/>
  <c r="AH11" i="26"/>
  <c r="S31" i="26" s="1"/>
  <c r="U12" i="26"/>
  <c r="F32" i="26" s="1"/>
  <c r="X13" i="26"/>
  <c r="I33" i="26" s="1"/>
  <c r="AJ13" i="26"/>
  <c r="U33" i="26" s="1"/>
  <c r="Y14" i="26"/>
  <c r="J34" i="26" s="1"/>
  <c r="AA15" i="26"/>
  <c r="L35" i="26" s="1"/>
  <c r="Q16" i="26"/>
  <c r="B36" i="26" s="1"/>
  <c r="AD16" i="26"/>
  <c r="O36" i="26" s="1"/>
  <c r="AP16" i="26"/>
  <c r="AA36" i="26" s="1"/>
  <c r="U17" i="26"/>
  <c r="F37" i="26" s="1"/>
  <c r="X18" i="26"/>
  <c r="I38" i="26" s="1"/>
  <c r="AK18" i="26"/>
  <c r="V38" i="26" s="1"/>
  <c r="AA19" i="26"/>
  <c r="L39" i="26" s="1"/>
  <c r="AM19" i="26"/>
  <c r="X39" i="26" s="1"/>
  <c r="Q22" i="26"/>
  <c r="B42" i="26" s="1"/>
  <c r="AC22" i="26"/>
  <c r="N42" i="26" s="1"/>
  <c r="AP22" i="26"/>
  <c r="AA42" i="26" s="1"/>
  <c r="S23" i="26"/>
  <c r="D43" i="26" s="1"/>
  <c r="AF23" i="26"/>
  <c r="Q43" i="26" s="1"/>
  <c r="AR23" i="26"/>
  <c r="AC43" i="26" s="1"/>
  <c r="V24" i="26"/>
  <c r="G44" i="26" s="1"/>
  <c r="AH24" i="26"/>
  <c r="S44" i="26" s="1"/>
  <c r="W25" i="26"/>
  <c r="AK25" i="26"/>
  <c r="AB26" i="26"/>
  <c r="S27" i="26"/>
  <c r="D47" i="26" s="1"/>
  <c r="AE27" i="26"/>
  <c r="P47" i="26" s="1"/>
  <c r="AR27" i="26"/>
  <c r="AC47" i="26" s="1"/>
  <c r="A77" i="26"/>
  <c r="A65" i="26"/>
  <c r="AD118" i="26"/>
  <c r="O138" i="26" s="1"/>
  <c r="AM125" i="26"/>
  <c r="X145" i="26" s="1"/>
  <c r="AE125" i="26"/>
  <c r="P145" i="26" s="1"/>
  <c r="W125" i="26"/>
  <c r="H145" i="26" s="1"/>
  <c r="AQ125" i="26"/>
  <c r="AB145" i="26" s="1"/>
  <c r="AI125" i="26"/>
  <c r="T145" i="26" s="1"/>
  <c r="AA125" i="26"/>
  <c r="L145" i="26" s="1"/>
  <c r="S125" i="26"/>
  <c r="D145" i="26" s="1"/>
  <c r="AR125" i="26"/>
  <c r="AC145" i="26" s="1"/>
  <c r="AG125" i="26"/>
  <c r="R145" i="26" s="1"/>
  <c r="V125" i="26"/>
  <c r="G145" i="26" s="1"/>
  <c r="AP125" i="26"/>
  <c r="AA145" i="26" s="1"/>
  <c r="AF125" i="26"/>
  <c r="Q145" i="26" s="1"/>
  <c r="U125" i="26"/>
  <c r="F145" i="26" s="1"/>
  <c r="AN125" i="26"/>
  <c r="Y145" i="26" s="1"/>
  <c r="AC125" i="26"/>
  <c r="N145" i="26" s="1"/>
  <c r="R125" i="26"/>
  <c r="C145" i="26" s="1"/>
  <c r="AL125" i="26"/>
  <c r="W145" i="26" s="1"/>
  <c r="AB125" i="26"/>
  <c r="M145" i="26" s="1"/>
  <c r="Q125" i="26"/>
  <c r="B145" i="26" s="1"/>
  <c r="AO125" i="26"/>
  <c r="Z145" i="26" s="1"/>
  <c r="T125" i="26"/>
  <c r="E145" i="26" s="1"/>
  <c r="AJ125" i="26"/>
  <c r="U145" i="26" s="1"/>
  <c r="AH125" i="26"/>
  <c r="S145" i="26" s="1"/>
  <c r="AD125" i="26"/>
  <c r="O145" i="26" s="1"/>
  <c r="Y125" i="26"/>
  <c r="J145" i="26" s="1"/>
  <c r="X125" i="26"/>
  <c r="I145" i="26" s="1"/>
  <c r="V11" i="26"/>
  <c r="G31" i="26" s="1"/>
  <c r="AI11" i="26"/>
  <c r="T31" i="26" s="1"/>
  <c r="Y13" i="26"/>
  <c r="J33" i="26" s="1"/>
  <c r="AK13" i="26"/>
  <c r="V33" i="26" s="1"/>
  <c r="AA14" i="26"/>
  <c r="L34" i="26" s="1"/>
  <c r="AK15" i="26"/>
  <c r="V35" i="26" s="1"/>
  <c r="AC15" i="26"/>
  <c r="N35" i="26" s="1"/>
  <c r="U15" i="26"/>
  <c r="F35" i="26" s="1"/>
  <c r="AR15" i="26"/>
  <c r="AC35" i="26" s="1"/>
  <c r="AJ15" i="26"/>
  <c r="U35" i="26" s="1"/>
  <c r="AB15" i="26"/>
  <c r="M35" i="26" s="1"/>
  <c r="T15" i="26"/>
  <c r="E35" i="26" s="1"/>
  <c r="AO15" i="26"/>
  <c r="Z35" i="26" s="1"/>
  <c r="AG15" i="26"/>
  <c r="R35" i="26" s="1"/>
  <c r="Y15" i="26"/>
  <c r="J35" i="26" s="1"/>
  <c r="Q15" i="26"/>
  <c r="B35" i="26" s="1"/>
  <c r="AD15" i="26"/>
  <c r="O35" i="26" s="1"/>
  <c r="AP15" i="26"/>
  <c r="AA35" i="26" s="1"/>
  <c r="V17" i="26"/>
  <c r="G37" i="26" s="1"/>
  <c r="AJ17" i="26"/>
  <c r="U37" i="26" s="1"/>
  <c r="AA18" i="26"/>
  <c r="L38" i="26" s="1"/>
  <c r="AM18" i="26"/>
  <c r="X38" i="26" s="1"/>
  <c r="W24" i="26"/>
  <c r="H44" i="26" s="1"/>
  <c r="AI24" i="26"/>
  <c r="T44" i="26" s="1"/>
  <c r="Y25" i="26"/>
  <c r="AL25" i="26"/>
  <c r="AQ26" i="26"/>
  <c r="AI26" i="26"/>
  <c r="AA26" i="26"/>
  <c r="S26" i="26"/>
  <c r="AP26" i="26"/>
  <c r="AH26" i="26"/>
  <c r="Z26" i="26"/>
  <c r="R26" i="26"/>
  <c r="AM26" i="26"/>
  <c r="AE26" i="26"/>
  <c r="W26" i="26"/>
  <c r="AC26" i="26"/>
  <c r="AO26" i="26"/>
  <c r="A62" i="26"/>
  <c r="A74" i="26"/>
  <c r="AJ118" i="26"/>
  <c r="U138" i="26" s="1"/>
  <c r="V132" i="26"/>
  <c r="W11" i="26"/>
  <c r="H31" i="26" s="1"/>
  <c r="AJ11" i="26"/>
  <c r="U31" i="26" s="1"/>
  <c r="AE12" i="26"/>
  <c r="P32" i="26" s="1"/>
  <c r="W12" i="26"/>
  <c r="H32" i="26" s="1"/>
  <c r="Y12" i="26"/>
  <c r="J32" i="26" s="1"/>
  <c r="AK12" i="26"/>
  <c r="V32" i="26" s="1"/>
  <c r="Z13" i="26"/>
  <c r="K33" i="26" s="1"/>
  <c r="AL14" i="26"/>
  <c r="W34" i="26" s="1"/>
  <c r="AD14" i="26"/>
  <c r="O34" i="26" s="1"/>
  <c r="V14" i="26"/>
  <c r="G34" i="26" s="1"/>
  <c r="AK14" i="26"/>
  <c r="V34" i="26" s="1"/>
  <c r="AC14" i="26"/>
  <c r="N34" i="26" s="1"/>
  <c r="U14" i="26"/>
  <c r="F34" i="26" s="1"/>
  <c r="AP14" i="26"/>
  <c r="AA34" i="26" s="1"/>
  <c r="AH14" i="26"/>
  <c r="S34" i="26" s="1"/>
  <c r="Z14" i="26"/>
  <c r="K34" i="26" s="1"/>
  <c r="R14" i="26"/>
  <c r="C34" i="26" s="1"/>
  <c r="AB14" i="26"/>
  <c r="M34" i="26" s="1"/>
  <c r="AO14" i="26"/>
  <c r="Z34" i="26" s="1"/>
  <c r="R15" i="26"/>
  <c r="C35" i="26" s="1"/>
  <c r="AE15" i="26"/>
  <c r="P35" i="26" s="1"/>
  <c r="AQ15" i="26"/>
  <c r="AB35" i="26" s="1"/>
  <c r="X17" i="26"/>
  <c r="I37" i="26" s="1"/>
  <c r="AK17" i="26"/>
  <c r="V37" i="26" s="1"/>
  <c r="AB18" i="26"/>
  <c r="M38" i="26" s="1"/>
  <c r="R19" i="26"/>
  <c r="C39" i="26" s="1"/>
  <c r="AD19" i="26"/>
  <c r="O39" i="26" s="1"/>
  <c r="AQ19" i="26"/>
  <c r="AB39" i="26" s="1"/>
  <c r="T22" i="26"/>
  <c r="E42" i="26" s="1"/>
  <c r="AG22" i="26"/>
  <c r="R42" i="26" s="1"/>
  <c r="W23" i="26"/>
  <c r="H43" i="26" s="1"/>
  <c r="AI23" i="26"/>
  <c r="T43" i="26" s="1"/>
  <c r="X24" i="26"/>
  <c r="I44" i="26" s="1"/>
  <c r="AL24" i="26"/>
  <c r="W44" i="26" s="1"/>
  <c r="Z25" i="26"/>
  <c r="AM25" i="26"/>
  <c r="Q26" i="26"/>
  <c r="AD26" i="26"/>
  <c r="AR26" i="26"/>
  <c r="U27" i="26"/>
  <c r="F47" i="26" s="1"/>
  <c r="AI27" i="26"/>
  <c r="T47" i="26" s="1"/>
  <c r="A75" i="26"/>
  <c r="AF132" i="26"/>
  <c r="A172" i="26"/>
  <c r="A184" i="26"/>
  <c r="Z11" i="26"/>
  <c r="K31" i="26" s="1"/>
  <c r="AL11" i="26"/>
  <c r="W31" i="26" s="1"/>
  <c r="AM13" i="26"/>
  <c r="X33" i="26" s="1"/>
  <c r="AE13" i="26"/>
  <c r="P33" i="26" s="1"/>
  <c r="W13" i="26"/>
  <c r="H33" i="26" s="1"/>
  <c r="AL13" i="26"/>
  <c r="W33" i="26" s="1"/>
  <c r="AD13" i="26"/>
  <c r="O33" i="26" s="1"/>
  <c r="V13" i="26"/>
  <c r="G33" i="26" s="1"/>
  <c r="AQ13" i="26"/>
  <c r="AB33" i="26" s="1"/>
  <c r="AI13" i="26"/>
  <c r="T33" i="26" s="1"/>
  <c r="AA13" i="26"/>
  <c r="L33" i="26" s="1"/>
  <c r="S13" i="26"/>
  <c r="D33" i="26" s="1"/>
  <c r="AB13" i="26"/>
  <c r="M33" i="26" s="1"/>
  <c r="AO13" i="26"/>
  <c r="Z33" i="26" s="1"/>
  <c r="Y17" i="26"/>
  <c r="J37" i="26" s="1"/>
  <c r="AL17" i="26"/>
  <c r="W37" i="26" s="1"/>
  <c r="AP18" i="26"/>
  <c r="AA38" i="26" s="1"/>
  <c r="AH18" i="26"/>
  <c r="S38" i="26" s="1"/>
  <c r="Z18" i="26"/>
  <c r="K38" i="26" s="1"/>
  <c r="R18" i="26"/>
  <c r="C38" i="26" s="1"/>
  <c r="AO18" i="26"/>
  <c r="Z38" i="26" s="1"/>
  <c r="AG18" i="26"/>
  <c r="R38" i="26" s="1"/>
  <c r="Y18" i="26"/>
  <c r="J38" i="26" s="1"/>
  <c r="Q18" i="26"/>
  <c r="B38" i="26" s="1"/>
  <c r="AL18" i="26"/>
  <c r="W38" i="26" s="1"/>
  <c r="AD18" i="26"/>
  <c r="O38" i="26" s="1"/>
  <c r="V18" i="26"/>
  <c r="G38" i="26" s="1"/>
  <c r="AC18" i="26"/>
  <c r="N38" i="26" s="1"/>
  <c r="AQ18" i="26"/>
  <c r="AB38" i="26" s="1"/>
  <c r="Z24" i="26"/>
  <c r="K44" i="26" s="1"/>
  <c r="AP118" i="26"/>
  <c r="AA138" i="26" s="1"/>
  <c r="AH118" i="26"/>
  <c r="S138" i="26" s="1"/>
  <c r="Z118" i="26"/>
  <c r="K138" i="26" s="1"/>
  <c r="R118" i="26"/>
  <c r="C138" i="26" s="1"/>
  <c r="AC118" i="26"/>
  <c r="N138" i="26" s="1"/>
  <c r="AO118" i="26"/>
  <c r="Z138" i="26" s="1"/>
  <c r="Y118" i="26"/>
  <c r="J138" i="26" s="1"/>
  <c r="AL118" i="26"/>
  <c r="W138" i="26" s="1"/>
  <c r="V118" i="26"/>
  <c r="G138" i="26" s="1"/>
  <c r="AK118" i="26"/>
  <c r="V138" i="26" s="1"/>
  <c r="U118" i="26"/>
  <c r="F138" i="26" s="1"/>
  <c r="AG118" i="26"/>
  <c r="R138" i="26" s="1"/>
  <c r="Q118" i="26"/>
  <c r="B138" i="26" s="1"/>
  <c r="AQ132" i="26"/>
  <c r="AB17" i="26"/>
  <c r="M37" i="26" s="1"/>
  <c r="AE18" i="26"/>
  <c r="P38" i="26" s="1"/>
  <c r="AA24" i="26"/>
  <c r="L44" i="26" s="1"/>
  <c r="AM11" i="26"/>
  <c r="X31" i="26" s="1"/>
  <c r="AC13" i="26"/>
  <c r="N33" i="26" s="1"/>
  <c r="AO11" i="26"/>
  <c r="Z31" i="26" s="1"/>
  <c r="AC12" i="26"/>
  <c r="N32" i="26" s="1"/>
  <c r="R13" i="26"/>
  <c r="C33" i="26" s="1"/>
  <c r="T14" i="26"/>
  <c r="E34" i="26" s="1"/>
  <c r="AQ17" i="26"/>
  <c r="AB37" i="26" s="1"/>
  <c r="AI17" i="26"/>
  <c r="T37" i="26" s="1"/>
  <c r="AA17" i="26"/>
  <c r="L37" i="26" s="1"/>
  <c r="S17" i="26"/>
  <c r="D37" i="26" s="1"/>
  <c r="AP17" i="26"/>
  <c r="AA37" i="26" s="1"/>
  <c r="AH17" i="26"/>
  <c r="S37" i="26" s="1"/>
  <c r="Z17" i="26"/>
  <c r="K37" i="26" s="1"/>
  <c r="R17" i="26"/>
  <c r="C37" i="26" s="1"/>
  <c r="AM17" i="26"/>
  <c r="X37" i="26" s="1"/>
  <c r="AE17" i="26"/>
  <c r="P37" i="26" s="1"/>
  <c r="W17" i="26"/>
  <c r="H37" i="26" s="1"/>
  <c r="T18" i="26"/>
  <c r="E38" i="26" s="1"/>
  <c r="Y22" i="26"/>
  <c r="J42" i="26" s="1"/>
  <c r="AD24" i="26"/>
  <c r="O44" i="26" s="1"/>
  <c r="AP24" i="26"/>
  <c r="AA44" i="26" s="1"/>
  <c r="AE25" i="26"/>
  <c r="V26" i="26"/>
  <c r="AM27" i="26"/>
  <c r="X47" i="26" s="1"/>
  <c r="A81" i="26"/>
  <c r="A69" i="26"/>
  <c r="AQ118" i="26"/>
  <c r="AB138" i="26" s="1"/>
  <c r="AP121" i="26"/>
  <c r="AA141" i="26" s="1"/>
  <c r="AF121" i="26"/>
  <c r="Q141" i="26" s="1"/>
  <c r="W121" i="26"/>
  <c r="H141" i="26" s="1"/>
  <c r="AN121" i="26"/>
  <c r="Y141" i="26" s="1"/>
  <c r="AD121" i="26"/>
  <c r="O141" i="26" s="1"/>
  <c r="U121" i="26"/>
  <c r="F141" i="26" s="1"/>
  <c r="Z121" i="26"/>
  <c r="K141" i="26" s="1"/>
  <c r="U11" i="26"/>
  <c r="F31" i="26" s="1"/>
  <c r="AC11" i="26"/>
  <c r="N31" i="26" s="1"/>
  <c r="AK11" i="26"/>
  <c r="V31" i="26" s="1"/>
  <c r="T12" i="26"/>
  <c r="E32" i="26" s="1"/>
  <c r="AB12" i="26"/>
  <c r="M32" i="26" s="1"/>
  <c r="AJ12" i="26"/>
  <c r="U32" i="26" s="1"/>
  <c r="AR12" i="26"/>
  <c r="AC32" i="26" s="1"/>
  <c r="X16" i="26"/>
  <c r="I36" i="26" s="1"/>
  <c r="AF16" i="26"/>
  <c r="Q36" i="26" s="1"/>
  <c r="AN16" i="26"/>
  <c r="Y36" i="26" s="1"/>
  <c r="U19" i="26"/>
  <c r="F39" i="26" s="1"/>
  <c r="AC19" i="26"/>
  <c r="N39" i="26" s="1"/>
  <c r="AK19" i="26"/>
  <c r="V39" i="26" s="1"/>
  <c r="T20" i="26"/>
  <c r="E40" i="26" s="1"/>
  <c r="AB20" i="26"/>
  <c r="M40" i="26" s="1"/>
  <c r="AJ20" i="26"/>
  <c r="U40" i="26" s="1"/>
  <c r="AR20" i="26"/>
  <c r="AC40" i="26" s="1"/>
  <c r="X25" i="26"/>
  <c r="AF25" i="26"/>
  <c r="AN25" i="26"/>
  <c r="AL117" i="26"/>
  <c r="W137" i="26" s="1"/>
  <c r="AB119" i="26"/>
  <c r="M139" i="26" s="1"/>
  <c r="T120" i="26"/>
  <c r="E140" i="26" s="1"/>
  <c r="AJ120" i="26"/>
  <c r="U140" i="26" s="1"/>
  <c r="AB121" i="26"/>
  <c r="M141" i="26" s="1"/>
  <c r="V123" i="26"/>
  <c r="G143" i="26" s="1"/>
  <c r="AQ123" i="26"/>
  <c r="AB143" i="26" s="1"/>
  <c r="Z130" i="26"/>
  <c r="K150" i="26" s="1"/>
  <c r="A185" i="26"/>
  <c r="A173" i="26"/>
  <c r="A66" i="26"/>
  <c r="AP119" i="26"/>
  <c r="AA139" i="26" s="1"/>
  <c r="AH119" i="26"/>
  <c r="S139" i="26" s="1"/>
  <c r="Z119" i="26"/>
  <c r="K139" i="26" s="1"/>
  <c r="R119" i="26"/>
  <c r="C139" i="26" s="1"/>
  <c r="AO119" i="26"/>
  <c r="Z139" i="26" s="1"/>
  <c r="AG119" i="26"/>
  <c r="R139" i="26" s="1"/>
  <c r="Y119" i="26"/>
  <c r="J139" i="26" s="1"/>
  <c r="Q119" i="26"/>
  <c r="B139" i="26" s="1"/>
  <c r="AM119" i="26"/>
  <c r="X139" i="26" s="1"/>
  <c r="AE119" i="26"/>
  <c r="P139" i="26" s="1"/>
  <c r="W119" i="26"/>
  <c r="H139" i="26" s="1"/>
  <c r="AL119" i="26"/>
  <c r="W139" i="26" s="1"/>
  <c r="AD119" i="26"/>
  <c r="O139" i="26" s="1"/>
  <c r="V119" i="26"/>
  <c r="G139" i="26" s="1"/>
  <c r="AF119" i="26"/>
  <c r="Q139" i="26" s="1"/>
  <c r="Q121" i="26"/>
  <c r="B141" i="26" s="1"/>
  <c r="AH121" i="26"/>
  <c r="S141" i="26" s="1"/>
  <c r="AH130" i="26"/>
  <c r="S150" i="26" s="1"/>
  <c r="AI132" i="26"/>
  <c r="X11" i="26"/>
  <c r="I31" i="26" s="1"/>
  <c r="AF11" i="26"/>
  <c r="Q31" i="26" s="1"/>
  <c r="AN11" i="26"/>
  <c r="Y31" i="26" s="1"/>
  <c r="AM12" i="26"/>
  <c r="X32" i="26" s="1"/>
  <c r="AQ16" i="26"/>
  <c r="AB36" i="26" s="1"/>
  <c r="X19" i="26"/>
  <c r="I39" i="26" s="1"/>
  <c r="AF19" i="26"/>
  <c r="Q39" i="26" s="1"/>
  <c r="AN19" i="26"/>
  <c r="Y39" i="26" s="1"/>
  <c r="AA25" i="26"/>
  <c r="AI25" i="26"/>
  <c r="AQ25" i="26"/>
  <c r="AR117" i="26"/>
  <c r="AC137" i="26" s="1"/>
  <c r="AJ117" i="26"/>
  <c r="U137" i="26" s="1"/>
  <c r="AB117" i="26"/>
  <c r="M137" i="26" s="1"/>
  <c r="T117" i="26"/>
  <c r="E137" i="26" s="1"/>
  <c r="AQ117" i="26"/>
  <c r="AB137" i="26" s="1"/>
  <c r="AI117" i="26"/>
  <c r="T137" i="26" s="1"/>
  <c r="AA117" i="26"/>
  <c r="L137" i="26" s="1"/>
  <c r="S117" i="26"/>
  <c r="D137" i="26" s="1"/>
  <c r="AO117" i="26"/>
  <c r="Z137" i="26" s="1"/>
  <c r="AG117" i="26"/>
  <c r="R137" i="26" s="1"/>
  <c r="Y117" i="26"/>
  <c r="J137" i="26" s="1"/>
  <c r="Q117" i="26"/>
  <c r="B137" i="26" s="1"/>
  <c r="AC117" i="26"/>
  <c r="N137" i="26" s="1"/>
  <c r="S119" i="26"/>
  <c r="D139" i="26" s="1"/>
  <c r="AI119" i="26"/>
  <c r="T139" i="26" s="1"/>
  <c r="AA120" i="26"/>
  <c r="L140" i="26" s="1"/>
  <c r="AQ120" i="26"/>
  <c r="AB140" i="26" s="1"/>
  <c r="R121" i="26"/>
  <c r="C141" i="26" s="1"/>
  <c r="AJ121" i="26"/>
  <c r="U141" i="26" s="1"/>
  <c r="AE123" i="26"/>
  <c r="P143" i="26" s="1"/>
  <c r="Q11" i="26"/>
  <c r="B31" i="26" s="1"/>
  <c r="Y11" i="26"/>
  <c r="J31" i="26" s="1"/>
  <c r="AG11" i="26"/>
  <c r="R31" i="26" s="1"/>
  <c r="X12" i="26"/>
  <c r="I32" i="26" s="1"/>
  <c r="AF12" i="26"/>
  <c r="Q32" i="26" s="1"/>
  <c r="T16" i="26"/>
  <c r="E36" i="26" s="1"/>
  <c r="AB16" i="26"/>
  <c r="M36" i="26" s="1"/>
  <c r="AJ16" i="26"/>
  <c r="U36" i="26" s="1"/>
  <c r="Q19" i="26"/>
  <c r="B39" i="26" s="1"/>
  <c r="Y19" i="26"/>
  <c r="J39" i="26" s="1"/>
  <c r="AG19" i="26"/>
  <c r="R39" i="26" s="1"/>
  <c r="X20" i="26"/>
  <c r="I40" i="26" s="1"/>
  <c r="AF20" i="26"/>
  <c r="Q40" i="26" s="1"/>
  <c r="T25" i="26"/>
  <c r="AB25" i="26"/>
  <c r="AJ25" i="26"/>
  <c r="T119" i="26"/>
  <c r="E139" i="26" s="1"/>
  <c r="AJ119" i="26"/>
  <c r="U139" i="26" s="1"/>
  <c r="AB120" i="26"/>
  <c r="M140" i="26" s="1"/>
  <c r="S121" i="26"/>
  <c r="D141" i="26" s="1"/>
  <c r="AK121" i="26"/>
  <c r="V141" i="26" s="1"/>
  <c r="AQ130" i="26"/>
  <c r="AB150" i="26" s="1"/>
  <c r="AI130" i="26"/>
  <c r="T150" i="26" s="1"/>
  <c r="AA130" i="26"/>
  <c r="L150" i="26" s="1"/>
  <c r="S130" i="26"/>
  <c r="D150" i="26" s="1"/>
  <c r="AM130" i="26"/>
  <c r="X150" i="26" s="1"/>
  <c r="AE130" i="26"/>
  <c r="P150" i="26" s="1"/>
  <c r="W130" i="26"/>
  <c r="H150" i="26" s="1"/>
  <c r="AR130" i="26"/>
  <c r="AC150" i="26" s="1"/>
  <c r="AG130" i="26"/>
  <c r="R150" i="26" s="1"/>
  <c r="V130" i="26"/>
  <c r="G150" i="26" s="1"/>
  <c r="AP130" i="26"/>
  <c r="AA150" i="26" s="1"/>
  <c r="AF130" i="26"/>
  <c r="Q150" i="26" s="1"/>
  <c r="U130" i="26"/>
  <c r="F150" i="26" s="1"/>
  <c r="AN130" i="26"/>
  <c r="Y150" i="26" s="1"/>
  <c r="AC130" i="26"/>
  <c r="N150" i="26" s="1"/>
  <c r="R130" i="26"/>
  <c r="C150" i="26" s="1"/>
  <c r="AL130" i="26"/>
  <c r="W150" i="26" s="1"/>
  <c r="AB130" i="26"/>
  <c r="M150" i="26" s="1"/>
  <c r="Q130" i="26"/>
  <c r="B150" i="26" s="1"/>
  <c r="AK130" i="26"/>
  <c r="V150" i="26" s="1"/>
  <c r="A187" i="26"/>
  <c r="A175" i="26"/>
  <c r="A186" i="26"/>
  <c r="Y121" i="26"/>
  <c r="J141" i="26" s="1"/>
  <c r="A168" i="26"/>
  <c r="A180" i="26"/>
  <c r="X117" i="26"/>
  <c r="I137" i="26" s="1"/>
  <c r="AF117" i="26"/>
  <c r="Q137" i="26" s="1"/>
  <c r="W118" i="26"/>
  <c r="H138" i="26" s="1"/>
  <c r="AE118" i="26"/>
  <c r="P138" i="26" s="1"/>
  <c r="AM118" i="26"/>
  <c r="X138" i="26" s="1"/>
  <c r="U120" i="26"/>
  <c r="F140" i="26" s="1"/>
  <c r="AC120" i="26"/>
  <c r="N140" i="26" s="1"/>
  <c r="AK120" i="26"/>
  <c r="V140" i="26" s="1"/>
  <c r="T121" i="26"/>
  <c r="E141" i="26" s="1"/>
  <c r="AC121" i="26"/>
  <c r="N141" i="26" s="1"/>
  <c r="Y122" i="26"/>
  <c r="J142" i="26" s="1"/>
  <c r="W123" i="26"/>
  <c r="H143" i="26" s="1"/>
  <c r="AH123" i="26"/>
  <c r="S143" i="26" s="1"/>
  <c r="AR123" i="26"/>
  <c r="AC143" i="26" s="1"/>
  <c r="S124" i="26"/>
  <c r="D144" i="26" s="1"/>
  <c r="AD124" i="26"/>
  <c r="O144" i="26" s="1"/>
  <c r="AO124" i="26"/>
  <c r="Z144" i="26" s="1"/>
  <c r="Y126" i="26"/>
  <c r="J146" i="26" s="1"/>
  <c r="W128" i="26"/>
  <c r="H148" i="26" s="1"/>
  <c r="AH128" i="26"/>
  <c r="S148" i="26" s="1"/>
  <c r="AR128" i="26"/>
  <c r="AC148" i="26" s="1"/>
  <c r="S129" i="26"/>
  <c r="D149" i="26" s="1"/>
  <c r="AD129" i="26"/>
  <c r="O149" i="26" s="1"/>
  <c r="AO129" i="26"/>
  <c r="Z149" i="26" s="1"/>
  <c r="Y131" i="26"/>
  <c r="W132" i="26"/>
  <c r="AH132" i="26"/>
  <c r="AR132" i="26"/>
  <c r="S133" i="26"/>
  <c r="D153" i="26" s="1"/>
  <c r="AD133" i="26"/>
  <c r="O153" i="26" s="1"/>
  <c r="AP133" i="26"/>
  <c r="AA153" i="26" s="1"/>
  <c r="AJ225" i="26"/>
  <c r="U245" i="26" s="1"/>
  <c r="X118" i="26"/>
  <c r="I138" i="26" s="1"/>
  <c r="AF118" i="26"/>
  <c r="Q138" i="26" s="1"/>
  <c r="AN118" i="26"/>
  <c r="Y138" i="26" s="1"/>
  <c r="V120" i="26"/>
  <c r="G140" i="26" s="1"/>
  <c r="AD120" i="26"/>
  <c r="O140" i="26" s="1"/>
  <c r="AL120" i="26"/>
  <c r="W140" i="26" s="1"/>
  <c r="AP122" i="26"/>
  <c r="AA142" i="26" s="1"/>
  <c r="AH122" i="26"/>
  <c r="S142" i="26" s="1"/>
  <c r="Z122" i="26"/>
  <c r="K142" i="26" s="1"/>
  <c r="R122" i="26"/>
  <c r="C142" i="26" s="1"/>
  <c r="AL122" i="26"/>
  <c r="W142" i="26" s="1"/>
  <c r="AD122" i="26"/>
  <c r="O142" i="26" s="1"/>
  <c r="V122" i="26"/>
  <c r="G142" i="26" s="1"/>
  <c r="AA122" i="26"/>
  <c r="L142" i="26" s="1"/>
  <c r="AK122" i="26"/>
  <c r="V142" i="26" s="1"/>
  <c r="X123" i="26"/>
  <c r="I143" i="26" s="1"/>
  <c r="U124" i="26"/>
  <c r="F144" i="26" s="1"/>
  <c r="AE124" i="26"/>
  <c r="P144" i="26" s="1"/>
  <c r="AP124" i="26"/>
  <c r="AA144" i="26" s="1"/>
  <c r="AL126" i="26"/>
  <c r="W146" i="26" s="1"/>
  <c r="AD126" i="26"/>
  <c r="O146" i="26" s="1"/>
  <c r="V126" i="26"/>
  <c r="G146" i="26" s="1"/>
  <c r="AP126" i="26"/>
  <c r="AA146" i="26" s="1"/>
  <c r="AH126" i="26"/>
  <c r="S146" i="26" s="1"/>
  <c r="Z126" i="26"/>
  <c r="K146" i="26" s="1"/>
  <c r="R126" i="26"/>
  <c r="C146" i="26" s="1"/>
  <c r="AA126" i="26"/>
  <c r="L146" i="26" s="1"/>
  <c r="AK126" i="26"/>
  <c r="V146" i="26" s="1"/>
  <c r="X128" i="26"/>
  <c r="I148" i="26" s="1"/>
  <c r="U129" i="26"/>
  <c r="F149" i="26" s="1"/>
  <c r="AE129" i="26"/>
  <c r="P149" i="26" s="1"/>
  <c r="AP129" i="26"/>
  <c r="AA149" i="26" s="1"/>
  <c r="AP131" i="26"/>
  <c r="AH131" i="26"/>
  <c r="Z131" i="26"/>
  <c r="R131" i="26"/>
  <c r="AL131" i="26"/>
  <c r="AD131" i="26"/>
  <c r="V131" i="26"/>
  <c r="AA131" i="26"/>
  <c r="AK131" i="26"/>
  <c r="X132" i="26"/>
  <c r="AE133" i="26"/>
  <c r="P153" i="26" s="1"/>
  <c r="AQ133" i="26"/>
  <c r="AB153" i="26" s="1"/>
  <c r="A169" i="26"/>
  <c r="AQ231" i="26"/>
  <c r="AB251" i="26" s="1"/>
  <c r="AI231" i="26"/>
  <c r="T251" i="26" s="1"/>
  <c r="AA231" i="26"/>
  <c r="L251" i="26" s="1"/>
  <c r="S231" i="26"/>
  <c r="D251" i="26" s="1"/>
  <c r="AP231" i="26"/>
  <c r="AA251" i="26" s="1"/>
  <c r="AM231" i="26"/>
  <c r="X251" i="26" s="1"/>
  <c r="AE231" i="26"/>
  <c r="P251" i="26" s="1"/>
  <c r="W231" i="26"/>
  <c r="H251" i="26" s="1"/>
  <c r="AG231" i="26"/>
  <c r="R251" i="26" s="1"/>
  <c r="V231" i="26"/>
  <c r="G251" i="26" s="1"/>
  <c r="AR231" i="26"/>
  <c r="AC251" i="26" s="1"/>
  <c r="AF231" i="26"/>
  <c r="Q251" i="26" s="1"/>
  <c r="U231" i="26"/>
  <c r="F251" i="26" s="1"/>
  <c r="AL231" i="26"/>
  <c r="W251" i="26" s="1"/>
  <c r="AB231" i="26"/>
  <c r="M251" i="26" s="1"/>
  <c r="Q231" i="26"/>
  <c r="B251" i="26" s="1"/>
  <c r="AK231" i="26"/>
  <c r="V251" i="26" s="1"/>
  <c r="T231" i="26"/>
  <c r="E251" i="26" s="1"/>
  <c r="AJ231" i="26"/>
  <c r="U251" i="26" s="1"/>
  <c r="R231" i="26"/>
  <c r="C251" i="26" s="1"/>
  <c r="AC231" i="26"/>
  <c r="N251" i="26" s="1"/>
  <c r="AO231" i="26"/>
  <c r="Z251" i="26" s="1"/>
  <c r="AN231" i="26"/>
  <c r="Y251" i="26" s="1"/>
  <c r="AH231" i="26"/>
  <c r="S251" i="26" s="1"/>
  <c r="Z231" i="26"/>
  <c r="K251" i="26" s="1"/>
  <c r="Y231" i="26"/>
  <c r="J251" i="26" s="1"/>
  <c r="X120" i="26"/>
  <c r="I140" i="26" s="1"/>
  <c r="AF120" i="26"/>
  <c r="Q140" i="26" s="1"/>
  <c r="AN120" i="26"/>
  <c r="Y140" i="26" s="1"/>
  <c r="AO123" i="26"/>
  <c r="Z143" i="26" s="1"/>
  <c r="AG123" i="26"/>
  <c r="R143" i="26" s="1"/>
  <c r="Y123" i="26"/>
  <c r="J143" i="26" s="1"/>
  <c r="Q123" i="26"/>
  <c r="B143" i="26" s="1"/>
  <c r="AK123" i="26"/>
  <c r="V143" i="26" s="1"/>
  <c r="AC123" i="26"/>
  <c r="N143" i="26" s="1"/>
  <c r="U123" i="26"/>
  <c r="F143" i="26" s="1"/>
  <c r="AA123" i="26"/>
  <c r="L143" i="26" s="1"/>
  <c r="AL123" i="26"/>
  <c r="W143" i="26" s="1"/>
  <c r="W124" i="26"/>
  <c r="H144" i="26" s="1"/>
  <c r="AH124" i="26"/>
  <c r="S144" i="26" s="1"/>
  <c r="AC126" i="26"/>
  <c r="N146" i="26" s="1"/>
  <c r="AN126" i="26"/>
  <c r="Y146" i="26" s="1"/>
  <c r="AK128" i="26"/>
  <c r="V148" i="26" s="1"/>
  <c r="AC128" i="26"/>
  <c r="N148" i="26" s="1"/>
  <c r="U128" i="26"/>
  <c r="F148" i="26" s="1"/>
  <c r="AO128" i="26"/>
  <c r="Z148" i="26" s="1"/>
  <c r="AG128" i="26"/>
  <c r="R148" i="26" s="1"/>
  <c r="Y128" i="26"/>
  <c r="J148" i="26" s="1"/>
  <c r="Q128" i="26"/>
  <c r="B148" i="26" s="1"/>
  <c r="AA128" i="26"/>
  <c r="L148" i="26" s="1"/>
  <c r="AL128" i="26"/>
  <c r="W148" i="26" s="1"/>
  <c r="W129" i="26"/>
  <c r="H149" i="26" s="1"/>
  <c r="AH129" i="26"/>
  <c r="S149" i="26" s="1"/>
  <c r="S131" i="26"/>
  <c r="AC131" i="26"/>
  <c r="AN131" i="26"/>
  <c r="AO132" i="26"/>
  <c r="AG132" i="26"/>
  <c r="Y132" i="26"/>
  <c r="Q132" i="26"/>
  <c r="AK132" i="26"/>
  <c r="AC132" i="26"/>
  <c r="U132" i="26"/>
  <c r="AA132" i="26"/>
  <c r="AL132" i="26"/>
  <c r="W133" i="26"/>
  <c r="H153" i="26" s="1"/>
  <c r="AH133" i="26"/>
  <c r="S153" i="26" s="1"/>
  <c r="AD231" i="26"/>
  <c r="O251" i="26" s="1"/>
  <c r="S118" i="26"/>
  <c r="D138" i="26" s="1"/>
  <c r="AA118" i="26"/>
  <c r="L138" i="26" s="1"/>
  <c r="AI118" i="26"/>
  <c r="T138" i="26" s="1"/>
  <c r="Q120" i="26"/>
  <c r="B140" i="26" s="1"/>
  <c r="Y120" i="26"/>
  <c r="J140" i="26" s="1"/>
  <c r="AG120" i="26"/>
  <c r="R140" i="26" s="1"/>
  <c r="AQ121" i="26"/>
  <c r="AB141" i="26" s="1"/>
  <c r="AI121" i="26"/>
  <c r="T141" i="26" s="1"/>
  <c r="AA121" i="26"/>
  <c r="L141" i="26" s="1"/>
  <c r="AM121" i="26"/>
  <c r="X141" i="26" s="1"/>
  <c r="X121" i="26"/>
  <c r="I141" i="26" s="1"/>
  <c r="AG121" i="26"/>
  <c r="R141" i="26" s="1"/>
  <c r="AR121" i="26"/>
  <c r="AC141" i="26" s="1"/>
  <c r="T122" i="26"/>
  <c r="E142" i="26" s="1"/>
  <c r="AE122" i="26"/>
  <c r="P142" i="26" s="1"/>
  <c r="AO122" i="26"/>
  <c r="Z142" i="26" s="1"/>
  <c r="R123" i="26"/>
  <c r="C143" i="26" s="1"/>
  <c r="AB123" i="26"/>
  <c r="M143" i="26" s="1"/>
  <c r="AM123" i="26"/>
  <c r="X143" i="26" s="1"/>
  <c r="Y124" i="26"/>
  <c r="J144" i="26" s="1"/>
  <c r="T126" i="26"/>
  <c r="E146" i="26" s="1"/>
  <c r="AE126" i="26"/>
  <c r="P146" i="26" s="1"/>
  <c r="AO126" i="26"/>
  <c r="Z146" i="26" s="1"/>
  <c r="R128" i="26"/>
  <c r="C148" i="26" s="1"/>
  <c r="AB128" i="26"/>
  <c r="M148" i="26" s="1"/>
  <c r="AM128" i="26"/>
  <c r="X148" i="26" s="1"/>
  <c r="Y129" i="26"/>
  <c r="J149" i="26" s="1"/>
  <c r="T131" i="26"/>
  <c r="AE131" i="26"/>
  <c r="AO131" i="26"/>
  <c r="R132" i="26"/>
  <c r="AB132" i="26"/>
  <c r="AM132" i="26"/>
  <c r="Y133" i="26"/>
  <c r="J153" i="26" s="1"/>
  <c r="AI133" i="26"/>
  <c r="T153" i="26" s="1"/>
  <c r="AL225" i="26"/>
  <c r="W245" i="26" s="1"/>
  <c r="AD225" i="26"/>
  <c r="O245" i="26" s="1"/>
  <c r="V225" i="26"/>
  <c r="G245" i="26" s="1"/>
  <c r="AK225" i="26"/>
  <c r="V245" i="26" s="1"/>
  <c r="AC225" i="26"/>
  <c r="N245" i="26" s="1"/>
  <c r="U225" i="26"/>
  <c r="F245" i="26" s="1"/>
  <c r="AI225" i="26"/>
  <c r="T245" i="26" s="1"/>
  <c r="Y225" i="26"/>
  <c r="J245" i="26" s="1"/>
  <c r="AR225" i="26"/>
  <c r="AC245" i="26" s="1"/>
  <c r="AH225" i="26"/>
  <c r="S245" i="26" s="1"/>
  <c r="X225" i="26"/>
  <c r="I245" i="26" s="1"/>
  <c r="AO225" i="26"/>
  <c r="Z245" i="26" s="1"/>
  <c r="AF225" i="26"/>
  <c r="Q245" i="26" s="1"/>
  <c r="R225" i="26"/>
  <c r="C245" i="26" s="1"/>
  <c r="AE225" i="26"/>
  <c r="P245" i="26" s="1"/>
  <c r="Q225" i="26"/>
  <c r="B245" i="26" s="1"/>
  <c r="AP225" i="26"/>
  <c r="AA245" i="26" s="1"/>
  <c r="AA225" i="26"/>
  <c r="L245" i="26" s="1"/>
  <c r="AN225" i="26"/>
  <c r="Y245" i="26" s="1"/>
  <c r="Z225" i="26"/>
  <c r="K245" i="26" s="1"/>
  <c r="W225" i="26"/>
  <c r="H245" i="26" s="1"/>
  <c r="T225" i="26"/>
  <c r="E245" i="26" s="1"/>
  <c r="S225" i="26"/>
  <c r="D245" i="26" s="1"/>
  <c r="AM225" i="26"/>
  <c r="X245" i="26" s="1"/>
  <c r="AM226" i="26"/>
  <c r="X246" i="26" s="1"/>
  <c r="AG226" i="26"/>
  <c r="R246" i="26" s="1"/>
  <c r="AA226" i="26"/>
  <c r="L246" i="26" s="1"/>
  <c r="AB229" i="26"/>
  <c r="M249" i="26" s="1"/>
  <c r="AA229" i="26"/>
  <c r="L249" i="26" s="1"/>
  <c r="AR229" i="26"/>
  <c r="AC249" i="26" s="1"/>
  <c r="X229" i="26"/>
  <c r="I249" i="26" s="1"/>
  <c r="AM229" i="26"/>
  <c r="X249" i="26" s="1"/>
  <c r="S229" i="26"/>
  <c r="D249" i="26" s="1"/>
  <c r="AK229" i="26"/>
  <c r="V249" i="26" s="1"/>
  <c r="AQ226" i="26"/>
  <c r="AB246" i="26" s="1"/>
  <c r="Y226" i="26"/>
  <c r="J246" i="26" s="1"/>
  <c r="AN226" i="26"/>
  <c r="Y246" i="26" s="1"/>
  <c r="X226" i="26"/>
  <c r="I246" i="26" s="1"/>
  <c r="AI226" i="26"/>
  <c r="T246" i="26" s="1"/>
  <c r="R226" i="26"/>
  <c r="C246" i="26" s="1"/>
  <c r="AH226" i="26"/>
  <c r="S246" i="26" s="1"/>
  <c r="Q226" i="26"/>
  <c r="B246" i="26" s="1"/>
  <c r="AG230" i="26"/>
  <c r="R250" i="26" s="1"/>
  <c r="S230" i="26"/>
  <c r="D250" i="26" s="1"/>
  <c r="AC230" i="26"/>
  <c r="N250" i="26" s="1"/>
  <c r="AA230" i="26"/>
  <c r="L250" i="26" s="1"/>
  <c r="V230" i="26"/>
  <c r="G250" i="26" s="1"/>
  <c r="AQ230" i="26"/>
  <c r="AB250" i="26" s="1"/>
  <c r="R230" i="26"/>
  <c r="C250" i="26" s="1"/>
  <c r="AL230" i="26"/>
  <c r="W250" i="26" s="1"/>
  <c r="T124" i="26"/>
  <c r="E144" i="26" s="1"/>
  <c r="AB124" i="26"/>
  <c r="M144" i="26" s="1"/>
  <c r="AJ124" i="26"/>
  <c r="U144" i="26" s="1"/>
  <c r="AR124" i="26"/>
  <c r="AC144" i="26" s="1"/>
  <c r="X129" i="26"/>
  <c r="I149" i="26" s="1"/>
  <c r="AF129" i="26"/>
  <c r="Q149" i="26" s="1"/>
  <c r="AN129" i="26"/>
  <c r="Y149" i="26" s="1"/>
  <c r="T133" i="26"/>
  <c r="E153" i="26" s="1"/>
  <c r="AB133" i="26"/>
  <c r="M153" i="26" s="1"/>
  <c r="AJ133" i="26"/>
  <c r="U153" i="26" s="1"/>
  <c r="AR133" i="26"/>
  <c r="AC153" i="26" s="1"/>
  <c r="V233" i="26"/>
  <c r="G253" i="26" s="1"/>
  <c r="X238" i="26"/>
  <c r="I258" i="26" s="1"/>
  <c r="AR227" i="26"/>
  <c r="AC247" i="26" s="1"/>
  <c r="AJ227" i="26"/>
  <c r="U247" i="26" s="1"/>
  <c r="AB227" i="26"/>
  <c r="M247" i="26" s="1"/>
  <c r="T227" i="26"/>
  <c r="E247" i="26" s="1"/>
  <c r="AQ227" i="26"/>
  <c r="AB247" i="26" s="1"/>
  <c r="AI227" i="26"/>
  <c r="T247" i="26" s="1"/>
  <c r="AA227" i="26"/>
  <c r="L247" i="26" s="1"/>
  <c r="S227" i="26"/>
  <c r="D247" i="26" s="1"/>
  <c r="AN227" i="26"/>
  <c r="Y247" i="26" s="1"/>
  <c r="AO227" i="26"/>
  <c r="Z247" i="26" s="1"/>
  <c r="AD227" i="26"/>
  <c r="O247" i="26" s="1"/>
  <c r="R227" i="26"/>
  <c r="C247" i="26" s="1"/>
  <c r="AM227" i="26"/>
  <c r="X247" i="26" s="1"/>
  <c r="AC227" i="26"/>
  <c r="N247" i="26" s="1"/>
  <c r="Q227" i="26"/>
  <c r="B247" i="26" s="1"/>
  <c r="AH227" i="26"/>
  <c r="S247" i="26" s="1"/>
  <c r="X227" i="26"/>
  <c r="I247" i="26" s="1"/>
  <c r="AG227" i="26"/>
  <c r="R247" i="26" s="1"/>
  <c r="AQ228" i="26"/>
  <c r="AB248" i="26" s="1"/>
  <c r="AI228" i="26"/>
  <c r="T248" i="26" s="1"/>
  <c r="AA228" i="26"/>
  <c r="L248" i="26" s="1"/>
  <c r="S228" i="26"/>
  <c r="D248" i="26" s="1"/>
  <c r="AP228" i="26"/>
  <c r="AA248" i="26" s="1"/>
  <c r="AH228" i="26"/>
  <c r="S248" i="26" s="1"/>
  <c r="Z228" i="26"/>
  <c r="K248" i="26" s="1"/>
  <c r="R228" i="26"/>
  <c r="C248" i="26" s="1"/>
  <c r="AM228" i="26"/>
  <c r="X248" i="26" s="1"/>
  <c r="AE228" i="26"/>
  <c r="P248" i="26" s="1"/>
  <c r="W228" i="26"/>
  <c r="H248" i="26" s="1"/>
  <c r="AF228" i="26"/>
  <c r="Q248" i="26" s="1"/>
  <c r="T228" i="26"/>
  <c r="E248" i="26" s="1"/>
  <c r="AR228" i="26"/>
  <c r="AC248" i="26" s="1"/>
  <c r="AD228" i="26"/>
  <c r="O248" i="26" s="1"/>
  <c r="Q228" i="26"/>
  <c r="B248" i="26" s="1"/>
  <c r="AL228" i="26"/>
  <c r="W248" i="26" s="1"/>
  <c r="Y228" i="26"/>
  <c r="J248" i="26" s="1"/>
  <c r="AK228" i="26"/>
  <c r="V248" i="26" s="1"/>
  <c r="AM232" i="26"/>
  <c r="X252" i="26" s="1"/>
  <c r="S232" i="26"/>
  <c r="D252" i="26" s="1"/>
  <c r="AK232" i="26"/>
  <c r="V252" i="26" s="1"/>
  <c r="AB232" i="26"/>
  <c r="M252" i="26" s="1"/>
  <c r="AR232" i="26"/>
  <c r="AC252" i="26" s="1"/>
  <c r="AA233" i="26"/>
  <c r="L253" i="26" s="1"/>
  <c r="AJ237" i="26"/>
  <c r="U257" i="26" s="1"/>
  <c r="X237" i="26"/>
  <c r="I257" i="26" s="1"/>
  <c r="AM237" i="26"/>
  <c r="X257" i="26" s="1"/>
  <c r="S237" i="26"/>
  <c r="D257" i="26" s="1"/>
  <c r="AI237" i="26"/>
  <c r="T257" i="26" s="1"/>
  <c r="AA237" i="26"/>
  <c r="L257" i="26" s="1"/>
  <c r="AR237" i="26"/>
  <c r="AC257" i="26" s="1"/>
  <c r="AA238" i="26"/>
  <c r="L258" i="26" s="1"/>
  <c r="AQ349" i="26"/>
  <c r="AI349" i="26"/>
  <c r="AA349" i="26"/>
  <c r="S349" i="26"/>
  <c r="AP349" i="26"/>
  <c r="AH349" i="26"/>
  <c r="Z349" i="26"/>
  <c r="R349" i="26"/>
  <c r="AL349" i="26"/>
  <c r="AD349" i="26"/>
  <c r="V349" i="26"/>
  <c r="AN349" i="26"/>
  <c r="AB349" i="26"/>
  <c r="AM349" i="26"/>
  <c r="Y349" i="26"/>
  <c r="AK349" i="26"/>
  <c r="X349" i="26"/>
  <c r="AJ349" i="26"/>
  <c r="W349" i="26"/>
  <c r="AF349" i="26"/>
  <c r="T349" i="26"/>
  <c r="AR349" i="26"/>
  <c r="AO349" i="26"/>
  <c r="AG349" i="26"/>
  <c r="AC349" i="26"/>
  <c r="AE349" i="26"/>
  <c r="U349" i="26"/>
  <c r="Q349" i="26"/>
  <c r="V227" i="26"/>
  <c r="G247" i="26" s="1"/>
  <c r="AL227" i="26"/>
  <c r="W247" i="26" s="1"/>
  <c r="V228" i="26"/>
  <c r="G248" i="26" s="1"/>
  <c r="AO228" i="26"/>
  <c r="Z248" i="26" s="1"/>
  <c r="T232" i="26"/>
  <c r="E252" i="26" s="1"/>
  <c r="AH233" i="26"/>
  <c r="S253" i="26" s="1"/>
  <c r="T237" i="26"/>
  <c r="E257" i="26" s="1"/>
  <c r="AI238" i="26"/>
  <c r="T258" i="26" s="1"/>
  <c r="Y239" i="26"/>
  <c r="X124" i="26"/>
  <c r="I144" i="26" s="1"/>
  <c r="AF124" i="26"/>
  <c r="Q144" i="26" s="1"/>
  <c r="T129" i="26"/>
  <c r="E149" i="26" s="1"/>
  <c r="AB129" i="26"/>
  <c r="M149" i="26" s="1"/>
  <c r="AJ129" i="26"/>
  <c r="U149" i="26" s="1"/>
  <c r="X133" i="26"/>
  <c r="I153" i="26" s="1"/>
  <c r="AF133" i="26"/>
  <c r="Q153" i="26" s="1"/>
  <c r="W227" i="26"/>
  <c r="H247" i="26" s="1"/>
  <c r="AP227" i="26"/>
  <c r="AA247" i="26" s="1"/>
  <c r="X228" i="26"/>
  <c r="I248" i="26" s="1"/>
  <c r="X232" i="26"/>
  <c r="I252" i="26" s="1"/>
  <c r="AL233" i="26"/>
  <c r="W253" i="26" s="1"/>
  <c r="W237" i="26"/>
  <c r="H257" i="26" s="1"/>
  <c r="AQ240" i="26"/>
  <c r="AI240" i="26"/>
  <c r="AA240" i="26"/>
  <c r="S240" i="26"/>
  <c r="AP240" i="26"/>
  <c r="AH240" i="26"/>
  <c r="Z240" i="26"/>
  <c r="R240" i="26"/>
  <c r="AM240" i="26"/>
  <c r="AE240" i="26"/>
  <c r="W240" i="26"/>
  <c r="AL240" i="26"/>
  <c r="Y240" i="26"/>
  <c r="AK240" i="26"/>
  <c r="X240" i="26"/>
  <c r="AF240" i="26"/>
  <c r="T240" i="26"/>
  <c r="AO240" i="26"/>
  <c r="U240" i="26"/>
  <c r="AN240" i="26"/>
  <c r="Q240" i="26"/>
  <c r="AD240" i="26"/>
  <c r="AJ233" i="26"/>
  <c r="U253" i="26" s="1"/>
  <c r="W233" i="26"/>
  <c r="H253" i="26" s="1"/>
  <c r="AR233" i="26"/>
  <c r="AC253" i="26" s="1"/>
  <c r="AE233" i="26"/>
  <c r="P253" i="26" s="1"/>
  <c r="S233" i="26"/>
  <c r="D253" i="26" s="1"/>
  <c r="AM233" i="26"/>
  <c r="X253" i="26" s="1"/>
  <c r="R233" i="26"/>
  <c r="C253" i="26" s="1"/>
  <c r="AI233" i="26"/>
  <c r="T253" i="26" s="1"/>
  <c r="AB233" i="26"/>
  <c r="M253" i="26" s="1"/>
  <c r="AQ233" i="26"/>
  <c r="AB253" i="26" s="1"/>
  <c r="AN238" i="26"/>
  <c r="Y258" i="26" s="1"/>
  <c r="V238" i="26"/>
  <c r="G258" i="26" s="1"/>
  <c r="AD238" i="26"/>
  <c r="O258" i="26" s="1"/>
  <c r="A276" i="26"/>
  <c r="A288" i="26"/>
  <c r="A293" i="26"/>
  <c r="A281" i="26"/>
  <c r="AK226" i="26"/>
  <c r="V246" i="26" s="1"/>
  <c r="AC226" i="26"/>
  <c r="N246" i="26" s="1"/>
  <c r="U226" i="26"/>
  <c r="F246" i="26" s="1"/>
  <c r="AR226" i="26"/>
  <c r="AC246" i="26" s="1"/>
  <c r="AJ226" i="26"/>
  <c r="U246" i="26" s="1"/>
  <c r="AB226" i="26"/>
  <c r="M246" i="26" s="1"/>
  <c r="T226" i="26"/>
  <c r="E246" i="26" s="1"/>
  <c r="Z226" i="26"/>
  <c r="K246" i="26" s="1"/>
  <c r="AL226" i="26"/>
  <c r="W246" i="26" s="1"/>
  <c r="AP229" i="26"/>
  <c r="AA249" i="26" s="1"/>
  <c r="AH229" i="26"/>
  <c r="S249" i="26" s="1"/>
  <c r="Z229" i="26"/>
  <c r="K249" i="26" s="1"/>
  <c r="R229" i="26"/>
  <c r="C249" i="26" s="1"/>
  <c r="AO229" i="26"/>
  <c r="Z249" i="26" s="1"/>
  <c r="AG229" i="26"/>
  <c r="R249" i="26" s="1"/>
  <c r="Y229" i="26"/>
  <c r="J249" i="26" s="1"/>
  <c r="Q229" i="26"/>
  <c r="B249" i="26" s="1"/>
  <c r="AL229" i="26"/>
  <c r="W249" i="26" s="1"/>
  <c r="AD229" i="26"/>
  <c r="O249" i="26" s="1"/>
  <c r="V229" i="26"/>
  <c r="G249" i="26" s="1"/>
  <c r="AC229" i="26"/>
  <c r="N249" i="26" s="1"/>
  <c r="AQ229" i="26"/>
  <c r="AB249" i="26" s="1"/>
  <c r="AA239" i="26"/>
  <c r="S239" i="26"/>
  <c r="AH239" i="26"/>
  <c r="V239" i="26"/>
  <c r="AG239" i="26"/>
  <c r="U239" i="26"/>
  <c r="AO239" i="26"/>
  <c r="AC239" i="26"/>
  <c r="AD239" i="26"/>
  <c r="A282" i="26"/>
  <c r="A294" i="26"/>
  <c r="A277" i="26"/>
  <c r="A289" i="26"/>
  <c r="S226" i="26"/>
  <c r="D246" i="26" s="1"/>
  <c r="AE226" i="26"/>
  <c r="P246" i="26" s="1"/>
  <c r="AO226" i="26"/>
  <c r="Z246" i="26" s="1"/>
  <c r="U229" i="26"/>
  <c r="F249" i="26" s="1"/>
  <c r="AI229" i="26"/>
  <c r="T249" i="26" s="1"/>
  <c r="W230" i="26"/>
  <c r="H250" i="26" s="1"/>
  <c r="AO233" i="26"/>
  <c r="Z253" i="26" s="1"/>
  <c r="AK238" i="26"/>
  <c r="V258" i="26" s="1"/>
  <c r="AC238" i="26"/>
  <c r="N258" i="26" s="1"/>
  <c r="U238" i="26"/>
  <c r="F258" i="26" s="1"/>
  <c r="AR238" i="26"/>
  <c r="AC258" i="26" s="1"/>
  <c r="AJ238" i="26"/>
  <c r="U258" i="26" s="1"/>
  <c r="AB238" i="26"/>
  <c r="M258" i="26" s="1"/>
  <c r="T238" i="26"/>
  <c r="E258" i="26" s="1"/>
  <c r="AO238" i="26"/>
  <c r="Z258" i="26" s="1"/>
  <c r="AG238" i="26"/>
  <c r="R258" i="26" s="1"/>
  <c r="Y238" i="26"/>
  <c r="J258" i="26" s="1"/>
  <c r="Q238" i="26"/>
  <c r="B258" i="26" s="1"/>
  <c r="AF238" i="26"/>
  <c r="Q258" i="26" s="1"/>
  <c r="S238" i="26"/>
  <c r="D258" i="26" s="1"/>
  <c r="AQ238" i="26"/>
  <c r="AB258" i="26" s="1"/>
  <c r="AE238" i="26"/>
  <c r="P258" i="26" s="1"/>
  <c r="R238" i="26"/>
  <c r="C258" i="26" s="1"/>
  <c r="AM238" i="26"/>
  <c r="X258" i="26" s="1"/>
  <c r="Z238" i="26"/>
  <c r="K258" i="26" s="1"/>
  <c r="AL238" i="26"/>
  <c r="W258" i="26" s="1"/>
  <c r="Q239" i="26"/>
  <c r="AL239" i="26"/>
  <c r="V226" i="26"/>
  <c r="G246" i="26" s="1"/>
  <c r="AF226" i="26"/>
  <c r="Q246" i="26" s="1"/>
  <c r="AP226" i="26"/>
  <c r="AA246" i="26" s="1"/>
  <c r="W229" i="26"/>
  <c r="H249" i="26" s="1"/>
  <c r="AJ229" i="26"/>
  <c r="U249" i="26" s="1"/>
  <c r="AO230" i="26"/>
  <c r="Z250" i="26" s="1"/>
  <c r="AD230" i="26"/>
  <c r="O250" i="26" s="1"/>
  <c r="U230" i="26"/>
  <c r="F250" i="26" s="1"/>
  <c r="Z230" i="26"/>
  <c r="K250" i="26" s="1"/>
  <c r="AP230" i="26"/>
  <c r="AA250" i="26" s="1"/>
  <c r="R239" i="26"/>
  <c r="AM239" i="26"/>
  <c r="A290" i="26"/>
  <c r="A278" i="26"/>
  <c r="U261" i="26"/>
  <c r="A279" i="26"/>
  <c r="A291" i="26"/>
  <c r="AP232" i="26"/>
  <c r="AA252" i="26" s="1"/>
  <c r="AH232" i="26"/>
  <c r="S252" i="26" s="1"/>
  <c r="Z232" i="26"/>
  <c r="K252" i="26" s="1"/>
  <c r="R232" i="26"/>
  <c r="C252" i="26" s="1"/>
  <c r="AO232" i="26"/>
  <c r="Z252" i="26" s="1"/>
  <c r="AG232" i="26"/>
  <c r="R252" i="26" s="1"/>
  <c r="Y232" i="26"/>
  <c r="J252" i="26" s="1"/>
  <c r="Q232" i="26"/>
  <c r="B252" i="26" s="1"/>
  <c r="AL232" i="26"/>
  <c r="W252" i="26" s="1"/>
  <c r="AD232" i="26"/>
  <c r="O252" i="26" s="1"/>
  <c r="V232" i="26"/>
  <c r="G252" i="26" s="1"/>
  <c r="AC232" i="26"/>
  <c r="N252" i="26" s="1"/>
  <c r="AQ232" i="26"/>
  <c r="AB252" i="26" s="1"/>
  <c r="AR239" i="26"/>
  <c r="V338" i="26"/>
  <c r="G358" i="26" s="1"/>
  <c r="AR230" i="26"/>
  <c r="AC250" i="26" s="1"/>
  <c r="AJ230" i="26"/>
  <c r="U250" i="26" s="1"/>
  <c r="AB230" i="26"/>
  <c r="M250" i="26" s="1"/>
  <c r="AN230" i="26"/>
  <c r="Y250" i="26" s="1"/>
  <c r="AF230" i="26"/>
  <c r="Q250" i="26" s="1"/>
  <c r="X230" i="26"/>
  <c r="I250" i="26" s="1"/>
  <c r="AH230" i="26"/>
  <c r="S250" i="26" s="1"/>
  <c r="U232" i="26"/>
  <c r="F252" i="26" s="1"/>
  <c r="AI232" i="26"/>
  <c r="T252" i="26" s="1"/>
  <c r="AM234" i="26"/>
  <c r="X254" i="26" s="1"/>
  <c r="AE234" i="26"/>
  <c r="P254" i="26" s="1"/>
  <c r="W234" i="26"/>
  <c r="H254" i="26" s="1"/>
  <c r="Y234" i="26"/>
  <c r="J254" i="26" s="1"/>
  <c r="AK234" i="26"/>
  <c r="V254" i="26" s="1"/>
  <c r="AL237" i="26"/>
  <c r="W257" i="26" s="1"/>
  <c r="AD237" i="26"/>
  <c r="O257" i="26" s="1"/>
  <c r="V237" i="26"/>
  <c r="G257" i="26" s="1"/>
  <c r="AK237" i="26"/>
  <c r="V257" i="26" s="1"/>
  <c r="AC237" i="26"/>
  <c r="N257" i="26" s="1"/>
  <c r="U237" i="26"/>
  <c r="F257" i="26" s="1"/>
  <c r="AP237" i="26"/>
  <c r="AA257" i="26" s="1"/>
  <c r="AH237" i="26"/>
  <c r="S257" i="26" s="1"/>
  <c r="Z237" i="26"/>
  <c r="K257" i="26" s="1"/>
  <c r="R237" i="26"/>
  <c r="C257" i="26" s="1"/>
  <c r="AB237" i="26"/>
  <c r="M257" i="26" s="1"/>
  <c r="AO237" i="26"/>
  <c r="Z257" i="26" s="1"/>
  <c r="AB241" i="26"/>
  <c r="M261" i="26" s="1"/>
  <c r="Q230" i="26"/>
  <c r="B250" i="26" s="1"/>
  <c r="Y230" i="26"/>
  <c r="J250" i="26" s="1"/>
  <c r="AI230" i="26"/>
  <c r="T250" i="26" s="1"/>
  <c r="W232" i="26"/>
  <c r="H252" i="26" s="1"/>
  <c r="AJ232" i="26"/>
  <c r="U252" i="26" s="1"/>
  <c r="Z233" i="26"/>
  <c r="K253" i="26" s="1"/>
  <c r="Z234" i="26"/>
  <c r="K254" i="26" s="1"/>
  <c r="AL234" i="26"/>
  <c r="W254" i="26" s="1"/>
  <c r="AM236" i="26"/>
  <c r="X256" i="26" s="1"/>
  <c r="AE236" i="26"/>
  <c r="P256" i="26" s="1"/>
  <c r="W236" i="26"/>
  <c r="H256" i="26" s="1"/>
  <c r="AL236" i="26"/>
  <c r="W256" i="26" s="1"/>
  <c r="AD236" i="26"/>
  <c r="O256" i="26" s="1"/>
  <c r="V236" i="26"/>
  <c r="G256" i="26" s="1"/>
  <c r="AQ236" i="26"/>
  <c r="AB256" i="26" s="1"/>
  <c r="AI236" i="26"/>
  <c r="T256" i="26" s="1"/>
  <c r="AA236" i="26"/>
  <c r="L256" i="26" s="1"/>
  <c r="S236" i="26"/>
  <c r="D256" i="26" s="1"/>
  <c r="AB236" i="26"/>
  <c r="M256" i="26" s="1"/>
  <c r="AO236" i="26"/>
  <c r="Z256" i="26" s="1"/>
  <c r="Q237" i="26"/>
  <c r="B257" i="26" s="1"/>
  <c r="AE237" i="26"/>
  <c r="P257" i="26" s="1"/>
  <c r="AQ237" i="26"/>
  <c r="AB257" i="26" s="1"/>
  <c r="AP241" i="26"/>
  <c r="AA261" i="26" s="1"/>
  <c r="AH241" i="26"/>
  <c r="S261" i="26" s="1"/>
  <c r="Z241" i="26"/>
  <c r="K261" i="26" s="1"/>
  <c r="R241" i="26"/>
  <c r="C261" i="26" s="1"/>
  <c r="AO241" i="26"/>
  <c r="Z261" i="26" s="1"/>
  <c r="AG241" i="26"/>
  <c r="R261" i="26" s="1"/>
  <c r="Y241" i="26"/>
  <c r="J261" i="26" s="1"/>
  <c r="Q241" i="26"/>
  <c r="B261" i="26" s="1"/>
  <c r="AL241" i="26"/>
  <c r="W261" i="26" s="1"/>
  <c r="AD241" i="26"/>
  <c r="O261" i="26" s="1"/>
  <c r="V241" i="26"/>
  <c r="G261" i="26" s="1"/>
  <c r="AC241" i="26"/>
  <c r="N261" i="26" s="1"/>
  <c r="AQ241" i="26"/>
  <c r="AB261" i="26" s="1"/>
  <c r="AQ338" i="26"/>
  <c r="AB358" i="26" s="1"/>
  <c r="T338" i="26"/>
  <c r="E358" i="26" s="1"/>
  <c r="AL338" i="26"/>
  <c r="W358" i="26" s="1"/>
  <c r="S338" i="26"/>
  <c r="D358" i="26" s="1"/>
  <c r="AJ338" i="26"/>
  <c r="U358" i="26" s="1"/>
  <c r="AD338" i="26"/>
  <c r="O358" i="26" s="1"/>
  <c r="AB338" i="26"/>
  <c r="M358" i="26" s="1"/>
  <c r="AA338" i="26"/>
  <c r="L358" i="26" s="1"/>
  <c r="U233" i="26"/>
  <c r="F253" i="26" s="1"/>
  <c r="AC233" i="26"/>
  <c r="N253" i="26" s="1"/>
  <c r="AK233" i="26"/>
  <c r="V253" i="26" s="1"/>
  <c r="T234" i="26"/>
  <c r="E254" i="26" s="1"/>
  <c r="AB234" i="26"/>
  <c r="M254" i="26" s="1"/>
  <c r="AJ234" i="26"/>
  <c r="U254" i="26" s="1"/>
  <c r="AR234" i="26"/>
  <c r="AC254" i="26" s="1"/>
  <c r="X239" i="26"/>
  <c r="AF239" i="26"/>
  <c r="AN239" i="26"/>
  <c r="AL336" i="26"/>
  <c r="W356" i="26" s="1"/>
  <c r="AH345" i="26"/>
  <c r="S365" i="26" s="1"/>
  <c r="AL334" i="26"/>
  <c r="W354" i="26" s="1"/>
  <c r="AD334" i="26"/>
  <c r="O354" i="26" s="1"/>
  <c r="V334" i="26"/>
  <c r="G354" i="26" s="1"/>
  <c r="AK334" i="26"/>
  <c r="V354" i="26" s="1"/>
  <c r="AC334" i="26"/>
  <c r="N354" i="26" s="1"/>
  <c r="U334" i="26"/>
  <c r="F354" i="26" s="1"/>
  <c r="AO334" i="26"/>
  <c r="Z354" i="26" s="1"/>
  <c r="AG334" i="26"/>
  <c r="R354" i="26" s="1"/>
  <c r="Y334" i="26"/>
  <c r="J354" i="26" s="1"/>
  <c r="Q334" i="26"/>
  <c r="B354" i="26" s="1"/>
  <c r="AM334" i="26"/>
  <c r="X354" i="26" s="1"/>
  <c r="Z334" i="26"/>
  <c r="K354" i="26" s="1"/>
  <c r="AJ334" i="26"/>
  <c r="U354" i="26" s="1"/>
  <c r="X334" i="26"/>
  <c r="I354" i="26" s="1"/>
  <c r="AI334" i="26"/>
  <c r="T354" i="26" s="1"/>
  <c r="W334" i="26"/>
  <c r="H354" i="26" s="1"/>
  <c r="AH334" i="26"/>
  <c r="S354" i="26" s="1"/>
  <c r="X233" i="26"/>
  <c r="I253" i="26" s="1"/>
  <c r="AF233" i="26"/>
  <c r="Q253" i="26" s="1"/>
  <c r="AN233" i="26"/>
  <c r="Y253" i="26" s="1"/>
  <c r="AI239" i="26"/>
  <c r="AQ239" i="26"/>
  <c r="A283" i="26"/>
  <c r="S334" i="26"/>
  <c r="D354" i="26" s="1"/>
  <c r="AP334" i="26"/>
  <c r="AA354" i="26" s="1"/>
  <c r="V336" i="26"/>
  <c r="G356" i="26" s="1"/>
  <c r="Q233" i="26"/>
  <c r="B253" i="26" s="1"/>
  <c r="Y233" i="26"/>
  <c r="J253" i="26" s="1"/>
  <c r="AG233" i="26"/>
  <c r="R253" i="26" s="1"/>
  <c r="X234" i="26"/>
  <c r="I254" i="26" s="1"/>
  <c r="AF234" i="26"/>
  <c r="Q254" i="26" s="1"/>
  <c r="T239" i="26"/>
  <c r="AB239" i="26"/>
  <c r="AJ239" i="26"/>
  <c r="T334" i="26"/>
  <c r="E354" i="26" s="1"/>
  <c r="AQ334" i="26"/>
  <c r="AB354" i="26" s="1"/>
  <c r="AG348" i="26"/>
  <c r="U348" i="26"/>
  <c r="AF348" i="26"/>
  <c r="R348" i="26"/>
  <c r="Z348" i="26"/>
  <c r="Y348" i="26"/>
  <c r="Q348" i="26"/>
  <c r="AP348" i="26"/>
  <c r="AL345" i="26"/>
  <c r="W365" i="26" s="1"/>
  <c r="AD345" i="26"/>
  <c r="O365" i="26" s="1"/>
  <c r="V345" i="26"/>
  <c r="G365" i="26" s="1"/>
  <c r="AP345" i="26"/>
  <c r="AA365" i="26" s="1"/>
  <c r="AG345" i="26"/>
  <c r="R365" i="26" s="1"/>
  <c r="X345" i="26"/>
  <c r="I365" i="26" s="1"/>
  <c r="AO345" i="26"/>
  <c r="Z365" i="26" s="1"/>
  <c r="AF345" i="26"/>
  <c r="Q365" i="26" s="1"/>
  <c r="W345" i="26"/>
  <c r="H365" i="26" s="1"/>
  <c r="AN345" i="26"/>
  <c r="Y365" i="26" s="1"/>
  <c r="AE345" i="26"/>
  <c r="P365" i="26" s="1"/>
  <c r="U345" i="26"/>
  <c r="F365" i="26" s="1"/>
  <c r="AM345" i="26"/>
  <c r="X365" i="26" s="1"/>
  <c r="AC345" i="26"/>
  <c r="N365" i="26" s="1"/>
  <c r="T345" i="26"/>
  <c r="E365" i="26" s="1"/>
  <c r="AJ345" i="26"/>
  <c r="U365" i="26" s="1"/>
  <c r="AA345" i="26"/>
  <c r="L365" i="26" s="1"/>
  <c r="R345" i="26"/>
  <c r="C365" i="26" s="1"/>
  <c r="Y345" i="26"/>
  <c r="J365" i="26" s="1"/>
  <c r="AR345" i="26"/>
  <c r="AC365" i="26" s="1"/>
  <c r="S345" i="26"/>
  <c r="D365" i="26" s="1"/>
  <c r="AQ345" i="26"/>
  <c r="AB365" i="26" s="1"/>
  <c r="Q345" i="26"/>
  <c r="B365" i="26" s="1"/>
  <c r="AI345" i="26"/>
  <c r="T365" i="26" s="1"/>
  <c r="U343" i="26"/>
  <c r="F363" i="26" s="1"/>
  <c r="AK343" i="26"/>
  <c r="V363" i="26" s="1"/>
  <c r="AB343" i="26"/>
  <c r="M363" i="26" s="1"/>
  <c r="S343" i="26"/>
  <c r="D363" i="26" s="1"/>
  <c r="AJ343" i="26"/>
  <c r="U363" i="26" s="1"/>
  <c r="AA343" i="26"/>
  <c r="L363" i="26" s="1"/>
  <c r="R343" i="26"/>
  <c r="C363" i="26" s="1"/>
  <c r="AG343" i="26"/>
  <c r="R363" i="26" s="1"/>
  <c r="AR336" i="26"/>
  <c r="AC356" i="26" s="1"/>
  <c r="AJ336" i="26"/>
  <c r="U356" i="26" s="1"/>
  <c r="AB336" i="26"/>
  <c r="M356" i="26" s="1"/>
  <c r="T336" i="26"/>
  <c r="E356" i="26" s="1"/>
  <c r="AQ336" i="26"/>
  <c r="AB356" i="26" s="1"/>
  <c r="AI336" i="26"/>
  <c r="T356" i="26" s="1"/>
  <c r="AA336" i="26"/>
  <c r="L356" i="26" s="1"/>
  <c r="S336" i="26"/>
  <c r="D356" i="26" s="1"/>
  <c r="AP336" i="26"/>
  <c r="AA356" i="26" s="1"/>
  <c r="AO336" i="26"/>
  <c r="Z356" i="26" s="1"/>
  <c r="AG336" i="26"/>
  <c r="R356" i="26" s="1"/>
  <c r="Y336" i="26"/>
  <c r="J356" i="26" s="1"/>
  <c r="Q336" i="26"/>
  <c r="B356" i="26" s="1"/>
  <c r="AM336" i="26"/>
  <c r="X356" i="26" s="1"/>
  <c r="AE336" i="26"/>
  <c r="P356" i="26" s="1"/>
  <c r="W336" i="26"/>
  <c r="H356" i="26" s="1"/>
  <c r="AF336" i="26"/>
  <c r="Q356" i="26" s="1"/>
  <c r="AO337" i="26"/>
  <c r="Z357" i="26" s="1"/>
  <c r="AG337" i="26"/>
  <c r="R357" i="26" s="1"/>
  <c r="Y337" i="26"/>
  <c r="J357" i="26" s="1"/>
  <c r="Q337" i="26"/>
  <c r="B357" i="26" s="1"/>
  <c r="AJ337" i="26"/>
  <c r="U357" i="26" s="1"/>
  <c r="AP338" i="26"/>
  <c r="AA358" i="26" s="1"/>
  <c r="AO343" i="26"/>
  <c r="Z363" i="26" s="1"/>
  <c r="AK335" i="26"/>
  <c r="V355" i="26" s="1"/>
  <c r="AC335" i="26"/>
  <c r="N355" i="26" s="1"/>
  <c r="U335" i="26"/>
  <c r="F355" i="26" s="1"/>
  <c r="AP335" i="26"/>
  <c r="AA355" i="26" s="1"/>
  <c r="AH335" i="26"/>
  <c r="S355" i="26" s="1"/>
  <c r="Y335" i="26"/>
  <c r="J355" i="26" s="1"/>
  <c r="AM335" i="26"/>
  <c r="X355" i="26" s="1"/>
  <c r="R336" i="26"/>
  <c r="C356" i="26" s="1"/>
  <c r="AH336" i="26"/>
  <c r="S356" i="26" s="1"/>
  <c r="AQ337" i="26"/>
  <c r="AB357" i="26" s="1"/>
  <c r="AK337" i="26"/>
  <c r="V357" i="26" s="1"/>
  <c r="AM341" i="26"/>
  <c r="X361" i="26" s="1"/>
  <c r="AE341" i="26"/>
  <c r="P361" i="26" s="1"/>
  <c r="W341" i="26"/>
  <c r="H361" i="26" s="1"/>
  <c r="AL341" i="26"/>
  <c r="W361" i="26" s="1"/>
  <c r="AD341" i="26"/>
  <c r="O361" i="26" s="1"/>
  <c r="V341" i="26"/>
  <c r="G361" i="26" s="1"/>
  <c r="AK341" i="26"/>
  <c r="V361" i="26" s="1"/>
  <c r="AC341" i="26"/>
  <c r="N361" i="26" s="1"/>
  <c r="U341" i="26"/>
  <c r="F361" i="26" s="1"/>
  <c r="AR341" i="26"/>
  <c r="AC361" i="26" s="1"/>
  <c r="AJ341" i="26"/>
  <c r="U361" i="26" s="1"/>
  <c r="AB341" i="26"/>
  <c r="M361" i="26" s="1"/>
  <c r="T341" i="26"/>
  <c r="E361" i="26" s="1"/>
  <c r="AP341" i="26"/>
  <c r="AA361" i="26" s="1"/>
  <c r="AH341" i="26"/>
  <c r="S361" i="26" s="1"/>
  <c r="Z341" i="26"/>
  <c r="K361" i="26" s="1"/>
  <c r="R341" i="26"/>
  <c r="C361" i="26" s="1"/>
  <c r="AI341" i="26"/>
  <c r="T361" i="26" s="1"/>
  <c r="AL342" i="26"/>
  <c r="W362" i="26" s="1"/>
  <c r="AD342" i="26"/>
  <c r="O362" i="26" s="1"/>
  <c r="V342" i="26"/>
  <c r="G362" i="26" s="1"/>
  <c r="AK342" i="26"/>
  <c r="V362" i="26" s="1"/>
  <c r="AC342" i="26"/>
  <c r="N362" i="26" s="1"/>
  <c r="U342" i="26"/>
  <c r="F362" i="26" s="1"/>
  <c r="AR342" i="26"/>
  <c r="AC362" i="26" s="1"/>
  <c r="AJ342" i="26"/>
  <c r="U362" i="26" s="1"/>
  <c r="AB342" i="26"/>
  <c r="M362" i="26" s="1"/>
  <c r="T342" i="26"/>
  <c r="E362" i="26" s="1"/>
  <c r="AQ342" i="26"/>
  <c r="AB362" i="26" s="1"/>
  <c r="AI342" i="26"/>
  <c r="T362" i="26" s="1"/>
  <c r="AA342" i="26"/>
  <c r="L362" i="26" s="1"/>
  <c r="S342" i="26"/>
  <c r="D362" i="26" s="1"/>
  <c r="AO342" i="26"/>
  <c r="Z362" i="26" s="1"/>
  <c r="AG342" i="26"/>
  <c r="R362" i="26" s="1"/>
  <c r="Y342" i="26"/>
  <c r="J362" i="26" s="1"/>
  <c r="Q342" i="26"/>
  <c r="B362" i="26" s="1"/>
  <c r="AM342" i="26"/>
  <c r="X362" i="26" s="1"/>
  <c r="Q343" i="26"/>
  <c r="B363" i="26" s="1"/>
  <c r="AP343" i="26"/>
  <c r="AA363" i="26" s="1"/>
  <c r="Z335" i="26"/>
  <c r="K355" i="26" s="1"/>
  <c r="AO335" i="26"/>
  <c r="Z355" i="26" s="1"/>
  <c r="U336" i="26"/>
  <c r="F356" i="26" s="1"/>
  <c r="AK336" i="26"/>
  <c r="V356" i="26" s="1"/>
  <c r="T337" i="26"/>
  <c r="E357" i="26" s="1"/>
  <c r="AM337" i="26"/>
  <c r="X357" i="26" s="1"/>
  <c r="Q341" i="26"/>
  <c r="B361" i="26" s="1"/>
  <c r="AN341" i="26"/>
  <c r="Y361" i="26" s="1"/>
  <c r="R342" i="26"/>
  <c r="C362" i="26" s="1"/>
  <c r="AN342" i="26"/>
  <c r="Y362" i="26" s="1"/>
  <c r="V343" i="26"/>
  <c r="G363" i="26" s="1"/>
  <c r="AR343" i="26"/>
  <c r="AC363" i="26" s="1"/>
  <c r="U347" i="26"/>
  <c r="F367" i="26" s="1"/>
  <c r="AH347" i="26"/>
  <c r="S367" i="26" s="1"/>
  <c r="V347" i="26"/>
  <c r="G367" i="26" s="1"/>
  <c r="AG347" i="26"/>
  <c r="R367" i="26" s="1"/>
  <c r="S347" i="26"/>
  <c r="D367" i="26" s="1"/>
  <c r="AQ347" i="26"/>
  <c r="AB367" i="26" s="1"/>
  <c r="AE347" i="26"/>
  <c r="P367" i="26" s="1"/>
  <c r="R347" i="26"/>
  <c r="C367" i="26" s="1"/>
  <c r="AP347" i="26"/>
  <c r="AA367" i="26" s="1"/>
  <c r="AD347" i="26"/>
  <c r="O367" i="26" s="1"/>
  <c r="Q347" i="26"/>
  <c r="B367" i="26" s="1"/>
  <c r="AM347" i="26"/>
  <c r="X367" i="26" s="1"/>
  <c r="Z347" i="26"/>
  <c r="K367" i="26" s="1"/>
  <c r="AO347" i="26"/>
  <c r="Z367" i="26" s="1"/>
  <c r="X335" i="26"/>
  <c r="I355" i="26" s="1"/>
  <c r="AF335" i="26"/>
  <c r="Q355" i="26" s="1"/>
  <c r="AN335" i="26"/>
  <c r="Y355" i="26" s="1"/>
  <c r="V337" i="26"/>
  <c r="G357" i="26" s="1"/>
  <c r="AD337" i="26"/>
  <c r="O357" i="26" s="1"/>
  <c r="AL337" i="26"/>
  <c r="W357" i="26" s="1"/>
  <c r="U338" i="26"/>
  <c r="F358" i="26" s="1"/>
  <c r="AC338" i="26"/>
  <c r="N358" i="26" s="1"/>
  <c r="AK338" i="26"/>
  <c r="V358" i="26" s="1"/>
  <c r="T339" i="26"/>
  <c r="E359" i="26" s="1"/>
  <c r="AB339" i="26"/>
  <c r="M359" i="26" s="1"/>
  <c r="AJ339" i="26"/>
  <c r="U359" i="26" s="1"/>
  <c r="AR339" i="26"/>
  <c r="AC359" i="26" s="1"/>
  <c r="S340" i="26"/>
  <c r="D360" i="26" s="1"/>
  <c r="AA340" i="26"/>
  <c r="L360" i="26" s="1"/>
  <c r="AI340" i="26"/>
  <c r="T360" i="26" s="1"/>
  <c r="AQ340" i="26"/>
  <c r="AB360" i="26" s="1"/>
  <c r="AM343" i="26"/>
  <c r="X363" i="26" s="1"/>
  <c r="AE343" i="26"/>
  <c r="P363" i="26" s="1"/>
  <c r="W343" i="26"/>
  <c r="H363" i="26" s="1"/>
  <c r="Y343" i="26"/>
  <c r="J363" i="26" s="1"/>
  <c r="AH343" i="26"/>
  <c r="S363" i="26" s="1"/>
  <c r="AQ343" i="26"/>
  <c r="AB363" i="26" s="1"/>
  <c r="T346" i="26"/>
  <c r="E366" i="26" s="1"/>
  <c r="AD346" i="26"/>
  <c r="O366" i="26" s="1"/>
  <c r="AM346" i="26"/>
  <c r="X366" i="26" s="1"/>
  <c r="AR348" i="26"/>
  <c r="AJ348" i="26"/>
  <c r="AB348" i="26"/>
  <c r="T348" i="26"/>
  <c r="AQ348" i="26"/>
  <c r="AI348" i="26"/>
  <c r="AA348" i="26"/>
  <c r="S348" i="26"/>
  <c r="AM348" i="26"/>
  <c r="AE348" i="26"/>
  <c r="W348" i="26"/>
  <c r="AC348" i="26"/>
  <c r="AO348" i="26"/>
  <c r="X350" i="26"/>
  <c r="I370" i="26" s="1"/>
  <c r="AR350" i="26"/>
  <c r="AC370" i="26" s="1"/>
  <c r="X337" i="26"/>
  <c r="I357" i="26" s="1"/>
  <c r="AF337" i="26"/>
  <c r="Q357" i="26" s="1"/>
  <c r="AN337" i="26"/>
  <c r="Y357" i="26" s="1"/>
  <c r="W338" i="26"/>
  <c r="H358" i="26" s="1"/>
  <c r="AE338" i="26"/>
  <c r="P358" i="26" s="1"/>
  <c r="AM338" i="26"/>
  <c r="X358" i="26" s="1"/>
  <c r="V339" i="26"/>
  <c r="G359" i="26" s="1"/>
  <c r="AD339" i="26"/>
  <c r="O359" i="26" s="1"/>
  <c r="AL339" i="26"/>
  <c r="W359" i="26" s="1"/>
  <c r="U340" i="26"/>
  <c r="F360" i="26" s="1"/>
  <c r="AC340" i="26"/>
  <c r="N360" i="26" s="1"/>
  <c r="AK340" i="26"/>
  <c r="V360" i="26" s="1"/>
  <c r="W346" i="26"/>
  <c r="H366" i="26" s="1"/>
  <c r="AF346" i="26"/>
  <c r="Q366" i="26" s="1"/>
  <c r="AP346" i="26"/>
  <c r="AA366" i="26" s="1"/>
  <c r="AC350" i="26"/>
  <c r="N370" i="26" s="1"/>
  <c r="A389" i="26"/>
  <c r="A401" i="26"/>
  <c r="A391" i="26"/>
  <c r="A403" i="26"/>
  <c r="X338" i="26"/>
  <c r="I358" i="26" s="1"/>
  <c r="AF338" i="26"/>
  <c r="Q358" i="26" s="1"/>
  <c r="AN338" i="26"/>
  <c r="Y358" i="26" s="1"/>
  <c r="W339" i="26"/>
  <c r="H359" i="26" s="1"/>
  <c r="AE339" i="26"/>
  <c r="P359" i="26" s="1"/>
  <c r="V340" i="26"/>
  <c r="G360" i="26" s="1"/>
  <c r="AD340" i="26"/>
  <c r="O360" i="26" s="1"/>
  <c r="X346" i="26"/>
  <c r="I366" i="26" s="1"/>
  <c r="AG346" i="26"/>
  <c r="R366" i="26" s="1"/>
  <c r="AF350" i="26"/>
  <c r="Q370" i="26" s="1"/>
  <c r="A388" i="26"/>
  <c r="A400" i="26"/>
  <c r="D355" i="26"/>
  <c r="T335" i="26"/>
  <c r="E355" i="26" s="1"/>
  <c r="AB335" i="26"/>
  <c r="M355" i="26" s="1"/>
  <c r="AJ335" i="26"/>
  <c r="U355" i="26" s="1"/>
  <c r="R337" i="26"/>
  <c r="C357" i="26" s="1"/>
  <c r="Z337" i="26"/>
  <c r="K357" i="26" s="1"/>
  <c r="AH337" i="26"/>
  <c r="S357" i="26" s="1"/>
  <c r="AP337" i="26"/>
  <c r="AA357" i="26" s="1"/>
  <c r="Q338" i="26"/>
  <c r="B358" i="26" s="1"/>
  <c r="Y338" i="26"/>
  <c r="J358" i="26" s="1"/>
  <c r="AG338" i="26"/>
  <c r="R358" i="26" s="1"/>
  <c r="AO338" i="26"/>
  <c r="Z358" i="26" s="1"/>
  <c r="X339" i="26"/>
  <c r="I359" i="26" s="1"/>
  <c r="AF339" i="26"/>
  <c r="Q359" i="26" s="1"/>
  <c r="W340" i="26"/>
  <c r="H360" i="26" s="1"/>
  <c r="AE340" i="26"/>
  <c r="P360" i="26" s="1"/>
  <c r="AM340" i="26"/>
  <c r="X360" i="26" s="1"/>
  <c r="T343" i="26"/>
  <c r="E363" i="26" s="1"/>
  <c r="AC343" i="26"/>
  <c r="N363" i="26" s="1"/>
  <c r="AL343" i="26"/>
  <c r="W363" i="26" s="1"/>
  <c r="AK346" i="26"/>
  <c r="V366" i="26" s="1"/>
  <c r="AC346" i="26"/>
  <c r="N366" i="26" s="1"/>
  <c r="U346" i="26"/>
  <c r="F366" i="26" s="1"/>
  <c r="AO346" i="26"/>
  <c r="Z366" i="26" s="1"/>
  <c r="Y346" i="26"/>
  <c r="J366" i="26" s="1"/>
  <c r="AH346" i="26"/>
  <c r="S366" i="26" s="1"/>
  <c r="AR346" i="26"/>
  <c r="AC366" i="26" s="1"/>
  <c r="V348" i="26"/>
  <c r="AH348" i="26"/>
  <c r="AQ350" i="26"/>
  <c r="AB370" i="26" s="1"/>
  <c r="AI350" i="26"/>
  <c r="T370" i="26" s="1"/>
  <c r="AA350" i="26"/>
  <c r="L370" i="26" s="1"/>
  <c r="AP350" i="26"/>
  <c r="AA370" i="26" s="1"/>
  <c r="AJ350" i="26"/>
  <c r="U370" i="26" s="1"/>
  <c r="Z350" i="26"/>
  <c r="K370" i="26" s="1"/>
  <c r="R350" i="26"/>
  <c r="C370" i="26" s="1"/>
  <c r="AH350" i="26"/>
  <c r="S370" i="26" s="1"/>
  <c r="Y350" i="26"/>
  <c r="J370" i="26" s="1"/>
  <c r="Q350" i="26"/>
  <c r="B370" i="26" s="1"/>
  <c r="AN350" i="26"/>
  <c r="Y370" i="26" s="1"/>
  <c r="AE350" i="26"/>
  <c r="P370" i="26" s="1"/>
  <c r="V350" i="26"/>
  <c r="G370" i="26" s="1"/>
  <c r="AM350" i="26"/>
  <c r="X370" i="26" s="1"/>
  <c r="AD350" i="26"/>
  <c r="O370" i="26" s="1"/>
  <c r="U350" i="26"/>
  <c r="F370" i="26" s="1"/>
  <c r="AG350" i="26"/>
  <c r="R370" i="26" s="1"/>
  <c r="S337" i="26"/>
  <c r="D357" i="26" s="1"/>
  <c r="AA337" i="26"/>
  <c r="L357" i="26" s="1"/>
  <c r="AI337" i="26"/>
  <c r="T357" i="26" s="1"/>
  <c r="R338" i="26"/>
  <c r="C358" i="26" s="1"/>
  <c r="Z338" i="26"/>
  <c r="K358" i="26" s="1"/>
  <c r="AH338" i="26"/>
  <c r="S358" i="26" s="1"/>
  <c r="Q339" i="26"/>
  <c r="B359" i="26" s="1"/>
  <c r="Y339" i="26"/>
  <c r="J359" i="26" s="1"/>
  <c r="AG339" i="26"/>
  <c r="R359" i="26" s="1"/>
  <c r="X340" i="26"/>
  <c r="I360" i="26" s="1"/>
  <c r="AF340" i="26"/>
  <c r="Q360" i="26" s="1"/>
  <c r="AD343" i="26"/>
  <c r="O363" i="26" s="1"/>
  <c r="AN343" i="26"/>
  <c r="Y363" i="26" s="1"/>
  <c r="Q346" i="26"/>
  <c r="B366" i="26" s="1"/>
  <c r="Z346" i="26"/>
  <c r="K366" i="26" s="1"/>
  <c r="X348" i="26"/>
  <c r="AK348" i="26"/>
  <c r="S350" i="26"/>
  <c r="D370" i="26" s="1"/>
  <c r="X347" i="26"/>
  <c r="I367" i="26" s="1"/>
  <c r="AF347" i="26"/>
  <c r="Q367" i="26" s="1"/>
  <c r="AN347" i="26"/>
  <c r="Y367" i="26" s="1"/>
  <c r="A402" i="26"/>
  <c r="A390" i="26"/>
  <c r="A385" i="26"/>
  <c r="T347" i="26"/>
  <c r="E367" i="26" s="1"/>
  <c r="AB347" i="26"/>
  <c r="M367" i="26" s="1"/>
  <c r="AJ347" i="26"/>
  <c r="U367" i="26" s="1"/>
  <c r="AR347" i="26"/>
  <c r="AC367" i="26" s="1"/>
  <c r="A387" i="26"/>
  <c r="AC347" i="26"/>
  <c r="N367" i="26" s="1"/>
  <c r="A386" i="26"/>
  <c r="A398" i="26"/>
  <c r="A404" i="26"/>
  <c r="A392" i="26"/>
  <c r="Y349" i="25"/>
  <c r="Q240" i="25"/>
  <c r="U240" i="25"/>
  <c r="AE240" i="25"/>
  <c r="AK240" i="25"/>
  <c r="AC240" i="25"/>
  <c r="T132" i="25"/>
  <c r="AB132" i="25"/>
  <c r="AQ342" i="25"/>
  <c r="AB362" i="25" s="1"/>
  <c r="AN342" i="25"/>
  <c r="Y362" i="25" s="1"/>
  <c r="R342" i="25"/>
  <c r="C362" i="25" s="1"/>
  <c r="S342" i="25"/>
  <c r="D362" i="25" s="1"/>
  <c r="X342" i="25"/>
  <c r="I362" i="25" s="1"/>
  <c r="AR233" i="25"/>
  <c r="AC253" i="25" s="1"/>
  <c r="Z236" i="25"/>
  <c r="K256" i="25" s="1"/>
  <c r="AQ236" i="25"/>
  <c r="AB256" i="25" s="1"/>
  <c r="W233" i="25"/>
  <c r="H253" i="25" s="1"/>
  <c r="AA233" i="25"/>
  <c r="L253" i="25" s="1"/>
  <c r="AC236" i="25"/>
  <c r="N256" i="25" s="1"/>
  <c r="AD236" i="25"/>
  <c r="O256" i="25" s="1"/>
  <c r="AN236" i="25"/>
  <c r="Y256" i="25" s="1"/>
  <c r="R236" i="25"/>
  <c r="C256" i="25" s="1"/>
  <c r="S125" i="25"/>
  <c r="D145" i="25" s="1"/>
  <c r="AP125" i="25"/>
  <c r="AA145" i="25" s="1"/>
  <c r="M146" i="25"/>
  <c r="AE342" i="25"/>
  <c r="P362" i="25" s="1"/>
  <c r="AL342" i="25"/>
  <c r="W362" i="25" s="1"/>
  <c r="X233" i="25"/>
  <c r="I253" i="25" s="1"/>
  <c r="AF233" i="25"/>
  <c r="Q253" i="25" s="1"/>
  <c r="AJ233" i="25"/>
  <c r="U253" i="25" s="1"/>
  <c r="AK233" i="25"/>
  <c r="V253" i="25" s="1"/>
  <c r="AQ125" i="25"/>
  <c r="AB145" i="25" s="1"/>
  <c r="AH125" i="25"/>
  <c r="S145" i="25" s="1"/>
  <c r="AO125" i="25"/>
  <c r="Z145" i="25" s="1"/>
  <c r="R125" i="25"/>
  <c r="C145" i="25" s="1"/>
  <c r="AC231" i="25"/>
  <c r="N251" i="25" s="1"/>
  <c r="AR231" i="25"/>
  <c r="AC251" i="25" s="1"/>
  <c r="AO231" i="25"/>
  <c r="Z251" i="25" s="1"/>
  <c r="Z269" i="25" s="1"/>
  <c r="Q231" i="25"/>
  <c r="B251" i="25" s="1"/>
  <c r="B269" i="25" s="1"/>
  <c r="Q229" i="25"/>
  <c r="B249" i="25" s="1"/>
  <c r="AN229" i="25"/>
  <c r="Y249" i="25" s="1"/>
  <c r="U229" i="25"/>
  <c r="F249" i="25" s="1"/>
  <c r="AQ229" i="25"/>
  <c r="AB249" i="25" s="1"/>
  <c r="AB229" i="25"/>
  <c r="M249" i="25" s="1"/>
  <c r="AE229" i="25"/>
  <c r="P249" i="25" s="1"/>
  <c r="AJ229" i="25"/>
  <c r="U249" i="25" s="1"/>
  <c r="AD121" i="25"/>
  <c r="O141" i="25" s="1"/>
  <c r="AO121" i="25"/>
  <c r="Z141" i="25" s="1"/>
  <c r="AL121" i="25"/>
  <c r="W141" i="25" s="1"/>
  <c r="AH121" i="25"/>
  <c r="S141" i="25" s="1"/>
  <c r="AM121" i="25"/>
  <c r="X141" i="25" s="1"/>
  <c r="Q121" i="25"/>
  <c r="B141" i="25" s="1"/>
  <c r="AB334" i="25"/>
  <c r="M354" i="25" s="1"/>
  <c r="R335" i="25"/>
  <c r="C355" i="25" s="1"/>
  <c r="W334" i="25"/>
  <c r="H354" i="25" s="1"/>
  <c r="U335" i="25"/>
  <c r="F355" i="25" s="1"/>
  <c r="Y335" i="25"/>
  <c r="J355" i="25" s="1"/>
  <c r="AD117" i="25"/>
  <c r="O137" i="25" s="1"/>
  <c r="W118" i="25"/>
  <c r="H138" i="25" s="1"/>
  <c r="AE117" i="25"/>
  <c r="P137" i="25" s="1"/>
  <c r="AF117" i="25"/>
  <c r="Q137" i="25" s="1"/>
  <c r="AG117" i="25"/>
  <c r="R137" i="25" s="1"/>
  <c r="R117" i="25"/>
  <c r="C137" i="25" s="1"/>
  <c r="AH117" i="25"/>
  <c r="S137" i="25" s="1"/>
  <c r="U117" i="25"/>
  <c r="F137" i="25" s="1"/>
  <c r="AM117" i="25"/>
  <c r="X137" i="25" s="1"/>
  <c r="O355" i="25"/>
  <c r="AI26" i="25"/>
  <c r="AB20" i="25"/>
  <c r="M40" i="25" s="1"/>
  <c r="AN19" i="25"/>
  <c r="Y39" i="25" s="1"/>
  <c r="Y19" i="25"/>
  <c r="J39" i="25" s="1"/>
  <c r="AR19" i="25"/>
  <c r="AC39" i="25" s="1"/>
  <c r="AC19" i="25"/>
  <c r="N39" i="25" s="1"/>
  <c r="Q19" i="25"/>
  <c r="B39" i="25" s="1"/>
  <c r="AJ19" i="25"/>
  <c r="U39" i="25" s="1"/>
  <c r="U19" i="25"/>
  <c r="F39" i="25" s="1"/>
  <c r="AR17" i="25"/>
  <c r="AC37" i="25" s="1"/>
  <c r="AF12" i="25"/>
  <c r="Q32" i="25" s="1"/>
  <c r="AH11" i="25"/>
  <c r="S31" i="25" s="1"/>
  <c r="AO11" i="25"/>
  <c r="Z31" i="25" s="1"/>
  <c r="AR11" i="25"/>
  <c r="AC31" i="25" s="1"/>
  <c r="S11" i="25"/>
  <c r="D31" i="25" s="1"/>
  <c r="Y11" i="25"/>
  <c r="J31" i="25" s="1"/>
  <c r="AN11" i="25"/>
  <c r="Y31" i="25" s="1"/>
  <c r="AQ11" i="25"/>
  <c r="AB31" i="25" s="1"/>
  <c r="AI11" i="25"/>
  <c r="T31" i="25" s="1"/>
  <c r="R11" i="25"/>
  <c r="C31" i="25" s="1"/>
  <c r="AD13" i="25"/>
  <c r="O33" i="25" s="1"/>
  <c r="Q11" i="25"/>
  <c r="B31" i="25" s="1"/>
  <c r="AA11" i="25"/>
  <c r="L31" i="25" s="1"/>
  <c r="AK11" i="25"/>
  <c r="V31" i="25" s="1"/>
  <c r="X12" i="25"/>
  <c r="I32" i="25" s="1"/>
  <c r="AH12" i="25"/>
  <c r="S32" i="25" s="1"/>
  <c r="S13" i="25"/>
  <c r="D33" i="25" s="1"/>
  <c r="AE13" i="25"/>
  <c r="P33" i="25" s="1"/>
  <c r="AO13" i="25"/>
  <c r="Z33" i="25" s="1"/>
  <c r="Q14" i="25"/>
  <c r="B34" i="25" s="1"/>
  <c r="AC14" i="25"/>
  <c r="N34" i="25" s="1"/>
  <c r="AM14" i="25"/>
  <c r="X34" i="25" s="1"/>
  <c r="AQ15" i="25"/>
  <c r="AB35" i="25" s="1"/>
  <c r="AI15" i="25"/>
  <c r="T35" i="25" s="1"/>
  <c r="AA15" i="25"/>
  <c r="L35" i="25" s="1"/>
  <c r="S15" i="25"/>
  <c r="D35" i="25" s="1"/>
  <c r="AP15" i="25"/>
  <c r="AA35" i="25" s="1"/>
  <c r="AH15" i="25"/>
  <c r="S35" i="25" s="1"/>
  <c r="Z15" i="25"/>
  <c r="K35" i="25" s="1"/>
  <c r="R15" i="25"/>
  <c r="C35" i="25" s="1"/>
  <c r="AB15" i="25"/>
  <c r="M35" i="25" s="1"/>
  <c r="AL15" i="25"/>
  <c r="W35" i="25" s="1"/>
  <c r="AA16" i="25"/>
  <c r="L36" i="25" s="1"/>
  <c r="W17" i="25"/>
  <c r="H37" i="25" s="1"/>
  <c r="AI17" i="25"/>
  <c r="T37" i="25" s="1"/>
  <c r="F38" i="25"/>
  <c r="T18" i="25"/>
  <c r="E38" i="25" s="1"/>
  <c r="S20" i="25"/>
  <c r="D40" i="25" s="1"/>
  <c r="AN20" i="25"/>
  <c r="Y40" i="25" s="1"/>
  <c r="R22" i="25"/>
  <c r="C42" i="25" s="1"/>
  <c r="AM22" i="25"/>
  <c r="X42" i="25" s="1"/>
  <c r="Q23" i="25"/>
  <c r="B43" i="25" s="1"/>
  <c r="AL23" i="25"/>
  <c r="W43" i="25" s="1"/>
  <c r="Q24" i="25"/>
  <c r="B44" i="25" s="1"/>
  <c r="AN24" i="25"/>
  <c r="Y44" i="25" s="1"/>
  <c r="W25" i="25"/>
  <c r="Y12" i="25"/>
  <c r="J32" i="25" s="1"/>
  <c r="V13" i="25"/>
  <c r="G33" i="25" s="1"/>
  <c r="AF13" i="25"/>
  <c r="Q33" i="25" s="1"/>
  <c r="AP13" i="25"/>
  <c r="AA33" i="25" s="1"/>
  <c r="R14" i="25"/>
  <c r="C34" i="25" s="1"/>
  <c r="AD14" i="25"/>
  <c r="O34" i="25" s="1"/>
  <c r="AN14" i="25"/>
  <c r="Y34" i="25" s="1"/>
  <c r="Q15" i="25"/>
  <c r="B35" i="25" s="1"/>
  <c r="AC15" i="25"/>
  <c r="N35" i="25" s="1"/>
  <c r="AM15" i="25"/>
  <c r="X35" i="25" s="1"/>
  <c r="AP16" i="25"/>
  <c r="AA36" i="25" s="1"/>
  <c r="AH16" i="25"/>
  <c r="S36" i="25" s="1"/>
  <c r="Z16" i="25"/>
  <c r="K36" i="25" s="1"/>
  <c r="R16" i="25"/>
  <c r="C36" i="25" s="1"/>
  <c r="AO16" i="25"/>
  <c r="Z36" i="25" s="1"/>
  <c r="AG16" i="25"/>
  <c r="R36" i="25" s="1"/>
  <c r="Y16" i="25"/>
  <c r="J36" i="25" s="1"/>
  <c r="Q16" i="25"/>
  <c r="B36" i="25" s="1"/>
  <c r="AB16" i="25"/>
  <c r="M36" i="25" s="1"/>
  <c r="AL16" i="25"/>
  <c r="W36" i="25" s="1"/>
  <c r="Z17" i="25"/>
  <c r="K37" i="25" s="1"/>
  <c r="AJ17" i="25"/>
  <c r="U37" i="25" s="1"/>
  <c r="S22" i="25"/>
  <c r="D42" i="25" s="1"/>
  <c r="AP22" i="25"/>
  <c r="AA42" i="25" s="1"/>
  <c r="R23" i="25"/>
  <c r="C43" i="25" s="1"/>
  <c r="AO23" i="25"/>
  <c r="Z43" i="25" s="1"/>
  <c r="X25" i="25"/>
  <c r="A80" i="25"/>
  <c r="A68" i="25"/>
  <c r="AL12" i="25"/>
  <c r="W32" i="25" s="1"/>
  <c r="AD12" i="25"/>
  <c r="O32" i="25" s="1"/>
  <c r="V12" i="25"/>
  <c r="G32" i="25" s="1"/>
  <c r="AK12" i="25"/>
  <c r="V32" i="25" s="1"/>
  <c r="AC12" i="25"/>
  <c r="N32" i="25" s="1"/>
  <c r="U12" i="25"/>
  <c r="F32" i="25" s="1"/>
  <c r="Z12" i="25"/>
  <c r="K32" i="25" s="1"/>
  <c r="AJ12" i="25"/>
  <c r="U32" i="25" s="1"/>
  <c r="W13" i="25"/>
  <c r="H33" i="25" s="1"/>
  <c r="AG13" i="25"/>
  <c r="R33" i="25" s="1"/>
  <c r="AQ13" i="25"/>
  <c r="AB33" i="25" s="1"/>
  <c r="U14" i="25"/>
  <c r="F34" i="25" s="1"/>
  <c r="AE14" i="25"/>
  <c r="P34" i="25" s="1"/>
  <c r="AO14" i="25"/>
  <c r="Z34" i="25" s="1"/>
  <c r="T15" i="25"/>
  <c r="E35" i="25" s="1"/>
  <c r="AD15" i="25"/>
  <c r="O35" i="25" s="1"/>
  <c r="AN15" i="25"/>
  <c r="Y35" i="25" s="1"/>
  <c r="S16" i="25"/>
  <c r="D36" i="25" s="1"/>
  <c r="AC16" i="25"/>
  <c r="N36" i="25" s="1"/>
  <c r="AM16" i="25"/>
  <c r="X36" i="25" s="1"/>
  <c r="AO17" i="25"/>
  <c r="Z37" i="25" s="1"/>
  <c r="AA17" i="25"/>
  <c r="L37" i="25" s="1"/>
  <c r="AK17" i="25"/>
  <c r="V37" i="25" s="1"/>
  <c r="AR18" i="25"/>
  <c r="AC38" i="25" s="1"/>
  <c r="AJ18" i="25"/>
  <c r="U38" i="25" s="1"/>
  <c r="AQ18" i="25"/>
  <c r="AB38" i="25" s="1"/>
  <c r="V18" i="25"/>
  <c r="G38" i="25" s="1"/>
  <c r="AH18" i="25"/>
  <c r="S38" i="25" s="1"/>
  <c r="X20" i="25"/>
  <c r="I40" i="25" s="1"/>
  <c r="AR20" i="25"/>
  <c r="AC40" i="25" s="1"/>
  <c r="W22" i="25"/>
  <c r="H42" i="25" s="1"/>
  <c r="AQ22" i="25"/>
  <c r="AB42" i="25" s="1"/>
  <c r="V23" i="25"/>
  <c r="G43" i="25" s="1"/>
  <c r="AP23" i="25"/>
  <c r="AA43" i="25" s="1"/>
  <c r="X24" i="25"/>
  <c r="I44" i="25" s="1"/>
  <c r="AE26" i="25"/>
  <c r="W26" i="25"/>
  <c r="Y14" i="25"/>
  <c r="J34" i="25" s="1"/>
  <c r="X15" i="25"/>
  <c r="I35" i="25" s="1"/>
  <c r="AM25" i="25"/>
  <c r="AE25" i="25"/>
  <c r="AL25" i="25"/>
  <c r="AD25" i="25"/>
  <c r="V25" i="25"/>
  <c r="AK25" i="25"/>
  <c r="AC25" i="25"/>
  <c r="U25" i="25"/>
  <c r="AQ25" i="25"/>
  <c r="AI25" i="25"/>
  <c r="AA25" i="25"/>
  <c r="S25" i="25"/>
  <c r="AP25" i="25"/>
  <c r="AH25" i="25"/>
  <c r="Z25" i="25"/>
  <c r="R25" i="25"/>
  <c r="AO25" i="25"/>
  <c r="AG25" i="25"/>
  <c r="Y25" i="25"/>
  <c r="Q25" i="25"/>
  <c r="T11" i="25"/>
  <c r="E31" i="25" s="1"/>
  <c r="AF11" i="25"/>
  <c r="Q31" i="25" s="1"/>
  <c r="AP11" i="25"/>
  <c r="AA31" i="25" s="1"/>
  <c r="Q12" i="25"/>
  <c r="B32" i="25" s="1"/>
  <c r="AA12" i="25"/>
  <c r="L32" i="25" s="1"/>
  <c r="AM12" i="25"/>
  <c r="X32" i="25" s="1"/>
  <c r="X13" i="25"/>
  <c r="I33" i="25" s="1"/>
  <c r="AH13" i="25"/>
  <c r="S33" i="25" s="1"/>
  <c r="V14" i="25"/>
  <c r="G34" i="25" s="1"/>
  <c r="AF14" i="25"/>
  <c r="Q34" i="25" s="1"/>
  <c r="AP14" i="25"/>
  <c r="AA34" i="25" s="1"/>
  <c r="U15" i="25"/>
  <c r="F35" i="25" s="1"/>
  <c r="AE15" i="25"/>
  <c r="P35" i="25" s="1"/>
  <c r="AO15" i="25"/>
  <c r="Z35" i="25" s="1"/>
  <c r="T16" i="25"/>
  <c r="E36" i="25" s="1"/>
  <c r="AD16" i="25"/>
  <c r="O36" i="25" s="1"/>
  <c r="AN16" i="25"/>
  <c r="Y36" i="25" s="1"/>
  <c r="R17" i="25"/>
  <c r="C37" i="25" s="1"/>
  <c r="AB17" i="25"/>
  <c r="M37" i="25" s="1"/>
  <c r="AL17" i="25"/>
  <c r="W37" i="25" s="1"/>
  <c r="Y18" i="25"/>
  <c r="J38" i="25" s="1"/>
  <c r="AI18" i="25"/>
  <c r="T38" i="25" s="1"/>
  <c r="AA20" i="25"/>
  <c r="L40" i="25" s="1"/>
  <c r="Z22" i="25"/>
  <c r="K42" i="25" s="1"/>
  <c r="Y23" i="25"/>
  <c r="J43" i="25" s="1"/>
  <c r="Y24" i="25"/>
  <c r="J44" i="25" s="1"/>
  <c r="AF25" i="25"/>
  <c r="AO26" i="25"/>
  <c r="A69" i="25"/>
  <c r="A81" i="25"/>
  <c r="AR25" i="25"/>
  <c r="U11" i="25"/>
  <c r="F31" i="25" s="1"/>
  <c r="AG11" i="25"/>
  <c r="R31" i="25" s="1"/>
  <c r="R12" i="25"/>
  <c r="C32" i="25" s="1"/>
  <c r="AB12" i="25"/>
  <c r="M32" i="25" s="1"/>
  <c r="AN12" i="25"/>
  <c r="Y32" i="25" s="1"/>
  <c r="Y13" i="25"/>
  <c r="J33" i="25" s="1"/>
  <c r="W14" i="25"/>
  <c r="H34" i="25" s="1"/>
  <c r="V15" i="25"/>
  <c r="G35" i="25" s="1"/>
  <c r="AF15" i="25"/>
  <c r="Q35" i="25" s="1"/>
  <c r="AR15" i="25"/>
  <c r="AC35" i="25" s="1"/>
  <c r="U16" i="25"/>
  <c r="F36" i="25" s="1"/>
  <c r="AE16" i="25"/>
  <c r="P36" i="25" s="1"/>
  <c r="AQ16" i="25"/>
  <c r="AB36" i="25" s="1"/>
  <c r="S17" i="25"/>
  <c r="D37" i="25" s="1"/>
  <c r="AC17" i="25"/>
  <c r="N37" i="25" s="1"/>
  <c r="AN18" i="25"/>
  <c r="Y38" i="25" s="1"/>
  <c r="Z18" i="25"/>
  <c r="K38" i="25" s="1"/>
  <c r="AK18" i="25"/>
  <c r="V38" i="25" s="1"/>
  <c r="AQ19" i="25"/>
  <c r="AB39" i="25" s="1"/>
  <c r="AI19" i="25"/>
  <c r="T39" i="25" s="1"/>
  <c r="AA19" i="25"/>
  <c r="L39" i="25" s="1"/>
  <c r="S19" i="25"/>
  <c r="D39" i="25" s="1"/>
  <c r="AP19" i="25"/>
  <c r="AA39" i="25" s="1"/>
  <c r="AH19" i="25"/>
  <c r="S39" i="25" s="1"/>
  <c r="Z19" i="25"/>
  <c r="K39" i="25" s="1"/>
  <c r="R19" i="25"/>
  <c r="C39" i="25" s="1"/>
  <c r="AM19" i="25"/>
  <c r="X39" i="25" s="1"/>
  <c r="AE19" i="25"/>
  <c r="P39" i="25" s="1"/>
  <c r="W19" i="25"/>
  <c r="H39" i="25" s="1"/>
  <c r="AL19" i="25"/>
  <c r="W39" i="25" s="1"/>
  <c r="AD19" i="25"/>
  <c r="O39" i="25" s="1"/>
  <c r="V19" i="25"/>
  <c r="G39" i="25" s="1"/>
  <c r="AF19" i="25"/>
  <c r="Q39" i="25" s="1"/>
  <c r="AA22" i="25"/>
  <c r="L42" i="25" s="1"/>
  <c r="AJ25" i="25"/>
  <c r="S26" i="25"/>
  <c r="AK13" i="25"/>
  <c r="V33" i="25" s="1"/>
  <c r="AC13" i="25"/>
  <c r="N33" i="25" s="1"/>
  <c r="U13" i="25"/>
  <c r="F33" i="25" s="1"/>
  <c r="AR13" i="25"/>
  <c r="AC33" i="25" s="1"/>
  <c r="AJ13" i="25"/>
  <c r="U33" i="25" s="1"/>
  <c r="AB13" i="25"/>
  <c r="M33" i="25" s="1"/>
  <c r="T13" i="25"/>
  <c r="E33" i="25" s="1"/>
  <c r="Z13" i="25"/>
  <c r="K33" i="25" s="1"/>
  <c r="AL13" i="25"/>
  <c r="W33" i="25" s="1"/>
  <c r="X14" i="25"/>
  <c r="I34" i="25" s="1"/>
  <c r="W15" i="25"/>
  <c r="H35" i="25" s="1"/>
  <c r="AG15" i="25"/>
  <c r="R35" i="25" s="1"/>
  <c r="H36" i="25"/>
  <c r="AP17" i="25"/>
  <c r="AA37" i="25" s="1"/>
  <c r="AL22" i="25"/>
  <c r="W42" i="25" s="1"/>
  <c r="AE22" i="25"/>
  <c r="P42" i="25" s="1"/>
  <c r="AK23" i="25"/>
  <c r="V43" i="25" s="1"/>
  <c r="AC23" i="25"/>
  <c r="N43" i="25" s="1"/>
  <c r="U23" i="25"/>
  <c r="F43" i="25" s="1"/>
  <c r="AD23" i="25"/>
  <c r="O43" i="25" s="1"/>
  <c r="AN25" i="25"/>
  <c r="A63" i="25"/>
  <c r="A75" i="25"/>
  <c r="A77" i="25"/>
  <c r="A65" i="25"/>
  <c r="AJ15" i="25"/>
  <c r="U35" i="25" s="1"/>
  <c r="AH22" i="25"/>
  <c r="S42" i="25" s="1"/>
  <c r="AM11" i="25"/>
  <c r="X31" i="25" s="1"/>
  <c r="AE11" i="25"/>
  <c r="P31" i="25" s="1"/>
  <c r="W11" i="25"/>
  <c r="H31" i="25" s="1"/>
  <c r="AL11" i="25"/>
  <c r="W31" i="25" s="1"/>
  <c r="AD11" i="25"/>
  <c r="O31" i="25" s="1"/>
  <c r="V11" i="25"/>
  <c r="G31" i="25" s="1"/>
  <c r="Z11" i="25"/>
  <c r="K31" i="25" s="1"/>
  <c r="AJ11" i="25"/>
  <c r="U31" i="25" s="1"/>
  <c r="W12" i="25"/>
  <c r="H32" i="25" s="1"/>
  <c r="AG12" i="25"/>
  <c r="R32" i="25" s="1"/>
  <c r="AQ12" i="25"/>
  <c r="AB32" i="25" s="1"/>
  <c r="R13" i="25"/>
  <c r="C33" i="25" s="1"/>
  <c r="AN13" i="25"/>
  <c r="Y33" i="25" s="1"/>
  <c r="AR14" i="25"/>
  <c r="AC34" i="25" s="1"/>
  <c r="AJ14" i="25"/>
  <c r="U34" i="25" s="1"/>
  <c r="AB14" i="25"/>
  <c r="M34" i="25" s="1"/>
  <c r="T14" i="25"/>
  <c r="E34" i="25" s="1"/>
  <c r="AQ14" i="25"/>
  <c r="AB34" i="25" s="1"/>
  <c r="AI14" i="25"/>
  <c r="T34" i="25" s="1"/>
  <c r="AA14" i="25"/>
  <c r="L34" i="25" s="1"/>
  <c r="S14" i="25"/>
  <c r="D34" i="25" s="1"/>
  <c r="Z14" i="25"/>
  <c r="K34" i="25" s="1"/>
  <c r="AL14" i="25"/>
  <c r="W34" i="25" s="1"/>
  <c r="Y15" i="25"/>
  <c r="J35" i="25" s="1"/>
  <c r="X16" i="25"/>
  <c r="I36" i="25" s="1"/>
  <c r="AJ16" i="25"/>
  <c r="U36" i="25" s="1"/>
  <c r="V17" i="25"/>
  <c r="G37" i="25" s="1"/>
  <c r="AH17" i="25"/>
  <c r="S37" i="25" s="1"/>
  <c r="S18" i="25"/>
  <c r="D38" i="25" s="1"/>
  <c r="AC18" i="25"/>
  <c r="N38" i="25" s="1"/>
  <c r="AP18" i="25"/>
  <c r="AA38" i="25" s="1"/>
  <c r="AP20" i="25"/>
  <c r="AA40" i="25" s="1"/>
  <c r="AH20" i="25"/>
  <c r="S40" i="25" s="1"/>
  <c r="Z20" i="25"/>
  <c r="K40" i="25" s="1"/>
  <c r="R20" i="25"/>
  <c r="C40" i="25" s="1"/>
  <c r="AO20" i="25"/>
  <c r="Z40" i="25" s="1"/>
  <c r="AG20" i="25"/>
  <c r="R40" i="25" s="1"/>
  <c r="Y20" i="25"/>
  <c r="J40" i="25" s="1"/>
  <c r="Q20" i="25"/>
  <c r="B40" i="25" s="1"/>
  <c r="AM20" i="25"/>
  <c r="X40" i="25" s="1"/>
  <c r="AE20" i="25"/>
  <c r="P40" i="25" s="1"/>
  <c r="W20" i="25"/>
  <c r="H40" i="25" s="1"/>
  <c r="AL20" i="25"/>
  <c r="W40" i="25" s="1"/>
  <c r="AD20" i="25"/>
  <c r="O40" i="25" s="1"/>
  <c r="V20" i="25"/>
  <c r="G40" i="25" s="1"/>
  <c r="AK20" i="25"/>
  <c r="V40" i="25" s="1"/>
  <c r="AC20" i="25"/>
  <c r="N40" i="25" s="1"/>
  <c r="U20" i="25"/>
  <c r="F40" i="25" s="1"/>
  <c r="AJ20" i="25"/>
  <c r="U40" i="25" s="1"/>
  <c r="AO22" i="25"/>
  <c r="Z42" i="25" s="1"/>
  <c r="AN23" i="25"/>
  <c r="Y43" i="25" s="1"/>
  <c r="AH23" i="25"/>
  <c r="S43" i="25" s="1"/>
  <c r="AM24" i="25"/>
  <c r="X44" i="25" s="1"/>
  <c r="AE24" i="25"/>
  <c r="P44" i="25" s="1"/>
  <c r="W24" i="25"/>
  <c r="H44" i="25" s="1"/>
  <c r="AL24" i="25"/>
  <c r="W44" i="25" s="1"/>
  <c r="AD24" i="25"/>
  <c r="O44" i="25" s="1"/>
  <c r="V24" i="25"/>
  <c r="G44" i="25" s="1"/>
  <c r="AR24" i="25"/>
  <c r="AC44" i="25" s="1"/>
  <c r="AJ24" i="25"/>
  <c r="U44" i="25" s="1"/>
  <c r="AB24" i="25"/>
  <c r="M44" i="25" s="1"/>
  <c r="T24" i="25"/>
  <c r="E44" i="25" s="1"/>
  <c r="AQ24" i="25"/>
  <c r="AB44" i="25" s="1"/>
  <c r="AI24" i="25"/>
  <c r="T44" i="25" s="1"/>
  <c r="AA24" i="25"/>
  <c r="L44" i="25" s="1"/>
  <c r="S24" i="25"/>
  <c r="D44" i="25" s="1"/>
  <c r="AP24" i="25"/>
  <c r="AA44" i="25" s="1"/>
  <c r="AH24" i="25"/>
  <c r="S44" i="25" s="1"/>
  <c r="Z24" i="25"/>
  <c r="K44" i="25" s="1"/>
  <c r="R24" i="25"/>
  <c r="C44" i="25" s="1"/>
  <c r="AK24" i="25"/>
  <c r="V44" i="25" s="1"/>
  <c r="T25" i="25"/>
  <c r="AQ26" i="25"/>
  <c r="A66" i="25"/>
  <c r="A78" i="25"/>
  <c r="X17" i="25"/>
  <c r="I37" i="25" s="1"/>
  <c r="AF17" i="25"/>
  <c r="Q37" i="25" s="1"/>
  <c r="AN17" i="25"/>
  <c r="Y37" i="25" s="1"/>
  <c r="W18" i="25"/>
  <c r="H38" i="25" s="1"/>
  <c r="AE18" i="25"/>
  <c r="P38" i="25" s="1"/>
  <c r="AM18" i="25"/>
  <c r="X38" i="25" s="1"/>
  <c r="T22" i="25"/>
  <c r="E42" i="25" s="1"/>
  <c r="AB22" i="25"/>
  <c r="M42" i="25" s="1"/>
  <c r="AJ22" i="25"/>
  <c r="U42" i="25" s="1"/>
  <c r="AR22" i="25"/>
  <c r="AC42" i="25" s="1"/>
  <c r="S23" i="25"/>
  <c r="D43" i="25" s="1"/>
  <c r="AA23" i="25"/>
  <c r="L43" i="25" s="1"/>
  <c r="AI23" i="25"/>
  <c r="T43" i="25" s="1"/>
  <c r="AQ23" i="25"/>
  <c r="AB43" i="25" s="1"/>
  <c r="X26" i="25"/>
  <c r="AF26" i="25"/>
  <c r="AN26" i="25"/>
  <c r="W27" i="25"/>
  <c r="H47" i="25" s="1"/>
  <c r="AE27" i="25"/>
  <c r="P47" i="25" s="1"/>
  <c r="AM27" i="25"/>
  <c r="X47" i="25" s="1"/>
  <c r="AK117" i="25"/>
  <c r="V137" i="25" s="1"/>
  <c r="Y117" i="25"/>
  <c r="J137" i="25" s="1"/>
  <c r="X117" i="25"/>
  <c r="I137" i="25" s="1"/>
  <c r="AN117" i="25"/>
  <c r="Y137" i="25" s="1"/>
  <c r="Q118" i="25"/>
  <c r="B138" i="25" s="1"/>
  <c r="AI118" i="25"/>
  <c r="T138" i="25" s="1"/>
  <c r="AI119" i="25"/>
  <c r="T139" i="25" s="1"/>
  <c r="AH119" i="25"/>
  <c r="S139" i="25" s="1"/>
  <c r="AC122" i="25"/>
  <c r="N142" i="25" s="1"/>
  <c r="AD125" i="25"/>
  <c r="O145" i="25" s="1"/>
  <c r="A184" i="25"/>
  <c r="A172" i="25"/>
  <c r="Q17" i="25"/>
  <c r="B37" i="25" s="1"/>
  <c r="Y17" i="25"/>
  <c r="J37" i="25" s="1"/>
  <c r="AG17" i="25"/>
  <c r="R37" i="25" s="1"/>
  <c r="X18" i="25"/>
  <c r="I38" i="25" s="1"/>
  <c r="AF18" i="25"/>
  <c r="Q38" i="25" s="1"/>
  <c r="U22" i="25"/>
  <c r="F42" i="25" s="1"/>
  <c r="AC22" i="25"/>
  <c r="N42" i="25" s="1"/>
  <c r="AK22" i="25"/>
  <c r="V42" i="25" s="1"/>
  <c r="T23" i="25"/>
  <c r="E43" i="25" s="1"/>
  <c r="AB23" i="25"/>
  <c r="M43" i="25" s="1"/>
  <c r="AJ23" i="25"/>
  <c r="U43" i="25" s="1"/>
  <c r="AR23" i="25"/>
  <c r="AC43" i="25" s="1"/>
  <c r="Q26" i="25"/>
  <c r="Y26" i="25"/>
  <c r="AG26" i="25"/>
  <c r="X27" i="25"/>
  <c r="I47" i="25" s="1"/>
  <c r="AF27" i="25"/>
  <c r="Q47" i="25" s="1"/>
  <c r="AC117" i="25"/>
  <c r="N137" i="25" s="1"/>
  <c r="AO117" i="25"/>
  <c r="Z137" i="25" s="1"/>
  <c r="T118" i="25"/>
  <c r="E138" i="25" s="1"/>
  <c r="AJ118" i="25"/>
  <c r="U138" i="25" s="1"/>
  <c r="S119" i="25"/>
  <c r="D139" i="25" s="1"/>
  <c r="AL119" i="25"/>
  <c r="W139" i="25" s="1"/>
  <c r="AL120" i="25"/>
  <c r="W140" i="25" s="1"/>
  <c r="AD120" i="25"/>
  <c r="O140" i="25" s="1"/>
  <c r="V120" i="25"/>
  <c r="G140" i="25" s="1"/>
  <c r="AR120" i="25"/>
  <c r="AC140" i="25" s="1"/>
  <c r="AJ120" i="25"/>
  <c r="U140" i="25" s="1"/>
  <c r="AB120" i="25"/>
  <c r="M140" i="25" s="1"/>
  <c r="T120" i="25"/>
  <c r="E140" i="25" s="1"/>
  <c r="AO120" i="25"/>
  <c r="Z140" i="25" s="1"/>
  <c r="AG120" i="25"/>
  <c r="R140" i="25" s="1"/>
  <c r="Y120" i="25"/>
  <c r="J140" i="25" s="1"/>
  <c r="AI120" i="25"/>
  <c r="T140" i="25" s="1"/>
  <c r="W120" i="25"/>
  <c r="H140" i="25" s="1"/>
  <c r="AH120" i="25"/>
  <c r="S140" i="25" s="1"/>
  <c r="U120" i="25"/>
  <c r="F140" i="25" s="1"/>
  <c r="AM120" i="25"/>
  <c r="X140" i="25" s="1"/>
  <c r="S120" i="25"/>
  <c r="D140" i="25" s="1"/>
  <c r="AK120" i="25"/>
  <c r="V140" i="25" s="1"/>
  <c r="R120" i="25"/>
  <c r="C140" i="25" s="1"/>
  <c r="AN120" i="25"/>
  <c r="Y140" i="25" s="1"/>
  <c r="AD122" i="25"/>
  <c r="O142" i="25" s="1"/>
  <c r="U123" i="25"/>
  <c r="F143" i="25" s="1"/>
  <c r="AH129" i="25"/>
  <c r="S149" i="25" s="1"/>
  <c r="R129" i="25"/>
  <c r="C149" i="25" s="1"/>
  <c r="AN129" i="25"/>
  <c r="Y149" i="25" s="1"/>
  <c r="S129" i="25"/>
  <c r="D149" i="25" s="1"/>
  <c r="AM129" i="25"/>
  <c r="X149" i="25" s="1"/>
  <c r="AQ129" i="25"/>
  <c r="AB149" i="25" s="1"/>
  <c r="AK131" i="25"/>
  <c r="AG131" i="25"/>
  <c r="AC131" i="25"/>
  <c r="Y131" i="25"/>
  <c r="AO131" i="25"/>
  <c r="V22" i="25"/>
  <c r="G42" i="25" s="1"/>
  <c r="AD22" i="25"/>
  <c r="O42" i="25" s="1"/>
  <c r="R26" i="25"/>
  <c r="Z26" i="25"/>
  <c r="AH26" i="25"/>
  <c r="AP26" i="25"/>
  <c r="Q27" i="25"/>
  <c r="B47" i="25" s="1"/>
  <c r="Y27" i="25"/>
  <c r="J47" i="25" s="1"/>
  <c r="AG27" i="25"/>
  <c r="R47" i="25" s="1"/>
  <c r="AO27" i="25"/>
  <c r="Z47" i="25" s="1"/>
  <c r="A64" i="25"/>
  <c r="U118" i="25"/>
  <c r="F138" i="25" s="1"/>
  <c r="AK118" i="25"/>
  <c r="V138" i="25" s="1"/>
  <c r="T119" i="25"/>
  <c r="E139" i="25" s="1"/>
  <c r="AN119" i="25"/>
  <c r="Y139" i="25" s="1"/>
  <c r="AF122" i="25"/>
  <c r="Q142" i="25" s="1"/>
  <c r="AB123" i="25"/>
  <c r="M143" i="25" s="1"/>
  <c r="AL125" i="25"/>
  <c r="W145" i="25" s="1"/>
  <c r="V125" i="25"/>
  <c r="G145" i="25" s="1"/>
  <c r="AK125" i="25"/>
  <c r="V145" i="25" s="1"/>
  <c r="U125" i="25"/>
  <c r="F145" i="25" s="1"/>
  <c r="AA125" i="25"/>
  <c r="L145" i="25" s="1"/>
  <c r="Z125" i="25"/>
  <c r="K145" i="25" s="1"/>
  <c r="AI125" i="25"/>
  <c r="T145" i="25" s="1"/>
  <c r="AG122" i="25"/>
  <c r="R142" i="25" s="1"/>
  <c r="A170" i="25"/>
  <c r="A182" i="25"/>
  <c r="X22" i="25"/>
  <c r="I42" i="25" s="1"/>
  <c r="AF22" i="25"/>
  <c r="Q42" i="25" s="1"/>
  <c r="AN22" i="25"/>
  <c r="Y42" i="25" s="1"/>
  <c r="W23" i="25"/>
  <c r="H43" i="25" s="1"/>
  <c r="AE23" i="25"/>
  <c r="P43" i="25" s="1"/>
  <c r="AM23" i="25"/>
  <c r="X43" i="25" s="1"/>
  <c r="T26" i="25"/>
  <c r="AB26" i="25"/>
  <c r="AJ26" i="25"/>
  <c r="AR26" i="25"/>
  <c r="S27" i="25"/>
  <c r="D47" i="25" s="1"/>
  <c r="AA27" i="25"/>
  <c r="L47" i="25" s="1"/>
  <c r="AI27" i="25"/>
  <c r="T47" i="25" s="1"/>
  <c r="AQ27" i="25"/>
  <c r="AB47" i="25" s="1"/>
  <c r="Y118" i="25"/>
  <c r="J138" i="25" s="1"/>
  <c r="AP119" i="25"/>
  <c r="AA139" i="25" s="1"/>
  <c r="AE123" i="25"/>
  <c r="P143" i="25" s="1"/>
  <c r="Q22" i="25"/>
  <c r="B42" i="25" s="1"/>
  <c r="Y22" i="25"/>
  <c r="J42" i="25" s="1"/>
  <c r="AG22" i="25"/>
  <c r="R42" i="25" s="1"/>
  <c r="X23" i="25"/>
  <c r="I43" i="25" s="1"/>
  <c r="AF23" i="25"/>
  <c r="Q43" i="25" s="1"/>
  <c r="U26" i="25"/>
  <c r="AC26" i="25"/>
  <c r="AK26" i="25"/>
  <c r="T27" i="25"/>
  <c r="E47" i="25" s="1"/>
  <c r="AB27" i="25"/>
  <c r="M47" i="25" s="1"/>
  <c r="AJ27" i="25"/>
  <c r="U47" i="25" s="1"/>
  <c r="AR27" i="25"/>
  <c r="AC47" i="25" s="1"/>
  <c r="AE118" i="25"/>
  <c r="P138" i="25" s="1"/>
  <c r="AK123" i="25"/>
  <c r="V143" i="25" s="1"/>
  <c r="A173" i="25"/>
  <c r="A185" i="25"/>
  <c r="V26" i="25"/>
  <c r="AD26" i="25"/>
  <c r="AL26" i="25"/>
  <c r="U27" i="25"/>
  <c r="F47" i="25" s="1"/>
  <c r="AC27" i="25"/>
  <c r="N47" i="25" s="1"/>
  <c r="AK27" i="25"/>
  <c r="V47" i="25" s="1"/>
  <c r="A62" i="25"/>
  <c r="AR119" i="25"/>
  <c r="AC139" i="25" s="1"/>
  <c r="AF119" i="25"/>
  <c r="Q139" i="25" s="1"/>
  <c r="R119" i="25"/>
  <c r="C139" i="25" s="1"/>
  <c r="AQ119" i="25"/>
  <c r="AB139" i="25" s="1"/>
  <c r="AD119" i="25"/>
  <c r="O139" i="25" s="1"/>
  <c r="Q119" i="25"/>
  <c r="B139" i="25" s="1"/>
  <c r="AB119" i="25"/>
  <c r="M139" i="25" s="1"/>
  <c r="X122" i="25"/>
  <c r="I142" i="25" s="1"/>
  <c r="V27" i="25"/>
  <c r="G47" i="25" s="1"/>
  <c r="AD27" i="25"/>
  <c r="O47" i="25" s="1"/>
  <c r="AN118" i="25"/>
  <c r="Y138" i="25" s="1"/>
  <c r="AF118" i="25"/>
  <c r="Q138" i="25" s="1"/>
  <c r="X118" i="25"/>
  <c r="I138" i="25" s="1"/>
  <c r="AL118" i="25"/>
  <c r="W138" i="25" s="1"/>
  <c r="AD118" i="25"/>
  <c r="O138" i="25" s="1"/>
  <c r="V118" i="25"/>
  <c r="G138" i="25" s="1"/>
  <c r="AO118" i="25"/>
  <c r="Z138" i="25" s="1"/>
  <c r="AC118" i="25"/>
  <c r="N138" i="25" s="1"/>
  <c r="S118" i="25"/>
  <c r="D138" i="25" s="1"/>
  <c r="AM118" i="25"/>
  <c r="X138" i="25" s="1"/>
  <c r="AB118" i="25"/>
  <c r="M138" i="25" s="1"/>
  <c r="R118" i="25"/>
  <c r="C138" i="25" s="1"/>
  <c r="AQ118" i="25"/>
  <c r="AB138" i="25" s="1"/>
  <c r="AA118" i="25"/>
  <c r="L138" i="25" s="1"/>
  <c r="AP118" i="25"/>
  <c r="AA138" i="25" s="1"/>
  <c r="Z118" i="25"/>
  <c r="K138" i="25" s="1"/>
  <c r="AH118" i="25"/>
  <c r="S138" i="25" s="1"/>
  <c r="AJ123" i="25"/>
  <c r="U143" i="25" s="1"/>
  <c r="T123" i="25"/>
  <c r="E143" i="25" s="1"/>
  <c r="X123" i="25"/>
  <c r="I143" i="25" s="1"/>
  <c r="AR123" i="25"/>
  <c r="AC143" i="25" s="1"/>
  <c r="W123" i="25"/>
  <c r="H143" i="25" s="1"/>
  <c r="AN123" i="25"/>
  <c r="Y143" i="25" s="1"/>
  <c r="O245" i="25"/>
  <c r="AG121" i="25"/>
  <c r="R141" i="25" s="1"/>
  <c r="AR122" i="25"/>
  <c r="AC142" i="25" s="1"/>
  <c r="AJ122" i="25"/>
  <c r="U142" i="25" s="1"/>
  <c r="AB122" i="25"/>
  <c r="M142" i="25" s="1"/>
  <c r="T122" i="25"/>
  <c r="E142" i="25" s="1"/>
  <c r="AQ122" i="25"/>
  <c r="AB142" i="25" s="1"/>
  <c r="AI122" i="25"/>
  <c r="T142" i="25" s="1"/>
  <c r="AA122" i="25"/>
  <c r="L142" i="25" s="1"/>
  <c r="S122" i="25"/>
  <c r="D142" i="25" s="1"/>
  <c r="AP122" i="25"/>
  <c r="AA142" i="25" s="1"/>
  <c r="AH122" i="25"/>
  <c r="S142" i="25" s="1"/>
  <c r="Z122" i="25"/>
  <c r="K142" i="25" s="1"/>
  <c r="R122" i="25"/>
  <c r="C142" i="25" s="1"/>
  <c r="AM122" i="25"/>
  <c r="X142" i="25" s="1"/>
  <c r="AE122" i="25"/>
  <c r="P142" i="25" s="1"/>
  <c r="W122" i="25"/>
  <c r="H142" i="25" s="1"/>
  <c r="AL122" i="25"/>
  <c r="W142" i="25" s="1"/>
  <c r="V122" i="25"/>
  <c r="G142" i="25" s="1"/>
  <c r="AK122" i="25"/>
  <c r="V142" i="25" s="1"/>
  <c r="U122" i="25"/>
  <c r="F142" i="25" s="1"/>
  <c r="AN122" i="25"/>
  <c r="Y142" i="25" s="1"/>
  <c r="AM128" i="25"/>
  <c r="X148" i="25" s="1"/>
  <c r="AE128" i="25"/>
  <c r="P148" i="25" s="1"/>
  <c r="W128" i="25"/>
  <c r="H148" i="25" s="1"/>
  <c r="AL128" i="25"/>
  <c r="W148" i="25" s="1"/>
  <c r="AD128" i="25"/>
  <c r="O148" i="25" s="1"/>
  <c r="V128" i="25"/>
  <c r="G148" i="25" s="1"/>
  <c r="AK128" i="25"/>
  <c r="V148" i="25" s="1"/>
  <c r="AC128" i="25"/>
  <c r="N148" i="25" s="1"/>
  <c r="U128" i="25"/>
  <c r="F148" i="25" s="1"/>
  <c r="AP128" i="25"/>
  <c r="AA148" i="25" s="1"/>
  <c r="AH128" i="25"/>
  <c r="S148" i="25" s="1"/>
  <c r="Z128" i="25"/>
  <c r="K148" i="25" s="1"/>
  <c r="R128" i="25"/>
  <c r="C148" i="25" s="1"/>
  <c r="AO128" i="25"/>
  <c r="Z148" i="25" s="1"/>
  <c r="Y128" i="25"/>
  <c r="J148" i="25" s="1"/>
  <c r="AN128" i="25"/>
  <c r="Y148" i="25" s="1"/>
  <c r="X128" i="25"/>
  <c r="I148" i="25" s="1"/>
  <c r="AI128" i="25"/>
  <c r="T148" i="25" s="1"/>
  <c r="A171" i="25"/>
  <c r="A183" i="25"/>
  <c r="A180" i="25"/>
  <c r="A168" i="25"/>
  <c r="AR117" i="25"/>
  <c r="AC137" i="25" s="1"/>
  <c r="AJ117" i="25"/>
  <c r="U137" i="25" s="1"/>
  <c r="AB117" i="25"/>
  <c r="M137" i="25" s="1"/>
  <c r="T117" i="25"/>
  <c r="E137" i="25" s="1"/>
  <c r="AQ117" i="25"/>
  <c r="AB137" i="25" s="1"/>
  <c r="AI117" i="25"/>
  <c r="T137" i="25" s="1"/>
  <c r="AA117" i="25"/>
  <c r="L137" i="25" s="1"/>
  <c r="S117" i="25"/>
  <c r="D137" i="25" s="1"/>
  <c r="Z117" i="25"/>
  <c r="K137" i="25" s="1"/>
  <c r="AL117" i="25"/>
  <c r="W137" i="25" s="1"/>
  <c r="AK121" i="25"/>
  <c r="V141" i="25" s="1"/>
  <c r="Q122" i="25"/>
  <c r="B142" i="25" s="1"/>
  <c r="AO122" i="25"/>
  <c r="Z142" i="25" s="1"/>
  <c r="Q128" i="25"/>
  <c r="B148" i="25" s="1"/>
  <c r="AJ128" i="25"/>
  <c r="U148" i="25" s="1"/>
  <c r="Y119" i="25"/>
  <c r="J139" i="25" s="1"/>
  <c r="Y121" i="25"/>
  <c r="J141" i="25" s="1"/>
  <c r="AQ123" i="25"/>
  <c r="AB143" i="25" s="1"/>
  <c r="AI123" i="25"/>
  <c r="T143" i="25" s="1"/>
  <c r="AA123" i="25"/>
  <c r="L143" i="25" s="1"/>
  <c r="S123" i="25"/>
  <c r="D143" i="25" s="1"/>
  <c r="AP123" i="25"/>
  <c r="AA143" i="25" s="1"/>
  <c r="AH123" i="25"/>
  <c r="S143" i="25" s="1"/>
  <c r="Z123" i="25"/>
  <c r="K143" i="25" s="1"/>
  <c r="R123" i="25"/>
  <c r="C143" i="25" s="1"/>
  <c r="AO123" i="25"/>
  <c r="Z143" i="25" s="1"/>
  <c r="AG123" i="25"/>
  <c r="R143" i="25" s="1"/>
  <c r="Y123" i="25"/>
  <c r="J143" i="25" s="1"/>
  <c r="Q123" i="25"/>
  <c r="B143" i="25" s="1"/>
  <c r="AL123" i="25"/>
  <c r="W143" i="25" s="1"/>
  <c r="AD123" i="25"/>
  <c r="O143" i="25" s="1"/>
  <c r="V123" i="25"/>
  <c r="G143" i="25" s="1"/>
  <c r="AF123" i="25"/>
  <c r="Q143" i="25" s="1"/>
  <c r="AO124" i="25"/>
  <c r="Z144" i="25" s="1"/>
  <c r="AG124" i="25"/>
  <c r="R144" i="25" s="1"/>
  <c r="Y124" i="25"/>
  <c r="J144" i="25" s="1"/>
  <c r="Q124" i="25"/>
  <c r="B144" i="25" s="1"/>
  <c r="AK124" i="25"/>
  <c r="V144" i="25" s="1"/>
  <c r="AC124" i="25"/>
  <c r="N144" i="25" s="1"/>
  <c r="U124" i="25"/>
  <c r="F144" i="25" s="1"/>
  <c r="AB124" i="25"/>
  <c r="M144" i="25" s="1"/>
  <c r="AR124" i="25"/>
  <c r="AC144" i="25" s="1"/>
  <c r="D148" i="25"/>
  <c r="AL129" i="25"/>
  <c r="W149" i="25" s="1"/>
  <c r="AD129" i="25"/>
  <c r="O149" i="25" s="1"/>
  <c r="V129" i="25"/>
  <c r="G149" i="25" s="1"/>
  <c r="AK129" i="25"/>
  <c r="V149" i="25" s="1"/>
  <c r="AC129" i="25"/>
  <c r="N149" i="25" s="1"/>
  <c r="U129" i="25"/>
  <c r="F149" i="25" s="1"/>
  <c r="AR129" i="25"/>
  <c r="AC149" i="25" s="1"/>
  <c r="AJ129" i="25"/>
  <c r="U149" i="25" s="1"/>
  <c r="AB129" i="25"/>
  <c r="M149" i="25" s="1"/>
  <c r="T129" i="25"/>
  <c r="E149" i="25" s="1"/>
  <c r="AP129" i="25"/>
  <c r="AA149" i="25" s="1"/>
  <c r="AO129" i="25"/>
  <c r="Z149" i="25" s="1"/>
  <c r="AG129" i="25"/>
  <c r="R149" i="25" s="1"/>
  <c r="Y129" i="25"/>
  <c r="J149" i="25" s="1"/>
  <c r="Q129" i="25"/>
  <c r="B149" i="25" s="1"/>
  <c r="AF129" i="25"/>
  <c r="Q149" i="25" s="1"/>
  <c r="T130" i="25"/>
  <c r="E150" i="25" s="1"/>
  <c r="AO130" i="25"/>
  <c r="Z150" i="25" s="1"/>
  <c r="AG130" i="25"/>
  <c r="R150" i="25" s="1"/>
  <c r="Y130" i="25"/>
  <c r="J150" i="25" s="1"/>
  <c r="Q130" i="25"/>
  <c r="B150" i="25" s="1"/>
  <c r="AE130" i="25"/>
  <c r="P150" i="25" s="1"/>
  <c r="AQ132" i="25"/>
  <c r="AI132" i="25"/>
  <c r="AA132" i="25"/>
  <c r="S132" i="25"/>
  <c r="AP132" i="25"/>
  <c r="AH132" i="25"/>
  <c r="Z132" i="25"/>
  <c r="R132" i="25"/>
  <c r="AO132" i="25"/>
  <c r="AG132" i="25"/>
  <c r="Y132" i="25"/>
  <c r="Q132" i="25"/>
  <c r="AN132" i="25"/>
  <c r="AM132" i="25"/>
  <c r="AE132" i="25"/>
  <c r="W132" i="25"/>
  <c r="AL132" i="25"/>
  <c r="AD132" i="25"/>
  <c r="V132" i="25"/>
  <c r="AK132" i="25"/>
  <c r="AM119" i="25"/>
  <c r="X139" i="25" s="1"/>
  <c r="AE119" i="25"/>
  <c r="P139" i="25" s="1"/>
  <c r="W119" i="25"/>
  <c r="H139" i="25" s="1"/>
  <c r="AK119" i="25"/>
  <c r="V139" i="25" s="1"/>
  <c r="AC119" i="25"/>
  <c r="N139" i="25" s="1"/>
  <c r="U119" i="25"/>
  <c r="F139" i="25" s="1"/>
  <c r="Z119" i="25"/>
  <c r="K139" i="25" s="1"/>
  <c r="AJ119" i="25"/>
  <c r="U139" i="25" s="1"/>
  <c r="AB121" i="25"/>
  <c r="M141" i="25" s="1"/>
  <c r="T121" i="25"/>
  <c r="E141" i="25" s="1"/>
  <c r="Z121" i="25"/>
  <c r="K141" i="25" s="1"/>
  <c r="AP121" i="25"/>
  <c r="AA141" i="25" s="1"/>
  <c r="AR131" i="25"/>
  <c r="AR132" i="25"/>
  <c r="AK230" i="25"/>
  <c r="V250" i="25" s="1"/>
  <c r="AC230" i="25"/>
  <c r="N250" i="25" s="1"/>
  <c r="U230" i="25"/>
  <c r="F250" i="25" s="1"/>
  <c r="AR230" i="25"/>
  <c r="AC250" i="25" s="1"/>
  <c r="AJ230" i="25"/>
  <c r="U250" i="25" s="1"/>
  <c r="AB230" i="25"/>
  <c r="M250" i="25" s="1"/>
  <c r="AO230" i="25"/>
  <c r="Z250" i="25" s="1"/>
  <c r="AG230" i="25"/>
  <c r="R250" i="25" s="1"/>
  <c r="Y230" i="25"/>
  <c r="J250" i="25" s="1"/>
  <c r="Q230" i="25"/>
  <c r="B250" i="25" s="1"/>
  <c r="AH230" i="25"/>
  <c r="S250" i="25" s="1"/>
  <c r="V230" i="25"/>
  <c r="G250" i="25" s="1"/>
  <c r="AF230" i="25"/>
  <c r="Q250" i="25" s="1"/>
  <c r="T230" i="25"/>
  <c r="E250" i="25" s="1"/>
  <c r="AL230" i="25"/>
  <c r="W250" i="25" s="1"/>
  <c r="X230" i="25"/>
  <c r="I250" i="25" s="1"/>
  <c r="AE230" i="25"/>
  <c r="P250" i="25" s="1"/>
  <c r="AD230" i="25"/>
  <c r="O250" i="25" s="1"/>
  <c r="AQ230" i="25"/>
  <c r="AB250" i="25" s="1"/>
  <c r="Z230" i="25"/>
  <c r="K250" i="25" s="1"/>
  <c r="AM230" i="25"/>
  <c r="X250" i="25" s="1"/>
  <c r="AI230" i="25"/>
  <c r="T250" i="25" s="1"/>
  <c r="AA230" i="25"/>
  <c r="L250" i="25" s="1"/>
  <c r="W230" i="25"/>
  <c r="H250" i="25" s="1"/>
  <c r="S230" i="25"/>
  <c r="D250" i="25" s="1"/>
  <c r="R230" i="25"/>
  <c r="C250" i="25" s="1"/>
  <c r="AN230" i="25"/>
  <c r="Y250" i="25" s="1"/>
  <c r="AH234" i="25"/>
  <c r="S254" i="25" s="1"/>
  <c r="T234" i="25"/>
  <c r="E254" i="25" s="1"/>
  <c r="AR234" i="25"/>
  <c r="AC254" i="25" s="1"/>
  <c r="AE234" i="25"/>
  <c r="P254" i="25" s="1"/>
  <c r="S234" i="25"/>
  <c r="D254" i="25" s="1"/>
  <c r="AQ234" i="25"/>
  <c r="AB254" i="25" s="1"/>
  <c r="AD234" i="25"/>
  <c r="O254" i="25" s="1"/>
  <c r="R234" i="25"/>
  <c r="C254" i="25" s="1"/>
  <c r="AP234" i="25"/>
  <c r="AA254" i="25" s="1"/>
  <c r="AB234" i="25"/>
  <c r="M254" i="25" s="1"/>
  <c r="AJ234" i="25"/>
  <c r="U254" i="25" s="1"/>
  <c r="W234" i="25"/>
  <c r="H254" i="25" s="1"/>
  <c r="AL234" i="25"/>
  <c r="W254" i="25" s="1"/>
  <c r="AI234" i="25"/>
  <c r="T254" i="25" s="1"/>
  <c r="Z234" i="25"/>
  <c r="K254" i="25" s="1"/>
  <c r="X121" i="25"/>
  <c r="I141" i="25" s="1"/>
  <c r="AF121" i="25"/>
  <c r="Q141" i="25" s="1"/>
  <c r="AN121" i="25"/>
  <c r="Y141" i="25" s="1"/>
  <c r="T125" i="25"/>
  <c r="E145" i="25" s="1"/>
  <c r="AB125" i="25"/>
  <c r="M145" i="25" s="1"/>
  <c r="AJ125" i="25"/>
  <c r="U145" i="25" s="1"/>
  <c r="AR125" i="25"/>
  <c r="AC145" i="25" s="1"/>
  <c r="S126" i="25"/>
  <c r="D146" i="25" s="1"/>
  <c r="AA126" i="25"/>
  <c r="L146" i="25" s="1"/>
  <c r="AI126" i="25"/>
  <c r="T146" i="25" s="1"/>
  <c r="AQ126" i="25"/>
  <c r="AB146" i="25" s="1"/>
  <c r="X130" i="25"/>
  <c r="I150" i="25" s="1"/>
  <c r="AF130" i="25"/>
  <c r="Q150" i="25" s="1"/>
  <c r="AN130" i="25"/>
  <c r="Y150" i="25" s="1"/>
  <c r="W131" i="25"/>
  <c r="AE131" i="25"/>
  <c r="AM131" i="25"/>
  <c r="U133" i="25"/>
  <c r="F153" i="25" s="1"/>
  <c r="AC133" i="25"/>
  <c r="N153" i="25" s="1"/>
  <c r="AK133" i="25"/>
  <c r="V153" i="25" s="1"/>
  <c r="I149" i="25"/>
  <c r="A175" i="25"/>
  <c r="AE225" i="25"/>
  <c r="P245" i="25" s="1"/>
  <c r="AD227" i="25"/>
  <c r="O247" i="25" s="1"/>
  <c r="AN228" i="25"/>
  <c r="Y248" i="25" s="1"/>
  <c r="AC228" i="25"/>
  <c r="N248" i="25" s="1"/>
  <c r="R228" i="25"/>
  <c r="C248" i="25" s="1"/>
  <c r="AP228" i="25"/>
  <c r="AA248" i="25" s="1"/>
  <c r="X228" i="25"/>
  <c r="I248" i="25" s="1"/>
  <c r="AO228" i="25"/>
  <c r="Z248" i="25" s="1"/>
  <c r="V228" i="25"/>
  <c r="G248" i="25" s="1"/>
  <c r="AH228" i="25"/>
  <c r="S248" i="25" s="1"/>
  <c r="T228" i="25"/>
  <c r="E248" i="25" s="1"/>
  <c r="AG228" i="25"/>
  <c r="R248" i="25" s="1"/>
  <c r="X131" i="25"/>
  <c r="AF131" i="25"/>
  <c r="AN131" i="25"/>
  <c r="V133" i="25"/>
  <c r="G153" i="25" s="1"/>
  <c r="AD133" i="25"/>
  <c r="O153" i="25" s="1"/>
  <c r="AL133" i="25"/>
  <c r="W153" i="25" s="1"/>
  <c r="AH227" i="25"/>
  <c r="S247" i="25" s="1"/>
  <c r="W133" i="25"/>
  <c r="H153" i="25" s="1"/>
  <c r="AE133" i="25"/>
  <c r="P153" i="25" s="1"/>
  <c r="L140" i="25"/>
  <c r="AP225" i="25"/>
  <c r="AA245" i="25" s="1"/>
  <c r="AH225" i="25"/>
  <c r="S245" i="25" s="1"/>
  <c r="Z225" i="25"/>
  <c r="K245" i="25" s="1"/>
  <c r="R225" i="25"/>
  <c r="C245" i="25" s="1"/>
  <c r="AL225" i="25"/>
  <c r="W245" i="25" s="1"/>
  <c r="AC225" i="25"/>
  <c r="N245" i="25" s="1"/>
  <c r="T225" i="25"/>
  <c r="E245" i="25" s="1"/>
  <c r="AK225" i="25"/>
  <c r="V245" i="25" s="1"/>
  <c r="AB225" i="25"/>
  <c r="M245" i="25" s="1"/>
  <c r="S225" i="25"/>
  <c r="D245" i="25" s="1"/>
  <c r="AM225" i="25"/>
  <c r="X245" i="25" s="1"/>
  <c r="Y225" i="25"/>
  <c r="J245" i="25" s="1"/>
  <c r="AJ225" i="25"/>
  <c r="U245" i="25" s="1"/>
  <c r="X225" i="25"/>
  <c r="I245" i="25" s="1"/>
  <c r="AG225" i="25"/>
  <c r="R245" i="25" s="1"/>
  <c r="V225" i="25"/>
  <c r="G245" i="25" s="1"/>
  <c r="AI225" i="25"/>
  <c r="T245" i="25" s="1"/>
  <c r="AI227" i="25"/>
  <c r="T247" i="25" s="1"/>
  <c r="AQ232" i="25"/>
  <c r="AB252" i="25" s="1"/>
  <c r="AI232" i="25"/>
  <c r="T252" i="25" s="1"/>
  <c r="AA232" i="25"/>
  <c r="L252" i="25" s="1"/>
  <c r="S232" i="25"/>
  <c r="D252" i="25" s="1"/>
  <c r="AP232" i="25"/>
  <c r="AA252" i="25" s="1"/>
  <c r="AH232" i="25"/>
  <c r="S252" i="25" s="1"/>
  <c r="Z232" i="25"/>
  <c r="K252" i="25" s="1"/>
  <c r="R232" i="25"/>
  <c r="C252" i="25" s="1"/>
  <c r="AM232" i="25"/>
  <c r="X252" i="25" s="1"/>
  <c r="AE232" i="25"/>
  <c r="P252" i="25" s="1"/>
  <c r="W232" i="25"/>
  <c r="H252" i="25" s="1"/>
  <c r="AN232" i="25"/>
  <c r="Y252" i="25" s="1"/>
  <c r="AB232" i="25"/>
  <c r="M252" i="25" s="1"/>
  <c r="AL232" i="25"/>
  <c r="W252" i="25" s="1"/>
  <c r="Y232" i="25"/>
  <c r="J252" i="25" s="1"/>
  <c r="AK232" i="25"/>
  <c r="V252" i="25" s="1"/>
  <c r="X232" i="25"/>
  <c r="I252" i="25" s="1"/>
  <c r="AR232" i="25"/>
  <c r="AC252" i="25" s="1"/>
  <c r="AD232" i="25"/>
  <c r="O252" i="25" s="1"/>
  <c r="Q232" i="25"/>
  <c r="B252" i="25" s="1"/>
  <c r="AJ232" i="25"/>
  <c r="U252" i="25" s="1"/>
  <c r="AG232" i="25"/>
  <c r="R252" i="25" s="1"/>
  <c r="AC232" i="25"/>
  <c r="N252" i="25" s="1"/>
  <c r="V234" i="25"/>
  <c r="G254" i="25" s="1"/>
  <c r="A289" i="25"/>
  <c r="A277" i="25"/>
  <c r="S121" i="25"/>
  <c r="D141" i="25" s="1"/>
  <c r="AA121" i="25"/>
  <c r="L141" i="25" s="1"/>
  <c r="AI121" i="25"/>
  <c r="T141" i="25" s="1"/>
  <c r="AQ121" i="25"/>
  <c r="AB141" i="25" s="1"/>
  <c r="X124" i="25"/>
  <c r="I144" i="25" s="1"/>
  <c r="AF124" i="25"/>
  <c r="Q144" i="25" s="1"/>
  <c r="AN124" i="25"/>
  <c r="Y144" i="25" s="1"/>
  <c r="W125" i="25"/>
  <c r="H145" i="25" s="1"/>
  <c r="AE125" i="25"/>
  <c r="P145" i="25" s="1"/>
  <c r="AM125" i="25"/>
  <c r="X145" i="25" s="1"/>
  <c r="V126" i="25"/>
  <c r="G146" i="25" s="1"/>
  <c r="AD126" i="25"/>
  <c r="O146" i="25" s="1"/>
  <c r="AL126" i="25"/>
  <c r="W146" i="25" s="1"/>
  <c r="L149" i="25"/>
  <c r="S130" i="25"/>
  <c r="D150" i="25" s="1"/>
  <c r="AA130" i="25"/>
  <c r="L150" i="25" s="1"/>
  <c r="AI130" i="25"/>
  <c r="T150" i="25" s="1"/>
  <c r="AQ130" i="25"/>
  <c r="AB150" i="25" s="1"/>
  <c r="R131" i="25"/>
  <c r="Z131" i="25"/>
  <c r="AH131" i="25"/>
  <c r="AP131" i="25"/>
  <c r="X133" i="25"/>
  <c r="I153" i="25" s="1"/>
  <c r="AF133" i="25"/>
  <c r="Q153" i="25" s="1"/>
  <c r="AN133" i="25"/>
  <c r="Y153" i="25" s="1"/>
  <c r="Q225" i="25"/>
  <c r="B245" i="25" s="1"/>
  <c r="AN225" i="25"/>
  <c r="Y245" i="25" s="1"/>
  <c r="AO226" i="25"/>
  <c r="Z246" i="25" s="1"/>
  <c r="AG226" i="25"/>
  <c r="R246" i="25" s="1"/>
  <c r="Y226" i="25"/>
  <c r="J246" i="25" s="1"/>
  <c r="Q226" i="25"/>
  <c r="B246" i="25" s="1"/>
  <c r="AK226" i="25"/>
  <c r="V246" i="25" s="1"/>
  <c r="AQ226" i="25"/>
  <c r="AB246" i="25" s="1"/>
  <c r="AF226" i="25"/>
  <c r="Q246" i="25" s="1"/>
  <c r="W226" i="25"/>
  <c r="H246" i="25" s="1"/>
  <c r="AP226" i="25"/>
  <c r="AA246" i="25" s="1"/>
  <c r="AE226" i="25"/>
  <c r="P246" i="25" s="1"/>
  <c r="V226" i="25"/>
  <c r="G246" i="25" s="1"/>
  <c r="AM226" i="25"/>
  <c r="X246" i="25" s="1"/>
  <c r="AA226" i="25"/>
  <c r="L246" i="25" s="1"/>
  <c r="AL226" i="25"/>
  <c r="W246" i="25" s="1"/>
  <c r="Z226" i="25"/>
  <c r="K246" i="25" s="1"/>
  <c r="AI226" i="25"/>
  <c r="T246" i="25" s="1"/>
  <c r="U226" i="25"/>
  <c r="F246" i="25" s="1"/>
  <c r="AH226" i="25"/>
  <c r="S246" i="25" s="1"/>
  <c r="AK227" i="25"/>
  <c r="V247" i="25" s="1"/>
  <c r="Q228" i="25"/>
  <c r="B248" i="25" s="1"/>
  <c r="T232" i="25"/>
  <c r="E252" i="25" s="1"/>
  <c r="AA234" i="25"/>
  <c r="L254" i="25" s="1"/>
  <c r="AJ121" i="25"/>
  <c r="U141" i="25" s="1"/>
  <c r="AR121" i="25"/>
  <c r="AC141" i="25" s="1"/>
  <c r="X125" i="25"/>
  <c r="I145" i="25" s="1"/>
  <c r="AF125" i="25"/>
  <c r="Q145" i="25" s="1"/>
  <c r="AN125" i="25"/>
  <c r="Y145" i="25" s="1"/>
  <c r="W126" i="25"/>
  <c r="H146" i="25" s="1"/>
  <c r="AE126" i="25"/>
  <c r="P146" i="25" s="1"/>
  <c r="AB130" i="25"/>
  <c r="M150" i="25" s="1"/>
  <c r="AJ130" i="25"/>
  <c r="U150" i="25" s="1"/>
  <c r="AR130" i="25"/>
  <c r="AC150" i="25" s="1"/>
  <c r="S131" i="25"/>
  <c r="AA131" i="25"/>
  <c r="AI131" i="25"/>
  <c r="AQ131" i="25"/>
  <c r="Q133" i="25"/>
  <c r="B153" i="25" s="1"/>
  <c r="Y133" i="25"/>
  <c r="J153" i="25" s="1"/>
  <c r="AG133" i="25"/>
  <c r="R153" i="25" s="1"/>
  <c r="P149" i="25"/>
  <c r="A169" i="25"/>
  <c r="U225" i="25"/>
  <c r="F245" i="25" s="1"/>
  <c r="AO225" i="25"/>
  <c r="Z245" i="25" s="1"/>
  <c r="U227" i="25"/>
  <c r="F247" i="25" s="1"/>
  <c r="AO227" i="25"/>
  <c r="Z247" i="25" s="1"/>
  <c r="U232" i="25"/>
  <c r="F252" i="25" s="1"/>
  <c r="AM234" i="25"/>
  <c r="X254" i="25" s="1"/>
  <c r="AM239" i="25"/>
  <c r="AE239" i="25"/>
  <c r="AK239" i="25"/>
  <c r="AC239" i="25"/>
  <c r="U239" i="25"/>
  <c r="AR239" i="25"/>
  <c r="AJ239" i="25"/>
  <c r="AB239" i="25"/>
  <c r="T239" i="25"/>
  <c r="AQ239" i="25"/>
  <c r="AI239" i="25"/>
  <c r="AA239" i="25"/>
  <c r="S239" i="25"/>
  <c r="AO239" i="25"/>
  <c r="AG239" i="25"/>
  <c r="Y239" i="25"/>
  <c r="Q239" i="25"/>
  <c r="Z239" i="25"/>
  <c r="X239" i="25"/>
  <c r="AP239" i="25"/>
  <c r="W239" i="25"/>
  <c r="AN239" i="25"/>
  <c r="V239" i="25"/>
  <c r="AF239" i="25"/>
  <c r="AL239" i="25"/>
  <c r="AD239" i="25"/>
  <c r="U121" i="25"/>
  <c r="F141" i="25" s="1"/>
  <c r="AC121" i="25"/>
  <c r="N141" i="25" s="1"/>
  <c r="R124" i="25"/>
  <c r="C144" i="25" s="1"/>
  <c r="Z124" i="25"/>
  <c r="K144" i="25" s="1"/>
  <c r="AH124" i="25"/>
  <c r="S144" i="25" s="1"/>
  <c r="Q125" i="25"/>
  <c r="B145" i="25" s="1"/>
  <c r="Y125" i="25"/>
  <c r="J145" i="25" s="1"/>
  <c r="AG125" i="25"/>
  <c r="R145" i="25" s="1"/>
  <c r="X126" i="25"/>
  <c r="I146" i="25" s="1"/>
  <c r="AF126" i="25"/>
  <c r="Q146" i="25" s="1"/>
  <c r="U130" i="25"/>
  <c r="F150" i="25" s="1"/>
  <c r="AC130" i="25"/>
  <c r="N150" i="25" s="1"/>
  <c r="T131" i="25"/>
  <c r="AB131" i="25"/>
  <c r="AJ131" i="25"/>
  <c r="R133" i="25"/>
  <c r="C153" i="25" s="1"/>
  <c r="Z133" i="25"/>
  <c r="K153" i="25" s="1"/>
  <c r="AH133" i="25"/>
  <c r="S153" i="25" s="1"/>
  <c r="X150" i="25"/>
  <c r="W225" i="25"/>
  <c r="H245" i="25" s="1"/>
  <c r="AQ225" i="25"/>
  <c r="AB245" i="25" s="1"/>
  <c r="S226" i="25"/>
  <c r="D246" i="25" s="1"/>
  <c r="AN226" i="25"/>
  <c r="Y246" i="25" s="1"/>
  <c r="V227" i="25"/>
  <c r="G247" i="25" s="1"/>
  <c r="AQ227" i="25"/>
  <c r="AB247" i="25" s="1"/>
  <c r="AB228" i="25"/>
  <c r="M248" i="25" s="1"/>
  <c r="V232" i="25"/>
  <c r="G252" i="25" s="1"/>
  <c r="R239" i="25"/>
  <c r="AR227" i="25"/>
  <c r="AC247" i="25" s="1"/>
  <c r="AJ227" i="25"/>
  <c r="U247" i="25" s="1"/>
  <c r="AB227" i="25"/>
  <c r="M247" i="25" s="1"/>
  <c r="T227" i="25"/>
  <c r="E247" i="25" s="1"/>
  <c r="AM227" i="25"/>
  <c r="X247" i="25" s="1"/>
  <c r="AC227" i="25"/>
  <c r="N247" i="25" s="1"/>
  <c r="R227" i="25"/>
  <c r="C247" i="25" s="1"/>
  <c r="AL227" i="25"/>
  <c r="W247" i="25" s="1"/>
  <c r="AA227" i="25"/>
  <c r="L247" i="25" s="1"/>
  <c r="Q227" i="25"/>
  <c r="B247" i="25" s="1"/>
  <c r="Z227" i="25"/>
  <c r="K247" i="25" s="1"/>
  <c r="AP227" i="25"/>
  <c r="AA247" i="25" s="1"/>
  <c r="AC229" i="25"/>
  <c r="N249" i="25" s="1"/>
  <c r="AP345" i="25"/>
  <c r="AA365" i="25" s="1"/>
  <c r="AE345" i="25"/>
  <c r="P365" i="25" s="1"/>
  <c r="U345" i="25"/>
  <c r="F365" i="25" s="1"/>
  <c r="AO345" i="25"/>
  <c r="Z365" i="25" s="1"/>
  <c r="AD345" i="25"/>
  <c r="O365" i="25" s="1"/>
  <c r="S345" i="25"/>
  <c r="D365" i="25" s="1"/>
  <c r="AK345" i="25"/>
  <c r="V365" i="25" s="1"/>
  <c r="Z345" i="25"/>
  <c r="K365" i="25" s="1"/>
  <c r="AQ345" i="25"/>
  <c r="AB365" i="25" s="1"/>
  <c r="Y345" i="25"/>
  <c r="J365" i="25" s="1"/>
  <c r="AM345" i="25"/>
  <c r="X365" i="25" s="1"/>
  <c r="W345" i="25"/>
  <c r="H365" i="25" s="1"/>
  <c r="AL345" i="25"/>
  <c r="W365" i="25" s="1"/>
  <c r="V345" i="25"/>
  <c r="G365" i="25" s="1"/>
  <c r="AI345" i="25"/>
  <c r="T365" i="25" s="1"/>
  <c r="R345" i="25"/>
  <c r="C365" i="25" s="1"/>
  <c r="AH345" i="25"/>
  <c r="S365" i="25" s="1"/>
  <c r="Q345" i="25"/>
  <c r="B365" i="25" s="1"/>
  <c r="AG345" i="25"/>
  <c r="R365" i="25" s="1"/>
  <c r="AC345" i="25"/>
  <c r="N365" i="25" s="1"/>
  <c r="AA345" i="25"/>
  <c r="L365" i="25" s="1"/>
  <c r="AN227" i="25"/>
  <c r="Y247" i="25" s="1"/>
  <c r="AM237" i="25"/>
  <c r="X257" i="25" s="1"/>
  <c r="AE237" i="25"/>
  <c r="P257" i="25" s="1"/>
  <c r="W237" i="25"/>
  <c r="H257" i="25" s="1"/>
  <c r="AL237" i="25"/>
  <c r="W257" i="25" s="1"/>
  <c r="AD237" i="25"/>
  <c r="O257" i="25" s="1"/>
  <c r="V237" i="25"/>
  <c r="G257" i="25" s="1"/>
  <c r="AK237" i="25"/>
  <c r="V257" i="25" s="1"/>
  <c r="AC237" i="25"/>
  <c r="N257" i="25" s="1"/>
  <c r="AQ237" i="25"/>
  <c r="AB257" i="25" s="1"/>
  <c r="AI237" i="25"/>
  <c r="T257" i="25" s="1"/>
  <c r="AA237" i="25"/>
  <c r="L257" i="25" s="1"/>
  <c r="S237" i="25"/>
  <c r="D257" i="25" s="1"/>
  <c r="AN237" i="25"/>
  <c r="Y257" i="25" s="1"/>
  <c r="X237" i="25"/>
  <c r="I257" i="25" s="1"/>
  <c r="AJ237" i="25"/>
  <c r="U257" i="25" s="1"/>
  <c r="U237" i="25"/>
  <c r="F257" i="25" s="1"/>
  <c r="AH237" i="25"/>
  <c r="S257" i="25" s="1"/>
  <c r="T237" i="25"/>
  <c r="E257" i="25" s="1"/>
  <c r="AG237" i="25"/>
  <c r="R257" i="25" s="1"/>
  <c r="R237" i="25"/>
  <c r="C257" i="25" s="1"/>
  <c r="AP237" i="25"/>
  <c r="AA257" i="25" s="1"/>
  <c r="Z237" i="25"/>
  <c r="K257" i="25" s="1"/>
  <c r="S227" i="25"/>
  <c r="D247" i="25" s="1"/>
  <c r="AG227" i="25"/>
  <c r="R247" i="25" s="1"/>
  <c r="S229" i="25"/>
  <c r="D249" i="25" s="1"/>
  <c r="AQ231" i="25"/>
  <c r="AB251" i="25" s="1"/>
  <c r="AI231" i="25"/>
  <c r="T251" i="25" s="1"/>
  <c r="AA231" i="25"/>
  <c r="L251" i="25" s="1"/>
  <c r="S231" i="25"/>
  <c r="D251" i="25" s="1"/>
  <c r="AK231" i="25"/>
  <c r="V251" i="25" s="1"/>
  <c r="W231" i="25"/>
  <c r="H251" i="25" s="1"/>
  <c r="AH231" i="25"/>
  <c r="S251" i="25" s="1"/>
  <c r="V231" i="25"/>
  <c r="G251" i="25" s="1"/>
  <c r="AG231" i="25"/>
  <c r="R251" i="25" s="1"/>
  <c r="AM231" i="25"/>
  <c r="X251" i="25" s="1"/>
  <c r="Z231" i="25"/>
  <c r="K251" i="25" s="1"/>
  <c r="AD231" i="25"/>
  <c r="O251" i="25" s="1"/>
  <c r="Q237" i="25"/>
  <c r="B257" i="25" s="1"/>
  <c r="AL229" i="25"/>
  <c r="W249" i="25" s="1"/>
  <c r="AD229" i="25"/>
  <c r="O249" i="25" s="1"/>
  <c r="V229" i="25"/>
  <c r="G249" i="25" s="1"/>
  <c r="AP229" i="25"/>
  <c r="AA249" i="25" s="1"/>
  <c r="AH229" i="25"/>
  <c r="S249" i="25" s="1"/>
  <c r="Z229" i="25"/>
  <c r="K249" i="25" s="1"/>
  <c r="R229" i="25"/>
  <c r="C249" i="25" s="1"/>
  <c r="AA229" i="25"/>
  <c r="L249" i="25" s="1"/>
  <c r="AK229" i="25"/>
  <c r="V249" i="25" s="1"/>
  <c r="U233" i="25"/>
  <c r="F253" i="25" s="1"/>
  <c r="AI233" i="25"/>
  <c r="T253" i="25" s="1"/>
  <c r="AM236" i="25"/>
  <c r="X256" i="25" s="1"/>
  <c r="AE236" i="25"/>
  <c r="P256" i="25" s="1"/>
  <c r="W236" i="25"/>
  <c r="H256" i="25" s="1"/>
  <c r="AR236" i="25"/>
  <c r="AC256" i="25" s="1"/>
  <c r="AJ236" i="25"/>
  <c r="U256" i="25" s="1"/>
  <c r="AB236" i="25"/>
  <c r="M256" i="25" s="1"/>
  <c r="T236" i="25"/>
  <c r="E256" i="25" s="1"/>
  <c r="Y236" i="25"/>
  <c r="J256" i="25" s="1"/>
  <c r="AK236" i="25"/>
  <c r="V256" i="25" s="1"/>
  <c r="AG240" i="25"/>
  <c r="AK241" i="25"/>
  <c r="V261" i="25" s="1"/>
  <c r="AC241" i="25"/>
  <c r="N261" i="25" s="1"/>
  <c r="U241" i="25"/>
  <c r="F261" i="25" s="1"/>
  <c r="AQ241" i="25"/>
  <c r="AB261" i="25" s="1"/>
  <c r="AI241" i="25"/>
  <c r="T261" i="25" s="1"/>
  <c r="AA241" i="25"/>
  <c r="L261" i="25" s="1"/>
  <c r="S241" i="25"/>
  <c r="D261" i="25" s="1"/>
  <c r="AP241" i="25"/>
  <c r="AA261" i="25" s="1"/>
  <c r="AH241" i="25"/>
  <c r="S261" i="25" s="1"/>
  <c r="Z241" i="25"/>
  <c r="K261" i="25" s="1"/>
  <c r="R241" i="25"/>
  <c r="C261" i="25" s="1"/>
  <c r="AO241" i="25"/>
  <c r="Z261" i="25" s="1"/>
  <c r="AG241" i="25"/>
  <c r="R261" i="25" s="1"/>
  <c r="Y241" i="25"/>
  <c r="J261" i="25" s="1"/>
  <c r="Q241" i="25"/>
  <c r="B261" i="25" s="1"/>
  <c r="AM241" i="25"/>
  <c r="X261" i="25" s="1"/>
  <c r="AE241" i="25"/>
  <c r="P261" i="25" s="1"/>
  <c r="W241" i="25"/>
  <c r="H261" i="25" s="1"/>
  <c r="AL241" i="25"/>
  <c r="W261" i="25" s="1"/>
  <c r="AO234" i="25"/>
  <c r="Z254" i="25" s="1"/>
  <c r="A290" i="25"/>
  <c r="A278" i="25"/>
  <c r="AM340" i="25"/>
  <c r="X360" i="25" s="1"/>
  <c r="AE340" i="25"/>
  <c r="P360" i="25" s="1"/>
  <c r="W340" i="25"/>
  <c r="H360" i="25" s="1"/>
  <c r="AL340" i="25"/>
  <c r="W360" i="25" s="1"/>
  <c r="AD340" i="25"/>
  <c r="O360" i="25" s="1"/>
  <c r="V340" i="25"/>
  <c r="G360" i="25" s="1"/>
  <c r="AQ340" i="25"/>
  <c r="AB360" i="25" s="1"/>
  <c r="AI340" i="25"/>
  <c r="T360" i="25" s="1"/>
  <c r="AA340" i="25"/>
  <c r="L360" i="25" s="1"/>
  <c r="S340" i="25"/>
  <c r="D360" i="25" s="1"/>
  <c r="AK340" i="25"/>
  <c r="V360" i="25" s="1"/>
  <c r="Y340" i="25"/>
  <c r="J360" i="25" s="1"/>
  <c r="AJ340" i="25"/>
  <c r="U360" i="25" s="1"/>
  <c r="X340" i="25"/>
  <c r="I360" i="25" s="1"/>
  <c r="AH340" i="25"/>
  <c r="S360" i="25" s="1"/>
  <c r="U340" i="25"/>
  <c r="F360" i="25" s="1"/>
  <c r="AR340" i="25"/>
  <c r="AC360" i="25" s="1"/>
  <c r="AF340" i="25"/>
  <c r="Q360" i="25" s="1"/>
  <c r="R340" i="25"/>
  <c r="C360" i="25" s="1"/>
  <c r="AP340" i="25"/>
  <c r="AA360" i="25" s="1"/>
  <c r="AC340" i="25"/>
  <c r="N360" i="25" s="1"/>
  <c r="Q340" i="25"/>
  <c r="B360" i="25" s="1"/>
  <c r="AO340" i="25"/>
  <c r="Z360" i="25" s="1"/>
  <c r="AN340" i="25"/>
  <c r="Y360" i="25" s="1"/>
  <c r="AG340" i="25"/>
  <c r="R360" i="25" s="1"/>
  <c r="AB340" i="25"/>
  <c r="M360" i="25" s="1"/>
  <c r="Z340" i="25"/>
  <c r="K360" i="25" s="1"/>
  <c r="T340" i="25"/>
  <c r="E360" i="25" s="1"/>
  <c r="AB233" i="25"/>
  <c r="M253" i="25" s="1"/>
  <c r="AN233" i="25"/>
  <c r="Y253" i="25" s="1"/>
  <c r="E261" i="25"/>
  <c r="AB241" i="25"/>
  <c r="M261" i="25" s="1"/>
  <c r="A294" i="25"/>
  <c r="A282" i="25"/>
  <c r="Y228" i="25"/>
  <c r="J248" i="25" s="1"/>
  <c r="W229" i="25"/>
  <c r="H249" i="25" s="1"/>
  <c r="AG229" i="25"/>
  <c r="R249" i="25" s="1"/>
  <c r="AR229" i="25"/>
  <c r="AC249" i="25" s="1"/>
  <c r="AP233" i="25"/>
  <c r="AA253" i="25" s="1"/>
  <c r="AH233" i="25"/>
  <c r="S253" i="25" s="1"/>
  <c r="Z233" i="25"/>
  <c r="K253" i="25" s="1"/>
  <c r="R233" i="25"/>
  <c r="C253" i="25" s="1"/>
  <c r="AO233" i="25"/>
  <c r="Z253" i="25" s="1"/>
  <c r="AG233" i="25"/>
  <c r="R253" i="25" s="1"/>
  <c r="Y233" i="25"/>
  <c r="J253" i="25" s="1"/>
  <c r="Q233" i="25"/>
  <c r="B253" i="25" s="1"/>
  <c r="AL233" i="25"/>
  <c r="W253" i="25" s="1"/>
  <c r="AD233" i="25"/>
  <c r="O253" i="25" s="1"/>
  <c r="V233" i="25"/>
  <c r="G253" i="25" s="1"/>
  <c r="AC233" i="25"/>
  <c r="N253" i="25" s="1"/>
  <c r="AQ233" i="25"/>
  <c r="AB253" i="25" s="1"/>
  <c r="S236" i="25"/>
  <c r="D256" i="25" s="1"/>
  <c r="AG236" i="25"/>
  <c r="R256" i="25" s="1"/>
  <c r="Y240" i="25"/>
  <c r="AD241" i="25"/>
  <c r="O261" i="25" s="1"/>
  <c r="A292" i="25"/>
  <c r="A280" i="25"/>
  <c r="AM228" i="25"/>
  <c r="X248" i="25" s="1"/>
  <c r="AE228" i="25"/>
  <c r="P248" i="25" s="1"/>
  <c r="W228" i="25"/>
  <c r="H248" i="25" s="1"/>
  <c r="AQ228" i="25"/>
  <c r="AB248" i="25" s="1"/>
  <c r="AI228" i="25"/>
  <c r="T248" i="25" s="1"/>
  <c r="AA228" i="25"/>
  <c r="L248" i="25" s="1"/>
  <c r="S228" i="25"/>
  <c r="D248" i="25" s="1"/>
  <c r="Z228" i="25"/>
  <c r="K248" i="25" s="1"/>
  <c r="AK228" i="25"/>
  <c r="V248" i="25" s="1"/>
  <c r="X229" i="25"/>
  <c r="I249" i="25" s="1"/>
  <c r="AI229" i="25"/>
  <c r="T249" i="25" s="1"/>
  <c r="S233" i="25"/>
  <c r="D253" i="25" s="1"/>
  <c r="AE233" i="25"/>
  <c r="P253" i="25" s="1"/>
  <c r="U236" i="25"/>
  <c r="F256" i="25" s="1"/>
  <c r="AH236" i="25"/>
  <c r="S256" i="25" s="1"/>
  <c r="AL238" i="25"/>
  <c r="W258" i="25" s="1"/>
  <c r="AD238" i="25"/>
  <c r="O258" i="25" s="1"/>
  <c r="V238" i="25"/>
  <c r="G258" i="25" s="1"/>
  <c r="AK238" i="25"/>
  <c r="V258" i="25" s="1"/>
  <c r="AC238" i="25"/>
  <c r="N258" i="25" s="1"/>
  <c r="U238" i="25"/>
  <c r="F258" i="25" s="1"/>
  <c r="AR238" i="25"/>
  <c r="AC258" i="25" s="1"/>
  <c r="AJ238" i="25"/>
  <c r="U258" i="25" s="1"/>
  <c r="AB238" i="25"/>
  <c r="M258" i="25" s="1"/>
  <c r="T238" i="25"/>
  <c r="E258" i="25" s="1"/>
  <c r="AP238" i="25"/>
  <c r="AA258" i="25" s="1"/>
  <c r="AH238" i="25"/>
  <c r="S258" i="25" s="1"/>
  <c r="Z238" i="25"/>
  <c r="K258" i="25" s="1"/>
  <c r="R238" i="25"/>
  <c r="C258" i="25" s="1"/>
  <c r="AF238" i="25"/>
  <c r="Q258" i="25" s="1"/>
  <c r="AF241" i="25"/>
  <c r="Q261" i="25" s="1"/>
  <c r="X231" i="25"/>
  <c r="I251" i="25" s="1"/>
  <c r="AF231" i="25"/>
  <c r="Q251" i="25" s="1"/>
  <c r="AN231" i="25"/>
  <c r="Y251" i="25" s="1"/>
  <c r="U234" i="25"/>
  <c r="F254" i="25" s="1"/>
  <c r="AC234" i="25"/>
  <c r="N254" i="25" s="1"/>
  <c r="AK234" i="25"/>
  <c r="V254" i="25" s="1"/>
  <c r="B256" i="25"/>
  <c r="X240" i="25"/>
  <c r="AF240" i="25"/>
  <c r="AN240" i="25"/>
  <c r="A281" i="25"/>
  <c r="AE335" i="25"/>
  <c r="P355" i="25" s="1"/>
  <c r="R338" i="25"/>
  <c r="C358" i="25" s="1"/>
  <c r="AM339" i="25"/>
  <c r="X359" i="25" s="1"/>
  <c r="AE339" i="25"/>
  <c r="P359" i="25" s="1"/>
  <c r="W339" i="25"/>
  <c r="H359" i="25" s="1"/>
  <c r="AJ339" i="25"/>
  <c r="U359" i="25" s="1"/>
  <c r="AB339" i="25"/>
  <c r="M359" i="25" s="1"/>
  <c r="T339" i="25"/>
  <c r="E359" i="25" s="1"/>
  <c r="AI339" i="25"/>
  <c r="T359" i="25" s="1"/>
  <c r="V339" i="25"/>
  <c r="G359" i="25" s="1"/>
  <c r="AH339" i="25"/>
  <c r="S359" i="25" s="1"/>
  <c r="U339" i="25"/>
  <c r="F359" i="25" s="1"/>
  <c r="AG339" i="25"/>
  <c r="R359" i="25" s="1"/>
  <c r="S339" i="25"/>
  <c r="D359" i="25" s="1"/>
  <c r="AP339" i="25"/>
  <c r="AA359" i="25" s="1"/>
  <c r="AC339" i="25"/>
  <c r="N359" i="25" s="1"/>
  <c r="Q339" i="25"/>
  <c r="B359" i="25" s="1"/>
  <c r="AO339" i="25"/>
  <c r="Z359" i="25" s="1"/>
  <c r="AA339" i="25"/>
  <c r="L359" i="25" s="1"/>
  <c r="AL339" i="25"/>
  <c r="W359" i="25" s="1"/>
  <c r="R240" i="25"/>
  <c r="Z240" i="25"/>
  <c r="AH240" i="25"/>
  <c r="AP240" i="25"/>
  <c r="AK334" i="25"/>
  <c r="V354" i="25" s="1"/>
  <c r="AC334" i="25"/>
  <c r="N354" i="25" s="1"/>
  <c r="U334" i="25"/>
  <c r="F354" i="25" s="1"/>
  <c r="AO334" i="25"/>
  <c r="Z354" i="25" s="1"/>
  <c r="AG334" i="25"/>
  <c r="R354" i="25" s="1"/>
  <c r="Y334" i="25"/>
  <c r="J354" i="25" s="1"/>
  <c r="Q334" i="25"/>
  <c r="B354" i="25" s="1"/>
  <c r="AP334" i="25"/>
  <c r="AA354" i="25" s="1"/>
  <c r="AE334" i="25"/>
  <c r="P354" i="25" s="1"/>
  <c r="T334" i="25"/>
  <c r="E354" i="25" s="1"/>
  <c r="AN334" i="25"/>
  <c r="Y354" i="25" s="1"/>
  <c r="AD334" i="25"/>
  <c r="O354" i="25" s="1"/>
  <c r="S334" i="25"/>
  <c r="D354" i="25" s="1"/>
  <c r="AL334" i="25"/>
  <c r="W354" i="25" s="1"/>
  <c r="AJ334" i="25"/>
  <c r="U354" i="25" s="1"/>
  <c r="Z334" i="25"/>
  <c r="K354" i="25" s="1"/>
  <c r="AH334" i="25"/>
  <c r="S354" i="25" s="1"/>
  <c r="AO335" i="25"/>
  <c r="Z355" i="25" s="1"/>
  <c r="Z338" i="25"/>
  <c r="K358" i="25" s="1"/>
  <c r="AQ339" i="25"/>
  <c r="AB359" i="25" s="1"/>
  <c r="AL341" i="25"/>
  <c r="W361" i="25" s="1"/>
  <c r="AD341" i="25"/>
  <c r="O361" i="25" s="1"/>
  <c r="V341" i="25"/>
  <c r="G361" i="25" s="1"/>
  <c r="AK341" i="25"/>
  <c r="V361" i="25" s="1"/>
  <c r="AC341" i="25"/>
  <c r="N361" i="25" s="1"/>
  <c r="U341" i="25"/>
  <c r="F361" i="25" s="1"/>
  <c r="AP341" i="25"/>
  <c r="AA361" i="25" s="1"/>
  <c r="AH341" i="25"/>
  <c r="S361" i="25" s="1"/>
  <c r="Z341" i="25"/>
  <c r="K361" i="25" s="1"/>
  <c r="R341" i="25"/>
  <c r="C361" i="25" s="1"/>
  <c r="AN341" i="25"/>
  <c r="Y361" i="25" s="1"/>
  <c r="AA341" i="25"/>
  <c r="L361" i="25" s="1"/>
  <c r="AM341" i="25"/>
  <c r="X361" i="25" s="1"/>
  <c r="Y341" i="25"/>
  <c r="J361" i="25" s="1"/>
  <c r="AJ341" i="25"/>
  <c r="U361" i="25" s="1"/>
  <c r="X341" i="25"/>
  <c r="I361" i="25" s="1"/>
  <c r="AG341" i="25"/>
  <c r="R361" i="25" s="1"/>
  <c r="T341" i="25"/>
  <c r="E361" i="25" s="1"/>
  <c r="AR341" i="25"/>
  <c r="AC361" i="25" s="1"/>
  <c r="AF341" i="25"/>
  <c r="Q361" i="25" s="1"/>
  <c r="S341" i="25"/>
  <c r="D361" i="25" s="1"/>
  <c r="X234" i="25"/>
  <c r="I254" i="25" s="1"/>
  <c r="AF234" i="25"/>
  <c r="Q254" i="25" s="1"/>
  <c r="AN234" i="25"/>
  <c r="Y254" i="25" s="1"/>
  <c r="S240" i="25"/>
  <c r="AA240" i="25"/>
  <c r="AI240" i="25"/>
  <c r="AQ240" i="25"/>
  <c r="R334" i="25"/>
  <c r="C354" i="25" s="1"/>
  <c r="AI334" i="25"/>
  <c r="T354" i="25" s="1"/>
  <c r="AP335" i="25"/>
  <c r="AA355" i="25" s="1"/>
  <c r="AF337" i="25"/>
  <c r="Q357" i="25" s="1"/>
  <c r="T337" i="25"/>
  <c r="E357" i="25" s="1"/>
  <c r="AM337" i="25"/>
  <c r="X357" i="25" s="1"/>
  <c r="AA337" i="25"/>
  <c r="L357" i="25" s="1"/>
  <c r="AD338" i="25"/>
  <c r="O358" i="25" s="1"/>
  <c r="Q341" i="25"/>
  <c r="B361" i="25" s="1"/>
  <c r="X227" i="25"/>
  <c r="I247" i="25" s="1"/>
  <c r="AF227" i="25"/>
  <c r="Q247" i="25" s="1"/>
  <c r="T231" i="25"/>
  <c r="E251" i="25" s="1"/>
  <c r="AB231" i="25"/>
  <c r="M251" i="25" s="1"/>
  <c r="AJ231" i="25"/>
  <c r="U251" i="25" s="1"/>
  <c r="Q234" i="25"/>
  <c r="B254" i="25" s="1"/>
  <c r="Y234" i="25"/>
  <c r="J254" i="25" s="1"/>
  <c r="AG234" i="25"/>
  <c r="R254" i="25" s="1"/>
  <c r="X236" i="25"/>
  <c r="I256" i="25" s="1"/>
  <c r="AF236" i="25"/>
  <c r="Q256" i="25" s="1"/>
  <c r="T240" i="25"/>
  <c r="AB240" i="25"/>
  <c r="AJ240" i="25"/>
  <c r="V334" i="25"/>
  <c r="G354" i="25" s="1"/>
  <c r="AM334" i="25"/>
  <c r="X354" i="25" s="1"/>
  <c r="S335" i="25"/>
  <c r="D355" i="25" s="1"/>
  <c r="AK337" i="25"/>
  <c r="V357" i="25" s="1"/>
  <c r="R339" i="25"/>
  <c r="C359" i="25" s="1"/>
  <c r="W341" i="25"/>
  <c r="H361" i="25" s="1"/>
  <c r="AI338" i="25"/>
  <c r="T358" i="25" s="1"/>
  <c r="V338" i="25"/>
  <c r="G358" i="25" s="1"/>
  <c r="AH338" i="25"/>
  <c r="S358" i="25" s="1"/>
  <c r="T338" i="25"/>
  <c r="E358" i="25" s="1"/>
  <c r="AR338" i="25"/>
  <c r="AC358" i="25" s="1"/>
  <c r="AE338" i="25"/>
  <c r="P358" i="25" s="1"/>
  <c r="S338" i="25"/>
  <c r="D358" i="25" s="1"/>
  <c r="AP338" i="25"/>
  <c r="AA358" i="25" s="1"/>
  <c r="AB338" i="25"/>
  <c r="M358" i="25" s="1"/>
  <c r="AM338" i="25"/>
  <c r="X358" i="25" s="1"/>
  <c r="AA338" i="25"/>
  <c r="L358" i="25" s="1"/>
  <c r="AL338" i="25"/>
  <c r="W358" i="25" s="1"/>
  <c r="Y339" i="25"/>
  <c r="J359" i="25" s="1"/>
  <c r="V240" i="25"/>
  <c r="AD240" i="25"/>
  <c r="A276" i="25"/>
  <c r="A288" i="25"/>
  <c r="AC354" i="25"/>
  <c r="AQ338" i="25"/>
  <c r="AB358" i="25" s="1"/>
  <c r="Z339" i="25"/>
  <c r="K359" i="25" s="1"/>
  <c r="AB348" i="25"/>
  <c r="AQ348" i="25"/>
  <c r="AA348" i="25"/>
  <c r="AL348" i="25"/>
  <c r="T348" i="25"/>
  <c r="AJ348" i="25"/>
  <c r="R348" i="25"/>
  <c r="V335" i="25"/>
  <c r="G355" i="25" s="1"/>
  <c r="AG335" i="25"/>
  <c r="R355" i="25" s="1"/>
  <c r="AQ335" i="25"/>
  <c r="AB355" i="25" s="1"/>
  <c r="U336" i="25"/>
  <c r="F356" i="25" s="1"/>
  <c r="AG336" i="25"/>
  <c r="R356" i="25" s="1"/>
  <c r="X337" i="25"/>
  <c r="I357" i="25" s="1"/>
  <c r="AN339" i="25"/>
  <c r="Y359" i="25" s="1"/>
  <c r="V342" i="25"/>
  <c r="G362" i="25" s="1"/>
  <c r="AH342" i="25"/>
  <c r="S362" i="25" s="1"/>
  <c r="W343" i="25"/>
  <c r="H363" i="25" s="1"/>
  <c r="Z346" i="25"/>
  <c r="K366" i="25" s="1"/>
  <c r="AO348" i="25"/>
  <c r="AG348" i="25"/>
  <c r="Y348" i="25"/>
  <c r="Q348" i="25"/>
  <c r="AK348" i="25"/>
  <c r="AC348" i="25"/>
  <c r="U348" i="25"/>
  <c r="AI348" i="25"/>
  <c r="X348" i="25"/>
  <c r="AR348" i="25"/>
  <c r="AH348" i="25"/>
  <c r="W348" i="25"/>
  <c r="AN348" i="25"/>
  <c r="AD348" i="25"/>
  <c r="S348" i="25"/>
  <c r="AF348" i="25"/>
  <c r="AP349" i="25"/>
  <c r="AE349" i="25"/>
  <c r="U349" i="25"/>
  <c r="AO349" i="25"/>
  <c r="AD349" i="25"/>
  <c r="S349" i="25"/>
  <c r="AM349" i="25"/>
  <c r="AC349" i="25"/>
  <c r="AK349" i="25"/>
  <c r="Z349" i="25"/>
  <c r="AA349" i="25"/>
  <c r="W335" i="25"/>
  <c r="H355" i="25" s="1"/>
  <c r="AH335" i="25"/>
  <c r="S355" i="25" s="1"/>
  <c r="V336" i="25"/>
  <c r="G356" i="25" s="1"/>
  <c r="AJ336" i="25"/>
  <c r="U356" i="25" s="1"/>
  <c r="AO338" i="25"/>
  <c r="Z358" i="25" s="1"/>
  <c r="W342" i="25"/>
  <c r="H362" i="25" s="1"/>
  <c r="AI342" i="25"/>
  <c r="T362" i="25" s="1"/>
  <c r="AR343" i="25"/>
  <c r="AC363" i="25" s="1"/>
  <c r="AI343" i="25"/>
  <c r="T363" i="25" s="1"/>
  <c r="AA343" i="25"/>
  <c r="L363" i="25" s="1"/>
  <c r="S343" i="25"/>
  <c r="D363" i="25" s="1"/>
  <c r="Y343" i="25"/>
  <c r="J363" i="25" s="1"/>
  <c r="AL343" i="25"/>
  <c r="W363" i="25" s="1"/>
  <c r="AG349" i="25"/>
  <c r="Z343" i="25"/>
  <c r="K363" i="25" s="1"/>
  <c r="AM343" i="25"/>
  <c r="X363" i="25" s="1"/>
  <c r="A398" i="25"/>
  <c r="A386" i="25"/>
  <c r="AR335" i="25"/>
  <c r="AC355" i="25" s="1"/>
  <c r="Z335" i="25"/>
  <c r="K355" i="25" s="1"/>
  <c r="AK335" i="25"/>
  <c r="V355" i="25" s="1"/>
  <c r="Y336" i="25"/>
  <c r="J356" i="25" s="1"/>
  <c r="AL336" i="25"/>
  <c r="W356" i="25" s="1"/>
  <c r="AP337" i="25"/>
  <c r="AA357" i="25" s="1"/>
  <c r="AH337" i="25"/>
  <c r="S357" i="25" s="1"/>
  <c r="Z337" i="25"/>
  <c r="K357" i="25" s="1"/>
  <c r="R337" i="25"/>
  <c r="C357" i="25" s="1"/>
  <c r="AO337" i="25"/>
  <c r="Z357" i="25" s="1"/>
  <c r="AG337" i="25"/>
  <c r="R357" i="25" s="1"/>
  <c r="Y337" i="25"/>
  <c r="J357" i="25" s="1"/>
  <c r="Q337" i="25"/>
  <c r="B357" i="25" s="1"/>
  <c r="AL337" i="25"/>
  <c r="W357" i="25" s="1"/>
  <c r="AD337" i="25"/>
  <c r="O357" i="25" s="1"/>
  <c r="V337" i="25"/>
  <c r="G357" i="25" s="1"/>
  <c r="AC337" i="25"/>
  <c r="N357" i="25" s="1"/>
  <c r="AQ337" i="25"/>
  <c r="AB357" i="25" s="1"/>
  <c r="Z342" i="25"/>
  <c r="K362" i="25" s="1"/>
  <c r="AM342" i="25"/>
  <c r="X362" i="25" s="1"/>
  <c r="AC343" i="25"/>
  <c r="N363" i="25" s="1"/>
  <c r="AP343" i="25"/>
  <c r="AA363" i="25" s="1"/>
  <c r="AQ346" i="25"/>
  <c r="AB366" i="25" s="1"/>
  <c r="AI346" i="25"/>
  <c r="T366" i="25" s="1"/>
  <c r="AA346" i="25"/>
  <c r="L366" i="25" s="1"/>
  <c r="S346" i="25"/>
  <c r="D366" i="25" s="1"/>
  <c r="AM346" i="25"/>
  <c r="X366" i="25" s="1"/>
  <c r="AE346" i="25"/>
  <c r="P366" i="25" s="1"/>
  <c r="W346" i="25"/>
  <c r="H366" i="25" s="1"/>
  <c r="AN346" i="25"/>
  <c r="Y366" i="25" s="1"/>
  <c r="AC346" i="25"/>
  <c r="N366" i="25" s="1"/>
  <c r="R346" i="25"/>
  <c r="C366" i="25" s="1"/>
  <c r="AL346" i="25"/>
  <c r="W366" i="25" s="1"/>
  <c r="AB346" i="25"/>
  <c r="M366" i="25" s="1"/>
  <c r="Q346" i="25"/>
  <c r="B366" i="25" s="1"/>
  <c r="AH346" i="25"/>
  <c r="S366" i="25" s="1"/>
  <c r="X346" i="25"/>
  <c r="I366" i="25" s="1"/>
  <c r="AG346" i="25"/>
  <c r="R366" i="25" s="1"/>
  <c r="V348" i="25"/>
  <c r="AM348" i="25"/>
  <c r="Q349" i="25"/>
  <c r="AI349" i="25"/>
  <c r="Q335" i="25"/>
  <c r="B355" i="25" s="1"/>
  <c r="AA335" i="25"/>
  <c r="L355" i="25" s="1"/>
  <c r="AL335" i="25"/>
  <c r="W355" i="25" s="1"/>
  <c r="AB336" i="25"/>
  <c r="M356" i="25" s="1"/>
  <c r="S337" i="25"/>
  <c r="D357" i="25" s="1"/>
  <c r="AE337" i="25"/>
  <c r="P357" i="25" s="1"/>
  <c r="AR337" i="25"/>
  <c r="AC357" i="25" s="1"/>
  <c r="AA342" i="25"/>
  <c r="L362" i="25" s="1"/>
  <c r="Q343" i="25"/>
  <c r="B363" i="25" s="1"/>
  <c r="AD343" i="25"/>
  <c r="O363" i="25" s="1"/>
  <c r="AQ343" i="25"/>
  <c r="AB363" i="25" s="1"/>
  <c r="T346" i="25"/>
  <c r="E366" i="25" s="1"/>
  <c r="AJ346" i="25"/>
  <c r="U366" i="25" s="1"/>
  <c r="Z348" i="25"/>
  <c r="AP348" i="25"/>
  <c r="R349" i="25"/>
  <c r="AL349" i="25"/>
  <c r="AC335" i="25"/>
  <c r="N355" i="25" s="1"/>
  <c r="AQ336" i="25"/>
  <c r="AB356" i="25" s="1"/>
  <c r="AI336" i="25"/>
  <c r="T356" i="25" s="1"/>
  <c r="AA336" i="25"/>
  <c r="L356" i="25" s="1"/>
  <c r="S336" i="25"/>
  <c r="D356" i="25" s="1"/>
  <c r="AP336" i="25"/>
  <c r="AA356" i="25" s="1"/>
  <c r="AH336" i="25"/>
  <c r="S356" i="25" s="1"/>
  <c r="Z336" i="25"/>
  <c r="K356" i="25" s="1"/>
  <c r="R336" i="25"/>
  <c r="C356" i="25" s="1"/>
  <c r="AM336" i="25"/>
  <c r="X356" i="25" s="1"/>
  <c r="AE336" i="25"/>
  <c r="P356" i="25" s="1"/>
  <c r="W336" i="25"/>
  <c r="H356" i="25" s="1"/>
  <c r="AC336" i="25"/>
  <c r="N356" i="25" s="1"/>
  <c r="AO336" i="25"/>
  <c r="Z356" i="25" s="1"/>
  <c r="AK342" i="25"/>
  <c r="V362" i="25" s="1"/>
  <c r="AC342" i="25"/>
  <c r="N362" i="25" s="1"/>
  <c r="U342" i="25"/>
  <c r="F362" i="25" s="1"/>
  <c r="AR342" i="25"/>
  <c r="AC362" i="25" s="1"/>
  <c r="AJ342" i="25"/>
  <c r="U362" i="25" s="1"/>
  <c r="AB342" i="25"/>
  <c r="M362" i="25" s="1"/>
  <c r="T342" i="25"/>
  <c r="E362" i="25" s="1"/>
  <c r="AO342" i="25"/>
  <c r="Z362" i="25" s="1"/>
  <c r="AG342" i="25"/>
  <c r="R362" i="25" s="1"/>
  <c r="Y342" i="25"/>
  <c r="J362" i="25" s="1"/>
  <c r="Q342" i="25"/>
  <c r="B362" i="25" s="1"/>
  <c r="AD342" i="25"/>
  <c r="O362" i="25" s="1"/>
  <c r="AP342" i="25"/>
  <c r="AA362" i="25" s="1"/>
  <c r="R343" i="25"/>
  <c r="C363" i="25" s="1"/>
  <c r="AE343" i="25"/>
  <c r="P363" i="25" s="1"/>
  <c r="V349" i="25"/>
  <c r="U343" i="25"/>
  <c r="F363" i="25" s="1"/>
  <c r="X335" i="25"/>
  <c r="I355" i="25" s="1"/>
  <c r="AF335" i="25"/>
  <c r="Q355" i="25" s="1"/>
  <c r="AN335" i="25"/>
  <c r="Y355" i="25" s="1"/>
  <c r="U338" i="25"/>
  <c r="F358" i="25" s="1"/>
  <c r="AC338" i="25"/>
  <c r="N358" i="25" s="1"/>
  <c r="AK338" i="25"/>
  <c r="V358" i="25" s="1"/>
  <c r="AR339" i="25"/>
  <c r="AC359" i="25" s="1"/>
  <c r="AO343" i="25"/>
  <c r="Z363" i="25" s="1"/>
  <c r="X343" i="25"/>
  <c r="I363" i="25" s="1"/>
  <c r="AF343" i="25"/>
  <c r="Q363" i="25" s="1"/>
  <c r="AN343" i="25"/>
  <c r="Y363" i="25" s="1"/>
  <c r="AR345" i="25"/>
  <c r="AC365" i="25" s="1"/>
  <c r="U347" i="25"/>
  <c r="F367" i="25" s="1"/>
  <c r="AF347" i="25"/>
  <c r="Q367" i="25" s="1"/>
  <c r="AQ347" i="25"/>
  <c r="AB367" i="25" s="1"/>
  <c r="AN349" i="25"/>
  <c r="Y350" i="25"/>
  <c r="J370" i="25" s="1"/>
  <c r="A389" i="25"/>
  <c r="A401" i="25"/>
  <c r="AM350" i="25"/>
  <c r="X370" i="25" s="1"/>
  <c r="AE350" i="25"/>
  <c r="P370" i="25" s="1"/>
  <c r="W350" i="25"/>
  <c r="H370" i="25" s="1"/>
  <c r="AR350" i="25"/>
  <c r="AC370" i="25" s="1"/>
  <c r="AJ350" i="25"/>
  <c r="U370" i="25" s="1"/>
  <c r="AB350" i="25"/>
  <c r="M370" i="25" s="1"/>
  <c r="T350" i="25"/>
  <c r="E370" i="25" s="1"/>
  <c r="AQ350" i="25"/>
  <c r="AB370" i="25" s="1"/>
  <c r="AI350" i="25"/>
  <c r="T370" i="25" s="1"/>
  <c r="AA350" i="25"/>
  <c r="L370" i="25" s="1"/>
  <c r="S350" i="25"/>
  <c r="D370" i="25" s="1"/>
  <c r="AC350" i="25"/>
  <c r="N370" i="25" s="1"/>
  <c r="AO350" i="25"/>
  <c r="Z370" i="25" s="1"/>
  <c r="X338" i="25"/>
  <c r="I358" i="25" s="1"/>
  <c r="AF338" i="25"/>
  <c r="Q358" i="25" s="1"/>
  <c r="AN338" i="25"/>
  <c r="Y358" i="25" s="1"/>
  <c r="Y347" i="25"/>
  <c r="J367" i="25" s="1"/>
  <c r="Q350" i="25"/>
  <c r="B370" i="25" s="1"/>
  <c r="AD350" i="25"/>
  <c r="O370" i="25" s="1"/>
  <c r="AP350" i="25"/>
  <c r="AA370" i="25" s="1"/>
  <c r="A392" i="25"/>
  <c r="A404" i="25"/>
  <c r="T335" i="25"/>
  <c r="E355" i="25" s="1"/>
  <c r="AB335" i="25"/>
  <c r="M355" i="25" s="1"/>
  <c r="AJ335" i="25"/>
  <c r="U355" i="25" s="1"/>
  <c r="Q338" i="25"/>
  <c r="B358" i="25" s="1"/>
  <c r="Y338" i="25"/>
  <c r="J358" i="25" s="1"/>
  <c r="AG338" i="25"/>
  <c r="R358" i="25" s="1"/>
  <c r="X339" i="25"/>
  <c r="I359" i="25" s="1"/>
  <c r="AF339" i="25"/>
  <c r="Q359" i="25" s="1"/>
  <c r="T343" i="25"/>
  <c r="E363" i="25" s="1"/>
  <c r="AB343" i="25"/>
  <c r="M363" i="25" s="1"/>
  <c r="AJ343" i="25"/>
  <c r="U363" i="25" s="1"/>
  <c r="AP347" i="25"/>
  <c r="AA367" i="25" s="1"/>
  <c r="AH347" i="25"/>
  <c r="S367" i="25" s="1"/>
  <c r="Z347" i="25"/>
  <c r="K367" i="25" s="1"/>
  <c r="R347" i="25"/>
  <c r="C367" i="25" s="1"/>
  <c r="AL347" i="25"/>
  <c r="W367" i="25" s="1"/>
  <c r="AD347" i="25"/>
  <c r="O367" i="25" s="1"/>
  <c r="V347" i="25"/>
  <c r="G367" i="25" s="1"/>
  <c r="AA347" i="25"/>
  <c r="L367" i="25" s="1"/>
  <c r="AK347" i="25"/>
  <c r="V367" i="25" s="1"/>
  <c r="R350" i="25"/>
  <c r="C370" i="25" s="1"/>
  <c r="AF350" i="25"/>
  <c r="Q370" i="25" s="1"/>
  <c r="A397" i="25"/>
  <c r="A385" i="25"/>
  <c r="AG350" i="25"/>
  <c r="R370" i="25" s="1"/>
  <c r="A391" i="25"/>
  <c r="A403" i="25"/>
  <c r="X345" i="25"/>
  <c r="I365" i="25" s="1"/>
  <c r="AF345" i="25"/>
  <c r="Q365" i="25" s="1"/>
  <c r="AN345" i="25"/>
  <c r="Y365" i="25" s="1"/>
  <c r="T349" i="25"/>
  <c r="AB349" i="25"/>
  <c r="AJ349" i="25"/>
  <c r="AR349" i="25"/>
  <c r="A402" i="25"/>
  <c r="A390" i="25"/>
  <c r="V370" i="25"/>
  <c r="A400" i="25"/>
  <c r="A388" i="25"/>
  <c r="T345" i="25"/>
  <c r="E365" i="25" s="1"/>
  <c r="AB345" i="25"/>
  <c r="M365" i="25" s="1"/>
  <c r="AJ345" i="25"/>
  <c r="U365" i="25" s="1"/>
  <c r="X349" i="25"/>
  <c r="AF349" i="25"/>
  <c r="AQ15" i="24"/>
  <c r="AB35" i="24" s="1"/>
  <c r="AR26" i="24"/>
  <c r="AN117" i="24"/>
  <c r="Y137" i="24" s="1"/>
  <c r="AD121" i="24"/>
  <c r="O141" i="24" s="1"/>
  <c r="Y125" i="24"/>
  <c r="J145" i="24" s="1"/>
  <c r="AP125" i="24"/>
  <c r="R229" i="24"/>
  <c r="C249" i="24" s="1"/>
  <c r="U231" i="24"/>
  <c r="F251" i="24" s="1"/>
  <c r="AM231" i="24"/>
  <c r="X251" i="24" s="1"/>
  <c r="AQ233" i="24"/>
  <c r="AB253" i="24" s="1"/>
  <c r="AJ12" i="24"/>
  <c r="U32" i="24" s="1"/>
  <c r="AE19" i="24"/>
  <c r="P39" i="24" s="1"/>
  <c r="AI22" i="24"/>
  <c r="T42" i="24" s="1"/>
  <c r="AM233" i="24"/>
  <c r="X253" i="24" s="1"/>
  <c r="AI17" i="24"/>
  <c r="T37" i="24" s="1"/>
  <c r="T55" i="24" s="1"/>
  <c r="AE118" i="24"/>
  <c r="P138" i="24" s="1"/>
  <c r="X121" i="24"/>
  <c r="I141" i="24" s="1"/>
  <c r="AB125" i="24"/>
  <c r="M145" i="24" s="1"/>
  <c r="S126" i="24"/>
  <c r="D146" i="24" s="1"/>
  <c r="AA229" i="24"/>
  <c r="L249" i="24" s="1"/>
  <c r="X231" i="24"/>
  <c r="I251" i="24" s="1"/>
  <c r="AQ231" i="24"/>
  <c r="AB251" i="24" s="1"/>
  <c r="Q236" i="24"/>
  <c r="B256" i="24" s="1"/>
  <c r="X340" i="24"/>
  <c r="I360" i="24" s="1"/>
  <c r="AL342" i="24"/>
  <c r="W362" i="24" s="1"/>
  <c r="AP11" i="24"/>
  <c r="AA31" i="24" s="1"/>
  <c r="AJ22" i="24"/>
  <c r="U42" i="24" s="1"/>
  <c r="AM225" i="24"/>
  <c r="X245" i="24" s="1"/>
  <c r="AB340" i="24"/>
  <c r="M360" i="24" s="1"/>
  <c r="AD234" i="24"/>
  <c r="O254" i="24" s="1"/>
  <c r="AJ118" i="24"/>
  <c r="U138" i="24" s="1"/>
  <c r="Y121" i="24"/>
  <c r="J141" i="24" s="1"/>
  <c r="AF125" i="24"/>
  <c r="Q145" i="24" s="1"/>
  <c r="Y126" i="24"/>
  <c r="J146" i="24" s="1"/>
  <c r="AG229" i="24"/>
  <c r="R249" i="24" s="1"/>
  <c r="AB231" i="24"/>
  <c r="M251" i="24" s="1"/>
  <c r="AR231" i="24"/>
  <c r="AC251" i="24" s="1"/>
  <c r="U236" i="24"/>
  <c r="F256" i="24" s="1"/>
  <c r="AO11" i="24"/>
  <c r="Z31" i="24" s="1"/>
  <c r="AQ340" i="24"/>
  <c r="AB360" i="24" s="1"/>
  <c r="AJ343" i="24"/>
  <c r="U363" i="24" s="1"/>
  <c r="Y12" i="24"/>
  <c r="J32" i="24" s="1"/>
  <c r="AG121" i="24"/>
  <c r="R141" i="24" s="1"/>
  <c r="AJ125" i="24"/>
  <c r="U145" i="24" s="1"/>
  <c r="AH125" i="24"/>
  <c r="S145" i="24" s="1"/>
  <c r="Z126" i="24"/>
  <c r="K146" i="24" s="1"/>
  <c r="AK229" i="24"/>
  <c r="V249" i="24" s="1"/>
  <c r="AC231" i="24"/>
  <c r="N251" i="24" s="1"/>
  <c r="Q233" i="24"/>
  <c r="B253" i="24" s="1"/>
  <c r="X236" i="24"/>
  <c r="I256" i="24" s="1"/>
  <c r="AD15" i="24"/>
  <c r="O35" i="24" s="1"/>
  <c r="R117" i="24"/>
  <c r="C137" i="24" s="1"/>
  <c r="R125" i="24"/>
  <c r="C145" i="24" s="1"/>
  <c r="T229" i="24"/>
  <c r="E249" i="24" s="1"/>
  <c r="AL229" i="24"/>
  <c r="W249" i="24" s="1"/>
  <c r="AJ231" i="24"/>
  <c r="U251" i="24" s="1"/>
  <c r="AG236" i="24"/>
  <c r="R256" i="24" s="1"/>
  <c r="Q15" i="24"/>
  <c r="B35" i="24" s="1"/>
  <c r="X26" i="24"/>
  <c r="U226" i="24"/>
  <c r="F246" i="24" s="1"/>
  <c r="AK233" i="24"/>
  <c r="V253" i="24" s="1"/>
  <c r="AF240" i="24"/>
  <c r="AJ240" i="24"/>
  <c r="AG240" i="24"/>
  <c r="S240" i="24"/>
  <c r="U240" i="24"/>
  <c r="AQ240" i="24"/>
  <c r="AM240" i="24"/>
  <c r="W240" i="24"/>
  <c r="Y132" i="24"/>
  <c r="AQ342" i="24"/>
  <c r="AB362" i="24" s="1"/>
  <c r="AN342" i="24"/>
  <c r="Y362" i="24" s="1"/>
  <c r="V342" i="24"/>
  <c r="G362" i="24" s="1"/>
  <c r="AB343" i="24"/>
  <c r="M363" i="24" s="1"/>
  <c r="Y342" i="24"/>
  <c r="J362" i="24" s="1"/>
  <c r="AG343" i="24"/>
  <c r="R363" i="24" s="1"/>
  <c r="Z342" i="24"/>
  <c r="K362" i="24" s="1"/>
  <c r="AD342" i="24"/>
  <c r="O362" i="24" s="1"/>
  <c r="Z233" i="24"/>
  <c r="K253" i="24" s="1"/>
  <c r="AO234" i="24"/>
  <c r="Z254" i="24" s="1"/>
  <c r="W236" i="24"/>
  <c r="H256" i="24" s="1"/>
  <c r="AN236" i="24"/>
  <c r="Y256" i="24" s="1"/>
  <c r="AC233" i="24"/>
  <c r="N253" i="24" s="1"/>
  <c r="Z234" i="24"/>
  <c r="K254" i="24" s="1"/>
  <c r="AB236" i="24"/>
  <c r="M256" i="24" s="1"/>
  <c r="AR236" i="24"/>
  <c r="AC256" i="24" s="1"/>
  <c r="AI233" i="24"/>
  <c r="T253" i="24" s="1"/>
  <c r="AG233" i="24"/>
  <c r="R253" i="24" s="1"/>
  <c r="AC236" i="24"/>
  <c r="N256" i="24" s="1"/>
  <c r="AN233" i="24"/>
  <c r="Y253" i="24" s="1"/>
  <c r="AJ236" i="24"/>
  <c r="U256" i="24" s="1"/>
  <c r="R233" i="24"/>
  <c r="C253" i="24" s="1"/>
  <c r="S236" i="24"/>
  <c r="D256" i="24" s="1"/>
  <c r="AA145" i="24"/>
  <c r="AD340" i="24"/>
  <c r="O360" i="24" s="1"/>
  <c r="AO340" i="24"/>
  <c r="Z360" i="24" s="1"/>
  <c r="AF340" i="24"/>
  <c r="Q360" i="24" s="1"/>
  <c r="Q378" i="24" s="1"/>
  <c r="W340" i="24"/>
  <c r="H360" i="24" s="1"/>
  <c r="AM229" i="24"/>
  <c r="X249" i="24" s="1"/>
  <c r="Z229" i="24"/>
  <c r="K249" i="24" s="1"/>
  <c r="AC225" i="24"/>
  <c r="N245" i="24" s="1"/>
  <c r="AN225" i="24"/>
  <c r="Y245" i="24" s="1"/>
  <c r="AH226" i="24"/>
  <c r="S246" i="24" s="1"/>
  <c r="R225" i="24"/>
  <c r="C245" i="24" s="1"/>
  <c r="AJ226" i="24"/>
  <c r="U246" i="24" s="1"/>
  <c r="W225" i="24"/>
  <c r="H245" i="24" s="1"/>
  <c r="AA225" i="24"/>
  <c r="L245" i="24" s="1"/>
  <c r="Z226" i="24"/>
  <c r="K246" i="24" s="1"/>
  <c r="Y226" i="24"/>
  <c r="J246" i="24" s="1"/>
  <c r="AK225" i="24"/>
  <c r="V245" i="24" s="1"/>
  <c r="AF117" i="24"/>
  <c r="Q137" i="24" s="1"/>
  <c r="AO118" i="24"/>
  <c r="Z138" i="24" s="1"/>
  <c r="W26" i="24"/>
  <c r="AJ26" i="24"/>
  <c r="W22" i="24"/>
  <c r="H42" i="24" s="1"/>
  <c r="X22" i="24"/>
  <c r="I42" i="24" s="1"/>
  <c r="Z19" i="24"/>
  <c r="K39" i="24" s="1"/>
  <c r="AG19" i="24"/>
  <c r="R39" i="24" s="1"/>
  <c r="Q19" i="24"/>
  <c r="B39" i="24" s="1"/>
  <c r="AM19" i="24"/>
  <c r="X39" i="24" s="1"/>
  <c r="R19" i="24"/>
  <c r="C39" i="24" s="1"/>
  <c r="AP19" i="24"/>
  <c r="AA39" i="24" s="1"/>
  <c r="U19" i="24"/>
  <c r="F39" i="24" s="1"/>
  <c r="AQ19" i="24"/>
  <c r="AB39" i="24" s="1"/>
  <c r="AC19" i="24"/>
  <c r="N39" i="24" s="1"/>
  <c r="AK19" i="24"/>
  <c r="V39" i="24" s="1"/>
  <c r="AO19" i="24"/>
  <c r="Z39" i="24" s="1"/>
  <c r="S19" i="24"/>
  <c r="D39" i="24" s="1"/>
  <c r="AL19" i="24"/>
  <c r="W39" i="24" s="1"/>
  <c r="V19" i="24"/>
  <c r="G39" i="24" s="1"/>
  <c r="X17" i="24"/>
  <c r="I37" i="24" s="1"/>
  <c r="AG17" i="24"/>
  <c r="R37" i="24" s="1"/>
  <c r="V15" i="24"/>
  <c r="G35" i="24" s="1"/>
  <c r="AC15" i="24"/>
  <c r="N35" i="24" s="1"/>
  <c r="AE15" i="24"/>
  <c r="P35" i="24" s="1"/>
  <c r="AK15" i="24"/>
  <c r="V35" i="24" s="1"/>
  <c r="AO15" i="24"/>
  <c r="Z35" i="24" s="1"/>
  <c r="R15" i="24"/>
  <c r="C35" i="24" s="1"/>
  <c r="AG15" i="24"/>
  <c r="R35" i="24" s="1"/>
  <c r="S15" i="24"/>
  <c r="D35" i="24" s="1"/>
  <c r="AL15" i="24"/>
  <c r="W35" i="24" s="1"/>
  <c r="U15" i="24"/>
  <c r="F35" i="24" s="1"/>
  <c r="AM15" i="24"/>
  <c r="X35" i="24" s="1"/>
  <c r="Q11" i="24"/>
  <c r="B31" i="24" s="1"/>
  <c r="AG11" i="24"/>
  <c r="R31" i="24" s="1"/>
  <c r="AL11" i="24"/>
  <c r="W31" i="24" s="1"/>
  <c r="V11" i="24"/>
  <c r="G31" i="24" s="1"/>
  <c r="AM11" i="24"/>
  <c r="X31" i="24" s="1"/>
  <c r="AI11" i="24"/>
  <c r="T31" i="24" s="1"/>
  <c r="AA11" i="24"/>
  <c r="L31" i="24" s="1"/>
  <c r="A65" i="24"/>
  <c r="A77" i="24"/>
  <c r="A76" i="24"/>
  <c r="A64" i="24"/>
  <c r="A66" i="24"/>
  <c r="A78" i="24"/>
  <c r="A80" i="24"/>
  <c r="A68" i="24"/>
  <c r="Q12" i="24"/>
  <c r="B32" i="24" s="1"/>
  <c r="AL12" i="24"/>
  <c r="W32" i="24" s="1"/>
  <c r="AC12" i="24"/>
  <c r="N32" i="24" s="1"/>
  <c r="AN12" i="24"/>
  <c r="Y32" i="24" s="1"/>
  <c r="AK13" i="24"/>
  <c r="V33" i="24" s="1"/>
  <c r="X14" i="24"/>
  <c r="I34" i="24" s="1"/>
  <c r="R16" i="24"/>
  <c r="C36" i="24" s="1"/>
  <c r="AP17" i="24"/>
  <c r="AA37" i="24" s="1"/>
  <c r="AH17" i="24"/>
  <c r="S37" i="24" s="1"/>
  <c r="Z17" i="24"/>
  <c r="K37" i="24" s="1"/>
  <c r="R17" i="24"/>
  <c r="C37" i="24" s="1"/>
  <c r="AL17" i="24"/>
  <c r="W37" i="24" s="1"/>
  <c r="AD17" i="24"/>
  <c r="O37" i="24" s="1"/>
  <c r="V17" i="24"/>
  <c r="G37" i="24" s="1"/>
  <c r="T12" i="24"/>
  <c r="E32" i="24" s="1"/>
  <c r="AO12" i="24"/>
  <c r="Z32" i="24" s="1"/>
  <c r="AM13" i="24"/>
  <c r="X33" i="24" s="1"/>
  <c r="Z14" i="24"/>
  <c r="K34" i="24" s="1"/>
  <c r="AD16" i="24"/>
  <c r="O36" i="24" s="1"/>
  <c r="Q17" i="24"/>
  <c r="B37" i="24" s="1"/>
  <c r="AB17" i="24"/>
  <c r="M37" i="24" s="1"/>
  <c r="AD20" i="24"/>
  <c r="O40" i="24" s="1"/>
  <c r="Q22" i="24"/>
  <c r="B42" i="24" s="1"/>
  <c r="AM22" i="24"/>
  <c r="X42" i="24" s="1"/>
  <c r="Z23" i="24"/>
  <c r="K43" i="24" s="1"/>
  <c r="AQ24" i="24"/>
  <c r="AB44" i="24" s="1"/>
  <c r="T25" i="24"/>
  <c r="AO25" i="24"/>
  <c r="Q26" i="24"/>
  <c r="AB26" i="24"/>
  <c r="AM26" i="24"/>
  <c r="Z27" i="24"/>
  <c r="K47" i="24" s="1"/>
  <c r="AJ27" i="24"/>
  <c r="U47" i="24" s="1"/>
  <c r="W11" i="24"/>
  <c r="H31" i="24" s="1"/>
  <c r="AH11" i="24"/>
  <c r="S31" i="24" s="1"/>
  <c r="U12" i="24"/>
  <c r="F32" i="24" s="1"/>
  <c r="AF12" i="24"/>
  <c r="Q32" i="24" s="1"/>
  <c r="AP12" i="24"/>
  <c r="AA32" i="24" s="1"/>
  <c r="S13" i="24"/>
  <c r="D33" i="24" s="1"/>
  <c r="AC13" i="24"/>
  <c r="N33" i="24" s="1"/>
  <c r="AK14" i="24"/>
  <c r="V34" i="24" s="1"/>
  <c r="AC14" i="24"/>
  <c r="N34" i="24" s="1"/>
  <c r="U14" i="24"/>
  <c r="F34" i="24" s="1"/>
  <c r="AO14" i="24"/>
  <c r="Z34" i="24" s="1"/>
  <c r="AG14" i="24"/>
  <c r="R34" i="24" s="1"/>
  <c r="Y14" i="24"/>
  <c r="J34" i="24" s="1"/>
  <c r="Q14" i="24"/>
  <c r="B34" i="24" s="1"/>
  <c r="AA14" i="24"/>
  <c r="L34" i="24" s="1"/>
  <c r="AL14" i="24"/>
  <c r="W34" i="24" s="1"/>
  <c r="W15" i="24"/>
  <c r="H35" i="24" s="1"/>
  <c r="AH15" i="24"/>
  <c r="S35" i="24" s="1"/>
  <c r="U16" i="24"/>
  <c r="F36" i="24" s="1"/>
  <c r="AF16" i="24"/>
  <c r="Q36" i="24" s="1"/>
  <c r="S17" i="24"/>
  <c r="D37" i="24" s="1"/>
  <c r="AC17" i="24"/>
  <c r="N37" i="24" s="1"/>
  <c r="AN17" i="24"/>
  <c r="Y37" i="24" s="1"/>
  <c r="AO18" i="24"/>
  <c r="Z38" i="24" s="1"/>
  <c r="AG18" i="24"/>
  <c r="R38" i="24" s="1"/>
  <c r="Y18" i="24"/>
  <c r="J38" i="24" s="1"/>
  <c r="Q18" i="24"/>
  <c r="B38" i="24" s="1"/>
  <c r="AK18" i="24"/>
  <c r="V38" i="24" s="1"/>
  <c r="AC18" i="24"/>
  <c r="N38" i="24" s="1"/>
  <c r="U18" i="24"/>
  <c r="F38" i="24" s="1"/>
  <c r="AA18" i="24"/>
  <c r="L38" i="24" s="1"/>
  <c r="AL18" i="24"/>
  <c r="W38" i="24" s="1"/>
  <c r="W19" i="24"/>
  <c r="H39" i="24" s="1"/>
  <c r="AH19" i="24"/>
  <c r="S39" i="24" s="1"/>
  <c r="U20" i="24"/>
  <c r="F40" i="24" s="1"/>
  <c r="AF20" i="24"/>
  <c r="Q40" i="24" s="1"/>
  <c r="AP20" i="24"/>
  <c r="AA40" i="24" s="1"/>
  <c r="S22" i="24"/>
  <c r="D42" i="24" s="1"/>
  <c r="AC22" i="24"/>
  <c r="N42" i="24" s="1"/>
  <c r="AN22" i="24"/>
  <c r="Y42" i="24" s="1"/>
  <c r="AK23" i="24"/>
  <c r="V43" i="24" s="1"/>
  <c r="AC23" i="24"/>
  <c r="N43" i="24" s="1"/>
  <c r="U23" i="24"/>
  <c r="F43" i="24" s="1"/>
  <c r="AO23" i="24"/>
  <c r="Z43" i="24" s="1"/>
  <c r="AG23" i="24"/>
  <c r="R43" i="24" s="1"/>
  <c r="Y23" i="24"/>
  <c r="J43" i="24" s="1"/>
  <c r="Q23" i="24"/>
  <c r="B43" i="24" s="1"/>
  <c r="AA23" i="24"/>
  <c r="L43" i="24" s="1"/>
  <c r="AL23" i="24"/>
  <c r="W43" i="24" s="1"/>
  <c r="W24" i="24"/>
  <c r="H44" i="24" s="1"/>
  <c r="AH24" i="24"/>
  <c r="S44" i="24" s="1"/>
  <c r="U25" i="24"/>
  <c r="AF25" i="24"/>
  <c r="AP25" i="24"/>
  <c r="S26" i="24"/>
  <c r="AC26" i="24"/>
  <c r="AN26" i="24"/>
  <c r="AO27" i="24"/>
  <c r="Z47" i="24" s="1"/>
  <c r="AG27" i="24"/>
  <c r="R47" i="24" s="1"/>
  <c r="Y27" i="24"/>
  <c r="J47" i="24" s="1"/>
  <c r="Q27" i="24"/>
  <c r="B47" i="24" s="1"/>
  <c r="AK27" i="24"/>
  <c r="V47" i="24" s="1"/>
  <c r="AC27" i="24"/>
  <c r="N47" i="24" s="1"/>
  <c r="U27" i="24"/>
  <c r="F47" i="24" s="1"/>
  <c r="AA27" i="24"/>
  <c r="L47" i="24" s="1"/>
  <c r="AL27" i="24"/>
  <c r="W47" i="24" s="1"/>
  <c r="AM117" i="24"/>
  <c r="X137" i="24" s="1"/>
  <c r="AE117" i="24"/>
  <c r="P137" i="24" s="1"/>
  <c r="W117" i="24"/>
  <c r="H137" i="24" s="1"/>
  <c r="AL117" i="24"/>
  <c r="W137" i="24" s="1"/>
  <c r="AD117" i="24"/>
  <c r="O137" i="24" s="1"/>
  <c r="V117" i="24"/>
  <c r="G137" i="24" s="1"/>
  <c r="AK117" i="24"/>
  <c r="V137" i="24" s="1"/>
  <c r="AA117" i="24"/>
  <c r="L137" i="24" s="1"/>
  <c r="Q117" i="24"/>
  <c r="B137" i="24" s="1"/>
  <c r="AQ117" i="24"/>
  <c r="AB137" i="24" s="1"/>
  <c r="AG117" i="24"/>
  <c r="R137" i="24" s="1"/>
  <c r="U117" i="24"/>
  <c r="F137" i="24" s="1"/>
  <c r="AP117" i="24"/>
  <c r="AA137" i="24" s="1"/>
  <c r="AB117" i="24"/>
  <c r="M137" i="24" s="1"/>
  <c r="AO117" i="24"/>
  <c r="Z137" i="24" s="1"/>
  <c r="Z117" i="24"/>
  <c r="K137" i="24" s="1"/>
  <c r="AJ117" i="24"/>
  <c r="U137" i="24" s="1"/>
  <c r="X117" i="24"/>
  <c r="I137" i="24" s="1"/>
  <c r="AH117" i="24"/>
  <c r="S137" i="24" s="1"/>
  <c r="S117" i="24"/>
  <c r="D137" i="24" s="1"/>
  <c r="AR117" i="24"/>
  <c r="AC137" i="24" s="1"/>
  <c r="Z118" i="24"/>
  <c r="K138" i="24" s="1"/>
  <c r="AM119" i="24"/>
  <c r="X139" i="24" s="1"/>
  <c r="X119" i="24"/>
  <c r="I139" i="24" s="1"/>
  <c r="AG119" i="24"/>
  <c r="R139" i="24" s="1"/>
  <c r="R119" i="24"/>
  <c r="C139" i="24" s="1"/>
  <c r="AH119" i="24"/>
  <c r="S139" i="24" s="1"/>
  <c r="R120" i="24"/>
  <c r="C140" i="24" s="1"/>
  <c r="AR122" i="24"/>
  <c r="AC142" i="24" s="1"/>
  <c r="Z12" i="24"/>
  <c r="K32" i="24" s="1"/>
  <c r="AK12" i="24"/>
  <c r="V32" i="24" s="1"/>
  <c r="AQ16" i="24"/>
  <c r="AB36" i="24" s="1"/>
  <c r="AI16" i="24"/>
  <c r="T36" i="24" s="1"/>
  <c r="AA16" i="24"/>
  <c r="L36" i="24" s="1"/>
  <c r="S16" i="24"/>
  <c r="D36" i="24" s="1"/>
  <c r="AM16" i="24"/>
  <c r="X36" i="24" s="1"/>
  <c r="AE16" i="24"/>
  <c r="P36" i="24" s="1"/>
  <c r="W16" i="24"/>
  <c r="H36" i="24" s="1"/>
  <c r="AL13" i="24"/>
  <c r="W33" i="24" s="1"/>
  <c r="AD13" i="24"/>
  <c r="O33" i="24" s="1"/>
  <c r="V13" i="24"/>
  <c r="G33" i="24" s="1"/>
  <c r="AP13" i="24"/>
  <c r="AA33" i="24" s="1"/>
  <c r="AH13" i="24"/>
  <c r="S33" i="24" s="1"/>
  <c r="Z13" i="24"/>
  <c r="K33" i="24" s="1"/>
  <c r="R13" i="24"/>
  <c r="C33" i="24" s="1"/>
  <c r="AI14" i="24"/>
  <c r="T34" i="24" s="1"/>
  <c r="V12" i="24"/>
  <c r="G32" i="24" s="1"/>
  <c r="T13" i="24"/>
  <c r="E33" i="24" s="1"/>
  <c r="AO13" i="24"/>
  <c r="Z33" i="24" s="1"/>
  <c r="AB14" i="24"/>
  <c r="M34" i="24" s="1"/>
  <c r="AG16" i="24"/>
  <c r="R36" i="24" s="1"/>
  <c r="T17" i="24"/>
  <c r="E37" i="24" s="1"/>
  <c r="AE17" i="24"/>
  <c r="P37" i="24" s="1"/>
  <c r="AB18" i="24"/>
  <c r="M38" i="24" s="1"/>
  <c r="AI19" i="24"/>
  <c r="T39" i="24" s="1"/>
  <c r="V20" i="24"/>
  <c r="G40" i="24" s="1"/>
  <c r="T22" i="24"/>
  <c r="E42" i="24" s="1"/>
  <c r="AO22" i="24"/>
  <c r="Z42" i="24" s="1"/>
  <c r="AB23" i="24"/>
  <c r="M43" i="24" s="1"/>
  <c r="AR25" i="24"/>
  <c r="AE26" i="24"/>
  <c r="AB27" i="24"/>
  <c r="M47" i="24" s="1"/>
  <c r="R12" i="24"/>
  <c r="C32" i="24" s="1"/>
  <c r="AN16" i="24"/>
  <c r="Y36" i="24" s="1"/>
  <c r="AK17" i="24"/>
  <c r="V37" i="24" s="1"/>
  <c r="AI18" i="24"/>
  <c r="T38" i="24" s="1"/>
  <c r="AB13" i="24"/>
  <c r="M33" i="24" s="1"/>
  <c r="AG12" i="24"/>
  <c r="R32" i="24" s="1"/>
  <c r="AR12" i="24"/>
  <c r="AC32" i="24" s="1"/>
  <c r="AE13" i="24"/>
  <c r="P33" i="24" s="1"/>
  <c r="R14" i="24"/>
  <c r="C34" i="24" s="1"/>
  <c r="AM14" i="24"/>
  <c r="X34" i="24" s="1"/>
  <c r="Y15" i="24"/>
  <c r="J35" i="24" s="1"/>
  <c r="AI15" i="24"/>
  <c r="T35" i="24" s="1"/>
  <c r="V16" i="24"/>
  <c r="G36" i="24" s="1"/>
  <c r="AR16" i="24"/>
  <c r="AC36" i="24" s="1"/>
  <c r="AO17" i="24"/>
  <c r="Z37" i="24" s="1"/>
  <c r="R18" i="24"/>
  <c r="C38" i="24" s="1"/>
  <c r="AM18" i="24"/>
  <c r="X38" i="24" s="1"/>
  <c r="Y19" i="24"/>
  <c r="J39" i="24" s="1"/>
  <c r="AG20" i="24"/>
  <c r="R40" i="24" s="1"/>
  <c r="AR20" i="24"/>
  <c r="AC40" i="24" s="1"/>
  <c r="AE22" i="24"/>
  <c r="P42" i="24" s="1"/>
  <c r="R23" i="24"/>
  <c r="C43" i="24" s="1"/>
  <c r="AM23" i="24"/>
  <c r="X43" i="24" s="1"/>
  <c r="Y24" i="24"/>
  <c r="J44" i="24" s="1"/>
  <c r="V25" i="24"/>
  <c r="AG25" i="24"/>
  <c r="T26" i="24"/>
  <c r="AO26" i="24"/>
  <c r="R27" i="24"/>
  <c r="C47" i="24" s="1"/>
  <c r="AM27" i="24"/>
  <c r="X47" i="24" s="1"/>
  <c r="AN11" i="24"/>
  <c r="Y31" i="24" s="1"/>
  <c r="Z11" i="24"/>
  <c r="K31" i="24" s="1"/>
  <c r="X12" i="24"/>
  <c r="I32" i="24" s="1"/>
  <c r="U13" i="24"/>
  <c r="F33" i="24" s="1"/>
  <c r="AF13" i="24"/>
  <c r="Q33" i="24" s="1"/>
  <c r="AQ13" i="24"/>
  <c r="AB33" i="24" s="1"/>
  <c r="S14" i="24"/>
  <c r="D34" i="24" s="1"/>
  <c r="AD14" i="24"/>
  <c r="O34" i="24" s="1"/>
  <c r="AN14" i="24"/>
  <c r="Y34" i="24" s="1"/>
  <c r="AR15" i="24"/>
  <c r="AC35" i="24" s="1"/>
  <c r="X16" i="24"/>
  <c r="I36" i="24" s="1"/>
  <c r="AH16" i="24"/>
  <c r="S36" i="24" s="1"/>
  <c r="U17" i="24"/>
  <c r="F37" i="24" s="1"/>
  <c r="AF17" i="24"/>
  <c r="Q37" i="24" s="1"/>
  <c r="AQ17" i="24"/>
  <c r="AB37" i="24" s="1"/>
  <c r="S18" i="24"/>
  <c r="D38" i="24" s="1"/>
  <c r="AD18" i="24"/>
  <c r="O38" i="24" s="1"/>
  <c r="AN18" i="24"/>
  <c r="Y38" i="24" s="1"/>
  <c r="AN19" i="24"/>
  <c r="Y39" i="24" s="1"/>
  <c r="X20" i="24"/>
  <c r="I40" i="24" s="1"/>
  <c r="U22" i="24"/>
  <c r="F42" i="24" s="1"/>
  <c r="AF22" i="24"/>
  <c r="Q42" i="24" s="1"/>
  <c r="AQ22" i="24"/>
  <c r="AB42" i="24" s="1"/>
  <c r="S23" i="24"/>
  <c r="D43" i="24" s="1"/>
  <c r="AD23" i="24"/>
  <c r="O43" i="24" s="1"/>
  <c r="AN23" i="24"/>
  <c r="Y43" i="24" s="1"/>
  <c r="AR24" i="24"/>
  <c r="AC44" i="24" s="1"/>
  <c r="Z24" i="24"/>
  <c r="K44" i="24" s="1"/>
  <c r="X25" i="24"/>
  <c r="U26" i="24"/>
  <c r="AF26" i="24"/>
  <c r="AQ26" i="24"/>
  <c r="S27" i="24"/>
  <c r="D47" i="24" s="1"/>
  <c r="AD27" i="24"/>
  <c r="O47" i="24" s="1"/>
  <c r="AN27" i="24"/>
  <c r="Y47" i="24" s="1"/>
  <c r="A69" i="24"/>
  <c r="T117" i="24"/>
  <c r="E137" i="24" s="1"/>
  <c r="AI118" i="24"/>
  <c r="T138" i="24" s="1"/>
  <c r="AP119" i="24"/>
  <c r="AA139" i="24" s="1"/>
  <c r="X120" i="24"/>
  <c r="I140" i="24" s="1"/>
  <c r="AR121" i="24"/>
  <c r="AC141" i="24" s="1"/>
  <c r="AF121" i="24"/>
  <c r="Q141" i="24" s="1"/>
  <c r="V121" i="24"/>
  <c r="G141" i="24" s="1"/>
  <c r="AK121" i="24"/>
  <c r="V141" i="24" s="1"/>
  <c r="W121" i="24"/>
  <c r="H141" i="24" s="1"/>
  <c r="AJ121" i="24"/>
  <c r="U141" i="24" s="1"/>
  <c r="U121" i="24"/>
  <c r="F141" i="24" s="1"/>
  <c r="AE121" i="24"/>
  <c r="P141" i="24" s="1"/>
  <c r="Q121" i="24"/>
  <c r="B141" i="24" s="1"/>
  <c r="AO121" i="24"/>
  <c r="Z141" i="24" s="1"/>
  <c r="AC121" i="24"/>
  <c r="N141" i="24" s="1"/>
  <c r="AM121" i="24"/>
  <c r="X141" i="24" s="1"/>
  <c r="T122" i="24"/>
  <c r="E142" i="24" s="1"/>
  <c r="W122" i="24"/>
  <c r="H142" i="24" s="1"/>
  <c r="AK16" i="24"/>
  <c r="V36" i="24" s="1"/>
  <c r="AM20" i="24"/>
  <c r="X40" i="24" s="1"/>
  <c r="AE20" i="24"/>
  <c r="P40" i="24" s="1"/>
  <c r="W20" i="24"/>
  <c r="H40" i="24" s="1"/>
  <c r="AQ20" i="24"/>
  <c r="AB40" i="24" s="1"/>
  <c r="AI20" i="24"/>
  <c r="T40" i="24" s="1"/>
  <c r="AA20" i="24"/>
  <c r="L40" i="24" s="1"/>
  <c r="S20" i="24"/>
  <c r="D40" i="24" s="1"/>
  <c r="Z20" i="24"/>
  <c r="K40" i="24" s="1"/>
  <c r="AK20" i="24"/>
  <c r="V40" i="24" s="1"/>
  <c r="AQ25" i="24"/>
  <c r="AI25" i="24"/>
  <c r="AA25" i="24"/>
  <c r="S25" i="24"/>
  <c r="AM25" i="24"/>
  <c r="AE25" i="24"/>
  <c r="W25" i="24"/>
  <c r="Z25" i="24"/>
  <c r="AK25" i="24"/>
  <c r="AF27" i="24"/>
  <c r="Q47" i="24" s="1"/>
  <c r="AQ27" i="24"/>
  <c r="AB47" i="24" s="1"/>
  <c r="A75" i="24"/>
  <c r="A63" i="24"/>
  <c r="AB34" i="24"/>
  <c r="AF120" i="24"/>
  <c r="Q140" i="24" s="1"/>
  <c r="AB122" i="24"/>
  <c r="M142" i="24" s="1"/>
  <c r="Q16" i="24"/>
  <c r="B36" i="24" s="1"/>
  <c r="AB16" i="24"/>
  <c r="M36" i="24" s="1"/>
  <c r="AL16" i="24"/>
  <c r="W36" i="24" s="1"/>
  <c r="Y17" i="24"/>
  <c r="J37" i="24" s="1"/>
  <c r="AJ17" i="24"/>
  <c r="U37" i="24" s="1"/>
  <c r="W18" i="24"/>
  <c r="H38" i="24" s="1"/>
  <c r="AH18" i="24"/>
  <c r="S38" i="24" s="1"/>
  <c r="AR18" i="24"/>
  <c r="AC38" i="24" s="1"/>
  <c r="Q20" i="24"/>
  <c r="B40" i="24" s="1"/>
  <c r="AB20" i="24"/>
  <c r="M40" i="24" s="1"/>
  <c r="AL20" i="24"/>
  <c r="W40" i="24" s="1"/>
  <c r="Y22" i="24"/>
  <c r="J42" i="24" s="1"/>
  <c r="W23" i="24"/>
  <c r="H43" i="24" s="1"/>
  <c r="AH23" i="24"/>
  <c r="S43" i="24" s="1"/>
  <c r="AR23" i="24"/>
  <c r="AC43" i="24" s="1"/>
  <c r="Q25" i="24"/>
  <c r="AB25" i="24"/>
  <c r="AL25" i="24"/>
  <c r="Y26" i="24"/>
  <c r="W27" i="24"/>
  <c r="H47" i="24" s="1"/>
  <c r="AH27" i="24"/>
  <c r="S47" i="24" s="1"/>
  <c r="AR27" i="24"/>
  <c r="AC47" i="24" s="1"/>
  <c r="AL118" i="24"/>
  <c r="W138" i="24" s="1"/>
  <c r="AD118" i="24"/>
  <c r="O138" i="24" s="1"/>
  <c r="V118" i="24"/>
  <c r="G138" i="24" s="1"/>
  <c r="AK118" i="24"/>
  <c r="V138" i="24" s="1"/>
  <c r="AC118" i="24"/>
  <c r="N138" i="24" s="1"/>
  <c r="U118" i="24"/>
  <c r="F138" i="24" s="1"/>
  <c r="AR118" i="24"/>
  <c r="AC138" i="24" s="1"/>
  <c r="AH118" i="24"/>
  <c r="S138" i="24" s="1"/>
  <c r="X118" i="24"/>
  <c r="I138" i="24" s="1"/>
  <c r="AN118" i="24"/>
  <c r="Y138" i="24" s="1"/>
  <c r="AB118" i="24"/>
  <c r="M138" i="24" s="1"/>
  <c r="R118" i="24"/>
  <c r="C138" i="24" s="1"/>
  <c r="AG118" i="24"/>
  <c r="R138" i="24" s="1"/>
  <c r="S118" i="24"/>
  <c r="D138" i="24" s="1"/>
  <c r="AF118" i="24"/>
  <c r="Q138" i="24" s="1"/>
  <c r="Q118" i="24"/>
  <c r="B138" i="24" s="1"/>
  <c r="AP118" i="24"/>
  <c r="AA138" i="24" s="1"/>
  <c r="AA118" i="24"/>
  <c r="L138" i="24" s="1"/>
  <c r="AM118" i="24"/>
  <c r="X138" i="24" s="1"/>
  <c r="Y118" i="24"/>
  <c r="J138" i="24" s="1"/>
  <c r="AQ118" i="24"/>
  <c r="AB138" i="24" s="1"/>
  <c r="AF122" i="24"/>
  <c r="Q142" i="24" s="1"/>
  <c r="AA13" i="24"/>
  <c r="L33" i="24" s="1"/>
  <c r="AC16" i="24"/>
  <c r="N36" i="24" s="1"/>
  <c r="AA17" i="24"/>
  <c r="L37" i="24" s="1"/>
  <c r="X18" i="24"/>
  <c r="I38" i="24" s="1"/>
  <c r="R20" i="24"/>
  <c r="C40" i="24" s="1"/>
  <c r="AC20" i="24"/>
  <c r="N40" i="24" s="1"/>
  <c r="AN20" i="24"/>
  <c r="Y40" i="24" s="1"/>
  <c r="AL22" i="24"/>
  <c r="W42" i="24" s="1"/>
  <c r="AD22" i="24"/>
  <c r="O42" i="24" s="1"/>
  <c r="V22" i="24"/>
  <c r="G42" i="24" s="1"/>
  <c r="AP22" i="24"/>
  <c r="AA42" i="24" s="1"/>
  <c r="AH22" i="24"/>
  <c r="S42" i="24" s="1"/>
  <c r="Z22" i="24"/>
  <c r="K42" i="24" s="1"/>
  <c r="R22" i="24"/>
  <c r="C42" i="24" s="1"/>
  <c r="AA22" i="24"/>
  <c r="L42" i="24" s="1"/>
  <c r="AK22" i="24"/>
  <c r="V42" i="24" s="1"/>
  <c r="X23" i="24"/>
  <c r="I43" i="24" s="1"/>
  <c r="AI23" i="24"/>
  <c r="T43" i="24" s="1"/>
  <c r="R25" i="24"/>
  <c r="AC25" i="24"/>
  <c r="AN25" i="24"/>
  <c r="AP26" i="24"/>
  <c r="AH26" i="24"/>
  <c r="Z26" i="24"/>
  <c r="R26" i="24"/>
  <c r="AL26" i="24"/>
  <c r="AD26" i="24"/>
  <c r="V26" i="24"/>
  <c r="AA26" i="24"/>
  <c r="AK26" i="24"/>
  <c r="X27" i="24"/>
  <c r="I47" i="24" s="1"/>
  <c r="A62" i="24"/>
  <c r="AI122" i="24"/>
  <c r="T142" i="24" s="1"/>
  <c r="AM12" i="24"/>
  <c r="X32" i="24" s="1"/>
  <c r="AE12" i="24"/>
  <c r="P32" i="24" s="1"/>
  <c r="W12" i="24"/>
  <c r="H32" i="24" s="1"/>
  <c r="AQ12" i="24"/>
  <c r="AB32" i="24" s="1"/>
  <c r="AI12" i="24"/>
  <c r="T32" i="24" s="1"/>
  <c r="AA12" i="24"/>
  <c r="L32" i="24" s="1"/>
  <c r="S12" i="24"/>
  <c r="D32" i="24" s="1"/>
  <c r="AB12" i="24"/>
  <c r="M32" i="24" s="1"/>
  <c r="AD12" i="24"/>
  <c r="O32" i="24" s="1"/>
  <c r="Q13" i="24"/>
  <c r="B33" i="24" s="1"/>
  <c r="T16" i="24"/>
  <c r="E36" i="24" s="1"/>
  <c r="AO16" i="24"/>
  <c r="Z36" i="24" s="1"/>
  <c r="AM17" i="24"/>
  <c r="X37" i="24" s="1"/>
  <c r="Z18" i="24"/>
  <c r="K38" i="24" s="1"/>
  <c r="T20" i="24"/>
  <c r="E40" i="24" s="1"/>
  <c r="AO20" i="24"/>
  <c r="Z40" i="24" s="1"/>
  <c r="AB22" i="24"/>
  <c r="M42" i="24" s="1"/>
  <c r="AD25" i="24"/>
  <c r="AN122" i="24"/>
  <c r="Y142" i="24" s="1"/>
  <c r="T11" i="24"/>
  <c r="E31" i="24" s="1"/>
  <c r="AB11" i="24"/>
  <c r="M31" i="24" s="1"/>
  <c r="AJ11" i="24"/>
  <c r="U31" i="24" s="1"/>
  <c r="AR11" i="24"/>
  <c r="AC31" i="24" s="1"/>
  <c r="X15" i="24"/>
  <c r="I35" i="24" s="1"/>
  <c r="AF15" i="24"/>
  <c r="Q35" i="24" s="1"/>
  <c r="AN15" i="24"/>
  <c r="Y35" i="24" s="1"/>
  <c r="T19" i="24"/>
  <c r="E39" i="24" s="1"/>
  <c r="AB19" i="24"/>
  <c r="M39" i="24" s="1"/>
  <c r="AJ19" i="24"/>
  <c r="U39" i="24" s="1"/>
  <c r="AR19" i="24"/>
  <c r="AC39" i="24" s="1"/>
  <c r="X24" i="24"/>
  <c r="I44" i="24" s="1"/>
  <c r="AF24" i="24"/>
  <c r="Q44" i="24" s="1"/>
  <c r="AN24" i="24"/>
  <c r="Y44" i="24" s="1"/>
  <c r="AK119" i="24"/>
  <c r="V139" i="24" s="1"/>
  <c r="AC119" i="24"/>
  <c r="N139" i="24" s="1"/>
  <c r="U119" i="24"/>
  <c r="F139" i="24" s="1"/>
  <c r="AR119" i="24"/>
  <c r="AC139" i="24" s="1"/>
  <c r="AJ119" i="24"/>
  <c r="U139" i="24" s="1"/>
  <c r="AB119" i="24"/>
  <c r="M139" i="24" s="1"/>
  <c r="T119" i="24"/>
  <c r="E139" i="24" s="1"/>
  <c r="AO119" i="24"/>
  <c r="Z139" i="24" s="1"/>
  <c r="AE119" i="24"/>
  <c r="P139" i="24" s="1"/>
  <c r="S119" i="24"/>
  <c r="D139" i="24" s="1"/>
  <c r="AI119" i="24"/>
  <c r="T139" i="24" s="1"/>
  <c r="Y119" i="24"/>
  <c r="J139" i="24" s="1"/>
  <c r="AD119" i="24"/>
  <c r="O139" i="24" s="1"/>
  <c r="AQ119" i="24"/>
  <c r="AB139" i="24" s="1"/>
  <c r="V120" i="24"/>
  <c r="G140" i="24" s="1"/>
  <c r="AK120" i="24"/>
  <c r="V140" i="24" s="1"/>
  <c r="V122" i="24"/>
  <c r="G142" i="24" s="1"/>
  <c r="AJ122" i="24"/>
  <c r="U142" i="24" s="1"/>
  <c r="AM123" i="24"/>
  <c r="X143" i="24" s="1"/>
  <c r="AC123" i="24"/>
  <c r="N143" i="24" s="1"/>
  <c r="S123" i="24"/>
  <c r="D143" i="24" s="1"/>
  <c r="AB123" i="24"/>
  <c r="M143" i="24" s="1"/>
  <c r="AQ123" i="24"/>
  <c r="AB143" i="24" s="1"/>
  <c r="R124" i="24"/>
  <c r="C144" i="24" s="1"/>
  <c r="X125" i="24"/>
  <c r="I145" i="24" s="1"/>
  <c r="AA126" i="24"/>
  <c r="L146" i="24" s="1"/>
  <c r="R128" i="24"/>
  <c r="C148" i="24" s="1"/>
  <c r="AG128" i="24"/>
  <c r="R148" i="24" s="1"/>
  <c r="Y129" i="24"/>
  <c r="J149" i="24" s="1"/>
  <c r="AO129" i="24"/>
  <c r="Z149" i="24" s="1"/>
  <c r="R130" i="24"/>
  <c r="C150" i="24" s="1"/>
  <c r="AJ130" i="24"/>
  <c r="U150" i="24" s="1"/>
  <c r="AH131" i="24"/>
  <c r="AF132" i="24"/>
  <c r="AL126" i="24"/>
  <c r="W146" i="24" s="1"/>
  <c r="AD126" i="24"/>
  <c r="O146" i="24" s="1"/>
  <c r="V126" i="24"/>
  <c r="G146" i="24" s="1"/>
  <c r="AK126" i="24"/>
  <c r="V146" i="24" s="1"/>
  <c r="AC126" i="24"/>
  <c r="N146" i="24" s="1"/>
  <c r="U126" i="24"/>
  <c r="F146" i="24" s="1"/>
  <c r="AR126" i="24"/>
  <c r="AC146" i="24" s="1"/>
  <c r="AH126" i="24"/>
  <c r="S146" i="24" s="1"/>
  <c r="X126" i="24"/>
  <c r="I146" i="24" s="1"/>
  <c r="AN126" i="24"/>
  <c r="Y146" i="24" s="1"/>
  <c r="AB126" i="24"/>
  <c r="M146" i="24" s="1"/>
  <c r="R126" i="24"/>
  <c r="C146" i="24" s="1"/>
  <c r="AE126" i="24"/>
  <c r="P146" i="24" s="1"/>
  <c r="AQ126" i="24"/>
  <c r="AB146" i="24" s="1"/>
  <c r="V128" i="24"/>
  <c r="G148" i="24" s="1"/>
  <c r="AH128" i="24"/>
  <c r="S148" i="24" s="1"/>
  <c r="Z129" i="24"/>
  <c r="K149" i="24" s="1"/>
  <c r="AQ129" i="24"/>
  <c r="AB149" i="24" s="1"/>
  <c r="S130" i="24"/>
  <c r="D150" i="24" s="1"/>
  <c r="AM130" i="24"/>
  <c r="X150" i="24" s="1"/>
  <c r="Q131" i="24"/>
  <c r="AI131" i="24"/>
  <c r="AG132" i="24"/>
  <c r="A180" i="24"/>
  <c r="A168" i="24"/>
  <c r="AK228" i="24"/>
  <c r="V248" i="24" s="1"/>
  <c r="AC228" i="24"/>
  <c r="N248" i="24" s="1"/>
  <c r="U228" i="24"/>
  <c r="F248" i="24" s="1"/>
  <c r="AO228" i="24"/>
  <c r="Z248" i="24" s="1"/>
  <c r="AG228" i="24"/>
  <c r="R248" i="24" s="1"/>
  <c r="Y228" i="24"/>
  <c r="J248" i="24" s="1"/>
  <c r="Q228" i="24"/>
  <c r="B248" i="24" s="1"/>
  <c r="AM228" i="24"/>
  <c r="X248" i="24" s="1"/>
  <c r="AB228" i="24"/>
  <c r="M248" i="24" s="1"/>
  <c r="R228" i="24"/>
  <c r="C248" i="24" s="1"/>
  <c r="AL228" i="24"/>
  <c r="W248" i="24" s="1"/>
  <c r="AA228" i="24"/>
  <c r="L248" i="24" s="1"/>
  <c r="AI228" i="24"/>
  <c r="T248" i="24" s="1"/>
  <c r="X228" i="24"/>
  <c r="I248" i="24" s="1"/>
  <c r="AR228" i="24"/>
  <c r="AC248" i="24" s="1"/>
  <c r="AH228" i="24"/>
  <c r="S248" i="24" s="1"/>
  <c r="W228" i="24"/>
  <c r="H248" i="24" s="1"/>
  <c r="AF228" i="24"/>
  <c r="Q248" i="24" s="1"/>
  <c r="AQ228" i="24"/>
  <c r="AB248" i="24" s="1"/>
  <c r="V228" i="24"/>
  <c r="G248" i="24" s="1"/>
  <c r="AN228" i="24"/>
  <c r="Y248" i="24" s="1"/>
  <c r="AJ228" i="24"/>
  <c r="U248" i="24" s="1"/>
  <c r="S228" i="24"/>
  <c r="D248" i="24" s="1"/>
  <c r="AP228" i="24"/>
  <c r="AA248" i="24" s="1"/>
  <c r="AE228" i="24"/>
  <c r="P248" i="24" s="1"/>
  <c r="AD228" i="24"/>
  <c r="O248" i="24" s="1"/>
  <c r="Z228" i="24"/>
  <c r="K248" i="24" s="1"/>
  <c r="T228" i="24"/>
  <c r="E248" i="24" s="1"/>
  <c r="Y120" i="24"/>
  <c r="J140" i="24" s="1"/>
  <c r="AN120" i="24"/>
  <c r="Y140" i="24" s="1"/>
  <c r="X122" i="24"/>
  <c r="I142" i="24" s="1"/>
  <c r="AM122" i="24"/>
  <c r="X142" i="24" s="1"/>
  <c r="Q126" i="24"/>
  <c r="B146" i="24" s="1"/>
  <c r="AF126" i="24"/>
  <c r="Q146" i="24" s="1"/>
  <c r="W128" i="24"/>
  <c r="H148" i="24" s="1"/>
  <c r="AL128" i="24"/>
  <c r="W148" i="24" s="1"/>
  <c r="AD129" i="24"/>
  <c r="O149" i="24" s="1"/>
  <c r="T130" i="24"/>
  <c r="E150" i="24" s="1"/>
  <c r="AN130" i="24"/>
  <c r="Y150" i="24" s="1"/>
  <c r="U131" i="24"/>
  <c r="AL131" i="24"/>
  <c r="R132" i="24"/>
  <c r="AH132" i="24"/>
  <c r="AL133" i="24"/>
  <c r="W153" i="24" s="1"/>
  <c r="AD133" i="24"/>
  <c r="O153" i="24" s="1"/>
  <c r="V133" i="24"/>
  <c r="G153" i="24" s="1"/>
  <c r="AP133" i="24"/>
  <c r="AA153" i="24" s="1"/>
  <c r="AH133" i="24"/>
  <c r="S153" i="24" s="1"/>
  <c r="Z133" i="24"/>
  <c r="K153" i="24" s="1"/>
  <c r="R133" i="24"/>
  <c r="C153" i="24" s="1"/>
  <c r="AJ133" i="24"/>
  <c r="U153" i="24" s="1"/>
  <c r="Y133" i="24"/>
  <c r="J153" i="24" s="1"/>
  <c r="AI133" i="24"/>
  <c r="T153" i="24" s="1"/>
  <c r="X133" i="24"/>
  <c r="I153" i="24" s="1"/>
  <c r="AG133" i="24"/>
  <c r="R153" i="24" s="1"/>
  <c r="T133" i="24"/>
  <c r="E153" i="24" s="1"/>
  <c r="AO133" i="24"/>
  <c r="Z153" i="24" s="1"/>
  <c r="AB133" i="24"/>
  <c r="M153" i="24" s="1"/>
  <c r="AF133" i="24"/>
  <c r="Q153" i="24" s="1"/>
  <c r="A186" i="24"/>
  <c r="A174" i="24"/>
  <c r="X128" i="24"/>
  <c r="I148" i="24" s="1"/>
  <c r="AM128" i="24"/>
  <c r="X148" i="24" s="1"/>
  <c r="AP129" i="24"/>
  <c r="AA149" i="24" s="1"/>
  <c r="AL129" i="24"/>
  <c r="W149" i="24" s="1"/>
  <c r="AJ129" i="24"/>
  <c r="U149" i="24" s="1"/>
  <c r="AB129" i="24"/>
  <c r="M149" i="24" s="1"/>
  <c r="T129" i="24"/>
  <c r="E149" i="24" s="1"/>
  <c r="AI129" i="24"/>
  <c r="T149" i="24" s="1"/>
  <c r="AA129" i="24"/>
  <c r="L149" i="24" s="1"/>
  <c r="S129" i="24"/>
  <c r="D149" i="24" s="1"/>
  <c r="AN129" i="24"/>
  <c r="Y149" i="24" s="1"/>
  <c r="AC129" i="24"/>
  <c r="N149" i="24" s="1"/>
  <c r="Q129" i="24"/>
  <c r="B149" i="24" s="1"/>
  <c r="AG129" i="24"/>
  <c r="R149" i="24" s="1"/>
  <c r="W129" i="24"/>
  <c r="H149" i="24" s="1"/>
  <c r="AE129" i="24"/>
  <c r="P149" i="24" s="1"/>
  <c r="Z130" i="24"/>
  <c r="K150" i="24" s="1"/>
  <c r="AP130" i="24"/>
  <c r="AA150" i="24" s="1"/>
  <c r="V131" i="24"/>
  <c r="AP131" i="24"/>
  <c r="T132" i="24"/>
  <c r="AN132" i="24"/>
  <c r="D144" i="24"/>
  <c r="A181" i="24"/>
  <c r="X11" i="24"/>
  <c r="I31" i="24" s="1"/>
  <c r="AF11" i="24"/>
  <c r="Q31" i="24" s="1"/>
  <c r="T15" i="24"/>
  <c r="E35" i="24" s="1"/>
  <c r="AB15" i="24"/>
  <c r="M35" i="24" s="1"/>
  <c r="AJ15" i="24"/>
  <c r="U35" i="24" s="1"/>
  <c r="X19" i="24"/>
  <c r="I39" i="24" s="1"/>
  <c r="AF19" i="24"/>
  <c r="Q39" i="24" s="1"/>
  <c r="T24" i="24"/>
  <c r="E44" i="24" s="1"/>
  <c r="AB24" i="24"/>
  <c r="M44" i="24" s="1"/>
  <c r="AJ24" i="24"/>
  <c r="U44" i="24" s="1"/>
  <c r="W119" i="24"/>
  <c r="H139" i="24" s="1"/>
  <c r="AL119" i="24"/>
  <c r="W139" i="24" s="1"/>
  <c r="AD120" i="24"/>
  <c r="O140" i="24" s="1"/>
  <c r="AC122" i="24"/>
  <c r="N142" i="24" s="1"/>
  <c r="U123" i="24"/>
  <c r="F143" i="24" s="1"/>
  <c r="AJ123" i="24"/>
  <c r="U143" i="24" s="1"/>
  <c r="AP124" i="24"/>
  <c r="AA144" i="24" s="1"/>
  <c r="AD124" i="24"/>
  <c r="O144" i="24" s="1"/>
  <c r="T124" i="24"/>
  <c r="E144" i="24" s="1"/>
  <c r="AJ124" i="24"/>
  <c r="U144" i="24" s="1"/>
  <c r="Z124" i="24"/>
  <c r="K144" i="24" s="1"/>
  <c r="Y124" i="24"/>
  <c r="J144" i="24" s="1"/>
  <c r="AL124" i="24"/>
  <c r="W144" i="24" s="1"/>
  <c r="AM125" i="24"/>
  <c r="X145" i="24" s="1"/>
  <c r="AE125" i="24"/>
  <c r="P145" i="24" s="1"/>
  <c r="W125" i="24"/>
  <c r="H145" i="24" s="1"/>
  <c r="AL125" i="24"/>
  <c r="W145" i="24" s="1"/>
  <c r="AD125" i="24"/>
  <c r="O145" i="24" s="1"/>
  <c r="V125" i="24"/>
  <c r="G145" i="24" s="1"/>
  <c r="AK125" i="24"/>
  <c r="V145" i="24" s="1"/>
  <c r="AA125" i="24"/>
  <c r="L145" i="24" s="1"/>
  <c r="Q125" i="24"/>
  <c r="B145" i="24" s="1"/>
  <c r="AQ125" i="24"/>
  <c r="AB145" i="24" s="1"/>
  <c r="AG125" i="24"/>
  <c r="R145" i="24" s="1"/>
  <c r="U125" i="24"/>
  <c r="F145" i="24" s="1"/>
  <c r="AC125" i="24"/>
  <c r="N145" i="24" s="1"/>
  <c r="AR125" i="24"/>
  <c r="AC145" i="24" s="1"/>
  <c r="T126" i="24"/>
  <c r="E146" i="24" s="1"/>
  <c r="AI126" i="24"/>
  <c r="T146" i="24" s="1"/>
  <c r="Z128" i="24"/>
  <c r="K148" i="24" s="1"/>
  <c r="AN128" i="24"/>
  <c r="Y148" i="24" s="1"/>
  <c r="R129" i="24"/>
  <c r="C149" i="24" s="1"/>
  <c r="AF129" i="24"/>
  <c r="Q149" i="24" s="1"/>
  <c r="Y131" i="24"/>
  <c r="AQ131" i="24"/>
  <c r="U132" i="24"/>
  <c r="AO132" i="24"/>
  <c r="S133" i="24"/>
  <c r="D153" i="24" s="1"/>
  <c r="AM133" i="24"/>
  <c r="X153" i="24" s="1"/>
  <c r="AR120" i="24"/>
  <c r="AC140" i="24" s="1"/>
  <c r="AJ120" i="24"/>
  <c r="U140" i="24" s="1"/>
  <c r="AB120" i="24"/>
  <c r="M140" i="24" s="1"/>
  <c r="T120" i="24"/>
  <c r="E140" i="24" s="1"/>
  <c r="AQ120" i="24"/>
  <c r="AB140" i="24" s="1"/>
  <c r="AI120" i="24"/>
  <c r="T140" i="24" s="1"/>
  <c r="AA120" i="24"/>
  <c r="L140" i="24" s="1"/>
  <c r="S120" i="24"/>
  <c r="D140" i="24" s="1"/>
  <c r="AM120" i="24"/>
  <c r="X140" i="24" s="1"/>
  <c r="AC120" i="24"/>
  <c r="N140" i="24" s="1"/>
  <c r="Q120" i="24"/>
  <c r="B140" i="24" s="1"/>
  <c r="AG120" i="24"/>
  <c r="R140" i="24" s="1"/>
  <c r="W120" i="24"/>
  <c r="H140" i="24" s="1"/>
  <c r="AE120" i="24"/>
  <c r="P140" i="24" s="1"/>
  <c r="AP122" i="24"/>
  <c r="AA142" i="24" s="1"/>
  <c r="AH122" i="24"/>
  <c r="S142" i="24" s="1"/>
  <c r="Z122" i="24"/>
  <c r="K142" i="24" s="1"/>
  <c r="R122" i="24"/>
  <c r="C142" i="24" s="1"/>
  <c r="AO122" i="24"/>
  <c r="Z142" i="24" s="1"/>
  <c r="AG122" i="24"/>
  <c r="R142" i="24" s="1"/>
  <c r="Y122" i="24"/>
  <c r="J142" i="24" s="1"/>
  <c r="Q122" i="24"/>
  <c r="B142" i="24" s="1"/>
  <c r="AK122" i="24"/>
  <c r="V142" i="24" s="1"/>
  <c r="AA122" i="24"/>
  <c r="L142" i="24" s="1"/>
  <c r="AQ122" i="24"/>
  <c r="AB142" i="24" s="1"/>
  <c r="AE122" i="24"/>
  <c r="P142" i="24" s="1"/>
  <c r="U122" i="24"/>
  <c r="F142" i="24" s="1"/>
  <c r="AD122" i="24"/>
  <c r="O142" i="24" s="1"/>
  <c r="T143" i="24"/>
  <c r="W126" i="24"/>
  <c r="H146" i="24" s="1"/>
  <c r="AJ126" i="24"/>
  <c r="U146" i="24" s="1"/>
  <c r="AA128" i="24"/>
  <c r="L148" i="24" s="1"/>
  <c r="U129" i="24"/>
  <c r="F149" i="24" s="1"/>
  <c r="AH129" i="24"/>
  <c r="S149" i="24" s="1"/>
  <c r="AL130" i="24"/>
  <c r="W150" i="24" s="1"/>
  <c r="X130" i="24"/>
  <c r="I150" i="24" s="1"/>
  <c r="AB130" i="24"/>
  <c r="M150" i="24" s="1"/>
  <c r="X132" i="24"/>
  <c r="AK128" i="24"/>
  <c r="V148" i="24" s="1"/>
  <c r="AC128" i="24"/>
  <c r="N148" i="24" s="1"/>
  <c r="U128" i="24"/>
  <c r="F148" i="24" s="1"/>
  <c r="AR128" i="24"/>
  <c r="AC148" i="24" s="1"/>
  <c r="AJ128" i="24"/>
  <c r="U148" i="24" s="1"/>
  <c r="AB128" i="24"/>
  <c r="M148" i="24" s="1"/>
  <c r="T128" i="24"/>
  <c r="E148" i="24" s="1"/>
  <c r="AO128" i="24"/>
  <c r="Z148" i="24" s="1"/>
  <c r="AE128" i="24"/>
  <c r="P148" i="24" s="1"/>
  <c r="S128" i="24"/>
  <c r="D148" i="24" s="1"/>
  <c r="AI128" i="24"/>
  <c r="T148" i="24" s="1"/>
  <c r="Y128" i="24"/>
  <c r="J148" i="24" s="1"/>
  <c r="AD128" i="24"/>
  <c r="O148" i="24" s="1"/>
  <c r="AQ128" i="24"/>
  <c r="AB148" i="24" s="1"/>
  <c r="AO131" i="24"/>
  <c r="AD131" i="24"/>
  <c r="S131" i="24"/>
  <c r="AM131" i="24"/>
  <c r="AC131" i="24"/>
  <c r="R131" i="24"/>
  <c r="AK131" i="24"/>
  <c r="W131" i="24"/>
  <c r="AE131" i="24"/>
  <c r="AA131" i="24"/>
  <c r="A173" i="24"/>
  <c r="A185" i="24"/>
  <c r="R146" i="24"/>
  <c r="Q128" i="24"/>
  <c r="B148" i="24" s="1"/>
  <c r="AF128" i="24"/>
  <c r="Q148" i="24" s="1"/>
  <c r="AG131" i="24"/>
  <c r="AR132" i="24"/>
  <c r="AD132" i="24"/>
  <c r="AJ132" i="24"/>
  <c r="V132" i="24"/>
  <c r="AC132" i="24"/>
  <c r="AN124" i="24"/>
  <c r="Y144" i="24" s="1"/>
  <c r="AN131" i="24"/>
  <c r="T226" i="24"/>
  <c r="E246" i="24" s="1"/>
  <c r="A187" i="24"/>
  <c r="A175" i="24"/>
  <c r="X230" i="24"/>
  <c r="I250" i="24" s="1"/>
  <c r="Z230" i="24"/>
  <c r="K250" i="24" s="1"/>
  <c r="AD230" i="24"/>
  <c r="O250" i="24" s="1"/>
  <c r="AQ121" i="24"/>
  <c r="AB141" i="24" s="1"/>
  <c r="AI121" i="24"/>
  <c r="T141" i="24" s="1"/>
  <c r="AA121" i="24"/>
  <c r="L141" i="24" s="1"/>
  <c r="S121" i="24"/>
  <c r="D141" i="24" s="1"/>
  <c r="AP121" i="24"/>
  <c r="AA141" i="24" s="1"/>
  <c r="AH121" i="24"/>
  <c r="S141" i="24" s="1"/>
  <c r="Z121" i="24"/>
  <c r="K141" i="24" s="1"/>
  <c r="R121" i="24"/>
  <c r="C141" i="24" s="1"/>
  <c r="AB121" i="24"/>
  <c r="M141" i="24" s="1"/>
  <c r="AL121" i="24"/>
  <c r="W141" i="24" s="1"/>
  <c r="W123" i="24"/>
  <c r="H143" i="24" s="1"/>
  <c r="AO130" i="24"/>
  <c r="Z150" i="24" s="1"/>
  <c r="AG130" i="24"/>
  <c r="R150" i="24" s="1"/>
  <c r="Y130" i="24"/>
  <c r="J150" i="24" s="1"/>
  <c r="Q130" i="24"/>
  <c r="B150" i="24" s="1"/>
  <c r="AK130" i="24"/>
  <c r="V150" i="24" s="1"/>
  <c r="AC130" i="24"/>
  <c r="N150" i="24" s="1"/>
  <c r="U130" i="24"/>
  <c r="F150" i="24" s="1"/>
  <c r="AR130" i="24"/>
  <c r="AC150" i="24" s="1"/>
  <c r="AH130" i="24"/>
  <c r="S150" i="24" s="1"/>
  <c r="W130" i="24"/>
  <c r="H150" i="24" s="1"/>
  <c r="AQ130" i="24"/>
  <c r="AB150" i="24" s="1"/>
  <c r="AF130" i="24"/>
  <c r="Q150" i="24" s="1"/>
  <c r="V130" i="24"/>
  <c r="G150" i="24" s="1"/>
  <c r="AD130" i="24"/>
  <c r="O150" i="24" s="1"/>
  <c r="A170" i="24"/>
  <c r="A182" i="24"/>
  <c r="AD226" i="24"/>
  <c r="O246" i="24" s="1"/>
  <c r="AH230" i="24"/>
  <c r="S250" i="24" s="1"/>
  <c r="AE232" i="24"/>
  <c r="P252" i="24" s="1"/>
  <c r="AP232" i="24"/>
  <c r="AA252" i="24" s="1"/>
  <c r="T232" i="24"/>
  <c r="E252" i="24" s="1"/>
  <c r="S232" i="24"/>
  <c r="D252" i="24" s="1"/>
  <c r="AF232" i="24"/>
  <c r="Q252" i="24" s="1"/>
  <c r="Z232" i="24"/>
  <c r="K252" i="24" s="1"/>
  <c r="V232" i="24"/>
  <c r="G252" i="24" s="1"/>
  <c r="I247" i="24"/>
  <c r="N247" i="24"/>
  <c r="X123" i="24"/>
  <c r="I143" i="24" s="1"/>
  <c r="AF123" i="24"/>
  <c r="Q143" i="24" s="1"/>
  <c r="AN123" i="24"/>
  <c r="Y143" i="24" s="1"/>
  <c r="W124" i="24"/>
  <c r="H144" i="24" s="1"/>
  <c r="AE124" i="24"/>
  <c r="P144" i="24" s="1"/>
  <c r="AM124" i="24"/>
  <c r="X144" i="24" s="1"/>
  <c r="AM132" i="24"/>
  <c r="AE132" i="24"/>
  <c r="W132" i="24"/>
  <c r="AQ132" i="24"/>
  <c r="AI132" i="24"/>
  <c r="AA132" i="24"/>
  <c r="S132" i="24"/>
  <c r="Z132" i="24"/>
  <c r="AK132" i="24"/>
  <c r="T230" i="24"/>
  <c r="E250" i="24" s="1"/>
  <c r="Q123" i="24"/>
  <c r="B143" i="24" s="1"/>
  <c r="Y123" i="24"/>
  <c r="J143" i="24" s="1"/>
  <c r="AG123" i="24"/>
  <c r="R143" i="24" s="1"/>
  <c r="X124" i="24"/>
  <c r="I144" i="24" s="1"/>
  <c r="AF124" i="24"/>
  <c r="Q144" i="24" s="1"/>
  <c r="Q132" i="24"/>
  <c r="AB132" i="24"/>
  <c r="AL132" i="24"/>
  <c r="AI225" i="24"/>
  <c r="T245" i="24" s="1"/>
  <c r="Y225" i="24"/>
  <c r="J245" i="24" s="1"/>
  <c r="AP225" i="24"/>
  <c r="AA245" i="24" s="1"/>
  <c r="AE225" i="24"/>
  <c r="P245" i="24" s="1"/>
  <c r="U225" i="24"/>
  <c r="F245" i="24" s="1"/>
  <c r="AO225" i="24"/>
  <c r="Z245" i="24" s="1"/>
  <c r="AD225" i="24"/>
  <c r="O245" i="24" s="1"/>
  <c r="S225" i="24"/>
  <c r="D245" i="24" s="1"/>
  <c r="AQ225" i="24"/>
  <c r="AB245" i="24" s="1"/>
  <c r="Z225" i="24"/>
  <c r="K245" i="24" s="1"/>
  <c r="AH225" i="24"/>
  <c r="S245" i="24" s="1"/>
  <c r="Q225" i="24"/>
  <c r="B245" i="24" s="1"/>
  <c r="AG225" i="24"/>
  <c r="R245" i="24" s="1"/>
  <c r="AM226" i="24"/>
  <c r="X246" i="24" s="1"/>
  <c r="AE226" i="24"/>
  <c r="P246" i="24" s="1"/>
  <c r="W226" i="24"/>
  <c r="H246" i="24" s="1"/>
  <c r="AQ226" i="24"/>
  <c r="AB246" i="24" s="1"/>
  <c r="AI226" i="24"/>
  <c r="T246" i="24" s="1"/>
  <c r="AA226" i="24"/>
  <c r="L246" i="24" s="1"/>
  <c r="S226" i="24"/>
  <c r="D246" i="24" s="1"/>
  <c r="AR226" i="24"/>
  <c r="AC246" i="24" s="1"/>
  <c r="AG226" i="24"/>
  <c r="R246" i="24" s="1"/>
  <c r="V226" i="24"/>
  <c r="G246" i="24" s="1"/>
  <c r="AN226" i="24"/>
  <c r="Y246" i="24" s="1"/>
  <c r="AC226" i="24"/>
  <c r="N246" i="24" s="1"/>
  <c r="R226" i="24"/>
  <c r="C246" i="24" s="1"/>
  <c r="AL226" i="24"/>
  <c r="W246" i="24" s="1"/>
  <c r="AB226" i="24"/>
  <c r="M246" i="24" s="1"/>
  <c r="Q226" i="24"/>
  <c r="B246" i="24" s="1"/>
  <c r="AO226" i="24"/>
  <c r="Z246" i="24" s="1"/>
  <c r="X226" i="24"/>
  <c r="I246" i="24" s="1"/>
  <c r="AF226" i="24"/>
  <c r="Q246" i="24" s="1"/>
  <c r="AK226" i="24"/>
  <c r="V246" i="24" s="1"/>
  <c r="AM234" i="24"/>
  <c r="X254" i="24" s="1"/>
  <c r="AE234" i="24"/>
  <c r="P254" i="24" s="1"/>
  <c r="W234" i="24"/>
  <c r="H254" i="24" s="1"/>
  <c r="AQ234" i="24"/>
  <c r="AB254" i="24" s="1"/>
  <c r="AI234" i="24"/>
  <c r="T254" i="24" s="1"/>
  <c r="AA234" i="24"/>
  <c r="L254" i="24" s="1"/>
  <c r="S234" i="24"/>
  <c r="D254" i="24" s="1"/>
  <c r="AH234" i="24"/>
  <c r="S254" i="24" s="1"/>
  <c r="X234" i="24"/>
  <c r="I254" i="24" s="1"/>
  <c r="AR234" i="24"/>
  <c r="AC254" i="24" s="1"/>
  <c r="AG234" i="24"/>
  <c r="R254" i="24" s="1"/>
  <c r="V234" i="24"/>
  <c r="G254" i="24" s="1"/>
  <c r="AP234" i="24"/>
  <c r="AA254" i="24" s="1"/>
  <c r="AF234" i="24"/>
  <c r="Q254" i="24" s="1"/>
  <c r="U234" i="24"/>
  <c r="F254" i="24" s="1"/>
  <c r="AN234" i="24"/>
  <c r="Y254" i="24" s="1"/>
  <c r="AC234" i="24"/>
  <c r="N254" i="24" s="1"/>
  <c r="R234" i="24"/>
  <c r="C254" i="24" s="1"/>
  <c r="AL234" i="24"/>
  <c r="W254" i="24" s="1"/>
  <c r="AB234" i="24"/>
  <c r="M254" i="24" s="1"/>
  <c r="Q234" i="24"/>
  <c r="B254" i="24" s="1"/>
  <c r="AK234" i="24"/>
  <c r="V254" i="24" s="1"/>
  <c r="Y234" i="24"/>
  <c r="J254" i="24" s="1"/>
  <c r="A294" i="24"/>
  <c r="A282" i="24"/>
  <c r="A290" i="24"/>
  <c r="A278" i="24"/>
  <c r="AQ230" i="24"/>
  <c r="AB250" i="24" s="1"/>
  <c r="AI230" i="24"/>
  <c r="T250" i="24" s="1"/>
  <c r="AA230" i="24"/>
  <c r="L250" i="24" s="1"/>
  <c r="S230" i="24"/>
  <c r="D250" i="24" s="1"/>
  <c r="AM230" i="24"/>
  <c r="X250" i="24" s="1"/>
  <c r="AE230" i="24"/>
  <c r="P250" i="24" s="1"/>
  <c r="W230" i="24"/>
  <c r="H250" i="24" s="1"/>
  <c r="AR230" i="24"/>
  <c r="AC250" i="24" s="1"/>
  <c r="AG230" i="24"/>
  <c r="R250" i="24" s="1"/>
  <c r="V230" i="24"/>
  <c r="G250" i="24" s="1"/>
  <c r="AP230" i="24"/>
  <c r="AA250" i="24" s="1"/>
  <c r="AF230" i="24"/>
  <c r="Q250" i="24" s="1"/>
  <c r="U230" i="24"/>
  <c r="F250" i="24" s="1"/>
  <c r="AN230" i="24"/>
  <c r="Y250" i="24" s="1"/>
  <c r="AC230" i="24"/>
  <c r="N250" i="24" s="1"/>
  <c r="R230" i="24"/>
  <c r="C250" i="24" s="1"/>
  <c r="AL230" i="24"/>
  <c r="W250" i="24" s="1"/>
  <c r="AB230" i="24"/>
  <c r="M250" i="24" s="1"/>
  <c r="Q230" i="24"/>
  <c r="B250" i="24" s="1"/>
  <c r="AJ230" i="24"/>
  <c r="U250" i="24" s="1"/>
  <c r="Y230" i="24"/>
  <c r="J250" i="24" s="1"/>
  <c r="AJ234" i="24"/>
  <c r="U254" i="24" s="1"/>
  <c r="T131" i="24"/>
  <c r="AB131" i="24"/>
  <c r="AJ131" i="24"/>
  <c r="AR131" i="24"/>
  <c r="AQ239" i="24"/>
  <c r="AI239" i="24"/>
  <c r="AA239" i="24"/>
  <c r="S239" i="24"/>
  <c r="AM239" i="24"/>
  <c r="AE239" i="24"/>
  <c r="W239" i="24"/>
  <c r="AJ239" i="24"/>
  <c r="Y239" i="24"/>
  <c r="AH239" i="24"/>
  <c r="X239" i="24"/>
  <c r="AR239" i="24"/>
  <c r="AG239" i="24"/>
  <c r="V239" i="24"/>
  <c r="AP239" i="24"/>
  <c r="AF239" i="24"/>
  <c r="U239" i="24"/>
  <c r="AO239" i="24"/>
  <c r="AD239" i="24"/>
  <c r="T239" i="24"/>
  <c r="AN239" i="24"/>
  <c r="AC239" i="24"/>
  <c r="R239" i="24"/>
  <c r="AL239" i="24"/>
  <c r="AB239" i="24"/>
  <c r="Q239" i="24"/>
  <c r="A289" i="24"/>
  <c r="A277" i="24"/>
  <c r="X131" i="24"/>
  <c r="AF131" i="24"/>
  <c r="Y227" i="24"/>
  <c r="J247" i="24" s="1"/>
  <c r="S229" i="24"/>
  <c r="D249" i="24" s="1"/>
  <c r="AD229" i="24"/>
  <c r="O249" i="24" s="1"/>
  <c r="AO229" i="24"/>
  <c r="Z249" i="24" s="1"/>
  <c r="Y231" i="24"/>
  <c r="J251" i="24" s="1"/>
  <c r="W232" i="24"/>
  <c r="H252" i="24" s="1"/>
  <c r="AH232" i="24"/>
  <c r="S252" i="24" s="1"/>
  <c r="AR232" i="24"/>
  <c r="AC252" i="24" s="1"/>
  <c r="S233" i="24"/>
  <c r="D253" i="24" s="1"/>
  <c r="AD233" i="24"/>
  <c r="O253" i="24" s="1"/>
  <c r="AO233" i="24"/>
  <c r="Z253" i="24" s="1"/>
  <c r="Y236" i="24"/>
  <c r="J256" i="24" s="1"/>
  <c r="W237" i="24"/>
  <c r="H257" i="24" s="1"/>
  <c r="AH237" i="24"/>
  <c r="S257" i="24" s="1"/>
  <c r="AR237" i="24"/>
  <c r="AC257" i="24" s="1"/>
  <c r="S238" i="24"/>
  <c r="D258" i="24" s="1"/>
  <c r="AD238" i="24"/>
  <c r="O258" i="24" s="1"/>
  <c r="AO238" i="24"/>
  <c r="Z258" i="24" s="1"/>
  <c r="Y240" i="24"/>
  <c r="W241" i="24"/>
  <c r="H261" i="24" s="1"/>
  <c r="AH241" i="24"/>
  <c r="S261" i="24" s="1"/>
  <c r="AR241" i="24"/>
  <c r="AC261" i="24" s="1"/>
  <c r="A295" i="24"/>
  <c r="A283" i="24"/>
  <c r="AL227" i="24"/>
  <c r="W247" i="24" s="1"/>
  <c r="AD227" i="24"/>
  <c r="O247" i="24" s="1"/>
  <c r="V227" i="24"/>
  <c r="G247" i="24" s="1"/>
  <c r="AP227" i="24"/>
  <c r="AA247" i="24" s="1"/>
  <c r="AH227" i="24"/>
  <c r="S247" i="24" s="1"/>
  <c r="Z227" i="24"/>
  <c r="K247" i="24" s="1"/>
  <c r="R227" i="24"/>
  <c r="C247" i="24" s="1"/>
  <c r="AA227" i="24"/>
  <c r="L247" i="24" s="1"/>
  <c r="AK227" i="24"/>
  <c r="V247" i="24" s="1"/>
  <c r="U229" i="24"/>
  <c r="F249" i="24" s="1"/>
  <c r="AE229" i="24"/>
  <c r="P249" i="24" s="1"/>
  <c r="AP229" i="24"/>
  <c r="AA249" i="24" s="1"/>
  <c r="AP231" i="24"/>
  <c r="AA251" i="24" s="1"/>
  <c r="AH231" i="24"/>
  <c r="S251" i="24" s="1"/>
  <c r="Z231" i="24"/>
  <c r="K251" i="24" s="1"/>
  <c r="R231" i="24"/>
  <c r="C251" i="24" s="1"/>
  <c r="AL231" i="24"/>
  <c r="W251" i="24" s="1"/>
  <c r="AD231" i="24"/>
  <c r="O251" i="24" s="1"/>
  <c r="V231" i="24"/>
  <c r="G251" i="24" s="1"/>
  <c r="AA231" i="24"/>
  <c r="L251" i="24" s="1"/>
  <c r="AK231" i="24"/>
  <c r="V251" i="24" s="1"/>
  <c r="X232" i="24"/>
  <c r="I252" i="24" s="1"/>
  <c r="U233" i="24"/>
  <c r="F253" i="24" s="1"/>
  <c r="AE233" i="24"/>
  <c r="P253" i="24" s="1"/>
  <c r="AP233" i="24"/>
  <c r="AA253" i="24" s="1"/>
  <c r="AL236" i="24"/>
  <c r="W256" i="24" s="1"/>
  <c r="AD236" i="24"/>
  <c r="O256" i="24" s="1"/>
  <c r="V236" i="24"/>
  <c r="G256" i="24" s="1"/>
  <c r="AP236" i="24"/>
  <c r="AA256" i="24" s="1"/>
  <c r="AH236" i="24"/>
  <c r="S256" i="24" s="1"/>
  <c r="Z236" i="24"/>
  <c r="K256" i="24" s="1"/>
  <c r="R236" i="24"/>
  <c r="C256" i="24" s="1"/>
  <c r="AA236" i="24"/>
  <c r="L256" i="24" s="1"/>
  <c r="AK236" i="24"/>
  <c r="V256" i="24" s="1"/>
  <c r="X237" i="24"/>
  <c r="I257" i="24" s="1"/>
  <c r="U238" i="24"/>
  <c r="F258" i="24" s="1"/>
  <c r="AE238" i="24"/>
  <c r="P258" i="24" s="1"/>
  <c r="AP238" i="24"/>
  <c r="AA258" i="24" s="1"/>
  <c r="AP240" i="24"/>
  <c r="AH240" i="24"/>
  <c r="Z240" i="24"/>
  <c r="R240" i="24"/>
  <c r="AL240" i="24"/>
  <c r="AD240" i="24"/>
  <c r="V240" i="24"/>
  <c r="AA240" i="24"/>
  <c r="AK240" i="24"/>
  <c r="X241" i="24"/>
  <c r="I261" i="24" s="1"/>
  <c r="Z237" i="24"/>
  <c r="K257" i="24" s="1"/>
  <c r="AJ237" i="24"/>
  <c r="U257" i="24" s="1"/>
  <c r="Z241" i="24"/>
  <c r="K261" i="24" s="1"/>
  <c r="AJ241" i="24"/>
  <c r="U261" i="24" s="1"/>
  <c r="W229" i="24"/>
  <c r="H249" i="24" s="1"/>
  <c r="AH229" i="24"/>
  <c r="S249" i="24" s="1"/>
  <c r="AO232" i="24"/>
  <c r="Z252" i="24" s="1"/>
  <c r="AG232" i="24"/>
  <c r="R252" i="24" s="1"/>
  <c r="Y232" i="24"/>
  <c r="J252" i="24" s="1"/>
  <c r="Q232" i="24"/>
  <c r="B252" i="24" s="1"/>
  <c r="AK232" i="24"/>
  <c r="V252" i="24" s="1"/>
  <c r="AC232" i="24"/>
  <c r="N252" i="24" s="1"/>
  <c r="U232" i="24"/>
  <c r="F252" i="24" s="1"/>
  <c r="AA232" i="24"/>
  <c r="L252" i="24" s="1"/>
  <c r="AL232" i="24"/>
  <c r="W252" i="24" s="1"/>
  <c r="W233" i="24"/>
  <c r="H253" i="24" s="1"/>
  <c r="AH233" i="24"/>
  <c r="S253" i="24" s="1"/>
  <c r="AK237" i="24"/>
  <c r="V257" i="24" s="1"/>
  <c r="AC237" i="24"/>
  <c r="N257" i="24" s="1"/>
  <c r="U237" i="24"/>
  <c r="F257" i="24" s="1"/>
  <c r="AO237" i="24"/>
  <c r="Z257" i="24" s="1"/>
  <c r="AG237" i="24"/>
  <c r="R257" i="24" s="1"/>
  <c r="Y237" i="24"/>
  <c r="J257" i="24" s="1"/>
  <c r="Q237" i="24"/>
  <c r="B257" i="24" s="1"/>
  <c r="AA237" i="24"/>
  <c r="L257" i="24" s="1"/>
  <c r="AL237" i="24"/>
  <c r="W257" i="24" s="1"/>
  <c r="W238" i="24"/>
  <c r="H258" i="24" s="1"/>
  <c r="AH238" i="24"/>
  <c r="S258" i="24" s="1"/>
  <c r="AC240" i="24"/>
  <c r="AN240" i="24"/>
  <c r="AO241" i="24"/>
  <c r="Z261" i="24" s="1"/>
  <c r="AG241" i="24"/>
  <c r="R261" i="24" s="1"/>
  <c r="Y241" i="24"/>
  <c r="J261" i="24" s="1"/>
  <c r="Q241" i="24"/>
  <c r="B261" i="24" s="1"/>
  <c r="AK241" i="24"/>
  <c r="V261" i="24" s="1"/>
  <c r="AC241" i="24"/>
  <c r="N261" i="24" s="1"/>
  <c r="U241" i="24"/>
  <c r="F261" i="24" s="1"/>
  <c r="AA241" i="24"/>
  <c r="L261" i="24" s="1"/>
  <c r="AL241" i="24"/>
  <c r="W261" i="24" s="1"/>
  <c r="T227" i="24"/>
  <c r="E247" i="24" s="1"/>
  <c r="AE227" i="24"/>
  <c r="P247" i="24" s="1"/>
  <c r="AO227" i="24"/>
  <c r="Z247" i="24" s="1"/>
  <c r="Y229" i="24"/>
  <c r="J249" i="24" s="1"/>
  <c r="AI229" i="24"/>
  <c r="T249" i="24" s="1"/>
  <c r="T231" i="24"/>
  <c r="E251" i="24" s="1"/>
  <c r="AE231" i="24"/>
  <c r="P251" i="24" s="1"/>
  <c r="AO231" i="24"/>
  <c r="Z251" i="24" s="1"/>
  <c r="R232" i="24"/>
  <c r="C252" i="24" s="1"/>
  <c r="AB232" i="24"/>
  <c r="M252" i="24" s="1"/>
  <c r="AM232" i="24"/>
  <c r="X252" i="24" s="1"/>
  <c r="Y233" i="24"/>
  <c r="J253" i="24" s="1"/>
  <c r="T236" i="24"/>
  <c r="E256" i="24" s="1"/>
  <c r="AE236" i="24"/>
  <c r="P256" i="24" s="1"/>
  <c r="AO236" i="24"/>
  <c r="Z256" i="24" s="1"/>
  <c r="R237" i="24"/>
  <c r="C257" i="24" s="1"/>
  <c r="AB237" i="24"/>
  <c r="M257" i="24" s="1"/>
  <c r="AM237" i="24"/>
  <c r="X257" i="24" s="1"/>
  <c r="Y238" i="24"/>
  <c r="J258" i="24" s="1"/>
  <c r="T240" i="24"/>
  <c r="AE240" i="24"/>
  <c r="AO240" i="24"/>
  <c r="R241" i="24"/>
  <c r="C261" i="24" s="1"/>
  <c r="AB241" i="24"/>
  <c r="M261" i="24" s="1"/>
  <c r="AM241" i="24"/>
  <c r="X261" i="24" s="1"/>
  <c r="A281" i="24"/>
  <c r="A293" i="24"/>
  <c r="A291" i="24"/>
  <c r="S237" i="24"/>
  <c r="D257" i="24" s="1"/>
  <c r="AD237" i="24"/>
  <c r="O257" i="24" s="1"/>
  <c r="S241" i="24"/>
  <c r="D261" i="24" s="1"/>
  <c r="AD241" i="24"/>
  <c r="O261" i="24" s="1"/>
  <c r="AN241" i="24"/>
  <c r="Y261" i="24" s="1"/>
  <c r="A280" i="24"/>
  <c r="A292" i="24"/>
  <c r="Z250" i="24"/>
  <c r="AE241" i="24"/>
  <c r="P261" i="24" s="1"/>
  <c r="A276" i="24"/>
  <c r="A288" i="24"/>
  <c r="AR334" i="24"/>
  <c r="AC354" i="24" s="1"/>
  <c r="AJ334" i="24"/>
  <c r="U354" i="24" s="1"/>
  <c r="AB334" i="24"/>
  <c r="M354" i="24" s="1"/>
  <c r="T334" i="24"/>
  <c r="E354" i="24" s="1"/>
  <c r="AM334" i="24"/>
  <c r="X354" i="24" s="1"/>
  <c r="AE334" i="24"/>
  <c r="P354" i="24" s="1"/>
  <c r="W334" i="24"/>
  <c r="H354" i="24" s="1"/>
  <c r="AO334" i="24"/>
  <c r="Z354" i="24" s="1"/>
  <c r="Y334" i="24"/>
  <c r="J354" i="24" s="1"/>
  <c r="AK334" i="24"/>
  <c r="V354" i="24" s="1"/>
  <c r="U334" i="24"/>
  <c r="F354" i="24" s="1"/>
  <c r="AI334" i="24"/>
  <c r="T354" i="24" s="1"/>
  <c r="S334" i="24"/>
  <c r="D354" i="24" s="1"/>
  <c r="AC334" i="24"/>
  <c r="N354" i="24" s="1"/>
  <c r="AA334" i="24"/>
  <c r="L354" i="24" s="1"/>
  <c r="AQ334" i="24"/>
  <c r="AB354" i="24" s="1"/>
  <c r="V334" i="24"/>
  <c r="G354" i="24" s="1"/>
  <c r="Q334" i="24"/>
  <c r="B354" i="24" s="1"/>
  <c r="AG334" i="24"/>
  <c r="R354" i="24" s="1"/>
  <c r="AD334" i="24"/>
  <c r="O354" i="24" s="1"/>
  <c r="T225" i="24"/>
  <c r="E245" i="24" s="1"/>
  <c r="AB225" i="24"/>
  <c r="M245" i="24" s="1"/>
  <c r="AJ225" i="24"/>
  <c r="U245" i="24" s="1"/>
  <c r="AR225" i="24"/>
  <c r="AC245" i="24" s="1"/>
  <c r="X229" i="24"/>
  <c r="I249" i="24" s="1"/>
  <c r="AF229" i="24"/>
  <c r="Q249" i="24" s="1"/>
  <c r="AN229" i="24"/>
  <c r="Y249" i="24" s="1"/>
  <c r="T233" i="24"/>
  <c r="E253" i="24" s="1"/>
  <c r="AB233" i="24"/>
  <c r="M253" i="24" s="1"/>
  <c r="AJ233" i="24"/>
  <c r="U253" i="24" s="1"/>
  <c r="AR233" i="24"/>
  <c r="AC253" i="24" s="1"/>
  <c r="X238" i="24"/>
  <c r="I258" i="24" s="1"/>
  <c r="AF238" i="24"/>
  <c r="Q258" i="24" s="1"/>
  <c r="AN238" i="24"/>
  <c r="Y258" i="24" s="1"/>
  <c r="AN346" i="24"/>
  <c r="Y366" i="24" s="1"/>
  <c r="AF346" i="24"/>
  <c r="Q366" i="24" s="1"/>
  <c r="AE346" i="24"/>
  <c r="P366" i="24" s="1"/>
  <c r="S346" i="24"/>
  <c r="D366" i="24" s="1"/>
  <c r="R346" i="24"/>
  <c r="C366" i="24" s="1"/>
  <c r="AQ346" i="24"/>
  <c r="AB366" i="24" s="1"/>
  <c r="AL345" i="24"/>
  <c r="W365" i="24" s="1"/>
  <c r="AD345" i="24"/>
  <c r="O365" i="24" s="1"/>
  <c r="V345" i="24"/>
  <c r="G365" i="24" s="1"/>
  <c r="AK345" i="24"/>
  <c r="V365" i="24" s="1"/>
  <c r="AC345" i="24"/>
  <c r="N365" i="24" s="1"/>
  <c r="U345" i="24"/>
  <c r="F365" i="24" s="1"/>
  <c r="AP345" i="24"/>
  <c r="AA365" i="24" s="1"/>
  <c r="AH345" i="24"/>
  <c r="S365" i="24" s="1"/>
  <c r="Z345" i="24"/>
  <c r="K365" i="24" s="1"/>
  <c r="R345" i="24"/>
  <c r="C365" i="24" s="1"/>
  <c r="AN345" i="24"/>
  <c r="Y365" i="24" s="1"/>
  <c r="AA345" i="24"/>
  <c r="L365" i="24" s="1"/>
  <c r="AJ345" i="24"/>
  <c r="U365" i="24" s="1"/>
  <c r="X345" i="24"/>
  <c r="I365" i="24" s="1"/>
  <c r="AG345" i="24"/>
  <c r="R365" i="24" s="1"/>
  <c r="T345" i="24"/>
  <c r="E365" i="24" s="1"/>
  <c r="AR345" i="24"/>
  <c r="AC365" i="24" s="1"/>
  <c r="AF345" i="24"/>
  <c r="Q365" i="24" s="1"/>
  <c r="S345" i="24"/>
  <c r="D365" i="24" s="1"/>
  <c r="AI345" i="24"/>
  <c r="T365" i="24" s="1"/>
  <c r="AB345" i="24"/>
  <c r="M365" i="24" s="1"/>
  <c r="Y345" i="24"/>
  <c r="J365" i="24" s="1"/>
  <c r="AO345" i="24"/>
  <c r="Z365" i="24" s="1"/>
  <c r="AM345" i="24"/>
  <c r="X365" i="24" s="1"/>
  <c r="Q345" i="24"/>
  <c r="B365" i="24" s="1"/>
  <c r="A390" i="24"/>
  <c r="A402" i="24"/>
  <c r="AJ348" i="24"/>
  <c r="V348" i="24"/>
  <c r="AN348" i="24"/>
  <c r="AB348" i="24"/>
  <c r="Y348" i="24"/>
  <c r="U348" i="24"/>
  <c r="AR348" i="24"/>
  <c r="Q348" i="24"/>
  <c r="AK348" i="24"/>
  <c r="AG348" i="24"/>
  <c r="AE345" i="24"/>
  <c r="P365" i="24" s="1"/>
  <c r="X225" i="24"/>
  <c r="I245" i="24" s="1"/>
  <c r="AF225" i="24"/>
  <c r="Q245" i="24" s="1"/>
  <c r="AB229" i="24"/>
  <c r="M249" i="24" s="1"/>
  <c r="AJ229" i="24"/>
  <c r="U249" i="24" s="1"/>
  <c r="X233" i="24"/>
  <c r="I253" i="24" s="1"/>
  <c r="AF233" i="24"/>
  <c r="Q253" i="24" s="1"/>
  <c r="T238" i="24"/>
  <c r="E258" i="24" s="1"/>
  <c r="AB238" i="24"/>
  <c r="M258" i="24" s="1"/>
  <c r="AJ238" i="24"/>
  <c r="U258" i="24" s="1"/>
  <c r="AI337" i="24"/>
  <c r="T357" i="24" s="1"/>
  <c r="AG339" i="24"/>
  <c r="R359" i="24" s="1"/>
  <c r="AQ345" i="24"/>
  <c r="AB365" i="24" s="1"/>
  <c r="AL346" i="24"/>
  <c r="W366" i="24" s="1"/>
  <c r="AP349" i="24"/>
  <c r="AH349" i="24"/>
  <c r="Z349" i="24"/>
  <c r="R349" i="24"/>
  <c r="AO349" i="24"/>
  <c r="AG349" i="24"/>
  <c r="Y349" i="24"/>
  <c r="Q349" i="24"/>
  <c r="AL349" i="24"/>
  <c r="AD349" i="24"/>
  <c r="V349" i="24"/>
  <c r="AM349" i="24"/>
  <c r="AA349" i="24"/>
  <c r="AJ349" i="24"/>
  <c r="W349" i="24"/>
  <c r="AF349" i="24"/>
  <c r="T349" i="24"/>
  <c r="AR349" i="24"/>
  <c r="AE349" i="24"/>
  <c r="S349" i="24"/>
  <c r="AK349" i="24"/>
  <c r="AC349" i="24"/>
  <c r="AB349" i="24"/>
  <c r="X349" i="24"/>
  <c r="U349" i="24"/>
  <c r="AD348" i="24"/>
  <c r="AD337" i="24"/>
  <c r="O357" i="24" s="1"/>
  <c r="AA337" i="24"/>
  <c r="L357" i="24" s="1"/>
  <c r="AQ337" i="24"/>
  <c r="AB357" i="24" s="1"/>
  <c r="S337" i="24"/>
  <c r="D357" i="24" s="1"/>
  <c r="AL348" i="24"/>
  <c r="A386" i="24"/>
  <c r="A398" i="24"/>
  <c r="A401" i="24"/>
  <c r="A389" i="24"/>
  <c r="AP334" i="24"/>
  <c r="AA354" i="24" s="1"/>
  <c r="AM339" i="24"/>
  <c r="X359" i="24" s="1"/>
  <c r="AE339" i="24"/>
  <c r="P359" i="24" s="1"/>
  <c r="W339" i="24"/>
  <c r="H359" i="24" s="1"/>
  <c r="AK339" i="24"/>
  <c r="V359" i="24" s="1"/>
  <c r="AC339" i="24"/>
  <c r="N359" i="24" s="1"/>
  <c r="U339" i="24"/>
  <c r="F359" i="24" s="1"/>
  <c r="AQ339" i="24"/>
  <c r="AB359" i="24" s="1"/>
  <c r="AI339" i="24"/>
  <c r="T359" i="24" s="1"/>
  <c r="AA339" i="24"/>
  <c r="L359" i="24" s="1"/>
  <c r="S339" i="24"/>
  <c r="D359" i="24" s="1"/>
  <c r="AP339" i="24"/>
  <c r="AA359" i="24" s="1"/>
  <c r="AH339" i="24"/>
  <c r="S359" i="24" s="1"/>
  <c r="Z339" i="24"/>
  <c r="K359" i="24" s="1"/>
  <c r="R339" i="24"/>
  <c r="C359" i="24" s="1"/>
  <c r="AO339" i="24"/>
  <c r="Z359" i="24" s="1"/>
  <c r="Y339" i="24"/>
  <c r="J359" i="24" s="1"/>
  <c r="AL339" i="24"/>
  <c r="W359" i="24" s="1"/>
  <c r="V339" i="24"/>
  <c r="G359" i="24" s="1"/>
  <c r="AJ339" i="24"/>
  <c r="U359" i="24" s="1"/>
  <c r="T339" i="24"/>
  <c r="E359" i="24" s="1"/>
  <c r="AR339" i="24"/>
  <c r="AC359" i="24" s="1"/>
  <c r="AE338" i="24"/>
  <c r="P358" i="24" s="1"/>
  <c r="AP338" i="24"/>
  <c r="AA358" i="24" s="1"/>
  <c r="Z338" i="24"/>
  <c r="K358" i="24" s="1"/>
  <c r="AO338" i="24"/>
  <c r="Z358" i="24" s="1"/>
  <c r="Y338" i="24"/>
  <c r="J358" i="24" s="1"/>
  <c r="AH338" i="24"/>
  <c r="S358" i="24" s="1"/>
  <c r="Q339" i="24"/>
  <c r="B359" i="24" s="1"/>
  <c r="AO337" i="24"/>
  <c r="Z357" i="24" s="1"/>
  <c r="AG337" i="24"/>
  <c r="R357" i="24" s="1"/>
  <c r="Y337" i="24"/>
  <c r="J357" i="24" s="1"/>
  <c r="Q337" i="24"/>
  <c r="B357" i="24" s="1"/>
  <c r="AM337" i="24"/>
  <c r="X357" i="24" s="1"/>
  <c r="AE337" i="24"/>
  <c r="P357" i="24" s="1"/>
  <c r="W337" i="24"/>
  <c r="H357" i="24" s="1"/>
  <c r="AK337" i="24"/>
  <c r="V357" i="24" s="1"/>
  <c r="AC337" i="24"/>
  <c r="N357" i="24" s="1"/>
  <c r="U337" i="24"/>
  <c r="F357" i="24" s="1"/>
  <c r="AR337" i="24"/>
  <c r="AC357" i="24" s="1"/>
  <c r="AJ337" i="24"/>
  <c r="U357" i="24" s="1"/>
  <c r="AB337" i="24"/>
  <c r="M357" i="24" s="1"/>
  <c r="T337" i="24"/>
  <c r="E357" i="24" s="1"/>
  <c r="AF337" i="24"/>
  <c r="Q357" i="24" s="1"/>
  <c r="AM343" i="24"/>
  <c r="X363" i="24" s="1"/>
  <c r="AE343" i="24"/>
  <c r="P363" i="24" s="1"/>
  <c r="W343" i="24"/>
  <c r="H363" i="24" s="1"/>
  <c r="AL343" i="24"/>
  <c r="W363" i="24" s="1"/>
  <c r="AD343" i="24"/>
  <c r="O363" i="24" s="1"/>
  <c r="V343" i="24"/>
  <c r="G363" i="24" s="1"/>
  <c r="AQ343" i="24"/>
  <c r="AB363" i="24" s="1"/>
  <c r="AI343" i="24"/>
  <c r="T363" i="24" s="1"/>
  <c r="AA343" i="24"/>
  <c r="L363" i="24" s="1"/>
  <c r="S343" i="24"/>
  <c r="D363" i="24" s="1"/>
  <c r="AK343" i="24"/>
  <c r="V363" i="24" s="1"/>
  <c r="Y343" i="24"/>
  <c r="J363" i="24" s="1"/>
  <c r="AH343" i="24"/>
  <c r="S363" i="24" s="1"/>
  <c r="U343" i="24"/>
  <c r="F363" i="24" s="1"/>
  <c r="AR343" i="24"/>
  <c r="AC363" i="24" s="1"/>
  <c r="AF343" i="24"/>
  <c r="Q363" i="24" s="1"/>
  <c r="R343" i="24"/>
  <c r="C363" i="24" s="1"/>
  <c r="AP343" i="24"/>
  <c r="AA363" i="24" s="1"/>
  <c r="AC343" i="24"/>
  <c r="N363" i="24" s="1"/>
  <c r="Q343" i="24"/>
  <c r="B363" i="24" s="1"/>
  <c r="AO343" i="24"/>
  <c r="Z363" i="24" s="1"/>
  <c r="AE347" i="24"/>
  <c r="P367" i="24" s="1"/>
  <c r="R347" i="24"/>
  <c r="C367" i="24" s="1"/>
  <c r="AK347" i="24"/>
  <c r="V367" i="24" s="1"/>
  <c r="W347" i="24"/>
  <c r="H367" i="24" s="1"/>
  <c r="AH347" i="24"/>
  <c r="S367" i="24" s="1"/>
  <c r="AL350" i="24"/>
  <c r="W370" i="24" s="1"/>
  <c r="AQ335" i="24"/>
  <c r="AB355" i="24" s="1"/>
  <c r="AI335" i="24"/>
  <c r="T355" i="24" s="1"/>
  <c r="AA335" i="24"/>
  <c r="L355" i="24" s="1"/>
  <c r="S335" i="24"/>
  <c r="D355" i="24" s="1"/>
  <c r="AO335" i="24"/>
  <c r="Z355" i="24" s="1"/>
  <c r="AG335" i="24"/>
  <c r="R355" i="24" s="1"/>
  <c r="Y335" i="24"/>
  <c r="J355" i="24" s="1"/>
  <c r="Q335" i="24"/>
  <c r="B355" i="24" s="1"/>
  <c r="AM335" i="24"/>
  <c r="X355" i="24" s="1"/>
  <c r="AE335" i="24"/>
  <c r="P355" i="24" s="1"/>
  <c r="W335" i="24"/>
  <c r="H355" i="24" s="1"/>
  <c r="AL335" i="24"/>
  <c r="W355" i="24" s="1"/>
  <c r="AD335" i="24"/>
  <c r="O355" i="24" s="1"/>
  <c r="V335" i="24"/>
  <c r="G355" i="24" s="1"/>
  <c r="AF335" i="24"/>
  <c r="Q355" i="24" s="1"/>
  <c r="R337" i="24"/>
  <c r="C357" i="24" s="1"/>
  <c r="AH337" i="24"/>
  <c r="S357" i="24" s="1"/>
  <c r="AP340" i="24"/>
  <c r="AA360" i="24" s="1"/>
  <c r="AH340" i="24"/>
  <c r="S360" i="24" s="1"/>
  <c r="Z340" i="24"/>
  <c r="K360" i="24" s="1"/>
  <c r="AN340" i="24"/>
  <c r="Y360" i="24" s="1"/>
  <c r="AE340" i="24"/>
  <c r="P360" i="24" s="1"/>
  <c r="V340" i="24"/>
  <c r="G360" i="24" s="1"/>
  <c r="AL340" i="24"/>
  <c r="W360" i="24" s="1"/>
  <c r="AC340" i="24"/>
  <c r="N360" i="24" s="1"/>
  <c r="T340" i="24"/>
  <c r="E360" i="24" s="1"/>
  <c r="AJ340" i="24"/>
  <c r="U360" i="24" s="1"/>
  <c r="AA340" i="24"/>
  <c r="L360" i="24" s="1"/>
  <c r="R340" i="24"/>
  <c r="C360" i="24" s="1"/>
  <c r="AR340" i="24"/>
  <c r="AC360" i="24" s="1"/>
  <c r="AI340" i="24"/>
  <c r="T360" i="24" s="1"/>
  <c r="Y340" i="24"/>
  <c r="J360" i="24" s="1"/>
  <c r="Q340" i="24"/>
  <c r="B360" i="24" s="1"/>
  <c r="AG340" i="24"/>
  <c r="R360" i="24" s="1"/>
  <c r="AH341" i="24"/>
  <c r="S361" i="24" s="1"/>
  <c r="AK342" i="24"/>
  <c r="V362" i="24" s="1"/>
  <c r="T343" i="24"/>
  <c r="E363" i="24" s="1"/>
  <c r="AM347" i="24"/>
  <c r="X367" i="24" s="1"/>
  <c r="AP350" i="24"/>
  <c r="AA370" i="24" s="1"/>
  <c r="AB350" i="24"/>
  <c r="M370" i="24" s="1"/>
  <c r="AI350" i="24"/>
  <c r="T370" i="24" s="1"/>
  <c r="V350" i="24"/>
  <c r="G370" i="24" s="1"/>
  <c r="AH350" i="24"/>
  <c r="S370" i="24" s="1"/>
  <c r="T350" i="24"/>
  <c r="E370" i="24" s="1"/>
  <c r="AJ350" i="24"/>
  <c r="U370" i="24" s="1"/>
  <c r="T335" i="24"/>
  <c r="E355" i="24" s="1"/>
  <c r="AJ335" i="24"/>
  <c r="U355" i="24" s="1"/>
  <c r="AP336" i="24"/>
  <c r="AA356" i="24" s="1"/>
  <c r="AH336" i="24"/>
  <c r="S356" i="24" s="1"/>
  <c r="Z336" i="24"/>
  <c r="K356" i="24" s="1"/>
  <c r="R336" i="24"/>
  <c r="C356" i="24" s="1"/>
  <c r="AK336" i="24"/>
  <c r="V356" i="24" s="1"/>
  <c r="AC336" i="24"/>
  <c r="N356" i="24" s="1"/>
  <c r="U336" i="24"/>
  <c r="F356" i="24" s="1"/>
  <c r="AB336" i="24"/>
  <c r="M356" i="24" s="1"/>
  <c r="AR336" i="24"/>
  <c r="AC356" i="24" s="1"/>
  <c r="V337" i="24"/>
  <c r="G357" i="24" s="1"/>
  <c r="AL337" i="24"/>
  <c r="W357" i="24" s="1"/>
  <c r="AN338" i="24"/>
  <c r="Y358" i="24" s="1"/>
  <c r="U340" i="24"/>
  <c r="F360" i="24" s="1"/>
  <c r="AM340" i="24"/>
  <c r="X360" i="24" s="1"/>
  <c r="R341" i="24"/>
  <c r="C361" i="24" s="1"/>
  <c r="S342" i="24"/>
  <c r="D362" i="24" s="1"/>
  <c r="Z343" i="24"/>
  <c r="K363" i="24" s="1"/>
  <c r="AM346" i="24"/>
  <c r="X366" i="24" s="1"/>
  <c r="U347" i="24"/>
  <c r="F367" i="24" s="1"/>
  <c r="R350" i="24"/>
  <c r="C370" i="24" s="1"/>
  <c r="AQ350" i="24"/>
  <c r="AB370" i="24" s="1"/>
  <c r="S338" i="24"/>
  <c r="D358" i="24" s="1"/>
  <c r="AA338" i="24"/>
  <c r="L358" i="24" s="1"/>
  <c r="AI338" i="24"/>
  <c r="T358" i="24" s="1"/>
  <c r="AQ338" i="24"/>
  <c r="AB358" i="24" s="1"/>
  <c r="T341" i="24"/>
  <c r="E361" i="24" s="1"/>
  <c r="AE341" i="24"/>
  <c r="P361" i="24" s="1"/>
  <c r="AP341" i="24"/>
  <c r="AA361" i="24" s="1"/>
  <c r="Q342" i="24"/>
  <c r="B362" i="24" s="1"/>
  <c r="AA342" i="24"/>
  <c r="L362" i="24" s="1"/>
  <c r="AO342" i="24"/>
  <c r="Z362" i="24" s="1"/>
  <c r="V346" i="24"/>
  <c r="G366" i="24" s="1"/>
  <c r="AH346" i="24"/>
  <c r="S366" i="24" s="1"/>
  <c r="X334" i="24"/>
  <c r="I354" i="24" s="1"/>
  <c r="AF334" i="24"/>
  <c r="Q354" i="24" s="1"/>
  <c r="AN334" i="24"/>
  <c r="Y354" i="24" s="1"/>
  <c r="V336" i="24"/>
  <c r="G356" i="24" s="1"/>
  <c r="AD336" i="24"/>
  <c r="O356" i="24" s="1"/>
  <c r="T338" i="24"/>
  <c r="E358" i="24" s="1"/>
  <c r="AB338" i="24"/>
  <c r="M358" i="24" s="1"/>
  <c r="AJ338" i="24"/>
  <c r="U358" i="24" s="1"/>
  <c r="AR338" i="24"/>
  <c r="AC358" i="24" s="1"/>
  <c r="V341" i="24"/>
  <c r="G361" i="24" s="1"/>
  <c r="AF341" i="24"/>
  <c r="Q361" i="24" s="1"/>
  <c r="AQ341" i="24"/>
  <c r="AB361" i="24" s="1"/>
  <c r="R342" i="24"/>
  <c r="C362" i="24" s="1"/>
  <c r="AC342" i="24"/>
  <c r="N362" i="24" s="1"/>
  <c r="AP342" i="24"/>
  <c r="AA362" i="24" s="1"/>
  <c r="W346" i="24"/>
  <c r="H366" i="24" s="1"/>
  <c r="AI346" i="24"/>
  <c r="T366" i="24" s="1"/>
  <c r="S347" i="24"/>
  <c r="D367" i="24" s="1"/>
  <c r="Y347" i="24"/>
  <c r="J367" i="24" s="1"/>
  <c r="AL347" i="24"/>
  <c r="W367" i="24" s="1"/>
  <c r="AQ348" i="24"/>
  <c r="AI348" i="24"/>
  <c r="AA348" i="24"/>
  <c r="S348" i="24"/>
  <c r="AP348" i="24"/>
  <c r="AH348" i="24"/>
  <c r="Z348" i="24"/>
  <c r="R348" i="24"/>
  <c r="AM348" i="24"/>
  <c r="AE348" i="24"/>
  <c r="W348" i="24"/>
  <c r="AC348" i="24"/>
  <c r="AO348" i="24"/>
  <c r="R334" i="24"/>
  <c r="C354" i="24" s="1"/>
  <c r="Z334" i="24"/>
  <c r="K354" i="24" s="1"/>
  <c r="AH334" i="24"/>
  <c r="S354" i="24" s="1"/>
  <c r="X336" i="24"/>
  <c r="I356" i="24" s="1"/>
  <c r="AF336" i="24"/>
  <c r="Q356" i="24" s="1"/>
  <c r="V338" i="24"/>
  <c r="G358" i="24" s="1"/>
  <c r="AD338" i="24"/>
  <c r="O358" i="24" s="1"/>
  <c r="AL338" i="24"/>
  <c r="W358" i="24" s="1"/>
  <c r="X341" i="24"/>
  <c r="I361" i="24" s="1"/>
  <c r="U342" i="24"/>
  <c r="F362" i="24" s="1"/>
  <c r="Z346" i="24"/>
  <c r="K366" i="24" s="1"/>
  <c r="AR347" i="24"/>
  <c r="AC367" i="24" s="1"/>
  <c r="AC347" i="24"/>
  <c r="N367" i="24" s="1"/>
  <c r="AO347" i="24"/>
  <c r="Z367" i="24" s="1"/>
  <c r="T348" i="24"/>
  <c r="AF348" i="24"/>
  <c r="Z350" i="24"/>
  <c r="K370" i="24" s="1"/>
  <c r="X338" i="24"/>
  <c r="I358" i="24" s="1"/>
  <c r="AF338" i="24"/>
  <c r="Q358" i="24" s="1"/>
  <c r="AO341" i="24"/>
  <c r="Z361" i="24" s="1"/>
  <c r="AG341" i="24"/>
  <c r="R361" i="24" s="1"/>
  <c r="Y341" i="24"/>
  <c r="J361" i="24" s="1"/>
  <c r="Q341" i="24"/>
  <c r="B361" i="24" s="1"/>
  <c r="AK341" i="24"/>
  <c r="V361" i="24" s="1"/>
  <c r="AC341" i="24"/>
  <c r="N361" i="24" s="1"/>
  <c r="U341" i="24"/>
  <c r="F361" i="24" s="1"/>
  <c r="AA341" i="24"/>
  <c r="L361" i="24" s="1"/>
  <c r="AL341" i="24"/>
  <c r="W361" i="24" s="1"/>
  <c r="AM342" i="24"/>
  <c r="X362" i="24" s="1"/>
  <c r="AE342" i="24"/>
  <c r="P362" i="24" s="1"/>
  <c r="AB342" i="24"/>
  <c r="M362" i="24" s="1"/>
  <c r="T342" i="24"/>
  <c r="E362" i="24" s="1"/>
  <c r="W342" i="24"/>
  <c r="H362" i="24" s="1"/>
  <c r="AI342" i="24"/>
  <c r="T362" i="24" s="1"/>
  <c r="AK346" i="24"/>
  <c r="V366" i="24" s="1"/>
  <c r="AC346" i="24"/>
  <c r="N366" i="24" s="1"/>
  <c r="U346" i="24"/>
  <c r="F366" i="24" s="1"/>
  <c r="AR346" i="24"/>
  <c r="AC366" i="24" s="1"/>
  <c r="AJ346" i="24"/>
  <c r="U366" i="24" s="1"/>
  <c r="AB346" i="24"/>
  <c r="M366" i="24" s="1"/>
  <c r="T346" i="24"/>
  <c r="E366" i="24" s="1"/>
  <c r="AO346" i="24"/>
  <c r="Z366" i="24" s="1"/>
  <c r="AG346" i="24"/>
  <c r="R366" i="24" s="1"/>
  <c r="Y346" i="24"/>
  <c r="J366" i="24" s="1"/>
  <c r="Q346" i="24"/>
  <c r="B366" i="24" s="1"/>
  <c r="AD346" i="24"/>
  <c r="O366" i="24" s="1"/>
  <c r="AP346" i="24"/>
  <c r="AA366" i="24" s="1"/>
  <c r="AO350" i="24"/>
  <c r="Z370" i="24" s="1"/>
  <c r="A399" i="24"/>
  <c r="A387" i="24"/>
  <c r="AJ342" i="24"/>
  <c r="U362" i="24" s="1"/>
  <c r="AR342" i="24"/>
  <c r="AC362" i="24" s="1"/>
  <c r="X347" i="24"/>
  <c r="I367" i="24" s="1"/>
  <c r="AF347" i="24"/>
  <c r="Q367" i="24" s="1"/>
  <c r="AN347" i="24"/>
  <c r="Y367" i="24" s="1"/>
  <c r="U350" i="24"/>
  <c r="F370" i="24" s="1"/>
  <c r="AC350" i="24"/>
  <c r="N370" i="24" s="1"/>
  <c r="AK350" i="24"/>
  <c r="V370" i="24" s="1"/>
  <c r="AA347" i="24"/>
  <c r="L367" i="24" s="1"/>
  <c r="AI347" i="24"/>
  <c r="T367" i="24" s="1"/>
  <c r="AQ347" i="24"/>
  <c r="AB367" i="24" s="1"/>
  <c r="X350" i="24"/>
  <c r="I370" i="24" s="1"/>
  <c r="AF350" i="24"/>
  <c r="Q370" i="24" s="1"/>
  <c r="AN350" i="24"/>
  <c r="Y370" i="24" s="1"/>
  <c r="X342" i="24"/>
  <c r="I362" i="24" s="1"/>
  <c r="AF342" i="24"/>
  <c r="Q362" i="24" s="1"/>
  <c r="T347" i="24"/>
  <c r="E367" i="24" s="1"/>
  <c r="AB347" i="24"/>
  <c r="M367" i="24" s="1"/>
  <c r="AJ347" i="24"/>
  <c r="U367" i="24" s="1"/>
  <c r="Q350" i="24"/>
  <c r="B370" i="24" s="1"/>
  <c r="Y350" i="24"/>
  <c r="J370" i="24" s="1"/>
  <c r="AG350" i="24"/>
  <c r="R370" i="24" s="1"/>
  <c r="A388" i="24"/>
  <c r="A400" i="24"/>
  <c r="A392" i="24"/>
  <c r="A391" i="24"/>
  <c r="A403" i="24"/>
  <c r="P454" i="23"/>
  <c r="O454" i="23"/>
  <c r="L454" i="23"/>
  <c r="P349" i="23"/>
  <c r="O349" i="23"/>
  <c r="L349" i="23"/>
  <c r="P240" i="23"/>
  <c r="O240" i="23"/>
  <c r="L240" i="23"/>
  <c r="P132" i="23"/>
  <c r="O132" i="23"/>
  <c r="L132" i="23"/>
  <c r="C454" i="23"/>
  <c r="B454" i="23"/>
  <c r="C349" i="23"/>
  <c r="B349" i="23"/>
  <c r="C240" i="23"/>
  <c r="B240" i="23"/>
  <c r="C132" i="23"/>
  <c r="B132" i="23"/>
  <c r="P26" i="23"/>
  <c r="AZ26" i="23" s="1"/>
  <c r="O26" i="23"/>
  <c r="AY26" i="23" s="1"/>
  <c r="L26" i="23"/>
  <c r="C26" i="23"/>
  <c r="AV26" i="23" s="1"/>
  <c r="B26" i="23"/>
  <c r="P454" i="22"/>
  <c r="O454" i="22"/>
  <c r="L454" i="22"/>
  <c r="L453" i="22"/>
  <c r="O453" i="22"/>
  <c r="P453" i="22"/>
  <c r="P349" i="22"/>
  <c r="O349" i="22"/>
  <c r="L349" i="22"/>
  <c r="P240" i="22"/>
  <c r="O240" i="22"/>
  <c r="L240" i="22"/>
  <c r="P132" i="22"/>
  <c r="O132" i="22"/>
  <c r="L132" i="22"/>
  <c r="C454" i="22"/>
  <c r="B454" i="22"/>
  <c r="C349" i="22"/>
  <c r="B349" i="22"/>
  <c r="C240" i="22"/>
  <c r="B240" i="22"/>
  <c r="C132" i="22"/>
  <c r="B132" i="22"/>
  <c r="P26" i="22"/>
  <c r="AZ26" i="22" s="1"/>
  <c r="O26" i="22"/>
  <c r="L26" i="22"/>
  <c r="C26" i="22"/>
  <c r="AV26" i="22" s="1"/>
  <c r="B26" i="22"/>
  <c r="P454" i="21"/>
  <c r="O454" i="21"/>
  <c r="L454" i="21"/>
  <c r="P349" i="21"/>
  <c r="O349" i="21"/>
  <c r="L349" i="21"/>
  <c r="P240" i="21"/>
  <c r="O240" i="21"/>
  <c r="L240" i="21"/>
  <c r="P132" i="21"/>
  <c r="O132" i="21"/>
  <c r="L132" i="21"/>
  <c r="C454" i="21"/>
  <c r="B454" i="21"/>
  <c r="C349" i="21"/>
  <c r="B349" i="21"/>
  <c r="C240" i="21"/>
  <c r="B240" i="21"/>
  <c r="C132" i="21"/>
  <c r="B132" i="21"/>
  <c r="P26" i="21"/>
  <c r="AZ26" i="21" s="1"/>
  <c r="O26" i="21"/>
  <c r="AY26" i="21" s="1"/>
  <c r="L26" i="21"/>
  <c r="AX26" i="21" s="1"/>
  <c r="C26" i="21"/>
  <c r="AV26" i="21" s="1"/>
  <c r="B26" i="21"/>
  <c r="AU26" i="21" s="1"/>
  <c r="P454" i="9"/>
  <c r="O454" i="9"/>
  <c r="L454" i="9"/>
  <c r="P349" i="9"/>
  <c r="O349" i="9"/>
  <c r="L349" i="9"/>
  <c r="P240" i="9"/>
  <c r="O240" i="9"/>
  <c r="L240" i="9"/>
  <c r="P132" i="9"/>
  <c r="O132" i="9"/>
  <c r="L132" i="9"/>
  <c r="C454" i="9"/>
  <c r="B454" i="9"/>
  <c r="C349" i="9"/>
  <c r="B349" i="9"/>
  <c r="C240" i="9"/>
  <c r="B240" i="9"/>
  <c r="C132" i="9"/>
  <c r="B132" i="9"/>
  <c r="P26" i="9"/>
  <c r="O26" i="9"/>
  <c r="L26" i="9"/>
  <c r="C26" i="9"/>
  <c r="B26" i="9"/>
  <c r="C22" i="13"/>
  <c r="B22" i="13"/>
  <c r="C20" i="13"/>
  <c r="B20" i="13"/>
  <c r="C19" i="13"/>
  <c r="B19" i="13"/>
  <c r="C17" i="13"/>
  <c r="B17" i="13"/>
  <c r="B15" i="13"/>
  <c r="C12" i="13"/>
  <c r="B16" i="13"/>
  <c r="C16" i="13"/>
  <c r="B18" i="13"/>
  <c r="C18" i="13"/>
  <c r="B12" i="13"/>
  <c r="C11" i="13"/>
  <c r="B11" i="13"/>
  <c r="P27" i="13"/>
  <c r="O27" i="13"/>
  <c r="L27" i="13"/>
  <c r="P25" i="13"/>
  <c r="O25" i="13"/>
  <c r="L25" i="13"/>
  <c r="P24" i="13"/>
  <c r="O24" i="13"/>
  <c r="L24" i="13"/>
  <c r="P23" i="13"/>
  <c r="O23" i="13"/>
  <c r="L23" i="13"/>
  <c r="P18" i="13"/>
  <c r="O18" i="13"/>
  <c r="L18" i="13"/>
  <c r="P16" i="13"/>
  <c r="O16" i="13"/>
  <c r="L16" i="13"/>
  <c r="P14" i="13"/>
  <c r="O14" i="13"/>
  <c r="L14" i="13"/>
  <c r="P13" i="13"/>
  <c r="O13" i="13"/>
  <c r="L13" i="13"/>
  <c r="B27" i="13"/>
  <c r="C25" i="13"/>
  <c r="B25" i="13"/>
  <c r="C24" i="13"/>
  <c r="B24" i="13"/>
  <c r="C23" i="13"/>
  <c r="B23" i="13"/>
  <c r="C14" i="13"/>
  <c r="B14" i="13"/>
  <c r="C13" i="13"/>
  <c r="B13" i="13"/>
  <c r="P450" i="23"/>
  <c r="O450" i="23"/>
  <c r="L450" i="23"/>
  <c r="P448" i="23"/>
  <c r="O448" i="23"/>
  <c r="L448" i="23"/>
  <c r="P447" i="23"/>
  <c r="O447" i="23"/>
  <c r="L447" i="23"/>
  <c r="P345" i="23"/>
  <c r="O345" i="23"/>
  <c r="L345" i="23"/>
  <c r="P343" i="23"/>
  <c r="O343" i="23"/>
  <c r="L343" i="23"/>
  <c r="P342" i="23"/>
  <c r="O342" i="23"/>
  <c r="L342" i="23"/>
  <c r="P236" i="23"/>
  <c r="O236" i="23"/>
  <c r="L236" i="23"/>
  <c r="P234" i="23"/>
  <c r="O234" i="23"/>
  <c r="L234" i="23"/>
  <c r="P233" i="23"/>
  <c r="O233" i="23"/>
  <c r="L233" i="23"/>
  <c r="P128" i="23"/>
  <c r="O128" i="23"/>
  <c r="L128" i="23"/>
  <c r="P126" i="23"/>
  <c r="O126" i="23"/>
  <c r="L126" i="23"/>
  <c r="P125" i="23"/>
  <c r="O125" i="23"/>
  <c r="L125" i="23"/>
  <c r="C450" i="23"/>
  <c r="B450" i="23"/>
  <c r="C448" i="23"/>
  <c r="B448" i="23"/>
  <c r="C447" i="23"/>
  <c r="B447" i="23"/>
  <c r="C345" i="23"/>
  <c r="B345" i="23"/>
  <c r="C343" i="23"/>
  <c r="B343" i="23"/>
  <c r="C342" i="23"/>
  <c r="B342" i="23"/>
  <c r="C236" i="23"/>
  <c r="B236" i="23"/>
  <c r="C234" i="23"/>
  <c r="B234" i="23"/>
  <c r="C233" i="23"/>
  <c r="B233" i="23"/>
  <c r="C128" i="23"/>
  <c r="B128" i="23"/>
  <c r="C126" i="23"/>
  <c r="B126" i="23"/>
  <c r="C125" i="23"/>
  <c r="B125" i="23"/>
  <c r="P445" i="23"/>
  <c r="O445" i="23"/>
  <c r="L445" i="23"/>
  <c r="P340" i="23"/>
  <c r="O340" i="23"/>
  <c r="L340" i="23"/>
  <c r="P231" i="23"/>
  <c r="O231" i="23"/>
  <c r="L231" i="23"/>
  <c r="P123" i="23"/>
  <c r="O123" i="23"/>
  <c r="L123" i="23"/>
  <c r="C445" i="23"/>
  <c r="B445" i="23"/>
  <c r="C340" i="23"/>
  <c r="B340" i="23"/>
  <c r="C231" i="23"/>
  <c r="B231" i="23"/>
  <c r="C123" i="23"/>
  <c r="B123" i="23"/>
  <c r="P443" i="23"/>
  <c r="O443" i="23"/>
  <c r="L443" i="23"/>
  <c r="P338" i="23"/>
  <c r="O338" i="23"/>
  <c r="L338" i="23"/>
  <c r="P229" i="23"/>
  <c r="O229" i="23"/>
  <c r="L229" i="23"/>
  <c r="L121" i="23"/>
  <c r="P121" i="23"/>
  <c r="O121" i="23"/>
  <c r="C443" i="23"/>
  <c r="B443" i="23"/>
  <c r="C338" i="23"/>
  <c r="B338" i="23"/>
  <c r="C229" i="23"/>
  <c r="B229" i="23"/>
  <c r="C121" i="23"/>
  <c r="B121" i="23"/>
  <c r="P440" i="23"/>
  <c r="O440" i="23"/>
  <c r="L440" i="23"/>
  <c r="P439" i="23"/>
  <c r="O439" i="23"/>
  <c r="L439" i="23"/>
  <c r="P335" i="23"/>
  <c r="O335" i="23"/>
  <c r="L335" i="23"/>
  <c r="P334" i="23"/>
  <c r="O334" i="23"/>
  <c r="L334" i="23"/>
  <c r="P226" i="23"/>
  <c r="O226" i="23"/>
  <c r="L226" i="23"/>
  <c r="P225" i="23"/>
  <c r="O225" i="23"/>
  <c r="L225" i="23"/>
  <c r="P118" i="23"/>
  <c r="O118" i="23"/>
  <c r="L118" i="23"/>
  <c r="P117" i="23"/>
  <c r="O117" i="23"/>
  <c r="L117" i="23"/>
  <c r="C440" i="23"/>
  <c r="B440" i="23"/>
  <c r="C439" i="23"/>
  <c r="B439" i="23"/>
  <c r="C335" i="23"/>
  <c r="B335" i="23"/>
  <c r="C334" i="23"/>
  <c r="B334" i="23"/>
  <c r="C226" i="23"/>
  <c r="B226" i="23"/>
  <c r="C225" i="23"/>
  <c r="B225" i="23"/>
  <c r="C118" i="23"/>
  <c r="B118" i="23"/>
  <c r="C117" i="23"/>
  <c r="B117" i="23"/>
  <c r="P22" i="23"/>
  <c r="AZ16" i="23" s="1"/>
  <c r="P20" i="23"/>
  <c r="P19" i="23"/>
  <c r="P17" i="23"/>
  <c r="P15" i="23"/>
  <c r="P12" i="23"/>
  <c r="AZ12" i="23" s="1"/>
  <c r="P11" i="23"/>
  <c r="AZ11" i="23" s="1"/>
  <c r="O22" i="23"/>
  <c r="AY16" i="23" s="1"/>
  <c r="O20" i="23"/>
  <c r="O19" i="23"/>
  <c r="AY32" i="23" s="1"/>
  <c r="O17" i="23"/>
  <c r="AY31" i="23" s="1"/>
  <c r="O15" i="23"/>
  <c r="AY13" i="23" s="1"/>
  <c r="O12" i="23"/>
  <c r="AY12" i="23" s="1"/>
  <c r="O11" i="23"/>
  <c r="AY11" i="23" s="1"/>
  <c r="L22" i="23"/>
  <c r="AX16" i="23" s="1"/>
  <c r="L20" i="23"/>
  <c r="L19" i="23"/>
  <c r="AX32" i="23" s="1"/>
  <c r="L18" i="23"/>
  <c r="AX15" i="23" s="1"/>
  <c r="L17" i="23"/>
  <c r="AX31" i="23" s="1"/>
  <c r="L16" i="23"/>
  <c r="AX14" i="23" s="1"/>
  <c r="L15" i="23"/>
  <c r="AX13" i="23" s="1"/>
  <c r="L12" i="23"/>
  <c r="AX12" i="23" s="1"/>
  <c r="L11" i="23"/>
  <c r="AX11" i="23" s="1"/>
  <c r="C22" i="23"/>
  <c r="AV16" i="23" s="1"/>
  <c r="C20" i="23"/>
  <c r="AV33" i="23" s="1"/>
  <c r="C19" i="23"/>
  <c r="AV32" i="23" s="1"/>
  <c r="C17" i="23"/>
  <c r="AV31" i="23" s="1"/>
  <c r="C15" i="23"/>
  <c r="AV13" i="23" s="1"/>
  <c r="C12" i="23"/>
  <c r="AV12" i="23" s="1"/>
  <c r="C11" i="23"/>
  <c r="AV11" i="23" s="1"/>
  <c r="B22" i="23"/>
  <c r="B20" i="23"/>
  <c r="B19" i="23"/>
  <c r="B17" i="23"/>
  <c r="AU31" i="23" s="1"/>
  <c r="B15" i="23"/>
  <c r="AU13" i="23" s="1"/>
  <c r="B12" i="23"/>
  <c r="AU12" i="23" s="1"/>
  <c r="B11" i="23"/>
  <c r="AU11" i="23" s="1"/>
  <c r="A511" i="23"/>
  <c r="A475" i="23"/>
  <c r="A473" i="23"/>
  <c r="A510" i="23" s="1"/>
  <c r="A472" i="23"/>
  <c r="A471" i="23"/>
  <c r="A470" i="23"/>
  <c r="A468" i="23"/>
  <c r="A485" i="23" s="1"/>
  <c r="A467" i="23"/>
  <c r="A466" i="23"/>
  <c r="A484" i="23" s="1"/>
  <c r="A465" i="23"/>
  <c r="A483" i="23" s="1"/>
  <c r="A464" i="23"/>
  <c r="A482" i="23" s="1"/>
  <c r="A463" i="23"/>
  <c r="A462" i="23"/>
  <c r="A481" i="23" s="1"/>
  <c r="A493" i="23" s="1"/>
  <c r="A461" i="23"/>
  <c r="A480" i="23" s="1"/>
  <c r="A460" i="23"/>
  <c r="A479" i="23" s="1"/>
  <c r="A459" i="23"/>
  <c r="A478" i="23" s="1"/>
  <c r="A490" i="23" s="1"/>
  <c r="P455" i="23"/>
  <c r="O455" i="23"/>
  <c r="L455" i="23"/>
  <c r="C455" i="23"/>
  <c r="B455" i="23"/>
  <c r="P453" i="23"/>
  <c r="O453" i="23"/>
  <c r="L453" i="23"/>
  <c r="C453" i="23"/>
  <c r="B453" i="23"/>
  <c r="P452" i="23"/>
  <c r="O452" i="23"/>
  <c r="L452" i="23"/>
  <c r="C452" i="23"/>
  <c r="B452" i="23"/>
  <c r="P451" i="23"/>
  <c r="O451" i="23"/>
  <c r="L451" i="23"/>
  <c r="C451" i="23"/>
  <c r="B451" i="23"/>
  <c r="P446" i="23"/>
  <c r="O446" i="23"/>
  <c r="L446" i="23"/>
  <c r="C446" i="23"/>
  <c r="B446" i="23"/>
  <c r="P444" i="23"/>
  <c r="O444" i="23"/>
  <c r="L444" i="23"/>
  <c r="C444" i="23"/>
  <c r="B444" i="23"/>
  <c r="P442" i="23"/>
  <c r="O442" i="23"/>
  <c r="L442" i="23"/>
  <c r="C442" i="23"/>
  <c r="B442" i="23"/>
  <c r="P441" i="23"/>
  <c r="O441" i="23"/>
  <c r="L441" i="23"/>
  <c r="C441" i="23"/>
  <c r="B441" i="23"/>
  <c r="A406" i="23"/>
  <c r="A370" i="23"/>
  <c r="A368" i="23"/>
  <c r="A405" i="23" s="1"/>
  <c r="A367" i="23"/>
  <c r="A366" i="23"/>
  <c r="A365" i="23"/>
  <c r="A363" i="23"/>
  <c r="A380" i="23" s="1"/>
  <c r="A392" i="23" s="1"/>
  <c r="A362" i="23"/>
  <c r="A361" i="23"/>
  <c r="A379" i="23" s="1"/>
  <c r="A360" i="23"/>
  <c r="A378" i="23" s="1"/>
  <c r="A402" i="23" s="1"/>
  <c r="A359" i="23"/>
  <c r="A377" i="23" s="1"/>
  <c r="A401" i="23" s="1"/>
  <c r="A358" i="23"/>
  <c r="A357" i="23"/>
  <c r="A376" i="23" s="1"/>
  <c r="A356" i="23"/>
  <c r="A375" i="23" s="1"/>
  <c r="A399" i="23" s="1"/>
  <c r="A355" i="23"/>
  <c r="A374" i="23" s="1"/>
  <c r="A354" i="23"/>
  <c r="A373" i="23" s="1"/>
  <c r="P350" i="23"/>
  <c r="O350" i="23"/>
  <c r="L350" i="23"/>
  <c r="C350" i="23"/>
  <c r="B350" i="23"/>
  <c r="P348" i="23"/>
  <c r="O348" i="23"/>
  <c r="L348" i="23"/>
  <c r="C348" i="23"/>
  <c r="B348" i="23"/>
  <c r="P347" i="23"/>
  <c r="O347" i="23"/>
  <c r="L347" i="23"/>
  <c r="C347" i="23"/>
  <c r="B347" i="23"/>
  <c r="P346" i="23"/>
  <c r="O346" i="23"/>
  <c r="L346" i="23"/>
  <c r="C346" i="23"/>
  <c r="B346" i="23"/>
  <c r="P341" i="23"/>
  <c r="O341" i="23"/>
  <c r="L341" i="23"/>
  <c r="C341" i="23"/>
  <c r="B341" i="23"/>
  <c r="P339" i="23"/>
  <c r="O339" i="23"/>
  <c r="L339" i="23"/>
  <c r="C339" i="23"/>
  <c r="B339" i="23"/>
  <c r="P337" i="23"/>
  <c r="O337" i="23"/>
  <c r="L337" i="23"/>
  <c r="C337" i="23"/>
  <c r="B337" i="23"/>
  <c r="P336" i="23"/>
  <c r="O336" i="23"/>
  <c r="L336" i="23"/>
  <c r="C336" i="23"/>
  <c r="B336" i="23"/>
  <c r="A297" i="23"/>
  <c r="A261" i="23"/>
  <c r="A259" i="23"/>
  <c r="A296" i="23" s="1"/>
  <c r="A258" i="23"/>
  <c r="A257" i="23"/>
  <c r="A256" i="23"/>
  <c r="A254" i="23"/>
  <c r="A271" i="23" s="1"/>
  <c r="A253" i="23"/>
  <c r="A252" i="23"/>
  <c r="A270" i="23" s="1"/>
  <c r="A251" i="23"/>
  <c r="A269" i="23" s="1"/>
  <c r="A250" i="23"/>
  <c r="A268" i="23" s="1"/>
  <c r="A249" i="23"/>
  <c r="A248" i="23"/>
  <c r="A267" i="23" s="1"/>
  <c r="A247" i="23"/>
  <c r="A266" i="23" s="1"/>
  <c r="A278" i="23" s="1"/>
  <c r="A246" i="23"/>
  <c r="A265" i="23" s="1"/>
  <c r="A245" i="23"/>
  <c r="A264" i="23" s="1"/>
  <c r="P241" i="23"/>
  <c r="O241" i="23"/>
  <c r="L241" i="23"/>
  <c r="C241" i="23"/>
  <c r="B241" i="23"/>
  <c r="P239" i="23"/>
  <c r="O239" i="23"/>
  <c r="L239" i="23"/>
  <c r="C239" i="23"/>
  <c r="B239" i="23"/>
  <c r="P238" i="23"/>
  <c r="O238" i="23"/>
  <c r="L238" i="23"/>
  <c r="C238" i="23"/>
  <c r="B238" i="23"/>
  <c r="P237" i="23"/>
  <c r="O237" i="23"/>
  <c r="L237" i="23"/>
  <c r="C237" i="23"/>
  <c r="B237" i="23"/>
  <c r="P232" i="23"/>
  <c r="O232" i="23"/>
  <c r="L232" i="23"/>
  <c r="C232" i="23"/>
  <c r="B232" i="23"/>
  <c r="P230" i="23"/>
  <c r="O230" i="23"/>
  <c r="L230" i="23"/>
  <c r="C230" i="23"/>
  <c r="B230" i="23"/>
  <c r="P228" i="23"/>
  <c r="O228" i="23"/>
  <c r="L228" i="23"/>
  <c r="C228" i="23"/>
  <c r="B228" i="23"/>
  <c r="P227" i="23"/>
  <c r="O227" i="23"/>
  <c r="L227" i="23"/>
  <c r="C227" i="23"/>
  <c r="B227" i="23"/>
  <c r="A189" i="23"/>
  <c r="A153" i="23"/>
  <c r="A151" i="23"/>
  <c r="A188" i="23" s="1"/>
  <c r="A150" i="23"/>
  <c r="A149" i="23"/>
  <c r="A148" i="23"/>
  <c r="A163" i="23"/>
  <c r="A145" i="23"/>
  <c r="A144" i="23"/>
  <c r="A162" i="23" s="1"/>
  <c r="A143" i="23"/>
  <c r="A161" i="23" s="1"/>
  <c r="A185" i="23" s="1"/>
  <c r="A142" i="23"/>
  <c r="A160" i="23" s="1"/>
  <c r="A184" i="23" s="1"/>
  <c r="A141" i="23"/>
  <c r="A140" i="23"/>
  <c r="A159" i="23" s="1"/>
  <c r="A171" i="23" s="1"/>
  <c r="A139" i="23"/>
  <c r="A158" i="23" s="1"/>
  <c r="A138" i="23"/>
  <c r="A157" i="23" s="1"/>
  <c r="A181" i="23" s="1"/>
  <c r="A137" i="23"/>
  <c r="A156" i="23" s="1"/>
  <c r="P133" i="23"/>
  <c r="O133" i="23"/>
  <c r="L133" i="23"/>
  <c r="C133" i="23"/>
  <c r="B133" i="23"/>
  <c r="P131" i="23"/>
  <c r="O131" i="23"/>
  <c r="L131" i="23"/>
  <c r="C131" i="23"/>
  <c r="B131" i="23"/>
  <c r="P130" i="23"/>
  <c r="O130" i="23"/>
  <c r="L130" i="23"/>
  <c r="C130" i="23"/>
  <c r="B130" i="23"/>
  <c r="P129" i="23"/>
  <c r="O129" i="23"/>
  <c r="L129" i="23"/>
  <c r="C129" i="23"/>
  <c r="B129" i="23"/>
  <c r="P124" i="23"/>
  <c r="O124" i="23"/>
  <c r="L124" i="23"/>
  <c r="C124" i="23"/>
  <c r="B124" i="23"/>
  <c r="P122" i="23"/>
  <c r="O122" i="23"/>
  <c r="L122" i="23"/>
  <c r="C122" i="23"/>
  <c r="B122" i="23"/>
  <c r="P120" i="23"/>
  <c r="O120" i="23"/>
  <c r="L120" i="23"/>
  <c r="C120" i="23"/>
  <c r="B120" i="23"/>
  <c r="P119" i="23"/>
  <c r="O119" i="23"/>
  <c r="L119" i="23"/>
  <c r="C119" i="23"/>
  <c r="B119" i="23"/>
  <c r="A83" i="23"/>
  <c r="A47" i="23"/>
  <c r="A45" i="23"/>
  <c r="A82" i="23" s="1"/>
  <c r="A44" i="23"/>
  <c r="A43" i="23"/>
  <c r="A42" i="23"/>
  <c r="A40" i="23"/>
  <c r="A57" i="23" s="1"/>
  <c r="A39" i="23"/>
  <c r="A38" i="23"/>
  <c r="A56" i="23" s="1"/>
  <c r="A37" i="23"/>
  <c r="A55" i="23" s="1"/>
  <c r="A36" i="23"/>
  <c r="A54" i="23" s="1"/>
  <c r="A35" i="23"/>
  <c r="A34" i="23"/>
  <c r="A53" i="23" s="1"/>
  <c r="AW33" i="23"/>
  <c r="AT33" i="23"/>
  <c r="A33" i="23"/>
  <c r="A52" i="23" s="1"/>
  <c r="AW32" i="23"/>
  <c r="AT32" i="23"/>
  <c r="A32" i="23"/>
  <c r="A51" i="23" s="1"/>
  <c r="AW31" i="23"/>
  <c r="AT31" i="23"/>
  <c r="A31" i="23"/>
  <c r="A50" i="23" s="1"/>
  <c r="AZ30" i="23"/>
  <c r="AY30" i="23"/>
  <c r="AX30" i="23"/>
  <c r="AW30" i="23"/>
  <c r="AV30" i="23"/>
  <c r="AU30" i="23"/>
  <c r="AT30" i="23"/>
  <c r="AX29" i="23"/>
  <c r="AW27" i="23"/>
  <c r="AT27" i="23"/>
  <c r="P27" i="23"/>
  <c r="O27" i="23"/>
  <c r="L27" i="23"/>
  <c r="AX27" i="23" s="1"/>
  <c r="C27" i="23"/>
  <c r="AV27" i="23" s="1"/>
  <c r="B27" i="23"/>
  <c r="AW26" i="23"/>
  <c r="AT26" i="23"/>
  <c r="AW25" i="23"/>
  <c r="AT25" i="23"/>
  <c r="P25" i="23"/>
  <c r="O25" i="23"/>
  <c r="L25" i="23"/>
  <c r="C25" i="23"/>
  <c r="AV25" i="23" s="1"/>
  <c r="B25" i="23"/>
  <c r="AW24" i="23"/>
  <c r="AT24" i="23"/>
  <c r="P24" i="23"/>
  <c r="O24" i="23"/>
  <c r="AY24" i="23" s="1"/>
  <c r="L24" i="23"/>
  <c r="C24" i="23"/>
  <c r="AV24" i="23" s="1"/>
  <c r="B24" i="23"/>
  <c r="AW23" i="23"/>
  <c r="AT23" i="23"/>
  <c r="P23" i="23"/>
  <c r="O23" i="23"/>
  <c r="AY17" i="23" s="1"/>
  <c r="L23" i="23"/>
  <c r="AX17" i="23" s="1"/>
  <c r="C23" i="23"/>
  <c r="AV17" i="23" s="1"/>
  <c r="B23" i="23"/>
  <c r="AW22" i="23"/>
  <c r="AT22" i="23"/>
  <c r="AT20" i="23"/>
  <c r="P18" i="23"/>
  <c r="O18" i="23"/>
  <c r="AY15" i="23" s="1"/>
  <c r="C18" i="23"/>
  <c r="AV15" i="23" s="1"/>
  <c r="B18" i="23"/>
  <c r="AU15" i="23" s="1"/>
  <c r="AW17" i="23"/>
  <c r="AT17" i="23"/>
  <c r="AW16" i="23"/>
  <c r="AT16" i="23"/>
  <c r="P16" i="23"/>
  <c r="O16" i="23"/>
  <c r="AY14" i="23" s="1"/>
  <c r="C16" i="23"/>
  <c r="AV14" i="23" s="1"/>
  <c r="B16" i="23"/>
  <c r="AU14" i="23" s="1"/>
  <c r="AW15" i="23"/>
  <c r="AT15" i="23"/>
  <c r="AW14" i="23"/>
  <c r="AT14" i="23"/>
  <c r="P14" i="23"/>
  <c r="O14" i="23"/>
  <c r="AY23" i="23" s="1"/>
  <c r="L14" i="23"/>
  <c r="AX23" i="23" s="1"/>
  <c r="C14" i="23"/>
  <c r="AV23" i="23" s="1"/>
  <c r="B14" i="23"/>
  <c r="AU23" i="23" s="1"/>
  <c r="AW13" i="23"/>
  <c r="AT13" i="23"/>
  <c r="P13" i="23"/>
  <c r="O13" i="23"/>
  <c r="AY22" i="23" s="1"/>
  <c r="L13" i="23"/>
  <c r="AX22" i="23" s="1"/>
  <c r="C13" i="23"/>
  <c r="AV22" i="23" s="1"/>
  <c r="B13" i="23"/>
  <c r="AU22" i="23" s="1"/>
  <c r="AW12" i="23"/>
  <c r="AT12" i="23"/>
  <c r="AW11" i="23"/>
  <c r="AT11" i="23"/>
  <c r="AZ10" i="23"/>
  <c r="AY10" i="23"/>
  <c r="AX10" i="23"/>
  <c r="AW10" i="23"/>
  <c r="AV10" i="23"/>
  <c r="AU10" i="23"/>
  <c r="AX9" i="23"/>
  <c r="P450" i="22"/>
  <c r="O450" i="22"/>
  <c r="L450" i="22"/>
  <c r="P448" i="22"/>
  <c r="O448" i="22"/>
  <c r="L448" i="22"/>
  <c r="P447" i="22"/>
  <c r="O447" i="22"/>
  <c r="L447" i="22"/>
  <c r="P345" i="22"/>
  <c r="O345" i="22"/>
  <c r="L345" i="22"/>
  <c r="P343" i="22"/>
  <c r="O343" i="22"/>
  <c r="L343" i="22"/>
  <c r="P342" i="22"/>
  <c r="O342" i="22"/>
  <c r="L342" i="22"/>
  <c r="P236" i="22"/>
  <c r="O236" i="22"/>
  <c r="L236" i="22"/>
  <c r="P234" i="22"/>
  <c r="O234" i="22"/>
  <c r="L234" i="22"/>
  <c r="P233" i="22"/>
  <c r="O233" i="22"/>
  <c r="L233" i="22"/>
  <c r="P128" i="22"/>
  <c r="O128" i="22"/>
  <c r="L128" i="22"/>
  <c r="P126" i="22"/>
  <c r="O126" i="22"/>
  <c r="L126" i="22"/>
  <c r="P125" i="22"/>
  <c r="O125" i="22"/>
  <c r="L125" i="22"/>
  <c r="C450" i="22"/>
  <c r="B450" i="22"/>
  <c r="C448" i="22"/>
  <c r="B448" i="22"/>
  <c r="C447" i="22"/>
  <c r="B447" i="22"/>
  <c r="C345" i="22"/>
  <c r="B345" i="22"/>
  <c r="C343" i="22"/>
  <c r="B343" i="22"/>
  <c r="C342" i="22"/>
  <c r="B342" i="22"/>
  <c r="C236" i="22"/>
  <c r="B236" i="22"/>
  <c r="C234" i="22"/>
  <c r="B234" i="22"/>
  <c r="C233" i="22"/>
  <c r="B233" i="22"/>
  <c r="C128" i="22"/>
  <c r="B128" i="22"/>
  <c r="C126" i="22"/>
  <c r="B126" i="22"/>
  <c r="C125" i="22"/>
  <c r="B125" i="22"/>
  <c r="P445" i="22"/>
  <c r="O445" i="22"/>
  <c r="L445" i="22"/>
  <c r="P340" i="22"/>
  <c r="O340" i="22"/>
  <c r="L340" i="22"/>
  <c r="P231" i="22"/>
  <c r="O231" i="22"/>
  <c r="L231" i="22"/>
  <c r="P123" i="22"/>
  <c r="O123" i="22"/>
  <c r="L123" i="22"/>
  <c r="C445" i="22"/>
  <c r="B445" i="22"/>
  <c r="C340" i="22"/>
  <c r="B340" i="22"/>
  <c r="C231" i="22"/>
  <c r="B231" i="22"/>
  <c r="C123" i="22"/>
  <c r="B123" i="22"/>
  <c r="P443" i="22"/>
  <c r="O443" i="22"/>
  <c r="L443" i="22"/>
  <c r="P338" i="22"/>
  <c r="O338" i="22"/>
  <c r="L338" i="22"/>
  <c r="P229" i="22"/>
  <c r="O229" i="22"/>
  <c r="L229" i="22"/>
  <c r="P121" i="22"/>
  <c r="O121" i="22"/>
  <c r="L121" i="22"/>
  <c r="C443" i="22"/>
  <c r="B443" i="22"/>
  <c r="C338" i="22"/>
  <c r="B338" i="22"/>
  <c r="C229" i="22"/>
  <c r="B229" i="22"/>
  <c r="C121" i="22"/>
  <c r="B121" i="22"/>
  <c r="P440" i="22"/>
  <c r="O440" i="22"/>
  <c r="L440" i="22"/>
  <c r="P439" i="22"/>
  <c r="O439" i="22"/>
  <c r="L439" i="22"/>
  <c r="P335" i="22"/>
  <c r="O335" i="22"/>
  <c r="L335" i="22"/>
  <c r="P334" i="22"/>
  <c r="O334" i="22"/>
  <c r="L334" i="22"/>
  <c r="P226" i="22"/>
  <c r="O226" i="22"/>
  <c r="L226" i="22"/>
  <c r="P225" i="22"/>
  <c r="O225" i="22"/>
  <c r="L225" i="22"/>
  <c r="P118" i="22"/>
  <c r="O118" i="22"/>
  <c r="L118" i="22"/>
  <c r="P117" i="22"/>
  <c r="O117" i="22"/>
  <c r="L117" i="22"/>
  <c r="C440" i="22"/>
  <c r="B440" i="22"/>
  <c r="C439" i="22"/>
  <c r="B439" i="22"/>
  <c r="C335" i="22"/>
  <c r="B335" i="22"/>
  <c r="C334" i="22"/>
  <c r="B334" i="22"/>
  <c r="C226" i="22"/>
  <c r="B226" i="22"/>
  <c r="C225" i="22"/>
  <c r="B225" i="22"/>
  <c r="C118" i="22"/>
  <c r="B118" i="22"/>
  <c r="C117" i="22"/>
  <c r="B117" i="22"/>
  <c r="P22" i="22"/>
  <c r="P20" i="22"/>
  <c r="P19" i="22"/>
  <c r="P17" i="22"/>
  <c r="P15" i="22"/>
  <c r="AZ13" i="22" s="1"/>
  <c r="P12" i="22"/>
  <c r="AZ12" i="22" s="1"/>
  <c r="P11" i="22"/>
  <c r="O22" i="22"/>
  <c r="O20" i="22"/>
  <c r="O19" i="22"/>
  <c r="AY32" i="22" s="1"/>
  <c r="O17" i="22"/>
  <c r="AY31" i="22" s="1"/>
  <c r="O15" i="22"/>
  <c r="O12" i="22"/>
  <c r="AY12" i="22" s="1"/>
  <c r="O11" i="22"/>
  <c r="AY11" i="22" s="1"/>
  <c r="L22" i="22"/>
  <c r="AX16" i="22" s="1"/>
  <c r="L20" i="22"/>
  <c r="L19" i="22"/>
  <c r="L17" i="22"/>
  <c r="L15" i="22"/>
  <c r="L12" i="22"/>
  <c r="L11" i="22"/>
  <c r="C22" i="22"/>
  <c r="AV16" i="22" s="1"/>
  <c r="C20" i="22"/>
  <c r="C19" i="22"/>
  <c r="C17" i="22"/>
  <c r="AV31" i="22" s="1"/>
  <c r="C15" i="22"/>
  <c r="AV13" i="22" s="1"/>
  <c r="C12" i="22"/>
  <c r="AV12" i="22" s="1"/>
  <c r="C11" i="22"/>
  <c r="AV11" i="22" s="1"/>
  <c r="B22" i="22"/>
  <c r="AU16" i="22" s="1"/>
  <c r="B20" i="22"/>
  <c r="AU33" i="22" s="1"/>
  <c r="B19" i="22"/>
  <c r="AU32" i="22" s="1"/>
  <c r="B17" i="22"/>
  <c r="B15" i="22"/>
  <c r="AU13" i="22" s="1"/>
  <c r="B12" i="22"/>
  <c r="AU12" i="22" s="1"/>
  <c r="B11" i="22"/>
  <c r="A511" i="22"/>
  <c r="A475" i="22"/>
  <c r="A473" i="22"/>
  <c r="A510" i="22" s="1"/>
  <c r="A472" i="22"/>
  <c r="A471" i="22"/>
  <c r="A470" i="22"/>
  <c r="A468" i="22"/>
  <c r="A485" i="22" s="1"/>
  <c r="A467" i="22"/>
  <c r="A466" i="22"/>
  <c r="A484" i="22" s="1"/>
  <c r="A465" i="22"/>
  <c r="A483" i="22" s="1"/>
  <c r="A464" i="22"/>
  <c r="A482" i="22" s="1"/>
  <c r="A463" i="22"/>
  <c r="A462" i="22"/>
  <c r="A481" i="22" s="1"/>
  <c r="A461" i="22"/>
  <c r="A480" i="22" s="1"/>
  <c r="A460" i="22"/>
  <c r="A479" i="22" s="1"/>
  <c r="A459" i="22"/>
  <c r="A478" i="22" s="1"/>
  <c r="P455" i="22"/>
  <c r="O455" i="22"/>
  <c r="L455" i="22"/>
  <c r="C455" i="22"/>
  <c r="B455" i="22"/>
  <c r="C453" i="22"/>
  <c r="B453" i="22"/>
  <c r="P452" i="22"/>
  <c r="O452" i="22"/>
  <c r="L452" i="22"/>
  <c r="C452" i="22"/>
  <c r="B452" i="22"/>
  <c r="P451" i="22"/>
  <c r="O451" i="22"/>
  <c r="L451" i="22"/>
  <c r="C451" i="22"/>
  <c r="B451" i="22"/>
  <c r="P446" i="22"/>
  <c r="O446" i="22"/>
  <c r="L446" i="22"/>
  <c r="C446" i="22"/>
  <c r="B446" i="22"/>
  <c r="P444" i="22"/>
  <c r="O444" i="22"/>
  <c r="L444" i="22"/>
  <c r="C444" i="22"/>
  <c r="B444" i="22"/>
  <c r="P442" i="22"/>
  <c r="O442" i="22"/>
  <c r="L442" i="22"/>
  <c r="C442" i="22"/>
  <c r="B442" i="22"/>
  <c r="P441" i="22"/>
  <c r="O441" i="22"/>
  <c r="L441" i="22"/>
  <c r="C441" i="22"/>
  <c r="B441" i="22"/>
  <c r="A406" i="22"/>
  <c r="A370" i="22"/>
  <c r="A368" i="22"/>
  <c r="A405" i="22" s="1"/>
  <c r="A367" i="22"/>
  <c r="A366" i="22"/>
  <c r="A365" i="22"/>
  <c r="A363" i="22"/>
  <c r="A380" i="22" s="1"/>
  <c r="A362" i="22"/>
  <c r="A361" i="22"/>
  <c r="A379" i="22" s="1"/>
  <c r="A360" i="22"/>
  <c r="A378" i="22" s="1"/>
  <c r="A402" i="22" s="1"/>
  <c r="A359" i="22"/>
  <c r="A377" i="22" s="1"/>
  <c r="A401" i="22" s="1"/>
  <c r="A358" i="22"/>
  <c r="A357" i="22"/>
  <c r="A376" i="22" s="1"/>
  <c r="A356" i="22"/>
  <c r="A375" i="22" s="1"/>
  <c r="A355" i="22"/>
  <c r="A374" i="22" s="1"/>
  <c r="A354" i="22"/>
  <c r="A373" i="22" s="1"/>
  <c r="P350" i="22"/>
  <c r="O350" i="22"/>
  <c r="L350" i="22"/>
  <c r="C350" i="22"/>
  <c r="B350" i="22"/>
  <c r="P348" i="22"/>
  <c r="O348" i="22"/>
  <c r="L348" i="22"/>
  <c r="C348" i="22"/>
  <c r="B348" i="22"/>
  <c r="P347" i="22"/>
  <c r="O347" i="22"/>
  <c r="L347" i="22"/>
  <c r="C347" i="22"/>
  <c r="B347" i="22"/>
  <c r="P346" i="22"/>
  <c r="O346" i="22"/>
  <c r="L346" i="22"/>
  <c r="C346" i="22"/>
  <c r="B346" i="22"/>
  <c r="P341" i="22"/>
  <c r="O341" i="22"/>
  <c r="L341" i="22"/>
  <c r="C341" i="22"/>
  <c r="B341" i="22"/>
  <c r="P339" i="22"/>
  <c r="O339" i="22"/>
  <c r="L339" i="22"/>
  <c r="C339" i="22"/>
  <c r="B339" i="22"/>
  <c r="P337" i="22"/>
  <c r="O337" i="22"/>
  <c r="L337" i="22"/>
  <c r="C337" i="22"/>
  <c r="B337" i="22"/>
  <c r="P336" i="22"/>
  <c r="O336" i="22"/>
  <c r="L336" i="22"/>
  <c r="C336" i="22"/>
  <c r="B336" i="22"/>
  <c r="A297" i="22"/>
  <c r="A261" i="22"/>
  <c r="A259" i="22"/>
  <c r="A296" i="22" s="1"/>
  <c r="A258" i="22"/>
  <c r="A257" i="22"/>
  <c r="A256" i="22"/>
  <c r="A254" i="22"/>
  <c r="A271" i="22" s="1"/>
  <c r="A295" i="22" s="1"/>
  <c r="A253" i="22"/>
  <c r="A252" i="22"/>
  <c r="A270" i="22" s="1"/>
  <c r="A251" i="22"/>
  <c r="A269" i="22" s="1"/>
  <c r="A250" i="22"/>
  <c r="A268" i="22" s="1"/>
  <c r="A249" i="22"/>
  <c r="A248" i="22"/>
  <c r="A267" i="22" s="1"/>
  <c r="A247" i="22"/>
  <c r="A266" i="22" s="1"/>
  <c r="A246" i="22"/>
  <c r="A265" i="22" s="1"/>
  <c r="A245" i="22"/>
  <c r="A264" i="22" s="1"/>
  <c r="A276" i="22" s="1"/>
  <c r="P241" i="22"/>
  <c r="O241" i="22"/>
  <c r="L241" i="22"/>
  <c r="C241" i="22"/>
  <c r="B241" i="22"/>
  <c r="P239" i="22"/>
  <c r="O239" i="22"/>
  <c r="L239" i="22"/>
  <c r="C239" i="22"/>
  <c r="B239" i="22"/>
  <c r="P238" i="22"/>
  <c r="O238" i="22"/>
  <c r="L238" i="22"/>
  <c r="C238" i="22"/>
  <c r="B238" i="22"/>
  <c r="P237" i="22"/>
  <c r="O237" i="22"/>
  <c r="L237" i="22"/>
  <c r="C237" i="22"/>
  <c r="B237" i="22"/>
  <c r="P232" i="22"/>
  <c r="O232" i="22"/>
  <c r="L232" i="22"/>
  <c r="C232" i="22"/>
  <c r="B232" i="22"/>
  <c r="P230" i="22"/>
  <c r="O230" i="22"/>
  <c r="L230" i="22"/>
  <c r="C230" i="22"/>
  <c r="B230" i="22"/>
  <c r="P228" i="22"/>
  <c r="O228" i="22"/>
  <c r="L228" i="22"/>
  <c r="C228" i="22"/>
  <c r="B228" i="22"/>
  <c r="P227" i="22"/>
  <c r="O227" i="22"/>
  <c r="L227" i="22"/>
  <c r="C227" i="22"/>
  <c r="B227" i="22"/>
  <c r="A189" i="22"/>
  <c r="A153" i="22"/>
  <c r="A151" i="22"/>
  <c r="A188" i="22" s="1"/>
  <c r="A150" i="22"/>
  <c r="A149" i="22"/>
  <c r="A148" i="22"/>
  <c r="A146" i="22"/>
  <c r="A163" i="22" s="1"/>
  <c r="A145" i="22"/>
  <c r="A144" i="22"/>
  <c r="A162" i="22" s="1"/>
  <c r="A143" i="22"/>
  <c r="A161" i="22" s="1"/>
  <c r="A185" i="22" s="1"/>
  <c r="A142" i="22"/>
  <c r="A160" i="22" s="1"/>
  <c r="A141" i="22"/>
  <c r="A140" i="22"/>
  <c r="A159" i="22" s="1"/>
  <c r="A139" i="22"/>
  <c r="A158" i="22" s="1"/>
  <c r="A170" i="22" s="1"/>
  <c r="A138" i="22"/>
  <c r="A157" i="22" s="1"/>
  <c r="A137" i="22"/>
  <c r="A156" i="22" s="1"/>
  <c r="P133" i="22"/>
  <c r="O133" i="22"/>
  <c r="L133" i="22"/>
  <c r="C133" i="22"/>
  <c r="B133" i="22"/>
  <c r="P131" i="22"/>
  <c r="O131" i="22"/>
  <c r="L131" i="22"/>
  <c r="C131" i="22"/>
  <c r="B131" i="22"/>
  <c r="P130" i="22"/>
  <c r="O130" i="22"/>
  <c r="L130" i="22"/>
  <c r="C130" i="22"/>
  <c r="B130" i="22"/>
  <c r="P129" i="22"/>
  <c r="O129" i="22"/>
  <c r="L129" i="22"/>
  <c r="C129" i="22"/>
  <c r="B129" i="22"/>
  <c r="P124" i="22"/>
  <c r="O124" i="22"/>
  <c r="L124" i="22"/>
  <c r="C124" i="22"/>
  <c r="B124" i="22"/>
  <c r="P122" i="22"/>
  <c r="O122" i="22"/>
  <c r="L122" i="22"/>
  <c r="C122" i="22"/>
  <c r="B122" i="22"/>
  <c r="P120" i="22"/>
  <c r="O120" i="22"/>
  <c r="L120" i="22"/>
  <c r="C120" i="22"/>
  <c r="B120" i="22"/>
  <c r="P119" i="22"/>
  <c r="O119" i="22"/>
  <c r="L119" i="22"/>
  <c r="C119" i="22"/>
  <c r="B119" i="22"/>
  <c r="A83" i="22"/>
  <c r="A47" i="22"/>
  <c r="A45" i="22"/>
  <c r="A82" i="22" s="1"/>
  <c r="A44" i="22"/>
  <c r="A43" i="22"/>
  <c r="A42" i="22"/>
  <c r="A40" i="22"/>
  <c r="A57" i="22" s="1"/>
  <c r="A81" i="22" s="1"/>
  <c r="A39" i="22"/>
  <c r="A38" i="22"/>
  <c r="A56" i="22" s="1"/>
  <c r="A37" i="22"/>
  <c r="A55" i="22" s="1"/>
  <c r="A36" i="22"/>
  <c r="A54" i="22" s="1"/>
  <c r="A35" i="22"/>
  <c r="A34" i="22"/>
  <c r="A53" i="22" s="1"/>
  <c r="AW33" i="22"/>
  <c r="AT33" i="22"/>
  <c r="A33" i="22"/>
  <c r="A52" i="22" s="1"/>
  <c r="AW32" i="22"/>
  <c r="AT32" i="22"/>
  <c r="A32" i="22"/>
  <c r="A51" i="22" s="1"/>
  <c r="AW31" i="22"/>
  <c r="AT31" i="22"/>
  <c r="A31" i="22"/>
  <c r="A50" i="22" s="1"/>
  <c r="A62" i="22" s="1"/>
  <c r="AZ30" i="22"/>
  <c r="AY30" i="22"/>
  <c r="AX30" i="22"/>
  <c r="AW30" i="22"/>
  <c r="AV30" i="22"/>
  <c r="AU30" i="22"/>
  <c r="AT30" i="22"/>
  <c r="AX29" i="22"/>
  <c r="AW27" i="22"/>
  <c r="AT27" i="22"/>
  <c r="P27" i="22"/>
  <c r="O27" i="22"/>
  <c r="L27" i="22"/>
  <c r="C27" i="22"/>
  <c r="AV27" i="22" s="1"/>
  <c r="B27" i="22"/>
  <c r="AW26" i="22"/>
  <c r="AT26" i="22"/>
  <c r="AW25" i="22"/>
  <c r="AT25" i="22"/>
  <c r="P25" i="22"/>
  <c r="O25" i="22"/>
  <c r="L25" i="22"/>
  <c r="C25" i="22"/>
  <c r="AV25" i="22" s="1"/>
  <c r="B25" i="22"/>
  <c r="AW24" i="22"/>
  <c r="AT24" i="22"/>
  <c r="P24" i="22"/>
  <c r="AZ24" i="22" s="1"/>
  <c r="O24" i="22"/>
  <c r="L24" i="22"/>
  <c r="C24" i="22"/>
  <c r="AV24" i="22" s="1"/>
  <c r="B24" i="22"/>
  <c r="AW23" i="22"/>
  <c r="AT23" i="22"/>
  <c r="P23" i="22"/>
  <c r="AZ17" i="22" s="1"/>
  <c r="O23" i="22"/>
  <c r="AY17" i="22" s="1"/>
  <c r="L23" i="22"/>
  <c r="AX17" i="22" s="1"/>
  <c r="C23" i="22"/>
  <c r="AV17" i="22" s="1"/>
  <c r="B23" i="22"/>
  <c r="AU17" i="22" s="1"/>
  <c r="AW22" i="22"/>
  <c r="AT22" i="22"/>
  <c r="AT20" i="22"/>
  <c r="P18" i="22"/>
  <c r="AZ15" i="22" s="1"/>
  <c r="O18" i="22"/>
  <c r="L18" i="22"/>
  <c r="AX15" i="22" s="1"/>
  <c r="C18" i="22"/>
  <c r="AV15" i="22" s="1"/>
  <c r="B18" i="22"/>
  <c r="AU15" i="22" s="1"/>
  <c r="AW17" i="22"/>
  <c r="AT17" i="22"/>
  <c r="AW16" i="22"/>
  <c r="AT16" i="22"/>
  <c r="P16" i="22"/>
  <c r="O16" i="22"/>
  <c r="AY14" i="22" s="1"/>
  <c r="L16" i="22"/>
  <c r="AX14" i="22" s="1"/>
  <c r="C16" i="22"/>
  <c r="AV14" i="22" s="1"/>
  <c r="B16" i="22"/>
  <c r="AU14" i="22" s="1"/>
  <c r="AW15" i="22"/>
  <c r="AT15" i="22"/>
  <c r="AW14" i="22"/>
  <c r="AT14" i="22"/>
  <c r="P14" i="22"/>
  <c r="O14" i="22"/>
  <c r="AY23" i="22" s="1"/>
  <c r="L14" i="22"/>
  <c r="C14" i="22"/>
  <c r="AV23" i="22" s="1"/>
  <c r="B14" i="22"/>
  <c r="AW13" i="22"/>
  <c r="AT13" i="22"/>
  <c r="P13" i="22"/>
  <c r="O13" i="22"/>
  <c r="AY22" i="22" s="1"/>
  <c r="L13" i="22"/>
  <c r="AX22" i="22" s="1"/>
  <c r="C13" i="22"/>
  <c r="AV22" i="22" s="1"/>
  <c r="B13" i="22"/>
  <c r="AW12" i="22"/>
  <c r="AT12" i="22"/>
  <c r="AW11" i="22"/>
  <c r="AT11" i="22"/>
  <c r="AZ10" i="22"/>
  <c r="AY10" i="22"/>
  <c r="AX10" i="22"/>
  <c r="AW10" i="22"/>
  <c r="AV10" i="22"/>
  <c r="AU10" i="22"/>
  <c r="AX9" i="22"/>
  <c r="AT29" i="22"/>
  <c r="P450" i="21"/>
  <c r="O450" i="21"/>
  <c r="L450" i="21"/>
  <c r="P345" i="21"/>
  <c r="O345" i="21"/>
  <c r="L345" i="21"/>
  <c r="P236" i="21"/>
  <c r="O236" i="21"/>
  <c r="L236" i="21"/>
  <c r="P128" i="21"/>
  <c r="O128" i="21"/>
  <c r="L128" i="21"/>
  <c r="C450" i="21"/>
  <c r="B450" i="21"/>
  <c r="C345" i="21"/>
  <c r="B345" i="21"/>
  <c r="C236" i="21"/>
  <c r="B236" i="21"/>
  <c r="C128" i="21"/>
  <c r="B128" i="21"/>
  <c r="P448" i="21"/>
  <c r="O448" i="21"/>
  <c r="L448" i="21"/>
  <c r="P447" i="21"/>
  <c r="O447" i="21"/>
  <c r="L447" i="21"/>
  <c r="P343" i="21"/>
  <c r="O343" i="21"/>
  <c r="L343" i="21"/>
  <c r="P342" i="21"/>
  <c r="O342" i="21"/>
  <c r="L342" i="21"/>
  <c r="P234" i="21"/>
  <c r="O234" i="21"/>
  <c r="L234" i="21"/>
  <c r="P233" i="21"/>
  <c r="O233" i="21"/>
  <c r="L233" i="21"/>
  <c r="P126" i="21"/>
  <c r="O126" i="21"/>
  <c r="L126" i="21"/>
  <c r="P125" i="21"/>
  <c r="O125" i="21"/>
  <c r="L125" i="21"/>
  <c r="C448" i="21"/>
  <c r="B448" i="21"/>
  <c r="C447" i="21"/>
  <c r="B447" i="21"/>
  <c r="C343" i="21"/>
  <c r="B343" i="21"/>
  <c r="C342" i="21"/>
  <c r="B342" i="21"/>
  <c r="C234" i="21"/>
  <c r="B234" i="21"/>
  <c r="C233" i="21"/>
  <c r="B233" i="21"/>
  <c r="C126" i="21"/>
  <c r="B126" i="21"/>
  <c r="C125" i="21"/>
  <c r="B125" i="21"/>
  <c r="P445" i="21"/>
  <c r="O445" i="21"/>
  <c r="L445" i="21"/>
  <c r="P340" i="21"/>
  <c r="O340" i="21"/>
  <c r="L340" i="21"/>
  <c r="P231" i="21"/>
  <c r="O231" i="21"/>
  <c r="L231" i="21"/>
  <c r="P123" i="21"/>
  <c r="O123" i="21"/>
  <c r="L123" i="21"/>
  <c r="C445" i="21"/>
  <c r="B445" i="21"/>
  <c r="C340" i="21"/>
  <c r="B340" i="21"/>
  <c r="C231" i="21"/>
  <c r="B231" i="21"/>
  <c r="C123" i="21"/>
  <c r="B123" i="21"/>
  <c r="P443" i="21"/>
  <c r="O443" i="21"/>
  <c r="L443" i="21"/>
  <c r="P338" i="21"/>
  <c r="O338" i="21"/>
  <c r="L338" i="21"/>
  <c r="P229" i="21"/>
  <c r="O229" i="21"/>
  <c r="L229" i="21"/>
  <c r="P121" i="21"/>
  <c r="O121" i="21"/>
  <c r="L121" i="21"/>
  <c r="C443" i="21"/>
  <c r="B443" i="21"/>
  <c r="C338" i="21"/>
  <c r="B338" i="21"/>
  <c r="C229" i="21"/>
  <c r="B229" i="21"/>
  <c r="C121" i="21"/>
  <c r="B121" i="21"/>
  <c r="P440" i="21"/>
  <c r="O440" i="21"/>
  <c r="L440" i="21"/>
  <c r="P439" i="21"/>
  <c r="O439" i="21"/>
  <c r="L439" i="21"/>
  <c r="P335" i="21"/>
  <c r="O335" i="21"/>
  <c r="L335" i="21"/>
  <c r="P334" i="21"/>
  <c r="O334" i="21"/>
  <c r="L334" i="21"/>
  <c r="P226" i="21"/>
  <c r="O226" i="21"/>
  <c r="L226" i="21"/>
  <c r="P225" i="21"/>
  <c r="O225" i="21"/>
  <c r="L225" i="21"/>
  <c r="P118" i="21"/>
  <c r="O118" i="21"/>
  <c r="L118" i="21"/>
  <c r="P117" i="21"/>
  <c r="O117" i="21"/>
  <c r="L117" i="21"/>
  <c r="C440" i="21"/>
  <c r="B440" i="21"/>
  <c r="C439" i="21"/>
  <c r="B439" i="21"/>
  <c r="C335" i="21"/>
  <c r="B335" i="21"/>
  <c r="C334" i="21"/>
  <c r="B334" i="21"/>
  <c r="C226" i="21"/>
  <c r="B226" i="21"/>
  <c r="C225" i="21"/>
  <c r="B225" i="21"/>
  <c r="C118" i="21"/>
  <c r="B118" i="21"/>
  <c r="C117" i="21"/>
  <c r="B117" i="21"/>
  <c r="P22" i="21"/>
  <c r="P20" i="21"/>
  <c r="P19" i="21"/>
  <c r="P17" i="21"/>
  <c r="AZ31" i="21" s="1"/>
  <c r="P15" i="21"/>
  <c r="P12" i="21"/>
  <c r="AZ12" i="21" s="1"/>
  <c r="P11" i="21"/>
  <c r="AZ11" i="21" s="1"/>
  <c r="O22" i="21"/>
  <c r="AY16" i="21" s="1"/>
  <c r="O20" i="21"/>
  <c r="AY33" i="21" s="1"/>
  <c r="O19" i="21"/>
  <c r="AY32" i="21" s="1"/>
  <c r="O17" i="21"/>
  <c r="AY31" i="21" s="1"/>
  <c r="O15" i="21"/>
  <c r="AY13" i="21" s="1"/>
  <c r="O13" i="21"/>
  <c r="AY22" i="21" s="1"/>
  <c r="O12" i="21"/>
  <c r="AY12" i="21" s="1"/>
  <c r="O11" i="21"/>
  <c r="AY11" i="21" s="1"/>
  <c r="L22" i="21"/>
  <c r="L20" i="21"/>
  <c r="L19" i="21"/>
  <c r="L17" i="21"/>
  <c r="L15" i="21"/>
  <c r="AX13" i="21" s="1"/>
  <c r="L12" i="21"/>
  <c r="L11" i="21"/>
  <c r="C15" i="21"/>
  <c r="AV13" i="21" s="1"/>
  <c r="B15" i="21"/>
  <c r="AU13" i="21" s="1"/>
  <c r="C20" i="21"/>
  <c r="AV33" i="21" s="1"/>
  <c r="B20" i="21"/>
  <c r="AU33" i="21" s="1"/>
  <c r="C19" i="21"/>
  <c r="AV32" i="21" s="1"/>
  <c r="B19" i="21"/>
  <c r="C17" i="21"/>
  <c r="AV31" i="21" s="1"/>
  <c r="B17" i="21"/>
  <c r="AU31" i="21" s="1"/>
  <c r="C22" i="21"/>
  <c r="B22" i="21"/>
  <c r="AU16" i="21" s="1"/>
  <c r="C12" i="21"/>
  <c r="AV12" i="21" s="1"/>
  <c r="B12" i="21"/>
  <c r="AU12" i="21" s="1"/>
  <c r="C11" i="21"/>
  <c r="AV11" i="21" s="1"/>
  <c r="B11" i="21"/>
  <c r="AU11" i="21" s="1"/>
  <c r="A511" i="21"/>
  <c r="A475" i="21"/>
  <c r="A473" i="21"/>
  <c r="A510" i="21" s="1"/>
  <c r="A472" i="21"/>
  <c r="A471" i="21"/>
  <c r="A470" i="21"/>
  <c r="A468" i="21"/>
  <c r="A485" i="21" s="1"/>
  <c r="A467" i="21"/>
  <c r="A466" i="21"/>
  <c r="A484" i="21" s="1"/>
  <c r="A465" i="21"/>
  <c r="A483" i="21" s="1"/>
  <c r="A464" i="21"/>
  <c r="A482" i="21" s="1"/>
  <c r="A463" i="21"/>
  <c r="A462" i="21"/>
  <c r="A481" i="21" s="1"/>
  <c r="A461" i="21"/>
  <c r="A480" i="21" s="1"/>
  <c r="A460" i="21"/>
  <c r="A479" i="21" s="1"/>
  <c r="A459" i="21"/>
  <c r="A478" i="21" s="1"/>
  <c r="P455" i="21"/>
  <c r="O455" i="21"/>
  <c r="L455" i="21"/>
  <c r="C455" i="21"/>
  <c r="B455" i="21"/>
  <c r="P453" i="21"/>
  <c r="O453" i="21"/>
  <c r="L453" i="21"/>
  <c r="C453" i="21"/>
  <c r="B453" i="21"/>
  <c r="P452" i="21"/>
  <c r="O452" i="21"/>
  <c r="L452" i="21"/>
  <c r="C452" i="21"/>
  <c r="B452" i="21"/>
  <c r="P451" i="21"/>
  <c r="O451" i="21"/>
  <c r="L451" i="21"/>
  <c r="C451" i="21"/>
  <c r="B451" i="21"/>
  <c r="P446" i="21"/>
  <c r="O446" i="21"/>
  <c r="L446" i="21"/>
  <c r="C446" i="21"/>
  <c r="B446" i="21"/>
  <c r="P444" i="21"/>
  <c r="O444" i="21"/>
  <c r="L444" i="21"/>
  <c r="C444" i="21"/>
  <c r="B444" i="21"/>
  <c r="P442" i="21"/>
  <c r="O442" i="21"/>
  <c r="L442" i="21"/>
  <c r="C442" i="21"/>
  <c r="B442" i="21"/>
  <c r="P441" i="21"/>
  <c r="O441" i="21"/>
  <c r="L441" i="21"/>
  <c r="C441" i="21"/>
  <c r="B441" i="21"/>
  <c r="A406" i="21"/>
  <c r="A370" i="21"/>
  <c r="A368" i="21"/>
  <c r="A405" i="21" s="1"/>
  <c r="A367" i="21"/>
  <c r="A366" i="21"/>
  <c r="A365" i="21"/>
  <c r="A363" i="21"/>
  <c r="A380" i="21" s="1"/>
  <c r="A362" i="21"/>
  <c r="A361" i="21"/>
  <c r="A379" i="21" s="1"/>
  <c r="A360" i="21"/>
  <c r="A378" i="21" s="1"/>
  <c r="A359" i="21"/>
  <c r="A377" i="21" s="1"/>
  <c r="A358" i="21"/>
  <c r="A357" i="21"/>
  <c r="A376" i="21" s="1"/>
  <c r="A356" i="21"/>
  <c r="A375" i="21" s="1"/>
  <c r="A399" i="21" s="1"/>
  <c r="A355" i="21"/>
  <c r="A374" i="21" s="1"/>
  <c r="A354" i="21"/>
  <c r="A373" i="21" s="1"/>
  <c r="P350" i="21"/>
  <c r="O350" i="21"/>
  <c r="L350" i="21"/>
  <c r="C350" i="21"/>
  <c r="B350" i="21"/>
  <c r="P348" i="21"/>
  <c r="O348" i="21"/>
  <c r="L348" i="21"/>
  <c r="C348" i="21"/>
  <c r="B348" i="21"/>
  <c r="P347" i="21"/>
  <c r="O347" i="21"/>
  <c r="L347" i="21"/>
  <c r="C347" i="21"/>
  <c r="B347" i="21"/>
  <c r="P346" i="21"/>
  <c r="O346" i="21"/>
  <c r="L346" i="21"/>
  <c r="C346" i="21"/>
  <c r="B346" i="21"/>
  <c r="P341" i="21"/>
  <c r="O341" i="21"/>
  <c r="L341" i="21"/>
  <c r="C341" i="21"/>
  <c r="B341" i="21"/>
  <c r="P339" i="21"/>
  <c r="O339" i="21"/>
  <c r="L339" i="21"/>
  <c r="C339" i="21"/>
  <c r="B339" i="21"/>
  <c r="P337" i="21"/>
  <c r="O337" i="21"/>
  <c r="L337" i="21"/>
  <c r="C337" i="21"/>
  <c r="B337" i="21"/>
  <c r="P336" i="21"/>
  <c r="O336" i="21"/>
  <c r="L336" i="21"/>
  <c r="C336" i="21"/>
  <c r="B336" i="21"/>
  <c r="A297" i="21"/>
  <c r="A261" i="21"/>
  <c r="A259" i="21"/>
  <c r="A296" i="21" s="1"/>
  <c r="A258" i="21"/>
  <c r="A257" i="21"/>
  <c r="A256" i="21"/>
  <c r="A254" i="21"/>
  <c r="A271" i="21" s="1"/>
  <c r="A295" i="21" s="1"/>
  <c r="A253" i="21"/>
  <c r="A252" i="21"/>
  <c r="A270" i="21" s="1"/>
  <c r="A294" i="21" s="1"/>
  <c r="A251" i="21"/>
  <c r="A269" i="21" s="1"/>
  <c r="A293" i="21" s="1"/>
  <c r="A250" i="21"/>
  <c r="A268" i="21" s="1"/>
  <c r="A249" i="21"/>
  <c r="A248" i="21"/>
  <c r="A267" i="21" s="1"/>
  <c r="A247" i="21"/>
  <c r="A266" i="21" s="1"/>
  <c r="A246" i="21"/>
  <c r="A265" i="21" s="1"/>
  <c r="A289" i="21" s="1"/>
  <c r="A245" i="21"/>
  <c r="A264" i="21" s="1"/>
  <c r="P241" i="21"/>
  <c r="O241" i="21"/>
  <c r="L241" i="21"/>
  <c r="C241" i="21"/>
  <c r="B241" i="21"/>
  <c r="P239" i="21"/>
  <c r="O239" i="21"/>
  <c r="L239" i="21"/>
  <c r="C239" i="21"/>
  <c r="B239" i="21"/>
  <c r="P238" i="21"/>
  <c r="O238" i="21"/>
  <c r="L238" i="21"/>
  <c r="C238" i="21"/>
  <c r="B238" i="21"/>
  <c r="P237" i="21"/>
  <c r="O237" i="21"/>
  <c r="L237" i="21"/>
  <c r="C237" i="21"/>
  <c r="B237" i="21"/>
  <c r="P232" i="21"/>
  <c r="O232" i="21"/>
  <c r="L232" i="21"/>
  <c r="C232" i="21"/>
  <c r="B232" i="21"/>
  <c r="P230" i="21"/>
  <c r="O230" i="21"/>
  <c r="L230" i="21"/>
  <c r="C230" i="21"/>
  <c r="B230" i="21"/>
  <c r="P228" i="21"/>
  <c r="O228" i="21"/>
  <c r="L228" i="21"/>
  <c r="C228" i="21"/>
  <c r="B228" i="21"/>
  <c r="P227" i="21"/>
  <c r="O227" i="21"/>
  <c r="L227" i="21"/>
  <c r="C227" i="21"/>
  <c r="B227" i="21"/>
  <c r="A189" i="21"/>
  <c r="A153" i="21"/>
  <c r="A151" i="21"/>
  <c r="A188" i="21" s="1"/>
  <c r="A150" i="21"/>
  <c r="A149" i="21"/>
  <c r="A148" i="21"/>
  <c r="A146" i="21"/>
  <c r="A163" i="21" s="1"/>
  <c r="A145" i="21"/>
  <c r="A144" i="21"/>
  <c r="A162" i="21" s="1"/>
  <c r="A186" i="21" s="1"/>
  <c r="A143" i="21"/>
  <c r="A161" i="21" s="1"/>
  <c r="A185" i="21" s="1"/>
  <c r="A142" i="21"/>
  <c r="A160" i="21" s="1"/>
  <c r="A141" i="21"/>
  <c r="A140" i="21"/>
  <c r="A159" i="21" s="1"/>
  <c r="A183" i="21" s="1"/>
  <c r="A139" i="21"/>
  <c r="A158" i="21" s="1"/>
  <c r="A138" i="21"/>
  <c r="A157" i="21" s="1"/>
  <c r="A181" i="21" s="1"/>
  <c r="A137" i="21"/>
  <c r="A156" i="21" s="1"/>
  <c r="P133" i="21"/>
  <c r="O133" i="21"/>
  <c r="L133" i="21"/>
  <c r="C133" i="21"/>
  <c r="B133" i="21"/>
  <c r="P131" i="21"/>
  <c r="O131" i="21"/>
  <c r="L131" i="21"/>
  <c r="C131" i="21"/>
  <c r="B131" i="21"/>
  <c r="P130" i="21"/>
  <c r="O130" i="21"/>
  <c r="L130" i="21"/>
  <c r="C130" i="21"/>
  <c r="B130" i="21"/>
  <c r="P129" i="21"/>
  <c r="O129" i="21"/>
  <c r="L129" i="21"/>
  <c r="C129" i="21"/>
  <c r="B129" i="21"/>
  <c r="P124" i="21"/>
  <c r="O124" i="21"/>
  <c r="L124" i="21"/>
  <c r="C124" i="21"/>
  <c r="B124" i="21"/>
  <c r="P122" i="21"/>
  <c r="O122" i="21"/>
  <c r="L122" i="21"/>
  <c r="C122" i="21"/>
  <c r="B122" i="21"/>
  <c r="P120" i="21"/>
  <c r="O120" i="21"/>
  <c r="L120" i="21"/>
  <c r="C120" i="21"/>
  <c r="B120" i="21"/>
  <c r="P119" i="21"/>
  <c r="O119" i="21"/>
  <c r="L119" i="21"/>
  <c r="C119" i="21"/>
  <c r="B119" i="21"/>
  <c r="A83" i="21"/>
  <c r="A47" i="21"/>
  <c r="A45" i="21"/>
  <c r="A82" i="21" s="1"/>
  <c r="A44" i="21"/>
  <c r="A43" i="21"/>
  <c r="A42" i="21"/>
  <c r="A40" i="21"/>
  <c r="A57" i="21" s="1"/>
  <c r="A39" i="21"/>
  <c r="A38" i="21"/>
  <c r="A56" i="21" s="1"/>
  <c r="A80" i="21" s="1"/>
  <c r="A37" i="21"/>
  <c r="A55" i="21" s="1"/>
  <c r="A79" i="21" s="1"/>
  <c r="A36" i="21"/>
  <c r="A54" i="21" s="1"/>
  <c r="A78" i="21" s="1"/>
  <c r="A35" i="21"/>
  <c r="A34" i="21"/>
  <c r="A53" i="21" s="1"/>
  <c r="AW33" i="21"/>
  <c r="AT33" i="21"/>
  <c r="A33" i="21"/>
  <c r="A52" i="21" s="1"/>
  <c r="AW32" i="21"/>
  <c r="AT32" i="21"/>
  <c r="A32" i="21"/>
  <c r="A51" i="21" s="1"/>
  <c r="AW31" i="21"/>
  <c r="AT31" i="21"/>
  <c r="A31" i="21"/>
  <c r="A50" i="21" s="1"/>
  <c r="AZ30" i="21"/>
  <c r="AY30" i="21"/>
  <c r="AX30" i="21"/>
  <c r="AW30" i="21"/>
  <c r="AV30" i="21"/>
  <c r="AU30" i="21"/>
  <c r="AT30" i="21"/>
  <c r="AX29" i="21"/>
  <c r="AW27" i="21"/>
  <c r="AT27" i="21"/>
  <c r="P27" i="21"/>
  <c r="O27" i="21"/>
  <c r="AY27" i="21" s="1"/>
  <c r="L27" i="21"/>
  <c r="AX27" i="21" s="1"/>
  <c r="C27" i="21"/>
  <c r="AV27" i="21" s="1"/>
  <c r="B27" i="21"/>
  <c r="AU27" i="21" s="1"/>
  <c r="AW26" i="21"/>
  <c r="AT26" i="21"/>
  <c r="AW25" i="21"/>
  <c r="AT25" i="21"/>
  <c r="P25" i="21"/>
  <c r="O25" i="21"/>
  <c r="L25" i="21"/>
  <c r="AX25" i="21" s="1"/>
  <c r="C25" i="21"/>
  <c r="AV25" i="21" s="1"/>
  <c r="B25" i="21"/>
  <c r="AU25" i="21" s="1"/>
  <c r="AW24" i="21"/>
  <c r="AT24" i="21"/>
  <c r="P24" i="21"/>
  <c r="O24" i="21"/>
  <c r="AY24" i="21" s="1"/>
  <c r="L24" i="21"/>
  <c r="AX24" i="21" s="1"/>
  <c r="C24" i="21"/>
  <c r="AV24" i="21" s="1"/>
  <c r="B24" i="21"/>
  <c r="AU24" i="21" s="1"/>
  <c r="AW23" i="21"/>
  <c r="AT23" i="21"/>
  <c r="P23" i="21"/>
  <c r="O23" i="21"/>
  <c r="AY17" i="21" s="1"/>
  <c r="L23" i="21"/>
  <c r="AX17" i="21" s="1"/>
  <c r="C23" i="21"/>
  <c r="AV17" i="21" s="1"/>
  <c r="B23" i="21"/>
  <c r="AU17" i="21" s="1"/>
  <c r="AW22" i="21"/>
  <c r="AT22" i="21"/>
  <c r="AT20" i="21"/>
  <c r="P18" i="21"/>
  <c r="AZ15" i="21" s="1"/>
  <c r="O18" i="21"/>
  <c r="L18" i="21"/>
  <c r="AX15" i="21" s="1"/>
  <c r="C18" i="21"/>
  <c r="B18" i="21"/>
  <c r="AU15" i="21" s="1"/>
  <c r="AW17" i="21"/>
  <c r="AT17" i="21"/>
  <c r="AW16" i="21"/>
  <c r="AT16" i="21"/>
  <c r="P16" i="21"/>
  <c r="AZ14" i="21" s="1"/>
  <c r="O16" i="21"/>
  <c r="L16" i="21"/>
  <c r="AX14" i="21" s="1"/>
  <c r="C16" i="21"/>
  <c r="B16" i="21"/>
  <c r="AU14" i="21" s="1"/>
  <c r="AW15" i="21"/>
  <c r="AT15" i="21"/>
  <c r="AW14" i="21"/>
  <c r="AT14" i="21"/>
  <c r="P14" i="21"/>
  <c r="O14" i="21"/>
  <c r="AY23" i="21" s="1"/>
  <c r="L14" i="21"/>
  <c r="AX23" i="21" s="1"/>
  <c r="C14" i="21"/>
  <c r="AV23" i="21" s="1"/>
  <c r="B14" i="21"/>
  <c r="AW13" i="21"/>
  <c r="AT13" i="21"/>
  <c r="P13" i="21"/>
  <c r="L13" i="21"/>
  <c r="AX22" i="21" s="1"/>
  <c r="C13" i="21"/>
  <c r="AV22" i="21" s="1"/>
  <c r="B13" i="21"/>
  <c r="AW12" i="21"/>
  <c r="AT12" i="21"/>
  <c r="AW11" i="21"/>
  <c r="AT11" i="21"/>
  <c r="AZ10" i="21"/>
  <c r="AY10" i="21"/>
  <c r="AX10" i="21"/>
  <c r="AW10" i="21"/>
  <c r="AV10" i="21"/>
  <c r="AU10" i="21"/>
  <c r="AX9" i="21"/>
  <c r="P455" i="9"/>
  <c r="O455" i="9"/>
  <c r="L455" i="9"/>
  <c r="P453" i="9"/>
  <c r="O453" i="9"/>
  <c r="L453" i="9"/>
  <c r="P452" i="9"/>
  <c r="O452" i="9"/>
  <c r="L452" i="9"/>
  <c r="P451" i="9"/>
  <c r="O451" i="9"/>
  <c r="L451" i="9"/>
  <c r="P446" i="9"/>
  <c r="O446" i="9"/>
  <c r="L446" i="9"/>
  <c r="P444" i="9"/>
  <c r="O444" i="9"/>
  <c r="L444" i="9"/>
  <c r="P442" i="9"/>
  <c r="O442" i="9"/>
  <c r="L442" i="9"/>
  <c r="P441" i="9"/>
  <c r="O441" i="9"/>
  <c r="L441" i="9"/>
  <c r="C455" i="9"/>
  <c r="B455" i="9"/>
  <c r="C453" i="9"/>
  <c r="B453" i="9"/>
  <c r="C452" i="9"/>
  <c r="B452" i="9"/>
  <c r="C451" i="9"/>
  <c r="B451" i="9"/>
  <c r="C446" i="9"/>
  <c r="B446" i="9"/>
  <c r="C444" i="9"/>
  <c r="B444" i="9"/>
  <c r="C442" i="9"/>
  <c r="B442" i="9"/>
  <c r="C441" i="9"/>
  <c r="B441" i="9"/>
  <c r="P350" i="9"/>
  <c r="O350" i="9"/>
  <c r="L350" i="9"/>
  <c r="P348" i="9"/>
  <c r="O348" i="9"/>
  <c r="L348" i="9"/>
  <c r="P347" i="9"/>
  <c r="O347" i="9"/>
  <c r="L347" i="9"/>
  <c r="P346" i="9"/>
  <c r="O346" i="9"/>
  <c r="L346" i="9"/>
  <c r="P341" i="9"/>
  <c r="O341" i="9"/>
  <c r="L341" i="9"/>
  <c r="P339" i="9"/>
  <c r="O339" i="9"/>
  <c r="L339" i="9"/>
  <c r="P337" i="9"/>
  <c r="O337" i="9"/>
  <c r="L337" i="9"/>
  <c r="P336" i="9"/>
  <c r="O336" i="9"/>
  <c r="L336" i="9"/>
  <c r="C350" i="9"/>
  <c r="B350" i="9"/>
  <c r="C348" i="9"/>
  <c r="B348" i="9"/>
  <c r="C347" i="9"/>
  <c r="B347" i="9"/>
  <c r="C346" i="9"/>
  <c r="B346" i="9"/>
  <c r="C341" i="9"/>
  <c r="B341" i="9"/>
  <c r="C339" i="9"/>
  <c r="B339" i="9"/>
  <c r="C337" i="9"/>
  <c r="B337" i="9"/>
  <c r="C336" i="9"/>
  <c r="B336" i="9"/>
  <c r="P450" i="9"/>
  <c r="O450" i="9"/>
  <c r="L450" i="9"/>
  <c r="P448" i="9"/>
  <c r="O448" i="9"/>
  <c r="L448" i="9"/>
  <c r="P447" i="9"/>
  <c r="O447" i="9"/>
  <c r="L447" i="9"/>
  <c r="P445" i="9"/>
  <c r="O445" i="9"/>
  <c r="L445" i="9"/>
  <c r="P443" i="9"/>
  <c r="O443" i="9"/>
  <c r="L443" i="9"/>
  <c r="P440" i="9"/>
  <c r="O440" i="9"/>
  <c r="L440" i="9"/>
  <c r="P439" i="9"/>
  <c r="O439" i="9"/>
  <c r="L439" i="9"/>
  <c r="P345" i="9"/>
  <c r="O345" i="9"/>
  <c r="L345" i="9"/>
  <c r="P343" i="9"/>
  <c r="O343" i="9"/>
  <c r="L343" i="9"/>
  <c r="P342" i="9"/>
  <c r="O342" i="9"/>
  <c r="L342" i="9"/>
  <c r="P340" i="9"/>
  <c r="O340" i="9"/>
  <c r="L340" i="9"/>
  <c r="P338" i="9"/>
  <c r="O338" i="9"/>
  <c r="L338" i="9"/>
  <c r="P335" i="9"/>
  <c r="O335" i="9"/>
  <c r="L335" i="9"/>
  <c r="P334" i="9"/>
  <c r="O334" i="9"/>
  <c r="L334" i="9"/>
  <c r="P241" i="9"/>
  <c r="O241" i="9"/>
  <c r="L241" i="9"/>
  <c r="P239" i="9"/>
  <c r="O239" i="9"/>
  <c r="L239" i="9"/>
  <c r="P238" i="9"/>
  <c r="O238" i="9"/>
  <c r="L238" i="9"/>
  <c r="P237" i="9"/>
  <c r="O237" i="9"/>
  <c r="L237" i="9"/>
  <c r="P232" i="9"/>
  <c r="O232" i="9"/>
  <c r="L232" i="9"/>
  <c r="P230" i="9"/>
  <c r="O230" i="9"/>
  <c r="L230" i="9"/>
  <c r="P228" i="9"/>
  <c r="O228" i="9"/>
  <c r="L228" i="9"/>
  <c r="P227" i="9"/>
  <c r="O227" i="9"/>
  <c r="L227" i="9"/>
  <c r="C241" i="9"/>
  <c r="B241" i="9"/>
  <c r="C239" i="9"/>
  <c r="B239" i="9"/>
  <c r="C238" i="9"/>
  <c r="B238" i="9"/>
  <c r="C237" i="9"/>
  <c r="B237" i="9"/>
  <c r="C232" i="9"/>
  <c r="B232" i="9"/>
  <c r="C230" i="9"/>
  <c r="B230" i="9"/>
  <c r="C228" i="9"/>
  <c r="B228" i="9"/>
  <c r="C227" i="9"/>
  <c r="B227" i="9"/>
  <c r="P236" i="9"/>
  <c r="O236" i="9"/>
  <c r="L236" i="9"/>
  <c r="P234" i="9"/>
  <c r="O234" i="9"/>
  <c r="L234" i="9"/>
  <c r="P233" i="9"/>
  <c r="O233" i="9"/>
  <c r="L233" i="9"/>
  <c r="P231" i="9"/>
  <c r="O231" i="9"/>
  <c r="L231" i="9"/>
  <c r="P229" i="9"/>
  <c r="O229" i="9"/>
  <c r="L229" i="9"/>
  <c r="P226" i="9"/>
  <c r="O226" i="9"/>
  <c r="L226" i="9"/>
  <c r="P225" i="9"/>
  <c r="O225" i="9"/>
  <c r="L225" i="9"/>
  <c r="P133" i="9"/>
  <c r="O133" i="9"/>
  <c r="L133" i="9"/>
  <c r="P131" i="9"/>
  <c r="O131" i="9"/>
  <c r="L131" i="9"/>
  <c r="P130" i="9"/>
  <c r="O130" i="9"/>
  <c r="L130" i="9"/>
  <c r="P129" i="9"/>
  <c r="O129" i="9"/>
  <c r="L129" i="9"/>
  <c r="P124" i="9"/>
  <c r="O124" i="9"/>
  <c r="L124" i="9"/>
  <c r="P122" i="9"/>
  <c r="O122" i="9"/>
  <c r="L122" i="9"/>
  <c r="P120" i="9"/>
  <c r="O120" i="9"/>
  <c r="L120" i="9"/>
  <c r="P119" i="9"/>
  <c r="O119" i="9"/>
  <c r="L119" i="9"/>
  <c r="P128" i="9"/>
  <c r="O128" i="9"/>
  <c r="L128" i="9"/>
  <c r="P126" i="9"/>
  <c r="O126" i="9"/>
  <c r="L126" i="9"/>
  <c r="P125" i="9"/>
  <c r="O125" i="9"/>
  <c r="L125" i="9"/>
  <c r="P123" i="9"/>
  <c r="O123" i="9"/>
  <c r="L123" i="9"/>
  <c r="P121" i="9"/>
  <c r="O121" i="9"/>
  <c r="L121" i="9"/>
  <c r="P118" i="9"/>
  <c r="O118" i="9"/>
  <c r="L118" i="9"/>
  <c r="P117" i="9"/>
  <c r="O117" i="9"/>
  <c r="L117" i="9"/>
  <c r="C133" i="9"/>
  <c r="B133" i="9"/>
  <c r="C131" i="9"/>
  <c r="B131" i="9"/>
  <c r="C130" i="9"/>
  <c r="B130" i="9"/>
  <c r="C129" i="9"/>
  <c r="B129" i="9"/>
  <c r="C124" i="9"/>
  <c r="B124" i="9"/>
  <c r="C122" i="9"/>
  <c r="B122" i="9"/>
  <c r="C120" i="9"/>
  <c r="B120" i="9"/>
  <c r="C119" i="9"/>
  <c r="B119" i="9"/>
  <c r="C450" i="9"/>
  <c r="B450" i="9"/>
  <c r="C448" i="9"/>
  <c r="B448" i="9"/>
  <c r="C447" i="9"/>
  <c r="B447" i="9"/>
  <c r="C445" i="9"/>
  <c r="B445" i="9"/>
  <c r="C443" i="9"/>
  <c r="B443" i="9"/>
  <c r="C440" i="9"/>
  <c r="B440" i="9"/>
  <c r="C439" i="9"/>
  <c r="B439" i="9"/>
  <c r="C345" i="9"/>
  <c r="B345" i="9"/>
  <c r="C343" i="9"/>
  <c r="B343" i="9"/>
  <c r="C342" i="9"/>
  <c r="B342" i="9"/>
  <c r="C340" i="9"/>
  <c r="B340" i="9"/>
  <c r="C338" i="9"/>
  <c r="B338" i="9"/>
  <c r="C335" i="9"/>
  <c r="B335" i="9"/>
  <c r="C334" i="9"/>
  <c r="B334" i="9"/>
  <c r="C236" i="9"/>
  <c r="B236" i="9"/>
  <c r="C234" i="9"/>
  <c r="B234" i="9"/>
  <c r="C233" i="9"/>
  <c r="B233" i="9"/>
  <c r="C231" i="9"/>
  <c r="B231" i="9"/>
  <c r="C229" i="9"/>
  <c r="B229" i="9"/>
  <c r="C226" i="9"/>
  <c r="B226" i="9"/>
  <c r="C225" i="9"/>
  <c r="B225" i="9"/>
  <c r="C128" i="9"/>
  <c r="B128" i="9"/>
  <c r="C126" i="9"/>
  <c r="B126" i="9"/>
  <c r="C125" i="9"/>
  <c r="B125" i="9"/>
  <c r="C123" i="9"/>
  <c r="B123" i="9"/>
  <c r="C121" i="9"/>
  <c r="B121" i="9"/>
  <c r="C118" i="9"/>
  <c r="B118" i="9"/>
  <c r="C117" i="9"/>
  <c r="B117" i="9"/>
  <c r="P22" i="9"/>
  <c r="O22" i="9"/>
  <c r="L22" i="9"/>
  <c r="P20" i="9"/>
  <c r="O20" i="9"/>
  <c r="L20" i="9"/>
  <c r="P19" i="9"/>
  <c r="O19" i="9"/>
  <c r="L19" i="9"/>
  <c r="P17" i="9"/>
  <c r="O17" i="9"/>
  <c r="L17" i="9"/>
  <c r="P15" i="9"/>
  <c r="O15" i="9"/>
  <c r="L15" i="9"/>
  <c r="P12" i="9"/>
  <c r="P11" i="9"/>
  <c r="O12" i="9"/>
  <c r="O11" i="9"/>
  <c r="L12" i="9"/>
  <c r="L11" i="9"/>
  <c r="C22" i="9"/>
  <c r="B22" i="9"/>
  <c r="B20" i="9"/>
  <c r="C20" i="9"/>
  <c r="C19" i="9"/>
  <c r="B19" i="9"/>
  <c r="C17" i="9"/>
  <c r="B17" i="9"/>
  <c r="C15" i="9"/>
  <c r="B15" i="9"/>
  <c r="C12" i="9"/>
  <c r="B12" i="9"/>
  <c r="C11" i="9"/>
  <c r="B11" i="9"/>
  <c r="P27" i="9"/>
  <c r="O27" i="9"/>
  <c r="L27" i="9"/>
  <c r="P25" i="9"/>
  <c r="O25" i="9"/>
  <c r="L25" i="9"/>
  <c r="P24" i="9"/>
  <c r="O24" i="9"/>
  <c r="L24" i="9"/>
  <c r="P23" i="9"/>
  <c r="O23" i="9"/>
  <c r="L23" i="9"/>
  <c r="P18" i="9"/>
  <c r="O18" i="9"/>
  <c r="L18" i="9"/>
  <c r="P16" i="9"/>
  <c r="O16" i="9"/>
  <c r="L16" i="9"/>
  <c r="P14" i="9"/>
  <c r="O14" i="9"/>
  <c r="L14" i="9"/>
  <c r="P13" i="9"/>
  <c r="O13" i="9"/>
  <c r="L13" i="9"/>
  <c r="C27" i="9"/>
  <c r="B27" i="9"/>
  <c r="C25" i="9"/>
  <c r="B25" i="9"/>
  <c r="C24" i="9"/>
  <c r="B24" i="9"/>
  <c r="C23" i="9"/>
  <c r="B23" i="9"/>
  <c r="C18" i="9"/>
  <c r="B18" i="9"/>
  <c r="C16" i="9"/>
  <c r="B16" i="9"/>
  <c r="C14" i="9"/>
  <c r="B14" i="9"/>
  <c r="C13" i="9"/>
  <c r="B13" i="9"/>
  <c r="P443" i="20"/>
  <c r="O443" i="20"/>
  <c r="L443" i="20"/>
  <c r="P338" i="20"/>
  <c r="O338" i="20"/>
  <c r="L338" i="20"/>
  <c r="P229" i="20"/>
  <c r="O229" i="20"/>
  <c r="L229" i="20"/>
  <c r="P121" i="20"/>
  <c r="O121" i="20"/>
  <c r="L121" i="20"/>
  <c r="C443" i="20"/>
  <c r="B443" i="20"/>
  <c r="C338" i="20"/>
  <c r="B338" i="20"/>
  <c r="C229" i="20"/>
  <c r="B229" i="20"/>
  <c r="C121" i="20"/>
  <c r="B121" i="20"/>
  <c r="P454" i="20"/>
  <c r="O454" i="20"/>
  <c r="L454" i="20"/>
  <c r="P349" i="20"/>
  <c r="O349" i="20"/>
  <c r="L349" i="20"/>
  <c r="P240" i="20"/>
  <c r="O240" i="20"/>
  <c r="L240" i="20"/>
  <c r="P132" i="20"/>
  <c r="O132" i="20"/>
  <c r="L132" i="20"/>
  <c r="C454" i="20"/>
  <c r="B454" i="20"/>
  <c r="C349" i="20"/>
  <c r="B349" i="20"/>
  <c r="C240" i="20"/>
  <c r="B240" i="20"/>
  <c r="C132" i="20"/>
  <c r="B132" i="20"/>
  <c r="P448" i="20"/>
  <c r="O448" i="20"/>
  <c r="L448" i="20"/>
  <c r="P447" i="20"/>
  <c r="O447" i="20"/>
  <c r="L447" i="20"/>
  <c r="P343" i="20"/>
  <c r="O343" i="20"/>
  <c r="L343" i="20"/>
  <c r="P342" i="20"/>
  <c r="O342" i="20"/>
  <c r="L342" i="20"/>
  <c r="P234" i="20"/>
  <c r="O234" i="20"/>
  <c r="L234" i="20"/>
  <c r="P233" i="20"/>
  <c r="O233" i="20"/>
  <c r="L233" i="20"/>
  <c r="P126" i="20"/>
  <c r="O126" i="20"/>
  <c r="L126" i="20"/>
  <c r="P125" i="20"/>
  <c r="O125" i="20"/>
  <c r="L125" i="20"/>
  <c r="C448" i="20"/>
  <c r="B448" i="20"/>
  <c r="C447" i="20"/>
  <c r="B447" i="20"/>
  <c r="C343" i="20"/>
  <c r="B343" i="20"/>
  <c r="C342" i="20"/>
  <c r="B342" i="20"/>
  <c r="C234" i="20"/>
  <c r="B234" i="20"/>
  <c r="C233" i="20"/>
  <c r="B233" i="20"/>
  <c r="C126" i="20"/>
  <c r="B126" i="20"/>
  <c r="C125" i="20"/>
  <c r="B125" i="20"/>
  <c r="P445" i="20"/>
  <c r="O445" i="20"/>
  <c r="L445" i="20"/>
  <c r="P340" i="20"/>
  <c r="O340" i="20"/>
  <c r="L340" i="20"/>
  <c r="P231" i="20"/>
  <c r="O231" i="20"/>
  <c r="L231" i="20"/>
  <c r="P123" i="20"/>
  <c r="O123" i="20"/>
  <c r="L123" i="20"/>
  <c r="C445" i="20"/>
  <c r="B445" i="20"/>
  <c r="C340" i="20"/>
  <c r="B340" i="20"/>
  <c r="C231" i="20"/>
  <c r="B231" i="20"/>
  <c r="C123" i="20"/>
  <c r="B123" i="20"/>
  <c r="P450" i="20"/>
  <c r="O450" i="20"/>
  <c r="L450" i="20"/>
  <c r="P345" i="20"/>
  <c r="O345" i="20"/>
  <c r="L345" i="20"/>
  <c r="P236" i="20"/>
  <c r="O236" i="20"/>
  <c r="L236" i="20"/>
  <c r="P128" i="20"/>
  <c r="O128" i="20"/>
  <c r="L128" i="20"/>
  <c r="C450" i="20"/>
  <c r="B450" i="20"/>
  <c r="C345" i="20"/>
  <c r="B345" i="20"/>
  <c r="C236" i="20"/>
  <c r="B236" i="20"/>
  <c r="C128" i="20"/>
  <c r="B128" i="20"/>
  <c r="P440" i="20"/>
  <c r="O440" i="20"/>
  <c r="L440" i="20"/>
  <c r="P439" i="20"/>
  <c r="O439" i="20"/>
  <c r="L439" i="20"/>
  <c r="P335" i="20"/>
  <c r="O335" i="20"/>
  <c r="L335" i="20"/>
  <c r="P334" i="20"/>
  <c r="O334" i="20"/>
  <c r="L334" i="20"/>
  <c r="P226" i="20"/>
  <c r="O226" i="20"/>
  <c r="L226" i="20"/>
  <c r="P225" i="20"/>
  <c r="O225" i="20"/>
  <c r="L225" i="20"/>
  <c r="P118" i="20"/>
  <c r="O118" i="20"/>
  <c r="L118" i="20"/>
  <c r="P117" i="20"/>
  <c r="O117" i="20"/>
  <c r="L117" i="20"/>
  <c r="C440" i="20"/>
  <c r="B440" i="20"/>
  <c r="C439" i="20"/>
  <c r="B439" i="20"/>
  <c r="C335" i="20"/>
  <c r="B335" i="20"/>
  <c r="C334" i="20"/>
  <c r="B334" i="20"/>
  <c r="C226" i="20"/>
  <c r="B226" i="20"/>
  <c r="C225" i="20"/>
  <c r="B225" i="20"/>
  <c r="C118" i="20"/>
  <c r="B118" i="20"/>
  <c r="C117" i="20"/>
  <c r="B117" i="20"/>
  <c r="P15" i="20"/>
  <c r="O15" i="20"/>
  <c r="L15" i="20"/>
  <c r="P26" i="20"/>
  <c r="O26" i="20"/>
  <c r="L26" i="20"/>
  <c r="P20" i="20"/>
  <c r="O20" i="20"/>
  <c r="L20" i="20"/>
  <c r="P19" i="20"/>
  <c r="O19" i="20"/>
  <c r="L19" i="20"/>
  <c r="P17" i="20"/>
  <c r="O17" i="20"/>
  <c r="L17" i="20"/>
  <c r="P22" i="20"/>
  <c r="O22" i="20"/>
  <c r="L22" i="20"/>
  <c r="P12" i="20"/>
  <c r="P11" i="20"/>
  <c r="O12" i="20"/>
  <c r="O11" i="20"/>
  <c r="L12" i="20"/>
  <c r="L11" i="20"/>
  <c r="C15" i="20"/>
  <c r="B15" i="20"/>
  <c r="C26" i="20"/>
  <c r="B26" i="20"/>
  <c r="C20" i="20"/>
  <c r="C19" i="20"/>
  <c r="B20" i="20"/>
  <c r="B19" i="20"/>
  <c r="C17" i="20"/>
  <c r="B17" i="20"/>
  <c r="C22" i="20"/>
  <c r="B22" i="20"/>
  <c r="C12" i="20"/>
  <c r="C11" i="20"/>
  <c r="B12" i="20"/>
  <c r="B11" i="20"/>
  <c r="P443" i="19"/>
  <c r="O443" i="19"/>
  <c r="L443" i="19"/>
  <c r="P338" i="19"/>
  <c r="O338" i="19"/>
  <c r="L338" i="19"/>
  <c r="P229" i="19"/>
  <c r="O229" i="19"/>
  <c r="L229" i="19"/>
  <c r="P121" i="19"/>
  <c r="O121" i="19"/>
  <c r="L121" i="19"/>
  <c r="C443" i="19"/>
  <c r="B443" i="19"/>
  <c r="C338" i="19"/>
  <c r="B338" i="19"/>
  <c r="C229" i="19"/>
  <c r="B229" i="19"/>
  <c r="C121" i="19"/>
  <c r="B121" i="19"/>
  <c r="P454" i="19"/>
  <c r="O454" i="19"/>
  <c r="L454" i="19"/>
  <c r="P349" i="19"/>
  <c r="O349" i="19"/>
  <c r="L349" i="19"/>
  <c r="P240" i="19"/>
  <c r="O240" i="19"/>
  <c r="L240" i="19"/>
  <c r="P132" i="19"/>
  <c r="O132" i="19"/>
  <c r="L132" i="19"/>
  <c r="C454" i="19"/>
  <c r="B454" i="19"/>
  <c r="C349" i="19"/>
  <c r="B349" i="19"/>
  <c r="C240" i="19"/>
  <c r="B240" i="19"/>
  <c r="C132" i="19"/>
  <c r="B132" i="19"/>
  <c r="P448" i="19"/>
  <c r="O448" i="19"/>
  <c r="L448" i="19"/>
  <c r="P447" i="19"/>
  <c r="O447" i="19"/>
  <c r="L447" i="19"/>
  <c r="P343" i="19"/>
  <c r="O343" i="19"/>
  <c r="L343" i="19"/>
  <c r="P342" i="19"/>
  <c r="O342" i="19"/>
  <c r="L342" i="19"/>
  <c r="P234" i="19"/>
  <c r="O234" i="19"/>
  <c r="L234" i="19"/>
  <c r="P233" i="19"/>
  <c r="O233" i="19"/>
  <c r="L233" i="19"/>
  <c r="P126" i="19"/>
  <c r="O126" i="19"/>
  <c r="L126" i="19"/>
  <c r="P125" i="19"/>
  <c r="O125" i="19"/>
  <c r="L125" i="19"/>
  <c r="C448" i="19"/>
  <c r="B448" i="19"/>
  <c r="C447" i="19"/>
  <c r="B447" i="19"/>
  <c r="C343" i="19"/>
  <c r="B343" i="19"/>
  <c r="C342" i="19"/>
  <c r="B342" i="19"/>
  <c r="C234" i="19"/>
  <c r="B234" i="19"/>
  <c r="C233" i="19"/>
  <c r="B233" i="19"/>
  <c r="C126" i="19"/>
  <c r="B126" i="19"/>
  <c r="C125" i="19"/>
  <c r="B125" i="19"/>
  <c r="P445" i="19"/>
  <c r="O445" i="19"/>
  <c r="L445" i="19"/>
  <c r="P340" i="19"/>
  <c r="O340" i="19"/>
  <c r="L340" i="19"/>
  <c r="P231" i="19"/>
  <c r="O231" i="19"/>
  <c r="L231" i="19"/>
  <c r="P123" i="19"/>
  <c r="O123" i="19"/>
  <c r="L123" i="19"/>
  <c r="C445" i="19"/>
  <c r="B445" i="19"/>
  <c r="C340" i="19"/>
  <c r="B340" i="19"/>
  <c r="C231" i="19"/>
  <c r="B231" i="19"/>
  <c r="C123" i="19"/>
  <c r="B123" i="19"/>
  <c r="P450" i="19"/>
  <c r="O450" i="19"/>
  <c r="L450" i="19"/>
  <c r="P345" i="19"/>
  <c r="O345" i="19"/>
  <c r="L345" i="19"/>
  <c r="P236" i="19"/>
  <c r="O236" i="19"/>
  <c r="L236" i="19"/>
  <c r="P128" i="19"/>
  <c r="O128" i="19"/>
  <c r="L128" i="19"/>
  <c r="C450" i="19"/>
  <c r="B450" i="19"/>
  <c r="C345" i="19"/>
  <c r="B345" i="19"/>
  <c r="C236" i="19"/>
  <c r="B236" i="19"/>
  <c r="C128" i="19"/>
  <c r="B128" i="19"/>
  <c r="P440" i="19"/>
  <c r="O440" i="19"/>
  <c r="L440" i="19"/>
  <c r="P439" i="19"/>
  <c r="O439" i="19"/>
  <c r="L439" i="19"/>
  <c r="P335" i="19"/>
  <c r="O335" i="19"/>
  <c r="L335" i="19"/>
  <c r="P334" i="19"/>
  <c r="O334" i="19"/>
  <c r="L334" i="19"/>
  <c r="P226" i="19"/>
  <c r="O226" i="19"/>
  <c r="L226" i="19"/>
  <c r="P225" i="19"/>
  <c r="O225" i="19"/>
  <c r="L225" i="19"/>
  <c r="P118" i="19"/>
  <c r="O118" i="19"/>
  <c r="L118" i="19"/>
  <c r="P117" i="19"/>
  <c r="O117" i="19"/>
  <c r="L117" i="19"/>
  <c r="C440" i="19"/>
  <c r="B440" i="19"/>
  <c r="C439" i="19"/>
  <c r="B439" i="19"/>
  <c r="C335" i="19"/>
  <c r="B335" i="19"/>
  <c r="C334" i="19"/>
  <c r="B334" i="19"/>
  <c r="C226" i="19"/>
  <c r="B226" i="19"/>
  <c r="C225" i="19"/>
  <c r="B225" i="19"/>
  <c r="C118" i="19"/>
  <c r="B118" i="19"/>
  <c r="C117" i="19"/>
  <c r="B117" i="19"/>
  <c r="P15" i="19"/>
  <c r="O15" i="19"/>
  <c r="P20" i="19"/>
  <c r="O20" i="19"/>
  <c r="P19" i="19"/>
  <c r="O19" i="19"/>
  <c r="P17" i="19"/>
  <c r="O17" i="19"/>
  <c r="P22" i="19"/>
  <c r="O22" i="19"/>
  <c r="P12" i="19"/>
  <c r="O12" i="19"/>
  <c r="P11" i="19"/>
  <c r="O11" i="19"/>
  <c r="C20" i="19"/>
  <c r="C19" i="19"/>
  <c r="B20" i="19"/>
  <c r="B19" i="19"/>
  <c r="C22" i="19"/>
  <c r="B22" i="19"/>
  <c r="C17" i="19"/>
  <c r="B17" i="19"/>
  <c r="C15" i="19"/>
  <c r="B15" i="19"/>
  <c r="C12" i="19"/>
  <c r="B12" i="19"/>
  <c r="C11" i="19"/>
  <c r="B11" i="19"/>
  <c r="L15" i="19"/>
  <c r="L20" i="19"/>
  <c r="L19" i="19"/>
  <c r="L17" i="19"/>
  <c r="L22" i="19"/>
  <c r="L12" i="19"/>
  <c r="L11" i="19"/>
  <c r="B439" i="3"/>
  <c r="A511" i="20"/>
  <c r="A475" i="20"/>
  <c r="A473" i="20"/>
  <c r="A510" i="20" s="1"/>
  <c r="A472" i="20"/>
  <c r="A471" i="20"/>
  <c r="A470" i="20"/>
  <c r="A468" i="20"/>
  <c r="A485" i="20" s="1"/>
  <c r="A467" i="20"/>
  <c r="A466" i="20"/>
  <c r="A484" i="20" s="1"/>
  <c r="A465" i="20"/>
  <c r="A483" i="20" s="1"/>
  <c r="A507" i="20" s="1"/>
  <c r="A464" i="20"/>
  <c r="A482" i="20" s="1"/>
  <c r="A463" i="20"/>
  <c r="A462" i="20"/>
  <c r="A481" i="20" s="1"/>
  <c r="A461" i="20"/>
  <c r="A480" i="20" s="1"/>
  <c r="A460" i="20"/>
  <c r="A479" i="20" s="1"/>
  <c r="A459" i="20"/>
  <c r="A478" i="20" s="1"/>
  <c r="A502" i="20" s="1"/>
  <c r="P455" i="20"/>
  <c r="O455" i="20"/>
  <c r="L455" i="20"/>
  <c r="C455" i="20"/>
  <c r="B455" i="20"/>
  <c r="P453" i="20"/>
  <c r="O453" i="20"/>
  <c r="L453" i="20"/>
  <c r="C453" i="20"/>
  <c r="B453" i="20"/>
  <c r="P452" i="20"/>
  <c r="O452" i="20"/>
  <c r="L452" i="20"/>
  <c r="C452" i="20"/>
  <c r="B452" i="20"/>
  <c r="P451" i="20"/>
  <c r="O451" i="20"/>
  <c r="L451" i="20"/>
  <c r="C451" i="20"/>
  <c r="B451" i="20"/>
  <c r="P446" i="20"/>
  <c r="O446" i="20"/>
  <c r="L446" i="20"/>
  <c r="C446" i="20"/>
  <c r="B446" i="20"/>
  <c r="P444" i="20"/>
  <c r="O444" i="20"/>
  <c r="L444" i="20"/>
  <c r="C444" i="20"/>
  <c r="B444" i="20"/>
  <c r="P442" i="20"/>
  <c r="O442" i="20"/>
  <c r="L442" i="20"/>
  <c r="C442" i="20"/>
  <c r="B442" i="20"/>
  <c r="P441" i="20"/>
  <c r="O441" i="20"/>
  <c r="L441" i="20"/>
  <c r="C441" i="20"/>
  <c r="B441" i="20"/>
  <c r="A406" i="20"/>
  <c r="A370" i="20"/>
  <c r="A368" i="20"/>
  <c r="A405" i="20" s="1"/>
  <c r="A367" i="20"/>
  <c r="A366" i="20"/>
  <c r="A365" i="20"/>
  <c r="A363" i="20"/>
  <c r="A380" i="20" s="1"/>
  <c r="A362" i="20"/>
  <c r="A361" i="20"/>
  <c r="A379" i="20" s="1"/>
  <c r="A403" i="20" s="1"/>
  <c r="A360" i="20"/>
  <c r="A378" i="20" s="1"/>
  <c r="A402" i="20" s="1"/>
  <c r="A359" i="20"/>
  <c r="A377" i="20" s="1"/>
  <c r="A358" i="20"/>
  <c r="A357" i="20"/>
  <c r="A376" i="20" s="1"/>
  <c r="A356" i="20"/>
  <c r="A375" i="20" s="1"/>
  <c r="A355" i="20"/>
  <c r="A374" i="20" s="1"/>
  <c r="A354" i="20"/>
  <c r="A373" i="20" s="1"/>
  <c r="A385" i="20" s="1"/>
  <c r="P350" i="20"/>
  <c r="O350" i="20"/>
  <c r="L350" i="20"/>
  <c r="C350" i="20"/>
  <c r="B350" i="20"/>
  <c r="P348" i="20"/>
  <c r="O348" i="20"/>
  <c r="L348" i="20"/>
  <c r="C348" i="20"/>
  <c r="B348" i="20"/>
  <c r="P347" i="20"/>
  <c r="O347" i="20"/>
  <c r="L347" i="20"/>
  <c r="C347" i="20"/>
  <c r="B347" i="20"/>
  <c r="P346" i="20"/>
  <c r="O346" i="20"/>
  <c r="L346" i="20"/>
  <c r="C346" i="20"/>
  <c r="B346" i="20"/>
  <c r="P341" i="20"/>
  <c r="O341" i="20"/>
  <c r="L341" i="20"/>
  <c r="C341" i="20"/>
  <c r="B341" i="20"/>
  <c r="P339" i="20"/>
  <c r="O339" i="20"/>
  <c r="L339" i="20"/>
  <c r="C339" i="20"/>
  <c r="B339" i="20"/>
  <c r="P337" i="20"/>
  <c r="O337" i="20"/>
  <c r="L337" i="20"/>
  <c r="C337" i="20"/>
  <c r="B337" i="20"/>
  <c r="P336" i="20"/>
  <c r="O336" i="20"/>
  <c r="L336" i="20"/>
  <c r="C336" i="20"/>
  <c r="B336" i="20"/>
  <c r="A297" i="20"/>
  <c r="A261" i="20"/>
  <c r="A259" i="20"/>
  <c r="A296" i="20" s="1"/>
  <c r="A258" i="20"/>
  <c r="A257" i="20"/>
  <c r="A256" i="20"/>
  <c r="A254" i="20"/>
  <c r="A271" i="20" s="1"/>
  <c r="A253" i="20"/>
  <c r="A252" i="20"/>
  <c r="A270" i="20" s="1"/>
  <c r="A251" i="20"/>
  <c r="A269" i="20" s="1"/>
  <c r="A250" i="20"/>
  <c r="A268" i="20" s="1"/>
  <c r="A292" i="20" s="1"/>
  <c r="A249" i="20"/>
  <c r="A248" i="20"/>
  <c r="A267" i="20" s="1"/>
  <c r="A247" i="20"/>
  <c r="A266" i="20" s="1"/>
  <c r="A246" i="20"/>
  <c r="A265" i="20" s="1"/>
  <c r="A245" i="20"/>
  <c r="A264" i="20" s="1"/>
  <c r="P241" i="20"/>
  <c r="O241" i="20"/>
  <c r="L241" i="20"/>
  <c r="C241" i="20"/>
  <c r="B241" i="20"/>
  <c r="P239" i="20"/>
  <c r="O239" i="20"/>
  <c r="L239" i="20"/>
  <c r="C239" i="20"/>
  <c r="B239" i="20"/>
  <c r="P238" i="20"/>
  <c r="O238" i="20"/>
  <c r="L238" i="20"/>
  <c r="C238" i="20"/>
  <c r="B238" i="20"/>
  <c r="P237" i="20"/>
  <c r="O237" i="20"/>
  <c r="L237" i="20"/>
  <c r="C237" i="20"/>
  <c r="B237" i="20"/>
  <c r="P232" i="20"/>
  <c r="O232" i="20"/>
  <c r="L232" i="20"/>
  <c r="C232" i="20"/>
  <c r="B232" i="20"/>
  <c r="P230" i="20"/>
  <c r="O230" i="20"/>
  <c r="L230" i="20"/>
  <c r="C230" i="20"/>
  <c r="B230" i="20"/>
  <c r="P228" i="20"/>
  <c r="O228" i="20"/>
  <c r="L228" i="20"/>
  <c r="C228" i="20"/>
  <c r="B228" i="20"/>
  <c r="P227" i="20"/>
  <c r="O227" i="20"/>
  <c r="L227" i="20"/>
  <c r="C227" i="20"/>
  <c r="B227" i="20"/>
  <c r="A189" i="20"/>
  <c r="A153" i="20"/>
  <c r="A151" i="20"/>
  <c r="A188" i="20" s="1"/>
  <c r="A150" i="20"/>
  <c r="A149" i="20"/>
  <c r="A148" i="20"/>
  <c r="A146" i="20"/>
  <c r="A163" i="20" s="1"/>
  <c r="A145" i="20"/>
  <c r="A144" i="20"/>
  <c r="A162" i="20" s="1"/>
  <c r="A143" i="20"/>
  <c r="A161" i="20" s="1"/>
  <c r="A142" i="20"/>
  <c r="A160" i="20" s="1"/>
  <c r="A141" i="20"/>
  <c r="A140" i="20"/>
  <c r="A159" i="20" s="1"/>
  <c r="A183" i="20" s="1"/>
  <c r="A139" i="20"/>
  <c r="A158" i="20" s="1"/>
  <c r="A138" i="20"/>
  <c r="A157" i="20" s="1"/>
  <c r="A137" i="20"/>
  <c r="A156" i="20" s="1"/>
  <c r="P133" i="20"/>
  <c r="O133" i="20"/>
  <c r="L133" i="20"/>
  <c r="C133" i="20"/>
  <c r="B133" i="20"/>
  <c r="P131" i="20"/>
  <c r="O131" i="20"/>
  <c r="L131" i="20"/>
  <c r="C131" i="20"/>
  <c r="B131" i="20"/>
  <c r="P130" i="20"/>
  <c r="O130" i="20"/>
  <c r="L130" i="20"/>
  <c r="C130" i="20"/>
  <c r="B130" i="20"/>
  <c r="P129" i="20"/>
  <c r="O129" i="20"/>
  <c r="L129" i="20"/>
  <c r="C129" i="20"/>
  <c r="B129" i="20"/>
  <c r="P124" i="20"/>
  <c r="O124" i="20"/>
  <c r="L124" i="20"/>
  <c r="C124" i="20"/>
  <c r="B124" i="20"/>
  <c r="P122" i="20"/>
  <c r="O122" i="20"/>
  <c r="L122" i="20"/>
  <c r="C122" i="20"/>
  <c r="B122" i="20"/>
  <c r="P120" i="20"/>
  <c r="O120" i="20"/>
  <c r="L120" i="20"/>
  <c r="C120" i="20"/>
  <c r="B120" i="20"/>
  <c r="P119" i="20"/>
  <c r="O119" i="20"/>
  <c r="L119" i="20"/>
  <c r="C119" i="20"/>
  <c r="B119" i="20"/>
  <c r="A83" i="20"/>
  <c r="A47" i="20"/>
  <c r="A45" i="20"/>
  <c r="A82" i="20" s="1"/>
  <c r="A44" i="20"/>
  <c r="A43" i="20"/>
  <c r="A42" i="20"/>
  <c r="A40" i="20"/>
  <c r="A57" i="20" s="1"/>
  <c r="A39" i="20"/>
  <c r="A38" i="20"/>
  <c r="A56" i="20" s="1"/>
  <c r="A68" i="20" s="1"/>
  <c r="A37" i="20"/>
  <c r="A55" i="20" s="1"/>
  <c r="A36" i="20"/>
  <c r="A54" i="20" s="1"/>
  <c r="A35" i="20"/>
  <c r="A34" i="20"/>
  <c r="A53" i="20" s="1"/>
  <c r="A33" i="20"/>
  <c r="A52" i="20" s="1"/>
  <c r="A76" i="20" s="1"/>
  <c r="A32" i="20"/>
  <c r="A51" i="20" s="1"/>
  <c r="A31" i="20"/>
  <c r="A50" i="20" s="1"/>
  <c r="A74" i="20" s="1"/>
  <c r="P27" i="20"/>
  <c r="O27" i="20"/>
  <c r="L27" i="20"/>
  <c r="C27" i="20"/>
  <c r="B27" i="20"/>
  <c r="P25" i="20"/>
  <c r="O25" i="20"/>
  <c r="L25" i="20"/>
  <c r="C25" i="20"/>
  <c r="B25" i="20"/>
  <c r="P24" i="20"/>
  <c r="O24" i="20"/>
  <c r="L24" i="20"/>
  <c r="C24" i="20"/>
  <c r="B24" i="20"/>
  <c r="P23" i="20"/>
  <c r="O23" i="20"/>
  <c r="L23" i="20"/>
  <c r="C23" i="20"/>
  <c r="B23" i="20"/>
  <c r="P18" i="20"/>
  <c r="O18" i="20"/>
  <c r="L18" i="20"/>
  <c r="C18" i="20"/>
  <c r="B18" i="20"/>
  <c r="P16" i="20"/>
  <c r="O16" i="20"/>
  <c r="L16" i="20"/>
  <c r="C16" i="20"/>
  <c r="B16" i="20"/>
  <c r="P14" i="20"/>
  <c r="O14" i="20"/>
  <c r="L14" i="20"/>
  <c r="C14" i="20"/>
  <c r="B14" i="20"/>
  <c r="P13" i="20"/>
  <c r="O13" i="20"/>
  <c r="L13" i="20"/>
  <c r="C13" i="20"/>
  <c r="B13" i="20"/>
  <c r="A511" i="19"/>
  <c r="A475" i="19"/>
  <c r="A473" i="19"/>
  <c r="A510" i="19" s="1"/>
  <c r="A472" i="19"/>
  <c r="A471" i="19"/>
  <c r="A470" i="19"/>
  <c r="A468" i="19"/>
  <c r="A485" i="19" s="1"/>
  <c r="A467" i="19"/>
  <c r="A466" i="19"/>
  <c r="A484" i="19" s="1"/>
  <c r="A465" i="19"/>
  <c r="A483" i="19" s="1"/>
  <c r="A464" i="19"/>
  <c r="A482" i="19" s="1"/>
  <c r="A463" i="19"/>
  <c r="A462" i="19"/>
  <c r="A481" i="19" s="1"/>
  <c r="A461" i="19"/>
  <c r="A480" i="19" s="1"/>
  <c r="A460" i="19"/>
  <c r="A479" i="19" s="1"/>
  <c r="A459" i="19"/>
  <c r="A478" i="19" s="1"/>
  <c r="P455" i="19"/>
  <c r="O455" i="19"/>
  <c r="L455" i="19"/>
  <c r="C455" i="19"/>
  <c r="B455" i="19"/>
  <c r="P453" i="19"/>
  <c r="O453" i="19"/>
  <c r="L453" i="19"/>
  <c r="C453" i="19"/>
  <c r="B453" i="19"/>
  <c r="P452" i="19"/>
  <c r="O452" i="19"/>
  <c r="L452" i="19"/>
  <c r="C452" i="19"/>
  <c r="B452" i="19"/>
  <c r="P451" i="19"/>
  <c r="O451" i="19"/>
  <c r="L451" i="19"/>
  <c r="C451" i="19"/>
  <c r="B451" i="19"/>
  <c r="P446" i="19"/>
  <c r="O446" i="19"/>
  <c r="L446" i="19"/>
  <c r="C446" i="19"/>
  <c r="B446" i="19"/>
  <c r="P444" i="19"/>
  <c r="O444" i="19"/>
  <c r="L444" i="19"/>
  <c r="C444" i="19"/>
  <c r="B444" i="19"/>
  <c r="P442" i="19"/>
  <c r="O442" i="19"/>
  <c r="L442" i="19"/>
  <c r="C442" i="19"/>
  <c r="B442" i="19"/>
  <c r="P441" i="19"/>
  <c r="O441" i="19"/>
  <c r="L441" i="19"/>
  <c r="C441" i="19"/>
  <c r="B441" i="19"/>
  <c r="A406" i="19"/>
  <c r="A370" i="19"/>
  <c r="A368" i="19"/>
  <c r="A405" i="19" s="1"/>
  <c r="A367" i="19"/>
  <c r="A366" i="19"/>
  <c r="A365" i="19"/>
  <c r="A363" i="19"/>
  <c r="A380" i="19" s="1"/>
  <c r="A404" i="19" s="1"/>
  <c r="A362" i="19"/>
  <c r="A361" i="19"/>
  <c r="A379" i="19" s="1"/>
  <c r="A360" i="19"/>
  <c r="A378" i="19" s="1"/>
  <c r="A359" i="19"/>
  <c r="A377" i="19" s="1"/>
  <c r="A358" i="19"/>
  <c r="A357" i="19"/>
  <c r="A376" i="19" s="1"/>
  <c r="A356" i="19"/>
  <c r="A375" i="19" s="1"/>
  <c r="A355" i="19"/>
  <c r="A374" i="19" s="1"/>
  <c r="A354" i="19"/>
  <c r="A373" i="19" s="1"/>
  <c r="A397" i="19" s="1"/>
  <c r="P350" i="19"/>
  <c r="O350" i="19"/>
  <c r="L350" i="19"/>
  <c r="C350" i="19"/>
  <c r="B350" i="19"/>
  <c r="P348" i="19"/>
  <c r="O348" i="19"/>
  <c r="L348" i="19"/>
  <c r="C348" i="19"/>
  <c r="B348" i="19"/>
  <c r="P347" i="19"/>
  <c r="O347" i="19"/>
  <c r="L347" i="19"/>
  <c r="C347" i="19"/>
  <c r="B347" i="19"/>
  <c r="P346" i="19"/>
  <c r="O346" i="19"/>
  <c r="L346" i="19"/>
  <c r="C346" i="19"/>
  <c r="B346" i="19"/>
  <c r="P341" i="19"/>
  <c r="O341" i="19"/>
  <c r="L341" i="19"/>
  <c r="C341" i="19"/>
  <c r="B341" i="19"/>
  <c r="P339" i="19"/>
  <c r="O339" i="19"/>
  <c r="L339" i="19"/>
  <c r="C339" i="19"/>
  <c r="B339" i="19"/>
  <c r="P337" i="19"/>
  <c r="O337" i="19"/>
  <c r="L337" i="19"/>
  <c r="C337" i="19"/>
  <c r="B337" i="19"/>
  <c r="P336" i="19"/>
  <c r="O336" i="19"/>
  <c r="L336" i="19"/>
  <c r="C336" i="19"/>
  <c r="B336" i="19"/>
  <c r="A297" i="19"/>
  <c r="A261" i="19"/>
  <c r="A259" i="19"/>
  <c r="A296" i="19" s="1"/>
  <c r="A258" i="19"/>
  <c r="A257" i="19"/>
  <c r="A256" i="19"/>
  <c r="A254" i="19"/>
  <c r="A271" i="19" s="1"/>
  <c r="A295" i="19" s="1"/>
  <c r="A253" i="19"/>
  <c r="A252" i="19"/>
  <c r="A270" i="19" s="1"/>
  <c r="A294" i="19" s="1"/>
  <c r="A251" i="19"/>
  <c r="A269" i="19" s="1"/>
  <c r="A293" i="19" s="1"/>
  <c r="A250" i="19"/>
  <c r="A268" i="19" s="1"/>
  <c r="A249" i="19"/>
  <c r="A248" i="19"/>
  <c r="A267" i="19" s="1"/>
  <c r="A247" i="19"/>
  <c r="A266" i="19" s="1"/>
  <c r="A246" i="19"/>
  <c r="A265" i="19" s="1"/>
  <c r="A245" i="19"/>
  <c r="A264" i="19" s="1"/>
  <c r="A288" i="19" s="1"/>
  <c r="P241" i="19"/>
  <c r="O241" i="19"/>
  <c r="L241" i="19"/>
  <c r="C241" i="19"/>
  <c r="B241" i="19"/>
  <c r="P239" i="19"/>
  <c r="O239" i="19"/>
  <c r="L239" i="19"/>
  <c r="C239" i="19"/>
  <c r="B239" i="19"/>
  <c r="P238" i="19"/>
  <c r="O238" i="19"/>
  <c r="L238" i="19"/>
  <c r="C238" i="19"/>
  <c r="B238" i="19"/>
  <c r="P237" i="19"/>
  <c r="O237" i="19"/>
  <c r="L237" i="19"/>
  <c r="C237" i="19"/>
  <c r="B237" i="19"/>
  <c r="P232" i="19"/>
  <c r="O232" i="19"/>
  <c r="L232" i="19"/>
  <c r="C232" i="19"/>
  <c r="B232" i="19"/>
  <c r="P230" i="19"/>
  <c r="O230" i="19"/>
  <c r="L230" i="19"/>
  <c r="C230" i="19"/>
  <c r="B230" i="19"/>
  <c r="P228" i="19"/>
  <c r="O228" i="19"/>
  <c r="L228" i="19"/>
  <c r="C228" i="19"/>
  <c r="B228" i="19"/>
  <c r="P227" i="19"/>
  <c r="O227" i="19"/>
  <c r="L227" i="19"/>
  <c r="C227" i="19"/>
  <c r="B227" i="19"/>
  <c r="A189" i="19"/>
  <c r="A153" i="19"/>
  <c r="A151" i="19"/>
  <c r="A188" i="19" s="1"/>
  <c r="A150" i="19"/>
  <c r="A149" i="19"/>
  <c r="A148" i="19"/>
  <c r="A146" i="19"/>
  <c r="A163" i="19" s="1"/>
  <c r="A187" i="19" s="1"/>
  <c r="A145" i="19"/>
  <c r="A144" i="19"/>
  <c r="A162" i="19" s="1"/>
  <c r="A143" i="19"/>
  <c r="A161" i="19" s="1"/>
  <c r="A142" i="19"/>
  <c r="A160" i="19" s="1"/>
  <c r="A141" i="19"/>
  <c r="A140" i="19"/>
  <c r="A159" i="19" s="1"/>
  <c r="A139" i="19"/>
  <c r="A158" i="19" s="1"/>
  <c r="A138" i="19"/>
  <c r="A157" i="19" s="1"/>
  <c r="A137" i="19"/>
  <c r="A156" i="19" s="1"/>
  <c r="A180" i="19" s="1"/>
  <c r="P133" i="19"/>
  <c r="O133" i="19"/>
  <c r="L133" i="19"/>
  <c r="C133" i="19"/>
  <c r="B133" i="19"/>
  <c r="P131" i="19"/>
  <c r="O131" i="19"/>
  <c r="L131" i="19"/>
  <c r="C131" i="19"/>
  <c r="B131" i="19"/>
  <c r="P130" i="19"/>
  <c r="O130" i="19"/>
  <c r="L130" i="19"/>
  <c r="C130" i="19"/>
  <c r="B130" i="19"/>
  <c r="P129" i="19"/>
  <c r="O129" i="19"/>
  <c r="L129" i="19"/>
  <c r="C129" i="19"/>
  <c r="B129" i="19"/>
  <c r="P124" i="19"/>
  <c r="O124" i="19"/>
  <c r="L124" i="19"/>
  <c r="C124" i="19"/>
  <c r="B124" i="19"/>
  <c r="P122" i="19"/>
  <c r="O122" i="19"/>
  <c r="L122" i="19"/>
  <c r="C122" i="19"/>
  <c r="B122" i="19"/>
  <c r="P120" i="19"/>
  <c r="O120" i="19"/>
  <c r="L120" i="19"/>
  <c r="C120" i="19"/>
  <c r="B120" i="19"/>
  <c r="P119" i="19"/>
  <c r="O119" i="19"/>
  <c r="L119" i="19"/>
  <c r="C119" i="19"/>
  <c r="B119" i="19"/>
  <c r="A83" i="19"/>
  <c r="A47" i="19"/>
  <c r="A45" i="19"/>
  <c r="A82" i="19" s="1"/>
  <c r="A44" i="19"/>
  <c r="A43" i="19"/>
  <c r="A42" i="19"/>
  <c r="A40" i="19"/>
  <c r="A57" i="19" s="1"/>
  <c r="A39" i="19"/>
  <c r="A38" i="19"/>
  <c r="A56" i="19" s="1"/>
  <c r="A37" i="19"/>
  <c r="A55" i="19" s="1"/>
  <c r="A79" i="19" s="1"/>
  <c r="A36" i="19"/>
  <c r="A54" i="19" s="1"/>
  <c r="A35" i="19"/>
  <c r="A34" i="19"/>
  <c r="A53" i="19" s="1"/>
  <c r="A33" i="19"/>
  <c r="A52" i="19" s="1"/>
  <c r="A64" i="19" s="1"/>
  <c r="A32" i="19"/>
  <c r="A51" i="19" s="1"/>
  <c r="A63" i="19" s="1"/>
  <c r="A31" i="19"/>
  <c r="A50" i="19" s="1"/>
  <c r="P27" i="19"/>
  <c r="O27" i="19"/>
  <c r="L27" i="19"/>
  <c r="C27" i="19"/>
  <c r="B27" i="19"/>
  <c r="P25" i="19"/>
  <c r="O25" i="19"/>
  <c r="L25" i="19"/>
  <c r="C25" i="19"/>
  <c r="B25" i="19"/>
  <c r="P24" i="19"/>
  <c r="O24" i="19"/>
  <c r="L24" i="19"/>
  <c r="C24" i="19"/>
  <c r="B24" i="19"/>
  <c r="P23" i="19"/>
  <c r="O23" i="19"/>
  <c r="L23" i="19"/>
  <c r="C23" i="19"/>
  <c r="B23" i="19"/>
  <c r="P18" i="19"/>
  <c r="O18" i="19"/>
  <c r="L18" i="19"/>
  <c r="C18" i="19"/>
  <c r="B18" i="19"/>
  <c r="P16" i="19"/>
  <c r="O16" i="19"/>
  <c r="L16" i="19"/>
  <c r="C16" i="19"/>
  <c r="B16" i="19"/>
  <c r="P14" i="19"/>
  <c r="O14" i="19"/>
  <c r="L14" i="19"/>
  <c r="C14" i="19"/>
  <c r="B14" i="19"/>
  <c r="P13" i="19"/>
  <c r="O13" i="19"/>
  <c r="L13" i="19"/>
  <c r="C13" i="19"/>
  <c r="B13" i="19"/>
  <c r="P455" i="3"/>
  <c r="O455" i="3"/>
  <c r="L455" i="3"/>
  <c r="P453" i="3"/>
  <c r="O453" i="3"/>
  <c r="L453" i="3"/>
  <c r="P452" i="3"/>
  <c r="O452" i="3"/>
  <c r="L452" i="3"/>
  <c r="P451" i="3"/>
  <c r="O451" i="3"/>
  <c r="L451" i="3"/>
  <c r="P450" i="3"/>
  <c r="O450" i="3"/>
  <c r="L450" i="3"/>
  <c r="P448" i="3"/>
  <c r="O448" i="3"/>
  <c r="L448" i="3"/>
  <c r="P447" i="3"/>
  <c r="O447" i="3"/>
  <c r="L447" i="3"/>
  <c r="P446" i="3"/>
  <c r="O446" i="3"/>
  <c r="L446" i="3"/>
  <c r="P445" i="3"/>
  <c r="O445" i="3"/>
  <c r="L445" i="3"/>
  <c r="P444" i="3"/>
  <c r="O444" i="3"/>
  <c r="L444" i="3"/>
  <c r="P443" i="3"/>
  <c r="O443" i="3"/>
  <c r="L443" i="3"/>
  <c r="P442" i="3"/>
  <c r="O442" i="3"/>
  <c r="L442" i="3"/>
  <c r="P441" i="3"/>
  <c r="O441" i="3"/>
  <c r="L441" i="3"/>
  <c r="P440" i="3"/>
  <c r="O440" i="3"/>
  <c r="L440" i="3"/>
  <c r="P439" i="3"/>
  <c r="O439" i="3"/>
  <c r="L439" i="3"/>
  <c r="C455" i="3"/>
  <c r="B455" i="3"/>
  <c r="C453" i="3"/>
  <c r="B453" i="3"/>
  <c r="C452" i="3"/>
  <c r="B452" i="3"/>
  <c r="C451" i="3"/>
  <c r="B451" i="3"/>
  <c r="C450" i="3"/>
  <c r="B450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P350" i="3"/>
  <c r="O350" i="3"/>
  <c r="L350" i="3"/>
  <c r="P348" i="3"/>
  <c r="O348" i="3"/>
  <c r="L348" i="3"/>
  <c r="P347" i="3"/>
  <c r="O347" i="3"/>
  <c r="L347" i="3"/>
  <c r="P346" i="3"/>
  <c r="O346" i="3"/>
  <c r="L346" i="3"/>
  <c r="P345" i="3"/>
  <c r="O345" i="3"/>
  <c r="L345" i="3"/>
  <c r="P343" i="3"/>
  <c r="O343" i="3"/>
  <c r="L343" i="3"/>
  <c r="P342" i="3"/>
  <c r="O342" i="3"/>
  <c r="L342" i="3"/>
  <c r="P341" i="3"/>
  <c r="O341" i="3"/>
  <c r="L341" i="3"/>
  <c r="P340" i="3"/>
  <c r="O340" i="3"/>
  <c r="L340" i="3"/>
  <c r="P339" i="3"/>
  <c r="O339" i="3"/>
  <c r="L339" i="3"/>
  <c r="P338" i="3"/>
  <c r="O338" i="3"/>
  <c r="L338" i="3"/>
  <c r="P337" i="3"/>
  <c r="O337" i="3"/>
  <c r="L337" i="3"/>
  <c r="P336" i="3"/>
  <c r="O336" i="3"/>
  <c r="L336" i="3"/>
  <c r="P335" i="3"/>
  <c r="O335" i="3"/>
  <c r="L335" i="3"/>
  <c r="P334" i="3"/>
  <c r="O334" i="3"/>
  <c r="L334" i="3"/>
  <c r="C350" i="3"/>
  <c r="B350" i="3"/>
  <c r="C348" i="3"/>
  <c r="B348" i="3"/>
  <c r="C347" i="3"/>
  <c r="B347" i="3"/>
  <c r="C346" i="3"/>
  <c r="B346" i="3"/>
  <c r="C345" i="3"/>
  <c r="B345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P241" i="3"/>
  <c r="O241" i="3"/>
  <c r="L241" i="3"/>
  <c r="P239" i="3"/>
  <c r="O239" i="3"/>
  <c r="L239" i="3"/>
  <c r="P238" i="3"/>
  <c r="O238" i="3"/>
  <c r="L238" i="3"/>
  <c r="P237" i="3"/>
  <c r="O237" i="3"/>
  <c r="L237" i="3"/>
  <c r="P236" i="3"/>
  <c r="O236" i="3"/>
  <c r="L236" i="3"/>
  <c r="P234" i="3"/>
  <c r="O234" i="3"/>
  <c r="L234" i="3"/>
  <c r="P233" i="3"/>
  <c r="O233" i="3"/>
  <c r="L233" i="3"/>
  <c r="P232" i="3"/>
  <c r="O232" i="3"/>
  <c r="L232" i="3"/>
  <c r="P231" i="3"/>
  <c r="O231" i="3"/>
  <c r="L231" i="3"/>
  <c r="P230" i="3"/>
  <c r="O230" i="3"/>
  <c r="L230" i="3"/>
  <c r="P229" i="3"/>
  <c r="O229" i="3"/>
  <c r="L229" i="3"/>
  <c r="P228" i="3"/>
  <c r="O228" i="3"/>
  <c r="L228" i="3"/>
  <c r="P227" i="3"/>
  <c r="O227" i="3"/>
  <c r="L227" i="3"/>
  <c r="P226" i="3"/>
  <c r="O226" i="3"/>
  <c r="L226" i="3"/>
  <c r="P225" i="3"/>
  <c r="O225" i="3"/>
  <c r="L225" i="3"/>
  <c r="C241" i="3"/>
  <c r="B241" i="3"/>
  <c r="C239" i="3"/>
  <c r="B239" i="3"/>
  <c r="C238" i="3"/>
  <c r="B238" i="3"/>
  <c r="C237" i="3"/>
  <c r="B237" i="3"/>
  <c r="C236" i="3"/>
  <c r="B236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P133" i="3"/>
  <c r="O133" i="3"/>
  <c r="L133" i="3"/>
  <c r="P131" i="3"/>
  <c r="O131" i="3"/>
  <c r="L131" i="3"/>
  <c r="P130" i="3"/>
  <c r="O130" i="3"/>
  <c r="L130" i="3"/>
  <c r="P129" i="3"/>
  <c r="O129" i="3"/>
  <c r="L129" i="3"/>
  <c r="P128" i="3"/>
  <c r="O128" i="3"/>
  <c r="L128" i="3"/>
  <c r="P126" i="3"/>
  <c r="O126" i="3"/>
  <c r="L126" i="3"/>
  <c r="P125" i="3"/>
  <c r="O125" i="3"/>
  <c r="L125" i="3"/>
  <c r="P124" i="3"/>
  <c r="O124" i="3"/>
  <c r="L124" i="3"/>
  <c r="P123" i="3"/>
  <c r="O123" i="3"/>
  <c r="L123" i="3"/>
  <c r="P122" i="3"/>
  <c r="O122" i="3"/>
  <c r="L122" i="3"/>
  <c r="P121" i="3"/>
  <c r="O121" i="3"/>
  <c r="L121" i="3"/>
  <c r="P120" i="3"/>
  <c r="O120" i="3"/>
  <c r="L120" i="3"/>
  <c r="P119" i="3"/>
  <c r="O119" i="3"/>
  <c r="L119" i="3"/>
  <c r="P118" i="3"/>
  <c r="O118" i="3"/>
  <c r="L118" i="3"/>
  <c r="P117" i="3"/>
  <c r="O117" i="3"/>
  <c r="L117" i="3"/>
  <c r="C133" i="3"/>
  <c r="B133" i="3"/>
  <c r="C131" i="3"/>
  <c r="B131" i="3"/>
  <c r="C130" i="3"/>
  <c r="B130" i="3"/>
  <c r="C129" i="3"/>
  <c r="B129" i="3"/>
  <c r="C128" i="3"/>
  <c r="B128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P27" i="3"/>
  <c r="O27" i="3"/>
  <c r="L27" i="3"/>
  <c r="P26" i="3"/>
  <c r="O26" i="3"/>
  <c r="L26" i="3"/>
  <c r="P25" i="3"/>
  <c r="O25" i="3"/>
  <c r="L25" i="3"/>
  <c r="P24" i="3"/>
  <c r="O24" i="3"/>
  <c r="L24" i="3"/>
  <c r="P23" i="3"/>
  <c r="O23" i="3"/>
  <c r="L23" i="3"/>
  <c r="P22" i="3"/>
  <c r="O22" i="3"/>
  <c r="L22" i="3"/>
  <c r="P20" i="3"/>
  <c r="O20" i="3"/>
  <c r="L20" i="3"/>
  <c r="P19" i="3"/>
  <c r="O19" i="3"/>
  <c r="L19" i="3"/>
  <c r="P18" i="3"/>
  <c r="O18" i="3"/>
  <c r="L18" i="3"/>
  <c r="P17" i="3"/>
  <c r="O17" i="3"/>
  <c r="L17" i="3"/>
  <c r="P16" i="3"/>
  <c r="O16" i="3"/>
  <c r="L16" i="3"/>
  <c r="P15" i="3"/>
  <c r="O15" i="3"/>
  <c r="L15" i="3"/>
  <c r="P14" i="3"/>
  <c r="O14" i="3"/>
  <c r="L14" i="3"/>
  <c r="P13" i="3"/>
  <c r="O13" i="3"/>
  <c r="L13" i="3"/>
  <c r="P12" i="3"/>
  <c r="O12" i="3"/>
  <c r="L12" i="3"/>
  <c r="P11" i="3"/>
  <c r="O11" i="3"/>
  <c r="L11" i="3"/>
  <c r="C27" i="3"/>
  <c r="B27" i="3"/>
  <c r="C26" i="3"/>
  <c r="B26" i="3"/>
  <c r="C25" i="3"/>
  <c r="B25" i="3"/>
  <c r="C24" i="3"/>
  <c r="B24" i="3"/>
  <c r="C23" i="3"/>
  <c r="B23" i="3"/>
  <c r="C22" i="3"/>
  <c r="B22" i="3"/>
  <c r="C20" i="3"/>
  <c r="B20" i="3"/>
  <c r="C19" i="3"/>
  <c r="B19" i="3"/>
  <c r="C18" i="3"/>
  <c r="B18" i="3"/>
  <c r="C17" i="3"/>
  <c r="B17" i="3"/>
  <c r="C16" i="3"/>
  <c r="B16" i="3"/>
  <c r="C15" i="3"/>
  <c r="B15" i="3"/>
  <c r="C12" i="3"/>
  <c r="B12" i="3"/>
  <c r="C11" i="3"/>
  <c r="B11" i="3"/>
  <c r="C14" i="3"/>
  <c r="B14" i="3"/>
  <c r="C13" i="3"/>
  <c r="B13" i="3"/>
  <c r="D368" i="26" l="1"/>
  <c r="T11" i="3"/>
  <c r="G407" i="24"/>
  <c r="G381" i="24"/>
  <c r="G381" i="25"/>
  <c r="G407" i="25"/>
  <c r="I407" i="25"/>
  <c r="I381" i="25"/>
  <c r="Q381" i="25"/>
  <c r="Q407" i="25"/>
  <c r="Z407" i="25"/>
  <c r="Z381" i="25"/>
  <c r="U381" i="25"/>
  <c r="U407" i="25"/>
  <c r="D407" i="26"/>
  <c r="D381" i="26"/>
  <c r="Y407" i="26"/>
  <c r="Y381" i="26"/>
  <c r="L407" i="26"/>
  <c r="L381" i="26"/>
  <c r="F381" i="25"/>
  <c r="F407" i="25"/>
  <c r="M407" i="26"/>
  <c r="M381" i="26"/>
  <c r="O407" i="24"/>
  <c r="O381" i="24"/>
  <c r="T407" i="24"/>
  <c r="T381" i="24"/>
  <c r="V381" i="25"/>
  <c r="V407" i="25"/>
  <c r="C381" i="25"/>
  <c r="C407" i="25"/>
  <c r="AA381" i="25"/>
  <c r="AA407" i="25"/>
  <c r="N381" i="25"/>
  <c r="N407" i="25"/>
  <c r="AC381" i="25"/>
  <c r="AC407" i="25"/>
  <c r="B407" i="26"/>
  <c r="B381" i="26"/>
  <c r="T407" i="26"/>
  <c r="T381" i="26"/>
  <c r="V407" i="26"/>
  <c r="V381" i="26"/>
  <c r="W407" i="26"/>
  <c r="W381" i="26"/>
  <c r="M407" i="24"/>
  <c r="M381" i="24"/>
  <c r="W407" i="24"/>
  <c r="W381" i="24"/>
  <c r="O407" i="25"/>
  <c r="O381" i="25"/>
  <c r="D407" i="25"/>
  <c r="D381" i="25"/>
  <c r="H407" i="25"/>
  <c r="H381" i="25"/>
  <c r="R407" i="26"/>
  <c r="R381" i="26"/>
  <c r="J381" i="26"/>
  <c r="J407" i="26"/>
  <c r="AB381" i="26"/>
  <c r="AB407" i="26"/>
  <c r="Z407" i="26"/>
  <c r="Z381" i="26"/>
  <c r="Y381" i="25"/>
  <c r="Y407" i="25"/>
  <c r="V381" i="24"/>
  <c r="V407" i="24"/>
  <c r="AA407" i="24"/>
  <c r="AA381" i="24"/>
  <c r="B407" i="25"/>
  <c r="B381" i="25"/>
  <c r="L407" i="25"/>
  <c r="L381" i="25"/>
  <c r="P407" i="25"/>
  <c r="P381" i="25"/>
  <c r="F407" i="26"/>
  <c r="F381" i="26"/>
  <c r="S381" i="26"/>
  <c r="S407" i="26"/>
  <c r="N381" i="26"/>
  <c r="N407" i="26"/>
  <c r="AC407" i="26"/>
  <c r="AC381" i="26"/>
  <c r="K381" i="25"/>
  <c r="K407" i="25"/>
  <c r="L407" i="24"/>
  <c r="L381" i="24"/>
  <c r="N407" i="24"/>
  <c r="N381" i="24"/>
  <c r="K381" i="24"/>
  <c r="K407" i="24"/>
  <c r="T381" i="25"/>
  <c r="T407" i="25"/>
  <c r="X407" i="25"/>
  <c r="X381" i="25"/>
  <c r="O407" i="26"/>
  <c r="O381" i="26"/>
  <c r="C381" i="26"/>
  <c r="C407" i="26"/>
  <c r="I381" i="26"/>
  <c r="I407" i="26"/>
  <c r="S407" i="25"/>
  <c r="S381" i="25"/>
  <c r="P381" i="24"/>
  <c r="P407" i="24"/>
  <c r="R381" i="24"/>
  <c r="R407" i="24"/>
  <c r="Y407" i="24"/>
  <c r="Y381" i="24"/>
  <c r="F407" i="24"/>
  <c r="F381" i="24"/>
  <c r="Z381" i="24"/>
  <c r="Z407" i="24"/>
  <c r="U407" i="24"/>
  <c r="U381" i="24"/>
  <c r="R407" i="25"/>
  <c r="R381" i="25"/>
  <c r="AB407" i="25"/>
  <c r="AB381" i="25"/>
  <c r="X381" i="26"/>
  <c r="X407" i="26"/>
  <c r="K381" i="26"/>
  <c r="K407" i="26"/>
  <c r="Q407" i="26"/>
  <c r="Q381" i="26"/>
  <c r="J381" i="24"/>
  <c r="J407" i="24"/>
  <c r="Q407" i="24"/>
  <c r="Q381" i="24"/>
  <c r="AB407" i="24"/>
  <c r="AB381" i="24"/>
  <c r="E407" i="24"/>
  <c r="E381" i="24"/>
  <c r="E407" i="25"/>
  <c r="E381" i="25"/>
  <c r="G407" i="26"/>
  <c r="G381" i="26"/>
  <c r="U407" i="26"/>
  <c r="U381" i="26"/>
  <c r="E407" i="26"/>
  <c r="E381" i="26"/>
  <c r="B381" i="24"/>
  <c r="B407" i="24"/>
  <c r="I407" i="24"/>
  <c r="I381" i="24"/>
  <c r="AC381" i="24"/>
  <c r="AC407" i="24"/>
  <c r="C381" i="24"/>
  <c r="C407" i="24"/>
  <c r="S407" i="24"/>
  <c r="S381" i="24"/>
  <c r="M381" i="25"/>
  <c r="M407" i="25"/>
  <c r="J407" i="25"/>
  <c r="J381" i="25"/>
  <c r="P407" i="26"/>
  <c r="P381" i="26"/>
  <c r="AA381" i="26"/>
  <c r="AA407" i="26"/>
  <c r="W381" i="25"/>
  <c r="W407" i="25"/>
  <c r="H381" i="24"/>
  <c r="H407" i="24"/>
  <c r="H407" i="26"/>
  <c r="H381" i="26"/>
  <c r="D407" i="24"/>
  <c r="D381" i="24"/>
  <c r="X407" i="24"/>
  <c r="X381" i="24"/>
  <c r="Y272" i="24"/>
  <c r="Y298" i="24"/>
  <c r="J272" i="24"/>
  <c r="J298" i="24"/>
  <c r="K298" i="24"/>
  <c r="K272" i="24"/>
  <c r="B272" i="25"/>
  <c r="B298" i="25"/>
  <c r="D298" i="25"/>
  <c r="D272" i="25"/>
  <c r="B298" i="26"/>
  <c r="B272" i="26"/>
  <c r="M298" i="26"/>
  <c r="M272" i="26"/>
  <c r="AC272" i="26"/>
  <c r="AC298" i="26"/>
  <c r="I298" i="25"/>
  <c r="I272" i="25"/>
  <c r="O272" i="24"/>
  <c r="O298" i="24"/>
  <c r="X272" i="24"/>
  <c r="X298" i="24"/>
  <c r="R272" i="24"/>
  <c r="R298" i="24"/>
  <c r="Q298" i="25"/>
  <c r="Q272" i="25"/>
  <c r="M272" i="25"/>
  <c r="M298" i="25"/>
  <c r="J272" i="25"/>
  <c r="J298" i="25"/>
  <c r="L272" i="25"/>
  <c r="L298" i="25"/>
  <c r="J272" i="26"/>
  <c r="J298" i="26"/>
  <c r="I298" i="26"/>
  <c r="I272" i="26"/>
  <c r="U272" i="25"/>
  <c r="U298" i="25"/>
  <c r="X272" i="26"/>
  <c r="X298" i="26"/>
  <c r="Q272" i="24"/>
  <c r="Q298" i="24"/>
  <c r="T298" i="24"/>
  <c r="T272" i="24"/>
  <c r="D272" i="24"/>
  <c r="D298" i="24"/>
  <c r="M298" i="24"/>
  <c r="M272" i="24"/>
  <c r="W272" i="24"/>
  <c r="W298" i="24"/>
  <c r="Z298" i="24"/>
  <c r="Z272" i="24"/>
  <c r="O298" i="25"/>
  <c r="O272" i="25"/>
  <c r="E298" i="25"/>
  <c r="E272" i="25"/>
  <c r="R298" i="25"/>
  <c r="R272" i="25"/>
  <c r="T272" i="25"/>
  <c r="T298" i="25"/>
  <c r="R298" i="26"/>
  <c r="R272" i="26"/>
  <c r="Y298" i="25"/>
  <c r="Y272" i="25"/>
  <c r="V298" i="26"/>
  <c r="V272" i="26"/>
  <c r="C298" i="24"/>
  <c r="C272" i="24"/>
  <c r="L298" i="24"/>
  <c r="L272" i="24"/>
  <c r="I298" i="24"/>
  <c r="I272" i="24"/>
  <c r="Z272" i="25"/>
  <c r="Z298" i="25"/>
  <c r="AB272" i="25"/>
  <c r="AB298" i="25"/>
  <c r="AB298" i="26"/>
  <c r="AB272" i="26"/>
  <c r="Z298" i="26"/>
  <c r="Z272" i="26"/>
  <c r="AC298" i="25"/>
  <c r="AC272" i="25"/>
  <c r="P272" i="24"/>
  <c r="P298" i="24"/>
  <c r="F298" i="24"/>
  <c r="F272" i="24"/>
  <c r="W298" i="25"/>
  <c r="W272" i="25"/>
  <c r="C298" i="25"/>
  <c r="C272" i="25"/>
  <c r="F298" i="25"/>
  <c r="F272" i="25"/>
  <c r="N298" i="26"/>
  <c r="N272" i="26"/>
  <c r="C272" i="26"/>
  <c r="C298" i="26"/>
  <c r="L298" i="26"/>
  <c r="L272" i="26"/>
  <c r="Y298" i="26"/>
  <c r="Y272" i="26"/>
  <c r="AA298" i="24"/>
  <c r="AA272" i="24"/>
  <c r="N272" i="24"/>
  <c r="N298" i="24"/>
  <c r="AC298" i="24"/>
  <c r="AC272" i="24"/>
  <c r="H272" i="25"/>
  <c r="H298" i="25"/>
  <c r="K272" i="25"/>
  <c r="K298" i="25"/>
  <c r="N272" i="25"/>
  <c r="N298" i="25"/>
  <c r="G298" i="26"/>
  <c r="G272" i="26"/>
  <c r="K272" i="26"/>
  <c r="K298" i="26"/>
  <c r="F298" i="26"/>
  <c r="F272" i="26"/>
  <c r="T298" i="26"/>
  <c r="T272" i="26"/>
  <c r="G272" i="24"/>
  <c r="G298" i="24"/>
  <c r="H298" i="26"/>
  <c r="H272" i="26"/>
  <c r="E298" i="24"/>
  <c r="E272" i="24"/>
  <c r="V298" i="24"/>
  <c r="V272" i="24"/>
  <c r="S272" i="24"/>
  <c r="S298" i="24"/>
  <c r="P272" i="25"/>
  <c r="P298" i="25"/>
  <c r="S298" i="25"/>
  <c r="S272" i="25"/>
  <c r="V272" i="25"/>
  <c r="V298" i="25"/>
  <c r="O298" i="26"/>
  <c r="O272" i="26"/>
  <c r="S298" i="26"/>
  <c r="S272" i="26"/>
  <c r="U272" i="26"/>
  <c r="U298" i="26"/>
  <c r="D298" i="26"/>
  <c r="D272" i="26"/>
  <c r="Q298" i="26"/>
  <c r="Q272" i="26"/>
  <c r="AB272" i="24"/>
  <c r="AB298" i="24"/>
  <c r="B298" i="24"/>
  <c r="B272" i="24"/>
  <c r="U298" i="24"/>
  <c r="U272" i="24"/>
  <c r="H272" i="24"/>
  <c r="H298" i="24"/>
  <c r="X272" i="25"/>
  <c r="X298" i="25"/>
  <c r="AA272" i="25"/>
  <c r="AA298" i="25"/>
  <c r="W298" i="26"/>
  <c r="W272" i="26"/>
  <c r="AA298" i="26"/>
  <c r="AA272" i="26"/>
  <c r="E298" i="26"/>
  <c r="E272" i="26"/>
  <c r="P272" i="26"/>
  <c r="P298" i="26"/>
  <c r="G298" i="25"/>
  <c r="G272" i="25"/>
  <c r="E190" i="24"/>
  <c r="E164" i="24"/>
  <c r="S190" i="24"/>
  <c r="S164" i="24"/>
  <c r="K164" i="25"/>
  <c r="K190" i="25"/>
  <c r="E190" i="26"/>
  <c r="E164" i="26"/>
  <c r="H190" i="26"/>
  <c r="H164" i="26"/>
  <c r="AA190" i="26"/>
  <c r="AA164" i="26"/>
  <c r="L190" i="26"/>
  <c r="L164" i="26"/>
  <c r="D190" i="25"/>
  <c r="D164" i="25"/>
  <c r="AB164" i="24"/>
  <c r="AB190" i="24"/>
  <c r="W190" i="26"/>
  <c r="W164" i="26"/>
  <c r="R190" i="24"/>
  <c r="R164" i="24"/>
  <c r="AA190" i="24"/>
  <c r="AA164" i="24"/>
  <c r="C190" i="25"/>
  <c r="C164" i="25"/>
  <c r="V190" i="25"/>
  <c r="V164" i="25"/>
  <c r="O164" i="26"/>
  <c r="O190" i="26"/>
  <c r="N190" i="24"/>
  <c r="N164" i="24"/>
  <c r="L164" i="24"/>
  <c r="L190" i="24"/>
  <c r="N190" i="26"/>
  <c r="N164" i="26"/>
  <c r="X164" i="24"/>
  <c r="X190" i="24"/>
  <c r="I190" i="24"/>
  <c r="I164" i="24"/>
  <c r="G164" i="24"/>
  <c r="G190" i="24"/>
  <c r="P190" i="25"/>
  <c r="P164" i="25"/>
  <c r="N190" i="25"/>
  <c r="N164" i="25"/>
  <c r="T164" i="26"/>
  <c r="T190" i="26"/>
  <c r="D190" i="26"/>
  <c r="D164" i="26"/>
  <c r="AC164" i="24"/>
  <c r="AC190" i="24"/>
  <c r="Y190" i="24"/>
  <c r="Y164" i="24"/>
  <c r="D190" i="24"/>
  <c r="D164" i="24"/>
  <c r="T164" i="24"/>
  <c r="T190" i="24"/>
  <c r="O164" i="24"/>
  <c r="O190" i="24"/>
  <c r="R190" i="25"/>
  <c r="R164" i="25"/>
  <c r="H164" i="25"/>
  <c r="H190" i="25"/>
  <c r="F164" i="25"/>
  <c r="F190" i="25"/>
  <c r="Z190" i="25"/>
  <c r="Z164" i="25"/>
  <c r="Q164" i="26"/>
  <c r="Q190" i="26"/>
  <c r="J190" i="26"/>
  <c r="J164" i="26"/>
  <c r="AB164" i="26"/>
  <c r="AB190" i="26"/>
  <c r="V164" i="26"/>
  <c r="V190" i="26"/>
  <c r="U190" i="25"/>
  <c r="U164" i="25"/>
  <c r="B164" i="24"/>
  <c r="B190" i="24"/>
  <c r="X190" i="26"/>
  <c r="X164" i="26"/>
  <c r="AB164" i="25"/>
  <c r="AB190" i="25"/>
  <c r="J164" i="24"/>
  <c r="J190" i="24"/>
  <c r="W190" i="24"/>
  <c r="W164" i="24"/>
  <c r="J190" i="25"/>
  <c r="J164" i="25"/>
  <c r="Y164" i="25"/>
  <c r="Y190" i="25"/>
  <c r="I190" i="26"/>
  <c r="I164" i="26"/>
  <c r="P190" i="26"/>
  <c r="P164" i="26"/>
  <c r="B190" i="26"/>
  <c r="B164" i="26"/>
  <c r="M164" i="25"/>
  <c r="M190" i="25"/>
  <c r="R164" i="26"/>
  <c r="R190" i="26"/>
  <c r="K164" i="26"/>
  <c r="K190" i="26"/>
  <c r="AC164" i="25"/>
  <c r="AC190" i="25"/>
  <c r="X190" i="25"/>
  <c r="X164" i="25"/>
  <c r="H164" i="24"/>
  <c r="H190" i="24"/>
  <c r="Q190" i="24"/>
  <c r="Q164" i="24"/>
  <c r="U164" i="24"/>
  <c r="U190" i="24"/>
  <c r="B190" i="25"/>
  <c r="B164" i="25"/>
  <c r="Q164" i="25"/>
  <c r="Q190" i="25"/>
  <c r="W164" i="25"/>
  <c r="W190" i="25"/>
  <c r="AC164" i="26"/>
  <c r="AC190" i="26"/>
  <c r="Y190" i="26"/>
  <c r="Y164" i="26"/>
  <c r="L164" i="25"/>
  <c r="L190" i="25"/>
  <c r="AA164" i="25"/>
  <c r="AA190" i="25"/>
  <c r="P190" i="24"/>
  <c r="P164" i="24"/>
  <c r="F190" i="26"/>
  <c r="F164" i="26"/>
  <c r="Z190" i="26"/>
  <c r="Z164" i="26"/>
  <c r="M190" i="24"/>
  <c r="M164" i="24"/>
  <c r="C164" i="24"/>
  <c r="C190" i="24"/>
  <c r="I164" i="25"/>
  <c r="I190" i="25"/>
  <c r="O190" i="25"/>
  <c r="O164" i="25"/>
  <c r="U190" i="26"/>
  <c r="U164" i="26"/>
  <c r="E164" i="25"/>
  <c r="E190" i="25"/>
  <c r="V164" i="24"/>
  <c r="V190" i="24"/>
  <c r="Z190" i="24"/>
  <c r="Z164" i="24"/>
  <c r="K164" i="24"/>
  <c r="K190" i="24"/>
  <c r="S164" i="25"/>
  <c r="S190" i="25"/>
  <c r="G190" i="25"/>
  <c r="G164" i="25"/>
  <c r="M164" i="26"/>
  <c r="M190" i="26"/>
  <c r="S164" i="26"/>
  <c r="S190" i="26"/>
  <c r="G190" i="26"/>
  <c r="G164" i="26"/>
  <c r="T190" i="25"/>
  <c r="T164" i="25"/>
  <c r="F190" i="24"/>
  <c r="F164" i="24"/>
  <c r="C190" i="26"/>
  <c r="C164" i="26"/>
  <c r="G84" i="24"/>
  <c r="G58" i="24"/>
  <c r="V84" i="24"/>
  <c r="V58" i="24"/>
  <c r="H84" i="24"/>
  <c r="H58" i="24"/>
  <c r="B84" i="24"/>
  <c r="B58" i="24"/>
  <c r="K84" i="24"/>
  <c r="K58" i="24"/>
  <c r="G84" i="25"/>
  <c r="G58" i="25"/>
  <c r="P58" i="25"/>
  <c r="P84" i="25"/>
  <c r="W58" i="26"/>
  <c r="W84" i="26"/>
  <c r="AA58" i="26"/>
  <c r="AA84" i="26"/>
  <c r="Q58" i="26"/>
  <c r="Q84" i="26"/>
  <c r="S84" i="25"/>
  <c r="S58" i="25"/>
  <c r="U58" i="26"/>
  <c r="U84" i="26"/>
  <c r="K84" i="25"/>
  <c r="K58" i="25"/>
  <c r="I58" i="24"/>
  <c r="I84" i="24"/>
  <c r="J58" i="24"/>
  <c r="J84" i="24"/>
  <c r="H58" i="25"/>
  <c r="H84" i="25"/>
  <c r="N58" i="26"/>
  <c r="N84" i="26"/>
  <c r="B58" i="26"/>
  <c r="B84" i="26"/>
  <c r="Y84" i="24"/>
  <c r="Y58" i="24"/>
  <c r="R58" i="24"/>
  <c r="R84" i="24"/>
  <c r="V84" i="25"/>
  <c r="V58" i="25"/>
  <c r="Z84" i="25"/>
  <c r="Z58" i="25"/>
  <c r="Q58" i="25"/>
  <c r="Q84" i="25"/>
  <c r="J58" i="26"/>
  <c r="J84" i="26"/>
  <c r="W58" i="25"/>
  <c r="W84" i="25"/>
  <c r="T58" i="24"/>
  <c r="T84" i="24"/>
  <c r="X58" i="25"/>
  <c r="X84" i="25"/>
  <c r="X58" i="26"/>
  <c r="X84" i="26"/>
  <c r="O84" i="24"/>
  <c r="O58" i="24"/>
  <c r="M58" i="24"/>
  <c r="M84" i="24"/>
  <c r="W58" i="24"/>
  <c r="W84" i="24"/>
  <c r="Z58" i="24"/>
  <c r="Z84" i="24"/>
  <c r="N58" i="25"/>
  <c r="N84" i="25"/>
  <c r="AB84" i="25"/>
  <c r="AB58" i="25"/>
  <c r="R58" i="25"/>
  <c r="R84" i="25"/>
  <c r="I58" i="25"/>
  <c r="I84" i="25"/>
  <c r="T58" i="26"/>
  <c r="T84" i="26"/>
  <c r="R58" i="26"/>
  <c r="R84" i="26"/>
  <c r="I58" i="26"/>
  <c r="I84" i="26"/>
  <c r="AA84" i="25"/>
  <c r="AA58" i="25"/>
  <c r="O84" i="25"/>
  <c r="O58" i="25"/>
  <c r="AB58" i="24"/>
  <c r="AB84" i="24"/>
  <c r="D84" i="24"/>
  <c r="D58" i="24"/>
  <c r="L58" i="24"/>
  <c r="L84" i="24"/>
  <c r="F58" i="25"/>
  <c r="F84" i="25"/>
  <c r="AC58" i="25"/>
  <c r="AC84" i="25"/>
  <c r="T84" i="25"/>
  <c r="T58" i="25"/>
  <c r="J58" i="25"/>
  <c r="J84" i="25"/>
  <c r="F58" i="26"/>
  <c r="F84" i="26"/>
  <c r="AC58" i="26"/>
  <c r="AC84" i="26"/>
  <c r="Z58" i="26"/>
  <c r="Z84" i="26"/>
  <c r="U84" i="24"/>
  <c r="U58" i="24"/>
  <c r="E84" i="25"/>
  <c r="E58" i="25"/>
  <c r="S58" i="26"/>
  <c r="S84" i="26"/>
  <c r="Q58" i="24"/>
  <c r="Q84" i="24"/>
  <c r="X58" i="24"/>
  <c r="X84" i="24"/>
  <c r="F84" i="24"/>
  <c r="F58" i="24"/>
  <c r="U58" i="25"/>
  <c r="U84" i="25"/>
  <c r="L84" i="25"/>
  <c r="L58" i="25"/>
  <c r="B84" i="25"/>
  <c r="B58" i="25"/>
  <c r="P58" i="26"/>
  <c r="P84" i="26"/>
  <c r="AB58" i="26"/>
  <c r="AB84" i="26"/>
  <c r="C58" i="26"/>
  <c r="C84" i="26"/>
  <c r="Y58" i="26"/>
  <c r="Y84" i="26"/>
  <c r="V58" i="26"/>
  <c r="V84" i="26"/>
  <c r="P58" i="24"/>
  <c r="P84" i="24"/>
  <c r="AA84" i="24"/>
  <c r="AA58" i="24"/>
  <c r="E58" i="24"/>
  <c r="E84" i="24"/>
  <c r="S84" i="24"/>
  <c r="S58" i="24"/>
  <c r="O58" i="26"/>
  <c r="O84" i="26"/>
  <c r="U46" i="26"/>
  <c r="H58" i="26"/>
  <c r="H84" i="26"/>
  <c r="E58" i="26"/>
  <c r="E84" i="26"/>
  <c r="AC58" i="24"/>
  <c r="AC84" i="24"/>
  <c r="C84" i="24"/>
  <c r="C58" i="24"/>
  <c r="N84" i="24"/>
  <c r="N58" i="24"/>
  <c r="Y84" i="25"/>
  <c r="Y58" i="25"/>
  <c r="M84" i="25"/>
  <c r="M58" i="25"/>
  <c r="D58" i="25"/>
  <c r="D84" i="25"/>
  <c r="D58" i="26"/>
  <c r="D84" i="26"/>
  <c r="G58" i="26"/>
  <c r="G84" i="26"/>
  <c r="K58" i="26"/>
  <c r="K84" i="26"/>
  <c r="M58" i="26"/>
  <c r="M84" i="26"/>
  <c r="L58" i="26"/>
  <c r="L84" i="26"/>
  <c r="C84" i="25"/>
  <c r="C58" i="25"/>
  <c r="AA45" i="26"/>
  <c r="P259" i="26"/>
  <c r="Q270" i="26"/>
  <c r="E46" i="26"/>
  <c r="P368" i="25"/>
  <c r="AA368" i="25"/>
  <c r="C369" i="25"/>
  <c r="Q152" i="25"/>
  <c r="T46" i="24"/>
  <c r="A390" i="23"/>
  <c r="A281" i="23"/>
  <c r="A293" i="23"/>
  <c r="A290" i="23"/>
  <c r="A180" i="23"/>
  <c r="A168" i="23"/>
  <c r="A172" i="23"/>
  <c r="A183" i="23"/>
  <c r="A81" i="23"/>
  <c r="A69" i="23"/>
  <c r="A404" i="22"/>
  <c r="A392" i="22"/>
  <c r="A389" i="22"/>
  <c r="A390" i="22"/>
  <c r="A385" i="21"/>
  <c r="A397" i="21"/>
  <c r="A404" i="21"/>
  <c r="A392" i="21"/>
  <c r="A387" i="21"/>
  <c r="A290" i="21"/>
  <c r="A278" i="21"/>
  <c r="A281" i="21"/>
  <c r="A282" i="21"/>
  <c r="A169" i="21"/>
  <c r="A171" i="21"/>
  <c r="A174" i="21"/>
  <c r="A399" i="20"/>
  <c r="A387" i="20"/>
  <c r="A171" i="20"/>
  <c r="A62" i="20"/>
  <c r="A392" i="19"/>
  <c r="A282" i="19"/>
  <c r="A283" i="19"/>
  <c r="U369" i="25"/>
  <c r="T368" i="26"/>
  <c r="AB260" i="26"/>
  <c r="AB368" i="26"/>
  <c r="U126" i="3"/>
  <c r="F146" i="3" s="1"/>
  <c r="AC126" i="3"/>
  <c r="N146" i="3" s="1"/>
  <c r="AK126" i="3"/>
  <c r="V146" i="3" s="1"/>
  <c r="V126" i="3"/>
  <c r="G146" i="3" s="1"/>
  <c r="AD126" i="3"/>
  <c r="O146" i="3" s="1"/>
  <c r="AL126" i="3"/>
  <c r="W146" i="3" s="1"/>
  <c r="W126" i="3"/>
  <c r="H146" i="3" s="1"/>
  <c r="AE126" i="3"/>
  <c r="P146" i="3" s="1"/>
  <c r="AM126" i="3"/>
  <c r="X146" i="3" s="1"/>
  <c r="X126" i="3"/>
  <c r="I146" i="3" s="1"/>
  <c r="AF126" i="3"/>
  <c r="Q146" i="3" s="1"/>
  <c r="AN126" i="3"/>
  <c r="Y146" i="3" s="1"/>
  <c r="Y126" i="3"/>
  <c r="J146" i="3" s="1"/>
  <c r="AG126" i="3"/>
  <c r="R146" i="3" s="1"/>
  <c r="AO126" i="3"/>
  <c r="Z146" i="3" s="1"/>
  <c r="R126" i="3"/>
  <c r="C146" i="3" s="1"/>
  <c r="Z126" i="3"/>
  <c r="K146" i="3" s="1"/>
  <c r="AH126" i="3"/>
  <c r="S146" i="3" s="1"/>
  <c r="AP126" i="3"/>
  <c r="AA146" i="3" s="1"/>
  <c r="S126" i="3"/>
  <c r="D146" i="3" s="1"/>
  <c r="AA126" i="3"/>
  <c r="L146" i="3" s="1"/>
  <c r="AI126" i="3"/>
  <c r="T146" i="3" s="1"/>
  <c r="AQ126" i="3"/>
  <c r="AB146" i="3" s="1"/>
  <c r="AJ126" i="3"/>
  <c r="U146" i="3" s="1"/>
  <c r="AB126" i="3"/>
  <c r="M146" i="3" s="1"/>
  <c r="AR126" i="3"/>
  <c r="AC146" i="3" s="1"/>
  <c r="T126" i="3"/>
  <c r="E146" i="3" s="1"/>
  <c r="T343" i="9"/>
  <c r="AB343" i="9"/>
  <c r="AJ343" i="9"/>
  <c r="AR343" i="9"/>
  <c r="V343" i="9"/>
  <c r="AD343" i="9"/>
  <c r="AL343" i="9"/>
  <c r="X343" i="9"/>
  <c r="AF343" i="9"/>
  <c r="AN343" i="9"/>
  <c r="Y343" i="9"/>
  <c r="AG343" i="9"/>
  <c r="AO343" i="9"/>
  <c r="S343" i="9"/>
  <c r="AA343" i="9"/>
  <c r="AI343" i="9"/>
  <c r="AQ343" i="9"/>
  <c r="Z343" i="9"/>
  <c r="AC343" i="9"/>
  <c r="AE343" i="9"/>
  <c r="AH343" i="9"/>
  <c r="AK343" i="9"/>
  <c r="R343" i="9"/>
  <c r="AM343" i="9"/>
  <c r="U343" i="9"/>
  <c r="AP343" i="9"/>
  <c r="W343" i="9"/>
  <c r="U20" i="3"/>
  <c r="F40" i="3" s="1"/>
  <c r="AC20" i="3"/>
  <c r="N40" i="3" s="1"/>
  <c r="AK20" i="3"/>
  <c r="V40" i="3" s="1"/>
  <c r="V20" i="3"/>
  <c r="G40" i="3" s="1"/>
  <c r="W20" i="3"/>
  <c r="H40" i="3" s="1"/>
  <c r="AE20" i="3"/>
  <c r="P40" i="3" s="1"/>
  <c r="AM20" i="3"/>
  <c r="X40" i="3" s="1"/>
  <c r="AG20" i="3"/>
  <c r="R40" i="3" s="1"/>
  <c r="R20" i="3"/>
  <c r="C40" i="3" s="1"/>
  <c r="Z20" i="3"/>
  <c r="K40" i="3" s="1"/>
  <c r="AH20" i="3"/>
  <c r="S40" i="3" s="1"/>
  <c r="X20" i="3"/>
  <c r="I40" i="3" s="1"/>
  <c r="AF20" i="3"/>
  <c r="Q40" i="3" s="1"/>
  <c r="AN20" i="3"/>
  <c r="Y40" i="3" s="1"/>
  <c r="Y20" i="3"/>
  <c r="J40" i="3" s="1"/>
  <c r="AO20" i="3"/>
  <c r="Z40" i="3" s="1"/>
  <c r="AP20" i="3"/>
  <c r="AA40" i="3" s="1"/>
  <c r="AL20" i="3"/>
  <c r="W40" i="3" s="1"/>
  <c r="S20" i="3"/>
  <c r="D40" i="3" s="1"/>
  <c r="AA20" i="3"/>
  <c r="L40" i="3" s="1"/>
  <c r="AI20" i="3"/>
  <c r="T40" i="3" s="1"/>
  <c r="AQ20" i="3"/>
  <c r="AB40" i="3" s="1"/>
  <c r="T20" i="3"/>
  <c r="E40" i="3" s="1"/>
  <c r="AB20" i="3"/>
  <c r="M40" i="3" s="1"/>
  <c r="AJ20" i="3"/>
  <c r="U40" i="3" s="1"/>
  <c r="AR20" i="3"/>
  <c r="AC40" i="3" s="1"/>
  <c r="AD20" i="3"/>
  <c r="O40" i="3" s="1"/>
  <c r="K368" i="26"/>
  <c r="R368" i="25"/>
  <c r="G369" i="26"/>
  <c r="G259" i="26"/>
  <c r="G368" i="26"/>
  <c r="H151" i="26"/>
  <c r="AC369" i="26"/>
  <c r="O369" i="26"/>
  <c r="AB369" i="26"/>
  <c r="U368" i="25"/>
  <c r="AC152" i="26"/>
  <c r="E151" i="25"/>
  <c r="Y369" i="25"/>
  <c r="C259" i="25"/>
  <c r="C151" i="25"/>
  <c r="Q151" i="24"/>
  <c r="P369" i="25"/>
  <c r="E368" i="25"/>
  <c r="E369" i="25"/>
  <c r="F259" i="24"/>
  <c r="AC151" i="26"/>
  <c r="M368" i="26"/>
  <c r="R369" i="25"/>
  <c r="Y368" i="25"/>
  <c r="U368" i="26"/>
  <c r="D260" i="26"/>
  <c r="D259" i="26"/>
  <c r="G260" i="26"/>
  <c r="M368" i="25"/>
  <c r="J368" i="25"/>
  <c r="AB369" i="25"/>
  <c r="W259" i="24"/>
  <c r="V162" i="24"/>
  <c r="N259" i="25"/>
  <c r="M152" i="26"/>
  <c r="G369" i="24"/>
  <c r="L46" i="25"/>
  <c r="D369" i="26"/>
  <c r="L368" i="26"/>
  <c r="L260" i="26"/>
  <c r="L369" i="26"/>
  <c r="V368" i="25"/>
  <c r="AB368" i="25"/>
  <c r="L174" i="25"/>
  <c r="X260" i="26"/>
  <c r="H368" i="25"/>
  <c r="P151" i="25"/>
  <c r="K369" i="26"/>
  <c r="V259" i="24"/>
  <c r="C368" i="25"/>
  <c r="Y259" i="26"/>
  <c r="X259" i="26"/>
  <c r="X369" i="26"/>
  <c r="X152" i="26"/>
  <c r="Q368" i="24"/>
  <c r="E260" i="25"/>
  <c r="C260" i="25"/>
  <c r="X368" i="26"/>
  <c r="AB259" i="26"/>
  <c r="O368" i="26"/>
  <c r="L259" i="26"/>
  <c r="Y260" i="26"/>
  <c r="Y369" i="26"/>
  <c r="V259" i="25"/>
  <c r="V369" i="25"/>
  <c r="Y260" i="25"/>
  <c r="T259" i="26"/>
  <c r="Y259" i="25"/>
  <c r="T260" i="26"/>
  <c r="T369" i="26"/>
  <c r="Y151" i="26"/>
  <c r="P260" i="24"/>
  <c r="M151" i="24"/>
  <c r="X259" i="24"/>
  <c r="AA369" i="26"/>
  <c r="Y368" i="26"/>
  <c r="S260" i="24"/>
  <c r="C368" i="24"/>
  <c r="C260" i="24"/>
  <c r="C151" i="24"/>
  <c r="C152" i="24"/>
  <c r="G151" i="25"/>
  <c r="C259" i="24"/>
  <c r="C259" i="26"/>
  <c r="J151" i="24"/>
  <c r="C369" i="24"/>
  <c r="E259" i="24"/>
  <c r="J368" i="24"/>
  <c r="T151" i="26"/>
  <c r="X151" i="26"/>
  <c r="R151" i="25"/>
  <c r="B368" i="26"/>
  <c r="B281" i="25"/>
  <c r="T368" i="24"/>
  <c r="S369" i="24"/>
  <c r="W152" i="24"/>
  <c r="W46" i="24"/>
  <c r="W369" i="24"/>
  <c r="W45" i="24"/>
  <c r="B369" i="26"/>
  <c r="Y46" i="26"/>
  <c r="W368" i="24"/>
  <c r="W260" i="24"/>
  <c r="S259" i="24"/>
  <c r="T259" i="24"/>
  <c r="S152" i="24"/>
  <c r="S368" i="24"/>
  <c r="B259" i="26"/>
  <c r="AC151" i="24"/>
  <c r="W151" i="24"/>
  <c r="P260" i="25"/>
  <c r="R368" i="24"/>
  <c r="U369" i="24"/>
  <c r="V369" i="24"/>
  <c r="X368" i="24"/>
  <c r="X151" i="24"/>
  <c r="P151" i="26"/>
  <c r="X152" i="24"/>
  <c r="O259" i="26"/>
  <c r="O260" i="26"/>
  <c r="X369" i="24"/>
  <c r="AB151" i="26"/>
  <c r="F152" i="25"/>
  <c r="F259" i="25"/>
  <c r="P368" i="26"/>
  <c r="H368" i="24"/>
  <c r="S45" i="24"/>
  <c r="F369" i="25"/>
  <c r="L259" i="25"/>
  <c r="P369" i="26"/>
  <c r="AA152" i="24"/>
  <c r="P260" i="26"/>
  <c r="R46" i="24"/>
  <c r="F368" i="25"/>
  <c r="R368" i="26"/>
  <c r="E260" i="24"/>
  <c r="O151" i="26"/>
  <c r="X46" i="26"/>
  <c r="S151" i="24"/>
  <c r="C368" i="26"/>
  <c r="C151" i="26"/>
  <c r="D45" i="26"/>
  <c r="C260" i="26"/>
  <c r="C369" i="26"/>
  <c r="W368" i="26"/>
  <c r="C152" i="26"/>
  <c r="E152" i="26"/>
  <c r="I45" i="25"/>
  <c r="G152" i="26"/>
  <c r="U260" i="26"/>
  <c r="F46" i="25"/>
  <c r="F260" i="25"/>
  <c r="W151" i="25"/>
  <c r="W260" i="25"/>
  <c r="Z45" i="24"/>
  <c r="I368" i="25"/>
  <c r="E152" i="25"/>
  <c r="Q368" i="25"/>
  <c r="T368" i="25"/>
  <c r="W259" i="25"/>
  <c r="AA368" i="26"/>
  <c r="U369" i="26"/>
  <c r="W368" i="25"/>
  <c r="U259" i="26"/>
  <c r="D152" i="26"/>
  <c r="M151" i="26"/>
  <c r="AA369" i="24"/>
  <c r="H152" i="24"/>
  <c r="R260" i="25"/>
  <c r="R259" i="25"/>
  <c r="R369" i="26"/>
  <c r="U151" i="26"/>
  <c r="AA368" i="24"/>
  <c r="AA259" i="24"/>
  <c r="U151" i="24"/>
  <c r="U45" i="26"/>
  <c r="U368" i="24"/>
  <c r="I369" i="25"/>
  <c r="W369" i="25"/>
  <c r="Y151" i="25"/>
  <c r="H368" i="26"/>
  <c r="D151" i="26"/>
  <c r="J151" i="25"/>
  <c r="J369" i="25"/>
  <c r="C46" i="26"/>
  <c r="T67" i="24"/>
  <c r="M260" i="26"/>
  <c r="N368" i="24"/>
  <c r="J260" i="25"/>
  <c r="H259" i="26"/>
  <c r="O368" i="24"/>
  <c r="J259" i="25"/>
  <c r="M46" i="25"/>
  <c r="AA151" i="26"/>
  <c r="AB45" i="26"/>
  <c r="AB152" i="26"/>
  <c r="J152" i="25"/>
  <c r="L151" i="26"/>
  <c r="T45" i="26"/>
  <c r="M369" i="26"/>
  <c r="L152" i="26"/>
  <c r="L45" i="26"/>
  <c r="X45" i="26"/>
  <c r="P46" i="26"/>
  <c r="Z151" i="25"/>
  <c r="Z260" i="25"/>
  <c r="AB260" i="24"/>
  <c r="AB369" i="24"/>
  <c r="AB368" i="24"/>
  <c r="B369" i="24"/>
  <c r="D259" i="24"/>
  <c r="Z368" i="25"/>
  <c r="K259" i="25"/>
  <c r="W369" i="26"/>
  <c r="W259" i="26"/>
  <c r="S260" i="26"/>
  <c r="W151" i="26"/>
  <c r="N369" i="24"/>
  <c r="B259" i="24"/>
  <c r="Z259" i="24"/>
  <c r="O152" i="24"/>
  <c r="O45" i="24"/>
  <c r="K368" i="25"/>
  <c r="W260" i="26"/>
  <c r="M45" i="26"/>
  <c r="L369" i="24"/>
  <c r="Z369" i="24"/>
  <c r="AB259" i="24"/>
  <c r="D151" i="24"/>
  <c r="B151" i="25"/>
  <c r="S368" i="26"/>
  <c r="S259" i="26"/>
  <c r="H260" i="26"/>
  <c r="O45" i="26"/>
  <c r="O259" i="24"/>
  <c r="Z368" i="24"/>
  <c r="D369" i="24"/>
  <c r="B368" i="24"/>
  <c r="Z260" i="24"/>
  <c r="O260" i="24"/>
  <c r="O151" i="24"/>
  <c r="Z259" i="25"/>
  <c r="S152" i="26"/>
  <c r="D368" i="24"/>
  <c r="D152" i="24"/>
  <c r="Z151" i="24"/>
  <c r="Z369" i="25"/>
  <c r="U260" i="25"/>
  <c r="S369" i="26"/>
  <c r="W152" i="26"/>
  <c r="O369" i="24"/>
  <c r="N260" i="24"/>
  <c r="N259" i="24"/>
  <c r="B152" i="24"/>
  <c r="Z152" i="24"/>
  <c r="B151" i="24"/>
  <c r="O46" i="24"/>
  <c r="T369" i="25"/>
  <c r="H369" i="26"/>
  <c r="M46" i="26"/>
  <c r="N151" i="24"/>
  <c r="N152" i="24"/>
  <c r="AA45" i="24"/>
  <c r="K369" i="25"/>
  <c r="M259" i="26"/>
  <c r="R46" i="26"/>
  <c r="N45" i="24"/>
  <c r="D52" i="26"/>
  <c r="P368" i="24"/>
  <c r="B152" i="26"/>
  <c r="D260" i="24"/>
  <c r="D46" i="26"/>
  <c r="H78" i="26"/>
  <c r="Y172" i="26"/>
  <c r="K259" i="26"/>
  <c r="H369" i="25"/>
  <c r="F151" i="25"/>
  <c r="V368" i="24"/>
  <c r="V260" i="24"/>
  <c r="L259" i="24"/>
  <c r="E260" i="26"/>
  <c r="AA152" i="26"/>
  <c r="L368" i="24"/>
  <c r="P369" i="24"/>
  <c r="AC152" i="25"/>
  <c r="E369" i="26"/>
  <c r="E368" i="26"/>
  <c r="E151" i="26"/>
  <c r="E45" i="26"/>
  <c r="AC45" i="26"/>
  <c r="AC369" i="25"/>
  <c r="B152" i="25"/>
  <c r="I281" i="26"/>
  <c r="G368" i="24"/>
  <c r="B368" i="25"/>
  <c r="P151" i="24"/>
  <c r="B260" i="25"/>
  <c r="B259" i="25"/>
  <c r="J369" i="26"/>
  <c r="P259" i="24"/>
  <c r="P152" i="24"/>
  <c r="B46" i="24"/>
  <c r="B369" i="25"/>
  <c r="V151" i="24"/>
  <c r="AA369" i="25"/>
  <c r="E259" i="26"/>
  <c r="F46" i="26"/>
  <c r="I45" i="24"/>
  <c r="I259" i="24"/>
  <c r="I369" i="24"/>
  <c r="I368" i="24"/>
  <c r="I260" i="24"/>
  <c r="F45" i="24"/>
  <c r="F260" i="24"/>
  <c r="F152" i="24"/>
  <c r="N260" i="25"/>
  <c r="N151" i="25"/>
  <c r="N45" i="26"/>
  <c r="N369" i="26"/>
  <c r="N368" i="26"/>
  <c r="I152" i="24"/>
  <c r="V152" i="24"/>
  <c r="R151" i="24"/>
  <c r="I259" i="25"/>
  <c r="H259" i="25"/>
  <c r="Q151" i="25"/>
  <c r="L294" i="26"/>
  <c r="N259" i="26"/>
  <c r="K260" i="26"/>
  <c r="P45" i="26"/>
  <c r="F369" i="24"/>
  <c r="F368" i="24"/>
  <c r="K46" i="24"/>
  <c r="O368" i="25"/>
  <c r="N368" i="25"/>
  <c r="L260" i="25"/>
  <c r="Q259" i="25"/>
  <c r="V45" i="25"/>
  <c r="F369" i="26"/>
  <c r="AC46" i="26"/>
  <c r="N369" i="25"/>
  <c r="T369" i="24"/>
  <c r="G259" i="24"/>
  <c r="L45" i="24"/>
  <c r="O260" i="25"/>
  <c r="O152" i="25"/>
  <c r="B45" i="25"/>
  <c r="F259" i="26"/>
  <c r="J260" i="26"/>
  <c r="AA260" i="26"/>
  <c r="AA259" i="26"/>
  <c r="N152" i="26"/>
  <c r="J151" i="26"/>
  <c r="S45" i="26"/>
  <c r="T260" i="24"/>
  <c r="AA260" i="24"/>
  <c r="I151" i="24"/>
  <c r="R259" i="24"/>
  <c r="L152" i="24"/>
  <c r="V46" i="24"/>
  <c r="AA46" i="24"/>
  <c r="L368" i="25"/>
  <c r="Z152" i="25"/>
  <c r="R259" i="26"/>
  <c r="R260" i="26"/>
  <c r="R369" i="24"/>
  <c r="L260" i="24"/>
  <c r="T152" i="24"/>
  <c r="L151" i="24"/>
  <c r="AA151" i="24"/>
  <c r="L46" i="24"/>
  <c r="V45" i="24"/>
  <c r="L369" i="25"/>
  <c r="K260" i="25"/>
  <c r="Q260" i="25"/>
  <c r="V260" i="25"/>
  <c r="AB151" i="25"/>
  <c r="T46" i="25"/>
  <c r="V151" i="25"/>
  <c r="J368" i="26"/>
  <c r="F260" i="26"/>
  <c r="G260" i="24"/>
  <c r="AB152" i="24"/>
  <c r="AB151" i="24"/>
  <c r="G151" i="24"/>
  <c r="Q369" i="25"/>
  <c r="I260" i="25"/>
  <c r="K151" i="25"/>
  <c r="AC368" i="26"/>
  <c r="AC259" i="26"/>
  <c r="J259" i="26"/>
  <c r="J152" i="26"/>
  <c r="K151" i="26"/>
  <c r="T151" i="24"/>
  <c r="F368" i="26"/>
  <c r="AC260" i="26"/>
  <c r="G152" i="24"/>
  <c r="G46" i="24"/>
  <c r="T259" i="25"/>
  <c r="R260" i="24"/>
  <c r="R152" i="24"/>
  <c r="T260" i="25"/>
  <c r="U151" i="25"/>
  <c r="T151" i="25"/>
  <c r="G45" i="24"/>
  <c r="AB46" i="25"/>
  <c r="I151" i="26"/>
  <c r="I369" i="26"/>
  <c r="S260" i="25"/>
  <c r="S368" i="25"/>
  <c r="S369" i="25"/>
  <c r="S259" i="25"/>
  <c r="I259" i="26"/>
  <c r="C46" i="24"/>
  <c r="S46" i="26"/>
  <c r="K152" i="25"/>
  <c r="W46" i="26"/>
  <c r="S152" i="25"/>
  <c r="B45" i="24"/>
  <c r="S151" i="25"/>
  <c r="I368" i="26"/>
  <c r="I260" i="26"/>
  <c r="C45" i="24"/>
  <c r="X45" i="24"/>
  <c r="D45" i="25"/>
  <c r="D369" i="25"/>
  <c r="G260" i="25"/>
  <c r="G46" i="25"/>
  <c r="F45" i="25"/>
  <c r="G259" i="25"/>
  <c r="N46" i="25"/>
  <c r="Y46" i="25"/>
  <c r="O152" i="26"/>
  <c r="O46" i="26"/>
  <c r="K163" i="24"/>
  <c r="G368" i="25"/>
  <c r="B293" i="25"/>
  <c r="D259" i="25"/>
  <c r="AA45" i="25"/>
  <c r="D151" i="25"/>
  <c r="N162" i="26"/>
  <c r="T387" i="26"/>
  <c r="T152" i="26"/>
  <c r="G369" i="25"/>
  <c r="D368" i="25"/>
  <c r="D260" i="25"/>
  <c r="D152" i="25"/>
  <c r="K45" i="26"/>
  <c r="AA46" i="26"/>
  <c r="U152" i="26"/>
  <c r="G152" i="25"/>
  <c r="AB259" i="25"/>
  <c r="C45" i="26"/>
  <c r="S69" i="26"/>
  <c r="M45" i="24"/>
  <c r="M368" i="24"/>
  <c r="M260" i="24"/>
  <c r="M259" i="24"/>
  <c r="D45" i="24"/>
  <c r="V46" i="26"/>
  <c r="V368" i="26"/>
  <c r="V259" i="26"/>
  <c r="V369" i="26"/>
  <c r="M369" i="24"/>
  <c r="M152" i="24"/>
  <c r="S46" i="24"/>
  <c r="N46" i="24"/>
  <c r="X46" i="24"/>
  <c r="Z45" i="26"/>
  <c r="Z369" i="26"/>
  <c r="Z151" i="26"/>
  <c r="Z368" i="26"/>
  <c r="Q187" i="24"/>
  <c r="T45" i="24"/>
  <c r="I46" i="24"/>
  <c r="D46" i="24"/>
  <c r="X260" i="24"/>
  <c r="AB45" i="24"/>
  <c r="P46" i="24"/>
  <c r="H46" i="25"/>
  <c r="V186" i="24"/>
  <c r="F151" i="24"/>
  <c r="K45" i="24"/>
  <c r="Z46" i="24"/>
  <c r="AC45" i="24"/>
  <c r="Q45" i="26"/>
  <c r="Q151" i="26"/>
  <c r="Q152" i="26"/>
  <c r="Q369" i="26"/>
  <c r="AB46" i="24"/>
  <c r="P45" i="24"/>
  <c r="Q46" i="24"/>
  <c r="R45" i="24"/>
  <c r="F46" i="24"/>
  <c r="H45" i="25"/>
  <c r="H151" i="25"/>
  <c r="H260" i="25"/>
  <c r="V152" i="25"/>
  <c r="G45" i="26"/>
  <c r="I46" i="26"/>
  <c r="L152" i="25"/>
  <c r="C46" i="25"/>
  <c r="V260" i="26"/>
  <c r="K152" i="26"/>
  <c r="R45" i="26"/>
  <c r="L151" i="25"/>
  <c r="R152" i="25"/>
  <c r="T152" i="25"/>
  <c r="W46" i="25"/>
  <c r="G45" i="25"/>
  <c r="Q46" i="25"/>
  <c r="Y45" i="25"/>
  <c r="D46" i="25"/>
  <c r="Q45" i="25"/>
  <c r="B260" i="26"/>
  <c r="R152" i="26"/>
  <c r="I152" i="26"/>
  <c r="S151" i="26"/>
  <c r="S53" i="26"/>
  <c r="G53" i="26"/>
  <c r="N46" i="26"/>
  <c r="AB260" i="25"/>
  <c r="P259" i="25"/>
  <c r="W152" i="25"/>
  <c r="AB152" i="25"/>
  <c r="R46" i="25"/>
  <c r="I46" i="25"/>
  <c r="J45" i="25"/>
  <c r="L45" i="25"/>
  <c r="W45" i="25"/>
  <c r="Q368" i="26"/>
  <c r="Z152" i="26"/>
  <c r="V151" i="26"/>
  <c r="R151" i="26"/>
  <c r="D65" i="26"/>
  <c r="H46" i="26"/>
  <c r="P152" i="26"/>
  <c r="E259" i="25"/>
  <c r="H152" i="25"/>
  <c r="C152" i="25"/>
  <c r="X183" i="25"/>
  <c r="J46" i="25"/>
  <c r="R45" i="25"/>
  <c r="T45" i="25"/>
  <c r="P45" i="25"/>
  <c r="G46" i="26"/>
  <c r="G77" i="26"/>
  <c r="D76" i="26"/>
  <c r="AA292" i="25"/>
  <c r="I151" i="25"/>
  <c r="P152" i="25"/>
  <c r="K46" i="25"/>
  <c r="I152" i="25"/>
  <c r="B46" i="25"/>
  <c r="Z45" i="25"/>
  <c r="AB45" i="25"/>
  <c r="X45" i="25"/>
  <c r="Z260" i="26"/>
  <c r="F152" i="26"/>
  <c r="N151" i="26"/>
  <c r="G151" i="26"/>
  <c r="E46" i="25"/>
  <c r="C45" i="25"/>
  <c r="W45" i="26"/>
  <c r="H45" i="26"/>
  <c r="Y152" i="25"/>
  <c r="AA152" i="25"/>
  <c r="V46" i="25"/>
  <c r="S45" i="25"/>
  <c r="E45" i="25"/>
  <c r="K45" i="25"/>
  <c r="Q259" i="26"/>
  <c r="Z259" i="26"/>
  <c r="Q260" i="26"/>
  <c r="N260" i="26"/>
  <c r="V152" i="26"/>
  <c r="H152" i="26"/>
  <c r="F151" i="26"/>
  <c r="I45" i="26"/>
  <c r="J46" i="26"/>
  <c r="B46" i="26"/>
  <c r="L46" i="26"/>
  <c r="S57" i="26"/>
  <c r="S62" i="26"/>
  <c r="D51" i="26"/>
  <c r="B389" i="26"/>
  <c r="B401" i="26"/>
  <c r="B377" i="26"/>
  <c r="C402" i="26"/>
  <c r="C390" i="26"/>
  <c r="X402" i="26"/>
  <c r="X378" i="26"/>
  <c r="X390" i="26"/>
  <c r="B399" i="26"/>
  <c r="B397" i="26"/>
  <c r="B400" i="26"/>
  <c r="B387" i="26"/>
  <c r="B385" i="26"/>
  <c r="B386" i="26"/>
  <c r="B376" i="26"/>
  <c r="B388" i="26"/>
  <c r="B374" i="26"/>
  <c r="B398" i="26"/>
  <c r="B375" i="26"/>
  <c r="B373" i="26"/>
  <c r="O390" i="26"/>
  <c r="O402" i="26"/>
  <c r="O378" i="26"/>
  <c r="L390" i="26"/>
  <c r="L378" i="26"/>
  <c r="L402" i="26"/>
  <c r="V283" i="26"/>
  <c r="V295" i="26"/>
  <c r="V271" i="26"/>
  <c r="U294" i="26"/>
  <c r="U270" i="26"/>
  <c r="U282" i="26"/>
  <c r="F294" i="26"/>
  <c r="F270" i="26"/>
  <c r="F282" i="26"/>
  <c r="B279" i="26"/>
  <c r="B290" i="26"/>
  <c r="B267" i="26"/>
  <c r="B289" i="26"/>
  <c r="B278" i="26"/>
  <c r="B288" i="26"/>
  <c r="B265" i="26"/>
  <c r="B277" i="26"/>
  <c r="B291" i="26"/>
  <c r="B266" i="26"/>
  <c r="B276" i="26"/>
  <c r="B264" i="26"/>
  <c r="AC283" i="26"/>
  <c r="AC271" i="26"/>
  <c r="AC295" i="26"/>
  <c r="W295" i="26"/>
  <c r="W271" i="26"/>
  <c r="W283" i="26"/>
  <c r="S186" i="26"/>
  <c r="S174" i="26"/>
  <c r="S162" i="26"/>
  <c r="J173" i="26"/>
  <c r="J185" i="26"/>
  <c r="J161" i="26"/>
  <c r="R293" i="26"/>
  <c r="R281" i="26"/>
  <c r="R269" i="26"/>
  <c r="AB293" i="26"/>
  <c r="AB269" i="26"/>
  <c r="AB281" i="26"/>
  <c r="I185" i="26"/>
  <c r="I173" i="26"/>
  <c r="I161" i="26"/>
  <c r="H161" i="26"/>
  <c r="H185" i="26"/>
  <c r="H173" i="26"/>
  <c r="D181" i="26"/>
  <c r="D169" i="26"/>
  <c r="D156" i="26"/>
  <c r="D157" i="26"/>
  <c r="D170" i="26"/>
  <c r="D159" i="26"/>
  <c r="D158" i="26"/>
  <c r="D183" i="26"/>
  <c r="D182" i="26"/>
  <c r="D171" i="26"/>
  <c r="D168" i="26"/>
  <c r="D180" i="26"/>
  <c r="J81" i="26"/>
  <c r="J69" i="26"/>
  <c r="J57" i="26"/>
  <c r="I81" i="26"/>
  <c r="I69" i="26"/>
  <c r="I57" i="26"/>
  <c r="E68" i="26"/>
  <c r="E56" i="26"/>
  <c r="E80" i="26"/>
  <c r="J80" i="26"/>
  <c r="J68" i="26"/>
  <c r="J56" i="26"/>
  <c r="J67" i="26"/>
  <c r="J79" i="26"/>
  <c r="J55" i="26"/>
  <c r="M80" i="26"/>
  <c r="M56" i="26"/>
  <c r="M68" i="26"/>
  <c r="L68" i="26"/>
  <c r="L80" i="26"/>
  <c r="L56" i="26"/>
  <c r="Z76" i="26"/>
  <c r="Z74" i="26"/>
  <c r="Z65" i="26"/>
  <c r="Z53" i="26"/>
  <c r="Z63" i="26"/>
  <c r="Z51" i="26"/>
  <c r="Z75" i="26"/>
  <c r="Z62" i="26"/>
  <c r="Z50" i="26"/>
  <c r="Z52" i="26"/>
  <c r="Z77" i="26"/>
  <c r="Z64" i="26"/>
  <c r="F55" i="26"/>
  <c r="F67" i="26"/>
  <c r="F79" i="26"/>
  <c r="T80" i="26"/>
  <c r="T68" i="26"/>
  <c r="T56" i="26"/>
  <c r="AA81" i="26"/>
  <c r="P402" i="26"/>
  <c r="P378" i="26"/>
  <c r="P390" i="26"/>
  <c r="G390" i="26"/>
  <c r="G402" i="26"/>
  <c r="G378" i="26"/>
  <c r="D390" i="26"/>
  <c r="D378" i="26"/>
  <c r="D402" i="26"/>
  <c r="V387" i="26"/>
  <c r="V385" i="26"/>
  <c r="V388" i="26"/>
  <c r="V399" i="26"/>
  <c r="V376" i="26"/>
  <c r="V374" i="26"/>
  <c r="V397" i="26"/>
  <c r="V375" i="26"/>
  <c r="V398" i="26"/>
  <c r="V386" i="26"/>
  <c r="V400" i="26"/>
  <c r="V373" i="26"/>
  <c r="G404" i="26"/>
  <c r="G380" i="26"/>
  <c r="G392" i="26"/>
  <c r="R295" i="26"/>
  <c r="R271" i="26"/>
  <c r="R283" i="26"/>
  <c r="N283" i="26"/>
  <c r="N295" i="26"/>
  <c r="N271" i="26"/>
  <c r="W398" i="26"/>
  <c r="W388" i="26"/>
  <c r="W399" i="26"/>
  <c r="W386" i="26"/>
  <c r="W400" i="26"/>
  <c r="W375" i="26"/>
  <c r="W385" i="26"/>
  <c r="W373" i="26"/>
  <c r="W374" i="26"/>
  <c r="W376" i="26"/>
  <c r="W387" i="26"/>
  <c r="W397" i="26"/>
  <c r="J282" i="26"/>
  <c r="J270" i="26"/>
  <c r="J294" i="26"/>
  <c r="AA280" i="26"/>
  <c r="AA268" i="26"/>
  <c r="AA292" i="26"/>
  <c r="AB283" i="26"/>
  <c r="AB295" i="26"/>
  <c r="AB271" i="26"/>
  <c r="D277" i="26"/>
  <c r="D288" i="26"/>
  <c r="D291" i="26"/>
  <c r="D290" i="26"/>
  <c r="D279" i="26"/>
  <c r="D289" i="26"/>
  <c r="D278" i="26"/>
  <c r="D266" i="26"/>
  <c r="D276" i="26"/>
  <c r="D267" i="26"/>
  <c r="D265" i="26"/>
  <c r="D264" i="26"/>
  <c r="J186" i="26"/>
  <c r="J174" i="26"/>
  <c r="J162" i="26"/>
  <c r="R173" i="26"/>
  <c r="R161" i="26"/>
  <c r="R185" i="26"/>
  <c r="V184" i="26"/>
  <c r="V172" i="26"/>
  <c r="V160" i="26"/>
  <c r="AA184" i="26"/>
  <c r="AA172" i="26"/>
  <c r="AA160" i="26"/>
  <c r="B81" i="26"/>
  <c r="B57" i="26"/>
  <c r="B69" i="26"/>
  <c r="I78" i="26"/>
  <c r="I54" i="26"/>
  <c r="I66" i="26"/>
  <c r="H55" i="26"/>
  <c r="H79" i="26"/>
  <c r="H67" i="26"/>
  <c r="L79" i="26"/>
  <c r="L55" i="26"/>
  <c r="L67" i="26"/>
  <c r="P56" i="26"/>
  <c r="P68" i="26"/>
  <c r="P80" i="26"/>
  <c r="R80" i="26"/>
  <c r="R68" i="26"/>
  <c r="R56" i="26"/>
  <c r="V67" i="26"/>
  <c r="V55" i="26"/>
  <c r="V79" i="26"/>
  <c r="U55" i="26"/>
  <c r="U79" i="26"/>
  <c r="U67" i="26"/>
  <c r="K386" i="26"/>
  <c r="K400" i="26"/>
  <c r="K387" i="26"/>
  <c r="K398" i="26"/>
  <c r="K388" i="26"/>
  <c r="K375" i="26"/>
  <c r="K397" i="26"/>
  <c r="K373" i="26"/>
  <c r="K399" i="26"/>
  <c r="K374" i="26"/>
  <c r="K385" i="26"/>
  <c r="K376" i="26"/>
  <c r="H402" i="26"/>
  <c r="H378" i="26"/>
  <c r="H390" i="26"/>
  <c r="P401" i="26"/>
  <c r="P389" i="26"/>
  <c r="P377" i="26"/>
  <c r="AC401" i="26"/>
  <c r="AC377" i="26"/>
  <c r="AC389" i="26"/>
  <c r="W391" i="26"/>
  <c r="W403" i="26"/>
  <c r="W379" i="26"/>
  <c r="AA386" i="26"/>
  <c r="AA400" i="26"/>
  <c r="AA387" i="26"/>
  <c r="AA398" i="26"/>
  <c r="AA388" i="26"/>
  <c r="AA375" i="26"/>
  <c r="AA397" i="26"/>
  <c r="AA373" i="26"/>
  <c r="AA399" i="26"/>
  <c r="AA374" i="26"/>
  <c r="AA376" i="26"/>
  <c r="AA385" i="26"/>
  <c r="J295" i="26"/>
  <c r="J271" i="26"/>
  <c r="J283" i="26"/>
  <c r="Y295" i="26"/>
  <c r="Y271" i="26"/>
  <c r="Y283" i="26"/>
  <c r="F283" i="26"/>
  <c r="F295" i="26"/>
  <c r="F271" i="26"/>
  <c r="T280" i="26"/>
  <c r="T292" i="26"/>
  <c r="T268" i="26"/>
  <c r="S280" i="26"/>
  <c r="S268" i="26"/>
  <c r="S292" i="26"/>
  <c r="K280" i="26"/>
  <c r="K292" i="26"/>
  <c r="K268" i="26"/>
  <c r="M283" i="26"/>
  <c r="M295" i="26"/>
  <c r="M271" i="26"/>
  <c r="X289" i="26"/>
  <c r="X265" i="26"/>
  <c r="X276" i="26"/>
  <c r="X279" i="26"/>
  <c r="X288" i="26"/>
  <c r="X291" i="26"/>
  <c r="X278" i="26"/>
  <c r="X267" i="26"/>
  <c r="X290" i="26"/>
  <c r="X266" i="26"/>
  <c r="X277" i="26"/>
  <c r="X264" i="26"/>
  <c r="X185" i="26"/>
  <c r="X161" i="26"/>
  <c r="X173" i="26"/>
  <c r="W161" i="26"/>
  <c r="W185" i="26"/>
  <c r="W173" i="26"/>
  <c r="Z185" i="26"/>
  <c r="Z173" i="26"/>
  <c r="Z161" i="26"/>
  <c r="L172" i="26"/>
  <c r="L160" i="26"/>
  <c r="L184" i="26"/>
  <c r="T79" i="26"/>
  <c r="T67" i="26"/>
  <c r="T55" i="26"/>
  <c r="M67" i="26"/>
  <c r="M79" i="26"/>
  <c r="M55" i="26"/>
  <c r="Z80" i="26"/>
  <c r="Z68" i="26"/>
  <c r="Z56" i="26"/>
  <c r="I67" i="26"/>
  <c r="I55" i="26"/>
  <c r="I79" i="26"/>
  <c r="G79" i="26"/>
  <c r="G67" i="26"/>
  <c r="G55" i="26"/>
  <c r="O66" i="26"/>
  <c r="O78" i="26"/>
  <c r="O54" i="26"/>
  <c r="AA69" i="26"/>
  <c r="AA57" i="26"/>
  <c r="C386" i="26"/>
  <c r="C400" i="26"/>
  <c r="C387" i="26"/>
  <c r="C398" i="26"/>
  <c r="C375" i="26"/>
  <c r="C373" i="26"/>
  <c r="C388" i="26"/>
  <c r="C374" i="26"/>
  <c r="C397" i="26"/>
  <c r="C399" i="26"/>
  <c r="C376" i="26"/>
  <c r="C385" i="26"/>
  <c r="Q389" i="26"/>
  <c r="Q377" i="26"/>
  <c r="Q401" i="26"/>
  <c r="X385" i="26"/>
  <c r="X399" i="26"/>
  <c r="X386" i="26"/>
  <c r="X397" i="26"/>
  <c r="X387" i="26"/>
  <c r="X374" i="26"/>
  <c r="X388" i="26"/>
  <c r="X398" i="26"/>
  <c r="X373" i="26"/>
  <c r="X376" i="26"/>
  <c r="X375" i="26"/>
  <c r="X400" i="26"/>
  <c r="J392" i="26"/>
  <c r="J404" i="26"/>
  <c r="J380" i="26"/>
  <c r="M392" i="26"/>
  <c r="M404" i="26"/>
  <c r="M380" i="26"/>
  <c r="H391" i="26"/>
  <c r="H379" i="26"/>
  <c r="H403" i="26"/>
  <c r="B295" i="26"/>
  <c r="B271" i="26"/>
  <c r="B283" i="26"/>
  <c r="Q295" i="26"/>
  <c r="Q271" i="26"/>
  <c r="Q283" i="26"/>
  <c r="G398" i="26"/>
  <c r="G388" i="26"/>
  <c r="G399" i="26"/>
  <c r="G386" i="26"/>
  <c r="G400" i="26"/>
  <c r="G375" i="26"/>
  <c r="G385" i="26"/>
  <c r="G373" i="26"/>
  <c r="G387" i="26"/>
  <c r="G376" i="26"/>
  <c r="G397" i="26"/>
  <c r="G374" i="26"/>
  <c r="F292" i="26"/>
  <c r="F280" i="26"/>
  <c r="F268" i="26"/>
  <c r="Z295" i="26"/>
  <c r="Z271" i="26"/>
  <c r="Z283" i="26"/>
  <c r="T283" i="26"/>
  <c r="T295" i="26"/>
  <c r="T271" i="26"/>
  <c r="S295" i="26"/>
  <c r="S271" i="26"/>
  <c r="S283" i="26"/>
  <c r="L283" i="26"/>
  <c r="L295" i="26"/>
  <c r="L271" i="26"/>
  <c r="G271" i="26"/>
  <c r="G283" i="26"/>
  <c r="G295" i="26"/>
  <c r="AC186" i="26"/>
  <c r="AC174" i="26"/>
  <c r="AC162" i="26"/>
  <c r="M173" i="26"/>
  <c r="M185" i="26"/>
  <c r="M161" i="26"/>
  <c r="X182" i="26"/>
  <c r="X180" i="26"/>
  <c r="X157" i="26"/>
  <c r="X168" i="26"/>
  <c r="X183" i="26"/>
  <c r="X169" i="26"/>
  <c r="X171" i="26"/>
  <c r="X170" i="26"/>
  <c r="X159" i="26"/>
  <c r="X158" i="26"/>
  <c r="X156" i="26"/>
  <c r="X181" i="26"/>
  <c r="L161" i="26"/>
  <c r="L185" i="26"/>
  <c r="L173" i="26"/>
  <c r="G184" i="26"/>
  <c r="G172" i="26"/>
  <c r="G160" i="26"/>
  <c r="Z186" i="26"/>
  <c r="Z174" i="26"/>
  <c r="Z162" i="26"/>
  <c r="E181" i="26"/>
  <c r="E156" i="26"/>
  <c r="E180" i="26"/>
  <c r="E159" i="26"/>
  <c r="E168" i="26"/>
  <c r="E170" i="26"/>
  <c r="E171" i="26"/>
  <c r="E157" i="26"/>
  <c r="E182" i="26"/>
  <c r="E183" i="26"/>
  <c r="E169" i="26"/>
  <c r="E158" i="26"/>
  <c r="X55" i="26"/>
  <c r="X79" i="26"/>
  <c r="X67" i="26"/>
  <c r="N80" i="26"/>
  <c r="N68" i="26"/>
  <c r="N56" i="26"/>
  <c r="C68" i="26"/>
  <c r="C56" i="26"/>
  <c r="C80" i="26"/>
  <c r="G75" i="26"/>
  <c r="G62" i="26"/>
  <c r="G51" i="26"/>
  <c r="G74" i="26"/>
  <c r="G50" i="26"/>
  <c r="G63" i="26"/>
  <c r="Q402" i="26"/>
  <c r="Q390" i="26"/>
  <c r="Q378" i="26"/>
  <c r="T400" i="26"/>
  <c r="T376" i="26"/>
  <c r="T388" i="26"/>
  <c r="I389" i="26"/>
  <c r="I377" i="26"/>
  <c r="I401" i="26"/>
  <c r="Y388" i="26"/>
  <c r="Y386" i="26"/>
  <c r="Y397" i="26"/>
  <c r="Y400" i="26"/>
  <c r="Y375" i="26"/>
  <c r="Y398" i="26"/>
  <c r="Y373" i="26"/>
  <c r="Y385" i="26"/>
  <c r="Y376" i="26"/>
  <c r="Y399" i="26"/>
  <c r="Y387" i="26"/>
  <c r="Y374" i="26"/>
  <c r="P385" i="26"/>
  <c r="P399" i="26"/>
  <c r="P386" i="26"/>
  <c r="P397" i="26"/>
  <c r="P374" i="26"/>
  <c r="P387" i="26"/>
  <c r="P373" i="26"/>
  <c r="P388" i="26"/>
  <c r="P376" i="26"/>
  <c r="P400" i="26"/>
  <c r="P375" i="26"/>
  <c r="P398" i="26"/>
  <c r="M401" i="26"/>
  <c r="M377" i="26"/>
  <c r="M389" i="26"/>
  <c r="R392" i="26"/>
  <c r="R380" i="26"/>
  <c r="R404" i="26"/>
  <c r="T403" i="26"/>
  <c r="T379" i="26"/>
  <c r="T391" i="26"/>
  <c r="B268" i="26"/>
  <c r="B280" i="26"/>
  <c r="B292" i="26"/>
  <c r="Q292" i="26"/>
  <c r="Q268" i="26"/>
  <c r="Q280" i="26"/>
  <c r="N294" i="26"/>
  <c r="N270" i="26"/>
  <c r="N282" i="26"/>
  <c r="H292" i="26"/>
  <c r="H268" i="26"/>
  <c r="H280" i="26"/>
  <c r="C290" i="26"/>
  <c r="C266" i="26"/>
  <c r="C277" i="26"/>
  <c r="C288" i="26"/>
  <c r="C267" i="26"/>
  <c r="C279" i="26"/>
  <c r="C264" i="26"/>
  <c r="C291" i="26"/>
  <c r="C278" i="26"/>
  <c r="C276" i="26"/>
  <c r="C289" i="26"/>
  <c r="C265" i="26"/>
  <c r="C271" i="26"/>
  <c r="C295" i="26"/>
  <c r="C283" i="26"/>
  <c r="N280" i="26"/>
  <c r="N268" i="26"/>
  <c r="N292" i="26"/>
  <c r="C161" i="26"/>
  <c r="C185" i="26"/>
  <c r="C173" i="26"/>
  <c r="L182" i="26"/>
  <c r="L169" i="26"/>
  <c r="L181" i="26"/>
  <c r="L156" i="26"/>
  <c r="L157" i="26"/>
  <c r="L168" i="26"/>
  <c r="L180" i="26"/>
  <c r="L183" i="26"/>
  <c r="L171" i="26"/>
  <c r="L170" i="26"/>
  <c r="L159" i="26"/>
  <c r="L158" i="26"/>
  <c r="F185" i="26"/>
  <c r="F161" i="26"/>
  <c r="F173" i="26"/>
  <c r="AA186" i="26"/>
  <c r="AA174" i="26"/>
  <c r="AA162" i="26"/>
  <c r="O184" i="26"/>
  <c r="O160" i="26"/>
  <c r="O172" i="26"/>
  <c r="O162" i="26"/>
  <c r="O186" i="26"/>
  <c r="O174" i="26"/>
  <c r="AB161" i="26"/>
  <c r="AB173" i="26"/>
  <c r="AB185" i="26"/>
  <c r="V57" i="26"/>
  <c r="V69" i="26"/>
  <c r="V81" i="26"/>
  <c r="C79" i="26"/>
  <c r="C67" i="26"/>
  <c r="C55" i="26"/>
  <c r="G80" i="26"/>
  <c r="G68" i="26"/>
  <c r="G56" i="26"/>
  <c r="K56" i="26"/>
  <c r="K80" i="26"/>
  <c r="K68" i="26"/>
  <c r="I402" i="26"/>
  <c r="I390" i="26"/>
  <c r="I378" i="26"/>
  <c r="V378" i="26"/>
  <c r="V390" i="26"/>
  <c r="V402" i="26"/>
  <c r="H385" i="26"/>
  <c r="H399" i="26"/>
  <c r="H386" i="26"/>
  <c r="H397" i="26"/>
  <c r="H387" i="26"/>
  <c r="H374" i="26"/>
  <c r="H388" i="26"/>
  <c r="H398" i="26"/>
  <c r="H373" i="26"/>
  <c r="H376" i="26"/>
  <c r="H400" i="26"/>
  <c r="H375" i="26"/>
  <c r="E401" i="26"/>
  <c r="E377" i="26"/>
  <c r="E389" i="26"/>
  <c r="B391" i="26"/>
  <c r="B403" i="26"/>
  <c r="B379" i="26"/>
  <c r="Z268" i="26"/>
  <c r="Z292" i="26"/>
  <c r="Z280" i="26"/>
  <c r="G278" i="26"/>
  <c r="G289" i="26"/>
  <c r="G276" i="26"/>
  <c r="G264" i="26"/>
  <c r="G291" i="26"/>
  <c r="G277" i="26"/>
  <c r="G279" i="26"/>
  <c r="G267" i="26"/>
  <c r="G266" i="26"/>
  <c r="G265" i="26"/>
  <c r="G288" i="26"/>
  <c r="G290" i="26"/>
  <c r="K290" i="26"/>
  <c r="K266" i="26"/>
  <c r="K277" i="26"/>
  <c r="K288" i="26"/>
  <c r="K291" i="26"/>
  <c r="K267" i="26"/>
  <c r="K279" i="26"/>
  <c r="K265" i="26"/>
  <c r="K278" i="26"/>
  <c r="K276" i="26"/>
  <c r="K264" i="26"/>
  <c r="K289" i="26"/>
  <c r="X295" i="26"/>
  <c r="X283" i="26"/>
  <c r="X271" i="26"/>
  <c r="D280" i="26"/>
  <c r="D268" i="26"/>
  <c r="D292" i="26"/>
  <c r="Z172" i="26"/>
  <c r="Z184" i="26"/>
  <c r="Z160" i="26"/>
  <c r="T183" i="26"/>
  <c r="T169" i="26"/>
  <c r="T182" i="26"/>
  <c r="T156" i="26"/>
  <c r="T180" i="26"/>
  <c r="T157" i="26"/>
  <c r="T158" i="26"/>
  <c r="T181" i="26"/>
  <c r="T171" i="26"/>
  <c r="T170" i="26"/>
  <c r="T168" i="26"/>
  <c r="T159" i="26"/>
  <c r="N185" i="26"/>
  <c r="N173" i="26"/>
  <c r="N161" i="26"/>
  <c r="W184" i="26"/>
  <c r="W172" i="26"/>
  <c r="W160" i="26"/>
  <c r="D186" i="26"/>
  <c r="D174" i="26"/>
  <c r="D162" i="26"/>
  <c r="K79" i="26"/>
  <c r="K67" i="26"/>
  <c r="K55" i="26"/>
  <c r="O80" i="26"/>
  <c r="O56" i="26"/>
  <c r="O68" i="26"/>
  <c r="S56" i="26"/>
  <c r="S68" i="26"/>
  <c r="S80" i="26"/>
  <c r="F76" i="26"/>
  <c r="F77" i="26"/>
  <c r="F64" i="26"/>
  <c r="F75" i="26"/>
  <c r="F74" i="26"/>
  <c r="F50" i="26"/>
  <c r="F63" i="26"/>
  <c r="F53" i="26"/>
  <c r="F51" i="26"/>
  <c r="F62" i="26"/>
  <c r="F65" i="26"/>
  <c r="F52" i="26"/>
  <c r="E79" i="26"/>
  <c r="E55" i="26"/>
  <c r="E67" i="26"/>
  <c r="W78" i="26"/>
  <c r="W54" i="26"/>
  <c r="W66" i="26"/>
  <c r="R389" i="26"/>
  <c r="R401" i="26"/>
  <c r="R377" i="26"/>
  <c r="R399" i="26"/>
  <c r="R397" i="26"/>
  <c r="R400" i="26"/>
  <c r="R387" i="26"/>
  <c r="R385" i="26"/>
  <c r="R386" i="26"/>
  <c r="R376" i="26"/>
  <c r="R388" i="26"/>
  <c r="R374" i="26"/>
  <c r="R398" i="26"/>
  <c r="R373" i="26"/>
  <c r="R375" i="26"/>
  <c r="I388" i="26"/>
  <c r="I386" i="26"/>
  <c r="I397" i="26"/>
  <c r="I400" i="26"/>
  <c r="I375" i="26"/>
  <c r="I398" i="26"/>
  <c r="I373" i="26"/>
  <c r="I385" i="26"/>
  <c r="I376" i="26"/>
  <c r="I399" i="26"/>
  <c r="I374" i="26"/>
  <c r="I387" i="26"/>
  <c r="N390" i="26"/>
  <c r="N378" i="26"/>
  <c r="N402" i="26"/>
  <c r="F404" i="26"/>
  <c r="F380" i="26"/>
  <c r="F392" i="26"/>
  <c r="K403" i="26"/>
  <c r="K379" i="26"/>
  <c r="K391" i="26"/>
  <c r="N403" i="26"/>
  <c r="N379" i="26"/>
  <c r="N391" i="26"/>
  <c r="T374" i="26"/>
  <c r="T397" i="26"/>
  <c r="T373" i="26"/>
  <c r="T398" i="26"/>
  <c r="T385" i="26"/>
  <c r="T386" i="26"/>
  <c r="M280" i="26"/>
  <c r="M268" i="26"/>
  <c r="M292" i="26"/>
  <c r="F291" i="26"/>
  <c r="F267" i="26"/>
  <c r="F278" i="26"/>
  <c r="F289" i="26"/>
  <c r="F265" i="26"/>
  <c r="F288" i="26"/>
  <c r="F290" i="26"/>
  <c r="F264" i="26"/>
  <c r="F266" i="26"/>
  <c r="F279" i="26"/>
  <c r="F276" i="26"/>
  <c r="F277" i="26"/>
  <c r="M288" i="26"/>
  <c r="M264" i="26"/>
  <c r="M291" i="26"/>
  <c r="M278" i="26"/>
  <c r="M277" i="26"/>
  <c r="M266" i="26"/>
  <c r="M289" i="26"/>
  <c r="M290" i="26"/>
  <c r="M279" i="26"/>
  <c r="M265" i="26"/>
  <c r="M267" i="26"/>
  <c r="M276" i="26"/>
  <c r="AB169" i="26"/>
  <c r="AB183" i="26"/>
  <c r="AB156" i="26"/>
  <c r="AB157" i="26"/>
  <c r="AB182" i="26"/>
  <c r="AB181" i="26"/>
  <c r="AB180" i="26"/>
  <c r="AB171" i="26"/>
  <c r="AB170" i="26"/>
  <c r="AB159" i="26"/>
  <c r="AB158" i="26"/>
  <c r="AB168" i="26"/>
  <c r="V185" i="26"/>
  <c r="V161" i="26"/>
  <c r="V173" i="26"/>
  <c r="AC173" i="26"/>
  <c r="AC185" i="26"/>
  <c r="AC161" i="26"/>
  <c r="Y81" i="26"/>
  <c r="Y69" i="26"/>
  <c r="Y57" i="26"/>
  <c r="M181" i="26"/>
  <c r="M156" i="26"/>
  <c r="M159" i="26"/>
  <c r="M168" i="26"/>
  <c r="M180" i="26"/>
  <c r="M157" i="26"/>
  <c r="M183" i="26"/>
  <c r="M182" i="26"/>
  <c r="M171" i="26"/>
  <c r="M169" i="26"/>
  <c r="M158" i="26"/>
  <c r="M170" i="26"/>
  <c r="F57" i="26"/>
  <c r="F81" i="26"/>
  <c r="F69" i="26"/>
  <c r="AA80" i="26"/>
  <c r="AA56" i="26"/>
  <c r="AA68" i="26"/>
  <c r="O69" i="26"/>
  <c r="O57" i="26"/>
  <c r="O81" i="26"/>
  <c r="V80" i="26"/>
  <c r="V68" i="26"/>
  <c r="V56" i="26"/>
  <c r="J389" i="26"/>
  <c r="J401" i="26"/>
  <c r="J377" i="26"/>
  <c r="F390" i="26"/>
  <c r="F378" i="26"/>
  <c r="F402" i="26"/>
  <c r="U400" i="26"/>
  <c r="U398" i="26"/>
  <c r="U385" i="26"/>
  <c r="U388" i="26"/>
  <c r="U386" i="26"/>
  <c r="U373" i="26"/>
  <c r="U387" i="26"/>
  <c r="U397" i="26"/>
  <c r="U375" i="26"/>
  <c r="U374" i="26"/>
  <c r="U399" i="26"/>
  <c r="U376" i="26"/>
  <c r="K295" i="26"/>
  <c r="K283" i="26"/>
  <c r="K271" i="26"/>
  <c r="T282" i="26"/>
  <c r="T270" i="26"/>
  <c r="T294" i="26"/>
  <c r="U280" i="26"/>
  <c r="U292" i="26"/>
  <c r="U268" i="26"/>
  <c r="W294" i="26"/>
  <c r="W270" i="26"/>
  <c r="W282" i="26"/>
  <c r="AA282" i="26"/>
  <c r="AA294" i="26"/>
  <c r="AA270" i="26"/>
  <c r="W278" i="26"/>
  <c r="W289" i="26"/>
  <c r="W288" i="26"/>
  <c r="W277" i="26"/>
  <c r="W267" i="26"/>
  <c r="W266" i="26"/>
  <c r="W265" i="26"/>
  <c r="W290" i="26"/>
  <c r="W279" i="26"/>
  <c r="W276" i="26"/>
  <c r="W291" i="26"/>
  <c r="W264" i="26"/>
  <c r="D270" i="26"/>
  <c r="D282" i="26"/>
  <c r="D294" i="26"/>
  <c r="W292" i="26"/>
  <c r="W268" i="26"/>
  <c r="W280" i="26"/>
  <c r="E172" i="26"/>
  <c r="E184" i="26"/>
  <c r="E160" i="26"/>
  <c r="B173" i="26"/>
  <c r="B161" i="26"/>
  <c r="B185" i="26"/>
  <c r="K172" i="26"/>
  <c r="K184" i="26"/>
  <c r="K160" i="26"/>
  <c r="S173" i="26"/>
  <c r="S161" i="26"/>
  <c r="S185" i="26"/>
  <c r="R81" i="26"/>
  <c r="R57" i="26"/>
  <c r="R69" i="26"/>
  <c r="P185" i="26"/>
  <c r="P173" i="26"/>
  <c r="P161" i="26"/>
  <c r="Y78" i="26"/>
  <c r="Y54" i="26"/>
  <c r="Y66" i="26"/>
  <c r="AA79" i="26"/>
  <c r="AA67" i="26"/>
  <c r="AA55" i="26"/>
  <c r="B80" i="26"/>
  <c r="B68" i="26"/>
  <c r="B56" i="26"/>
  <c r="W79" i="26"/>
  <c r="W67" i="26"/>
  <c r="W55" i="26"/>
  <c r="C57" i="26"/>
  <c r="C69" i="26"/>
  <c r="C81" i="26"/>
  <c r="I68" i="26"/>
  <c r="I56" i="26"/>
  <c r="I80" i="26"/>
  <c r="J391" i="26"/>
  <c r="J403" i="26"/>
  <c r="J379" i="26"/>
  <c r="AA389" i="26"/>
  <c r="AA377" i="26"/>
  <c r="AA401" i="26"/>
  <c r="N404" i="26"/>
  <c r="N380" i="26"/>
  <c r="N392" i="26"/>
  <c r="D403" i="26"/>
  <c r="D379" i="26"/>
  <c r="D391" i="26"/>
  <c r="V401" i="26"/>
  <c r="V389" i="26"/>
  <c r="V377" i="26"/>
  <c r="Z392" i="26"/>
  <c r="Z404" i="26"/>
  <c r="Z380" i="26"/>
  <c r="O398" i="26"/>
  <c r="O388" i="26"/>
  <c r="O399" i="26"/>
  <c r="O386" i="26"/>
  <c r="O385" i="26"/>
  <c r="O400" i="26"/>
  <c r="O375" i="26"/>
  <c r="O387" i="26"/>
  <c r="O373" i="26"/>
  <c r="O397" i="26"/>
  <c r="O376" i="26"/>
  <c r="O374" i="26"/>
  <c r="Q391" i="26"/>
  <c r="Q379" i="26"/>
  <c r="Q403" i="26"/>
  <c r="Z402" i="26"/>
  <c r="Z378" i="26"/>
  <c r="Z390" i="26"/>
  <c r="U390" i="26"/>
  <c r="U402" i="26"/>
  <c r="U378" i="26"/>
  <c r="R378" i="26"/>
  <c r="R402" i="26"/>
  <c r="R390" i="26"/>
  <c r="E288" i="26"/>
  <c r="E264" i="26"/>
  <c r="E291" i="26"/>
  <c r="E278" i="26"/>
  <c r="E290" i="26"/>
  <c r="E289" i="26"/>
  <c r="E266" i="26"/>
  <c r="E265" i="26"/>
  <c r="E277" i="26"/>
  <c r="E267" i="26"/>
  <c r="E276" i="26"/>
  <c r="E279" i="26"/>
  <c r="Q276" i="26"/>
  <c r="Q279" i="26"/>
  <c r="Q290" i="26"/>
  <c r="Q264" i="26"/>
  <c r="Q288" i="26"/>
  <c r="Q277" i="26"/>
  <c r="Q267" i="26"/>
  <c r="Q291" i="26"/>
  <c r="Q278" i="26"/>
  <c r="Q289" i="26"/>
  <c r="Q265" i="26"/>
  <c r="Q266" i="26"/>
  <c r="P289" i="26"/>
  <c r="P265" i="26"/>
  <c r="P276" i="26"/>
  <c r="P279" i="26"/>
  <c r="P290" i="26"/>
  <c r="P264" i="26"/>
  <c r="P278" i="26"/>
  <c r="P288" i="26"/>
  <c r="P277" i="26"/>
  <c r="P291" i="26"/>
  <c r="P267" i="26"/>
  <c r="P266" i="26"/>
  <c r="X292" i="26"/>
  <c r="X268" i="26"/>
  <c r="X280" i="26"/>
  <c r="T399" i="26"/>
  <c r="V294" i="26"/>
  <c r="V270" i="26"/>
  <c r="V282" i="26"/>
  <c r="AA295" i="26"/>
  <c r="AA283" i="26"/>
  <c r="AA271" i="26"/>
  <c r="Q294" i="26"/>
  <c r="G187" i="26"/>
  <c r="G175" i="26"/>
  <c r="G163" i="26"/>
  <c r="K175" i="26"/>
  <c r="K187" i="26"/>
  <c r="K163" i="26"/>
  <c r="F180" i="26"/>
  <c r="F159" i="26"/>
  <c r="F170" i="26"/>
  <c r="F183" i="26"/>
  <c r="F171" i="26"/>
  <c r="F169" i="26"/>
  <c r="F158" i="26"/>
  <c r="F182" i="26"/>
  <c r="F168" i="26"/>
  <c r="F157" i="26"/>
  <c r="F181" i="26"/>
  <c r="F156" i="26"/>
  <c r="K183" i="26"/>
  <c r="K158" i="26"/>
  <c r="K182" i="26"/>
  <c r="K169" i="26"/>
  <c r="K180" i="26"/>
  <c r="K170" i="26"/>
  <c r="K181" i="26"/>
  <c r="K168" i="26"/>
  <c r="K157" i="26"/>
  <c r="K159" i="26"/>
  <c r="K156" i="26"/>
  <c r="K171" i="26"/>
  <c r="W181" i="26"/>
  <c r="W170" i="26"/>
  <c r="W180" i="26"/>
  <c r="W157" i="26"/>
  <c r="W158" i="26"/>
  <c r="W168" i="26"/>
  <c r="W156" i="26"/>
  <c r="W159" i="26"/>
  <c r="W169" i="26"/>
  <c r="W183" i="26"/>
  <c r="W182" i="26"/>
  <c r="W171" i="26"/>
  <c r="Y152" i="26"/>
  <c r="M172" i="26"/>
  <c r="M184" i="26"/>
  <c r="M160" i="26"/>
  <c r="B184" i="26"/>
  <c r="B160" i="26"/>
  <c r="B172" i="26"/>
  <c r="M54" i="26"/>
  <c r="M66" i="26"/>
  <c r="M78" i="26"/>
  <c r="C186" i="26"/>
  <c r="C162" i="26"/>
  <c r="C174" i="26"/>
  <c r="W162" i="26"/>
  <c r="W174" i="26"/>
  <c r="W186" i="26"/>
  <c r="G185" i="26"/>
  <c r="G173" i="26"/>
  <c r="G161" i="26"/>
  <c r="N184" i="26"/>
  <c r="U81" i="26"/>
  <c r="U69" i="26"/>
  <c r="U57" i="26"/>
  <c r="D53" i="26"/>
  <c r="D74" i="26"/>
  <c r="AB74" i="26"/>
  <c r="AB76" i="26"/>
  <c r="AB51" i="26"/>
  <c r="AB75" i="26"/>
  <c r="AB62" i="26"/>
  <c r="AB52" i="26"/>
  <c r="AB65" i="26"/>
  <c r="AB53" i="26"/>
  <c r="AB63" i="26"/>
  <c r="AB50" i="26"/>
  <c r="AB77" i="26"/>
  <c r="AB64" i="26"/>
  <c r="Z46" i="26"/>
  <c r="O75" i="26"/>
  <c r="O76" i="26"/>
  <c r="O52" i="26"/>
  <c r="O74" i="26"/>
  <c r="O50" i="26"/>
  <c r="O64" i="26"/>
  <c r="O53" i="26"/>
  <c r="O63" i="26"/>
  <c r="O77" i="26"/>
  <c r="O62" i="26"/>
  <c r="O65" i="26"/>
  <c r="O51" i="26"/>
  <c r="AC77" i="26"/>
  <c r="AC63" i="26"/>
  <c r="AC52" i="26"/>
  <c r="AC50" i="26"/>
  <c r="AC74" i="26"/>
  <c r="AC64" i="26"/>
  <c r="AC51" i="26"/>
  <c r="AC62" i="26"/>
  <c r="AC53" i="26"/>
  <c r="AC75" i="26"/>
  <c r="AC65" i="26"/>
  <c r="AC76" i="26"/>
  <c r="J163" i="26"/>
  <c r="J187" i="26"/>
  <c r="J175" i="26"/>
  <c r="N78" i="26"/>
  <c r="N66" i="26"/>
  <c r="N54" i="26"/>
  <c r="AC80" i="26"/>
  <c r="AC56" i="26"/>
  <c r="AC68" i="26"/>
  <c r="F45" i="26"/>
  <c r="W75" i="26"/>
  <c r="W52" i="26"/>
  <c r="W65" i="26"/>
  <c r="W50" i="26"/>
  <c r="W76" i="26"/>
  <c r="W74" i="26"/>
  <c r="W53" i="26"/>
  <c r="W64" i="26"/>
  <c r="W62" i="26"/>
  <c r="W77" i="26"/>
  <c r="W63" i="26"/>
  <c r="W51" i="26"/>
  <c r="S51" i="26"/>
  <c r="S63" i="26"/>
  <c r="AB389" i="26"/>
  <c r="AB401" i="26"/>
  <c r="AB377" i="26"/>
  <c r="G401" i="26"/>
  <c r="G377" i="26"/>
  <c r="G389" i="26"/>
  <c r="P404" i="26"/>
  <c r="P380" i="26"/>
  <c r="P392" i="26"/>
  <c r="AB392" i="26"/>
  <c r="AB404" i="26"/>
  <c r="AB380" i="26"/>
  <c r="V404" i="26"/>
  <c r="V380" i="26"/>
  <c r="V392" i="26"/>
  <c r="R391" i="26"/>
  <c r="R403" i="26"/>
  <c r="R379" i="26"/>
  <c r="L403" i="26"/>
  <c r="L379" i="26"/>
  <c r="L391" i="26"/>
  <c r="T390" i="26"/>
  <c r="T378" i="26"/>
  <c r="T402" i="26"/>
  <c r="S389" i="26"/>
  <c r="S377" i="26"/>
  <c r="S401" i="26"/>
  <c r="Z389" i="26"/>
  <c r="Z401" i="26"/>
  <c r="Z377" i="26"/>
  <c r="D392" i="26"/>
  <c r="D404" i="26"/>
  <c r="D380" i="26"/>
  <c r="D397" i="26"/>
  <c r="D387" i="26"/>
  <c r="D398" i="26"/>
  <c r="D385" i="26"/>
  <c r="D399" i="26"/>
  <c r="D400" i="26"/>
  <c r="D376" i="26"/>
  <c r="D374" i="26"/>
  <c r="D373" i="26"/>
  <c r="D375" i="26"/>
  <c r="D388" i="26"/>
  <c r="D386" i="26"/>
  <c r="F387" i="26"/>
  <c r="F385" i="26"/>
  <c r="F388" i="26"/>
  <c r="F399" i="26"/>
  <c r="F376" i="26"/>
  <c r="F374" i="26"/>
  <c r="F397" i="26"/>
  <c r="F375" i="26"/>
  <c r="F398" i="26"/>
  <c r="F373" i="26"/>
  <c r="F400" i="26"/>
  <c r="F386" i="26"/>
  <c r="M400" i="26"/>
  <c r="M398" i="26"/>
  <c r="M385" i="26"/>
  <c r="M388" i="26"/>
  <c r="M373" i="26"/>
  <c r="M386" i="26"/>
  <c r="M387" i="26"/>
  <c r="M375" i="26"/>
  <c r="M397" i="26"/>
  <c r="M374" i="26"/>
  <c r="M399" i="26"/>
  <c r="M376" i="26"/>
  <c r="S386" i="26"/>
  <c r="S400" i="26"/>
  <c r="S387" i="26"/>
  <c r="S398" i="26"/>
  <c r="S375" i="26"/>
  <c r="S373" i="26"/>
  <c r="S388" i="26"/>
  <c r="S374" i="26"/>
  <c r="S397" i="26"/>
  <c r="S385" i="26"/>
  <c r="S376" i="26"/>
  <c r="S399" i="26"/>
  <c r="K389" i="26"/>
  <c r="K377" i="26"/>
  <c r="K401" i="26"/>
  <c r="B378" i="26"/>
  <c r="B402" i="26"/>
  <c r="B390" i="26"/>
  <c r="AB390" i="26"/>
  <c r="AB378" i="26"/>
  <c r="AB402" i="26"/>
  <c r="B282" i="26"/>
  <c r="B294" i="26"/>
  <c r="B270" i="26"/>
  <c r="G281" i="26"/>
  <c r="G293" i="26"/>
  <c r="G269" i="26"/>
  <c r="S290" i="26"/>
  <c r="S266" i="26"/>
  <c r="S277" i="26"/>
  <c r="S288" i="26"/>
  <c r="S289" i="26"/>
  <c r="S278" i="26"/>
  <c r="S276" i="26"/>
  <c r="S291" i="26"/>
  <c r="S264" i="26"/>
  <c r="S267" i="26"/>
  <c r="S279" i="26"/>
  <c r="S265" i="26"/>
  <c r="Y276" i="26"/>
  <c r="Y279" i="26"/>
  <c r="Y290" i="26"/>
  <c r="Y291" i="26"/>
  <c r="Y265" i="26"/>
  <c r="Y264" i="26"/>
  <c r="Y277" i="26"/>
  <c r="Y288" i="26"/>
  <c r="Y267" i="26"/>
  <c r="Y266" i="26"/>
  <c r="Y289" i="26"/>
  <c r="Y278" i="26"/>
  <c r="AB294" i="26"/>
  <c r="AB282" i="26"/>
  <c r="AB270" i="26"/>
  <c r="AC288" i="26"/>
  <c r="AC264" i="26"/>
  <c r="AC291" i="26"/>
  <c r="AC267" i="26"/>
  <c r="AC278" i="26"/>
  <c r="AC290" i="26"/>
  <c r="AC279" i="26"/>
  <c r="AC289" i="26"/>
  <c r="AC276" i="26"/>
  <c r="AC265" i="26"/>
  <c r="AC266" i="26"/>
  <c r="AC277" i="26"/>
  <c r="J292" i="26"/>
  <c r="J280" i="26"/>
  <c r="J268" i="26"/>
  <c r="V292" i="26"/>
  <c r="V280" i="26"/>
  <c r="V268" i="26"/>
  <c r="Y292" i="26"/>
  <c r="Y268" i="26"/>
  <c r="Y280" i="26"/>
  <c r="AC280" i="26"/>
  <c r="AC292" i="26"/>
  <c r="AC268" i="26"/>
  <c r="I295" i="26"/>
  <c r="I271" i="26"/>
  <c r="I283" i="26"/>
  <c r="D283" i="26"/>
  <c r="D295" i="26"/>
  <c r="D271" i="26"/>
  <c r="U283" i="26"/>
  <c r="U271" i="26"/>
  <c r="U295" i="26"/>
  <c r="AC181" i="26"/>
  <c r="AC183" i="26"/>
  <c r="AC156" i="26"/>
  <c r="AC182" i="26"/>
  <c r="AC159" i="26"/>
  <c r="AC180" i="26"/>
  <c r="AC168" i="26"/>
  <c r="AC170" i="26"/>
  <c r="AC169" i="26"/>
  <c r="AC158" i="26"/>
  <c r="AC171" i="26"/>
  <c r="AC157" i="26"/>
  <c r="Q282" i="26"/>
  <c r="U187" i="26"/>
  <c r="U163" i="26"/>
  <c r="U175" i="26"/>
  <c r="S175" i="26"/>
  <c r="S187" i="26"/>
  <c r="S163" i="26"/>
  <c r="Y174" i="26"/>
  <c r="Y162" i="26"/>
  <c r="Y186" i="26"/>
  <c r="Y168" i="26"/>
  <c r="Y171" i="26"/>
  <c r="Y183" i="26"/>
  <c r="Y156" i="26"/>
  <c r="Y157" i="26"/>
  <c r="Y182" i="26"/>
  <c r="Y181" i="26"/>
  <c r="Y180" i="26"/>
  <c r="Y170" i="26"/>
  <c r="Y159" i="26"/>
  <c r="Y169" i="26"/>
  <c r="Y158" i="26"/>
  <c r="H182" i="26"/>
  <c r="H157" i="26"/>
  <c r="H168" i="26"/>
  <c r="H169" i="26"/>
  <c r="H158" i="26"/>
  <c r="H171" i="26"/>
  <c r="H170" i="26"/>
  <c r="H159" i="26"/>
  <c r="H156" i="26"/>
  <c r="H183" i="26"/>
  <c r="H181" i="26"/>
  <c r="H180" i="26"/>
  <c r="AB160" i="26"/>
  <c r="AB172" i="26"/>
  <c r="AB184" i="26"/>
  <c r="J172" i="26"/>
  <c r="J160" i="26"/>
  <c r="J184" i="26"/>
  <c r="E54" i="26"/>
  <c r="E78" i="26"/>
  <c r="E66" i="26"/>
  <c r="C183" i="26"/>
  <c r="C182" i="26"/>
  <c r="C158" i="26"/>
  <c r="C181" i="26"/>
  <c r="C169" i="26"/>
  <c r="C170" i="26"/>
  <c r="C171" i="26"/>
  <c r="C156" i="26"/>
  <c r="C159" i="26"/>
  <c r="C180" i="26"/>
  <c r="C168" i="26"/>
  <c r="C157" i="26"/>
  <c r="AB78" i="26"/>
  <c r="AB66" i="26"/>
  <c r="AB54" i="26"/>
  <c r="D172" i="26"/>
  <c r="D184" i="26"/>
  <c r="D160" i="26"/>
  <c r="V186" i="26"/>
  <c r="V162" i="26"/>
  <c r="V174" i="26"/>
  <c r="L186" i="26"/>
  <c r="L174" i="26"/>
  <c r="L162" i="26"/>
  <c r="Q78" i="26"/>
  <c r="Q54" i="26"/>
  <c r="Q66" i="26"/>
  <c r="Z81" i="26"/>
  <c r="Z69" i="26"/>
  <c r="Z57" i="26"/>
  <c r="AC81" i="26"/>
  <c r="AC69" i="26"/>
  <c r="AC57" i="26"/>
  <c r="D63" i="26"/>
  <c r="P75" i="26"/>
  <c r="P65" i="26"/>
  <c r="P64" i="26"/>
  <c r="P53" i="26"/>
  <c r="P63" i="26"/>
  <c r="P51" i="26"/>
  <c r="P76" i="26"/>
  <c r="P74" i="26"/>
  <c r="P50" i="26"/>
  <c r="P77" i="26"/>
  <c r="P52" i="26"/>
  <c r="P62" i="26"/>
  <c r="D50" i="26"/>
  <c r="AB79" i="26"/>
  <c r="AB67" i="26"/>
  <c r="AB55" i="26"/>
  <c r="P55" i="26"/>
  <c r="P67" i="26"/>
  <c r="P79" i="26"/>
  <c r="K173" i="26"/>
  <c r="K161" i="26"/>
  <c r="K185" i="26"/>
  <c r="B45" i="26"/>
  <c r="W80" i="26"/>
  <c r="W56" i="26"/>
  <c r="W68" i="26"/>
  <c r="K46" i="26"/>
  <c r="G81" i="26"/>
  <c r="G69" i="26"/>
  <c r="G57" i="26"/>
  <c r="T74" i="26"/>
  <c r="T63" i="26"/>
  <c r="T51" i="26"/>
  <c r="T77" i="26"/>
  <c r="T52" i="26"/>
  <c r="T64" i="26"/>
  <c r="T53" i="26"/>
  <c r="T62" i="26"/>
  <c r="T75" i="26"/>
  <c r="T50" i="26"/>
  <c r="T76" i="26"/>
  <c r="T65" i="26"/>
  <c r="S64" i="26"/>
  <c r="S76" i="26"/>
  <c r="H401" i="26"/>
  <c r="H389" i="26"/>
  <c r="H377" i="26"/>
  <c r="Z391" i="26"/>
  <c r="Z403" i="26"/>
  <c r="Z379" i="26"/>
  <c r="K392" i="26"/>
  <c r="K380" i="26"/>
  <c r="K404" i="26"/>
  <c r="I391" i="26"/>
  <c r="I403" i="26"/>
  <c r="I379" i="26"/>
  <c r="Y404" i="26"/>
  <c r="Y380" i="26"/>
  <c r="Y392" i="26"/>
  <c r="L389" i="26"/>
  <c r="L401" i="26"/>
  <c r="L377" i="26"/>
  <c r="AC390" i="26"/>
  <c r="AC402" i="26"/>
  <c r="AC378" i="26"/>
  <c r="O281" i="26"/>
  <c r="O293" i="26"/>
  <c r="O269" i="26"/>
  <c r="P294" i="26"/>
  <c r="P282" i="26"/>
  <c r="P270" i="26"/>
  <c r="L277" i="26"/>
  <c r="L288" i="26"/>
  <c r="L291" i="26"/>
  <c r="L267" i="26"/>
  <c r="L290" i="26"/>
  <c r="L279" i="26"/>
  <c r="L289" i="26"/>
  <c r="L278" i="26"/>
  <c r="L264" i="26"/>
  <c r="L276" i="26"/>
  <c r="L266" i="26"/>
  <c r="L265" i="26"/>
  <c r="X174" i="26"/>
  <c r="X186" i="26"/>
  <c r="X162" i="26"/>
  <c r="T375" i="26"/>
  <c r="R180" i="26"/>
  <c r="R171" i="26"/>
  <c r="R183" i="26"/>
  <c r="R158" i="26"/>
  <c r="R181" i="26"/>
  <c r="R159" i="26"/>
  <c r="R170" i="26"/>
  <c r="R169" i="26"/>
  <c r="R156" i="26"/>
  <c r="R182" i="26"/>
  <c r="R168" i="26"/>
  <c r="R157" i="26"/>
  <c r="I163" i="26"/>
  <c r="I175" i="26"/>
  <c r="I187" i="26"/>
  <c r="AA175" i="26"/>
  <c r="AA187" i="26"/>
  <c r="AA163" i="26"/>
  <c r="S293" i="26"/>
  <c r="S269" i="26"/>
  <c r="S281" i="26"/>
  <c r="B293" i="26"/>
  <c r="B281" i="26"/>
  <c r="B269" i="26"/>
  <c r="P182" i="26"/>
  <c r="P157" i="26"/>
  <c r="P168" i="26"/>
  <c r="P169" i="26"/>
  <c r="P156" i="26"/>
  <c r="P170" i="26"/>
  <c r="P159" i="26"/>
  <c r="P158" i="26"/>
  <c r="P183" i="26"/>
  <c r="P181" i="26"/>
  <c r="P180" i="26"/>
  <c r="P171" i="26"/>
  <c r="B151" i="26"/>
  <c r="T184" i="26"/>
  <c r="T160" i="26"/>
  <c r="T172" i="26"/>
  <c r="R172" i="26"/>
  <c r="R184" i="26"/>
  <c r="R160" i="26"/>
  <c r="V159" i="26"/>
  <c r="V181" i="26"/>
  <c r="V170" i="26"/>
  <c r="V171" i="26"/>
  <c r="V169" i="26"/>
  <c r="V158" i="26"/>
  <c r="V168" i="26"/>
  <c r="V157" i="26"/>
  <c r="V183" i="26"/>
  <c r="V182" i="26"/>
  <c r="V156" i="26"/>
  <c r="V180" i="26"/>
  <c r="R76" i="26"/>
  <c r="R75" i="26"/>
  <c r="R64" i="26"/>
  <c r="R53" i="26"/>
  <c r="R51" i="26"/>
  <c r="R62" i="26"/>
  <c r="R77" i="26"/>
  <c r="R65" i="26"/>
  <c r="R52" i="26"/>
  <c r="R63" i="26"/>
  <c r="R74" i="26"/>
  <c r="R50" i="26"/>
  <c r="R186" i="26"/>
  <c r="R174" i="26"/>
  <c r="R162" i="26"/>
  <c r="T78" i="26"/>
  <c r="T66" i="26"/>
  <c r="T54" i="26"/>
  <c r="G162" i="26"/>
  <c r="G186" i="26"/>
  <c r="G174" i="26"/>
  <c r="W81" i="26"/>
  <c r="W69" i="26"/>
  <c r="W57" i="26"/>
  <c r="D57" i="26"/>
  <c r="D81" i="26"/>
  <c r="D69" i="26"/>
  <c r="AB68" i="26"/>
  <c r="AB56" i="26"/>
  <c r="AB80" i="26"/>
  <c r="X80" i="26"/>
  <c r="X56" i="26"/>
  <c r="X68" i="26"/>
  <c r="D64" i="26"/>
  <c r="C76" i="26"/>
  <c r="C63" i="26"/>
  <c r="C62" i="26"/>
  <c r="C75" i="26"/>
  <c r="C74" i="26"/>
  <c r="C65" i="26"/>
  <c r="C52" i="26"/>
  <c r="C50" i="26"/>
  <c r="C51" i="26"/>
  <c r="C77" i="26"/>
  <c r="C53" i="26"/>
  <c r="C64" i="26"/>
  <c r="V45" i="26"/>
  <c r="C66" i="26"/>
  <c r="C54" i="26"/>
  <c r="C78" i="26"/>
  <c r="X75" i="26"/>
  <c r="X62" i="26"/>
  <c r="X77" i="26"/>
  <c r="X76" i="26"/>
  <c r="X74" i="26"/>
  <c r="X53" i="26"/>
  <c r="X64" i="26"/>
  <c r="X63" i="26"/>
  <c r="X51" i="26"/>
  <c r="X50" i="26"/>
  <c r="X65" i="26"/>
  <c r="X52" i="26"/>
  <c r="H75" i="26"/>
  <c r="H74" i="26"/>
  <c r="H77" i="26"/>
  <c r="H63" i="26"/>
  <c r="H53" i="26"/>
  <c r="H76" i="26"/>
  <c r="H51" i="26"/>
  <c r="H62" i="26"/>
  <c r="H65" i="26"/>
  <c r="H50" i="26"/>
  <c r="H64" i="26"/>
  <c r="H52" i="26"/>
  <c r="S50" i="26"/>
  <c r="S75" i="26"/>
  <c r="S81" i="26"/>
  <c r="Y173" i="26"/>
  <c r="F403" i="26"/>
  <c r="F379" i="26"/>
  <c r="F391" i="26"/>
  <c r="U392" i="26"/>
  <c r="U404" i="26"/>
  <c r="U380" i="26"/>
  <c r="O404" i="26"/>
  <c r="O380" i="26"/>
  <c r="O392" i="26"/>
  <c r="U379" i="26"/>
  <c r="U403" i="26"/>
  <c r="U391" i="26"/>
  <c r="AB403" i="26"/>
  <c r="AB379" i="26"/>
  <c r="AB391" i="26"/>
  <c r="T389" i="26"/>
  <c r="T401" i="26"/>
  <c r="T377" i="26"/>
  <c r="C392" i="26"/>
  <c r="C404" i="26"/>
  <c r="C380" i="26"/>
  <c r="E400" i="26"/>
  <c r="E398" i="26"/>
  <c r="E385" i="26"/>
  <c r="E388" i="26"/>
  <c r="E386" i="26"/>
  <c r="E373" i="26"/>
  <c r="E387" i="26"/>
  <c r="E397" i="26"/>
  <c r="E375" i="26"/>
  <c r="E376" i="26"/>
  <c r="E399" i="26"/>
  <c r="E374" i="26"/>
  <c r="AB397" i="26"/>
  <c r="AB387" i="26"/>
  <c r="AB398" i="26"/>
  <c r="AB385" i="26"/>
  <c r="AB376" i="26"/>
  <c r="AB399" i="26"/>
  <c r="AB374" i="26"/>
  <c r="AB386" i="26"/>
  <c r="AB400" i="26"/>
  <c r="AB373" i="26"/>
  <c r="AB388" i="26"/>
  <c r="AB375" i="26"/>
  <c r="J402" i="26"/>
  <c r="J378" i="26"/>
  <c r="J390" i="26"/>
  <c r="R282" i="26"/>
  <c r="R270" i="26"/>
  <c r="R294" i="26"/>
  <c r="W281" i="26"/>
  <c r="W269" i="26"/>
  <c r="W293" i="26"/>
  <c r="AB277" i="26"/>
  <c r="AB288" i="26"/>
  <c r="AB291" i="26"/>
  <c r="AB290" i="26"/>
  <c r="AB279" i="26"/>
  <c r="AB266" i="26"/>
  <c r="AB276" i="26"/>
  <c r="AB265" i="26"/>
  <c r="AB264" i="26"/>
  <c r="AB289" i="26"/>
  <c r="AB267" i="26"/>
  <c r="AB278" i="26"/>
  <c r="T277" i="26"/>
  <c r="T288" i="26"/>
  <c r="T291" i="26"/>
  <c r="T289" i="26"/>
  <c r="T276" i="26"/>
  <c r="T267" i="26"/>
  <c r="T265" i="26"/>
  <c r="T279" i="26"/>
  <c r="T264" i="26"/>
  <c r="T278" i="26"/>
  <c r="T290" i="26"/>
  <c r="T266" i="26"/>
  <c r="J279" i="26"/>
  <c r="J290" i="26"/>
  <c r="J288" i="26"/>
  <c r="J276" i="26"/>
  <c r="J291" i="26"/>
  <c r="J277" i="26"/>
  <c r="J289" i="26"/>
  <c r="J278" i="26"/>
  <c r="J265" i="26"/>
  <c r="J264" i="26"/>
  <c r="J267" i="26"/>
  <c r="J266" i="26"/>
  <c r="P292" i="26"/>
  <c r="P268" i="26"/>
  <c r="P280" i="26"/>
  <c r="L280" i="26"/>
  <c r="L292" i="26"/>
  <c r="L268" i="26"/>
  <c r="P174" i="26"/>
  <c r="P186" i="26"/>
  <c r="P162" i="26"/>
  <c r="U186" i="26"/>
  <c r="U162" i="26"/>
  <c r="U174" i="26"/>
  <c r="O283" i="26"/>
  <c r="O271" i="26"/>
  <c r="O295" i="26"/>
  <c r="I168" i="26"/>
  <c r="I183" i="26"/>
  <c r="I171" i="26"/>
  <c r="I181" i="26"/>
  <c r="I156" i="26"/>
  <c r="I169" i="26"/>
  <c r="I158" i="26"/>
  <c r="I180" i="26"/>
  <c r="I170" i="26"/>
  <c r="I159" i="26"/>
  <c r="I157" i="26"/>
  <c r="I182" i="26"/>
  <c r="V187" i="26"/>
  <c r="V175" i="26"/>
  <c r="V163" i="26"/>
  <c r="D187" i="26"/>
  <c r="D175" i="26"/>
  <c r="D163" i="26"/>
  <c r="M293" i="26"/>
  <c r="M269" i="26"/>
  <c r="M281" i="26"/>
  <c r="H184" i="26"/>
  <c r="H160" i="26"/>
  <c r="H172" i="26"/>
  <c r="J76" i="26"/>
  <c r="J63" i="26"/>
  <c r="J53" i="26"/>
  <c r="J51" i="26"/>
  <c r="J62" i="26"/>
  <c r="J75" i="26"/>
  <c r="J74" i="26"/>
  <c r="J65" i="26"/>
  <c r="J50" i="26"/>
  <c r="J77" i="26"/>
  <c r="J64" i="26"/>
  <c r="J52" i="26"/>
  <c r="I184" i="26"/>
  <c r="I160" i="26"/>
  <c r="I172" i="26"/>
  <c r="L78" i="26"/>
  <c r="L66" i="26"/>
  <c r="L54" i="26"/>
  <c r="AB186" i="26"/>
  <c r="AB174" i="26"/>
  <c r="AB162" i="26"/>
  <c r="V76" i="26"/>
  <c r="V77" i="26"/>
  <c r="V64" i="26"/>
  <c r="V65" i="26"/>
  <c r="V50" i="26"/>
  <c r="V74" i="26"/>
  <c r="V53" i="26"/>
  <c r="V63" i="26"/>
  <c r="V51" i="26"/>
  <c r="V52" i="26"/>
  <c r="V62" i="26"/>
  <c r="V75" i="26"/>
  <c r="Q168" i="26"/>
  <c r="Q171" i="26"/>
  <c r="Q182" i="26"/>
  <c r="Q156" i="26"/>
  <c r="Q170" i="26"/>
  <c r="Q159" i="26"/>
  <c r="Q157" i="26"/>
  <c r="Q183" i="26"/>
  <c r="Q181" i="26"/>
  <c r="Q180" i="26"/>
  <c r="Q158" i="26"/>
  <c r="Q169" i="26"/>
  <c r="H68" i="26"/>
  <c r="H56" i="26"/>
  <c r="H80" i="26"/>
  <c r="L57" i="26"/>
  <c r="L69" i="26"/>
  <c r="L81" i="26"/>
  <c r="N57" i="26"/>
  <c r="N81" i="26"/>
  <c r="N69" i="26"/>
  <c r="F80" i="26"/>
  <c r="F56" i="26"/>
  <c r="F68" i="26"/>
  <c r="D80" i="26"/>
  <c r="D68" i="26"/>
  <c r="D56" i="26"/>
  <c r="D77" i="26"/>
  <c r="T46" i="26"/>
  <c r="N79" i="26"/>
  <c r="N55" i="26"/>
  <c r="N67" i="26"/>
  <c r="B67" i="26"/>
  <c r="B55" i="26"/>
  <c r="B79" i="26"/>
  <c r="Y187" i="26"/>
  <c r="Y175" i="26"/>
  <c r="Y163" i="26"/>
  <c r="L74" i="26"/>
  <c r="L51" i="26"/>
  <c r="L76" i="26"/>
  <c r="L52" i="26"/>
  <c r="L75" i="26"/>
  <c r="L65" i="26"/>
  <c r="L53" i="26"/>
  <c r="L50" i="26"/>
  <c r="L77" i="26"/>
  <c r="L64" i="26"/>
  <c r="L63" i="26"/>
  <c r="L62" i="26"/>
  <c r="K54" i="26"/>
  <c r="K66" i="26"/>
  <c r="K78" i="26"/>
  <c r="Q56" i="26"/>
  <c r="Q68" i="26"/>
  <c r="Q80" i="26"/>
  <c r="K76" i="26"/>
  <c r="K63" i="26"/>
  <c r="K77" i="26"/>
  <c r="K62" i="26"/>
  <c r="K52" i="26"/>
  <c r="K64" i="26"/>
  <c r="K50" i="26"/>
  <c r="K75" i="26"/>
  <c r="K74" i="26"/>
  <c r="K53" i="26"/>
  <c r="K65" i="26"/>
  <c r="K51" i="26"/>
  <c r="S65" i="26"/>
  <c r="G64" i="26"/>
  <c r="Y185" i="26"/>
  <c r="X401" i="26"/>
  <c r="X389" i="26"/>
  <c r="X377" i="26"/>
  <c r="E392" i="26"/>
  <c r="E404" i="26"/>
  <c r="E380" i="26"/>
  <c r="B392" i="26"/>
  <c r="B380" i="26"/>
  <c r="B404" i="26"/>
  <c r="W404" i="26"/>
  <c r="W380" i="26"/>
  <c r="W392" i="26"/>
  <c r="X391" i="26"/>
  <c r="X379" i="26"/>
  <c r="X403" i="26"/>
  <c r="C403" i="26"/>
  <c r="C379" i="26"/>
  <c r="C391" i="26"/>
  <c r="C389" i="26"/>
  <c r="C377" i="26"/>
  <c r="C401" i="26"/>
  <c r="U401" i="26"/>
  <c r="U377" i="26"/>
  <c r="U389" i="26"/>
  <c r="J399" i="26"/>
  <c r="J397" i="26"/>
  <c r="J400" i="26"/>
  <c r="J387" i="26"/>
  <c r="J385" i="26"/>
  <c r="J376" i="26"/>
  <c r="J386" i="26"/>
  <c r="J374" i="26"/>
  <c r="J373" i="26"/>
  <c r="J388" i="26"/>
  <c r="J375" i="26"/>
  <c r="J398" i="26"/>
  <c r="M390" i="26"/>
  <c r="M402" i="26"/>
  <c r="M378" i="26"/>
  <c r="E390" i="26"/>
  <c r="E402" i="26"/>
  <c r="E378" i="26"/>
  <c r="H282" i="26"/>
  <c r="H294" i="26"/>
  <c r="H270" i="26"/>
  <c r="Z282" i="26"/>
  <c r="Z294" i="26"/>
  <c r="Z270" i="26"/>
  <c r="V281" i="26"/>
  <c r="V293" i="26"/>
  <c r="V269" i="26"/>
  <c r="H281" i="26"/>
  <c r="H269" i="26"/>
  <c r="H293" i="26"/>
  <c r="E293" i="26"/>
  <c r="E281" i="26"/>
  <c r="E269" i="26"/>
  <c r="H289" i="26"/>
  <c r="H265" i="26"/>
  <c r="H276" i="26"/>
  <c r="H279" i="26"/>
  <c r="H278" i="26"/>
  <c r="H264" i="26"/>
  <c r="H288" i="26"/>
  <c r="H291" i="26"/>
  <c r="H277" i="26"/>
  <c r="H290" i="26"/>
  <c r="H267" i="26"/>
  <c r="H266" i="26"/>
  <c r="U288" i="26"/>
  <c r="U264" i="26"/>
  <c r="U291" i="26"/>
  <c r="U267" i="26"/>
  <c r="U278" i="26"/>
  <c r="U277" i="26"/>
  <c r="U290" i="26"/>
  <c r="U276" i="26"/>
  <c r="U266" i="26"/>
  <c r="U265" i="26"/>
  <c r="U279" i="26"/>
  <c r="U289" i="26"/>
  <c r="R279" i="26"/>
  <c r="R290" i="26"/>
  <c r="R289" i="26"/>
  <c r="R278" i="26"/>
  <c r="R277" i="26"/>
  <c r="R291" i="26"/>
  <c r="R266" i="26"/>
  <c r="R288" i="26"/>
  <c r="R264" i="26"/>
  <c r="R276" i="26"/>
  <c r="R267" i="26"/>
  <c r="R265" i="26"/>
  <c r="L282" i="26"/>
  <c r="G292" i="26"/>
  <c r="G280" i="26"/>
  <c r="G268" i="26"/>
  <c r="R292" i="26"/>
  <c r="R280" i="26"/>
  <c r="R268" i="26"/>
  <c r="Q186" i="26"/>
  <c r="Q174" i="26"/>
  <c r="Q162" i="26"/>
  <c r="H174" i="26"/>
  <c r="H186" i="26"/>
  <c r="H162" i="26"/>
  <c r="M186" i="26"/>
  <c r="M162" i="26"/>
  <c r="M174" i="26"/>
  <c r="R163" i="26"/>
  <c r="R187" i="26"/>
  <c r="R175" i="26"/>
  <c r="H175" i="26"/>
  <c r="H187" i="26"/>
  <c r="H163" i="26"/>
  <c r="L175" i="26"/>
  <c r="L187" i="26"/>
  <c r="L163" i="26"/>
  <c r="Z293" i="26"/>
  <c r="Z269" i="26"/>
  <c r="Z281" i="26"/>
  <c r="M187" i="26"/>
  <c r="M175" i="26"/>
  <c r="M163" i="26"/>
  <c r="F184" i="26"/>
  <c r="F172" i="26"/>
  <c r="F160" i="26"/>
  <c r="U172" i="26"/>
  <c r="U160" i="26"/>
  <c r="U184" i="26"/>
  <c r="C160" i="26"/>
  <c r="C184" i="26"/>
  <c r="C172" i="26"/>
  <c r="B76" i="26"/>
  <c r="B53" i="26"/>
  <c r="B51" i="26"/>
  <c r="B62" i="26"/>
  <c r="B75" i="26"/>
  <c r="B77" i="26"/>
  <c r="B64" i="26"/>
  <c r="B74" i="26"/>
  <c r="B65" i="26"/>
  <c r="B50" i="26"/>
  <c r="B52" i="26"/>
  <c r="B63" i="26"/>
  <c r="D78" i="26"/>
  <c r="D66" i="26"/>
  <c r="D54" i="26"/>
  <c r="B180" i="26"/>
  <c r="B171" i="26"/>
  <c r="B182" i="26"/>
  <c r="B158" i="26"/>
  <c r="B159" i="26"/>
  <c r="B156" i="26"/>
  <c r="B170" i="26"/>
  <c r="B169" i="26"/>
  <c r="B181" i="26"/>
  <c r="B183" i="26"/>
  <c r="B157" i="26"/>
  <c r="B168" i="26"/>
  <c r="N76" i="26"/>
  <c r="N77" i="26"/>
  <c r="N64" i="26"/>
  <c r="N75" i="26"/>
  <c r="N65" i="26"/>
  <c r="N74" i="26"/>
  <c r="N50" i="26"/>
  <c r="N53" i="26"/>
  <c r="N51" i="26"/>
  <c r="N52" i="26"/>
  <c r="N63" i="26"/>
  <c r="N62" i="26"/>
  <c r="S79" i="26"/>
  <c r="S67" i="26"/>
  <c r="S55" i="26"/>
  <c r="T81" i="26"/>
  <c r="T57" i="26"/>
  <c r="T69" i="26"/>
  <c r="Q79" i="26"/>
  <c r="Q55" i="26"/>
  <c r="Q67" i="26"/>
  <c r="R78" i="26"/>
  <c r="R54" i="26"/>
  <c r="R66" i="26"/>
  <c r="AB46" i="26"/>
  <c r="E163" i="26"/>
  <c r="E175" i="26"/>
  <c r="E187" i="26"/>
  <c r="F187" i="26"/>
  <c r="F163" i="26"/>
  <c r="F175" i="26"/>
  <c r="AA185" i="26"/>
  <c r="AA161" i="26"/>
  <c r="AA173" i="26"/>
  <c r="E173" i="26"/>
  <c r="E185" i="26"/>
  <c r="E161" i="26"/>
  <c r="S54" i="26"/>
  <c r="S66" i="26"/>
  <c r="S78" i="26"/>
  <c r="Y56" i="26"/>
  <c r="Y68" i="26"/>
  <c r="Y80" i="26"/>
  <c r="S74" i="26"/>
  <c r="G76" i="26"/>
  <c r="G52" i="26"/>
  <c r="S392" i="26"/>
  <c r="S404" i="26"/>
  <c r="S380" i="26"/>
  <c r="Q404" i="26"/>
  <c r="Q380" i="26"/>
  <c r="Q392" i="26"/>
  <c r="L392" i="26"/>
  <c r="L380" i="26"/>
  <c r="L404" i="26"/>
  <c r="W401" i="26"/>
  <c r="W377" i="26"/>
  <c r="W389" i="26"/>
  <c r="E379" i="26"/>
  <c r="E403" i="26"/>
  <c r="E391" i="26"/>
  <c r="O377" i="26"/>
  <c r="O401" i="26"/>
  <c r="O389" i="26"/>
  <c r="M403" i="26"/>
  <c r="M379" i="26"/>
  <c r="M391" i="26"/>
  <c r="Q388" i="26"/>
  <c r="Q386" i="26"/>
  <c r="Q397" i="26"/>
  <c r="Q400" i="26"/>
  <c r="Q398" i="26"/>
  <c r="Q399" i="26"/>
  <c r="Q375" i="26"/>
  <c r="Q373" i="26"/>
  <c r="Q376" i="26"/>
  <c r="Q385" i="26"/>
  <c r="Q374" i="26"/>
  <c r="Q387" i="26"/>
  <c r="V403" i="26"/>
  <c r="V379" i="26"/>
  <c r="V391" i="26"/>
  <c r="Y293" i="26"/>
  <c r="Y269" i="26"/>
  <c r="Y281" i="26"/>
  <c r="C282" i="26"/>
  <c r="C294" i="26"/>
  <c r="C270" i="26"/>
  <c r="J293" i="26"/>
  <c r="J281" i="26"/>
  <c r="J269" i="26"/>
  <c r="D293" i="26"/>
  <c r="D269" i="26"/>
  <c r="D281" i="26"/>
  <c r="P281" i="26"/>
  <c r="P293" i="26"/>
  <c r="P269" i="26"/>
  <c r="X294" i="26"/>
  <c r="X282" i="26"/>
  <c r="X270" i="26"/>
  <c r="N291" i="26"/>
  <c r="N267" i="26"/>
  <c r="N278" i="26"/>
  <c r="N289" i="26"/>
  <c r="N266" i="26"/>
  <c r="N290" i="26"/>
  <c r="N279" i="26"/>
  <c r="N265" i="26"/>
  <c r="N276" i="26"/>
  <c r="N264" i="26"/>
  <c r="N288" i="26"/>
  <c r="N277" i="26"/>
  <c r="Z279" i="26"/>
  <c r="Z290" i="26"/>
  <c r="Z277" i="26"/>
  <c r="Z291" i="26"/>
  <c r="Z264" i="26"/>
  <c r="Z289" i="26"/>
  <c r="Z278" i="26"/>
  <c r="Z276" i="26"/>
  <c r="Z288" i="26"/>
  <c r="Z266" i="26"/>
  <c r="Z267" i="26"/>
  <c r="Z265" i="26"/>
  <c r="L270" i="26"/>
  <c r="O292" i="26"/>
  <c r="O280" i="26"/>
  <c r="O268" i="26"/>
  <c r="AB280" i="26"/>
  <c r="AB292" i="26"/>
  <c r="AB268" i="26"/>
  <c r="I174" i="26"/>
  <c r="I162" i="26"/>
  <c r="I186" i="26"/>
  <c r="E186" i="26"/>
  <c r="E174" i="26"/>
  <c r="E162" i="26"/>
  <c r="Z180" i="26"/>
  <c r="Z171" i="26"/>
  <c r="Z158" i="26"/>
  <c r="Z182" i="26"/>
  <c r="Z159" i="26"/>
  <c r="Z168" i="26"/>
  <c r="Z157" i="26"/>
  <c r="Z181" i="26"/>
  <c r="Z183" i="26"/>
  <c r="Z156" i="26"/>
  <c r="Z169" i="26"/>
  <c r="Z170" i="26"/>
  <c r="B163" i="26"/>
  <c r="B187" i="26"/>
  <c r="B175" i="26"/>
  <c r="P187" i="26"/>
  <c r="P175" i="26"/>
  <c r="P163" i="26"/>
  <c r="T175" i="26"/>
  <c r="T163" i="26"/>
  <c r="T187" i="26"/>
  <c r="N281" i="26"/>
  <c r="N293" i="26"/>
  <c r="N269" i="26"/>
  <c r="F281" i="26"/>
  <c r="F293" i="26"/>
  <c r="F269" i="26"/>
  <c r="AA293" i="26"/>
  <c r="AA269" i="26"/>
  <c r="AA281" i="26"/>
  <c r="S183" i="26"/>
  <c r="S158" i="26"/>
  <c r="S169" i="26"/>
  <c r="S170" i="26"/>
  <c r="S159" i="26"/>
  <c r="S168" i="26"/>
  <c r="S157" i="26"/>
  <c r="S156" i="26"/>
  <c r="S182" i="26"/>
  <c r="S181" i="26"/>
  <c r="S180" i="26"/>
  <c r="S171" i="26"/>
  <c r="X160" i="26"/>
  <c r="X184" i="26"/>
  <c r="X172" i="26"/>
  <c r="Y77" i="26"/>
  <c r="Y65" i="26"/>
  <c r="Y50" i="26"/>
  <c r="Y64" i="26"/>
  <c r="Y63" i="26"/>
  <c r="Y51" i="26"/>
  <c r="Y75" i="26"/>
  <c r="Y52" i="26"/>
  <c r="Y62" i="26"/>
  <c r="Y53" i="26"/>
  <c r="Y74" i="26"/>
  <c r="Y76" i="26"/>
  <c r="F162" i="26"/>
  <c r="F186" i="26"/>
  <c r="F174" i="26"/>
  <c r="Z54" i="26"/>
  <c r="Z66" i="26"/>
  <c r="Z78" i="26"/>
  <c r="AB69" i="26"/>
  <c r="AB57" i="26"/>
  <c r="AB81" i="26"/>
  <c r="H69" i="26"/>
  <c r="H57" i="26"/>
  <c r="H81" i="26"/>
  <c r="X78" i="26"/>
  <c r="X66" i="26"/>
  <c r="X54" i="26"/>
  <c r="V66" i="26"/>
  <c r="V78" i="26"/>
  <c r="V54" i="26"/>
  <c r="AC67" i="26"/>
  <c r="AC55" i="26"/>
  <c r="AC79" i="26"/>
  <c r="R67" i="26"/>
  <c r="R55" i="26"/>
  <c r="R79" i="26"/>
  <c r="E77" i="26"/>
  <c r="E62" i="26"/>
  <c r="E65" i="26"/>
  <c r="E52" i="26"/>
  <c r="E74" i="26"/>
  <c r="E64" i="26"/>
  <c r="E50" i="26"/>
  <c r="E76" i="26"/>
  <c r="E51" i="26"/>
  <c r="E75" i="26"/>
  <c r="E53" i="26"/>
  <c r="E63" i="26"/>
  <c r="N174" i="26"/>
  <c r="Z175" i="26"/>
  <c r="Z163" i="26"/>
  <c r="Z187" i="26"/>
  <c r="Q187" i="26"/>
  <c r="Q175" i="26"/>
  <c r="Q163" i="26"/>
  <c r="AA54" i="26"/>
  <c r="AA78" i="26"/>
  <c r="AA66" i="26"/>
  <c r="K81" i="26"/>
  <c r="K57" i="26"/>
  <c r="K69" i="26"/>
  <c r="S52" i="26"/>
  <c r="G65" i="26"/>
  <c r="N186" i="26"/>
  <c r="AC403" i="26"/>
  <c r="AC379" i="26"/>
  <c r="AC391" i="26"/>
  <c r="AA392" i="26"/>
  <c r="AA380" i="26"/>
  <c r="AA404" i="26"/>
  <c r="X380" i="26"/>
  <c r="X404" i="26"/>
  <c r="X392" i="26"/>
  <c r="O391" i="26"/>
  <c r="O379" i="26"/>
  <c r="O403" i="26"/>
  <c r="S403" i="26"/>
  <c r="S379" i="26"/>
  <c r="S391" i="26"/>
  <c r="AC392" i="26"/>
  <c r="AC404" i="26"/>
  <c r="AC380" i="26"/>
  <c r="Y389" i="26"/>
  <c r="Y377" i="26"/>
  <c r="Y401" i="26"/>
  <c r="F401" i="26"/>
  <c r="F389" i="26"/>
  <c r="F377" i="26"/>
  <c r="AC400" i="26"/>
  <c r="AC398" i="26"/>
  <c r="AC385" i="26"/>
  <c r="AC388" i="26"/>
  <c r="AC373" i="26"/>
  <c r="AC386" i="26"/>
  <c r="AC387" i="26"/>
  <c r="AC375" i="26"/>
  <c r="AC376" i="26"/>
  <c r="AC374" i="26"/>
  <c r="AC399" i="26"/>
  <c r="AC397" i="26"/>
  <c r="Z399" i="26"/>
  <c r="Z397" i="26"/>
  <c r="Z400" i="26"/>
  <c r="Z387" i="26"/>
  <c r="Z385" i="26"/>
  <c r="Z376" i="26"/>
  <c r="Z386" i="26"/>
  <c r="Z374" i="26"/>
  <c r="Z398" i="26"/>
  <c r="Z373" i="26"/>
  <c r="Z375" i="26"/>
  <c r="Z388" i="26"/>
  <c r="W390" i="26"/>
  <c r="W402" i="26"/>
  <c r="W378" i="26"/>
  <c r="S402" i="26"/>
  <c r="S390" i="26"/>
  <c r="S378" i="26"/>
  <c r="AA402" i="26"/>
  <c r="AA378" i="26"/>
  <c r="AA390" i="26"/>
  <c r="K293" i="26"/>
  <c r="K269" i="26"/>
  <c r="K281" i="26"/>
  <c r="G294" i="26"/>
  <c r="G270" i="26"/>
  <c r="G282" i="26"/>
  <c r="K282" i="26"/>
  <c r="K270" i="26"/>
  <c r="K294" i="26"/>
  <c r="L293" i="26"/>
  <c r="L269" i="26"/>
  <c r="L281" i="26"/>
  <c r="X281" i="26"/>
  <c r="X293" i="26"/>
  <c r="X269" i="26"/>
  <c r="V291" i="26"/>
  <c r="V267" i="26"/>
  <c r="V278" i="26"/>
  <c r="V289" i="26"/>
  <c r="V288" i="26"/>
  <c r="V277" i="26"/>
  <c r="V266" i="26"/>
  <c r="V290" i="26"/>
  <c r="V279" i="26"/>
  <c r="V264" i="26"/>
  <c r="V276" i="26"/>
  <c r="V265" i="26"/>
  <c r="Y282" i="26"/>
  <c r="Y294" i="26"/>
  <c r="Y270" i="26"/>
  <c r="I282" i="26"/>
  <c r="I270" i="26"/>
  <c r="I294" i="26"/>
  <c r="C280" i="26"/>
  <c r="C268" i="26"/>
  <c r="C292" i="26"/>
  <c r="E280" i="26"/>
  <c r="E292" i="26"/>
  <c r="E268" i="26"/>
  <c r="AC294" i="26"/>
  <c r="AC270" i="26"/>
  <c r="AC282" i="26"/>
  <c r="W187" i="26"/>
  <c r="W175" i="26"/>
  <c r="W163" i="26"/>
  <c r="J180" i="26"/>
  <c r="J183" i="26"/>
  <c r="J171" i="26"/>
  <c r="J158" i="26"/>
  <c r="J159" i="26"/>
  <c r="J182" i="26"/>
  <c r="J181" i="26"/>
  <c r="J168" i="26"/>
  <c r="J157" i="26"/>
  <c r="J156" i="26"/>
  <c r="J169" i="26"/>
  <c r="J170" i="26"/>
  <c r="O187" i="26"/>
  <c r="O163" i="26"/>
  <c r="O175" i="26"/>
  <c r="X187" i="26"/>
  <c r="X175" i="26"/>
  <c r="X163" i="26"/>
  <c r="AB187" i="26"/>
  <c r="AB175" i="26"/>
  <c r="AB163" i="26"/>
  <c r="I293" i="26"/>
  <c r="C293" i="26"/>
  <c r="C269" i="26"/>
  <c r="C281" i="26"/>
  <c r="Q293" i="26"/>
  <c r="Q269" i="26"/>
  <c r="Q281" i="26"/>
  <c r="N181" i="26"/>
  <c r="N159" i="26"/>
  <c r="N180" i="26"/>
  <c r="N170" i="26"/>
  <c r="N171" i="26"/>
  <c r="N183" i="26"/>
  <c r="N182" i="26"/>
  <c r="N156" i="26"/>
  <c r="N168" i="26"/>
  <c r="N157" i="26"/>
  <c r="N169" i="26"/>
  <c r="N158" i="26"/>
  <c r="G170" i="26"/>
  <c r="G157" i="26"/>
  <c r="G182" i="26"/>
  <c r="G158" i="26"/>
  <c r="G159" i="26"/>
  <c r="G169" i="26"/>
  <c r="G183" i="26"/>
  <c r="G181" i="26"/>
  <c r="G180" i="26"/>
  <c r="G156" i="26"/>
  <c r="G171" i="26"/>
  <c r="G168" i="26"/>
  <c r="S184" i="26"/>
  <c r="S172" i="26"/>
  <c r="S160" i="26"/>
  <c r="Q77" i="26"/>
  <c r="Q65" i="26"/>
  <c r="Q74" i="26"/>
  <c r="Q50" i="26"/>
  <c r="Q63" i="26"/>
  <c r="Q51" i="26"/>
  <c r="Q62" i="26"/>
  <c r="Q76" i="26"/>
  <c r="Q52" i="26"/>
  <c r="Q64" i="26"/>
  <c r="Q75" i="26"/>
  <c r="Q53" i="26"/>
  <c r="B186" i="26"/>
  <c r="B162" i="26"/>
  <c r="B174" i="26"/>
  <c r="Y45" i="26"/>
  <c r="N172" i="26"/>
  <c r="F66" i="26"/>
  <c r="F78" i="26"/>
  <c r="F54" i="26"/>
  <c r="E81" i="26"/>
  <c r="E69" i="26"/>
  <c r="E57" i="26"/>
  <c r="P69" i="26"/>
  <c r="P81" i="26"/>
  <c r="P57" i="26"/>
  <c r="N187" i="26"/>
  <c r="N163" i="26"/>
  <c r="N175" i="26"/>
  <c r="B66" i="26"/>
  <c r="B54" i="26"/>
  <c r="B78" i="26"/>
  <c r="D75" i="26"/>
  <c r="J45" i="26"/>
  <c r="D79" i="26"/>
  <c r="D67" i="26"/>
  <c r="D55" i="26"/>
  <c r="O79" i="26"/>
  <c r="O67" i="26"/>
  <c r="O55" i="26"/>
  <c r="Z79" i="26"/>
  <c r="Z55" i="26"/>
  <c r="Z67" i="26"/>
  <c r="M77" i="26"/>
  <c r="M62" i="26"/>
  <c r="M52" i="26"/>
  <c r="M75" i="26"/>
  <c r="M65" i="26"/>
  <c r="M74" i="26"/>
  <c r="M64" i="26"/>
  <c r="M50" i="26"/>
  <c r="M63" i="26"/>
  <c r="M53" i="26"/>
  <c r="M76" i="26"/>
  <c r="M51" i="26"/>
  <c r="O185" i="26"/>
  <c r="O173" i="26"/>
  <c r="O161" i="26"/>
  <c r="D161" i="26"/>
  <c r="D185" i="26"/>
  <c r="D173" i="26"/>
  <c r="U173" i="26"/>
  <c r="U185" i="26"/>
  <c r="U161" i="26"/>
  <c r="Y79" i="26"/>
  <c r="Y67" i="26"/>
  <c r="Y55" i="26"/>
  <c r="G78" i="26"/>
  <c r="G54" i="26"/>
  <c r="G66" i="26"/>
  <c r="Y184" i="26"/>
  <c r="Q46" i="26"/>
  <c r="S77" i="26"/>
  <c r="H66" i="26"/>
  <c r="T392" i="26"/>
  <c r="T404" i="26"/>
  <c r="T380" i="26"/>
  <c r="G391" i="26"/>
  <c r="G403" i="26"/>
  <c r="G379" i="26"/>
  <c r="H380" i="26"/>
  <c r="H404" i="26"/>
  <c r="H392" i="26"/>
  <c r="Y391" i="26"/>
  <c r="Y403" i="26"/>
  <c r="Y379" i="26"/>
  <c r="AA403" i="26"/>
  <c r="AA379" i="26"/>
  <c r="AA391" i="26"/>
  <c r="I404" i="26"/>
  <c r="I380" i="26"/>
  <c r="I392" i="26"/>
  <c r="D389" i="26"/>
  <c r="D401" i="26"/>
  <c r="D377" i="26"/>
  <c r="N401" i="26"/>
  <c r="N389" i="26"/>
  <c r="N377" i="26"/>
  <c r="P391" i="26"/>
  <c r="P403" i="26"/>
  <c r="P379" i="26"/>
  <c r="N387" i="26"/>
  <c r="N385" i="26"/>
  <c r="N388" i="26"/>
  <c r="N399" i="26"/>
  <c r="N397" i="26"/>
  <c r="N376" i="26"/>
  <c r="N398" i="26"/>
  <c r="N374" i="26"/>
  <c r="N400" i="26"/>
  <c r="N375" i="26"/>
  <c r="N386" i="26"/>
  <c r="N373" i="26"/>
  <c r="L397" i="26"/>
  <c r="L387" i="26"/>
  <c r="L398" i="26"/>
  <c r="L385" i="26"/>
  <c r="L376" i="26"/>
  <c r="L399" i="26"/>
  <c r="L374" i="26"/>
  <c r="L386" i="26"/>
  <c r="L400" i="26"/>
  <c r="L388" i="26"/>
  <c r="L375" i="26"/>
  <c r="L373" i="26"/>
  <c r="K402" i="26"/>
  <c r="K390" i="26"/>
  <c r="K378" i="26"/>
  <c r="Y402" i="26"/>
  <c r="Y390" i="26"/>
  <c r="Y378" i="26"/>
  <c r="O294" i="26"/>
  <c r="O270" i="26"/>
  <c r="O282" i="26"/>
  <c r="S282" i="26"/>
  <c r="S270" i="26"/>
  <c r="S294" i="26"/>
  <c r="T293" i="26"/>
  <c r="T269" i="26"/>
  <c r="T281" i="26"/>
  <c r="O278" i="26"/>
  <c r="O289" i="26"/>
  <c r="O291" i="26"/>
  <c r="O290" i="26"/>
  <c r="O279" i="26"/>
  <c r="O265" i="26"/>
  <c r="O276" i="26"/>
  <c r="O267" i="26"/>
  <c r="O266" i="26"/>
  <c r="O288" i="26"/>
  <c r="O264" i="26"/>
  <c r="O277" i="26"/>
  <c r="AA290" i="26"/>
  <c r="AA266" i="26"/>
  <c r="AA277" i="26"/>
  <c r="AA288" i="26"/>
  <c r="AA289" i="26"/>
  <c r="AA278" i="26"/>
  <c r="AA267" i="26"/>
  <c r="AA276" i="26"/>
  <c r="AA265" i="26"/>
  <c r="AA264" i="26"/>
  <c r="AA291" i="26"/>
  <c r="AA279" i="26"/>
  <c r="I276" i="26"/>
  <c r="I279" i="26"/>
  <c r="I290" i="26"/>
  <c r="I289" i="26"/>
  <c r="I288" i="26"/>
  <c r="I266" i="26"/>
  <c r="I291" i="26"/>
  <c r="I277" i="26"/>
  <c r="I278" i="26"/>
  <c r="I265" i="26"/>
  <c r="I264" i="26"/>
  <c r="I267" i="26"/>
  <c r="M294" i="26"/>
  <c r="M282" i="26"/>
  <c r="M270" i="26"/>
  <c r="E294" i="26"/>
  <c r="E282" i="26"/>
  <c r="E270" i="26"/>
  <c r="I292" i="26"/>
  <c r="I268" i="26"/>
  <c r="I280" i="26"/>
  <c r="H295" i="26"/>
  <c r="H271" i="26"/>
  <c r="H283" i="26"/>
  <c r="P295" i="26"/>
  <c r="P283" i="26"/>
  <c r="P271" i="26"/>
  <c r="E283" i="26"/>
  <c r="E295" i="26"/>
  <c r="E271" i="26"/>
  <c r="AA183" i="26"/>
  <c r="AA158" i="26"/>
  <c r="AA169" i="26"/>
  <c r="AA181" i="26"/>
  <c r="AA170" i="26"/>
  <c r="AA182" i="26"/>
  <c r="AA180" i="26"/>
  <c r="AA171" i="26"/>
  <c r="AA156" i="26"/>
  <c r="AA168" i="26"/>
  <c r="AA157" i="26"/>
  <c r="AA159" i="26"/>
  <c r="P160" i="26"/>
  <c r="P184" i="26"/>
  <c r="P172" i="26"/>
  <c r="AC163" i="26"/>
  <c r="AC175" i="26"/>
  <c r="AC187" i="26"/>
  <c r="C175" i="26"/>
  <c r="C187" i="26"/>
  <c r="C163" i="26"/>
  <c r="U293" i="26"/>
  <c r="U281" i="26"/>
  <c r="U269" i="26"/>
  <c r="AC269" i="26"/>
  <c r="AC281" i="26"/>
  <c r="AC293" i="26"/>
  <c r="U181" i="26"/>
  <c r="U182" i="26"/>
  <c r="U156" i="26"/>
  <c r="U159" i="26"/>
  <c r="U168" i="26"/>
  <c r="U169" i="26"/>
  <c r="U158" i="26"/>
  <c r="U180" i="26"/>
  <c r="U171" i="26"/>
  <c r="U183" i="26"/>
  <c r="U170" i="26"/>
  <c r="U157" i="26"/>
  <c r="O180" i="26"/>
  <c r="O170" i="26"/>
  <c r="O157" i="26"/>
  <c r="O183" i="26"/>
  <c r="O158" i="26"/>
  <c r="O181" i="26"/>
  <c r="O171" i="26"/>
  <c r="O156" i="26"/>
  <c r="O169" i="26"/>
  <c r="O168" i="26"/>
  <c r="O182" i="26"/>
  <c r="O159" i="26"/>
  <c r="Q160" i="26"/>
  <c r="Q184" i="26"/>
  <c r="Q172" i="26"/>
  <c r="AC160" i="26"/>
  <c r="AC184" i="26"/>
  <c r="AC172" i="26"/>
  <c r="U78" i="26"/>
  <c r="U54" i="26"/>
  <c r="U66" i="26"/>
  <c r="I77" i="26"/>
  <c r="I65" i="26"/>
  <c r="I64" i="26"/>
  <c r="I50" i="26"/>
  <c r="I76" i="26"/>
  <c r="I51" i="26"/>
  <c r="I62" i="26"/>
  <c r="I52" i="26"/>
  <c r="I75" i="26"/>
  <c r="I74" i="26"/>
  <c r="I53" i="26"/>
  <c r="I63" i="26"/>
  <c r="Q81" i="26"/>
  <c r="Q69" i="26"/>
  <c r="Q57" i="26"/>
  <c r="T186" i="26"/>
  <c r="T162" i="26"/>
  <c r="T174" i="26"/>
  <c r="K186" i="26"/>
  <c r="K162" i="26"/>
  <c r="K174" i="26"/>
  <c r="M81" i="26"/>
  <c r="M69" i="26"/>
  <c r="M57" i="26"/>
  <c r="X69" i="26"/>
  <c r="X57" i="26"/>
  <c r="X81" i="26"/>
  <c r="D62" i="26"/>
  <c r="AC54" i="26"/>
  <c r="AC78" i="26"/>
  <c r="AC66" i="26"/>
  <c r="P78" i="26"/>
  <c r="P54" i="26"/>
  <c r="P66" i="26"/>
  <c r="AA75" i="26"/>
  <c r="AA76" i="26"/>
  <c r="AA63" i="26"/>
  <c r="AA64" i="26"/>
  <c r="AA62" i="26"/>
  <c r="AA52" i="26"/>
  <c r="AA77" i="26"/>
  <c r="AA50" i="26"/>
  <c r="AA51" i="26"/>
  <c r="AA53" i="26"/>
  <c r="AA74" i="26"/>
  <c r="AA65" i="26"/>
  <c r="U77" i="26"/>
  <c r="U62" i="26"/>
  <c r="U52" i="26"/>
  <c r="U76" i="26"/>
  <c r="U65" i="26"/>
  <c r="U50" i="26"/>
  <c r="U75" i="26"/>
  <c r="U64" i="26"/>
  <c r="U63" i="26"/>
  <c r="U51" i="26"/>
  <c r="U53" i="26"/>
  <c r="U74" i="26"/>
  <c r="T173" i="26"/>
  <c r="T161" i="26"/>
  <c r="T185" i="26"/>
  <c r="Q185" i="26"/>
  <c r="Q173" i="26"/>
  <c r="Q161" i="26"/>
  <c r="J54" i="26"/>
  <c r="J66" i="26"/>
  <c r="J78" i="26"/>
  <c r="U68" i="26"/>
  <c r="U80" i="26"/>
  <c r="U56" i="26"/>
  <c r="R400" i="25"/>
  <c r="R387" i="25"/>
  <c r="R375" i="25"/>
  <c r="R397" i="25"/>
  <c r="R399" i="25"/>
  <c r="R388" i="25"/>
  <c r="R385" i="25"/>
  <c r="R374" i="25"/>
  <c r="R373" i="25"/>
  <c r="R386" i="25"/>
  <c r="R376" i="25"/>
  <c r="R398" i="25"/>
  <c r="Q397" i="25"/>
  <c r="Q400" i="25"/>
  <c r="Q386" i="25"/>
  <c r="Q398" i="25"/>
  <c r="Q375" i="25"/>
  <c r="Q399" i="25"/>
  <c r="Q388" i="25"/>
  <c r="Q385" i="25"/>
  <c r="Q374" i="25"/>
  <c r="Q387" i="25"/>
  <c r="Q373" i="25"/>
  <c r="Q376" i="25"/>
  <c r="AA387" i="25"/>
  <c r="AA398" i="25"/>
  <c r="AA386" i="25"/>
  <c r="AA400" i="25"/>
  <c r="AA375" i="25"/>
  <c r="AA374" i="25"/>
  <c r="AA373" i="25"/>
  <c r="AA399" i="25"/>
  <c r="AA397" i="25"/>
  <c r="AA385" i="25"/>
  <c r="AA388" i="25"/>
  <c r="AA376" i="25"/>
  <c r="H391" i="25"/>
  <c r="H379" i="25"/>
  <c r="H403" i="25"/>
  <c r="M293" i="25"/>
  <c r="M281" i="25"/>
  <c r="M269" i="25"/>
  <c r="Y293" i="25"/>
  <c r="Y281" i="25"/>
  <c r="Y269" i="25"/>
  <c r="N295" i="25"/>
  <c r="N283" i="25"/>
  <c r="N271" i="25"/>
  <c r="C283" i="25"/>
  <c r="C271" i="25"/>
  <c r="C295" i="25"/>
  <c r="G278" i="25"/>
  <c r="G289" i="25"/>
  <c r="G265" i="25"/>
  <c r="G290" i="25"/>
  <c r="G266" i="25"/>
  <c r="G288" i="25"/>
  <c r="G277" i="25"/>
  <c r="G291" i="25"/>
  <c r="G276" i="25"/>
  <c r="G279" i="25"/>
  <c r="G264" i="25"/>
  <c r="G267" i="25"/>
  <c r="L293" i="25"/>
  <c r="L269" i="25"/>
  <c r="L281" i="25"/>
  <c r="I163" i="25"/>
  <c r="I175" i="25"/>
  <c r="I187" i="25"/>
  <c r="AB171" i="25"/>
  <c r="AB182" i="25"/>
  <c r="AB158" i="25"/>
  <c r="AB180" i="25"/>
  <c r="AB156" i="25"/>
  <c r="AB169" i="25"/>
  <c r="AB183" i="25"/>
  <c r="AB168" i="25"/>
  <c r="AB157" i="25"/>
  <c r="AB170" i="25"/>
  <c r="AB181" i="25"/>
  <c r="AB159" i="25"/>
  <c r="N270" i="25"/>
  <c r="N282" i="25"/>
  <c r="N294" i="25"/>
  <c r="K294" i="25"/>
  <c r="K282" i="25"/>
  <c r="K270" i="25"/>
  <c r="Y183" i="25"/>
  <c r="Y170" i="25"/>
  <c r="Y181" i="25"/>
  <c r="Y157" i="25"/>
  <c r="Y171" i="25"/>
  <c r="Y159" i="25"/>
  <c r="Y180" i="25"/>
  <c r="Y169" i="25"/>
  <c r="Y158" i="25"/>
  <c r="Y168" i="25"/>
  <c r="Y182" i="25"/>
  <c r="Y156" i="25"/>
  <c r="M174" i="25"/>
  <c r="M186" i="25"/>
  <c r="M162" i="25"/>
  <c r="Q173" i="25"/>
  <c r="Q185" i="25"/>
  <c r="Q161" i="25"/>
  <c r="C185" i="25"/>
  <c r="C161" i="25"/>
  <c r="C173" i="25"/>
  <c r="U185" i="25"/>
  <c r="U161" i="25"/>
  <c r="U173" i="25"/>
  <c r="U46" i="25"/>
  <c r="U45" i="25"/>
  <c r="U152" i="25"/>
  <c r="S79" i="25"/>
  <c r="S55" i="25"/>
  <c r="S67" i="25"/>
  <c r="AC45" i="25"/>
  <c r="U80" i="25"/>
  <c r="U56" i="25"/>
  <c r="U68" i="25"/>
  <c r="J400" i="25"/>
  <c r="J387" i="25"/>
  <c r="J397" i="25"/>
  <c r="J375" i="25"/>
  <c r="J374" i="25"/>
  <c r="J373" i="25"/>
  <c r="J399" i="25"/>
  <c r="J398" i="25"/>
  <c r="J386" i="25"/>
  <c r="J376" i="25"/>
  <c r="J388" i="25"/>
  <c r="J385" i="25"/>
  <c r="AB404" i="25"/>
  <c r="AB380" i="25"/>
  <c r="AB392" i="25"/>
  <c r="D398" i="25"/>
  <c r="D385" i="25"/>
  <c r="D399" i="25"/>
  <c r="D373" i="25"/>
  <c r="D397" i="25"/>
  <c r="D388" i="25"/>
  <c r="D376" i="25"/>
  <c r="D375" i="25"/>
  <c r="D387" i="25"/>
  <c r="D374" i="25"/>
  <c r="D400" i="25"/>
  <c r="D386" i="25"/>
  <c r="E293" i="25"/>
  <c r="E281" i="25"/>
  <c r="E269" i="25"/>
  <c r="N389" i="25"/>
  <c r="N377" i="25"/>
  <c r="N401" i="25"/>
  <c r="G271" i="25"/>
  <c r="G295" i="25"/>
  <c r="G283" i="25"/>
  <c r="K295" i="25"/>
  <c r="K283" i="25"/>
  <c r="K271" i="25"/>
  <c r="F295" i="25"/>
  <c r="F283" i="25"/>
  <c r="F271" i="25"/>
  <c r="O278" i="25"/>
  <c r="O289" i="25"/>
  <c r="O265" i="25"/>
  <c r="O290" i="25"/>
  <c r="O266" i="25"/>
  <c r="O264" i="25"/>
  <c r="O267" i="25"/>
  <c r="O288" i="25"/>
  <c r="O277" i="25"/>
  <c r="O276" i="25"/>
  <c r="O279" i="25"/>
  <c r="O291" i="25"/>
  <c r="W174" i="25"/>
  <c r="W162" i="25"/>
  <c r="W186" i="25"/>
  <c r="Q170" i="25"/>
  <c r="Q181" i="25"/>
  <c r="Q157" i="25"/>
  <c r="Q171" i="25"/>
  <c r="Q183" i="25"/>
  <c r="Q168" i="25"/>
  <c r="Q182" i="25"/>
  <c r="Q156" i="25"/>
  <c r="Q169" i="25"/>
  <c r="Q158" i="25"/>
  <c r="Q180" i="25"/>
  <c r="Q159" i="25"/>
  <c r="F162" i="25"/>
  <c r="F186" i="25"/>
  <c r="F174" i="25"/>
  <c r="G173" i="25"/>
  <c r="G161" i="25"/>
  <c r="G185" i="25"/>
  <c r="K185" i="25"/>
  <c r="K161" i="25"/>
  <c r="K173" i="25"/>
  <c r="AA46" i="25"/>
  <c r="AA151" i="25"/>
  <c r="AA259" i="25"/>
  <c r="AA260" i="25"/>
  <c r="AC151" i="25"/>
  <c r="AC260" i="25"/>
  <c r="AC46" i="25"/>
  <c r="AC368" i="25"/>
  <c r="AC259" i="25"/>
  <c r="G79" i="25"/>
  <c r="G67" i="25"/>
  <c r="G55" i="25"/>
  <c r="R74" i="25"/>
  <c r="R50" i="25"/>
  <c r="R53" i="25"/>
  <c r="R64" i="25"/>
  <c r="R51" i="25"/>
  <c r="R75" i="25"/>
  <c r="R65" i="25"/>
  <c r="R62" i="25"/>
  <c r="R52" i="25"/>
  <c r="R77" i="25"/>
  <c r="R76" i="25"/>
  <c r="R63" i="25"/>
  <c r="K69" i="25"/>
  <c r="K57" i="25"/>
  <c r="K81" i="25"/>
  <c r="K56" i="25"/>
  <c r="K80" i="25"/>
  <c r="K68" i="25"/>
  <c r="J80" i="25"/>
  <c r="J68" i="25"/>
  <c r="J56" i="25"/>
  <c r="AC68" i="25"/>
  <c r="AC80" i="25"/>
  <c r="AC56" i="25"/>
  <c r="K78" i="25"/>
  <c r="K66" i="25"/>
  <c r="K54" i="25"/>
  <c r="T64" i="25"/>
  <c r="T75" i="25"/>
  <c r="T51" i="25"/>
  <c r="T74" i="25"/>
  <c r="T65" i="25"/>
  <c r="T62" i="25"/>
  <c r="T52" i="25"/>
  <c r="T77" i="25"/>
  <c r="T76" i="25"/>
  <c r="T63" i="25"/>
  <c r="T53" i="25"/>
  <c r="T50" i="25"/>
  <c r="B400" i="25"/>
  <c r="B387" i="25"/>
  <c r="B385" i="25"/>
  <c r="B375" i="25"/>
  <c r="B399" i="25"/>
  <c r="B373" i="25"/>
  <c r="B398" i="25"/>
  <c r="B386" i="25"/>
  <c r="B397" i="25"/>
  <c r="B388" i="25"/>
  <c r="B376" i="25"/>
  <c r="B374" i="25"/>
  <c r="V388" i="25"/>
  <c r="V399" i="25"/>
  <c r="V387" i="25"/>
  <c r="V386" i="25"/>
  <c r="V376" i="25"/>
  <c r="V375" i="25"/>
  <c r="V400" i="25"/>
  <c r="V374" i="25"/>
  <c r="V385" i="25"/>
  <c r="V397" i="25"/>
  <c r="V373" i="25"/>
  <c r="V398" i="25"/>
  <c r="D392" i="25"/>
  <c r="D404" i="25"/>
  <c r="D380" i="25"/>
  <c r="K403" i="25"/>
  <c r="K379" i="25"/>
  <c r="K391" i="25"/>
  <c r="O295" i="25"/>
  <c r="O283" i="25"/>
  <c r="O271" i="25"/>
  <c r="S295" i="25"/>
  <c r="S283" i="25"/>
  <c r="S271" i="25"/>
  <c r="Z281" i="25"/>
  <c r="Z293" i="25"/>
  <c r="V291" i="25"/>
  <c r="V267" i="25"/>
  <c r="V278" i="25"/>
  <c r="V279" i="25"/>
  <c r="V288" i="25"/>
  <c r="V276" i="25"/>
  <c r="V265" i="25"/>
  <c r="V290" i="25"/>
  <c r="V289" i="25"/>
  <c r="V264" i="25"/>
  <c r="V266" i="25"/>
  <c r="V277" i="25"/>
  <c r="W278" i="25"/>
  <c r="W289" i="25"/>
  <c r="W265" i="25"/>
  <c r="W290" i="25"/>
  <c r="W266" i="25"/>
  <c r="W288" i="25"/>
  <c r="W277" i="25"/>
  <c r="W291" i="25"/>
  <c r="W276" i="25"/>
  <c r="W279" i="25"/>
  <c r="W267" i="25"/>
  <c r="W264" i="25"/>
  <c r="R175" i="25"/>
  <c r="R163" i="25"/>
  <c r="R187" i="25"/>
  <c r="F294" i="25"/>
  <c r="F270" i="25"/>
  <c r="F282" i="25"/>
  <c r="X175" i="25"/>
  <c r="X187" i="25"/>
  <c r="X163" i="25"/>
  <c r="L171" i="25"/>
  <c r="L182" i="25"/>
  <c r="L158" i="25"/>
  <c r="L180" i="25"/>
  <c r="L156" i="25"/>
  <c r="L181" i="25"/>
  <c r="L170" i="25"/>
  <c r="L159" i="25"/>
  <c r="L169" i="25"/>
  <c r="L183" i="25"/>
  <c r="L168" i="25"/>
  <c r="L157" i="25"/>
  <c r="AA294" i="25"/>
  <c r="AA282" i="25"/>
  <c r="AA270" i="25"/>
  <c r="N186" i="25"/>
  <c r="N162" i="25"/>
  <c r="N174" i="25"/>
  <c r="O173" i="25"/>
  <c r="O185" i="25"/>
  <c r="O161" i="25"/>
  <c r="S161" i="25"/>
  <c r="S173" i="25"/>
  <c r="S185" i="25"/>
  <c r="L172" i="25"/>
  <c r="L184" i="25"/>
  <c r="L160" i="25"/>
  <c r="F187" i="25"/>
  <c r="F175" i="25"/>
  <c r="F163" i="25"/>
  <c r="B67" i="25"/>
  <c r="B79" i="25"/>
  <c r="B55" i="25"/>
  <c r="X80" i="25"/>
  <c r="X68" i="25"/>
  <c r="X56" i="25"/>
  <c r="U54" i="25"/>
  <c r="U78" i="25"/>
  <c r="U66" i="25"/>
  <c r="H77" i="25"/>
  <c r="H76" i="25"/>
  <c r="H52" i="25"/>
  <c r="H63" i="25"/>
  <c r="H74" i="25"/>
  <c r="H64" i="25"/>
  <c r="H51" i="25"/>
  <c r="H75" i="25"/>
  <c r="H65" i="25"/>
  <c r="H62" i="25"/>
  <c r="H53" i="25"/>
  <c r="H50" i="25"/>
  <c r="G81" i="25"/>
  <c r="G57" i="25"/>
  <c r="G69" i="25"/>
  <c r="S69" i="25"/>
  <c r="S81" i="25"/>
  <c r="S57" i="25"/>
  <c r="Y80" i="25"/>
  <c r="Y68" i="25"/>
  <c r="Y56" i="25"/>
  <c r="W79" i="25"/>
  <c r="W67" i="25"/>
  <c r="W55" i="25"/>
  <c r="N388" i="25"/>
  <c r="N399" i="25"/>
  <c r="N385" i="25"/>
  <c r="N386" i="25"/>
  <c r="N400" i="25"/>
  <c r="N397" i="25"/>
  <c r="N376" i="25"/>
  <c r="N398" i="25"/>
  <c r="N375" i="25"/>
  <c r="N374" i="25"/>
  <c r="N387" i="25"/>
  <c r="N373" i="25"/>
  <c r="Z392" i="25"/>
  <c r="Z404" i="25"/>
  <c r="Z380" i="25"/>
  <c r="J401" i="25"/>
  <c r="J377" i="25"/>
  <c r="J389" i="25"/>
  <c r="AC385" i="25"/>
  <c r="AC388" i="25"/>
  <c r="AC400" i="25"/>
  <c r="AC376" i="25"/>
  <c r="AC399" i="25"/>
  <c r="AC373" i="25"/>
  <c r="AC398" i="25"/>
  <c r="AC397" i="25"/>
  <c r="AC387" i="25"/>
  <c r="AC375" i="25"/>
  <c r="AC374" i="25"/>
  <c r="AC386" i="25"/>
  <c r="O399" i="25"/>
  <c r="O386" i="25"/>
  <c r="O374" i="25"/>
  <c r="O400" i="25"/>
  <c r="O397" i="25"/>
  <c r="O376" i="25"/>
  <c r="O398" i="25"/>
  <c r="O375" i="25"/>
  <c r="O388" i="25"/>
  <c r="O385" i="25"/>
  <c r="O387" i="25"/>
  <c r="O373" i="25"/>
  <c r="I403" i="25"/>
  <c r="I391" i="25"/>
  <c r="I379" i="25"/>
  <c r="S403" i="25"/>
  <c r="S379" i="25"/>
  <c r="S391" i="25"/>
  <c r="AB401" i="25"/>
  <c r="AB389" i="25"/>
  <c r="AB377" i="25"/>
  <c r="W283" i="25"/>
  <c r="W295" i="25"/>
  <c r="W271" i="25"/>
  <c r="AA283" i="25"/>
  <c r="AA295" i="25"/>
  <c r="AA271" i="25"/>
  <c r="L277" i="25"/>
  <c r="L288" i="25"/>
  <c r="L264" i="25"/>
  <c r="L289" i="25"/>
  <c r="L265" i="25"/>
  <c r="L291" i="25"/>
  <c r="L266" i="25"/>
  <c r="L290" i="25"/>
  <c r="L279" i="25"/>
  <c r="L278" i="25"/>
  <c r="L276" i="25"/>
  <c r="L267" i="25"/>
  <c r="G281" i="25"/>
  <c r="G269" i="25"/>
  <c r="G293" i="25"/>
  <c r="D277" i="25"/>
  <c r="D288" i="25"/>
  <c r="D264" i="25"/>
  <c r="D289" i="25"/>
  <c r="D265" i="25"/>
  <c r="D290" i="25"/>
  <c r="D279" i="25"/>
  <c r="D278" i="25"/>
  <c r="D267" i="25"/>
  <c r="D291" i="25"/>
  <c r="D276" i="25"/>
  <c r="D266" i="25"/>
  <c r="J187" i="25"/>
  <c r="J163" i="25"/>
  <c r="J175" i="25"/>
  <c r="AA161" i="25"/>
  <c r="AA173" i="25"/>
  <c r="AA185" i="25"/>
  <c r="P160" i="25"/>
  <c r="P184" i="25"/>
  <c r="P172" i="25"/>
  <c r="Y173" i="25"/>
  <c r="Y161" i="25"/>
  <c r="Y185" i="25"/>
  <c r="V163" i="25"/>
  <c r="V187" i="25"/>
  <c r="V175" i="25"/>
  <c r="P68" i="25"/>
  <c r="P80" i="25"/>
  <c r="P56" i="25"/>
  <c r="O369" i="25"/>
  <c r="O45" i="25"/>
  <c r="O151" i="25"/>
  <c r="O259" i="25"/>
  <c r="O46" i="25"/>
  <c r="I66" i="25"/>
  <c r="I78" i="25"/>
  <c r="I54" i="25"/>
  <c r="O57" i="25"/>
  <c r="O81" i="25"/>
  <c r="O69" i="25"/>
  <c r="AA81" i="25"/>
  <c r="AA69" i="25"/>
  <c r="AA57" i="25"/>
  <c r="N79" i="25"/>
  <c r="N67" i="25"/>
  <c r="N55" i="25"/>
  <c r="M67" i="25"/>
  <c r="M79" i="25"/>
  <c r="M55" i="25"/>
  <c r="L67" i="25"/>
  <c r="L79" i="25"/>
  <c r="L55" i="25"/>
  <c r="F388" i="25"/>
  <c r="F399" i="25"/>
  <c r="F397" i="25"/>
  <c r="F376" i="25"/>
  <c r="F385" i="25"/>
  <c r="F375" i="25"/>
  <c r="F387" i="25"/>
  <c r="F374" i="25"/>
  <c r="F373" i="25"/>
  <c r="F400" i="25"/>
  <c r="F398" i="25"/>
  <c r="F386" i="25"/>
  <c r="U379" i="25"/>
  <c r="U403" i="25"/>
  <c r="U391" i="25"/>
  <c r="K387" i="25"/>
  <c r="K398" i="25"/>
  <c r="K388" i="25"/>
  <c r="K373" i="25"/>
  <c r="K399" i="25"/>
  <c r="K386" i="25"/>
  <c r="K400" i="25"/>
  <c r="K376" i="25"/>
  <c r="K397" i="25"/>
  <c r="K385" i="25"/>
  <c r="K375" i="25"/>
  <c r="K374" i="25"/>
  <c r="P295" i="25"/>
  <c r="P283" i="25"/>
  <c r="P271" i="25"/>
  <c r="T277" i="25"/>
  <c r="T288" i="25"/>
  <c r="T264" i="25"/>
  <c r="T289" i="25"/>
  <c r="T265" i="25"/>
  <c r="T278" i="25"/>
  <c r="T267" i="25"/>
  <c r="T291" i="25"/>
  <c r="T266" i="25"/>
  <c r="T276" i="25"/>
  <c r="T290" i="25"/>
  <c r="T279" i="25"/>
  <c r="B295" i="25"/>
  <c r="B271" i="25"/>
  <c r="B283" i="25"/>
  <c r="AC288" i="25"/>
  <c r="AC264" i="25"/>
  <c r="AC291" i="25"/>
  <c r="AC267" i="25"/>
  <c r="AC276" i="25"/>
  <c r="AC290" i="25"/>
  <c r="AC279" i="25"/>
  <c r="AC289" i="25"/>
  <c r="AC278" i="25"/>
  <c r="AC277" i="25"/>
  <c r="AC265" i="25"/>
  <c r="AC266" i="25"/>
  <c r="Y271" i="25"/>
  <c r="Y295" i="25"/>
  <c r="Y283" i="25"/>
  <c r="C290" i="25"/>
  <c r="C266" i="25"/>
  <c r="C277" i="25"/>
  <c r="C278" i="25"/>
  <c r="C289" i="25"/>
  <c r="C267" i="25"/>
  <c r="C288" i="25"/>
  <c r="C291" i="25"/>
  <c r="C276" i="25"/>
  <c r="C264" i="25"/>
  <c r="C279" i="25"/>
  <c r="C265" i="25"/>
  <c r="H175" i="25"/>
  <c r="H187" i="25"/>
  <c r="H163" i="25"/>
  <c r="B186" i="25"/>
  <c r="B174" i="25"/>
  <c r="B162" i="25"/>
  <c r="B173" i="25"/>
  <c r="B185" i="25"/>
  <c r="B161" i="25"/>
  <c r="D185" i="25"/>
  <c r="D161" i="25"/>
  <c r="D173" i="25"/>
  <c r="X180" i="25"/>
  <c r="X169" i="25"/>
  <c r="X157" i="25"/>
  <c r="X168" i="25"/>
  <c r="X181" i="25"/>
  <c r="X156" i="25"/>
  <c r="AB172" i="25"/>
  <c r="AB184" i="25"/>
  <c r="AB160" i="25"/>
  <c r="H173" i="25"/>
  <c r="H185" i="25"/>
  <c r="H161" i="25"/>
  <c r="P185" i="25"/>
  <c r="P161" i="25"/>
  <c r="P173" i="25"/>
  <c r="G187" i="25"/>
  <c r="G175" i="25"/>
  <c r="G163" i="25"/>
  <c r="H68" i="25"/>
  <c r="H80" i="25"/>
  <c r="H56" i="25"/>
  <c r="W57" i="25"/>
  <c r="W81" i="25"/>
  <c r="W69" i="25"/>
  <c r="D81" i="25"/>
  <c r="D57" i="25"/>
  <c r="D69" i="25"/>
  <c r="D67" i="25"/>
  <c r="D79" i="25"/>
  <c r="D55" i="25"/>
  <c r="C67" i="25"/>
  <c r="C79" i="25"/>
  <c r="C55" i="25"/>
  <c r="Y380" i="25"/>
  <c r="Y392" i="25"/>
  <c r="Y404" i="25"/>
  <c r="D295" i="25"/>
  <c r="D271" i="25"/>
  <c r="D283" i="25"/>
  <c r="I276" i="25"/>
  <c r="I279" i="25"/>
  <c r="I288" i="25"/>
  <c r="I264" i="25"/>
  <c r="I291" i="25"/>
  <c r="I290" i="25"/>
  <c r="I265" i="25"/>
  <c r="I278" i="25"/>
  <c r="I289" i="25"/>
  <c r="I266" i="25"/>
  <c r="I267" i="25"/>
  <c r="I277" i="25"/>
  <c r="J295" i="25"/>
  <c r="J271" i="25"/>
  <c r="J283" i="25"/>
  <c r="R279" i="25"/>
  <c r="R290" i="25"/>
  <c r="R266" i="25"/>
  <c r="R291" i="25"/>
  <c r="R267" i="25"/>
  <c r="R264" i="25"/>
  <c r="R289" i="25"/>
  <c r="R288" i="25"/>
  <c r="R277" i="25"/>
  <c r="R276" i="25"/>
  <c r="R265" i="25"/>
  <c r="R278" i="25"/>
  <c r="M283" i="25"/>
  <c r="M295" i="25"/>
  <c r="M271" i="25"/>
  <c r="S186" i="25"/>
  <c r="S174" i="25"/>
  <c r="S162" i="25"/>
  <c r="F169" i="25"/>
  <c r="F180" i="25"/>
  <c r="F156" i="25"/>
  <c r="F170" i="25"/>
  <c r="F168" i="25"/>
  <c r="F157" i="25"/>
  <c r="F182" i="25"/>
  <c r="F171" i="25"/>
  <c r="F181" i="25"/>
  <c r="F159" i="25"/>
  <c r="F183" i="25"/>
  <c r="F158" i="25"/>
  <c r="AC187" i="25"/>
  <c r="AC175" i="25"/>
  <c r="AC163" i="25"/>
  <c r="C184" i="25"/>
  <c r="C160" i="25"/>
  <c r="C172" i="25"/>
  <c r="AC161" i="25"/>
  <c r="AC185" i="25"/>
  <c r="AC173" i="25"/>
  <c r="AA56" i="25"/>
  <c r="AA68" i="25"/>
  <c r="AA80" i="25"/>
  <c r="AA67" i="25"/>
  <c r="AA55" i="25"/>
  <c r="AA79" i="25"/>
  <c r="H81" i="25"/>
  <c r="H69" i="25"/>
  <c r="H57" i="25"/>
  <c r="L81" i="25"/>
  <c r="L69" i="25"/>
  <c r="L57" i="25"/>
  <c r="AB78" i="25"/>
  <c r="AB54" i="25"/>
  <c r="AB66" i="25"/>
  <c r="Y66" i="25"/>
  <c r="Y54" i="25"/>
  <c r="Y78" i="25"/>
  <c r="J66" i="25"/>
  <c r="J78" i="25"/>
  <c r="J54" i="25"/>
  <c r="S53" i="25"/>
  <c r="S64" i="25"/>
  <c r="S51" i="25"/>
  <c r="S74" i="25"/>
  <c r="S75" i="25"/>
  <c r="S65" i="25"/>
  <c r="S62" i="25"/>
  <c r="S52" i="25"/>
  <c r="S77" i="25"/>
  <c r="S76" i="25"/>
  <c r="S63" i="25"/>
  <c r="S50" i="25"/>
  <c r="Q392" i="25"/>
  <c r="Q380" i="25"/>
  <c r="Q404" i="25"/>
  <c r="D379" i="25"/>
  <c r="D403" i="25"/>
  <c r="D391" i="25"/>
  <c r="N391" i="25"/>
  <c r="N379" i="25"/>
  <c r="N403" i="25"/>
  <c r="X389" i="25"/>
  <c r="X377" i="25"/>
  <c r="X401" i="25"/>
  <c r="R295" i="25"/>
  <c r="R271" i="25"/>
  <c r="R283" i="25"/>
  <c r="H289" i="25"/>
  <c r="H265" i="25"/>
  <c r="H276" i="25"/>
  <c r="H277" i="25"/>
  <c r="H278" i="25"/>
  <c r="H267" i="25"/>
  <c r="H288" i="25"/>
  <c r="H266" i="25"/>
  <c r="H291" i="25"/>
  <c r="H290" i="25"/>
  <c r="H279" i="25"/>
  <c r="H264" i="25"/>
  <c r="E390" i="25"/>
  <c r="E402" i="25"/>
  <c r="E378" i="25"/>
  <c r="AA390" i="25"/>
  <c r="AA402" i="25"/>
  <c r="AA378" i="25"/>
  <c r="S290" i="25"/>
  <c r="S266" i="25"/>
  <c r="S277" i="25"/>
  <c r="S278" i="25"/>
  <c r="S289" i="25"/>
  <c r="S288" i="25"/>
  <c r="S291" i="25"/>
  <c r="S276" i="25"/>
  <c r="S265" i="25"/>
  <c r="S279" i="25"/>
  <c r="S267" i="25"/>
  <c r="S264" i="25"/>
  <c r="K186" i="25"/>
  <c r="K174" i="25"/>
  <c r="K162" i="25"/>
  <c r="Y163" i="25"/>
  <c r="Y187" i="25"/>
  <c r="Y175" i="25"/>
  <c r="Q186" i="25"/>
  <c r="Q162" i="25"/>
  <c r="Q174" i="25"/>
  <c r="I294" i="25"/>
  <c r="I282" i="25"/>
  <c r="I270" i="25"/>
  <c r="AB294" i="25"/>
  <c r="AB282" i="25"/>
  <c r="AB270" i="25"/>
  <c r="U187" i="25"/>
  <c r="U175" i="25"/>
  <c r="U163" i="25"/>
  <c r="R173" i="25"/>
  <c r="R185" i="25"/>
  <c r="R161" i="25"/>
  <c r="T185" i="25"/>
  <c r="T173" i="25"/>
  <c r="T161" i="25"/>
  <c r="M184" i="25"/>
  <c r="M172" i="25"/>
  <c r="M160" i="25"/>
  <c r="I173" i="25"/>
  <c r="I185" i="25"/>
  <c r="I161" i="25"/>
  <c r="Q80" i="25"/>
  <c r="Q68" i="25"/>
  <c r="Q56" i="25"/>
  <c r="N80" i="25"/>
  <c r="N56" i="25"/>
  <c r="N68" i="25"/>
  <c r="U75" i="25"/>
  <c r="U51" i="25"/>
  <c r="U62" i="25"/>
  <c r="U65" i="25"/>
  <c r="U52" i="25"/>
  <c r="U77" i="25"/>
  <c r="U76" i="25"/>
  <c r="U63" i="25"/>
  <c r="U53" i="25"/>
  <c r="U50" i="25"/>
  <c r="U74" i="25"/>
  <c r="U64" i="25"/>
  <c r="P81" i="25"/>
  <c r="P57" i="25"/>
  <c r="P69" i="25"/>
  <c r="G68" i="25"/>
  <c r="G80" i="25"/>
  <c r="G56" i="25"/>
  <c r="R78" i="25"/>
  <c r="R66" i="25"/>
  <c r="R54" i="25"/>
  <c r="I389" i="25"/>
  <c r="I401" i="25"/>
  <c r="I377" i="25"/>
  <c r="I404" i="25"/>
  <c r="I380" i="25"/>
  <c r="I392" i="25"/>
  <c r="U293" i="25"/>
  <c r="U269" i="25"/>
  <c r="U281" i="25"/>
  <c r="AB283" i="25"/>
  <c r="AB295" i="25"/>
  <c r="AB271" i="25"/>
  <c r="Z295" i="25"/>
  <c r="Z271" i="25"/>
  <c r="Z283" i="25"/>
  <c r="C186" i="25"/>
  <c r="C162" i="25"/>
  <c r="C174" i="25"/>
  <c r="V270" i="25"/>
  <c r="V294" i="25"/>
  <c r="V282" i="25"/>
  <c r="C294" i="25"/>
  <c r="C282" i="25"/>
  <c r="C270" i="25"/>
  <c r="AC174" i="25"/>
  <c r="AC186" i="25"/>
  <c r="AC162" i="25"/>
  <c r="Z173" i="25"/>
  <c r="Z161" i="25"/>
  <c r="Z185" i="25"/>
  <c r="V184" i="25"/>
  <c r="V172" i="25"/>
  <c r="V160" i="25"/>
  <c r="E161" i="25"/>
  <c r="E185" i="25"/>
  <c r="E173" i="25"/>
  <c r="I80" i="25"/>
  <c r="I68" i="25"/>
  <c r="I56" i="25"/>
  <c r="I55" i="25"/>
  <c r="I79" i="25"/>
  <c r="I67" i="25"/>
  <c r="M152" i="25"/>
  <c r="M151" i="25"/>
  <c r="M369" i="25"/>
  <c r="M260" i="25"/>
  <c r="M45" i="25"/>
  <c r="X152" i="25"/>
  <c r="X46" i="25"/>
  <c r="X151" i="25"/>
  <c r="X369" i="25"/>
  <c r="X260" i="25"/>
  <c r="X368" i="25"/>
  <c r="D80" i="25"/>
  <c r="D56" i="25"/>
  <c r="D68" i="25"/>
  <c r="X57" i="25"/>
  <c r="X81" i="25"/>
  <c r="X69" i="25"/>
  <c r="AB81" i="25"/>
  <c r="AB69" i="25"/>
  <c r="AB57" i="25"/>
  <c r="F54" i="25"/>
  <c r="F78" i="25"/>
  <c r="F66" i="25"/>
  <c r="AB56" i="25"/>
  <c r="AB68" i="25"/>
  <c r="AB80" i="25"/>
  <c r="D78" i="25"/>
  <c r="D66" i="25"/>
  <c r="D54" i="25"/>
  <c r="H55" i="25"/>
  <c r="H79" i="25"/>
  <c r="H67" i="25"/>
  <c r="P380" i="25"/>
  <c r="P392" i="25"/>
  <c r="P404" i="25"/>
  <c r="Z389" i="25"/>
  <c r="Z401" i="25"/>
  <c r="Z377" i="25"/>
  <c r="U404" i="25"/>
  <c r="U380" i="25"/>
  <c r="U392" i="25"/>
  <c r="P389" i="25"/>
  <c r="P377" i="25"/>
  <c r="P401" i="25"/>
  <c r="G402" i="25"/>
  <c r="G390" i="25"/>
  <c r="G378" i="25"/>
  <c r="N402" i="25"/>
  <c r="N390" i="25"/>
  <c r="N378" i="25"/>
  <c r="Q390" i="25"/>
  <c r="Q402" i="25"/>
  <c r="Q378" i="25"/>
  <c r="U378" i="25"/>
  <c r="U402" i="25"/>
  <c r="U390" i="25"/>
  <c r="G391" i="25"/>
  <c r="G379" i="25"/>
  <c r="G403" i="25"/>
  <c r="O281" i="25"/>
  <c r="O293" i="25"/>
  <c r="O269" i="25"/>
  <c r="AA269" i="25"/>
  <c r="AA281" i="25"/>
  <c r="AA293" i="25"/>
  <c r="AB280" i="25"/>
  <c r="AB292" i="25"/>
  <c r="AB268" i="25"/>
  <c r="H292" i="25"/>
  <c r="H268" i="25"/>
  <c r="H280" i="25"/>
  <c r="F390" i="25"/>
  <c r="F402" i="25"/>
  <c r="F378" i="25"/>
  <c r="D293" i="25"/>
  <c r="D269" i="25"/>
  <c r="D281" i="25"/>
  <c r="O294" i="25"/>
  <c r="O270" i="25"/>
  <c r="O282" i="25"/>
  <c r="Y294" i="25"/>
  <c r="Y282" i="25"/>
  <c r="Y270" i="25"/>
  <c r="U182" i="25"/>
  <c r="U158" i="25"/>
  <c r="U169" i="25"/>
  <c r="U183" i="25"/>
  <c r="U159" i="25"/>
  <c r="U171" i="25"/>
  <c r="U156" i="25"/>
  <c r="U181" i="25"/>
  <c r="U170" i="25"/>
  <c r="U180" i="25"/>
  <c r="U157" i="25"/>
  <c r="U168" i="25"/>
  <c r="AC182" i="25"/>
  <c r="AC158" i="25"/>
  <c r="AC169" i="25"/>
  <c r="AC159" i="25"/>
  <c r="AC183" i="25"/>
  <c r="AC168" i="25"/>
  <c r="AC157" i="25"/>
  <c r="AC171" i="25"/>
  <c r="AC156" i="25"/>
  <c r="AC181" i="25"/>
  <c r="AC170" i="25"/>
  <c r="AC180" i="25"/>
  <c r="U288" i="25"/>
  <c r="U264" i="25"/>
  <c r="U291" i="25"/>
  <c r="U267" i="25"/>
  <c r="U276" i="25"/>
  <c r="U277" i="25"/>
  <c r="U266" i="25"/>
  <c r="U265" i="25"/>
  <c r="U290" i="25"/>
  <c r="U279" i="25"/>
  <c r="U289" i="25"/>
  <c r="U278" i="25"/>
  <c r="Q184" i="25"/>
  <c r="Q172" i="25"/>
  <c r="Q160" i="25"/>
  <c r="D171" i="25"/>
  <c r="D182" i="25"/>
  <c r="D158" i="25"/>
  <c r="D180" i="25"/>
  <c r="D156" i="25"/>
  <c r="D183" i="25"/>
  <c r="D168" i="25"/>
  <c r="D157" i="25"/>
  <c r="D181" i="25"/>
  <c r="D170" i="25"/>
  <c r="D159" i="25"/>
  <c r="D169" i="25"/>
  <c r="Y184" i="25"/>
  <c r="Y172" i="25"/>
  <c r="Y160" i="25"/>
  <c r="H183" i="25"/>
  <c r="H159" i="25"/>
  <c r="H170" i="25"/>
  <c r="H168" i="25"/>
  <c r="H182" i="25"/>
  <c r="H171" i="25"/>
  <c r="H181" i="25"/>
  <c r="H156" i="25"/>
  <c r="H180" i="25"/>
  <c r="H169" i="25"/>
  <c r="H158" i="25"/>
  <c r="H157" i="25"/>
  <c r="E283" i="25"/>
  <c r="E295" i="25"/>
  <c r="E271" i="25"/>
  <c r="H295" i="25"/>
  <c r="H283" i="25"/>
  <c r="H271" i="25"/>
  <c r="C163" i="25"/>
  <c r="C187" i="25"/>
  <c r="C175" i="25"/>
  <c r="O292" i="25"/>
  <c r="O280" i="25"/>
  <c r="O268" i="25"/>
  <c r="M182" i="25"/>
  <c r="M158" i="25"/>
  <c r="M169" i="25"/>
  <c r="M183" i="25"/>
  <c r="M159" i="25"/>
  <c r="M180" i="25"/>
  <c r="M168" i="25"/>
  <c r="M157" i="25"/>
  <c r="M181" i="25"/>
  <c r="M171" i="25"/>
  <c r="M170" i="25"/>
  <c r="M156" i="25"/>
  <c r="AA280" i="25"/>
  <c r="P162" i="25"/>
  <c r="P186" i="25"/>
  <c r="P174" i="25"/>
  <c r="U160" i="25"/>
  <c r="U184" i="25"/>
  <c r="U172" i="25"/>
  <c r="M161" i="25"/>
  <c r="M173" i="25"/>
  <c r="M185" i="25"/>
  <c r="X173" i="25"/>
  <c r="X161" i="25"/>
  <c r="X185" i="25"/>
  <c r="N152" i="25"/>
  <c r="X77" i="25"/>
  <c r="X76" i="25"/>
  <c r="X52" i="25"/>
  <c r="X63" i="25"/>
  <c r="X62" i="25"/>
  <c r="X53" i="25"/>
  <c r="X50" i="25"/>
  <c r="X74" i="25"/>
  <c r="X64" i="25"/>
  <c r="X51" i="25"/>
  <c r="X75" i="25"/>
  <c r="X65" i="25"/>
  <c r="C53" i="25"/>
  <c r="C64" i="25"/>
  <c r="C76" i="25"/>
  <c r="C63" i="25"/>
  <c r="C50" i="25"/>
  <c r="C77" i="25"/>
  <c r="C51" i="25"/>
  <c r="C74" i="25"/>
  <c r="C75" i="25"/>
  <c r="C65" i="25"/>
  <c r="C62" i="25"/>
  <c r="C52" i="25"/>
  <c r="E77" i="25"/>
  <c r="E75" i="25"/>
  <c r="E51" i="25"/>
  <c r="E62" i="25"/>
  <c r="E63" i="25"/>
  <c r="E53" i="25"/>
  <c r="E50" i="25"/>
  <c r="E74" i="25"/>
  <c r="E64" i="25"/>
  <c r="E65" i="25"/>
  <c r="E52" i="25"/>
  <c r="E76" i="25"/>
  <c r="F79" i="25"/>
  <c r="F67" i="25"/>
  <c r="F55" i="25"/>
  <c r="B69" i="25"/>
  <c r="B81" i="25"/>
  <c r="B57" i="25"/>
  <c r="Z81" i="25"/>
  <c r="Z69" i="25"/>
  <c r="Z57" i="25"/>
  <c r="C80" i="25"/>
  <c r="C56" i="25"/>
  <c r="C68" i="25"/>
  <c r="T404" i="25"/>
  <c r="T380" i="25"/>
  <c r="T392" i="25"/>
  <c r="X404" i="25"/>
  <c r="X380" i="25"/>
  <c r="X392" i="25"/>
  <c r="V401" i="25"/>
  <c r="V389" i="25"/>
  <c r="V377" i="25"/>
  <c r="AC404" i="25"/>
  <c r="AC380" i="25"/>
  <c r="AC392" i="25"/>
  <c r="E385" i="25"/>
  <c r="E388" i="25"/>
  <c r="E386" i="25"/>
  <c r="E376" i="25"/>
  <c r="E400" i="25"/>
  <c r="E398" i="25"/>
  <c r="E375" i="25"/>
  <c r="E387" i="25"/>
  <c r="E374" i="25"/>
  <c r="E399" i="25"/>
  <c r="E397" i="25"/>
  <c r="E373" i="25"/>
  <c r="T390" i="25"/>
  <c r="T378" i="25"/>
  <c r="T402" i="25"/>
  <c r="Y402" i="25"/>
  <c r="Y390" i="25"/>
  <c r="Y378" i="25"/>
  <c r="AC390" i="25"/>
  <c r="AC402" i="25"/>
  <c r="AC378" i="25"/>
  <c r="Z403" i="25"/>
  <c r="Z379" i="25"/>
  <c r="Z391" i="25"/>
  <c r="AC403" i="25"/>
  <c r="AC391" i="25"/>
  <c r="AC379" i="25"/>
  <c r="X293" i="25"/>
  <c r="X281" i="25"/>
  <c r="X269" i="25"/>
  <c r="N293" i="25"/>
  <c r="N269" i="25"/>
  <c r="N281" i="25"/>
  <c r="B268" i="25"/>
  <c r="B292" i="25"/>
  <c r="B280" i="25"/>
  <c r="E280" i="25"/>
  <c r="E292" i="25"/>
  <c r="E268" i="25"/>
  <c r="P292" i="25"/>
  <c r="P268" i="25"/>
  <c r="P280" i="25"/>
  <c r="J281" i="25"/>
  <c r="J269" i="25"/>
  <c r="J293" i="25"/>
  <c r="Z294" i="25"/>
  <c r="Z282" i="25"/>
  <c r="Z270" i="25"/>
  <c r="P294" i="25"/>
  <c r="P282" i="25"/>
  <c r="P270" i="25"/>
  <c r="W280" i="25"/>
  <c r="W268" i="25"/>
  <c r="W292" i="25"/>
  <c r="T171" i="25"/>
  <c r="T182" i="25"/>
  <c r="T158" i="25"/>
  <c r="T180" i="25"/>
  <c r="T156" i="25"/>
  <c r="T168" i="25"/>
  <c r="T157" i="25"/>
  <c r="T181" i="25"/>
  <c r="T170" i="25"/>
  <c r="T159" i="25"/>
  <c r="T169" i="25"/>
  <c r="T183" i="25"/>
  <c r="P289" i="25"/>
  <c r="P265" i="25"/>
  <c r="P276" i="25"/>
  <c r="P277" i="25"/>
  <c r="P290" i="25"/>
  <c r="P279" i="25"/>
  <c r="P278" i="25"/>
  <c r="P267" i="25"/>
  <c r="P288" i="25"/>
  <c r="P291" i="25"/>
  <c r="P264" i="25"/>
  <c r="P266" i="25"/>
  <c r="Z279" i="25"/>
  <c r="Z290" i="25"/>
  <c r="Z266" i="25"/>
  <c r="Z291" i="25"/>
  <c r="Z267" i="25"/>
  <c r="Z264" i="25"/>
  <c r="Z289" i="25"/>
  <c r="Z278" i="25"/>
  <c r="Z288" i="25"/>
  <c r="Z277" i="25"/>
  <c r="Z265" i="25"/>
  <c r="Z276" i="25"/>
  <c r="H160" i="25"/>
  <c r="H184" i="25"/>
  <c r="H172" i="25"/>
  <c r="AC295" i="25"/>
  <c r="AC283" i="25"/>
  <c r="AC271" i="25"/>
  <c r="P183" i="25"/>
  <c r="P159" i="25"/>
  <c r="P170" i="25"/>
  <c r="P168" i="25"/>
  <c r="P180" i="25"/>
  <c r="P169" i="25"/>
  <c r="P158" i="25"/>
  <c r="P157" i="25"/>
  <c r="P182" i="25"/>
  <c r="P171" i="25"/>
  <c r="P181" i="25"/>
  <c r="P156" i="25"/>
  <c r="K163" i="25"/>
  <c r="K187" i="25"/>
  <c r="K175" i="25"/>
  <c r="N187" i="25"/>
  <c r="N175" i="25"/>
  <c r="N163" i="25"/>
  <c r="E174" i="25"/>
  <c r="E186" i="25"/>
  <c r="E162" i="25"/>
  <c r="X186" i="25"/>
  <c r="X162" i="25"/>
  <c r="X174" i="25"/>
  <c r="AA162" i="25"/>
  <c r="AA186" i="25"/>
  <c r="AA174" i="25"/>
  <c r="T187" i="25"/>
  <c r="T163" i="25"/>
  <c r="T175" i="25"/>
  <c r="B66" i="25"/>
  <c r="B78" i="25"/>
  <c r="B54" i="25"/>
  <c r="L78" i="25"/>
  <c r="L66" i="25"/>
  <c r="L54" i="25"/>
  <c r="G78" i="25"/>
  <c r="G54" i="25"/>
  <c r="G66" i="25"/>
  <c r="L186" i="25"/>
  <c r="I77" i="25"/>
  <c r="I63" i="25"/>
  <c r="I74" i="25"/>
  <c r="I50" i="25"/>
  <c r="I51" i="25"/>
  <c r="I75" i="25"/>
  <c r="I65" i="25"/>
  <c r="I62" i="25"/>
  <c r="I52" i="25"/>
  <c r="I53" i="25"/>
  <c r="I76" i="25"/>
  <c r="I64" i="25"/>
  <c r="K53" i="25"/>
  <c r="K64" i="25"/>
  <c r="K77" i="25"/>
  <c r="K75" i="25"/>
  <c r="K65" i="25"/>
  <c r="K62" i="25"/>
  <c r="K52" i="25"/>
  <c r="K76" i="25"/>
  <c r="K63" i="25"/>
  <c r="K50" i="25"/>
  <c r="K51" i="25"/>
  <c r="K74" i="25"/>
  <c r="M75" i="25"/>
  <c r="M51" i="25"/>
  <c r="M62" i="25"/>
  <c r="M76" i="25"/>
  <c r="M63" i="25"/>
  <c r="M53" i="25"/>
  <c r="M50" i="25"/>
  <c r="M74" i="25"/>
  <c r="M64" i="25"/>
  <c r="M77" i="25"/>
  <c r="M65" i="25"/>
  <c r="M52" i="25"/>
  <c r="P55" i="25"/>
  <c r="P67" i="25"/>
  <c r="P79" i="25"/>
  <c r="U79" i="25"/>
  <c r="U67" i="25"/>
  <c r="U55" i="25"/>
  <c r="O68" i="25"/>
  <c r="O80" i="25"/>
  <c r="O56" i="25"/>
  <c r="W80" i="25"/>
  <c r="W68" i="25"/>
  <c r="W56" i="25"/>
  <c r="F80" i="25"/>
  <c r="F68" i="25"/>
  <c r="F56" i="25"/>
  <c r="F404" i="25"/>
  <c r="F380" i="25"/>
  <c r="F392" i="25"/>
  <c r="R392" i="25"/>
  <c r="R404" i="25"/>
  <c r="R380" i="25"/>
  <c r="C392" i="25"/>
  <c r="C380" i="25"/>
  <c r="C404" i="25"/>
  <c r="G401" i="25"/>
  <c r="G389" i="25"/>
  <c r="G377" i="25"/>
  <c r="B392" i="25"/>
  <c r="B380" i="25"/>
  <c r="B404" i="25"/>
  <c r="H389" i="25"/>
  <c r="H377" i="25"/>
  <c r="H401" i="25"/>
  <c r="X386" i="25"/>
  <c r="X397" i="25"/>
  <c r="X385" i="25"/>
  <c r="X399" i="25"/>
  <c r="X376" i="25"/>
  <c r="X375" i="25"/>
  <c r="X400" i="25"/>
  <c r="X374" i="25"/>
  <c r="X398" i="25"/>
  <c r="X373" i="25"/>
  <c r="X388" i="25"/>
  <c r="X387" i="25"/>
  <c r="L398" i="25"/>
  <c r="L385" i="25"/>
  <c r="L373" i="25"/>
  <c r="L399" i="25"/>
  <c r="L387" i="25"/>
  <c r="L386" i="25"/>
  <c r="L400" i="25"/>
  <c r="L376" i="25"/>
  <c r="L397" i="25"/>
  <c r="L388" i="25"/>
  <c r="L375" i="25"/>
  <c r="L374" i="25"/>
  <c r="H402" i="25"/>
  <c r="H378" i="25"/>
  <c r="H390" i="25"/>
  <c r="C390" i="25"/>
  <c r="C402" i="25"/>
  <c r="C378" i="25"/>
  <c r="B402" i="25"/>
  <c r="B390" i="25"/>
  <c r="B378" i="25"/>
  <c r="B403" i="25"/>
  <c r="B379" i="25"/>
  <c r="B391" i="25"/>
  <c r="P293" i="25"/>
  <c r="P281" i="25"/>
  <c r="P269" i="25"/>
  <c r="Y292" i="25"/>
  <c r="Y268" i="25"/>
  <c r="Y280" i="25"/>
  <c r="J292" i="25"/>
  <c r="J280" i="25"/>
  <c r="J268" i="25"/>
  <c r="M280" i="25"/>
  <c r="M292" i="25"/>
  <c r="M268" i="25"/>
  <c r="X292" i="25"/>
  <c r="X268" i="25"/>
  <c r="X280" i="25"/>
  <c r="S292" i="25"/>
  <c r="S280" i="25"/>
  <c r="S268" i="25"/>
  <c r="T293" i="25"/>
  <c r="T269" i="25"/>
  <c r="T281" i="25"/>
  <c r="C168" i="25"/>
  <c r="C171" i="25"/>
  <c r="C169" i="25"/>
  <c r="C158" i="25"/>
  <c r="C183" i="25"/>
  <c r="C182" i="25"/>
  <c r="C157" i="25"/>
  <c r="C156" i="25"/>
  <c r="C181" i="25"/>
  <c r="C159" i="25"/>
  <c r="C180" i="25"/>
  <c r="C170" i="25"/>
  <c r="B160" i="25"/>
  <c r="B184" i="25"/>
  <c r="B172" i="25"/>
  <c r="X259" i="25"/>
  <c r="K168" i="25"/>
  <c r="K171" i="25"/>
  <c r="K169" i="25"/>
  <c r="K181" i="25"/>
  <c r="K170" i="25"/>
  <c r="K159" i="25"/>
  <c r="K180" i="25"/>
  <c r="K158" i="25"/>
  <c r="K183" i="25"/>
  <c r="K157" i="25"/>
  <c r="K156" i="25"/>
  <c r="K182" i="25"/>
  <c r="G180" i="25"/>
  <c r="G156" i="25"/>
  <c r="G183" i="25"/>
  <c r="G159" i="25"/>
  <c r="G181" i="25"/>
  <c r="G157" i="25"/>
  <c r="G182" i="25"/>
  <c r="G171" i="25"/>
  <c r="G170" i="25"/>
  <c r="G169" i="25"/>
  <c r="G158" i="25"/>
  <c r="G168" i="25"/>
  <c r="S168" i="25"/>
  <c r="S171" i="25"/>
  <c r="S169" i="25"/>
  <c r="S182" i="25"/>
  <c r="S157" i="25"/>
  <c r="S156" i="25"/>
  <c r="S181" i="25"/>
  <c r="S170" i="25"/>
  <c r="S159" i="25"/>
  <c r="S180" i="25"/>
  <c r="S183" i="25"/>
  <c r="S158" i="25"/>
  <c r="G172" i="25"/>
  <c r="G160" i="25"/>
  <c r="G184" i="25"/>
  <c r="X283" i="25"/>
  <c r="X295" i="25"/>
  <c r="X271" i="25"/>
  <c r="S163" i="25"/>
  <c r="S175" i="25"/>
  <c r="S187" i="25"/>
  <c r="O54" i="25"/>
  <c r="O78" i="25"/>
  <c r="O66" i="25"/>
  <c r="W78" i="25"/>
  <c r="W66" i="25"/>
  <c r="W54" i="25"/>
  <c r="L162" i="25"/>
  <c r="Q77" i="25"/>
  <c r="Q63" i="25"/>
  <c r="Q74" i="25"/>
  <c r="Q50" i="25"/>
  <c r="Q64" i="25"/>
  <c r="Q51" i="25"/>
  <c r="Q75" i="25"/>
  <c r="Q65" i="25"/>
  <c r="Q62" i="25"/>
  <c r="Q52" i="25"/>
  <c r="Q53" i="25"/>
  <c r="Q76" i="25"/>
  <c r="AB67" i="25"/>
  <c r="AB55" i="25"/>
  <c r="AB79" i="25"/>
  <c r="V57" i="25"/>
  <c r="V81" i="25"/>
  <c r="V69" i="25"/>
  <c r="R80" i="25"/>
  <c r="R68" i="25"/>
  <c r="R56" i="25"/>
  <c r="B80" i="25"/>
  <c r="B56" i="25"/>
  <c r="B68" i="25"/>
  <c r="S389" i="25"/>
  <c r="S377" i="25"/>
  <c r="S401" i="25"/>
  <c r="E404" i="25"/>
  <c r="E380" i="25"/>
  <c r="E392" i="25"/>
  <c r="K392" i="25"/>
  <c r="K404" i="25"/>
  <c r="K380" i="25"/>
  <c r="M404" i="25"/>
  <c r="M380" i="25"/>
  <c r="M392" i="25"/>
  <c r="O401" i="25"/>
  <c r="O389" i="25"/>
  <c r="O377" i="25"/>
  <c r="J392" i="25"/>
  <c r="J404" i="25"/>
  <c r="J380" i="25"/>
  <c r="N404" i="25"/>
  <c r="N380" i="25"/>
  <c r="N392" i="25"/>
  <c r="T401" i="25"/>
  <c r="T389" i="25"/>
  <c r="T377" i="25"/>
  <c r="M385" i="25"/>
  <c r="M388" i="25"/>
  <c r="M398" i="25"/>
  <c r="M376" i="25"/>
  <c r="M386" i="25"/>
  <c r="M400" i="25"/>
  <c r="M399" i="25"/>
  <c r="M397" i="25"/>
  <c r="M375" i="25"/>
  <c r="M374" i="25"/>
  <c r="M373" i="25"/>
  <c r="M387" i="25"/>
  <c r="T398" i="25"/>
  <c r="T385" i="25"/>
  <c r="T397" i="25"/>
  <c r="T387" i="25"/>
  <c r="T373" i="25"/>
  <c r="T388" i="25"/>
  <c r="T376" i="25"/>
  <c r="T386" i="25"/>
  <c r="T374" i="25"/>
  <c r="T375" i="25"/>
  <c r="T400" i="25"/>
  <c r="T399" i="25"/>
  <c r="V378" i="25"/>
  <c r="V402" i="25"/>
  <c r="V390" i="25"/>
  <c r="O402" i="25"/>
  <c r="O378" i="25"/>
  <c r="O390" i="25"/>
  <c r="J378" i="25"/>
  <c r="J402" i="25"/>
  <c r="J390" i="25"/>
  <c r="O391" i="25"/>
  <c r="O403" i="25"/>
  <c r="O379" i="25"/>
  <c r="V391" i="25"/>
  <c r="V403" i="25"/>
  <c r="V379" i="25"/>
  <c r="L403" i="25"/>
  <c r="L391" i="25"/>
  <c r="L379" i="25"/>
  <c r="P403" i="25"/>
  <c r="P391" i="25"/>
  <c r="P379" i="25"/>
  <c r="H293" i="25"/>
  <c r="H281" i="25"/>
  <c r="H269" i="25"/>
  <c r="C292" i="25"/>
  <c r="C280" i="25"/>
  <c r="C268" i="25"/>
  <c r="R268" i="25"/>
  <c r="R292" i="25"/>
  <c r="R280" i="25"/>
  <c r="U280" i="25"/>
  <c r="U292" i="25"/>
  <c r="U268" i="25"/>
  <c r="AB293" i="25"/>
  <c r="AB269" i="25"/>
  <c r="AB281" i="25"/>
  <c r="I292" i="25"/>
  <c r="I268" i="25"/>
  <c r="I280" i="25"/>
  <c r="R293" i="25"/>
  <c r="R281" i="25"/>
  <c r="R269" i="25"/>
  <c r="E294" i="25"/>
  <c r="E270" i="25"/>
  <c r="E282" i="25"/>
  <c r="L294" i="25"/>
  <c r="L282" i="25"/>
  <c r="L270" i="25"/>
  <c r="M282" i="25"/>
  <c r="M270" i="25"/>
  <c r="M294" i="25"/>
  <c r="Q187" i="25"/>
  <c r="Q163" i="25"/>
  <c r="Q175" i="25"/>
  <c r="J160" i="25"/>
  <c r="J184" i="25"/>
  <c r="J172" i="25"/>
  <c r="M259" i="25"/>
  <c r="AB187" i="25"/>
  <c r="AB163" i="25"/>
  <c r="AB175" i="25"/>
  <c r="B181" i="25"/>
  <c r="B157" i="25"/>
  <c r="B168" i="25"/>
  <c r="B182" i="25"/>
  <c r="B158" i="25"/>
  <c r="B180" i="25"/>
  <c r="B169" i="25"/>
  <c r="B183" i="25"/>
  <c r="B171" i="25"/>
  <c r="B156" i="25"/>
  <c r="B159" i="25"/>
  <c r="B170" i="25"/>
  <c r="O180" i="25"/>
  <c r="O156" i="25"/>
  <c r="O183" i="25"/>
  <c r="O159" i="25"/>
  <c r="O181" i="25"/>
  <c r="O157" i="25"/>
  <c r="O169" i="25"/>
  <c r="O158" i="25"/>
  <c r="O168" i="25"/>
  <c r="O182" i="25"/>
  <c r="O171" i="25"/>
  <c r="O170" i="25"/>
  <c r="X289" i="25"/>
  <c r="X265" i="25"/>
  <c r="X276" i="25"/>
  <c r="X277" i="25"/>
  <c r="X266" i="25"/>
  <c r="X291" i="25"/>
  <c r="X290" i="25"/>
  <c r="X279" i="25"/>
  <c r="X264" i="25"/>
  <c r="X278" i="25"/>
  <c r="X267" i="25"/>
  <c r="X288" i="25"/>
  <c r="K290" i="25"/>
  <c r="K266" i="25"/>
  <c r="K277" i="25"/>
  <c r="K278" i="25"/>
  <c r="K291" i="25"/>
  <c r="K276" i="25"/>
  <c r="K265" i="25"/>
  <c r="K279" i="25"/>
  <c r="K264" i="25"/>
  <c r="K289" i="25"/>
  <c r="K267" i="25"/>
  <c r="K288" i="25"/>
  <c r="J181" i="25"/>
  <c r="J157" i="25"/>
  <c r="J168" i="25"/>
  <c r="J182" i="25"/>
  <c r="J158" i="25"/>
  <c r="J156" i="25"/>
  <c r="J170" i="25"/>
  <c r="J159" i="25"/>
  <c r="J180" i="25"/>
  <c r="J169" i="25"/>
  <c r="J183" i="25"/>
  <c r="J171" i="25"/>
  <c r="AA168" i="25"/>
  <c r="AA171" i="25"/>
  <c r="AA169" i="25"/>
  <c r="AA180" i="25"/>
  <c r="AA158" i="25"/>
  <c r="AA183" i="25"/>
  <c r="AA182" i="25"/>
  <c r="AA157" i="25"/>
  <c r="AA156" i="25"/>
  <c r="AA170" i="25"/>
  <c r="AA181" i="25"/>
  <c r="AA159" i="25"/>
  <c r="N291" i="25"/>
  <c r="N267" i="25"/>
  <c r="N278" i="25"/>
  <c r="N279" i="25"/>
  <c r="N276" i="25"/>
  <c r="N265" i="25"/>
  <c r="N290" i="25"/>
  <c r="N289" i="25"/>
  <c r="N264" i="25"/>
  <c r="N288" i="25"/>
  <c r="N277" i="25"/>
  <c r="N266" i="25"/>
  <c r="X160" i="25"/>
  <c r="X184" i="25"/>
  <c r="X172" i="25"/>
  <c r="W175" i="25"/>
  <c r="W163" i="25"/>
  <c r="W187" i="25"/>
  <c r="AA187" i="25"/>
  <c r="AA163" i="25"/>
  <c r="AA175" i="25"/>
  <c r="Y186" i="25"/>
  <c r="Y162" i="25"/>
  <c r="Y174" i="25"/>
  <c r="J186" i="25"/>
  <c r="J174" i="25"/>
  <c r="J162" i="25"/>
  <c r="J173" i="25"/>
  <c r="J185" i="25"/>
  <c r="J161" i="25"/>
  <c r="X182" i="25"/>
  <c r="X170" i="25"/>
  <c r="S78" i="25"/>
  <c r="S66" i="25"/>
  <c r="S54" i="25"/>
  <c r="E54" i="25"/>
  <c r="E78" i="25"/>
  <c r="E66" i="25"/>
  <c r="Z66" i="25"/>
  <c r="Z54" i="25"/>
  <c r="Z78" i="25"/>
  <c r="P54" i="25"/>
  <c r="P78" i="25"/>
  <c r="P66" i="25"/>
  <c r="G65" i="25"/>
  <c r="G76" i="25"/>
  <c r="G52" i="25"/>
  <c r="G74" i="25"/>
  <c r="G64" i="25"/>
  <c r="G77" i="25"/>
  <c r="G51" i="25"/>
  <c r="G75" i="25"/>
  <c r="G62" i="25"/>
  <c r="G63" i="25"/>
  <c r="G53" i="25"/>
  <c r="G50" i="25"/>
  <c r="Y77" i="25"/>
  <c r="Y63" i="25"/>
  <c r="Y74" i="25"/>
  <c r="Y50" i="25"/>
  <c r="Y53" i="25"/>
  <c r="Y76" i="25"/>
  <c r="Y64" i="25"/>
  <c r="Y51" i="25"/>
  <c r="Y75" i="25"/>
  <c r="Y65" i="25"/>
  <c r="Y62" i="25"/>
  <c r="Y52" i="25"/>
  <c r="AA77" i="25"/>
  <c r="AA53" i="25"/>
  <c r="AA64" i="25"/>
  <c r="AA63" i="25"/>
  <c r="AA50" i="25"/>
  <c r="AA51" i="25"/>
  <c r="AA74" i="25"/>
  <c r="AA75" i="25"/>
  <c r="AA65" i="25"/>
  <c r="AA62" i="25"/>
  <c r="AA52" i="25"/>
  <c r="AA76" i="25"/>
  <c r="AC76" i="25"/>
  <c r="AC75" i="25"/>
  <c r="AC51" i="25"/>
  <c r="AC62" i="25"/>
  <c r="AC74" i="25"/>
  <c r="AC64" i="25"/>
  <c r="AC65" i="25"/>
  <c r="AC52" i="25"/>
  <c r="AC77" i="25"/>
  <c r="AC63" i="25"/>
  <c r="AC53" i="25"/>
  <c r="AC50" i="25"/>
  <c r="J79" i="25"/>
  <c r="J55" i="25"/>
  <c r="J67" i="25"/>
  <c r="E81" i="25"/>
  <c r="E57" i="25"/>
  <c r="E69" i="25"/>
  <c r="AC81" i="25"/>
  <c r="AC69" i="25"/>
  <c r="AC57" i="25"/>
  <c r="C69" i="25"/>
  <c r="C81" i="25"/>
  <c r="C57" i="25"/>
  <c r="L56" i="25"/>
  <c r="L80" i="25"/>
  <c r="L68" i="25"/>
  <c r="V80" i="25"/>
  <c r="V56" i="25"/>
  <c r="V68" i="25"/>
  <c r="E401" i="25"/>
  <c r="E377" i="25"/>
  <c r="E389" i="25"/>
  <c r="AC401" i="25"/>
  <c r="AC389" i="25"/>
  <c r="AC377" i="25"/>
  <c r="G380" i="25"/>
  <c r="G404" i="25"/>
  <c r="G392" i="25"/>
  <c r="S404" i="25"/>
  <c r="S392" i="25"/>
  <c r="S380" i="25"/>
  <c r="Y389" i="25"/>
  <c r="Y401" i="25"/>
  <c r="Y377" i="25"/>
  <c r="W377" i="25"/>
  <c r="W401" i="25"/>
  <c r="W389" i="25"/>
  <c r="Z400" i="25"/>
  <c r="Z387" i="25"/>
  <c r="Z399" i="25"/>
  <c r="Z375" i="25"/>
  <c r="Z386" i="25"/>
  <c r="Z374" i="25"/>
  <c r="Z398" i="25"/>
  <c r="Z373" i="25"/>
  <c r="Z397" i="25"/>
  <c r="Z385" i="25"/>
  <c r="Z388" i="25"/>
  <c r="Z376" i="25"/>
  <c r="V404" i="25"/>
  <c r="V380" i="25"/>
  <c r="V392" i="25"/>
  <c r="Y397" i="25"/>
  <c r="Y400" i="25"/>
  <c r="Y376" i="25"/>
  <c r="Y375" i="25"/>
  <c r="Y386" i="25"/>
  <c r="Y374" i="25"/>
  <c r="Y399" i="25"/>
  <c r="Y398" i="25"/>
  <c r="Y373" i="25"/>
  <c r="Y385" i="25"/>
  <c r="Y388" i="25"/>
  <c r="Y387" i="25"/>
  <c r="AB398" i="25"/>
  <c r="AB385" i="25"/>
  <c r="AB373" i="25"/>
  <c r="AB397" i="25"/>
  <c r="AB386" i="25"/>
  <c r="AB374" i="25"/>
  <c r="AB400" i="25"/>
  <c r="AB399" i="25"/>
  <c r="AB388" i="25"/>
  <c r="AB387" i="25"/>
  <c r="AB376" i="25"/>
  <c r="AB375" i="25"/>
  <c r="K390" i="25"/>
  <c r="K378" i="25"/>
  <c r="K402" i="25"/>
  <c r="AB390" i="25"/>
  <c r="AB402" i="25"/>
  <c r="AB378" i="25"/>
  <c r="R390" i="25"/>
  <c r="R378" i="25"/>
  <c r="R402" i="25"/>
  <c r="C403" i="25"/>
  <c r="C379" i="25"/>
  <c r="C391" i="25"/>
  <c r="J403" i="25"/>
  <c r="J379" i="25"/>
  <c r="J391" i="25"/>
  <c r="T391" i="25"/>
  <c r="T379" i="25"/>
  <c r="T403" i="25"/>
  <c r="X379" i="25"/>
  <c r="X403" i="25"/>
  <c r="X391" i="25"/>
  <c r="Q293" i="25"/>
  <c r="Q281" i="25"/>
  <c r="Q269" i="25"/>
  <c r="Z280" i="25"/>
  <c r="Z268" i="25"/>
  <c r="Z292" i="25"/>
  <c r="AC280" i="25"/>
  <c r="AC292" i="25"/>
  <c r="AC268" i="25"/>
  <c r="F293" i="25"/>
  <c r="F281" i="25"/>
  <c r="F269" i="25"/>
  <c r="G294" i="25"/>
  <c r="G270" i="25"/>
  <c r="G282" i="25"/>
  <c r="W294" i="25"/>
  <c r="W270" i="25"/>
  <c r="W282" i="25"/>
  <c r="U294" i="25"/>
  <c r="U270" i="25"/>
  <c r="U282" i="25"/>
  <c r="D187" i="25"/>
  <c r="D163" i="25"/>
  <c r="D175" i="25"/>
  <c r="R160" i="25"/>
  <c r="R172" i="25"/>
  <c r="R184" i="25"/>
  <c r="U259" i="25"/>
  <c r="P175" i="25"/>
  <c r="P187" i="25"/>
  <c r="P163" i="25"/>
  <c r="W180" i="25"/>
  <c r="W156" i="25"/>
  <c r="W183" i="25"/>
  <c r="W159" i="25"/>
  <c r="W181" i="25"/>
  <c r="W157" i="25"/>
  <c r="W170" i="25"/>
  <c r="W169" i="25"/>
  <c r="W158" i="25"/>
  <c r="W168" i="25"/>
  <c r="W171" i="25"/>
  <c r="W182" i="25"/>
  <c r="F291" i="25"/>
  <c r="F267" i="25"/>
  <c r="F278" i="25"/>
  <c r="F279" i="25"/>
  <c r="F289" i="25"/>
  <c r="F264" i="25"/>
  <c r="F288" i="25"/>
  <c r="F277" i="25"/>
  <c r="F266" i="25"/>
  <c r="F276" i="25"/>
  <c r="F290" i="25"/>
  <c r="F265" i="25"/>
  <c r="Q276" i="25"/>
  <c r="Q279" i="25"/>
  <c r="Q288" i="25"/>
  <c r="Q264" i="25"/>
  <c r="Q289" i="25"/>
  <c r="Q278" i="25"/>
  <c r="Q267" i="25"/>
  <c r="Q277" i="25"/>
  <c r="Q266" i="25"/>
  <c r="Q291" i="25"/>
  <c r="Q290" i="25"/>
  <c r="Q265" i="25"/>
  <c r="I186" i="25"/>
  <c r="I162" i="25"/>
  <c r="I174" i="25"/>
  <c r="R181" i="25"/>
  <c r="R157" i="25"/>
  <c r="R168" i="25"/>
  <c r="R182" i="25"/>
  <c r="R158" i="25"/>
  <c r="R183" i="25"/>
  <c r="R171" i="25"/>
  <c r="R156" i="25"/>
  <c r="R170" i="25"/>
  <c r="R159" i="25"/>
  <c r="R180" i="25"/>
  <c r="R169" i="25"/>
  <c r="O172" i="25"/>
  <c r="O184" i="25"/>
  <c r="O160" i="25"/>
  <c r="V295" i="25"/>
  <c r="V283" i="25"/>
  <c r="V271" i="25"/>
  <c r="Q271" i="25"/>
  <c r="Q283" i="25"/>
  <c r="Q295" i="25"/>
  <c r="L295" i="25"/>
  <c r="L283" i="25"/>
  <c r="L271" i="25"/>
  <c r="E187" i="25"/>
  <c r="E175" i="25"/>
  <c r="E163" i="25"/>
  <c r="T174" i="25"/>
  <c r="T186" i="25"/>
  <c r="T162" i="25"/>
  <c r="R186" i="25"/>
  <c r="R174" i="25"/>
  <c r="R162" i="25"/>
  <c r="V169" i="25"/>
  <c r="V180" i="25"/>
  <c r="V156" i="25"/>
  <c r="V170" i="25"/>
  <c r="V182" i="25"/>
  <c r="V171" i="25"/>
  <c r="V181" i="25"/>
  <c r="V159" i="25"/>
  <c r="V183" i="25"/>
  <c r="V158" i="25"/>
  <c r="V157" i="25"/>
  <c r="V168" i="25"/>
  <c r="AB185" i="25"/>
  <c r="AB173" i="25"/>
  <c r="AB161" i="25"/>
  <c r="V185" i="25"/>
  <c r="V161" i="25"/>
  <c r="V173" i="25"/>
  <c r="X171" i="25"/>
  <c r="X159" i="25"/>
  <c r="AC78" i="25"/>
  <c r="AC54" i="25"/>
  <c r="AC66" i="25"/>
  <c r="M54" i="25"/>
  <c r="M66" i="25"/>
  <c r="M78" i="25"/>
  <c r="H78" i="25"/>
  <c r="H54" i="25"/>
  <c r="H66" i="25"/>
  <c r="X78" i="25"/>
  <c r="X66" i="25"/>
  <c r="X54" i="25"/>
  <c r="O77" i="25"/>
  <c r="O65" i="25"/>
  <c r="O76" i="25"/>
  <c r="O52" i="25"/>
  <c r="O63" i="25"/>
  <c r="O53" i="25"/>
  <c r="O50" i="25"/>
  <c r="O74" i="25"/>
  <c r="O64" i="25"/>
  <c r="O51" i="25"/>
  <c r="O75" i="25"/>
  <c r="O62" i="25"/>
  <c r="B74" i="25"/>
  <c r="B50" i="25"/>
  <c r="B53" i="25"/>
  <c r="B62" i="25"/>
  <c r="B52" i="25"/>
  <c r="B76" i="25"/>
  <c r="B63" i="25"/>
  <c r="B64" i="25"/>
  <c r="B77" i="25"/>
  <c r="B51" i="25"/>
  <c r="B75" i="25"/>
  <c r="B65" i="25"/>
  <c r="D64" i="25"/>
  <c r="D77" i="25"/>
  <c r="D75" i="25"/>
  <c r="D51" i="25"/>
  <c r="D76" i="25"/>
  <c r="D63" i="25"/>
  <c r="D53" i="25"/>
  <c r="D50" i="25"/>
  <c r="D74" i="25"/>
  <c r="D65" i="25"/>
  <c r="D62" i="25"/>
  <c r="D52" i="25"/>
  <c r="F62" i="25"/>
  <c r="F65" i="25"/>
  <c r="F50" i="25"/>
  <c r="F74" i="25"/>
  <c r="F64" i="25"/>
  <c r="F77" i="25"/>
  <c r="F51" i="25"/>
  <c r="F52" i="25"/>
  <c r="F75" i="25"/>
  <c r="F76" i="25"/>
  <c r="F63" i="25"/>
  <c r="F53" i="25"/>
  <c r="X55" i="25"/>
  <c r="X79" i="25"/>
  <c r="X67" i="25"/>
  <c r="Q55" i="25"/>
  <c r="Q67" i="25"/>
  <c r="Q79" i="25"/>
  <c r="R79" i="25"/>
  <c r="R55" i="25"/>
  <c r="R67" i="25"/>
  <c r="N45" i="25"/>
  <c r="J69" i="25"/>
  <c r="J57" i="25"/>
  <c r="J81" i="25"/>
  <c r="M81" i="25"/>
  <c r="M69" i="25"/>
  <c r="M57" i="25"/>
  <c r="I81" i="25"/>
  <c r="I69" i="25"/>
  <c r="I57" i="25"/>
  <c r="Q389" i="25"/>
  <c r="Q401" i="25"/>
  <c r="Q377" i="25"/>
  <c r="O404" i="25"/>
  <c r="O380" i="25"/>
  <c r="O392" i="25"/>
  <c r="AA380" i="25"/>
  <c r="AA404" i="25"/>
  <c r="AA392" i="25"/>
  <c r="L401" i="25"/>
  <c r="L389" i="25"/>
  <c r="L377" i="25"/>
  <c r="B389" i="25"/>
  <c r="B401" i="25"/>
  <c r="B377" i="25"/>
  <c r="M401" i="25"/>
  <c r="M377" i="25"/>
  <c r="M389" i="25"/>
  <c r="U401" i="25"/>
  <c r="U377" i="25"/>
  <c r="U389" i="25"/>
  <c r="H386" i="25"/>
  <c r="H397" i="25"/>
  <c r="H387" i="25"/>
  <c r="H385" i="25"/>
  <c r="H375" i="25"/>
  <c r="H374" i="25"/>
  <c r="H373" i="25"/>
  <c r="H400" i="25"/>
  <c r="H398" i="25"/>
  <c r="H388" i="25"/>
  <c r="H399" i="25"/>
  <c r="H376" i="25"/>
  <c r="C387" i="25"/>
  <c r="C398" i="25"/>
  <c r="C400" i="25"/>
  <c r="C399" i="25"/>
  <c r="C386" i="25"/>
  <c r="C397" i="25"/>
  <c r="C388" i="25"/>
  <c r="C385" i="25"/>
  <c r="C376" i="25"/>
  <c r="C375" i="25"/>
  <c r="C374" i="25"/>
  <c r="C373" i="25"/>
  <c r="G399" i="25"/>
  <c r="G386" i="25"/>
  <c r="G400" i="25"/>
  <c r="G374" i="25"/>
  <c r="G388" i="25"/>
  <c r="G376" i="25"/>
  <c r="G385" i="25"/>
  <c r="G375" i="25"/>
  <c r="G387" i="25"/>
  <c r="G373" i="25"/>
  <c r="G398" i="25"/>
  <c r="G397" i="25"/>
  <c r="L404" i="25"/>
  <c r="L380" i="25"/>
  <c r="L392" i="25"/>
  <c r="S390" i="25"/>
  <c r="S378" i="25"/>
  <c r="S402" i="25"/>
  <c r="W402" i="25"/>
  <c r="W378" i="25"/>
  <c r="W390" i="25"/>
  <c r="D390" i="25"/>
  <c r="D378" i="25"/>
  <c r="D402" i="25"/>
  <c r="Z378" i="25"/>
  <c r="Z402" i="25"/>
  <c r="Z390" i="25"/>
  <c r="Q391" i="25"/>
  <c r="Q379" i="25"/>
  <c r="Q403" i="25"/>
  <c r="W391" i="25"/>
  <c r="W403" i="25"/>
  <c r="W379" i="25"/>
  <c r="AB403" i="25"/>
  <c r="AB391" i="25"/>
  <c r="AB379" i="25"/>
  <c r="K401" i="25"/>
  <c r="K377" i="25"/>
  <c r="K389" i="25"/>
  <c r="I293" i="25"/>
  <c r="I269" i="25"/>
  <c r="I281" i="25"/>
  <c r="AA403" i="25"/>
  <c r="AA379" i="25"/>
  <c r="AA391" i="25"/>
  <c r="C293" i="25"/>
  <c r="C269" i="25"/>
  <c r="C281" i="25"/>
  <c r="D280" i="25"/>
  <c r="D268" i="25"/>
  <c r="D292" i="25"/>
  <c r="F292" i="25"/>
  <c r="F280" i="25"/>
  <c r="F268" i="25"/>
  <c r="Q292" i="25"/>
  <c r="Q268" i="25"/>
  <c r="Q280" i="25"/>
  <c r="H294" i="25"/>
  <c r="H270" i="25"/>
  <c r="H282" i="25"/>
  <c r="D282" i="25"/>
  <c r="D294" i="25"/>
  <c r="D270" i="25"/>
  <c r="AC294" i="25"/>
  <c r="AC282" i="25"/>
  <c r="AC270" i="25"/>
  <c r="AC184" i="25"/>
  <c r="AC172" i="25"/>
  <c r="AC160" i="25"/>
  <c r="Z160" i="25"/>
  <c r="Z184" i="25"/>
  <c r="Z172" i="25"/>
  <c r="B187" i="25"/>
  <c r="B175" i="25"/>
  <c r="B163" i="25"/>
  <c r="AB277" i="25"/>
  <c r="AB288" i="25"/>
  <c r="AB264" i="25"/>
  <c r="AB289" i="25"/>
  <c r="AB265" i="25"/>
  <c r="AB290" i="25"/>
  <c r="AB278" i="25"/>
  <c r="AB267" i="25"/>
  <c r="AB291" i="25"/>
  <c r="AB266" i="25"/>
  <c r="AB279" i="25"/>
  <c r="AB276" i="25"/>
  <c r="Y276" i="25"/>
  <c r="Y279" i="25"/>
  <c r="Y288" i="25"/>
  <c r="Y264" i="25"/>
  <c r="Y291" i="25"/>
  <c r="Y290" i="25"/>
  <c r="Y265" i="25"/>
  <c r="Y289" i="25"/>
  <c r="Y278" i="25"/>
  <c r="Y266" i="25"/>
  <c r="Y267" i="25"/>
  <c r="Y277" i="25"/>
  <c r="AA290" i="25"/>
  <c r="AA266" i="25"/>
  <c r="AA277" i="25"/>
  <c r="AA278" i="25"/>
  <c r="AA276" i="25"/>
  <c r="AA265" i="25"/>
  <c r="AA279" i="25"/>
  <c r="AA264" i="25"/>
  <c r="AA289" i="25"/>
  <c r="AA267" i="25"/>
  <c r="AA288" i="25"/>
  <c r="AA291" i="25"/>
  <c r="Z187" i="25"/>
  <c r="Z175" i="25"/>
  <c r="Z163" i="25"/>
  <c r="J282" i="25"/>
  <c r="J294" i="25"/>
  <c r="J270" i="25"/>
  <c r="I170" i="25"/>
  <c r="I181" i="25"/>
  <c r="I157" i="25"/>
  <c r="I171" i="25"/>
  <c r="I156" i="25"/>
  <c r="I159" i="25"/>
  <c r="I180" i="25"/>
  <c r="I169" i="25"/>
  <c r="I158" i="25"/>
  <c r="I183" i="25"/>
  <c r="I168" i="25"/>
  <c r="I182" i="25"/>
  <c r="F172" i="25"/>
  <c r="F160" i="25"/>
  <c r="F184" i="25"/>
  <c r="T295" i="25"/>
  <c r="T271" i="25"/>
  <c r="T283" i="25"/>
  <c r="W184" i="25"/>
  <c r="W172" i="25"/>
  <c r="W160" i="25"/>
  <c r="M187" i="25"/>
  <c r="M175" i="25"/>
  <c r="M163" i="25"/>
  <c r="AB174" i="25"/>
  <c r="AB162" i="25"/>
  <c r="AB186" i="25"/>
  <c r="G174" i="25"/>
  <c r="G162" i="25"/>
  <c r="G186" i="25"/>
  <c r="Z186" i="25"/>
  <c r="Z174" i="25"/>
  <c r="Z162" i="25"/>
  <c r="N185" i="25"/>
  <c r="N161" i="25"/>
  <c r="N173" i="25"/>
  <c r="W185" i="25"/>
  <c r="W173" i="25"/>
  <c r="W161" i="25"/>
  <c r="D184" i="25"/>
  <c r="D172" i="25"/>
  <c r="D160" i="25"/>
  <c r="X158" i="25"/>
  <c r="C78" i="25"/>
  <c r="C66" i="25"/>
  <c r="C54" i="25"/>
  <c r="V54" i="25"/>
  <c r="V78" i="25"/>
  <c r="V66" i="25"/>
  <c r="Q78" i="25"/>
  <c r="Q66" i="25"/>
  <c r="Q54" i="25"/>
  <c r="W65" i="25"/>
  <c r="W76" i="25"/>
  <c r="W52" i="25"/>
  <c r="W77" i="25"/>
  <c r="W75" i="25"/>
  <c r="W62" i="25"/>
  <c r="W63" i="25"/>
  <c r="W53" i="25"/>
  <c r="W50" i="25"/>
  <c r="W74" i="25"/>
  <c r="W64" i="25"/>
  <c r="W51" i="25"/>
  <c r="J74" i="25"/>
  <c r="J50" i="25"/>
  <c r="J53" i="25"/>
  <c r="J77" i="25"/>
  <c r="J75" i="25"/>
  <c r="J65" i="25"/>
  <c r="J62" i="25"/>
  <c r="J52" i="25"/>
  <c r="J76" i="25"/>
  <c r="J63" i="25"/>
  <c r="J64" i="25"/>
  <c r="J51" i="25"/>
  <c r="L64" i="25"/>
  <c r="L75" i="25"/>
  <c r="L51" i="25"/>
  <c r="L62" i="25"/>
  <c r="L52" i="25"/>
  <c r="L76" i="25"/>
  <c r="L63" i="25"/>
  <c r="L53" i="25"/>
  <c r="L50" i="25"/>
  <c r="L74" i="25"/>
  <c r="L77" i="25"/>
  <c r="L65" i="25"/>
  <c r="N62" i="25"/>
  <c r="N77" i="25"/>
  <c r="N65" i="25"/>
  <c r="N76" i="25"/>
  <c r="N63" i="25"/>
  <c r="N53" i="25"/>
  <c r="N50" i="25"/>
  <c r="N74" i="25"/>
  <c r="N64" i="25"/>
  <c r="N51" i="25"/>
  <c r="N52" i="25"/>
  <c r="N75" i="25"/>
  <c r="E67" i="25"/>
  <c r="E79" i="25"/>
  <c r="E55" i="25"/>
  <c r="AC67" i="25"/>
  <c r="AC55" i="25"/>
  <c r="AC79" i="25"/>
  <c r="Z67" i="25"/>
  <c r="Z55" i="25"/>
  <c r="Z79" i="25"/>
  <c r="P46" i="25"/>
  <c r="T81" i="25"/>
  <c r="T69" i="25"/>
  <c r="T57" i="25"/>
  <c r="Q81" i="25"/>
  <c r="Q57" i="25"/>
  <c r="Q69" i="25"/>
  <c r="Z80" i="25"/>
  <c r="Z68" i="25"/>
  <c r="Z56" i="25"/>
  <c r="S56" i="25"/>
  <c r="S68" i="25"/>
  <c r="S80" i="25"/>
  <c r="E80" i="25"/>
  <c r="E68" i="25"/>
  <c r="E56" i="25"/>
  <c r="D401" i="25"/>
  <c r="D389" i="25"/>
  <c r="D377" i="25"/>
  <c r="W392" i="25"/>
  <c r="W404" i="25"/>
  <c r="W380" i="25"/>
  <c r="AA401" i="25"/>
  <c r="AA389" i="25"/>
  <c r="AA377" i="25"/>
  <c r="U385" i="25"/>
  <c r="U388" i="25"/>
  <c r="U376" i="25"/>
  <c r="U398" i="25"/>
  <c r="U373" i="25"/>
  <c r="U387" i="25"/>
  <c r="U386" i="25"/>
  <c r="U399" i="25"/>
  <c r="U375" i="25"/>
  <c r="U400" i="25"/>
  <c r="U397" i="25"/>
  <c r="U374" i="25"/>
  <c r="L390" i="25"/>
  <c r="L378" i="25"/>
  <c r="L402" i="25"/>
  <c r="P402" i="25"/>
  <c r="P378" i="25"/>
  <c r="P390" i="25"/>
  <c r="F391" i="25"/>
  <c r="F403" i="25"/>
  <c r="F379" i="25"/>
  <c r="E379" i="25"/>
  <c r="E391" i="25"/>
  <c r="E403" i="25"/>
  <c r="K269" i="25"/>
  <c r="K293" i="25"/>
  <c r="K281" i="25"/>
  <c r="L280" i="25"/>
  <c r="L268" i="25"/>
  <c r="L292" i="25"/>
  <c r="N280" i="25"/>
  <c r="N268" i="25"/>
  <c r="N292" i="25"/>
  <c r="T282" i="25"/>
  <c r="T270" i="25"/>
  <c r="T294" i="25"/>
  <c r="S294" i="25"/>
  <c r="S282" i="25"/>
  <c r="S270" i="25"/>
  <c r="T184" i="25"/>
  <c r="T172" i="25"/>
  <c r="T160" i="25"/>
  <c r="N169" i="25"/>
  <c r="N180" i="25"/>
  <c r="N156" i="25"/>
  <c r="N170" i="25"/>
  <c r="N183" i="25"/>
  <c r="N158" i="25"/>
  <c r="N168" i="25"/>
  <c r="N157" i="25"/>
  <c r="N182" i="25"/>
  <c r="N171" i="25"/>
  <c r="N159" i="25"/>
  <c r="N181" i="25"/>
  <c r="S184" i="25"/>
  <c r="S160" i="25"/>
  <c r="S172" i="25"/>
  <c r="B279" i="25"/>
  <c r="B290" i="25"/>
  <c r="B266" i="25"/>
  <c r="B291" i="25"/>
  <c r="B267" i="25"/>
  <c r="B276" i="25"/>
  <c r="B265" i="25"/>
  <c r="B264" i="25"/>
  <c r="B289" i="25"/>
  <c r="B278" i="25"/>
  <c r="B288" i="25"/>
  <c r="B277" i="25"/>
  <c r="E288" i="25"/>
  <c r="E264" i="25"/>
  <c r="E291" i="25"/>
  <c r="E267" i="25"/>
  <c r="E276" i="25"/>
  <c r="E289" i="25"/>
  <c r="E277" i="25"/>
  <c r="E266" i="25"/>
  <c r="E265" i="25"/>
  <c r="E290" i="25"/>
  <c r="E278" i="25"/>
  <c r="E279" i="25"/>
  <c r="O175" i="25"/>
  <c r="O187" i="25"/>
  <c r="O163" i="25"/>
  <c r="R282" i="25"/>
  <c r="R270" i="25"/>
  <c r="R294" i="25"/>
  <c r="Z181" i="25"/>
  <c r="Z157" i="25"/>
  <c r="Z168" i="25"/>
  <c r="Z182" i="25"/>
  <c r="Z158" i="25"/>
  <c r="Z170" i="25"/>
  <c r="Z159" i="25"/>
  <c r="Z180" i="25"/>
  <c r="Z169" i="25"/>
  <c r="Z183" i="25"/>
  <c r="Z171" i="25"/>
  <c r="Z156" i="25"/>
  <c r="I295" i="25"/>
  <c r="I271" i="25"/>
  <c r="I283" i="25"/>
  <c r="N184" i="25"/>
  <c r="N172" i="25"/>
  <c r="N160" i="25"/>
  <c r="K268" i="25"/>
  <c r="K280" i="25"/>
  <c r="K292" i="25"/>
  <c r="G292" i="25"/>
  <c r="G280" i="25"/>
  <c r="G268" i="25"/>
  <c r="V162" i="25"/>
  <c r="V186" i="25"/>
  <c r="V174" i="25"/>
  <c r="D186" i="25"/>
  <c r="D174" i="25"/>
  <c r="D162" i="25"/>
  <c r="U174" i="25"/>
  <c r="U186" i="25"/>
  <c r="U162" i="25"/>
  <c r="S46" i="25"/>
  <c r="AA78" i="25"/>
  <c r="AA54" i="25"/>
  <c r="AA66" i="25"/>
  <c r="V62" i="25"/>
  <c r="V65" i="25"/>
  <c r="V52" i="25"/>
  <c r="V77" i="25"/>
  <c r="V75" i="25"/>
  <c r="V76" i="25"/>
  <c r="V63" i="25"/>
  <c r="V53" i="25"/>
  <c r="V50" i="25"/>
  <c r="V74" i="25"/>
  <c r="V64" i="25"/>
  <c r="V51" i="25"/>
  <c r="Z46" i="25"/>
  <c r="O79" i="25"/>
  <c r="O67" i="25"/>
  <c r="O55" i="25"/>
  <c r="F81" i="25"/>
  <c r="F57" i="25"/>
  <c r="F69" i="25"/>
  <c r="Y57" i="25"/>
  <c r="Y81" i="25"/>
  <c r="Y69" i="25"/>
  <c r="M80" i="25"/>
  <c r="M56" i="25"/>
  <c r="M68" i="25"/>
  <c r="H404" i="25"/>
  <c r="H392" i="25"/>
  <c r="H380" i="25"/>
  <c r="F389" i="25"/>
  <c r="F377" i="25"/>
  <c r="F401" i="25"/>
  <c r="R401" i="25"/>
  <c r="R389" i="25"/>
  <c r="R377" i="25"/>
  <c r="C389" i="25"/>
  <c r="C377" i="25"/>
  <c r="C401" i="25"/>
  <c r="P386" i="25"/>
  <c r="P397" i="25"/>
  <c r="P399" i="25"/>
  <c r="P400" i="25"/>
  <c r="P376" i="25"/>
  <c r="P398" i="25"/>
  <c r="P375" i="25"/>
  <c r="P388" i="25"/>
  <c r="P385" i="25"/>
  <c r="P374" i="25"/>
  <c r="P387" i="25"/>
  <c r="P373" i="25"/>
  <c r="I397" i="25"/>
  <c r="I400" i="25"/>
  <c r="I398" i="25"/>
  <c r="I388" i="25"/>
  <c r="I387" i="25"/>
  <c r="I374" i="25"/>
  <c r="I373" i="25"/>
  <c r="I399" i="25"/>
  <c r="I386" i="25"/>
  <c r="I375" i="25"/>
  <c r="I385" i="25"/>
  <c r="I376" i="25"/>
  <c r="S387" i="25"/>
  <c r="S398" i="25"/>
  <c r="S400" i="25"/>
  <c r="S388" i="25"/>
  <c r="S397" i="25"/>
  <c r="S385" i="25"/>
  <c r="S374" i="25"/>
  <c r="S373" i="25"/>
  <c r="S376" i="25"/>
  <c r="S375" i="25"/>
  <c r="S399" i="25"/>
  <c r="S386" i="25"/>
  <c r="W399" i="25"/>
  <c r="W386" i="25"/>
  <c r="W398" i="25"/>
  <c r="W388" i="25"/>
  <c r="W374" i="25"/>
  <c r="W387" i="25"/>
  <c r="W376" i="25"/>
  <c r="W375" i="25"/>
  <c r="W400" i="25"/>
  <c r="W397" i="25"/>
  <c r="W385" i="25"/>
  <c r="W373" i="25"/>
  <c r="X402" i="25"/>
  <c r="X378" i="25"/>
  <c r="X390" i="25"/>
  <c r="I378" i="25"/>
  <c r="I402" i="25"/>
  <c r="I390" i="25"/>
  <c r="M402" i="25"/>
  <c r="M378" i="25"/>
  <c r="M390" i="25"/>
  <c r="R403" i="25"/>
  <c r="R379" i="25"/>
  <c r="R391" i="25"/>
  <c r="Y403" i="25"/>
  <c r="Y391" i="25"/>
  <c r="Y379" i="25"/>
  <c r="M403" i="25"/>
  <c r="M391" i="25"/>
  <c r="M379" i="25"/>
  <c r="W293" i="25"/>
  <c r="W281" i="25"/>
  <c r="W269" i="25"/>
  <c r="AC281" i="25"/>
  <c r="AC293" i="25"/>
  <c r="AC269" i="25"/>
  <c r="S269" i="25"/>
  <c r="S293" i="25"/>
  <c r="S281" i="25"/>
  <c r="T280" i="25"/>
  <c r="T292" i="25"/>
  <c r="T268" i="25"/>
  <c r="V292" i="25"/>
  <c r="V280" i="25"/>
  <c r="V268" i="25"/>
  <c r="V293" i="25"/>
  <c r="V281" i="25"/>
  <c r="V269" i="25"/>
  <c r="B282" i="25"/>
  <c r="B294" i="25"/>
  <c r="B270" i="25"/>
  <c r="X270" i="25"/>
  <c r="X294" i="25"/>
  <c r="X282" i="25"/>
  <c r="Q294" i="25"/>
  <c r="Q270" i="25"/>
  <c r="Q282" i="25"/>
  <c r="K184" i="25"/>
  <c r="K160" i="25"/>
  <c r="K172" i="25"/>
  <c r="I160" i="25"/>
  <c r="I184" i="25"/>
  <c r="I172" i="25"/>
  <c r="J279" i="25"/>
  <c r="J290" i="25"/>
  <c r="J266" i="25"/>
  <c r="J291" i="25"/>
  <c r="J267" i="25"/>
  <c r="J288" i="25"/>
  <c r="J277" i="25"/>
  <c r="J276" i="25"/>
  <c r="J265" i="25"/>
  <c r="J289" i="25"/>
  <c r="J278" i="25"/>
  <c r="J264" i="25"/>
  <c r="M288" i="25"/>
  <c r="M264" i="25"/>
  <c r="M291" i="25"/>
  <c r="M267" i="25"/>
  <c r="M276" i="25"/>
  <c r="M290" i="25"/>
  <c r="M279" i="25"/>
  <c r="M289" i="25"/>
  <c r="M278" i="25"/>
  <c r="M265" i="25"/>
  <c r="M266" i="25"/>
  <c r="M277" i="25"/>
  <c r="AA184" i="25"/>
  <c r="AA160" i="25"/>
  <c r="AA172" i="25"/>
  <c r="L187" i="25"/>
  <c r="L163" i="25"/>
  <c r="L175" i="25"/>
  <c r="U283" i="25"/>
  <c r="U295" i="25"/>
  <c r="U271" i="25"/>
  <c r="E184" i="25"/>
  <c r="E172" i="25"/>
  <c r="E160" i="25"/>
  <c r="E182" i="25"/>
  <c r="E158" i="25"/>
  <c r="E169" i="25"/>
  <c r="E183" i="25"/>
  <c r="E159" i="25"/>
  <c r="E168" i="25"/>
  <c r="E157" i="25"/>
  <c r="E171" i="25"/>
  <c r="E156" i="25"/>
  <c r="E181" i="25"/>
  <c r="E170" i="25"/>
  <c r="E180" i="25"/>
  <c r="O162" i="25"/>
  <c r="O186" i="25"/>
  <c r="O174" i="25"/>
  <c r="H162" i="25"/>
  <c r="H174" i="25"/>
  <c r="H186" i="25"/>
  <c r="L185" i="25"/>
  <c r="L173" i="25"/>
  <c r="L161" i="25"/>
  <c r="F185" i="25"/>
  <c r="F161" i="25"/>
  <c r="F173" i="25"/>
  <c r="T78" i="25"/>
  <c r="T66" i="25"/>
  <c r="T54" i="25"/>
  <c r="N54" i="25"/>
  <c r="N66" i="25"/>
  <c r="N78" i="25"/>
  <c r="P77" i="25"/>
  <c r="P76" i="25"/>
  <c r="P52" i="25"/>
  <c r="P63" i="25"/>
  <c r="P50" i="25"/>
  <c r="P74" i="25"/>
  <c r="P64" i="25"/>
  <c r="P51" i="25"/>
  <c r="P75" i="25"/>
  <c r="P65" i="25"/>
  <c r="P62" i="25"/>
  <c r="P53" i="25"/>
  <c r="Z74" i="25"/>
  <c r="Z50" i="25"/>
  <c r="Z77" i="25"/>
  <c r="Z53" i="25"/>
  <c r="Z76" i="25"/>
  <c r="Z63" i="25"/>
  <c r="Z64" i="25"/>
  <c r="Z51" i="25"/>
  <c r="Z75" i="25"/>
  <c r="Z65" i="25"/>
  <c r="Z62" i="25"/>
  <c r="Z52" i="25"/>
  <c r="AB64" i="25"/>
  <c r="AB75" i="25"/>
  <c r="AB51" i="25"/>
  <c r="AB50" i="25"/>
  <c r="AB74" i="25"/>
  <c r="AB65" i="25"/>
  <c r="AB62" i="25"/>
  <c r="AB52" i="25"/>
  <c r="AB76" i="25"/>
  <c r="AB77" i="25"/>
  <c r="AB63" i="25"/>
  <c r="AB53" i="25"/>
  <c r="V79" i="25"/>
  <c r="V67" i="25"/>
  <c r="V55" i="25"/>
  <c r="Y55" i="25"/>
  <c r="Y79" i="25"/>
  <c r="Y67" i="25"/>
  <c r="T79" i="25"/>
  <c r="T67" i="25"/>
  <c r="T55" i="25"/>
  <c r="K79" i="25"/>
  <c r="K55" i="25"/>
  <c r="K67" i="25"/>
  <c r="R69" i="25"/>
  <c r="R81" i="25"/>
  <c r="R57" i="25"/>
  <c r="U81" i="25"/>
  <c r="U69" i="25"/>
  <c r="U57" i="25"/>
  <c r="N57" i="25"/>
  <c r="N81" i="25"/>
  <c r="N69" i="25"/>
  <c r="T56" i="25"/>
  <c r="T68" i="25"/>
  <c r="T80" i="25"/>
  <c r="C295" i="24"/>
  <c r="AA187" i="24"/>
  <c r="AA175" i="24"/>
  <c r="G390" i="24"/>
  <c r="G402" i="24"/>
  <c r="G378" i="24"/>
  <c r="P404" i="24"/>
  <c r="P380" i="24"/>
  <c r="P392" i="24"/>
  <c r="Z404" i="24"/>
  <c r="Z380" i="24"/>
  <c r="Z392" i="24"/>
  <c r="L397" i="24"/>
  <c r="L400" i="24"/>
  <c r="L388" i="24"/>
  <c r="L376" i="24"/>
  <c r="L374" i="24"/>
  <c r="L386" i="24"/>
  <c r="L387" i="24"/>
  <c r="L399" i="24"/>
  <c r="L375" i="24"/>
  <c r="L373" i="24"/>
  <c r="L398" i="24"/>
  <c r="L385" i="24"/>
  <c r="B401" i="24"/>
  <c r="B377" i="24"/>
  <c r="B389" i="24"/>
  <c r="K389" i="24"/>
  <c r="K401" i="24"/>
  <c r="K377" i="24"/>
  <c r="N401" i="24"/>
  <c r="N389" i="24"/>
  <c r="N377" i="24"/>
  <c r="AC295" i="24"/>
  <c r="AC283" i="24"/>
  <c r="AC271" i="24"/>
  <c r="X294" i="24"/>
  <c r="X282" i="24"/>
  <c r="X270" i="24"/>
  <c r="J294" i="24"/>
  <c r="J282" i="24"/>
  <c r="J270" i="24"/>
  <c r="I282" i="24"/>
  <c r="I294" i="24"/>
  <c r="I270" i="24"/>
  <c r="S293" i="24"/>
  <c r="S269" i="24"/>
  <c r="S281" i="24"/>
  <c r="O283" i="24"/>
  <c r="O271" i="24"/>
  <c r="O295" i="24"/>
  <c r="D290" i="24"/>
  <c r="D291" i="24"/>
  <c r="D265" i="24"/>
  <c r="D289" i="24"/>
  <c r="D266" i="24"/>
  <c r="D279" i="24"/>
  <c r="D277" i="24"/>
  <c r="D264" i="24"/>
  <c r="D278" i="24"/>
  <c r="D267" i="24"/>
  <c r="D288" i="24"/>
  <c r="D276" i="24"/>
  <c r="Y173" i="24"/>
  <c r="Y185" i="24"/>
  <c r="Y161" i="24"/>
  <c r="K168" i="24"/>
  <c r="K180" i="24"/>
  <c r="K171" i="24"/>
  <c r="K156" i="24"/>
  <c r="K170" i="24"/>
  <c r="K183" i="24"/>
  <c r="K182" i="24"/>
  <c r="K159" i="24"/>
  <c r="K158" i="24"/>
  <c r="K157" i="24"/>
  <c r="K181" i="24"/>
  <c r="K169" i="24"/>
  <c r="D187" i="24"/>
  <c r="C184" i="24"/>
  <c r="C172" i="24"/>
  <c r="C160" i="24"/>
  <c r="Q57" i="24"/>
  <c r="Q81" i="24"/>
  <c r="Q69" i="24"/>
  <c r="M173" i="24"/>
  <c r="M161" i="24"/>
  <c r="M185" i="24"/>
  <c r="K68" i="24"/>
  <c r="K56" i="24"/>
  <c r="K80" i="24"/>
  <c r="J46" i="24"/>
  <c r="W81" i="24"/>
  <c r="W69" i="24"/>
  <c r="W57" i="24"/>
  <c r="W78" i="24"/>
  <c r="W66" i="24"/>
  <c r="W54" i="24"/>
  <c r="E160" i="24"/>
  <c r="E172" i="24"/>
  <c r="E184" i="24"/>
  <c r="H183" i="24"/>
  <c r="H170" i="24"/>
  <c r="H159" i="24"/>
  <c r="H168" i="24"/>
  <c r="H158" i="24"/>
  <c r="H180" i="24"/>
  <c r="H181" i="24"/>
  <c r="H171" i="24"/>
  <c r="H157" i="24"/>
  <c r="H156" i="24"/>
  <c r="H182" i="24"/>
  <c r="H169" i="24"/>
  <c r="D68" i="24"/>
  <c r="D56" i="24"/>
  <c r="D80" i="24"/>
  <c r="I391" i="24"/>
  <c r="I403" i="24"/>
  <c r="I379" i="24"/>
  <c r="M397" i="24"/>
  <c r="M400" i="24"/>
  <c r="M387" i="24"/>
  <c r="M399" i="24"/>
  <c r="M398" i="24"/>
  <c r="M375" i="24"/>
  <c r="M385" i="24"/>
  <c r="M376" i="24"/>
  <c r="M373" i="24"/>
  <c r="M374" i="24"/>
  <c r="M388" i="24"/>
  <c r="M386" i="24"/>
  <c r="K399" i="24"/>
  <c r="K386" i="24"/>
  <c r="K397" i="24"/>
  <c r="K385" i="24"/>
  <c r="K388" i="24"/>
  <c r="K373" i="24"/>
  <c r="K398" i="24"/>
  <c r="K387" i="24"/>
  <c r="K400" i="24"/>
  <c r="K376" i="24"/>
  <c r="K374" i="24"/>
  <c r="K375" i="24"/>
  <c r="R391" i="24"/>
  <c r="R379" i="24"/>
  <c r="R403" i="24"/>
  <c r="Y402" i="24"/>
  <c r="Y378" i="24"/>
  <c r="Y390" i="24"/>
  <c r="E389" i="24"/>
  <c r="E377" i="24"/>
  <c r="E401" i="24"/>
  <c r="M294" i="24"/>
  <c r="M282" i="24"/>
  <c r="M270" i="24"/>
  <c r="R294" i="24"/>
  <c r="R270" i="24"/>
  <c r="R282" i="24"/>
  <c r="S278" i="24"/>
  <c r="S279" i="24"/>
  <c r="S289" i="24"/>
  <c r="S288" i="24"/>
  <c r="S277" i="24"/>
  <c r="S265" i="24"/>
  <c r="S276" i="24"/>
  <c r="S291" i="24"/>
  <c r="S267" i="24"/>
  <c r="S264" i="24"/>
  <c r="S290" i="24"/>
  <c r="S266" i="24"/>
  <c r="AA293" i="24"/>
  <c r="AA269" i="24"/>
  <c r="AA281" i="24"/>
  <c r="D295" i="24"/>
  <c r="D271" i="24"/>
  <c r="D283" i="24"/>
  <c r="W292" i="24"/>
  <c r="W268" i="24"/>
  <c r="W280" i="24"/>
  <c r="R292" i="24"/>
  <c r="R280" i="24"/>
  <c r="R268" i="24"/>
  <c r="AB292" i="24"/>
  <c r="AB268" i="24"/>
  <c r="AB280" i="24"/>
  <c r="AA270" i="24"/>
  <c r="AA282" i="24"/>
  <c r="AA294" i="24"/>
  <c r="Y151" i="24"/>
  <c r="K184" i="24"/>
  <c r="K172" i="24"/>
  <c r="K160" i="24"/>
  <c r="B187" i="24"/>
  <c r="B163" i="24"/>
  <c r="B175" i="24"/>
  <c r="X175" i="24"/>
  <c r="X187" i="24"/>
  <c r="X163" i="24"/>
  <c r="U185" i="24"/>
  <c r="U161" i="24"/>
  <c r="U173" i="24"/>
  <c r="I81" i="24"/>
  <c r="I57" i="24"/>
  <c r="I69" i="24"/>
  <c r="X79" i="24"/>
  <c r="X55" i="24"/>
  <c r="X67" i="24"/>
  <c r="L79" i="24"/>
  <c r="L55" i="24"/>
  <c r="L67" i="24"/>
  <c r="T80" i="24"/>
  <c r="T68" i="24"/>
  <c r="T56" i="24"/>
  <c r="T69" i="24"/>
  <c r="T81" i="24"/>
  <c r="T57" i="24"/>
  <c r="Z391" i="24"/>
  <c r="Z403" i="24"/>
  <c r="Z379" i="24"/>
  <c r="AC397" i="24"/>
  <c r="AC400" i="24"/>
  <c r="AC387" i="24"/>
  <c r="AC399" i="24"/>
  <c r="AC398" i="24"/>
  <c r="AC375" i="24"/>
  <c r="AC388" i="24"/>
  <c r="AC376" i="24"/>
  <c r="AC385" i="24"/>
  <c r="AC374" i="24"/>
  <c r="AC386" i="24"/>
  <c r="AC373" i="24"/>
  <c r="B404" i="24"/>
  <c r="B380" i="24"/>
  <c r="B392" i="24"/>
  <c r="T403" i="24"/>
  <c r="T391" i="24"/>
  <c r="T379" i="24"/>
  <c r="V404" i="24"/>
  <c r="V380" i="24"/>
  <c r="V392" i="24"/>
  <c r="U389" i="24"/>
  <c r="U377" i="24"/>
  <c r="U401" i="24"/>
  <c r="H401" i="24"/>
  <c r="H389" i="24"/>
  <c r="H377" i="24"/>
  <c r="C270" i="24"/>
  <c r="C282" i="24"/>
  <c r="C294" i="24"/>
  <c r="W294" i="24"/>
  <c r="W282" i="24"/>
  <c r="W270" i="24"/>
  <c r="Z294" i="24"/>
  <c r="Z270" i="24"/>
  <c r="Z282" i="24"/>
  <c r="H277" i="24"/>
  <c r="H290" i="24"/>
  <c r="H278" i="24"/>
  <c r="H264" i="24"/>
  <c r="H288" i="24"/>
  <c r="H291" i="24"/>
  <c r="H267" i="24"/>
  <c r="H266" i="24"/>
  <c r="H265" i="24"/>
  <c r="H289" i="24"/>
  <c r="H279" i="24"/>
  <c r="H276" i="24"/>
  <c r="C271" i="24"/>
  <c r="L281" i="24"/>
  <c r="L293" i="24"/>
  <c r="L269" i="24"/>
  <c r="AA290" i="24"/>
  <c r="AA278" i="24"/>
  <c r="AA279" i="24"/>
  <c r="AA291" i="24"/>
  <c r="AA276" i="24"/>
  <c r="AA288" i="24"/>
  <c r="AA266" i="24"/>
  <c r="AA289" i="24"/>
  <c r="AA267" i="24"/>
  <c r="AA264" i="24"/>
  <c r="AA277" i="24"/>
  <c r="AA265" i="24"/>
  <c r="AC294" i="24"/>
  <c r="AC282" i="24"/>
  <c r="AC270" i="24"/>
  <c r="I173" i="24"/>
  <c r="I185" i="24"/>
  <c r="I161" i="24"/>
  <c r="AA168" i="24"/>
  <c r="AA180" i="24"/>
  <c r="AA156" i="24"/>
  <c r="AA170" i="24"/>
  <c r="AA183" i="24"/>
  <c r="AA182" i="24"/>
  <c r="AA169" i="24"/>
  <c r="AA181" i="24"/>
  <c r="AA157" i="24"/>
  <c r="AA171" i="24"/>
  <c r="AA159" i="24"/>
  <c r="AA158" i="24"/>
  <c r="Y186" i="24"/>
  <c r="Y174" i="24"/>
  <c r="Y162" i="24"/>
  <c r="L172" i="24"/>
  <c r="L184" i="24"/>
  <c r="L160" i="24"/>
  <c r="S184" i="24"/>
  <c r="S172" i="24"/>
  <c r="S160" i="24"/>
  <c r="L187" i="24"/>
  <c r="L163" i="24"/>
  <c r="L175" i="24"/>
  <c r="U76" i="24"/>
  <c r="U77" i="24"/>
  <c r="U63" i="24"/>
  <c r="U53" i="24"/>
  <c r="U51" i="24"/>
  <c r="U74" i="24"/>
  <c r="U75" i="24"/>
  <c r="U52" i="24"/>
  <c r="U62" i="24"/>
  <c r="U65" i="24"/>
  <c r="U50" i="24"/>
  <c r="U64" i="24"/>
  <c r="X184" i="24"/>
  <c r="X172" i="24"/>
  <c r="X160" i="24"/>
  <c r="N185" i="24"/>
  <c r="N173" i="24"/>
  <c r="N161" i="24"/>
  <c r="Z54" i="24"/>
  <c r="Z66" i="24"/>
  <c r="Z78" i="24"/>
  <c r="G180" i="24"/>
  <c r="G168" i="24"/>
  <c r="G182" i="24"/>
  <c r="G171" i="24"/>
  <c r="G156" i="24"/>
  <c r="G157" i="24"/>
  <c r="G170" i="24"/>
  <c r="G169" i="24"/>
  <c r="G159" i="24"/>
  <c r="G158" i="24"/>
  <c r="G183" i="24"/>
  <c r="G181" i="24"/>
  <c r="Q79" i="24"/>
  <c r="Q67" i="24"/>
  <c r="Q55" i="24"/>
  <c r="E46" i="24"/>
  <c r="H54" i="24"/>
  <c r="H78" i="24"/>
  <c r="H66" i="24"/>
  <c r="Q45" i="24"/>
  <c r="N56" i="24"/>
  <c r="N80" i="24"/>
  <c r="N68" i="24"/>
  <c r="P391" i="24"/>
  <c r="P403" i="24"/>
  <c r="P379" i="24"/>
  <c r="Q388" i="24"/>
  <c r="Q399" i="24"/>
  <c r="Q387" i="24"/>
  <c r="Q386" i="24"/>
  <c r="Q375" i="24"/>
  <c r="Q400" i="24"/>
  <c r="Q373" i="24"/>
  <c r="Q374" i="24"/>
  <c r="Q398" i="24"/>
  <c r="Q397" i="24"/>
  <c r="Q385" i="24"/>
  <c r="Q376" i="24"/>
  <c r="E368" i="24"/>
  <c r="O398" i="24"/>
  <c r="O385" i="24"/>
  <c r="O397" i="24"/>
  <c r="O387" i="24"/>
  <c r="O386" i="24"/>
  <c r="O375" i="24"/>
  <c r="O373" i="24"/>
  <c r="O376" i="24"/>
  <c r="O400" i="24"/>
  <c r="O399" i="24"/>
  <c r="O388" i="24"/>
  <c r="O374" i="24"/>
  <c r="U397" i="24"/>
  <c r="U400" i="24"/>
  <c r="U387" i="24"/>
  <c r="U399" i="24"/>
  <c r="U385" i="24"/>
  <c r="U388" i="24"/>
  <c r="U398" i="24"/>
  <c r="U375" i="24"/>
  <c r="U386" i="24"/>
  <c r="U376" i="24"/>
  <c r="U373" i="24"/>
  <c r="U374" i="24"/>
  <c r="S379" i="24"/>
  <c r="S391" i="24"/>
  <c r="S403" i="24"/>
  <c r="U378" i="24"/>
  <c r="U390" i="24"/>
  <c r="U402" i="24"/>
  <c r="S402" i="24"/>
  <c r="S378" i="24"/>
  <c r="S390" i="24"/>
  <c r="G401" i="24"/>
  <c r="G389" i="24"/>
  <c r="G377" i="24"/>
  <c r="D389" i="24"/>
  <c r="D401" i="24"/>
  <c r="D377" i="24"/>
  <c r="Z293" i="24"/>
  <c r="Z269" i="24"/>
  <c r="Z281" i="24"/>
  <c r="Y260" i="24"/>
  <c r="L282" i="24"/>
  <c r="L270" i="24"/>
  <c r="L294" i="24"/>
  <c r="P288" i="24"/>
  <c r="P277" i="24"/>
  <c r="P278" i="24"/>
  <c r="P279" i="24"/>
  <c r="P264" i="24"/>
  <c r="P276" i="24"/>
  <c r="P290" i="24"/>
  <c r="P267" i="24"/>
  <c r="P291" i="24"/>
  <c r="P289" i="24"/>
  <c r="P266" i="24"/>
  <c r="P265" i="24"/>
  <c r="S270" i="24"/>
  <c r="S294" i="24"/>
  <c r="S282" i="24"/>
  <c r="N292" i="24"/>
  <c r="N280" i="24"/>
  <c r="N268" i="24"/>
  <c r="H292" i="24"/>
  <c r="H280" i="24"/>
  <c r="H268" i="24"/>
  <c r="Q186" i="24"/>
  <c r="Q174" i="24"/>
  <c r="Q162" i="24"/>
  <c r="K152" i="24"/>
  <c r="D171" i="24"/>
  <c r="D183" i="24"/>
  <c r="D170" i="24"/>
  <c r="D159" i="24"/>
  <c r="D181" i="24"/>
  <c r="D156" i="24"/>
  <c r="D182" i="24"/>
  <c r="D169" i="24"/>
  <c r="D180" i="24"/>
  <c r="D158" i="24"/>
  <c r="D157" i="24"/>
  <c r="D168" i="24"/>
  <c r="V172" i="24"/>
  <c r="V184" i="24"/>
  <c r="V160" i="24"/>
  <c r="AA184" i="24"/>
  <c r="AA172" i="24"/>
  <c r="AA160" i="24"/>
  <c r="E163" i="24"/>
  <c r="E187" i="24"/>
  <c r="E175" i="24"/>
  <c r="V187" i="24"/>
  <c r="V175" i="24"/>
  <c r="V163" i="24"/>
  <c r="I184" i="24"/>
  <c r="I160" i="24"/>
  <c r="I172" i="24"/>
  <c r="Y76" i="24"/>
  <c r="Y75" i="24"/>
  <c r="Y51" i="24"/>
  <c r="Y65" i="24"/>
  <c r="Y63" i="24"/>
  <c r="Y52" i="24"/>
  <c r="Y62" i="24"/>
  <c r="Y50" i="24"/>
  <c r="Y53" i="24"/>
  <c r="Y77" i="24"/>
  <c r="Y64" i="24"/>
  <c r="Y74" i="24"/>
  <c r="E78" i="24"/>
  <c r="E66" i="24"/>
  <c r="E54" i="24"/>
  <c r="M184" i="24"/>
  <c r="M160" i="24"/>
  <c r="M172" i="24"/>
  <c r="H45" i="24"/>
  <c r="P79" i="24"/>
  <c r="P67" i="24"/>
  <c r="P55" i="24"/>
  <c r="P54" i="24"/>
  <c r="P78" i="24"/>
  <c r="P66" i="24"/>
  <c r="W401" i="24"/>
  <c r="W389" i="24"/>
  <c r="W377" i="24"/>
  <c r="L389" i="24"/>
  <c r="L377" i="24"/>
  <c r="L401" i="24"/>
  <c r="Y289" i="24"/>
  <c r="Y290" i="24"/>
  <c r="Y288" i="24"/>
  <c r="Y264" i="24"/>
  <c r="Y279" i="24"/>
  <c r="Y267" i="24"/>
  <c r="Y278" i="24"/>
  <c r="Y291" i="24"/>
  <c r="Y276" i="24"/>
  <c r="Y277" i="24"/>
  <c r="Y266" i="24"/>
  <c r="Y265" i="24"/>
  <c r="F294" i="24"/>
  <c r="F270" i="24"/>
  <c r="F282" i="24"/>
  <c r="F288" i="24"/>
  <c r="F279" i="24"/>
  <c r="F291" i="24"/>
  <c r="F265" i="24"/>
  <c r="F290" i="24"/>
  <c r="F276" i="24"/>
  <c r="F278" i="24"/>
  <c r="F267" i="24"/>
  <c r="F266" i="24"/>
  <c r="F264" i="24"/>
  <c r="F277" i="24"/>
  <c r="F289" i="24"/>
  <c r="H294" i="24"/>
  <c r="H270" i="24"/>
  <c r="H282" i="24"/>
  <c r="I186" i="24"/>
  <c r="I174" i="24"/>
  <c r="I162" i="24"/>
  <c r="H161" i="24"/>
  <c r="H173" i="24"/>
  <c r="H185" i="24"/>
  <c r="B184" i="24"/>
  <c r="B172" i="24"/>
  <c r="B160" i="24"/>
  <c r="G187" i="24"/>
  <c r="G175" i="24"/>
  <c r="G163" i="24"/>
  <c r="K186" i="24"/>
  <c r="K162" i="24"/>
  <c r="K174" i="24"/>
  <c r="U184" i="24"/>
  <c r="U160" i="24"/>
  <c r="U172" i="24"/>
  <c r="Y46" i="24"/>
  <c r="Y152" i="24"/>
  <c r="Y259" i="24"/>
  <c r="Y368" i="24"/>
  <c r="Y369" i="24"/>
  <c r="W63" i="24"/>
  <c r="W74" i="24"/>
  <c r="W62" i="24"/>
  <c r="W50" i="24"/>
  <c r="W75" i="24"/>
  <c r="W51" i="24"/>
  <c r="Q172" i="24"/>
  <c r="Q184" i="24"/>
  <c r="Q160" i="24"/>
  <c r="AC182" i="24"/>
  <c r="AC158" i="24"/>
  <c r="AC180" i="24"/>
  <c r="AC171" i="24"/>
  <c r="AC170" i="24"/>
  <c r="AC159" i="24"/>
  <c r="AC168" i="24"/>
  <c r="AC183" i="24"/>
  <c r="AC181" i="24"/>
  <c r="AC169" i="24"/>
  <c r="AC156" i="24"/>
  <c r="AC157" i="24"/>
  <c r="X56" i="24"/>
  <c r="X80" i="24"/>
  <c r="X68" i="24"/>
  <c r="E79" i="24"/>
  <c r="E55" i="24"/>
  <c r="E67" i="24"/>
  <c r="X78" i="24"/>
  <c r="X54" i="24"/>
  <c r="X66" i="24"/>
  <c r="Q402" i="24"/>
  <c r="Q390" i="24"/>
  <c r="Q391" i="24"/>
  <c r="Q403" i="24"/>
  <c r="Q379" i="24"/>
  <c r="E403" i="24"/>
  <c r="E379" i="24"/>
  <c r="E391" i="24"/>
  <c r="AA399" i="24"/>
  <c r="AA386" i="24"/>
  <c r="AA397" i="24"/>
  <c r="AA385" i="24"/>
  <c r="AA387" i="24"/>
  <c r="AA373" i="24"/>
  <c r="AA398" i="24"/>
  <c r="AA400" i="24"/>
  <c r="AA375" i="24"/>
  <c r="AA376" i="24"/>
  <c r="AA388" i="24"/>
  <c r="AA374" i="24"/>
  <c r="J401" i="24"/>
  <c r="J389" i="24"/>
  <c r="J377" i="24"/>
  <c r="T389" i="24"/>
  <c r="T401" i="24"/>
  <c r="T377" i="24"/>
  <c r="R401" i="24"/>
  <c r="R377" i="24"/>
  <c r="R389" i="24"/>
  <c r="I295" i="24"/>
  <c r="I271" i="24"/>
  <c r="I283" i="24"/>
  <c r="N294" i="24"/>
  <c r="N282" i="24"/>
  <c r="N270" i="24"/>
  <c r="AA295" i="24"/>
  <c r="AA283" i="24"/>
  <c r="AA271" i="24"/>
  <c r="W293" i="24"/>
  <c r="W269" i="24"/>
  <c r="W281" i="24"/>
  <c r="R173" i="24"/>
  <c r="R185" i="24"/>
  <c r="R161" i="24"/>
  <c r="K270" i="24"/>
  <c r="K294" i="24"/>
  <c r="K282" i="24"/>
  <c r="T171" i="24"/>
  <c r="T183" i="24"/>
  <c r="T181" i="24"/>
  <c r="T159" i="24"/>
  <c r="T168" i="24"/>
  <c r="T158" i="24"/>
  <c r="T169" i="24"/>
  <c r="T182" i="24"/>
  <c r="T170" i="24"/>
  <c r="T180" i="24"/>
  <c r="T157" i="24"/>
  <c r="T156" i="24"/>
  <c r="AC152" i="24"/>
  <c r="J184" i="24"/>
  <c r="J160" i="24"/>
  <c r="J172" i="24"/>
  <c r="N187" i="24"/>
  <c r="N163" i="24"/>
  <c r="N175" i="24"/>
  <c r="O175" i="24"/>
  <c r="O163" i="24"/>
  <c r="O187" i="24"/>
  <c r="U174" i="24"/>
  <c r="U186" i="24"/>
  <c r="U162" i="24"/>
  <c r="U259" i="24"/>
  <c r="U260" i="24"/>
  <c r="U45" i="24"/>
  <c r="U46" i="24"/>
  <c r="U152" i="24"/>
  <c r="Y187" i="24"/>
  <c r="Y175" i="24"/>
  <c r="Y163" i="24"/>
  <c r="G172" i="24"/>
  <c r="G184" i="24"/>
  <c r="G160" i="24"/>
  <c r="Q260" i="24"/>
  <c r="Q369" i="24"/>
  <c r="Q152" i="24"/>
  <c r="Q259" i="24"/>
  <c r="I76" i="24"/>
  <c r="I51" i="24"/>
  <c r="I74" i="24"/>
  <c r="I65" i="24"/>
  <c r="I75" i="24"/>
  <c r="I63" i="24"/>
  <c r="I64" i="24"/>
  <c r="I52" i="24"/>
  <c r="I62" i="24"/>
  <c r="I77" i="24"/>
  <c r="I50" i="24"/>
  <c r="I53" i="24"/>
  <c r="AC67" i="24"/>
  <c r="AC79" i="24"/>
  <c r="P183" i="24"/>
  <c r="P168" i="24"/>
  <c r="P171" i="24"/>
  <c r="P159" i="24"/>
  <c r="P169" i="24"/>
  <c r="P157" i="24"/>
  <c r="P181" i="24"/>
  <c r="P182" i="24"/>
  <c r="P170" i="24"/>
  <c r="P180" i="24"/>
  <c r="P158" i="24"/>
  <c r="P156" i="24"/>
  <c r="J152" i="24"/>
  <c r="J45" i="24"/>
  <c r="J259" i="24"/>
  <c r="J260" i="24"/>
  <c r="J369" i="24"/>
  <c r="D66" i="24"/>
  <c r="D54" i="24"/>
  <c r="D78" i="24"/>
  <c r="H369" i="24"/>
  <c r="H151" i="24"/>
  <c r="H259" i="24"/>
  <c r="H260" i="24"/>
  <c r="H46" i="24"/>
  <c r="X401" i="24"/>
  <c r="X377" i="24"/>
  <c r="X389" i="24"/>
  <c r="P269" i="24"/>
  <c r="P281" i="24"/>
  <c r="P293" i="24"/>
  <c r="O293" i="24"/>
  <c r="O281" i="24"/>
  <c r="O269" i="24"/>
  <c r="Q404" i="24"/>
  <c r="Q380" i="24"/>
  <c r="Q392" i="24"/>
  <c r="V403" i="24"/>
  <c r="V379" i="24"/>
  <c r="V391" i="24"/>
  <c r="J402" i="24"/>
  <c r="J390" i="24"/>
  <c r="J378" i="24"/>
  <c r="W390" i="24"/>
  <c r="W402" i="24"/>
  <c r="W378" i="24"/>
  <c r="Z389" i="24"/>
  <c r="Z401" i="24"/>
  <c r="Z377" i="24"/>
  <c r="T290" i="24"/>
  <c r="T291" i="24"/>
  <c r="T265" i="24"/>
  <c r="T289" i="24"/>
  <c r="T288" i="24"/>
  <c r="T277" i="24"/>
  <c r="T267" i="24"/>
  <c r="T266" i="24"/>
  <c r="T264" i="24"/>
  <c r="T278" i="24"/>
  <c r="T276" i="24"/>
  <c r="T279" i="24"/>
  <c r="P295" i="24"/>
  <c r="P283" i="24"/>
  <c r="P271" i="24"/>
  <c r="C293" i="24"/>
  <c r="C269" i="24"/>
  <c r="C281" i="24"/>
  <c r="Z290" i="24"/>
  <c r="Z267" i="24"/>
  <c r="Z289" i="24"/>
  <c r="Z276" i="24"/>
  <c r="Z279" i="24"/>
  <c r="Z264" i="24"/>
  <c r="Z277" i="24"/>
  <c r="Z278" i="24"/>
  <c r="Z266" i="24"/>
  <c r="Z265" i="24"/>
  <c r="Z288" i="24"/>
  <c r="Z291" i="24"/>
  <c r="J173" i="24"/>
  <c r="J185" i="24"/>
  <c r="J161" i="24"/>
  <c r="P174" i="24"/>
  <c r="P162" i="24"/>
  <c r="P186" i="24"/>
  <c r="M182" i="24"/>
  <c r="M170" i="24"/>
  <c r="M158" i="24"/>
  <c r="M183" i="24"/>
  <c r="M181" i="24"/>
  <c r="M159" i="24"/>
  <c r="M180" i="24"/>
  <c r="M169" i="24"/>
  <c r="M156" i="24"/>
  <c r="M171" i="24"/>
  <c r="M168" i="24"/>
  <c r="M157" i="24"/>
  <c r="AB171" i="24"/>
  <c r="AB183" i="24"/>
  <c r="AB180" i="24"/>
  <c r="AB159" i="24"/>
  <c r="AB182" i="24"/>
  <c r="AB169" i="24"/>
  <c r="AB181" i="24"/>
  <c r="AB157" i="24"/>
  <c r="AB158" i="24"/>
  <c r="AB156" i="24"/>
  <c r="AB168" i="24"/>
  <c r="AB170" i="24"/>
  <c r="O172" i="24"/>
  <c r="O184" i="24"/>
  <c r="O160" i="24"/>
  <c r="R184" i="24"/>
  <c r="R172" i="24"/>
  <c r="R160" i="24"/>
  <c r="W163" i="24"/>
  <c r="W187" i="24"/>
  <c r="W175" i="24"/>
  <c r="W52" i="24"/>
  <c r="U55" i="24"/>
  <c r="U79" i="24"/>
  <c r="U67" i="24"/>
  <c r="H184" i="24"/>
  <c r="H160" i="24"/>
  <c r="H172" i="24"/>
  <c r="F169" i="24"/>
  <c r="F181" i="24"/>
  <c r="F180" i="24"/>
  <c r="F157" i="24"/>
  <c r="F171" i="24"/>
  <c r="F168" i="24"/>
  <c r="F182" i="24"/>
  <c r="F170" i="24"/>
  <c r="F159" i="24"/>
  <c r="F158" i="24"/>
  <c r="F183" i="24"/>
  <c r="F156" i="24"/>
  <c r="K151" i="24"/>
  <c r="K259" i="24"/>
  <c r="K369" i="24"/>
  <c r="K260" i="24"/>
  <c r="K368" i="24"/>
  <c r="L66" i="24"/>
  <c r="L54" i="24"/>
  <c r="L78" i="24"/>
  <c r="AB403" i="24"/>
  <c r="AB379" i="24"/>
  <c r="AB391" i="24"/>
  <c r="F390" i="24"/>
  <c r="F402" i="24"/>
  <c r="F378" i="24"/>
  <c r="I404" i="24"/>
  <c r="I380" i="24"/>
  <c r="I392" i="24"/>
  <c r="AC392" i="24"/>
  <c r="AC404" i="24"/>
  <c r="AC380" i="24"/>
  <c r="M392" i="24"/>
  <c r="M404" i="24"/>
  <c r="M380" i="24"/>
  <c r="B391" i="24"/>
  <c r="B379" i="24"/>
  <c r="B403" i="24"/>
  <c r="T397" i="24"/>
  <c r="T400" i="24"/>
  <c r="T388" i="24"/>
  <c r="T376" i="24"/>
  <c r="T374" i="24"/>
  <c r="T387" i="24"/>
  <c r="T399" i="24"/>
  <c r="T398" i="24"/>
  <c r="T386" i="24"/>
  <c r="T385" i="24"/>
  <c r="T373" i="24"/>
  <c r="T375" i="24"/>
  <c r="T402" i="24"/>
  <c r="T378" i="24"/>
  <c r="T390" i="24"/>
  <c r="C389" i="24"/>
  <c r="C401" i="24"/>
  <c r="C377" i="24"/>
  <c r="F401" i="24"/>
  <c r="F377" i="24"/>
  <c r="F389" i="24"/>
  <c r="J295" i="24"/>
  <c r="J283" i="24"/>
  <c r="J271" i="24"/>
  <c r="J290" i="24"/>
  <c r="J291" i="24"/>
  <c r="J267" i="24"/>
  <c r="J276" i="24"/>
  <c r="J277" i="24"/>
  <c r="J279" i="24"/>
  <c r="J265" i="24"/>
  <c r="J289" i="24"/>
  <c r="J278" i="24"/>
  <c r="J266" i="24"/>
  <c r="J264" i="24"/>
  <c r="J288" i="24"/>
  <c r="B294" i="24"/>
  <c r="B282" i="24"/>
  <c r="B270" i="24"/>
  <c r="F271" i="24"/>
  <c r="F283" i="24"/>
  <c r="F295" i="24"/>
  <c r="K293" i="24"/>
  <c r="K281" i="24"/>
  <c r="K269" i="24"/>
  <c r="Z295" i="24"/>
  <c r="Z271" i="24"/>
  <c r="Z283" i="24"/>
  <c r="O291" i="24"/>
  <c r="O289" i="24"/>
  <c r="O266" i="24"/>
  <c r="O265" i="24"/>
  <c r="O279" i="24"/>
  <c r="O264" i="24"/>
  <c r="O288" i="24"/>
  <c r="O277" i="24"/>
  <c r="O276" i="24"/>
  <c r="O290" i="24"/>
  <c r="O267" i="24"/>
  <c r="O278" i="24"/>
  <c r="B292" i="24"/>
  <c r="B280" i="24"/>
  <c r="B268" i="24"/>
  <c r="AA268" i="24"/>
  <c r="AA292" i="24"/>
  <c r="AA280" i="24"/>
  <c r="L280" i="24"/>
  <c r="L292" i="24"/>
  <c r="L268" i="24"/>
  <c r="H162" i="24"/>
  <c r="H174" i="24"/>
  <c r="H186" i="24"/>
  <c r="D282" i="24"/>
  <c r="D294" i="24"/>
  <c r="D270" i="24"/>
  <c r="C168" i="24"/>
  <c r="C180" i="24"/>
  <c r="C156" i="24"/>
  <c r="C169" i="24"/>
  <c r="C181" i="24"/>
  <c r="C182" i="24"/>
  <c r="C170" i="24"/>
  <c r="C171" i="24"/>
  <c r="C183" i="24"/>
  <c r="C159" i="24"/>
  <c r="C158" i="24"/>
  <c r="C157" i="24"/>
  <c r="O292" i="24"/>
  <c r="O268" i="24"/>
  <c r="O280" i="24"/>
  <c r="F172" i="24"/>
  <c r="F160" i="24"/>
  <c r="F184" i="24"/>
  <c r="Z184" i="24"/>
  <c r="Z160" i="24"/>
  <c r="Z172" i="24"/>
  <c r="R163" i="24"/>
  <c r="R187" i="24"/>
  <c r="R175" i="24"/>
  <c r="E152" i="24"/>
  <c r="E45" i="24"/>
  <c r="E151" i="24"/>
  <c r="E369" i="24"/>
  <c r="AC69" i="24"/>
  <c r="AC57" i="24"/>
  <c r="AC81" i="24"/>
  <c r="Y45" i="24"/>
  <c r="U182" i="24"/>
  <c r="U171" i="24"/>
  <c r="U183" i="24"/>
  <c r="U168" i="24"/>
  <c r="U158" i="24"/>
  <c r="U170" i="24"/>
  <c r="U181" i="24"/>
  <c r="U169" i="24"/>
  <c r="U180" i="24"/>
  <c r="U159" i="24"/>
  <c r="U157" i="24"/>
  <c r="U156" i="24"/>
  <c r="AC259" i="24"/>
  <c r="AC368" i="24"/>
  <c r="AC260" i="24"/>
  <c r="AC369" i="24"/>
  <c r="AC46" i="24"/>
  <c r="AC78" i="24"/>
  <c r="AC54" i="24"/>
  <c r="AC66" i="24"/>
  <c r="D392" i="24"/>
  <c r="D404" i="24"/>
  <c r="D380" i="24"/>
  <c r="H404" i="24"/>
  <c r="H380" i="24"/>
  <c r="H392" i="24"/>
  <c r="F400" i="24"/>
  <c r="F387" i="24"/>
  <c r="F398" i="24"/>
  <c r="F386" i="24"/>
  <c r="F374" i="24"/>
  <c r="F397" i="24"/>
  <c r="F375" i="24"/>
  <c r="F373" i="24"/>
  <c r="F385" i="24"/>
  <c r="F399" i="24"/>
  <c r="F376" i="24"/>
  <c r="F388" i="24"/>
  <c r="I402" i="24"/>
  <c r="I378" i="24"/>
  <c r="I390" i="24"/>
  <c r="O390" i="24"/>
  <c r="O378" i="24"/>
  <c r="O402" i="24"/>
  <c r="G398" i="24"/>
  <c r="G385" i="24"/>
  <c r="G397" i="24"/>
  <c r="G388" i="24"/>
  <c r="G375" i="24"/>
  <c r="G373" i="24"/>
  <c r="G386" i="24"/>
  <c r="G374" i="24"/>
  <c r="G387" i="24"/>
  <c r="G400" i="24"/>
  <c r="G376" i="24"/>
  <c r="G399" i="24"/>
  <c r="G403" i="24"/>
  <c r="G391" i="24"/>
  <c r="G379" i="24"/>
  <c r="H379" i="24"/>
  <c r="H391" i="24"/>
  <c r="H403" i="24"/>
  <c r="W392" i="24"/>
  <c r="W380" i="24"/>
  <c r="W404" i="24"/>
  <c r="T292" i="24"/>
  <c r="T280" i="24"/>
  <c r="T268" i="24"/>
  <c r="C283" i="24"/>
  <c r="B293" i="24"/>
  <c r="B281" i="24"/>
  <c r="B269" i="24"/>
  <c r="F293" i="24"/>
  <c r="F281" i="24"/>
  <c r="F269" i="24"/>
  <c r="V271" i="24"/>
  <c r="V283" i="24"/>
  <c r="V295" i="24"/>
  <c r="G283" i="24"/>
  <c r="G295" i="24"/>
  <c r="G271" i="24"/>
  <c r="C186" i="24"/>
  <c r="C162" i="24"/>
  <c r="C174" i="24"/>
  <c r="U294" i="24"/>
  <c r="U270" i="24"/>
  <c r="U282" i="24"/>
  <c r="X183" i="24"/>
  <c r="X169" i="24"/>
  <c r="X159" i="24"/>
  <c r="X156" i="24"/>
  <c r="X182" i="24"/>
  <c r="X180" i="24"/>
  <c r="X170" i="24"/>
  <c r="X158" i="24"/>
  <c r="X157" i="24"/>
  <c r="X171" i="24"/>
  <c r="X181" i="24"/>
  <c r="X168" i="24"/>
  <c r="S161" i="24"/>
  <c r="S185" i="24"/>
  <c r="S173" i="24"/>
  <c r="W161" i="24"/>
  <c r="W173" i="24"/>
  <c r="W185" i="24"/>
  <c r="P185" i="24"/>
  <c r="P173" i="24"/>
  <c r="P161" i="24"/>
  <c r="K278" i="24"/>
  <c r="K279" i="24"/>
  <c r="K291" i="24"/>
  <c r="K267" i="24"/>
  <c r="K289" i="24"/>
  <c r="K290" i="24"/>
  <c r="K288" i="24"/>
  <c r="K266" i="24"/>
  <c r="K265" i="24"/>
  <c r="K264" i="24"/>
  <c r="K276" i="24"/>
  <c r="K277" i="24"/>
  <c r="J175" i="24"/>
  <c r="J163" i="24"/>
  <c r="J187" i="24"/>
  <c r="V75" i="24"/>
  <c r="V74" i="24"/>
  <c r="V50" i="24"/>
  <c r="V64" i="24"/>
  <c r="V62" i="24"/>
  <c r="V77" i="24"/>
  <c r="V53" i="24"/>
  <c r="V63" i="24"/>
  <c r="V52" i="24"/>
  <c r="V51" i="24"/>
  <c r="V76" i="24"/>
  <c r="V65" i="24"/>
  <c r="W172" i="24"/>
  <c r="W184" i="24"/>
  <c r="W160" i="24"/>
  <c r="V66" i="24"/>
  <c r="V54" i="24"/>
  <c r="V78" i="24"/>
  <c r="AA80" i="24"/>
  <c r="AA56" i="24"/>
  <c r="AA68" i="24"/>
  <c r="AB77" i="24"/>
  <c r="AB76" i="24"/>
  <c r="AB52" i="24"/>
  <c r="AB50" i="24"/>
  <c r="AB74" i="24"/>
  <c r="AB64" i="24"/>
  <c r="AB62" i="24"/>
  <c r="AB51" i="24"/>
  <c r="AB65" i="24"/>
  <c r="AB53" i="24"/>
  <c r="AB63" i="24"/>
  <c r="AB75" i="24"/>
  <c r="O68" i="24"/>
  <c r="O80" i="24"/>
  <c r="O56" i="24"/>
  <c r="F75" i="24"/>
  <c r="F50" i="24"/>
  <c r="F64" i="24"/>
  <c r="F74" i="24"/>
  <c r="F62" i="24"/>
  <c r="F53" i="24"/>
  <c r="F63" i="24"/>
  <c r="F52" i="24"/>
  <c r="F76" i="24"/>
  <c r="F51" i="24"/>
  <c r="F77" i="24"/>
  <c r="F65" i="24"/>
  <c r="S55" i="24"/>
  <c r="S67" i="24"/>
  <c r="S79" i="24"/>
  <c r="R54" i="24"/>
  <c r="R78" i="24"/>
  <c r="R66" i="24"/>
  <c r="F80" i="24"/>
  <c r="F56" i="24"/>
  <c r="F68" i="24"/>
  <c r="I170" i="24"/>
  <c r="I182" i="24"/>
  <c r="I181" i="24"/>
  <c r="I158" i="24"/>
  <c r="I169" i="24"/>
  <c r="I159" i="24"/>
  <c r="I183" i="24"/>
  <c r="I171" i="24"/>
  <c r="I168" i="24"/>
  <c r="I180" i="24"/>
  <c r="I156" i="24"/>
  <c r="I157" i="24"/>
  <c r="C57" i="24"/>
  <c r="C69" i="24"/>
  <c r="C81" i="24"/>
  <c r="N75" i="24"/>
  <c r="N50" i="24"/>
  <c r="N64" i="24"/>
  <c r="N62" i="24"/>
  <c r="N76" i="24"/>
  <c r="N51" i="24"/>
  <c r="N65" i="24"/>
  <c r="N77" i="24"/>
  <c r="N74" i="24"/>
  <c r="N53" i="24"/>
  <c r="N63" i="24"/>
  <c r="N52" i="24"/>
  <c r="W65" i="24"/>
  <c r="L392" i="24"/>
  <c r="L404" i="24"/>
  <c r="L380" i="24"/>
  <c r="K391" i="24"/>
  <c r="K379" i="24"/>
  <c r="K403" i="24"/>
  <c r="J399" i="24"/>
  <c r="J386" i="24"/>
  <c r="J398" i="24"/>
  <c r="J397" i="24"/>
  <c r="J376" i="24"/>
  <c r="J374" i="24"/>
  <c r="J388" i="24"/>
  <c r="J385" i="24"/>
  <c r="J400" i="24"/>
  <c r="J387" i="24"/>
  <c r="J375" i="24"/>
  <c r="J373" i="24"/>
  <c r="H398" i="24"/>
  <c r="H385" i="24"/>
  <c r="H388" i="24"/>
  <c r="H400" i="24"/>
  <c r="H397" i="24"/>
  <c r="H399" i="24"/>
  <c r="H387" i="24"/>
  <c r="H376" i="24"/>
  <c r="H375" i="24"/>
  <c r="H374" i="24"/>
  <c r="H373" i="24"/>
  <c r="H386" i="24"/>
  <c r="AA391" i="24"/>
  <c r="AA379" i="24"/>
  <c r="AA403" i="24"/>
  <c r="M377" i="24"/>
  <c r="M389" i="24"/>
  <c r="M401" i="24"/>
  <c r="Y295" i="24"/>
  <c r="Y271" i="24"/>
  <c r="Y283" i="24"/>
  <c r="J292" i="24"/>
  <c r="J268" i="24"/>
  <c r="J280" i="24"/>
  <c r="E268" i="24"/>
  <c r="E292" i="24"/>
  <c r="E280" i="24"/>
  <c r="N293" i="24"/>
  <c r="N281" i="24"/>
  <c r="N269" i="24"/>
  <c r="T293" i="24"/>
  <c r="T281" i="24"/>
  <c r="T269" i="24"/>
  <c r="Q280" i="24"/>
  <c r="Q292" i="24"/>
  <c r="Q268" i="24"/>
  <c r="AB283" i="24"/>
  <c r="AB271" i="24"/>
  <c r="AB295" i="24"/>
  <c r="K295" i="24"/>
  <c r="K283" i="24"/>
  <c r="K271" i="24"/>
  <c r="T282" i="24"/>
  <c r="T294" i="24"/>
  <c r="T270" i="24"/>
  <c r="B174" i="24"/>
  <c r="B186" i="24"/>
  <c r="B162" i="24"/>
  <c r="B181" i="24"/>
  <c r="B182" i="24"/>
  <c r="B171" i="24"/>
  <c r="B168" i="24"/>
  <c r="B157" i="24"/>
  <c r="B159" i="24"/>
  <c r="B169" i="24"/>
  <c r="B156" i="24"/>
  <c r="B183" i="24"/>
  <c r="B158" i="24"/>
  <c r="B180" i="24"/>
  <c r="B170" i="24"/>
  <c r="F185" i="24"/>
  <c r="F173" i="24"/>
  <c r="F161" i="24"/>
  <c r="X185" i="24"/>
  <c r="X161" i="24"/>
  <c r="X173" i="24"/>
  <c r="W291" i="24"/>
  <c r="W289" i="24"/>
  <c r="W266" i="24"/>
  <c r="W278" i="24"/>
  <c r="W290" i="24"/>
  <c r="W265" i="24"/>
  <c r="W276" i="24"/>
  <c r="W267" i="24"/>
  <c r="W288" i="24"/>
  <c r="W277" i="24"/>
  <c r="W264" i="24"/>
  <c r="W279" i="24"/>
  <c r="C187" i="24"/>
  <c r="C163" i="24"/>
  <c r="C175" i="24"/>
  <c r="I68" i="24"/>
  <c r="I80" i="24"/>
  <c r="I56" i="24"/>
  <c r="K74" i="24"/>
  <c r="K65" i="24"/>
  <c r="K63" i="24"/>
  <c r="K53" i="24"/>
  <c r="K75" i="24"/>
  <c r="K52" i="24"/>
  <c r="K76" i="24"/>
  <c r="K62" i="24"/>
  <c r="K51" i="24"/>
  <c r="K77" i="24"/>
  <c r="K50" i="24"/>
  <c r="K64" i="24"/>
  <c r="V81" i="24"/>
  <c r="V69" i="24"/>
  <c r="V57" i="24"/>
  <c r="H81" i="24"/>
  <c r="H69" i="24"/>
  <c r="H57" i="24"/>
  <c r="K78" i="24"/>
  <c r="K66" i="24"/>
  <c r="K54" i="24"/>
  <c r="P56" i="24"/>
  <c r="P80" i="24"/>
  <c r="P68" i="24"/>
  <c r="R75" i="24"/>
  <c r="R76" i="24"/>
  <c r="R62" i="24"/>
  <c r="R77" i="24"/>
  <c r="R52" i="24"/>
  <c r="R50" i="24"/>
  <c r="R74" i="24"/>
  <c r="R64" i="24"/>
  <c r="R53" i="24"/>
  <c r="R63" i="24"/>
  <c r="R51" i="24"/>
  <c r="R65" i="24"/>
  <c r="V174" i="24"/>
  <c r="AA79" i="24"/>
  <c r="AA55" i="24"/>
  <c r="AA67" i="24"/>
  <c r="Z75" i="24"/>
  <c r="Z62" i="24"/>
  <c r="Z76" i="24"/>
  <c r="Z52" i="24"/>
  <c r="Z77" i="24"/>
  <c r="Z50" i="24"/>
  <c r="Z51" i="24"/>
  <c r="Z65" i="24"/>
  <c r="Z64" i="24"/>
  <c r="Z53" i="24"/>
  <c r="Z74" i="24"/>
  <c r="Z63" i="24"/>
  <c r="Y170" i="24"/>
  <c r="Y182" i="24"/>
  <c r="Y168" i="24"/>
  <c r="Y158" i="24"/>
  <c r="Y181" i="24"/>
  <c r="Y171" i="24"/>
  <c r="Y156" i="24"/>
  <c r="Y183" i="24"/>
  <c r="Y169" i="24"/>
  <c r="Y180" i="24"/>
  <c r="Y157" i="24"/>
  <c r="Y159" i="24"/>
  <c r="W68" i="24"/>
  <c r="W56" i="24"/>
  <c r="W80" i="24"/>
  <c r="C74" i="24"/>
  <c r="C65" i="24"/>
  <c r="C63" i="24"/>
  <c r="C53" i="24"/>
  <c r="C51" i="24"/>
  <c r="C50" i="24"/>
  <c r="C64" i="24"/>
  <c r="C75" i="24"/>
  <c r="C76" i="24"/>
  <c r="C52" i="24"/>
  <c r="C77" i="24"/>
  <c r="C62" i="24"/>
  <c r="L77" i="24"/>
  <c r="L74" i="24"/>
  <c r="L52" i="24"/>
  <c r="L75" i="24"/>
  <c r="L50" i="24"/>
  <c r="L76" i="24"/>
  <c r="L64" i="24"/>
  <c r="L62" i="24"/>
  <c r="L51" i="24"/>
  <c r="L65" i="24"/>
  <c r="L53" i="24"/>
  <c r="L63" i="24"/>
  <c r="T79" i="24"/>
  <c r="W76" i="24"/>
  <c r="R404" i="24"/>
  <c r="R380" i="24"/>
  <c r="R392" i="24"/>
  <c r="N380" i="24"/>
  <c r="N404" i="24"/>
  <c r="N392" i="24"/>
  <c r="T392" i="24"/>
  <c r="T404" i="24"/>
  <c r="T380" i="24"/>
  <c r="X404" i="24"/>
  <c r="X380" i="24"/>
  <c r="X392" i="24"/>
  <c r="M390" i="24"/>
  <c r="M378" i="24"/>
  <c r="M402" i="24"/>
  <c r="B402" i="24"/>
  <c r="B390" i="24"/>
  <c r="B378" i="24"/>
  <c r="W403" i="24"/>
  <c r="W391" i="24"/>
  <c r="W379" i="24"/>
  <c r="M403" i="24"/>
  <c r="M379" i="24"/>
  <c r="M391" i="24"/>
  <c r="V400" i="24"/>
  <c r="V387" i="24"/>
  <c r="V398" i="24"/>
  <c r="V386" i="24"/>
  <c r="V374" i="24"/>
  <c r="V397" i="24"/>
  <c r="V388" i="24"/>
  <c r="V376" i="24"/>
  <c r="V373" i="24"/>
  <c r="V385" i="24"/>
  <c r="V375" i="24"/>
  <c r="V399" i="24"/>
  <c r="P398" i="24"/>
  <c r="P385" i="24"/>
  <c r="P388" i="24"/>
  <c r="P400" i="24"/>
  <c r="P399" i="24"/>
  <c r="P376" i="24"/>
  <c r="P375" i="24"/>
  <c r="P386" i="24"/>
  <c r="P374" i="24"/>
  <c r="P387" i="24"/>
  <c r="P373" i="24"/>
  <c r="P397" i="24"/>
  <c r="AB397" i="24"/>
  <c r="AB400" i="24"/>
  <c r="AB388" i="24"/>
  <c r="AB376" i="24"/>
  <c r="AB386" i="24"/>
  <c r="AB374" i="24"/>
  <c r="AB385" i="24"/>
  <c r="AB398" i="24"/>
  <c r="AB373" i="24"/>
  <c r="AB375" i="24"/>
  <c r="AB387" i="24"/>
  <c r="AB399" i="24"/>
  <c r="E397" i="24"/>
  <c r="E400" i="24"/>
  <c r="E387" i="24"/>
  <c r="E399" i="24"/>
  <c r="E386" i="24"/>
  <c r="E385" i="24"/>
  <c r="E398" i="24"/>
  <c r="E388" i="24"/>
  <c r="E375" i="24"/>
  <c r="E374" i="24"/>
  <c r="E376" i="24"/>
  <c r="E373" i="24"/>
  <c r="AC377" i="24"/>
  <c r="AC401" i="24"/>
  <c r="AC389" i="24"/>
  <c r="Y401" i="24"/>
  <c r="Y377" i="24"/>
  <c r="Y389" i="24"/>
  <c r="AB389" i="24"/>
  <c r="AB377" i="24"/>
  <c r="AB401" i="24"/>
  <c r="U295" i="24"/>
  <c r="U271" i="24"/>
  <c r="U283" i="24"/>
  <c r="C392" i="24"/>
  <c r="C404" i="24"/>
  <c r="C380" i="24"/>
  <c r="Q295" i="24"/>
  <c r="Q283" i="24"/>
  <c r="Q271" i="24"/>
  <c r="Z292" i="24"/>
  <c r="Z268" i="24"/>
  <c r="Z280" i="24"/>
  <c r="F292" i="24"/>
  <c r="F280" i="24"/>
  <c r="F268" i="24"/>
  <c r="S292" i="24"/>
  <c r="S280" i="24"/>
  <c r="S268" i="24"/>
  <c r="AB281" i="24"/>
  <c r="AB293" i="24"/>
  <c r="AB269" i="24"/>
  <c r="H269" i="24"/>
  <c r="H293" i="24"/>
  <c r="H281" i="24"/>
  <c r="G293" i="24"/>
  <c r="G269" i="24"/>
  <c r="G281" i="24"/>
  <c r="R283" i="24"/>
  <c r="R271" i="24"/>
  <c r="R295" i="24"/>
  <c r="X295" i="24"/>
  <c r="X283" i="24"/>
  <c r="X271" i="24"/>
  <c r="W283" i="24"/>
  <c r="W271" i="24"/>
  <c r="W295" i="24"/>
  <c r="S174" i="24"/>
  <c r="S162" i="24"/>
  <c r="S186" i="24"/>
  <c r="P294" i="24"/>
  <c r="P270" i="24"/>
  <c r="P282" i="24"/>
  <c r="V294" i="24"/>
  <c r="V270" i="24"/>
  <c r="V282" i="24"/>
  <c r="AB282" i="24"/>
  <c r="AB294" i="24"/>
  <c r="AB270" i="24"/>
  <c r="S168" i="24"/>
  <c r="S180" i="24"/>
  <c r="S156" i="24"/>
  <c r="S169" i="24"/>
  <c r="S158" i="24"/>
  <c r="S183" i="24"/>
  <c r="S182" i="24"/>
  <c r="S170" i="24"/>
  <c r="S159" i="24"/>
  <c r="S171" i="24"/>
  <c r="S157" i="24"/>
  <c r="S181" i="24"/>
  <c r="J181" i="24"/>
  <c r="J183" i="24"/>
  <c r="J169" i="24"/>
  <c r="J157" i="24"/>
  <c r="J158" i="24"/>
  <c r="J170" i="24"/>
  <c r="J182" i="24"/>
  <c r="J180" i="24"/>
  <c r="J159" i="24"/>
  <c r="J171" i="24"/>
  <c r="J156" i="24"/>
  <c r="J168" i="24"/>
  <c r="Q161" i="24"/>
  <c r="Q173" i="24"/>
  <c r="Q185" i="24"/>
  <c r="D173" i="24"/>
  <c r="D161" i="24"/>
  <c r="D185" i="24"/>
  <c r="U69" i="24"/>
  <c r="U81" i="24"/>
  <c r="U57" i="24"/>
  <c r="B290" i="24"/>
  <c r="B267" i="24"/>
  <c r="B289" i="24"/>
  <c r="B276" i="24"/>
  <c r="B278" i="24"/>
  <c r="B288" i="24"/>
  <c r="B291" i="24"/>
  <c r="B277" i="24"/>
  <c r="B266" i="24"/>
  <c r="B265" i="24"/>
  <c r="B279" i="24"/>
  <c r="B264" i="24"/>
  <c r="AB290" i="24"/>
  <c r="AB291" i="24"/>
  <c r="AB265" i="24"/>
  <c r="AB276" i="24"/>
  <c r="AB289" i="24"/>
  <c r="AB278" i="24"/>
  <c r="AB277" i="24"/>
  <c r="AB267" i="24"/>
  <c r="AB288" i="24"/>
  <c r="AB264" i="24"/>
  <c r="AB279" i="24"/>
  <c r="AB266" i="24"/>
  <c r="P175" i="24"/>
  <c r="P187" i="24"/>
  <c r="P163" i="24"/>
  <c r="K187" i="24"/>
  <c r="I187" i="24"/>
  <c r="I163" i="24"/>
  <c r="I175" i="24"/>
  <c r="AB187" i="24"/>
  <c r="AB163" i="24"/>
  <c r="AB175" i="24"/>
  <c r="M175" i="24"/>
  <c r="M163" i="24"/>
  <c r="M187" i="24"/>
  <c r="Z175" i="24"/>
  <c r="Z163" i="24"/>
  <c r="Z187" i="24"/>
  <c r="AC76" i="24"/>
  <c r="AC63" i="24"/>
  <c r="AC77" i="24"/>
  <c r="AC53" i="24"/>
  <c r="AC51" i="24"/>
  <c r="AC65" i="24"/>
  <c r="AC50" i="24"/>
  <c r="AC64" i="24"/>
  <c r="AC74" i="24"/>
  <c r="AC52" i="24"/>
  <c r="AC75" i="24"/>
  <c r="AC62" i="24"/>
  <c r="AB79" i="24"/>
  <c r="AB67" i="24"/>
  <c r="AB55" i="24"/>
  <c r="J69" i="24"/>
  <c r="J81" i="24"/>
  <c r="J57" i="24"/>
  <c r="M78" i="24"/>
  <c r="M66" i="24"/>
  <c r="M54" i="24"/>
  <c r="P172" i="24"/>
  <c r="P160" i="24"/>
  <c r="P184" i="24"/>
  <c r="AB172" i="24"/>
  <c r="AB184" i="24"/>
  <c r="AB160" i="24"/>
  <c r="N172" i="24"/>
  <c r="N160" i="24"/>
  <c r="N184" i="24"/>
  <c r="AC184" i="24"/>
  <c r="AC172" i="24"/>
  <c r="AC160" i="24"/>
  <c r="AB68" i="24"/>
  <c r="AB56" i="24"/>
  <c r="AB80" i="24"/>
  <c r="S74" i="24"/>
  <c r="S65" i="24"/>
  <c r="S63" i="24"/>
  <c r="S53" i="24"/>
  <c r="S77" i="24"/>
  <c r="S64" i="24"/>
  <c r="S75" i="24"/>
  <c r="S52" i="24"/>
  <c r="S62" i="24"/>
  <c r="S51" i="24"/>
  <c r="S76" i="24"/>
  <c r="S50" i="24"/>
  <c r="E80" i="24"/>
  <c r="E68" i="24"/>
  <c r="E56" i="24"/>
  <c r="G74" i="24"/>
  <c r="G76" i="24"/>
  <c r="G53" i="24"/>
  <c r="G77" i="24"/>
  <c r="G51" i="24"/>
  <c r="G65" i="24"/>
  <c r="G64" i="24"/>
  <c r="G75" i="24"/>
  <c r="G63" i="24"/>
  <c r="G52" i="24"/>
  <c r="G62" i="24"/>
  <c r="G50" i="24"/>
  <c r="V79" i="24"/>
  <c r="V67" i="24"/>
  <c r="V55" i="24"/>
  <c r="G67" i="24"/>
  <c r="G79" i="24"/>
  <c r="G55" i="24"/>
  <c r="O69" i="24"/>
  <c r="O57" i="24"/>
  <c r="O81" i="24"/>
  <c r="O74" i="24"/>
  <c r="O75" i="24"/>
  <c r="O53" i="24"/>
  <c r="O76" i="24"/>
  <c r="O51" i="24"/>
  <c r="O77" i="24"/>
  <c r="O65" i="24"/>
  <c r="O50" i="24"/>
  <c r="O64" i="24"/>
  <c r="O52" i="24"/>
  <c r="O63" i="24"/>
  <c r="O62" i="24"/>
  <c r="V56" i="24"/>
  <c r="V68" i="24"/>
  <c r="V80" i="24"/>
  <c r="O180" i="24"/>
  <c r="O183" i="24"/>
  <c r="O169" i="24"/>
  <c r="O181" i="24"/>
  <c r="O156" i="24"/>
  <c r="O171" i="24"/>
  <c r="O159" i="24"/>
  <c r="O158" i="24"/>
  <c r="O168" i="24"/>
  <c r="O182" i="24"/>
  <c r="O170" i="24"/>
  <c r="O157" i="24"/>
  <c r="L56" i="24"/>
  <c r="L80" i="24"/>
  <c r="L68" i="24"/>
  <c r="L69" i="24"/>
  <c r="L81" i="24"/>
  <c r="L57" i="24"/>
  <c r="W64" i="24"/>
  <c r="F404" i="24"/>
  <c r="F392" i="24"/>
  <c r="F380" i="24"/>
  <c r="AB392" i="24"/>
  <c r="AB404" i="24"/>
  <c r="AB380" i="24"/>
  <c r="C402" i="24"/>
  <c r="C390" i="24"/>
  <c r="C378" i="24"/>
  <c r="AA402" i="24"/>
  <c r="AA378" i="24"/>
  <c r="AA390" i="24"/>
  <c r="C403" i="24"/>
  <c r="C379" i="24"/>
  <c r="C391" i="24"/>
  <c r="U403" i="24"/>
  <c r="U379" i="24"/>
  <c r="U391" i="24"/>
  <c r="B399" i="24"/>
  <c r="B386" i="24"/>
  <c r="B398" i="24"/>
  <c r="B387" i="24"/>
  <c r="B376" i="24"/>
  <c r="B397" i="24"/>
  <c r="B385" i="24"/>
  <c r="B374" i="24"/>
  <c r="B388" i="24"/>
  <c r="B375" i="24"/>
  <c r="B373" i="24"/>
  <c r="B400" i="24"/>
  <c r="X398" i="24"/>
  <c r="X385" i="24"/>
  <c r="X388" i="24"/>
  <c r="X400" i="24"/>
  <c r="X397" i="24"/>
  <c r="X387" i="24"/>
  <c r="X399" i="24"/>
  <c r="X386" i="24"/>
  <c r="X376" i="24"/>
  <c r="X373" i="24"/>
  <c r="X375" i="24"/>
  <c r="X374" i="24"/>
  <c r="M295" i="24"/>
  <c r="M271" i="24"/>
  <c r="M283" i="24"/>
  <c r="O404" i="24"/>
  <c r="O392" i="24"/>
  <c r="O380" i="24"/>
  <c r="M268" i="24"/>
  <c r="M280" i="24"/>
  <c r="M292" i="24"/>
  <c r="G292" i="24"/>
  <c r="G280" i="24"/>
  <c r="G268" i="24"/>
  <c r="D293" i="24"/>
  <c r="D281" i="24"/>
  <c r="D269" i="24"/>
  <c r="U293" i="24"/>
  <c r="U281" i="24"/>
  <c r="U269" i="24"/>
  <c r="L295" i="24"/>
  <c r="L283" i="24"/>
  <c r="L271" i="24"/>
  <c r="AA174" i="24"/>
  <c r="AA162" i="24"/>
  <c r="AA186" i="24"/>
  <c r="E182" i="24"/>
  <c r="E183" i="24"/>
  <c r="E169" i="24"/>
  <c r="E158" i="24"/>
  <c r="E171" i="24"/>
  <c r="E157" i="24"/>
  <c r="E168" i="24"/>
  <c r="E180" i="24"/>
  <c r="E170" i="24"/>
  <c r="E159" i="24"/>
  <c r="E181" i="24"/>
  <c r="E156" i="24"/>
  <c r="R181" i="24"/>
  <c r="R182" i="24"/>
  <c r="R170" i="24"/>
  <c r="R157" i="24"/>
  <c r="R171" i="24"/>
  <c r="R168" i="24"/>
  <c r="R169" i="24"/>
  <c r="R180" i="24"/>
  <c r="R159" i="24"/>
  <c r="R158" i="24"/>
  <c r="R156" i="24"/>
  <c r="R183" i="24"/>
  <c r="N186" i="24"/>
  <c r="N174" i="24"/>
  <c r="N162" i="24"/>
  <c r="AA185" i="24"/>
  <c r="AA161" i="24"/>
  <c r="AA173" i="24"/>
  <c r="L185" i="24"/>
  <c r="L173" i="24"/>
  <c r="L161" i="24"/>
  <c r="M81" i="24"/>
  <c r="M69" i="24"/>
  <c r="M57" i="24"/>
  <c r="L290" i="24"/>
  <c r="L291" i="24"/>
  <c r="L265" i="24"/>
  <c r="L289" i="24"/>
  <c r="L288" i="24"/>
  <c r="L267" i="24"/>
  <c r="L278" i="24"/>
  <c r="L266" i="24"/>
  <c r="L276" i="24"/>
  <c r="L264" i="24"/>
  <c r="L279" i="24"/>
  <c r="L277" i="24"/>
  <c r="AC174" i="24"/>
  <c r="AC186" i="24"/>
  <c r="AC162" i="24"/>
  <c r="K175" i="24"/>
  <c r="X81" i="24"/>
  <c r="X69" i="24"/>
  <c r="X57" i="24"/>
  <c r="S57" i="24"/>
  <c r="S81" i="24"/>
  <c r="S69" i="24"/>
  <c r="AC80" i="24"/>
  <c r="AC68" i="24"/>
  <c r="AC56" i="24"/>
  <c r="B78" i="24"/>
  <c r="B54" i="24"/>
  <c r="B66" i="24"/>
  <c r="Q68" i="24"/>
  <c r="Q80" i="24"/>
  <c r="Q56" i="24"/>
  <c r="H77" i="24"/>
  <c r="H64" i="24"/>
  <c r="H62" i="24"/>
  <c r="H52" i="24"/>
  <c r="H75" i="24"/>
  <c r="H53" i="24"/>
  <c r="H63" i="24"/>
  <c r="H76" i="24"/>
  <c r="H51" i="24"/>
  <c r="H65" i="24"/>
  <c r="H74" i="24"/>
  <c r="H50" i="24"/>
  <c r="AA163" i="24"/>
  <c r="O67" i="24"/>
  <c r="O79" i="24"/>
  <c r="O55" i="24"/>
  <c r="D69" i="24"/>
  <c r="D81" i="24"/>
  <c r="D57" i="24"/>
  <c r="B68" i="24"/>
  <c r="B80" i="24"/>
  <c r="B56" i="24"/>
  <c r="D175" i="24"/>
  <c r="AB69" i="24"/>
  <c r="AB81" i="24"/>
  <c r="AB57" i="24"/>
  <c r="I67" i="24"/>
  <c r="I55" i="24"/>
  <c r="I79" i="24"/>
  <c r="B81" i="24"/>
  <c r="B69" i="24"/>
  <c r="B57" i="24"/>
  <c r="W77" i="24"/>
  <c r="E392" i="24"/>
  <c r="E380" i="24"/>
  <c r="E404" i="24"/>
  <c r="X379" i="24"/>
  <c r="X391" i="24"/>
  <c r="X403" i="24"/>
  <c r="P378" i="24"/>
  <c r="P402" i="24"/>
  <c r="P390" i="24"/>
  <c r="R402" i="24"/>
  <c r="R378" i="24"/>
  <c r="R390" i="24"/>
  <c r="O403" i="24"/>
  <c r="O379" i="24"/>
  <c r="O391" i="24"/>
  <c r="Y391" i="24"/>
  <c r="Y403" i="24"/>
  <c r="Y379" i="24"/>
  <c r="AC403" i="24"/>
  <c r="AC379" i="24"/>
  <c r="AC391" i="24"/>
  <c r="N400" i="24"/>
  <c r="N387" i="24"/>
  <c r="N398" i="24"/>
  <c r="N386" i="24"/>
  <c r="N374" i="24"/>
  <c r="N399" i="24"/>
  <c r="N385" i="24"/>
  <c r="N373" i="24"/>
  <c r="N375" i="24"/>
  <c r="N397" i="24"/>
  <c r="N388" i="24"/>
  <c r="N376" i="24"/>
  <c r="I388" i="24"/>
  <c r="I399" i="24"/>
  <c r="I387" i="24"/>
  <c r="I385" i="24"/>
  <c r="I375" i="24"/>
  <c r="I374" i="24"/>
  <c r="I400" i="24"/>
  <c r="I376" i="24"/>
  <c r="I398" i="24"/>
  <c r="I386" i="24"/>
  <c r="I373" i="24"/>
  <c r="I397" i="24"/>
  <c r="X390" i="24"/>
  <c r="X402" i="24"/>
  <c r="X378" i="24"/>
  <c r="I401" i="24"/>
  <c r="I377" i="24"/>
  <c r="I389" i="24"/>
  <c r="Q401" i="24"/>
  <c r="Q389" i="24"/>
  <c r="Q377" i="24"/>
  <c r="O401" i="24"/>
  <c r="O389" i="24"/>
  <c r="O377" i="24"/>
  <c r="E295" i="24"/>
  <c r="E271" i="24"/>
  <c r="E283" i="24"/>
  <c r="AA380" i="24"/>
  <c r="AA404" i="24"/>
  <c r="AA392" i="24"/>
  <c r="AC291" i="24"/>
  <c r="AC289" i="24"/>
  <c r="AC276" i="24"/>
  <c r="AC277" i="24"/>
  <c r="AC267" i="24"/>
  <c r="AC278" i="24"/>
  <c r="AC265" i="24"/>
  <c r="AC279" i="24"/>
  <c r="AC290" i="24"/>
  <c r="AC288" i="24"/>
  <c r="AC264" i="24"/>
  <c r="AC266" i="24"/>
  <c r="P292" i="24"/>
  <c r="P280" i="24"/>
  <c r="P268" i="24"/>
  <c r="V280" i="24"/>
  <c r="V268" i="24"/>
  <c r="V292" i="24"/>
  <c r="J293" i="24"/>
  <c r="J281" i="24"/>
  <c r="J269" i="24"/>
  <c r="S295" i="24"/>
  <c r="S271" i="24"/>
  <c r="S283" i="24"/>
  <c r="G174" i="24"/>
  <c r="G186" i="24"/>
  <c r="G162" i="24"/>
  <c r="E294" i="24"/>
  <c r="E270" i="24"/>
  <c r="E282" i="24"/>
  <c r="L171" i="24"/>
  <c r="L183" i="24"/>
  <c r="L182" i="24"/>
  <c r="L159" i="24"/>
  <c r="L180" i="24"/>
  <c r="L168" i="24"/>
  <c r="L181" i="24"/>
  <c r="L158" i="24"/>
  <c r="L157" i="24"/>
  <c r="L156" i="24"/>
  <c r="L169" i="24"/>
  <c r="L170" i="24"/>
  <c r="Z181" i="24"/>
  <c r="Z183" i="24"/>
  <c r="Z157" i="24"/>
  <c r="Z182" i="24"/>
  <c r="Z180" i="24"/>
  <c r="Z169" i="24"/>
  <c r="Z170" i="24"/>
  <c r="Z159" i="24"/>
  <c r="Z158" i="24"/>
  <c r="Z171" i="24"/>
  <c r="Z156" i="24"/>
  <c r="Z168" i="24"/>
  <c r="V185" i="24"/>
  <c r="V173" i="24"/>
  <c r="V161" i="24"/>
  <c r="G161" i="24"/>
  <c r="G173" i="24"/>
  <c r="G185" i="24"/>
  <c r="T173" i="24"/>
  <c r="T161" i="24"/>
  <c r="T185" i="24"/>
  <c r="S187" i="24"/>
  <c r="S175" i="24"/>
  <c r="S163" i="24"/>
  <c r="E69" i="24"/>
  <c r="E57" i="24"/>
  <c r="E81" i="24"/>
  <c r="X291" i="24"/>
  <c r="X277" i="24"/>
  <c r="X278" i="24"/>
  <c r="X290" i="24"/>
  <c r="X265" i="24"/>
  <c r="X264" i="24"/>
  <c r="X266" i="24"/>
  <c r="X279" i="24"/>
  <c r="X288" i="24"/>
  <c r="X267" i="24"/>
  <c r="X289" i="24"/>
  <c r="X276" i="24"/>
  <c r="R186" i="24"/>
  <c r="R174" i="24"/>
  <c r="R162" i="24"/>
  <c r="T187" i="24"/>
  <c r="T163" i="24"/>
  <c r="T175" i="24"/>
  <c r="F187" i="24"/>
  <c r="F175" i="24"/>
  <c r="F163" i="24"/>
  <c r="M76" i="24"/>
  <c r="M63" i="24"/>
  <c r="M53" i="24"/>
  <c r="M51" i="24"/>
  <c r="M62" i="24"/>
  <c r="M65" i="24"/>
  <c r="M77" i="24"/>
  <c r="M50" i="24"/>
  <c r="M74" i="24"/>
  <c r="M64" i="24"/>
  <c r="M75" i="24"/>
  <c r="M52" i="24"/>
  <c r="U80" i="24"/>
  <c r="U68" i="24"/>
  <c r="U56" i="24"/>
  <c r="AA57" i="24"/>
  <c r="AA81" i="24"/>
  <c r="AA69" i="24"/>
  <c r="Q163" i="24"/>
  <c r="M46" i="24"/>
  <c r="F79" i="24"/>
  <c r="F67" i="24"/>
  <c r="F55" i="24"/>
  <c r="S80" i="24"/>
  <c r="S68" i="24"/>
  <c r="S56" i="24"/>
  <c r="T77" i="24"/>
  <c r="T52" i="24"/>
  <c r="T74" i="24"/>
  <c r="T50" i="24"/>
  <c r="T75" i="24"/>
  <c r="T64" i="24"/>
  <c r="T53" i="24"/>
  <c r="T63" i="24"/>
  <c r="T62" i="24"/>
  <c r="T51" i="24"/>
  <c r="T76" i="24"/>
  <c r="T65" i="24"/>
  <c r="T172" i="24"/>
  <c r="T184" i="24"/>
  <c r="T160" i="24"/>
  <c r="D160" i="24"/>
  <c r="D184" i="24"/>
  <c r="D172" i="24"/>
  <c r="G80" i="24"/>
  <c r="G68" i="24"/>
  <c r="G56" i="24"/>
  <c r="M55" i="24"/>
  <c r="M79" i="24"/>
  <c r="M67" i="24"/>
  <c r="S78" i="24"/>
  <c r="S54" i="24"/>
  <c r="S66" i="24"/>
  <c r="W67" i="24"/>
  <c r="W55" i="24"/>
  <c r="W79" i="24"/>
  <c r="M80" i="24"/>
  <c r="M68" i="24"/>
  <c r="M56" i="24"/>
  <c r="J80" i="24"/>
  <c r="J56" i="24"/>
  <c r="J68" i="24"/>
  <c r="D163" i="24"/>
  <c r="Q170" i="24"/>
  <c r="Q182" i="24"/>
  <c r="Q180" i="24"/>
  <c r="Q158" i="24"/>
  <c r="Q157" i="24"/>
  <c r="Q171" i="24"/>
  <c r="Q183" i="24"/>
  <c r="Q181" i="24"/>
  <c r="Q168" i="24"/>
  <c r="Q169" i="24"/>
  <c r="Q159" i="24"/>
  <c r="Q156" i="24"/>
  <c r="J79" i="24"/>
  <c r="J67" i="24"/>
  <c r="J55" i="24"/>
  <c r="AA78" i="24"/>
  <c r="AA54" i="24"/>
  <c r="AA66" i="24"/>
  <c r="T66" i="24"/>
  <c r="T78" i="24"/>
  <c r="T54" i="24"/>
  <c r="W53" i="24"/>
  <c r="Y404" i="24"/>
  <c r="Y380" i="24"/>
  <c r="Y392" i="24"/>
  <c r="F403" i="24"/>
  <c r="F379" i="24"/>
  <c r="F391" i="24"/>
  <c r="AC390" i="24"/>
  <c r="AC402" i="24"/>
  <c r="AC378" i="24"/>
  <c r="AB402" i="24"/>
  <c r="AB378" i="24"/>
  <c r="AB390" i="24"/>
  <c r="N390" i="24"/>
  <c r="N402" i="24"/>
  <c r="N378" i="24"/>
  <c r="Z402" i="24"/>
  <c r="Z378" i="24"/>
  <c r="Z390" i="24"/>
  <c r="E378" i="24"/>
  <c r="E402" i="24"/>
  <c r="E390" i="24"/>
  <c r="P401" i="24"/>
  <c r="P389" i="24"/>
  <c r="P377" i="24"/>
  <c r="S389" i="24"/>
  <c r="S401" i="24"/>
  <c r="S377" i="24"/>
  <c r="Q289" i="24"/>
  <c r="Q290" i="24"/>
  <c r="Q264" i="24"/>
  <c r="Q276" i="24"/>
  <c r="Q288" i="24"/>
  <c r="Q267" i="24"/>
  <c r="Q266" i="24"/>
  <c r="Q265" i="24"/>
  <c r="Q279" i="24"/>
  <c r="Q291" i="24"/>
  <c r="Q277" i="24"/>
  <c r="Q278" i="24"/>
  <c r="N403" i="24"/>
  <c r="N379" i="24"/>
  <c r="N391" i="24"/>
  <c r="U291" i="24"/>
  <c r="U276" i="24"/>
  <c r="U288" i="24"/>
  <c r="U277" i="24"/>
  <c r="U267" i="24"/>
  <c r="U266" i="24"/>
  <c r="U279" i="24"/>
  <c r="U264" i="24"/>
  <c r="U265" i="24"/>
  <c r="U290" i="24"/>
  <c r="U278" i="24"/>
  <c r="U289" i="24"/>
  <c r="X292" i="24"/>
  <c r="X280" i="24"/>
  <c r="X268" i="24"/>
  <c r="X269" i="24"/>
  <c r="X281" i="24"/>
  <c r="X293" i="24"/>
  <c r="AC293" i="24"/>
  <c r="AC281" i="24"/>
  <c r="AC269" i="24"/>
  <c r="V281" i="24"/>
  <c r="V269" i="24"/>
  <c r="V293" i="24"/>
  <c r="I281" i="24"/>
  <c r="I269" i="24"/>
  <c r="I293" i="24"/>
  <c r="C292" i="24"/>
  <c r="C280" i="24"/>
  <c r="C268" i="24"/>
  <c r="AC268" i="24"/>
  <c r="AC280" i="24"/>
  <c r="AC292" i="24"/>
  <c r="H295" i="24"/>
  <c r="H271" i="24"/>
  <c r="H283" i="24"/>
  <c r="B283" i="24"/>
  <c r="B295" i="24"/>
  <c r="B271" i="24"/>
  <c r="T162" i="24"/>
  <c r="T186" i="24"/>
  <c r="T174" i="24"/>
  <c r="O186" i="24"/>
  <c r="O174" i="24"/>
  <c r="O162" i="24"/>
  <c r="Q294" i="24"/>
  <c r="Q282" i="24"/>
  <c r="Q270" i="24"/>
  <c r="W180" i="24"/>
  <c r="W182" i="24"/>
  <c r="W156" i="24"/>
  <c r="W170" i="24"/>
  <c r="W159" i="24"/>
  <c r="W168" i="24"/>
  <c r="W158" i="24"/>
  <c r="W157" i="24"/>
  <c r="W171" i="24"/>
  <c r="W183" i="24"/>
  <c r="W181" i="24"/>
  <c r="W169" i="24"/>
  <c r="C173" i="24"/>
  <c r="C161" i="24"/>
  <c r="C185" i="24"/>
  <c r="B173" i="24"/>
  <c r="B185" i="24"/>
  <c r="B161" i="24"/>
  <c r="AB185" i="24"/>
  <c r="AB173" i="24"/>
  <c r="AB161" i="24"/>
  <c r="AB174" i="24"/>
  <c r="AB186" i="24"/>
  <c r="AB162" i="24"/>
  <c r="AC175" i="24"/>
  <c r="AC163" i="24"/>
  <c r="AC187" i="24"/>
  <c r="Q76" i="24"/>
  <c r="Q51" i="24"/>
  <c r="Q65" i="24"/>
  <c r="Q74" i="24"/>
  <c r="Q63" i="24"/>
  <c r="Q50" i="24"/>
  <c r="Q77" i="24"/>
  <c r="Q64" i="24"/>
  <c r="Q53" i="24"/>
  <c r="Q75" i="24"/>
  <c r="Q52" i="24"/>
  <c r="Q62" i="24"/>
  <c r="C278" i="24"/>
  <c r="C288" i="24"/>
  <c r="C279" i="24"/>
  <c r="C267" i="24"/>
  <c r="C289" i="24"/>
  <c r="C266" i="24"/>
  <c r="C291" i="24"/>
  <c r="C277" i="24"/>
  <c r="C264" i="24"/>
  <c r="C276" i="24"/>
  <c r="C265" i="24"/>
  <c r="C290" i="24"/>
  <c r="G291" i="24"/>
  <c r="G289" i="24"/>
  <c r="G288" i="24"/>
  <c r="G266" i="24"/>
  <c r="G290" i="24"/>
  <c r="G276" i="24"/>
  <c r="G264" i="24"/>
  <c r="G278" i="24"/>
  <c r="G267" i="24"/>
  <c r="G265" i="24"/>
  <c r="G277" i="24"/>
  <c r="G279" i="24"/>
  <c r="Z186" i="24"/>
  <c r="Z174" i="24"/>
  <c r="Z162" i="24"/>
  <c r="K185" i="24"/>
  <c r="K161" i="24"/>
  <c r="K173" i="24"/>
  <c r="Z173" i="24"/>
  <c r="Z185" i="24"/>
  <c r="Z161" i="24"/>
  <c r="E185" i="24"/>
  <c r="E173" i="24"/>
  <c r="E161" i="24"/>
  <c r="H175" i="24"/>
  <c r="H187" i="24"/>
  <c r="H163" i="24"/>
  <c r="E76" i="24"/>
  <c r="E63" i="24"/>
  <c r="E53" i="24"/>
  <c r="E77" i="24"/>
  <c r="E51" i="24"/>
  <c r="E74" i="24"/>
  <c r="E50" i="24"/>
  <c r="E64" i="24"/>
  <c r="E75" i="24"/>
  <c r="E52" i="24"/>
  <c r="E62" i="24"/>
  <c r="E65" i="24"/>
  <c r="B75" i="24"/>
  <c r="B62" i="24"/>
  <c r="B52" i="24"/>
  <c r="B76" i="24"/>
  <c r="B50" i="24"/>
  <c r="B77" i="24"/>
  <c r="B51" i="24"/>
  <c r="B74" i="24"/>
  <c r="B65" i="24"/>
  <c r="B64" i="24"/>
  <c r="B53" i="24"/>
  <c r="B63" i="24"/>
  <c r="Q175" i="24"/>
  <c r="Y78" i="24"/>
  <c r="Y66" i="24"/>
  <c r="Y54" i="24"/>
  <c r="H80" i="24"/>
  <c r="H56" i="24"/>
  <c r="H68" i="24"/>
  <c r="J75" i="24"/>
  <c r="J77" i="24"/>
  <c r="J62" i="24"/>
  <c r="J52" i="24"/>
  <c r="J50" i="24"/>
  <c r="J63" i="24"/>
  <c r="J76" i="24"/>
  <c r="J51" i="24"/>
  <c r="J65" i="24"/>
  <c r="J74" i="24"/>
  <c r="J64" i="24"/>
  <c r="J53" i="24"/>
  <c r="Y184" i="24"/>
  <c r="Y160" i="24"/>
  <c r="Y172" i="24"/>
  <c r="Y67" i="24"/>
  <c r="Y55" i="24"/>
  <c r="Y79" i="24"/>
  <c r="B79" i="24"/>
  <c r="B67" i="24"/>
  <c r="B55" i="24"/>
  <c r="P81" i="24"/>
  <c r="P69" i="24"/>
  <c r="P57" i="24"/>
  <c r="I78" i="24"/>
  <c r="I66" i="24"/>
  <c r="I54" i="24"/>
  <c r="C80" i="24"/>
  <c r="C68" i="24"/>
  <c r="C56" i="24"/>
  <c r="R68" i="24"/>
  <c r="R80" i="24"/>
  <c r="R56" i="24"/>
  <c r="G78" i="24"/>
  <c r="G66" i="24"/>
  <c r="G54" i="24"/>
  <c r="Q54" i="24"/>
  <c r="Q78" i="24"/>
  <c r="Q66" i="24"/>
  <c r="AB66" i="24"/>
  <c r="AB54" i="24"/>
  <c r="AB78" i="24"/>
  <c r="R79" i="24"/>
  <c r="R67" i="24"/>
  <c r="R55" i="24"/>
  <c r="K380" i="24"/>
  <c r="K392" i="24"/>
  <c r="K404" i="24"/>
  <c r="S392" i="24"/>
  <c r="S380" i="24"/>
  <c r="S404" i="24"/>
  <c r="U392" i="24"/>
  <c r="U380" i="24"/>
  <c r="U404" i="24"/>
  <c r="K402" i="24"/>
  <c r="K390" i="24"/>
  <c r="K378" i="24"/>
  <c r="L403" i="24"/>
  <c r="L379" i="24"/>
  <c r="L391" i="24"/>
  <c r="D402" i="24"/>
  <c r="D390" i="24"/>
  <c r="D378" i="24"/>
  <c r="H378" i="24"/>
  <c r="H402" i="24"/>
  <c r="H390" i="24"/>
  <c r="V390" i="24"/>
  <c r="V402" i="24"/>
  <c r="V378" i="24"/>
  <c r="W398" i="24"/>
  <c r="W385" i="24"/>
  <c r="W397" i="24"/>
  <c r="W388" i="24"/>
  <c r="W375" i="24"/>
  <c r="W373" i="24"/>
  <c r="W400" i="24"/>
  <c r="W399" i="24"/>
  <c r="W374" i="24"/>
  <c r="W376" i="24"/>
  <c r="W387" i="24"/>
  <c r="W386" i="24"/>
  <c r="D379" i="24"/>
  <c r="D403" i="24"/>
  <c r="D391" i="24"/>
  <c r="J391" i="24"/>
  <c r="J403" i="24"/>
  <c r="J379" i="24"/>
  <c r="C399" i="24"/>
  <c r="C386" i="24"/>
  <c r="C397" i="24"/>
  <c r="C385" i="24"/>
  <c r="C400" i="24"/>
  <c r="C373" i="24"/>
  <c r="C398" i="24"/>
  <c r="C376" i="24"/>
  <c r="C388" i="24"/>
  <c r="C375" i="24"/>
  <c r="C387" i="24"/>
  <c r="C374" i="24"/>
  <c r="Y388" i="24"/>
  <c r="Y399" i="24"/>
  <c r="Y387" i="24"/>
  <c r="Y375" i="24"/>
  <c r="Y386" i="24"/>
  <c r="Y397" i="24"/>
  <c r="Y376" i="24"/>
  <c r="Y373" i="24"/>
  <c r="Y385" i="24"/>
  <c r="Y398" i="24"/>
  <c r="Y400" i="24"/>
  <c r="Y374" i="24"/>
  <c r="S399" i="24"/>
  <c r="S386" i="24"/>
  <c r="S397" i="24"/>
  <c r="S385" i="24"/>
  <c r="S400" i="24"/>
  <c r="S373" i="24"/>
  <c r="S375" i="24"/>
  <c r="S374" i="24"/>
  <c r="S398" i="24"/>
  <c r="S388" i="24"/>
  <c r="S387" i="24"/>
  <c r="S376" i="24"/>
  <c r="L402" i="24"/>
  <c r="L390" i="24"/>
  <c r="L378" i="24"/>
  <c r="V401" i="24"/>
  <c r="V389" i="24"/>
  <c r="V377" i="24"/>
  <c r="AA389" i="24"/>
  <c r="AA401" i="24"/>
  <c r="AA377" i="24"/>
  <c r="I289" i="24"/>
  <c r="I290" i="24"/>
  <c r="I288" i="24"/>
  <c r="I277" i="24"/>
  <c r="I266" i="24"/>
  <c r="I278" i="24"/>
  <c r="I264" i="24"/>
  <c r="I276" i="24"/>
  <c r="I291" i="24"/>
  <c r="I267" i="24"/>
  <c r="I265" i="24"/>
  <c r="I279" i="24"/>
  <c r="J404" i="24"/>
  <c r="J392" i="24"/>
  <c r="J380" i="24"/>
  <c r="M291" i="24"/>
  <c r="M276" i="24"/>
  <c r="M277" i="24"/>
  <c r="M278" i="24"/>
  <c r="M266" i="24"/>
  <c r="M279" i="24"/>
  <c r="M267" i="24"/>
  <c r="M290" i="24"/>
  <c r="M289" i="24"/>
  <c r="M288" i="24"/>
  <c r="M264" i="24"/>
  <c r="M265" i="24"/>
  <c r="Y280" i="24"/>
  <c r="Y268" i="24"/>
  <c r="Y292" i="24"/>
  <c r="D292" i="24"/>
  <c r="D280" i="24"/>
  <c r="D268" i="24"/>
  <c r="M293" i="24"/>
  <c r="M269" i="24"/>
  <c r="M281" i="24"/>
  <c r="E293" i="24"/>
  <c r="E281" i="24"/>
  <c r="E269" i="24"/>
  <c r="Q281" i="24"/>
  <c r="Q269" i="24"/>
  <c r="Q293" i="24"/>
  <c r="T295" i="24"/>
  <c r="T283" i="24"/>
  <c r="T271" i="24"/>
  <c r="N271" i="24"/>
  <c r="N295" i="24"/>
  <c r="N283" i="24"/>
  <c r="U268" i="24"/>
  <c r="U280" i="24"/>
  <c r="U292" i="24"/>
  <c r="X186" i="24"/>
  <c r="X162" i="24"/>
  <c r="X174" i="24"/>
  <c r="J162" i="24"/>
  <c r="J186" i="24"/>
  <c r="J174" i="24"/>
  <c r="W174" i="24"/>
  <c r="W162" i="24"/>
  <c r="W186" i="24"/>
  <c r="Y282" i="24"/>
  <c r="Y270" i="24"/>
  <c r="Y294" i="24"/>
  <c r="G294" i="24"/>
  <c r="G282" i="24"/>
  <c r="G270" i="24"/>
  <c r="N169" i="24"/>
  <c r="N181" i="24"/>
  <c r="N157" i="24"/>
  <c r="N182" i="24"/>
  <c r="N180" i="24"/>
  <c r="N156" i="24"/>
  <c r="N170" i="24"/>
  <c r="N183" i="24"/>
  <c r="N168" i="24"/>
  <c r="N159" i="24"/>
  <c r="N158" i="24"/>
  <c r="N171" i="24"/>
  <c r="M174" i="24"/>
  <c r="M186" i="24"/>
  <c r="M162" i="24"/>
  <c r="O173" i="24"/>
  <c r="O185" i="24"/>
  <c r="O161" i="24"/>
  <c r="AC173" i="24"/>
  <c r="AC161" i="24"/>
  <c r="AC185" i="24"/>
  <c r="E174" i="24"/>
  <c r="E186" i="24"/>
  <c r="E162" i="24"/>
  <c r="N288" i="24"/>
  <c r="N289" i="24"/>
  <c r="N290" i="24"/>
  <c r="N279" i="24"/>
  <c r="N291" i="24"/>
  <c r="N265" i="24"/>
  <c r="N276" i="24"/>
  <c r="N277" i="24"/>
  <c r="N278" i="24"/>
  <c r="N266" i="24"/>
  <c r="N267" i="24"/>
  <c r="N264" i="24"/>
  <c r="R290" i="24"/>
  <c r="R289" i="24"/>
  <c r="R267" i="24"/>
  <c r="R291" i="24"/>
  <c r="R276" i="24"/>
  <c r="R278" i="24"/>
  <c r="R266" i="24"/>
  <c r="R288" i="24"/>
  <c r="R277" i="24"/>
  <c r="R264" i="24"/>
  <c r="R279" i="24"/>
  <c r="R265" i="24"/>
  <c r="D186" i="24"/>
  <c r="D174" i="24"/>
  <c r="D162" i="24"/>
  <c r="L174" i="24"/>
  <c r="L186" i="24"/>
  <c r="L162" i="24"/>
  <c r="U175" i="24"/>
  <c r="U187" i="24"/>
  <c r="U163" i="24"/>
  <c r="N66" i="24"/>
  <c r="N54" i="24"/>
  <c r="N78" i="24"/>
  <c r="Z79" i="24"/>
  <c r="Z55" i="24"/>
  <c r="Z67" i="24"/>
  <c r="N79" i="24"/>
  <c r="N55" i="24"/>
  <c r="N67" i="24"/>
  <c r="R81" i="24"/>
  <c r="R57" i="24"/>
  <c r="R69" i="24"/>
  <c r="U78" i="24"/>
  <c r="U66" i="24"/>
  <c r="U54" i="24"/>
  <c r="F81" i="24"/>
  <c r="F57" i="24"/>
  <c r="F69" i="24"/>
  <c r="AA74" i="24"/>
  <c r="AA65" i="24"/>
  <c r="AA63" i="24"/>
  <c r="AA53" i="24"/>
  <c r="AA75" i="24"/>
  <c r="AA62" i="24"/>
  <c r="AA51" i="24"/>
  <c r="AA76" i="24"/>
  <c r="AA50" i="24"/>
  <c r="AA64" i="24"/>
  <c r="AA77" i="24"/>
  <c r="AA52" i="24"/>
  <c r="C79" i="24"/>
  <c r="C55" i="24"/>
  <c r="C67" i="24"/>
  <c r="Z80" i="24"/>
  <c r="Z68" i="24"/>
  <c r="Z56" i="24"/>
  <c r="D77" i="24"/>
  <c r="D75" i="24"/>
  <c r="D52" i="24"/>
  <c r="D76" i="24"/>
  <c r="D50" i="24"/>
  <c r="D64" i="24"/>
  <c r="D74" i="24"/>
  <c r="D65" i="24"/>
  <c r="D53" i="24"/>
  <c r="D63" i="24"/>
  <c r="D62" i="24"/>
  <c r="D51" i="24"/>
  <c r="Z69" i="24"/>
  <c r="Z57" i="24"/>
  <c r="Z81" i="24"/>
  <c r="F66" i="24"/>
  <c r="F54" i="24"/>
  <c r="F78" i="24"/>
  <c r="H67" i="24"/>
  <c r="H79" i="24"/>
  <c r="H55" i="24"/>
  <c r="G392" i="24"/>
  <c r="G404" i="24"/>
  <c r="G380" i="24"/>
  <c r="Z399" i="24"/>
  <c r="Z386" i="24"/>
  <c r="Z398" i="24"/>
  <c r="Z397" i="24"/>
  <c r="Z376" i="24"/>
  <c r="Z374" i="24"/>
  <c r="Z388" i="24"/>
  <c r="Z385" i="24"/>
  <c r="Z375" i="24"/>
  <c r="Z400" i="24"/>
  <c r="Z387" i="24"/>
  <c r="Z373" i="24"/>
  <c r="R399" i="24"/>
  <c r="R386" i="24"/>
  <c r="R398" i="24"/>
  <c r="R385" i="24"/>
  <c r="R376" i="24"/>
  <c r="R397" i="24"/>
  <c r="R388" i="24"/>
  <c r="R374" i="24"/>
  <c r="R387" i="24"/>
  <c r="R373" i="24"/>
  <c r="R400" i="24"/>
  <c r="R375" i="24"/>
  <c r="D397" i="24"/>
  <c r="D400" i="24"/>
  <c r="D388" i="24"/>
  <c r="D376" i="24"/>
  <c r="D373" i="24"/>
  <c r="D385" i="24"/>
  <c r="D374" i="24"/>
  <c r="D398" i="24"/>
  <c r="D387" i="24"/>
  <c r="D375" i="24"/>
  <c r="D399" i="24"/>
  <c r="D386" i="24"/>
  <c r="E291" i="24"/>
  <c r="E289" i="24"/>
  <c r="E276" i="24"/>
  <c r="E277" i="24"/>
  <c r="E279" i="24"/>
  <c r="E265" i="24"/>
  <c r="E290" i="24"/>
  <c r="E266" i="24"/>
  <c r="E267" i="24"/>
  <c r="E288" i="24"/>
  <c r="E264" i="24"/>
  <c r="E278" i="24"/>
  <c r="K292" i="24"/>
  <c r="K268" i="24"/>
  <c r="K280" i="24"/>
  <c r="I280" i="24"/>
  <c r="I268" i="24"/>
  <c r="I292" i="24"/>
  <c r="R293" i="24"/>
  <c r="R269" i="24"/>
  <c r="R281" i="24"/>
  <c r="Y281" i="24"/>
  <c r="Y293" i="24"/>
  <c r="Y269" i="24"/>
  <c r="O282" i="24"/>
  <c r="O270" i="24"/>
  <c r="O294" i="24"/>
  <c r="V169" i="24"/>
  <c r="V181" i="24"/>
  <c r="V170" i="24"/>
  <c r="V157" i="24"/>
  <c r="V180" i="24"/>
  <c r="V159" i="24"/>
  <c r="V182" i="24"/>
  <c r="V158" i="24"/>
  <c r="V171" i="24"/>
  <c r="V183" i="24"/>
  <c r="V156" i="24"/>
  <c r="V168" i="24"/>
  <c r="F186" i="24"/>
  <c r="F162" i="24"/>
  <c r="F174" i="24"/>
  <c r="V288" i="24"/>
  <c r="V289" i="24"/>
  <c r="V279" i="24"/>
  <c r="V290" i="24"/>
  <c r="V266" i="24"/>
  <c r="V278" i="24"/>
  <c r="V291" i="24"/>
  <c r="V277" i="24"/>
  <c r="V265" i="24"/>
  <c r="V264" i="24"/>
  <c r="V267" i="24"/>
  <c r="V276" i="24"/>
  <c r="Y57" i="24"/>
  <c r="Y69" i="24"/>
  <c r="Y81" i="24"/>
  <c r="K81" i="24"/>
  <c r="K57" i="24"/>
  <c r="K69" i="24"/>
  <c r="C78" i="24"/>
  <c r="C54" i="24"/>
  <c r="C66" i="24"/>
  <c r="D67" i="24"/>
  <c r="D79" i="24"/>
  <c r="D55" i="24"/>
  <c r="G57" i="24"/>
  <c r="G69" i="24"/>
  <c r="G81" i="24"/>
  <c r="J54" i="24"/>
  <c r="J78" i="24"/>
  <c r="J66" i="24"/>
  <c r="Y68" i="24"/>
  <c r="Y80" i="24"/>
  <c r="Y56" i="24"/>
  <c r="P77" i="24"/>
  <c r="P64" i="24"/>
  <c r="P62" i="24"/>
  <c r="P52" i="24"/>
  <c r="P76" i="24"/>
  <c r="P65" i="24"/>
  <c r="P50" i="24"/>
  <c r="P74" i="24"/>
  <c r="P53" i="24"/>
  <c r="P63" i="24"/>
  <c r="P75" i="24"/>
  <c r="P51" i="24"/>
  <c r="K55" i="24"/>
  <c r="K79" i="24"/>
  <c r="K67" i="24"/>
  <c r="N81" i="24"/>
  <c r="N57" i="24"/>
  <c r="N69" i="24"/>
  <c r="X77" i="24"/>
  <c r="X64" i="24"/>
  <c r="X62" i="24"/>
  <c r="X52" i="24"/>
  <c r="X75" i="24"/>
  <c r="X51" i="24"/>
  <c r="X76" i="24"/>
  <c r="X65" i="24"/>
  <c r="X50" i="24"/>
  <c r="X53" i="24"/>
  <c r="X74" i="24"/>
  <c r="X63" i="24"/>
  <c r="O78" i="24"/>
  <c r="O54" i="24"/>
  <c r="O66" i="24"/>
  <c r="AN231" i="23"/>
  <c r="Y251" i="23" s="1"/>
  <c r="AL11" i="19"/>
  <c r="W31" i="19" s="1"/>
  <c r="AN20" i="23"/>
  <c r="Y40" i="23" s="1"/>
  <c r="AO226" i="23"/>
  <c r="Z246" i="23" s="1"/>
  <c r="AR443" i="23"/>
  <c r="AC463" i="23" s="1"/>
  <c r="AN233" i="23"/>
  <c r="Y253" i="23" s="1"/>
  <c r="AM450" i="23"/>
  <c r="X470" i="23" s="1"/>
  <c r="AG345" i="23"/>
  <c r="R365" i="23" s="1"/>
  <c r="AA117" i="19"/>
  <c r="L137" i="19" s="1"/>
  <c r="AC128" i="23"/>
  <c r="N148" i="23" s="1"/>
  <c r="AJ132" i="19"/>
  <c r="AF15" i="21"/>
  <c r="Q35" i="21" s="1"/>
  <c r="AK229" i="20"/>
  <c r="V249" i="20" s="1"/>
  <c r="AN343" i="19"/>
  <c r="Y363" i="19" s="1"/>
  <c r="AA11" i="19"/>
  <c r="L31" i="19" s="1"/>
  <c r="AN125" i="19"/>
  <c r="Y145" i="19" s="1"/>
  <c r="AH11" i="19"/>
  <c r="S31" i="19" s="1"/>
  <c r="AG117" i="22"/>
  <c r="R137" i="22" s="1"/>
  <c r="AA348" i="21"/>
  <c r="W128" i="23"/>
  <c r="H148" i="23" s="1"/>
  <c r="AC11" i="19"/>
  <c r="N31" i="19" s="1"/>
  <c r="AN11" i="19"/>
  <c r="Y31" i="19" s="1"/>
  <c r="AK11" i="19"/>
  <c r="V31" i="19" s="1"/>
  <c r="R117" i="19"/>
  <c r="C137" i="19" s="1"/>
  <c r="AN128" i="19"/>
  <c r="Y148" i="19" s="1"/>
  <c r="AJ125" i="19"/>
  <c r="U145" i="19" s="1"/>
  <c r="R132" i="19"/>
  <c r="AB117" i="20"/>
  <c r="M137" i="20" s="1"/>
  <c r="AP128" i="20"/>
  <c r="AA148" i="20" s="1"/>
  <c r="R11" i="19"/>
  <c r="C31" i="19" s="1"/>
  <c r="AO11" i="19"/>
  <c r="Z31" i="19" s="1"/>
  <c r="AN441" i="21"/>
  <c r="Y461" i="21" s="1"/>
  <c r="AK231" i="21"/>
  <c r="V251" i="21" s="1"/>
  <c r="U11" i="19"/>
  <c r="F31" i="19" s="1"/>
  <c r="AP11" i="19"/>
  <c r="AA31" i="19" s="1"/>
  <c r="AA19" i="19"/>
  <c r="L39" i="19" s="1"/>
  <c r="Y11" i="19"/>
  <c r="J31" i="19" s="1"/>
  <c r="AQ11" i="19"/>
  <c r="AB31" i="19" s="1"/>
  <c r="Z11" i="19"/>
  <c r="K31" i="19" s="1"/>
  <c r="AL335" i="19"/>
  <c r="W355" i="19" s="1"/>
  <c r="X231" i="19"/>
  <c r="I251" i="19" s="1"/>
  <c r="T343" i="19"/>
  <c r="E363" i="19" s="1"/>
  <c r="U229" i="19"/>
  <c r="F249" i="19" s="1"/>
  <c r="AB20" i="20"/>
  <c r="M40" i="20" s="1"/>
  <c r="V343" i="20"/>
  <c r="G363" i="20" s="1"/>
  <c r="U229" i="20"/>
  <c r="AL20" i="23"/>
  <c r="W40" i="23" s="1"/>
  <c r="AN19" i="19"/>
  <c r="Y39" i="19" s="1"/>
  <c r="AC19" i="19"/>
  <c r="N39" i="19" s="1"/>
  <c r="AA117" i="23"/>
  <c r="L137" i="23" s="1"/>
  <c r="Q19" i="19"/>
  <c r="B39" i="19" s="1"/>
  <c r="AG19" i="19"/>
  <c r="R39" i="19" s="1"/>
  <c r="AD15" i="21"/>
  <c r="O35" i="21" s="1"/>
  <c r="Z117" i="23"/>
  <c r="K137" i="23" s="1"/>
  <c r="R19" i="19"/>
  <c r="C39" i="19" s="1"/>
  <c r="AI19" i="19"/>
  <c r="T39" i="19" s="1"/>
  <c r="S19" i="19"/>
  <c r="D39" i="19" s="1"/>
  <c r="AK19" i="19"/>
  <c r="V39" i="19" s="1"/>
  <c r="AK17" i="21"/>
  <c r="V37" i="21" s="1"/>
  <c r="AM20" i="22"/>
  <c r="X40" i="22" s="1"/>
  <c r="U19" i="19"/>
  <c r="F39" i="19" s="1"/>
  <c r="AO19" i="19"/>
  <c r="Z39" i="19" s="1"/>
  <c r="Y19" i="19"/>
  <c r="J39" i="19" s="1"/>
  <c r="AQ19" i="19"/>
  <c r="AB39" i="19" s="1"/>
  <c r="AK348" i="21"/>
  <c r="Z19" i="19"/>
  <c r="K39" i="19" s="1"/>
  <c r="AH11" i="20"/>
  <c r="S31" i="20" s="1"/>
  <c r="AL19" i="19"/>
  <c r="W39" i="19" s="1"/>
  <c r="AK131" i="19"/>
  <c r="AL240" i="23"/>
  <c r="AC445" i="22"/>
  <c r="N465" i="22" s="1"/>
  <c r="AN236" i="23"/>
  <c r="Y256" i="23" s="1"/>
  <c r="Y236" i="20"/>
  <c r="J256" i="20" s="1"/>
  <c r="U240" i="20"/>
  <c r="AE340" i="21"/>
  <c r="P360" i="21" s="1"/>
  <c r="P378" i="21" s="1"/>
  <c r="V451" i="22"/>
  <c r="G471" i="22" s="1"/>
  <c r="AG334" i="22"/>
  <c r="R354" i="22" s="1"/>
  <c r="S117" i="19"/>
  <c r="D137" i="19" s="1"/>
  <c r="Z132" i="19"/>
  <c r="AF442" i="23"/>
  <c r="Q462" i="23" s="1"/>
  <c r="AB117" i="19"/>
  <c r="M137" i="19" s="1"/>
  <c r="X125" i="19"/>
  <c r="I145" i="19" s="1"/>
  <c r="AL132" i="19"/>
  <c r="Z11" i="20"/>
  <c r="K31" i="20" s="1"/>
  <c r="Y340" i="19"/>
  <c r="J360" i="19" s="1"/>
  <c r="AC338" i="19"/>
  <c r="N358" i="19" s="1"/>
  <c r="AM338" i="20"/>
  <c r="X358" i="20" s="1"/>
  <c r="AJ117" i="19"/>
  <c r="U137" i="19" s="1"/>
  <c r="AK20" i="23"/>
  <c r="V40" i="23" s="1"/>
  <c r="AR231" i="23"/>
  <c r="AC251" i="23" s="1"/>
  <c r="Q128" i="23"/>
  <c r="B148" i="23" s="1"/>
  <c r="S236" i="23"/>
  <c r="D256" i="23" s="1"/>
  <c r="AL117" i="19"/>
  <c r="W137" i="19" s="1"/>
  <c r="AG128" i="19"/>
  <c r="R148" i="19" s="1"/>
  <c r="AI22" i="19"/>
  <c r="T42" i="19" s="1"/>
  <c r="AD121" i="22"/>
  <c r="O141" i="22" s="1"/>
  <c r="AC125" i="22"/>
  <c r="N145" i="22" s="1"/>
  <c r="AC345" i="22"/>
  <c r="N365" i="22" s="1"/>
  <c r="Z128" i="19"/>
  <c r="K148" i="19" s="1"/>
  <c r="AP117" i="19"/>
  <c r="AA137" i="19" s="1"/>
  <c r="AQ132" i="19"/>
  <c r="AQ17" i="21"/>
  <c r="AB37" i="21" s="1"/>
  <c r="AI118" i="21"/>
  <c r="T138" i="21" s="1"/>
  <c r="AG229" i="21"/>
  <c r="R249" i="21" s="1"/>
  <c r="AP126" i="21"/>
  <c r="AA146" i="21" s="1"/>
  <c r="AC131" i="22"/>
  <c r="AA241" i="22"/>
  <c r="L261" i="22" s="1"/>
  <c r="Q226" i="21"/>
  <c r="B246" i="21" s="1"/>
  <c r="AA347" i="21"/>
  <c r="L367" i="21" s="1"/>
  <c r="AL443" i="22"/>
  <c r="W463" i="22" s="1"/>
  <c r="Q450" i="22"/>
  <c r="B470" i="22" s="1"/>
  <c r="X335" i="19"/>
  <c r="I355" i="19" s="1"/>
  <c r="T241" i="22"/>
  <c r="E261" i="22" s="1"/>
  <c r="AA231" i="19"/>
  <c r="L251" i="19" s="1"/>
  <c r="L269" i="19" s="1"/>
  <c r="AM15" i="19"/>
  <c r="X35" i="19" s="1"/>
  <c r="Y229" i="19"/>
  <c r="J249" i="19" s="1"/>
  <c r="AF231" i="19"/>
  <c r="Q251" i="19" s="1"/>
  <c r="Z229" i="19"/>
  <c r="K249" i="19" s="1"/>
  <c r="AI129" i="20"/>
  <c r="T149" i="20" s="1"/>
  <c r="AO225" i="19"/>
  <c r="Z245" i="19" s="1"/>
  <c r="AL345" i="19"/>
  <c r="W365" i="19" s="1"/>
  <c r="AP228" i="21"/>
  <c r="AA248" i="21" s="1"/>
  <c r="Z225" i="19"/>
  <c r="K245" i="19" s="1"/>
  <c r="AC229" i="19"/>
  <c r="N249" i="19" s="1"/>
  <c r="AN231" i="19"/>
  <c r="Y251" i="19" s="1"/>
  <c r="AD335" i="19"/>
  <c r="O355" i="19" s="1"/>
  <c r="V451" i="19"/>
  <c r="G471" i="19" s="1"/>
  <c r="AY33" i="23"/>
  <c r="AM128" i="23"/>
  <c r="X148" i="23" s="1"/>
  <c r="AC337" i="23"/>
  <c r="N357" i="23" s="1"/>
  <c r="AQ122" i="19"/>
  <c r="AB142" i="19" s="1"/>
  <c r="AB160" i="19" s="1"/>
  <c r="AG229" i="19"/>
  <c r="R249" i="19" s="1"/>
  <c r="AQ231" i="19"/>
  <c r="AB251" i="19" s="1"/>
  <c r="AB269" i="19" s="1"/>
  <c r="Y131" i="21"/>
  <c r="AO225" i="20"/>
  <c r="Z245" i="20" s="1"/>
  <c r="AO349" i="20"/>
  <c r="R444" i="21"/>
  <c r="C464" i="21" s="1"/>
  <c r="Q340" i="21"/>
  <c r="B360" i="21" s="1"/>
  <c r="B378" i="21" s="1"/>
  <c r="AQ15" i="19"/>
  <c r="AB35" i="19" s="1"/>
  <c r="AK229" i="19"/>
  <c r="V249" i="19" s="1"/>
  <c r="AI231" i="19"/>
  <c r="T251" i="19" s="1"/>
  <c r="T269" i="19" s="1"/>
  <c r="V117" i="20"/>
  <c r="AK125" i="20"/>
  <c r="V145" i="20" s="1"/>
  <c r="AM132" i="20"/>
  <c r="U126" i="21"/>
  <c r="F146" i="21" s="1"/>
  <c r="AR24" i="23"/>
  <c r="AC44" i="23" s="1"/>
  <c r="AA448" i="23"/>
  <c r="L468" i="23" s="1"/>
  <c r="AQ439" i="21"/>
  <c r="AB459" i="21" s="1"/>
  <c r="W15" i="19"/>
  <c r="H35" i="19" s="1"/>
  <c r="Q229" i="19"/>
  <c r="B249" i="19" s="1"/>
  <c r="AO229" i="19"/>
  <c r="Z249" i="19" s="1"/>
  <c r="S231" i="19"/>
  <c r="D251" i="19" s="1"/>
  <c r="D269" i="19" s="1"/>
  <c r="W17" i="19"/>
  <c r="H37" i="19" s="1"/>
  <c r="AF12" i="19"/>
  <c r="Q32" i="19" s="1"/>
  <c r="U234" i="19"/>
  <c r="F254" i="19" s="1"/>
  <c r="AI454" i="19"/>
  <c r="AN340" i="20"/>
  <c r="Y360" i="20" s="1"/>
  <c r="AD441" i="22"/>
  <c r="AI11" i="22"/>
  <c r="T31" i="22" s="1"/>
  <c r="AQ117" i="22"/>
  <c r="AB137" i="22" s="1"/>
  <c r="AI335" i="22"/>
  <c r="T355" i="22" s="1"/>
  <c r="AL121" i="22"/>
  <c r="W141" i="22" s="1"/>
  <c r="AB236" i="22"/>
  <c r="M256" i="22" s="1"/>
  <c r="S345" i="22"/>
  <c r="D365" i="22" s="1"/>
  <c r="R117" i="23"/>
  <c r="C137" i="23" s="1"/>
  <c r="AH121" i="23"/>
  <c r="S141" i="23" s="1"/>
  <c r="W231" i="23"/>
  <c r="H251" i="23" s="1"/>
  <c r="AP125" i="23"/>
  <c r="AA145" i="23" s="1"/>
  <c r="R229" i="19"/>
  <c r="C249" i="19" s="1"/>
  <c r="AP229" i="19"/>
  <c r="AA249" i="19" s="1"/>
  <c r="W231" i="19"/>
  <c r="H251" i="19" s="1"/>
  <c r="AE232" i="19"/>
  <c r="P252" i="19" s="1"/>
  <c r="AC239" i="21"/>
  <c r="Q227" i="22"/>
  <c r="S22" i="23"/>
  <c r="D42" i="23" s="1"/>
  <c r="AJ128" i="23"/>
  <c r="U148" i="23" s="1"/>
  <c r="AK347" i="21"/>
  <c r="V367" i="21" s="1"/>
  <c r="AK26" i="19"/>
  <c r="X440" i="19"/>
  <c r="I460" i="19" s="1"/>
  <c r="AR123" i="19"/>
  <c r="AC143" i="19" s="1"/>
  <c r="S342" i="19"/>
  <c r="D362" i="19" s="1"/>
  <c r="AP121" i="19"/>
  <c r="AA141" i="19" s="1"/>
  <c r="AG443" i="19"/>
  <c r="R463" i="19" s="1"/>
  <c r="AQ19" i="20"/>
  <c r="AB39" i="20" s="1"/>
  <c r="AA334" i="20"/>
  <c r="L354" i="20" s="1"/>
  <c r="AC123" i="20"/>
  <c r="N143" i="20" s="1"/>
  <c r="N161" i="20" s="1"/>
  <c r="AD445" i="20"/>
  <c r="O465" i="20" s="1"/>
  <c r="AP342" i="20"/>
  <c r="AA362" i="20" s="1"/>
  <c r="Z448" i="20"/>
  <c r="K468" i="20" s="1"/>
  <c r="S121" i="20"/>
  <c r="D141" i="20" s="1"/>
  <c r="AJ118" i="21"/>
  <c r="U138" i="21" s="1"/>
  <c r="AN117" i="21"/>
  <c r="Y137" i="21" s="1"/>
  <c r="V25" i="19"/>
  <c r="AL123" i="19"/>
  <c r="W143" i="19" s="1"/>
  <c r="W161" i="19" s="1"/>
  <c r="AB342" i="19"/>
  <c r="M362" i="19" s="1"/>
  <c r="AN15" i="21"/>
  <c r="Y35" i="21" s="1"/>
  <c r="AR118" i="21"/>
  <c r="AC138" i="21" s="1"/>
  <c r="V126" i="21"/>
  <c r="G146" i="21" s="1"/>
  <c r="AI340" i="21"/>
  <c r="T360" i="21" s="1"/>
  <c r="AQ15" i="21"/>
  <c r="AB35" i="21" s="1"/>
  <c r="R118" i="21"/>
  <c r="C138" i="21" s="1"/>
  <c r="W126" i="21"/>
  <c r="H146" i="21" s="1"/>
  <c r="T339" i="22"/>
  <c r="E359" i="22" s="1"/>
  <c r="AF239" i="23"/>
  <c r="S120" i="19"/>
  <c r="D140" i="19" s="1"/>
  <c r="S22" i="19"/>
  <c r="D42" i="19" s="1"/>
  <c r="W121" i="19"/>
  <c r="H141" i="19" s="1"/>
  <c r="R340" i="20"/>
  <c r="C360" i="20" s="1"/>
  <c r="U118" i="21"/>
  <c r="F138" i="21" s="1"/>
  <c r="AC126" i="21"/>
  <c r="N146" i="21" s="1"/>
  <c r="T229" i="21"/>
  <c r="E249" i="21" s="1"/>
  <c r="AM118" i="19"/>
  <c r="X138" i="19" s="1"/>
  <c r="X240" i="20"/>
  <c r="AR337" i="19"/>
  <c r="AC357" i="19" s="1"/>
  <c r="AM440" i="19"/>
  <c r="X460" i="19" s="1"/>
  <c r="AN130" i="20"/>
  <c r="Y150" i="20" s="1"/>
  <c r="AL238" i="20"/>
  <c r="W258" i="20" s="1"/>
  <c r="AK15" i="21"/>
  <c r="V35" i="21" s="1"/>
  <c r="Z118" i="21"/>
  <c r="K138" i="21" s="1"/>
  <c r="AH126" i="21"/>
  <c r="S146" i="21" s="1"/>
  <c r="AH334" i="22"/>
  <c r="S354" i="22" s="1"/>
  <c r="T12" i="20"/>
  <c r="AC118" i="20"/>
  <c r="N138" i="20" s="1"/>
  <c r="AM126" i="20"/>
  <c r="X146" i="20" s="1"/>
  <c r="S15" i="21"/>
  <c r="D35" i="21" s="1"/>
  <c r="AA118" i="21"/>
  <c r="L138" i="21" s="1"/>
  <c r="AI126" i="21"/>
  <c r="T146" i="21" s="1"/>
  <c r="AM232" i="22"/>
  <c r="X252" i="22" s="1"/>
  <c r="Z23" i="23"/>
  <c r="K43" i="23" s="1"/>
  <c r="AO236" i="23"/>
  <c r="Z256" i="23" s="1"/>
  <c r="AK17" i="19"/>
  <c r="V37" i="19" s="1"/>
  <c r="AP118" i="20"/>
  <c r="AA138" i="20" s="1"/>
  <c r="V15" i="21"/>
  <c r="G35" i="21" s="1"/>
  <c r="AD118" i="21"/>
  <c r="O138" i="21" s="1"/>
  <c r="AE126" i="21"/>
  <c r="P146" i="21" s="1"/>
  <c r="AK126" i="21"/>
  <c r="V146" i="21" s="1"/>
  <c r="V226" i="21"/>
  <c r="G246" i="21" s="1"/>
  <c r="AE443" i="21"/>
  <c r="AM234" i="21"/>
  <c r="X254" i="21" s="1"/>
  <c r="AE450" i="21"/>
  <c r="P470" i="21" s="1"/>
  <c r="AP339" i="23"/>
  <c r="AA359" i="23" s="1"/>
  <c r="AA377" i="23" s="1"/>
  <c r="AQ236" i="20"/>
  <c r="AB256" i="20" s="1"/>
  <c r="AR129" i="19"/>
  <c r="AC149" i="19" s="1"/>
  <c r="AC238" i="19"/>
  <c r="N258" i="19" s="1"/>
  <c r="AP443" i="19"/>
  <c r="AA463" i="19" s="1"/>
  <c r="AO16" i="20"/>
  <c r="AB17" i="20"/>
  <c r="M37" i="20" s="1"/>
  <c r="AB26" i="20"/>
  <c r="AR226" i="20"/>
  <c r="AC246" i="20" s="1"/>
  <c r="AO450" i="20"/>
  <c r="Z470" i="20" s="1"/>
  <c r="AK340" i="20"/>
  <c r="V360" i="20" s="1"/>
  <c r="AC234" i="20"/>
  <c r="N254" i="20" s="1"/>
  <c r="AK338" i="20"/>
  <c r="V358" i="20" s="1"/>
  <c r="AO126" i="21"/>
  <c r="AN11" i="22"/>
  <c r="Y31" i="22" s="1"/>
  <c r="AK226" i="22"/>
  <c r="V246" i="22" s="1"/>
  <c r="AB122" i="23"/>
  <c r="M142" i="23" s="1"/>
  <c r="U226" i="23"/>
  <c r="F246" i="23" s="1"/>
  <c r="Z443" i="23"/>
  <c r="K463" i="23" s="1"/>
  <c r="AL16" i="19"/>
  <c r="W36" i="19" s="1"/>
  <c r="W54" i="19" s="1"/>
  <c r="Q22" i="19"/>
  <c r="B42" i="19" s="1"/>
  <c r="Z342" i="19"/>
  <c r="K362" i="19" s="1"/>
  <c r="Z440" i="19"/>
  <c r="K460" i="19" s="1"/>
  <c r="AO443" i="19"/>
  <c r="Z463" i="19" s="1"/>
  <c r="AI118" i="20"/>
  <c r="T138" i="20" s="1"/>
  <c r="T236" i="20"/>
  <c r="E256" i="20" s="1"/>
  <c r="AL239" i="20"/>
  <c r="X349" i="21"/>
  <c r="Z444" i="21"/>
  <c r="K464" i="21" s="1"/>
  <c r="Z455" i="21"/>
  <c r="AE335" i="21"/>
  <c r="P355" i="21" s="1"/>
  <c r="AG121" i="21"/>
  <c r="R141" i="21" s="1"/>
  <c r="AJ231" i="21"/>
  <c r="U251" i="21" s="1"/>
  <c r="AF125" i="21"/>
  <c r="Q145" i="21" s="1"/>
  <c r="AR343" i="21"/>
  <c r="AC363" i="21" s="1"/>
  <c r="AK26" i="22"/>
  <c r="AO27" i="22"/>
  <c r="Z47" i="22" s="1"/>
  <c r="AC227" i="22"/>
  <c r="N247" i="22" s="1"/>
  <c r="AL348" i="22"/>
  <c r="AA452" i="22"/>
  <c r="L472" i="22" s="1"/>
  <c r="AP455" i="22"/>
  <c r="AA475" i="22" s="1"/>
  <c r="AQ22" i="23"/>
  <c r="AB42" i="23" s="1"/>
  <c r="Z24" i="23"/>
  <c r="K44" i="23" s="1"/>
  <c r="AL117" i="23"/>
  <c r="W137" i="23" s="1"/>
  <c r="AQ231" i="23"/>
  <c r="AB251" i="23" s="1"/>
  <c r="AB236" i="23"/>
  <c r="M256" i="23" s="1"/>
  <c r="S443" i="23"/>
  <c r="D463" i="23" s="1"/>
  <c r="AF118" i="23"/>
  <c r="Q138" i="23" s="1"/>
  <c r="AM439" i="23"/>
  <c r="X459" i="23" s="1"/>
  <c r="AI123" i="23"/>
  <c r="T143" i="23" s="1"/>
  <c r="Y234" i="23"/>
  <c r="J254" i="23" s="1"/>
  <c r="Y22" i="19"/>
  <c r="J42" i="19" s="1"/>
  <c r="AF121" i="19"/>
  <c r="Q141" i="19" s="1"/>
  <c r="R123" i="19"/>
  <c r="C143" i="19" s="1"/>
  <c r="T124" i="19"/>
  <c r="E144" i="19" s="1"/>
  <c r="AK342" i="19"/>
  <c r="V362" i="19" s="1"/>
  <c r="AD346" i="19"/>
  <c r="O366" i="19" s="1"/>
  <c r="AR440" i="19"/>
  <c r="AC460" i="19" s="1"/>
  <c r="AO19" i="20"/>
  <c r="Z39" i="20" s="1"/>
  <c r="Z236" i="20"/>
  <c r="K256" i="20" s="1"/>
  <c r="R238" i="20"/>
  <c r="C258" i="20" s="1"/>
  <c r="AC240" i="20"/>
  <c r="Z234" i="21"/>
  <c r="K254" i="21" s="1"/>
  <c r="AE341" i="21"/>
  <c r="P361" i="21" s="1"/>
  <c r="AC442" i="21"/>
  <c r="N462" i="21" s="1"/>
  <c r="AX11" i="22"/>
  <c r="AP25" i="22"/>
  <c r="R121" i="22"/>
  <c r="C141" i="22" s="1"/>
  <c r="Q236" i="22"/>
  <c r="B256" i="22" s="1"/>
  <c r="U239" i="22"/>
  <c r="AL15" i="22"/>
  <c r="W35" i="22" s="1"/>
  <c r="AJ118" i="22"/>
  <c r="U138" i="22" s="1"/>
  <c r="AB126" i="22"/>
  <c r="M146" i="22" s="1"/>
  <c r="AK342" i="22"/>
  <c r="V362" i="22" s="1"/>
  <c r="Z227" i="23"/>
  <c r="K247" i="23" s="1"/>
  <c r="AH455" i="23"/>
  <c r="S475" i="23" s="1"/>
  <c r="U20" i="23"/>
  <c r="F40" i="23" s="1"/>
  <c r="AI448" i="23"/>
  <c r="T468" i="23" s="1"/>
  <c r="AA22" i="19"/>
  <c r="L42" i="19" s="1"/>
  <c r="T123" i="19"/>
  <c r="E143" i="19" s="1"/>
  <c r="U12" i="20"/>
  <c r="F32" i="20" s="1"/>
  <c r="AA120" i="20"/>
  <c r="L140" i="20" s="1"/>
  <c r="W126" i="20"/>
  <c r="H146" i="20" s="1"/>
  <c r="AA236" i="20"/>
  <c r="L256" i="20" s="1"/>
  <c r="AP238" i="20"/>
  <c r="AA258" i="20" s="1"/>
  <c r="AE240" i="20"/>
  <c r="AE346" i="20"/>
  <c r="P366" i="20" s="1"/>
  <c r="AN445" i="20"/>
  <c r="Y465" i="20" s="1"/>
  <c r="R448" i="20"/>
  <c r="C468" i="20" s="1"/>
  <c r="AQ443" i="20"/>
  <c r="AB463" i="20" s="1"/>
  <c r="W119" i="21"/>
  <c r="H139" i="21" s="1"/>
  <c r="AC129" i="21"/>
  <c r="N149" i="21" s="1"/>
  <c r="AH234" i="21"/>
  <c r="S254" i="21" s="1"/>
  <c r="AB442" i="21"/>
  <c r="AB24" i="22"/>
  <c r="M44" i="22" s="1"/>
  <c r="AQ119" i="22"/>
  <c r="AB139" i="22" s="1"/>
  <c r="Z121" i="22"/>
  <c r="K141" i="22" s="1"/>
  <c r="AB226" i="22"/>
  <c r="M246" i="22" s="1"/>
  <c r="AE347" i="22"/>
  <c r="P367" i="22" s="1"/>
  <c r="AH349" i="22"/>
  <c r="X451" i="22"/>
  <c r="I471" i="22" s="1"/>
  <c r="AK238" i="23"/>
  <c r="V258" i="23" s="1"/>
  <c r="AE440" i="23"/>
  <c r="P460" i="23" s="1"/>
  <c r="AG22" i="19"/>
  <c r="R42" i="19" s="1"/>
  <c r="AD123" i="19"/>
  <c r="O143" i="19" s="1"/>
  <c r="AO12" i="20"/>
  <c r="Z32" i="20" s="1"/>
  <c r="Z118" i="20"/>
  <c r="K138" i="20" s="1"/>
  <c r="R121" i="20"/>
  <c r="C141" i="20" s="1"/>
  <c r="S126" i="20"/>
  <c r="D146" i="20" s="1"/>
  <c r="AD236" i="20"/>
  <c r="AK334" i="20"/>
  <c r="V354" i="20" s="1"/>
  <c r="AR11" i="21"/>
  <c r="AC31" i="21" s="1"/>
  <c r="U347" i="21"/>
  <c r="F367" i="21" s="1"/>
  <c r="AZ11" i="22"/>
  <c r="AJ226" i="22"/>
  <c r="U246" i="22" s="1"/>
  <c r="AC226" i="23"/>
  <c r="N246" i="23" s="1"/>
  <c r="AP26" i="19"/>
  <c r="AG123" i="19"/>
  <c r="R143" i="19" s="1"/>
  <c r="AJ440" i="19"/>
  <c r="U460" i="19" s="1"/>
  <c r="AM443" i="19"/>
  <c r="X463" i="19" s="1"/>
  <c r="AR12" i="20"/>
  <c r="AC32" i="20" s="1"/>
  <c r="T118" i="20"/>
  <c r="E138" i="20" s="1"/>
  <c r="X121" i="20"/>
  <c r="I141" i="20" s="1"/>
  <c r="Q123" i="20"/>
  <c r="B143" i="20" s="1"/>
  <c r="AC126" i="20"/>
  <c r="N146" i="20" s="1"/>
  <c r="AK236" i="20"/>
  <c r="V256" i="20" s="1"/>
  <c r="AQ342" i="20"/>
  <c r="AB362" i="20" s="1"/>
  <c r="R11" i="22"/>
  <c r="C31" i="22" s="1"/>
  <c r="AC26" i="19"/>
  <c r="Q342" i="19"/>
  <c r="B362" i="19" s="1"/>
  <c r="R440" i="19"/>
  <c r="C460" i="19" s="1"/>
  <c r="Z443" i="19"/>
  <c r="K463" i="19" s="1"/>
  <c r="W118" i="20"/>
  <c r="H138" i="20" s="1"/>
  <c r="AA119" i="20"/>
  <c r="AE121" i="20"/>
  <c r="P141" i="20" s="1"/>
  <c r="AI126" i="20"/>
  <c r="T146" i="20" s="1"/>
  <c r="AO236" i="20"/>
  <c r="Z256" i="20" s="1"/>
  <c r="S131" i="21"/>
  <c r="Z347" i="21"/>
  <c r="K367" i="21" s="1"/>
  <c r="AA453" i="21"/>
  <c r="AK20" i="21"/>
  <c r="V40" i="21" s="1"/>
  <c r="X334" i="21"/>
  <c r="I354" i="21" s="1"/>
  <c r="AD123" i="21"/>
  <c r="O143" i="21" s="1"/>
  <c r="AM342" i="21"/>
  <c r="X362" i="21" s="1"/>
  <c r="AC448" i="21"/>
  <c r="N468" i="21" s="1"/>
  <c r="AP444" i="22"/>
  <c r="AA464" i="22" s="1"/>
  <c r="AR226" i="23"/>
  <c r="AC246" i="23" s="1"/>
  <c r="AQ228" i="23"/>
  <c r="AB248" i="23" s="1"/>
  <c r="AD232" i="23"/>
  <c r="O252" i="23" s="1"/>
  <c r="AD117" i="23"/>
  <c r="O137" i="23" s="1"/>
  <c r="T121" i="23"/>
  <c r="E141" i="23" s="1"/>
  <c r="AQ18" i="20"/>
  <c r="AB38" i="20" s="1"/>
  <c r="AR121" i="20"/>
  <c r="AC141" i="20" s="1"/>
  <c r="S236" i="20"/>
  <c r="D256" i="20" s="1"/>
  <c r="AR236" i="20"/>
  <c r="AC256" i="20" s="1"/>
  <c r="AE118" i="19"/>
  <c r="P138" i="19" s="1"/>
  <c r="AM226" i="19"/>
  <c r="X246" i="19" s="1"/>
  <c r="AD439" i="19"/>
  <c r="O459" i="19" s="1"/>
  <c r="AI236" i="19"/>
  <c r="T256" i="19" s="1"/>
  <c r="AM340" i="19"/>
  <c r="X360" i="19" s="1"/>
  <c r="AQ126" i="19"/>
  <c r="AB146" i="19" s="1"/>
  <c r="T234" i="19"/>
  <c r="E254" i="19" s="1"/>
  <c r="AR447" i="19"/>
  <c r="AC467" i="19" s="1"/>
  <c r="AM240" i="19"/>
  <c r="S454" i="19"/>
  <c r="U338" i="19"/>
  <c r="F358" i="19" s="1"/>
  <c r="AO131" i="21"/>
  <c r="AN118" i="19"/>
  <c r="Y138" i="19" s="1"/>
  <c r="AC234" i="19"/>
  <c r="N254" i="19" s="1"/>
  <c r="AQ237" i="19"/>
  <c r="AB257" i="19" s="1"/>
  <c r="AI338" i="19"/>
  <c r="T358" i="19" s="1"/>
  <c r="AA340" i="19"/>
  <c r="L360" i="19" s="1"/>
  <c r="Z341" i="19"/>
  <c r="K361" i="19" s="1"/>
  <c r="AQ439" i="19"/>
  <c r="AB459" i="19" s="1"/>
  <c r="AQ454" i="19"/>
  <c r="AN27" i="20"/>
  <c r="Y47" i="20" s="1"/>
  <c r="AE117" i="20"/>
  <c r="P137" i="20" s="1"/>
  <c r="AI128" i="20"/>
  <c r="T148" i="20" s="1"/>
  <c r="AB226" i="20"/>
  <c r="M246" i="20" s="1"/>
  <c r="Z238" i="20"/>
  <c r="K258" i="20" s="1"/>
  <c r="U340" i="20"/>
  <c r="F360" i="20" s="1"/>
  <c r="AO340" i="20"/>
  <c r="AB341" i="20"/>
  <c r="M361" i="20" s="1"/>
  <c r="AL441" i="20"/>
  <c r="W461" i="20" s="1"/>
  <c r="X226" i="20"/>
  <c r="I246" i="20" s="1"/>
  <c r="Y450" i="20"/>
  <c r="J470" i="20" s="1"/>
  <c r="AM234" i="20"/>
  <c r="X254" i="20" s="1"/>
  <c r="AN454" i="20"/>
  <c r="V232" i="21"/>
  <c r="G252" i="21" s="1"/>
  <c r="R441" i="21"/>
  <c r="C461" i="21" s="1"/>
  <c r="AO455" i="21"/>
  <c r="Z475" i="21" s="1"/>
  <c r="AH448" i="21"/>
  <c r="S468" i="21" s="1"/>
  <c r="AK24" i="22"/>
  <c r="V44" i="22" s="1"/>
  <c r="Q25" i="22"/>
  <c r="T27" i="22"/>
  <c r="E47" i="22" s="1"/>
  <c r="AB227" i="22"/>
  <c r="M247" i="22" s="1"/>
  <c r="AJ334" i="22"/>
  <c r="U354" i="22" s="1"/>
  <c r="AM450" i="22"/>
  <c r="AI24" i="23"/>
  <c r="T44" i="23" s="1"/>
  <c r="AR120" i="23"/>
  <c r="AC140" i="23" s="1"/>
  <c r="AL129" i="23"/>
  <c r="W149" i="23" s="1"/>
  <c r="AG131" i="23"/>
  <c r="R232" i="23"/>
  <c r="C252" i="23" s="1"/>
  <c r="AC341" i="23"/>
  <c r="N361" i="23" s="1"/>
  <c r="Q442" i="23"/>
  <c r="B462" i="23" s="1"/>
  <c r="AJ226" i="19"/>
  <c r="U246" i="19" s="1"/>
  <c r="AJ234" i="19"/>
  <c r="U254" i="19" s="1"/>
  <c r="AG340" i="19"/>
  <c r="R360" i="19" s="1"/>
  <c r="AD447" i="19"/>
  <c r="O467" i="19" s="1"/>
  <c r="AR117" i="20"/>
  <c r="AC137" i="20" s="1"/>
  <c r="Z128" i="20"/>
  <c r="K148" i="20" s="1"/>
  <c r="AF226" i="20"/>
  <c r="Q246" i="20" s="1"/>
  <c r="AM227" i="20"/>
  <c r="X247" i="20" s="1"/>
  <c r="X340" i="20"/>
  <c r="AP340" i="20"/>
  <c r="AA360" i="20" s="1"/>
  <c r="AQ236" i="19"/>
  <c r="AB256" i="19" s="1"/>
  <c r="AF240" i="19"/>
  <c r="AN447" i="20"/>
  <c r="Y467" i="20" s="1"/>
  <c r="AR232" i="21"/>
  <c r="AC252" i="21" s="1"/>
  <c r="AO238" i="21"/>
  <c r="Z258" i="21" s="1"/>
  <c r="AG441" i="21"/>
  <c r="R461" i="21" s="1"/>
  <c r="S455" i="21"/>
  <c r="AD225" i="21"/>
  <c r="O245" i="21" s="1"/>
  <c r="AG233" i="21"/>
  <c r="R253" i="21" s="1"/>
  <c r="AQ345" i="21"/>
  <c r="AB365" i="21" s="1"/>
  <c r="AB25" i="22"/>
  <c r="AB27" i="22"/>
  <c r="M47" i="22" s="1"/>
  <c r="R227" i="22"/>
  <c r="C247" i="22" s="1"/>
  <c r="AM239" i="22"/>
  <c r="AI337" i="22"/>
  <c r="T357" i="22" s="1"/>
  <c r="W450" i="22"/>
  <c r="H470" i="22" s="1"/>
  <c r="AN453" i="22"/>
  <c r="T225" i="22"/>
  <c r="E245" i="22" s="1"/>
  <c r="AC334" i="22"/>
  <c r="N354" i="22" s="1"/>
  <c r="AL338" i="22"/>
  <c r="W358" i="22" s="1"/>
  <c r="S232" i="23"/>
  <c r="D252" i="23" s="1"/>
  <c r="AM441" i="23"/>
  <c r="X461" i="23" s="1"/>
  <c r="T442" i="23"/>
  <c r="E462" i="23" s="1"/>
  <c r="AP118" i="19"/>
  <c r="AA138" i="19" s="1"/>
  <c r="Q226" i="19"/>
  <c r="B246" i="19" s="1"/>
  <c r="AB236" i="19"/>
  <c r="M256" i="19" s="1"/>
  <c r="AI340" i="19"/>
  <c r="T360" i="19" s="1"/>
  <c r="S447" i="19"/>
  <c r="D467" i="19" s="1"/>
  <c r="AD128" i="20"/>
  <c r="O148" i="20" s="1"/>
  <c r="AJ226" i="20"/>
  <c r="U246" i="20" s="1"/>
  <c r="AA340" i="20"/>
  <c r="AQ340" i="20"/>
  <c r="AB360" i="20" s="1"/>
  <c r="AD228" i="21"/>
  <c r="O248" i="21" s="1"/>
  <c r="Y232" i="21"/>
  <c r="J252" i="21" s="1"/>
  <c r="AK342" i="21"/>
  <c r="V362" i="21" s="1"/>
  <c r="AY13" i="22"/>
  <c r="AN120" i="22"/>
  <c r="Y140" i="22" s="1"/>
  <c r="U227" i="22"/>
  <c r="F247" i="22" s="1"/>
  <c r="AF442" i="22"/>
  <c r="Q462" i="22" s="1"/>
  <c r="Z338" i="22"/>
  <c r="K358" i="22" s="1"/>
  <c r="AI128" i="22"/>
  <c r="T148" i="22" s="1"/>
  <c r="V232" i="23"/>
  <c r="G252" i="23" s="1"/>
  <c r="AC441" i="23"/>
  <c r="N461" i="23" s="1"/>
  <c r="AO452" i="23"/>
  <c r="Z472" i="23" s="1"/>
  <c r="U118" i="19"/>
  <c r="F138" i="19" s="1"/>
  <c r="X226" i="19"/>
  <c r="I246" i="19" s="1"/>
  <c r="X240" i="19"/>
  <c r="AO340" i="19"/>
  <c r="Z360" i="19" s="1"/>
  <c r="Z378" i="19" s="1"/>
  <c r="Y447" i="19"/>
  <c r="J467" i="19" s="1"/>
  <c r="AK17" i="20"/>
  <c r="V37" i="20" s="1"/>
  <c r="AJ26" i="20"/>
  <c r="W132" i="20"/>
  <c r="AN226" i="20"/>
  <c r="Y246" i="20" s="1"/>
  <c r="AB340" i="20"/>
  <c r="M360" i="20" s="1"/>
  <c r="AR340" i="20"/>
  <c r="AH450" i="20"/>
  <c r="S470" i="20" s="1"/>
  <c r="AA232" i="21"/>
  <c r="L252" i="21" s="1"/>
  <c r="AB337" i="21"/>
  <c r="M357" i="21" s="1"/>
  <c r="AI126" i="22"/>
  <c r="T146" i="22" s="1"/>
  <c r="AL334" i="22"/>
  <c r="W354" i="22" s="1"/>
  <c r="AE232" i="23"/>
  <c r="P252" i="23" s="1"/>
  <c r="AC443" i="23"/>
  <c r="N463" i="23" s="1"/>
  <c r="AR451" i="23"/>
  <c r="AC471" i="23" s="1"/>
  <c r="V452" i="23"/>
  <c r="G472" i="23" s="1"/>
  <c r="T22" i="23"/>
  <c r="E42" i="23" s="1"/>
  <c r="AP335" i="23"/>
  <c r="AA355" i="23" s="1"/>
  <c r="AM338" i="23"/>
  <c r="X358" i="23" s="1"/>
  <c r="AC231" i="23"/>
  <c r="N251" i="23" s="1"/>
  <c r="AK128" i="23"/>
  <c r="V148" i="23" s="1"/>
  <c r="AF236" i="23"/>
  <c r="Q256" i="23" s="1"/>
  <c r="AN12" i="19"/>
  <c r="Y32" i="19" s="1"/>
  <c r="T18" i="19"/>
  <c r="E38" i="19" s="1"/>
  <c r="V118" i="19"/>
  <c r="G138" i="19" s="1"/>
  <c r="AB226" i="19"/>
  <c r="M246" i="19" s="1"/>
  <c r="AE240" i="19"/>
  <c r="AP338" i="19"/>
  <c r="AA358" i="19" s="1"/>
  <c r="AK447" i="19"/>
  <c r="V467" i="19" s="1"/>
  <c r="AJ453" i="19"/>
  <c r="AK117" i="20"/>
  <c r="AC132" i="20"/>
  <c r="AC340" i="20"/>
  <c r="N360" i="20" s="1"/>
  <c r="AK450" i="20"/>
  <c r="V470" i="20" s="1"/>
  <c r="AQ232" i="21"/>
  <c r="AB252" i="21" s="1"/>
  <c r="AA337" i="21"/>
  <c r="L357" i="21" s="1"/>
  <c r="AR348" i="21"/>
  <c r="R126" i="22"/>
  <c r="C146" i="22" s="1"/>
  <c r="R334" i="22"/>
  <c r="C354" i="22" s="1"/>
  <c r="T455" i="22"/>
  <c r="E475" i="22" s="1"/>
  <c r="V117" i="22"/>
  <c r="G137" i="22" s="1"/>
  <c r="AN121" i="22"/>
  <c r="Y141" i="22" s="1"/>
  <c r="AO443" i="22"/>
  <c r="Z463" i="22" s="1"/>
  <c r="U125" i="22"/>
  <c r="F145" i="22" s="1"/>
  <c r="AP345" i="22"/>
  <c r="AA365" i="22" s="1"/>
  <c r="Y133" i="23"/>
  <c r="J153" i="23" s="1"/>
  <c r="T226" i="23"/>
  <c r="E246" i="23" s="1"/>
  <c r="AJ227" i="23"/>
  <c r="U247" i="23" s="1"/>
  <c r="AL233" i="23"/>
  <c r="W253" i="23" s="1"/>
  <c r="AJ443" i="23"/>
  <c r="U463" i="23" s="1"/>
  <c r="AP452" i="23"/>
  <c r="AA472" i="23" s="1"/>
  <c r="AD118" i="19"/>
  <c r="O138" i="19" s="1"/>
  <c r="AI226" i="19"/>
  <c r="T246" i="19" s="1"/>
  <c r="AP234" i="19"/>
  <c r="AA254" i="19" s="1"/>
  <c r="S338" i="19"/>
  <c r="D358" i="19" s="1"/>
  <c r="AP454" i="19"/>
  <c r="U117" i="20"/>
  <c r="F137" i="20" s="1"/>
  <c r="AI340" i="20"/>
  <c r="T360" i="20" s="1"/>
  <c r="AF340" i="20"/>
  <c r="Q360" i="20" s="1"/>
  <c r="AK347" i="20"/>
  <c r="V367" i="20" s="1"/>
  <c r="AQ11" i="20"/>
  <c r="AB31" i="20" s="1"/>
  <c r="U123" i="21"/>
  <c r="F143" i="21" s="1"/>
  <c r="R348" i="21"/>
  <c r="X342" i="21"/>
  <c r="I362" i="21" s="1"/>
  <c r="Q24" i="22"/>
  <c r="B44" i="22" s="1"/>
  <c r="AK241" i="22"/>
  <c r="V261" i="22" s="1"/>
  <c r="V334" i="22"/>
  <c r="G354" i="22" s="1"/>
  <c r="AB349" i="22"/>
  <c r="AO441" i="22"/>
  <c r="Z461" i="22" s="1"/>
  <c r="AJ455" i="22"/>
  <c r="U475" i="22" s="1"/>
  <c r="S27" i="23"/>
  <c r="D47" i="23" s="1"/>
  <c r="AR132" i="23"/>
  <c r="AG442" i="23"/>
  <c r="R462" i="23" s="1"/>
  <c r="Y454" i="23"/>
  <c r="AM23" i="20"/>
  <c r="X43" i="20" s="1"/>
  <c r="Q340" i="20"/>
  <c r="B360" i="20" s="1"/>
  <c r="AR133" i="21"/>
  <c r="AC153" i="21" s="1"/>
  <c r="U348" i="21"/>
  <c r="Q441" i="21"/>
  <c r="AL442" i="21"/>
  <c r="W462" i="21" s="1"/>
  <c r="AH444" i="21"/>
  <c r="S464" i="21" s="1"/>
  <c r="Q27" i="22"/>
  <c r="B47" i="22" s="1"/>
  <c r="AH227" i="22"/>
  <c r="S247" i="22" s="1"/>
  <c r="AO240" i="22"/>
  <c r="AR339" i="22"/>
  <c r="AC359" i="22" s="1"/>
  <c r="AM348" i="22"/>
  <c r="AC118" i="22"/>
  <c r="N138" i="22" s="1"/>
  <c r="AG439" i="22"/>
  <c r="R459" i="22" s="1"/>
  <c r="AN126" i="22"/>
  <c r="Y146" i="22" s="1"/>
  <c r="AO342" i="22"/>
  <c r="Z362" i="22" s="1"/>
  <c r="AA447" i="22"/>
  <c r="L467" i="22" s="1"/>
  <c r="AP232" i="23"/>
  <c r="AA252" i="23" s="1"/>
  <c r="AP446" i="23"/>
  <c r="AA466" i="23" s="1"/>
  <c r="AQ15" i="23"/>
  <c r="AB35" i="23" s="1"/>
  <c r="AK126" i="23"/>
  <c r="V146" i="23" s="1"/>
  <c r="AH12" i="19"/>
  <c r="S32" i="19" s="1"/>
  <c r="AC17" i="19"/>
  <c r="N37" i="19" s="1"/>
  <c r="AB18" i="19"/>
  <c r="M38" i="19" s="1"/>
  <c r="AG124" i="19"/>
  <c r="R144" i="19" s="1"/>
  <c r="Q452" i="19"/>
  <c r="B472" i="19" s="1"/>
  <c r="AQ346" i="20"/>
  <c r="AB366" i="20" s="1"/>
  <c r="W448" i="20"/>
  <c r="H468" i="20" s="1"/>
  <c r="Y19" i="22"/>
  <c r="J39" i="22" s="1"/>
  <c r="Q19" i="22"/>
  <c r="B39" i="22" s="1"/>
  <c r="AX32" i="22"/>
  <c r="S20" i="22"/>
  <c r="D40" i="22" s="1"/>
  <c r="AA20" i="22"/>
  <c r="L40" i="22" s="1"/>
  <c r="AY33" i="22"/>
  <c r="AJ22" i="22"/>
  <c r="U42" i="22" s="1"/>
  <c r="AZ16" i="22"/>
  <c r="AB22" i="22"/>
  <c r="M42" i="22" s="1"/>
  <c r="Y22" i="22"/>
  <c r="J42" i="22" s="1"/>
  <c r="AL22" i="22"/>
  <c r="W42" i="22" s="1"/>
  <c r="W225" i="22"/>
  <c r="H245" i="22" s="1"/>
  <c r="U225" i="22"/>
  <c r="F245" i="22" s="1"/>
  <c r="AL225" i="22"/>
  <c r="W245" i="22" s="1"/>
  <c r="S225" i="22"/>
  <c r="D245" i="22" s="1"/>
  <c r="AI225" i="22"/>
  <c r="T245" i="22" s="1"/>
  <c r="AQ225" i="22"/>
  <c r="AB245" i="22" s="1"/>
  <c r="AF335" i="22"/>
  <c r="Q355" i="22" s="1"/>
  <c r="AA335" i="22"/>
  <c r="L355" i="22" s="1"/>
  <c r="U335" i="22"/>
  <c r="F355" i="22" s="1"/>
  <c r="AK335" i="22"/>
  <c r="V355" i="22" s="1"/>
  <c r="Q335" i="22"/>
  <c r="B355" i="22" s="1"/>
  <c r="X440" i="22"/>
  <c r="I460" i="22" s="1"/>
  <c r="AE440" i="22"/>
  <c r="P460" i="22" s="1"/>
  <c r="AC440" i="22"/>
  <c r="N460" i="22" s="1"/>
  <c r="X445" i="22"/>
  <c r="I465" i="22" s="1"/>
  <c r="U445" i="22"/>
  <c r="F465" i="22" s="1"/>
  <c r="R445" i="22"/>
  <c r="C465" i="22" s="1"/>
  <c r="AR445" i="22"/>
  <c r="AC465" i="22" s="1"/>
  <c r="AQ445" i="22"/>
  <c r="AB465" i="22" s="1"/>
  <c r="AO445" i="22"/>
  <c r="Z465" i="22" s="1"/>
  <c r="AK445" i="22"/>
  <c r="V465" i="22" s="1"/>
  <c r="AN236" i="22"/>
  <c r="Y256" i="22" s="1"/>
  <c r="AA236" i="22"/>
  <c r="L256" i="22" s="1"/>
  <c r="AK236" i="22"/>
  <c r="V256" i="22" s="1"/>
  <c r="Y236" i="22"/>
  <c r="J256" i="22" s="1"/>
  <c r="AH236" i="22"/>
  <c r="S256" i="22" s="1"/>
  <c r="U236" i="22"/>
  <c r="F256" i="22" s="1"/>
  <c r="AQ236" i="22"/>
  <c r="AB256" i="22" s="1"/>
  <c r="AF236" i="22"/>
  <c r="Q256" i="22" s="1"/>
  <c r="S236" i="22"/>
  <c r="D256" i="22" s="1"/>
  <c r="AI343" i="22"/>
  <c r="T363" i="22" s="1"/>
  <c r="AB343" i="22"/>
  <c r="M363" i="22" s="1"/>
  <c r="AP340" i="23"/>
  <c r="AA360" i="23" s="1"/>
  <c r="AD340" i="23"/>
  <c r="O360" i="23" s="1"/>
  <c r="AP27" i="19"/>
  <c r="AA47" i="19" s="1"/>
  <c r="U124" i="19"/>
  <c r="F144" i="19" s="1"/>
  <c r="W131" i="19"/>
  <c r="AI227" i="19"/>
  <c r="T247" i="19" s="1"/>
  <c r="W241" i="19"/>
  <c r="H261" i="19" s="1"/>
  <c r="AD442" i="19"/>
  <c r="O462" i="19" s="1"/>
  <c r="X451" i="19"/>
  <c r="I471" i="19" s="1"/>
  <c r="AG348" i="20"/>
  <c r="AH448" i="20"/>
  <c r="S468" i="20" s="1"/>
  <c r="AQ16" i="22"/>
  <c r="AB36" i="22" s="1"/>
  <c r="AG16" i="22"/>
  <c r="R36" i="22" s="1"/>
  <c r="V16" i="22"/>
  <c r="G36" i="22" s="1"/>
  <c r="Q16" i="22"/>
  <c r="B36" i="22" s="1"/>
  <c r="AM230" i="22"/>
  <c r="X250" i="22" s="1"/>
  <c r="X268" i="22" s="1"/>
  <c r="W230" i="22"/>
  <c r="H250" i="22" s="1"/>
  <c r="AO236" i="22"/>
  <c r="Z256" i="22" s="1"/>
  <c r="X335" i="22"/>
  <c r="I355" i="22" s="1"/>
  <c r="AI236" i="22"/>
  <c r="T256" i="22" s="1"/>
  <c r="AK453" i="23"/>
  <c r="AR453" i="23"/>
  <c r="AQ453" i="23"/>
  <c r="AG453" i="23"/>
  <c r="AC453" i="23"/>
  <c r="S453" i="23"/>
  <c r="R453" i="23"/>
  <c r="X14" i="19"/>
  <c r="I34" i="19" s="1"/>
  <c r="V16" i="19"/>
  <c r="G36" i="19" s="1"/>
  <c r="G54" i="19" s="1"/>
  <c r="AR347" i="19"/>
  <c r="AC367" i="19" s="1"/>
  <c r="AH228" i="20"/>
  <c r="S248" i="20" s="1"/>
  <c r="AN339" i="20"/>
  <c r="Y359" i="20" s="1"/>
  <c r="AD348" i="20"/>
  <c r="AP448" i="20"/>
  <c r="AA468" i="20" s="1"/>
  <c r="Q124" i="21"/>
  <c r="B144" i="21" s="1"/>
  <c r="Y241" i="21"/>
  <c r="J261" i="21" s="1"/>
  <c r="Q241" i="21"/>
  <c r="B261" i="21" s="1"/>
  <c r="AN335" i="21"/>
  <c r="Y355" i="21" s="1"/>
  <c r="AF343" i="21"/>
  <c r="Q363" i="21" s="1"/>
  <c r="AM446" i="22"/>
  <c r="X466" i="22" s="1"/>
  <c r="AQ17" i="19"/>
  <c r="AB37" i="19" s="1"/>
  <c r="AC120" i="19"/>
  <c r="N140" i="19" s="1"/>
  <c r="AI124" i="19"/>
  <c r="T144" i="19" s="1"/>
  <c r="AG230" i="19"/>
  <c r="R250" i="19" s="1"/>
  <c r="AL339" i="19"/>
  <c r="W359" i="19" s="1"/>
  <c r="AF444" i="19"/>
  <c r="Q464" i="19" s="1"/>
  <c r="AO25" i="20"/>
  <c r="Y225" i="20"/>
  <c r="J245" i="20" s="1"/>
  <c r="AM347" i="20"/>
  <c r="X367" i="20" s="1"/>
  <c r="AA349" i="20"/>
  <c r="AR446" i="20"/>
  <c r="AC466" i="20" s="1"/>
  <c r="AQ448" i="20"/>
  <c r="AB468" i="20" s="1"/>
  <c r="AK339" i="21"/>
  <c r="V359" i="21" s="1"/>
  <c r="AH339" i="21"/>
  <c r="S359" i="21" s="1"/>
  <c r="AG339" i="21"/>
  <c r="R359" i="21" s="1"/>
  <c r="AB339" i="21"/>
  <c r="M359" i="21" s="1"/>
  <c r="U339" i="21"/>
  <c r="F359" i="21" s="1"/>
  <c r="T339" i="21"/>
  <c r="E359" i="21" s="1"/>
  <c r="S339" i="21"/>
  <c r="D359" i="21" s="1"/>
  <c r="AQ22" i="21"/>
  <c r="AB42" i="21" s="1"/>
  <c r="AX16" i="21"/>
  <c r="AJ117" i="21"/>
  <c r="U137" i="21" s="1"/>
  <c r="AE117" i="21"/>
  <c r="P137" i="21" s="1"/>
  <c r="AA117" i="21"/>
  <c r="L137" i="21" s="1"/>
  <c r="W117" i="21"/>
  <c r="H137" i="21" s="1"/>
  <c r="V117" i="21"/>
  <c r="G137" i="21" s="1"/>
  <c r="AP225" i="21"/>
  <c r="AA245" i="21" s="1"/>
  <c r="Y225" i="21"/>
  <c r="J245" i="21" s="1"/>
  <c r="AL225" i="21"/>
  <c r="W245" i="21" s="1"/>
  <c r="AQ338" i="21"/>
  <c r="AB358" i="21" s="1"/>
  <c r="Y338" i="21"/>
  <c r="J358" i="21" s="1"/>
  <c r="AL128" i="21"/>
  <c r="W148" i="21" s="1"/>
  <c r="Y128" i="21"/>
  <c r="J148" i="21" s="1"/>
  <c r="AO14" i="22"/>
  <c r="Z34" i="22" s="1"/>
  <c r="AF14" i="22"/>
  <c r="Q34" i="22" s="1"/>
  <c r="AJ336" i="22"/>
  <c r="U356" i="22" s="1"/>
  <c r="AR336" i="22"/>
  <c r="AC356" i="22" s="1"/>
  <c r="AM336" i="22"/>
  <c r="X356" i="22" s="1"/>
  <c r="Z336" i="22"/>
  <c r="K356" i="22" s="1"/>
  <c r="T336" i="22"/>
  <c r="E356" i="22" s="1"/>
  <c r="S336" i="22"/>
  <c r="D356" i="22" s="1"/>
  <c r="Y446" i="22"/>
  <c r="J466" i="22" s="1"/>
  <c r="R446" i="22"/>
  <c r="C466" i="22" s="1"/>
  <c r="AQ234" i="23"/>
  <c r="AB254" i="23" s="1"/>
  <c r="Q439" i="23"/>
  <c r="B459" i="23" s="1"/>
  <c r="Y455" i="23"/>
  <c r="J475" i="23" s="1"/>
  <c r="AP17" i="19"/>
  <c r="AA37" i="19" s="1"/>
  <c r="AI130" i="19"/>
  <c r="T150" i="19" s="1"/>
  <c r="AG238" i="19"/>
  <c r="R258" i="19" s="1"/>
  <c r="AJ441" i="19"/>
  <c r="U461" i="19" s="1"/>
  <c r="V455" i="19"/>
  <c r="G475" i="19" s="1"/>
  <c r="AL124" i="20"/>
  <c r="W144" i="20" s="1"/>
  <c r="AF133" i="20"/>
  <c r="Q153" i="20" s="1"/>
  <c r="AD225" i="22"/>
  <c r="O245" i="22" s="1"/>
  <c r="AF228" i="22"/>
  <c r="Q248" i="22" s="1"/>
  <c r="AD230" i="23"/>
  <c r="O250" i="23" s="1"/>
  <c r="AF230" i="23"/>
  <c r="Q250" i="23" s="1"/>
  <c r="T230" i="23"/>
  <c r="E250" i="23" s="1"/>
  <c r="AE130" i="21"/>
  <c r="P150" i="21" s="1"/>
  <c r="AN130" i="21"/>
  <c r="Y150" i="21" s="1"/>
  <c r="U17" i="19"/>
  <c r="F37" i="19" s="1"/>
  <c r="AN122" i="21"/>
  <c r="Y142" i="21" s="1"/>
  <c r="AR122" i="21"/>
  <c r="AC142" i="21" s="1"/>
  <c r="AC160" i="21" s="1"/>
  <c r="R122" i="21"/>
  <c r="C142" i="21" s="1"/>
  <c r="AY25" i="23"/>
  <c r="AP25" i="23"/>
  <c r="AL336" i="21"/>
  <c r="W356" i="21" s="1"/>
  <c r="AM336" i="21"/>
  <c r="X356" i="21" s="1"/>
  <c r="T336" i="21"/>
  <c r="E356" i="21" s="1"/>
  <c r="R122" i="19"/>
  <c r="C142" i="19" s="1"/>
  <c r="Q129" i="19"/>
  <c r="B149" i="19" s="1"/>
  <c r="AN228" i="19"/>
  <c r="Y248" i="19" s="1"/>
  <c r="AH237" i="19"/>
  <c r="S257" i="19" s="1"/>
  <c r="R341" i="19"/>
  <c r="C361" i="19" s="1"/>
  <c r="Q119" i="20"/>
  <c r="B139" i="20" s="1"/>
  <c r="AI227" i="20"/>
  <c r="T247" i="20" s="1"/>
  <c r="AK336" i="20"/>
  <c r="V356" i="20" s="1"/>
  <c r="Z341" i="20"/>
  <c r="K361" i="20" s="1"/>
  <c r="AH444" i="20"/>
  <c r="S464" i="20" s="1"/>
  <c r="AF452" i="20"/>
  <c r="Q472" i="20" s="1"/>
  <c r="AI11" i="19"/>
  <c r="T31" i="19" s="1"/>
  <c r="AC24" i="21"/>
  <c r="N44" i="21" s="1"/>
  <c r="AL24" i="21"/>
  <c r="W44" i="21" s="1"/>
  <c r="X24" i="21"/>
  <c r="I44" i="21" s="1"/>
  <c r="S24" i="21"/>
  <c r="D44" i="21" s="1"/>
  <c r="AO237" i="22"/>
  <c r="Z257" i="22" s="1"/>
  <c r="AJ237" i="22"/>
  <c r="U257" i="22" s="1"/>
  <c r="T237" i="22"/>
  <c r="E257" i="22" s="1"/>
  <c r="V335" i="19"/>
  <c r="G355" i="19" s="1"/>
  <c r="Y20" i="20"/>
  <c r="J40" i="20" s="1"/>
  <c r="AQ14" i="21"/>
  <c r="AB34" i="21" s="1"/>
  <c r="S23" i="21"/>
  <c r="D43" i="21" s="1"/>
  <c r="AN25" i="21"/>
  <c r="X26" i="21"/>
  <c r="AR124" i="21"/>
  <c r="AC144" i="21" s="1"/>
  <c r="AI232" i="21"/>
  <c r="T252" i="21" s="1"/>
  <c r="AH237" i="21"/>
  <c r="S257" i="21" s="1"/>
  <c r="X348" i="21"/>
  <c r="AO349" i="21"/>
  <c r="W444" i="21"/>
  <c r="H464" i="21" s="1"/>
  <c r="R448" i="21"/>
  <c r="C468" i="21" s="1"/>
  <c r="AL18" i="22"/>
  <c r="W38" i="22" s="1"/>
  <c r="T25" i="22"/>
  <c r="AL26" i="22"/>
  <c r="AK27" i="22"/>
  <c r="V47" i="22" s="1"/>
  <c r="AE121" i="22"/>
  <c r="P141" i="22" s="1"/>
  <c r="AE225" i="22"/>
  <c r="P245" i="22" s="1"/>
  <c r="R236" i="22"/>
  <c r="C256" i="22" s="1"/>
  <c r="AC236" i="22"/>
  <c r="N256" i="22" s="1"/>
  <c r="AP236" i="22"/>
  <c r="AA256" i="22" s="1"/>
  <c r="U241" i="22"/>
  <c r="F261" i="22" s="1"/>
  <c r="Q334" i="22"/>
  <c r="B354" i="22" s="1"/>
  <c r="AP334" i="22"/>
  <c r="AA354" i="22" s="1"/>
  <c r="AJ335" i="22"/>
  <c r="U355" i="22" s="1"/>
  <c r="AM339" i="22"/>
  <c r="X359" i="22" s="1"/>
  <c r="X377" i="22" s="1"/>
  <c r="AK341" i="22"/>
  <c r="V361" i="22" s="1"/>
  <c r="Z446" i="22"/>
  <c r="K466" i="22" s="1"/>
  <c r="V455" i="22"/>
  <c r="G475" i="22" s="1"/>
  <c r="AP27" i="23"/>
  <c r="AA47" i="23" s="1"/>
  <c r="AP117" i="23"/>
  <c r="AA137" i="23" s="1"/>
  <c r="AI124" i="23"/>
  <c r="T144" i="23" s="1"/>
  <c r="AG128" i="23"/>
  <c r="R148" i="23" s="1"/>
  <c r="AC131" i="23"/>
  <c r="X226" i="23"/>
  <c r="I246" i="23" s="1"/>
  <c r="AI236" i="23"/>
  <c r="T256" i="23" s="1"/>
  <c r="AG238" i="23"/>
  <c r="R258" i="23" s="1"/>
  <c r="AQ240" i="23"/>
  <c r="AQ347" i="23"/>
  <c r="AB367" i="23" s="1"/>
  <c r="AJ441" i="23"/>
  <c r="U461" i="23" s="1"/>
  <c r="AA452" i="23"/>
  <c r="L472" i="23" s="1"/>
  <c r="AQ17" i="23"/>
  <c r="AB37" i="23" s="1"/>
  <c r="AP19" i="23"/>
  <c r="AA39" i="23" s="1"/>
  <c r="AN334" i="23"/>
  <c r="Y354" i="23" s="1"/>
  <c r="AA343" i="23"/>
  <c r="L363" i="23" s="1"/>
  <c r="V26" i="21"/>
  <c r="AQ133" i="21"/>
  <c r="AB153" i="21" s="1"/>
  <c r="AL132" i="22"/>
  <c r="AK350" i="22"/>
  <c r="V370" i="22" s="1"/>
  <c r="AQ16" i="23"/>
  <c r="AB36" i="23" s="1"/>
  <c r="Q131" i="23"/>
  <c r="AN132" i="23"/>
  <c r="W228" i="23"/>
  <c r="H248" i="23" s="1"/>
  <c r="W339" i="23"/>
  <c r="H359" i="23" s="1"/>
  <c r="H377" i="23" s="1"/>
  <c r="AC451" i="23"/>
  <c r="N471" i="23" s="1"/>
  <c r="AH334" i="23"/>
  <c r="S354" i="23" s="1"/>
  <c r="AG234" i="23"/>
  <c r="R254" i="23" s="1"/>
  <c r="AK16" i="21"/>
  <c r="V36" i="21" s="1"/>
  <c r="AD27" i="21"/>
  <c r="O47" i="21" s="1"/>
  <c r="U133" i="21"/>
  <c r="F153" i="21" s="1"/>
  <c r="AF348" i="21"/>
  <c r="AE444" i="21"/>
  <c r="P464" i="21" s="1"/>
  <c r="P482" i="21" s="1"/>
  <c r="AH226" i="21"/>
  <c r="S246" i="21" s="1"/>
  <c r="AR340" i="21"/>
  <c r="AC360" i="21" s="1"/>
  <c r="AC378" i="21" s="1"/>
  <c r="Y234" i="21"/>
  <c r="J254" i="21" s="1"/>
  <c r="AJ447" i="21"/>
  <c r="U467" i="21" s="1"/>
  <c r="Z450" i="21"/>
  <c r="K470" i="21" s="1"/>
  <c r="AL24" i="22"/>
  <c r="W44" i="22" s="1"/>
  <c r="AK25" i="22"/>
  <c r="AI124" i="22"/>
  <c r="T144" i="22" s="1"/>
  <c r="AJ131" i="22"/>
  <c r="R225" i="22"/>
  <c r="C245" i="22" s="1"/>
  <c r="AK225" i="22"/>
  <c r="V245" i="22" s="1"/>
  <c r="T236" i="22"/>
  <c r="E256" i="22" s="1"/>
  <c r="AG236" i="22"/>
  <c r="R256" i="22" s="1"/>
  <c r="AR236" i="22"/>
  <c r="AC256" i="22" s="1"/>
  <c r="AM241" i="22"/>
  <c r="X261" i="22" s="1"/>
  <c r="T334" i="22"/>
  <c r="E354" i="22" s="1"/>
  <c r="T335" i="22"/>
  <c r="E355" i="22" s="1"/>
  <c r="AQ335" i="22"/>
  <c r="AB355" i="22" s="1"/>
  <c r="Y339" i="22"/>
  <c r="J359" i="22" s="1"/>
  <c r="AR346" i="22"/>
  <c r="AC366" i="22" s="1"/>
  <c r="X446" i="22"/>
  <c r="I466" i="22" s="1"/>
  <c r="AQ18" i="23"/>
  <c r="AB38" i="23" s="1"/>
  <c r="AG27" i="23"/>
  <c r="R47" i="23" s="1"/>
  <c r="Y131" i="23"/>
  <c r="X132" i="23"/>
  <c r="AF226" i="23"/>
  <c r="Q246" i="23" s="1"/>
  <c r="AG228" i="23"/>
  <c r="R248" i="23" s="1"/>
  <c r="V231" i="23"/>
  <c r="G251" i="23" s="1"/>
  <c r="AH232" i="23"/>
  <c r="S252" i="23" s="1"/>
  <c r="AL232" i="23"/>
  <c r="W252" i="23" s="1"/>
  <c r="T236" i="23"/>
  <c r="E256" i="23" s="1"/>
  <c r="X240" i="23"/>
  <c r="R339" i="23"/>
  <c r="C359" i="23" s="1"/>
  <c r="AC346" i="23"/>
  <c r="N366" i="23" s="1"/>
  <c r="Q349" i="23"/>
  <c r="T443" i="23"/>
  <c r="E463" i="23" s="1"/>
  <c r="Q444" i="23"/>
  <c r="B464" i="23" s="1"/>
  <c r="AR452" i="23"/>
  <c r="AC472" i="23" s="1"/>
  <c r="AJ454" i="23"/>
  <c r="W455" i="23"/>
  <c r="H475" i="23" s="1"/>
  <c r="U16" i="21"/>
  <c r="F36" i="21" s="1"/>
  <c r="AE131" i="21"/>
  <c r="W133" i="21"/>
  <c r="H153" i="21" s="1"/>
  <c r="AO348" i="21"/>
  <c r="AJ453" i="21"/>
  <c r="AO25" i="22"/>
  <c r="Q26" i="22"/>
  <c r="AK130" i="22"/>
  <c r="V150" i="22" s="1"/>
  <c r="Q131" i="22"/>
  <c r="AO227" i="22"/>
  <c r="Z247" i="22" s="1"/>
  <c r="AN241" i="22"/>
  <c r="Y261" i="22" s="1"/>
  <c r="Y226" i="22"/>
  <c r="J246" i="22" s="1"/>
  <c r="AM443" i="22"/>
  <c r="X463" i="22" s="1"/>
  <c r="AD233" i="22"/>
  <c r="O253" i="22" s="1"/>
  <c r="AO450" i="22"/>
  <c r="Z470" i="22" s="1"/>
  <c r="AQ13" i="23"/>
  <c r="AB33" i="23" s="1"/>
  <c r="AP130" i="23"/>
  <c r="AA150" i="23" s="1"/>
  <c r="AR232" i="23"/>
  <c r="AC252" i="23" s="1"/>
  <c r="AH237" i="23"/>
  <c r="S257" i="23" s="1"/>
  <c r="U240" i="23"/>
  <c r="Z339" i="23"/>
  <c r="K359" i="23" s="1"/>
  <c r="AK341" i="23"/>
  <c r="V361" i="23" s="1"/>
  <c r="AJ346" i="23"/>
  <c r="U366" i="23" s="1"/>
  <c r="Y444" i="23"/>
  <c r="J464" i="23" s="1"/>
  <c r="W16" i="21"/>
  <c r="H36" i="21" s="1"/>
  <c r="S119" i="21"/>
  <c r="D139" i="21" s="1"/>
  <c r="AD131" i="21"/>
  <c r="AC132" i="21"/>
  <c r="Y133" i="21"/>
  <c r="J153" i="21" s="1"/>
  <c r="AQ239" i="21"/>
  <c r="AN348" i="21"/>
  <c r="AE350" i="21"/>
  <c r="P370" i="21" s="1"/>
  <c r="S444" i="21"/>
  <c r="D464" i="21" s="1"/>
  <c r="AB26" i="22"/>
  <c r="AP27" i="22"/>
  <c r="AA47" i="22" s="1"/>
  <c r="R130" i="22"/>
  <c r="C150" i="22" s="1"/>
  <c r="AN226" i="22"/>
  <c r="Y246" i="22" s="1"/>
  <c r="AN227" i="22"/>
  <c r="Y247" i="22" s="1"/>
  <c r="AP227" i="22"/>
  <c r="AA247" i="22" s="1"/>
  <c r="X236" i="22"/>
  <c r="I256" i="22" s="1"/>
  <c r="AI348" i="22"/>
  <c r="AL442" i="22"/>
  <c r="W462" i="22" s="1"/>
  <c r="AA446" i="22"/>
  <c r="L466" i="22" s="1"/>
  <c r="AJ452" i="22"/>
  <c r="U472" i="22" s="1"/>
  <c r="AL123" i="22"/>
  <c r="W143" i="22" s="1"/>
  <c r="AO131" i="23"/>
  <c r="AP226" i="23"/>
  <c r="AA246" i="23" s="1"/>
  <c r="Y240" i="23"/>
  <c r="AL339" i="23"/>
  <c r="W359" i="23" s="1"/>
  <c r="W377" i="23" s="1"/>
  <c r="U341" i="23"/>
  <c r="F361" i="23" s="1"/>
  <c r="AJ442" i="23"/>
  <c r="U462" i="23" s="1"/>
  <c r="AI443" i="23"/>
  <c r="T463" i="23" s="1"/>
  <c r="AL444" i="23"/>
  <c r="W464" i="23" s="1"/>
  <c r="AH454" i="23"/>
  <c r="W335" i="23"/>
  <c r="H355" i="23" s="1"/>
  <c r="AR121" i="23"/>
  <c r="AC141" i="23" s="1"/>
  <c r="AM231" i="23"/>
  <c r="X251" i="23" s="1"/>
  <c r="AP236" i="23"/>
  <c r="AA256" i="23" s="1"/>
  <c r="V15" i="20"/>
  <c r="G35" i="20" s="1"/>
  <c r="R445" i="20"/>
  <c r="C465" i="20" s="1"/>
  <c r="AE122" i="21"/>
  <c r="P142" i="21" s="1"/>
  <c r="AE133" i="21"/>
  <c r="P153" i="21" s="1"/>
  <c r="AO341" i="21"/>
  <c r="Z361" i="21" s="1"/>
  <c r="AI446" i="21"/>
  <c r="T466" i="21" s="1"/>
  <c r="V334" i="21"/>
  <c r="G354" i="21" s="1"/>
  <c r="S123" i="21"/>
  <c r="D143" i="21" s="1"/>
  <c r="AG342" i="21"/>
  <c r="R362" i="21" s="1"/>
  <c r="AL13" i="22"/>
  <c r="W33" i="22" s="1"/>
  <c r="AJ23" i="22"/>
  <c r="U43" i="22" s="1"/>
  <c r="AN129" i="22"/>
  <c r="Y149" i="22" s="1"/>
  <c r="AD130" i="22"/>
  <c r="O150" i="22" s="1"/>
  <c r="AH230" i="22"/>
  <c r="S250" i="22" s="1"/>
  <c r="AE232" i="22"/>
  <c r="P252" i="22" s="1"/>
  <c r="V348" i="22"/>
  <c r="AN451" i="22"/>
  <c r="Y471" i="22" s="1"/>
  <c r="R452" i="22"/>
  <c r="C472" i="22" s="1"/>
  <c r="Y119" i="23"/>
  <c r="J139" i="23" s="1"/>
  <c r="AK230" i="23"/>
  <c r="V250" i="23" s="1"/>
  <c r="AO341" i="23"/>
  <c r="Z361" i="23" s="1"/>
  <c r="V441" i="23"/>
  <c r="G461" i="23" s="1"/>
  <c r="AB442" i="23"/>
  <c r="M462" i="23" s="1"/>
  <c r="AP444" i="23"/>
  <c r="AA464" i="23" s="1"/>
  <c r="AJ453" i="23"/>
  <c r="AC340" i="23"/>
  <c r="N360" i="23" s="1"/>
  <c r="AI342" i="23"/>
  <c r="T362" i="23" s="1"/>
  <c r="AI122" i="21"/>
  <c r="T142" i="21" s="1"/>
  <c r="AO124" i="21"/>
  <c r="Z144" i="21" s="1"/>
  <c r="AL454" i="21"/>
  <c r="AJ446" i="22"/>
  <c r="U466" i="22" s="1"/>
  <c r="AR446" i="22"/>
  <c r="AC466" i="22" s="1"/>
  <c r="AI452" i="22"/>
  <c r="T472" i="22" s="1"/>
  <c r="AB25" i="23"/>
  <c r="AJ131" i="23"/>
  <c r="AO133" i="23"/>
  <c r="Z153" i="23" s="1"/>
  <c r="AJ350" i="23"/>
  <c r="U370" i="23" s="1"/>
  <c r="S342" i="23"/>
  <c r="D362" i="23" s="1"/>
  <c r="AI350" i="19"/>
  <c r="T370" i="19" s="1"/>
  <c r="AO453" i="19"/>
  <c r="T119" i="20"/>
  <c r="E139" i="20" s="1"/>
  <c r="AR120" i="20"/>
  <c r="AC140" i="20" s="1"/>
  <c r="R129" i="20"/>
  <c r="C149" i="20" s="1"/>
  <c r="AB130" i="20"/>
  <c r="M150" i="20" s="1"/>
  <c r="V133" i="20"/>
  <c r="G153" i="20" s="1"/>
  <c r="V228" i="20"/>
  <c r="G248" i="20" s="1"/>
  <c r="AR230" i="20"/>
  <c r="AC250" i="20" s="1"/>
  <c r="AQ339" i="20"/>
  <c r="AB359" i="20" s="1"/>
  <c r="AB132" i="19"/>
  <c r="AE16" i="21"/>
  <c r="P36" i="21" s="1"/>
  <c r="AA24" i="21"/>
  <c r="L44" i="21" s="1"/>
  <c r="AD25" i="21"/>
  <c r="AY25" i="21"/>
  <c r="AO117" i="21"/>
  <c r="Z137" i="21" s="1"/>
  <c r="AB119" i="21"/>
  <c r="M139" i="21" s="1"/>
  <c r="AQ121" i="21"/>
  <c r="AB141" i="21" s="1"/>
  <c r="V122" i="21"/>
  <c r="G142" i="21" s="1"/>
  <c r="R124" i="21"/>
  <c r="C144" i="21" s="1"/>
  <c r="AP130" i="21"/>
  <c r="AA150" i="21" s="1"/>
  <c r="V131" i="21"/>
  <c r="AK133" i="21"/>
  <c r="V153" i="21" s="1"/>
  <c r="S233" i="21"/>
  <c r="D253" i="21" s="1"/>
  <c r="AM239" i="21"/>
  <c r="AK239" i="21"/>
  <c r="AF239" i="21"/>
  <c r="AB239" i="21"/>
  <c r="U239" i="21"/>
  <c r="AA336" i="21"/>
  <c r="L356" i="21" s="1"/>
  <c r="AQ349" i="21"/>
  <c r="AE349" i="21"/>
  <c r="AB349" i="21"/>
  <c r="S349" i="21"/>
  <c r="R349" i="21"/>
  <c r="AL444" i="21"/>
  <c r="W464" i="21" s="1"/>
  <c r="AH18" i="22"/>
  <c r="S38" i="22" s="1"/>
  <c r="AY15" i="22"/>
  <c r="Y18" i="22"/>
  <c r="J38" i="22" s="1"/>
  <c r="Y23" i="22"/>
  <c r="J43" i="22" s="1"/>
  <c r="AG120" i="22"/>
  <c r="R140" i="22" s="1"/>
  <c r="AR441" i="19"/>
  <c r="AC461" i="19" s="1"/>
  <c r="AK452" i="19"/>
  <c r="V472" i="19" s="1"/>
  <c r="AK16" i="20"/>
  <c r="V36" i="20" s="1"/>
  <c r="AH130" i="20"/>
  <c r="S150" i="20" s="1"/>
  <c r="AR339" i="20"/>
  <c r="AC359" i="20" s="1"/>
  <c r="AO446" i="20"/>
  <c r="Z466" i="20" s="1"/>
  <c r="AQ455" i="20"/>
  <c r="AB475" i="20" s="1"/>
  <c r="AP12" i="19"/>
  <c r="AA32" i="19" s="1"/>
  <c r="AH16" i="21"/>
  <c r="S36" i="21" s="1"/>
  <c r="AD24" i="21"/>
  <c r="O44" i="21" s="1"/>
  <c r="U25" i="21"/>
  <c r="AZ25" i="21"/>
  <c r="AA26" i="21"/>
  <c r="Q117" i="21"/>
  <c r="B137" i="21" s="1"/>
  <c r="AG119" i="21"/>
  <c r="R139" i="21" s="1"/>
  <c r="Z122" i="21"/>
  <c r="K142" i="21" s="1"/>
  <c r="K160" i="21" s="1"/>
  <c r="W124" i="21"/>
  <c r="H144" i="21" s="1"/>
  <c r="W131" i="21"/>
  <c r="AJ133" i="21"/>
  <c r="U153" i="21" s="1"/>
  <c r="AM133" i="21"/>
  <c r="X153" i="21" s="1"/>
  <c r="X228" i="21"/>
  <c r="I248" i="21" s="1"/>
  <c r="U228" i="21"/>
  <c r="F248" i="21" s="1"/>
  <c r="AN232" i="21"/>
  <c r="Y252" i="21" s="1"/>
  <c r="AK232" i="21"/>
  <c r="V252" i="21" s="1"/>
  <c r="U232" i="21"/>
  <c r="F252" i="21" s="1"/>
  <c r="AJ232" i="21"/>
  <c r="U252" i="21" s="1"/>
  <c r="Q232" i="21"/>
  <c r="B252" i="21" s="1"/>
  <c r="AG232" i="21"/>
  <c r="R252" i="21" s="1"/>
  <c r="AD232" i="21"/>
  <c r="O252" i="21" s="1"/>
  <c r="AP237" i="21"/>
  <c r="AK336" i="21"/>
  <c r="V356" i="21" s="1"/>
  <c r="AI339" i="21"/>
  <c r="T359" i="21" s="1"/>
  <c r="AR339" i="21"/>
  <c r="AC359" i="21" s="1"/>
  <c r="AF339" i="21"/>
  <c r="Q359" i="21" s="1"/>
  <c r="R339" i="21"/>
  <c r="C359" i="21" s="1"/>
  <c r="AQ339" i="21"/>
  <c r="AB359" i="21" s="1"/>
  <c r="AC339" i="21"/>
  <c r="N359" i="21" s="1"/>
  <c r="Q339" i="21"/>
  <c r="B359" i="21" s="1"/>
  <c r="AO339" i="21"/>
  <c r="Z359" i="21" s="1"/>
  <c r="AA339" i="21"/>
  <c r="L359" i="21" s="1"/>
  <c r="AN339" i="21"/>
  <c r="Y359" i="21" s="1"/>
  <c r="X339" i="21"/>
  <c r="I359" i="21" s="1"/>
  <c r="AP339" i="21"/>
  <c r="AA359" i="21" s="1"/>
  <c r="AN347" i="21"/>
  <c r="Y367" i="21" s="1"/>
  <c r="T347" i="21"/>
  <c r="E367" i="21" s="1"/>
  <c r="AP347" i="21"/>
  <c r="AA367" i="21" s="1"/>
  <c r="Q347" i="21"/>
  <c r="B367" i="21" s="1"/>
  <c r="AJ347" i="21"/>
  <c r="U367" i="21" s="1"/>
  <c r="AD347" i="21"/>
  <c r="O367" i="21" s="1"/>
  <c r="AK441" i="21"/>
  <c r="V461" i="21" s="1"/>
  <c r="AM441" i="21"/>
  <c r="X461" i="21" s="1"/>
  <c r="AH441" i="21"/>
  <c r="S461" i="21" s="1"/>
  <c r="X441" i="21"/>
  <c r="I461" i="21" s="1"/>
  <c r="W441" i="21"/>
  <c r="H461" i="21" s="1"/>
  <c r="AK453" i="21"/>
  <c r="X454" i="21"/>
  <c r="AE455" i="21"/>
  <c r="P475" i="21" s="1"/>
  <c r="W120" i="22"/>
  <c r="H140" i="22" s="1"/>
  <c r="AN23" i="19"/>
  <c r="Y43" i="19" s="1"/>
  <c r="S131" i="19"/>
  <c r="AN230" i="19"/>
  <c r="Y250" i="19" s="1"/>
  <c r="AR130" i="20"/>
  <c r="AC150" i="20" s="1"/>
  <c r="Q238" i="20"/>
  <c r="B258" i="20" s="1"/>
  <c r="AF442" i="20"/>
  <c r="Q462" i="20" s="1"/>
  <c r="X446" i="20"/>
  <c r="I466" i="20" s="1"/>
  <c r="AB455" i="20"/>
  <c r="M475" i="20" s="1"/>
  <c r="AP16" i="21"/>
  <c r="AA36" i="21" s="1"/>
  <c r="AH18" i="21"/>
  <c r="S38" i="21" s="1"/>
  <c r="AD23" i="21"/>
  <c r="O43" i="21" s="1"/>
  <c r="AI24" i="21"/>
  <c r="T44" i="21" s="1"/>
  <c r="X25" i="21"/>
  <c r="AD26" i="21"/>
  <c r="AP119" i="21"/>
  <c r="AA139" i="21" s="1"/>
  <c r="AA122" i="21"/>
  <c r="L142" i="21" s="1"/>
  <c r="AC124" i="21"/>
  <c r="N144" i="21" s="1"/>
  <c r="AO133" i="21"/>
  <c r="Z153" i="21" s="1"/>
  <c r="AA230" i="21"/>
  <c r="L250" i="21" s="1"/>
  <c r="S230" i="21"/>
  <c r="D250" i="21" s="1"/>
  <c r="Q237" i="21"/>
  <c r="B257" i="21" s="1"/>
  <c r="AG241" i="21"/>
  <c r="R261" i="21" s="1"/>
  <c r="AP241" i="21"/>
  <c r="AA261" i="21" s="1"/>
  <c r="AH349" i="21"/>
  <c r="S350" i="21"/>
  <c r="D370" i="21" s="1"/>
  <c r="W442" i="21"/>
  <c r="H462" i="21" s="1"/>
  <c r="Q442" i="21"/>
  <c r="B462" i="21" s="1"/>
  <c r="AM442" i="21"/>
  <c r="X462" i="21" s="1"/>
  <c r="S454" i="21"/>
  <c r="AN455" i="21"/>
  <c r="Y475" i="21" s="1"/>
  <c r="AJ455" i="21"/>
  <c r="U475" i="21" s="1"/>
  <c r="AC455" i="21"/>
  <c r="N475" i="21" s="1"/>
  <c r="Y455" i="21"/>
  <c r="J475" i="21" s="1"/>
  <c r="T455" i="21"/>
  <c r="E475" i="21" s="1"/>
  <c r="AE229" i="21"/>
  <c r="P249" i="21" s="1"/>
  <c r="AC229" i="21"/>
  <c r="W443" i="21"/>
  <c r="H463" i="21" s="1"/>
  <c r="AN443" i="21"/>
  <c r="Y463" i="21" s="1"/>
  <c r="AF443" i="21"/>
  <c r="Q463" i="21" s="1"/>
  <c r="X443" i="21"/>
  <c r="I463" i="21" s="1"/>
  <c r="AG18" i="22"/>
  <c r="R38" i="22" s="1"/>
  <c r="AM228" i="22"/>
  <c r="X248" i="22" s="1"/>
  <c r="R228" i="22"/>
  <c r="C248" i="22" s="1"/>
  <c r="AO228" i="22"/>
  <c r="Z248" i="22" s="1"/>
  <c r="AN228" i="22"/>
  <c r="Y248" i="22" s="1"/>
  <c r="AA228" i="22"/>
  <c r="L248" i="22" s="1"/>
  <c r="Z228" i="22"/>
  <c r="K248" i="22" s="1"/>
  <c r="V131" i="19"/>
  <c r="AK348" i="19"/>
  <c r="AB441" i="19"/>
  <c r="M461" i="19" s="1"/>
  <c r="AH442" i="19"/>
  <c r="S462" i="19" s="1"/>
  <c r="AN451" i="19"/>
  <c r="Y471" i="19" s="1"/>
  <c r="AI27" i="20"/>
  <c r="T47" i="20" s="1"/>
  <c r="AP336" i="20"/>
  <c r="AA356" i="20" s="1"/>
  <c r="Q339" i="20"/>
  <c r="B359" i="20" s="1"/>
  <c r="U348" i="20"/>
  <c r="Z441" i="20"/>
  <c r="K461" i="20" s="1"/>
  <c r="AG442" i="20"/>
  <c r="R462" i="20" s="1"/>
  <c r="U26" i="19"/>
  <c r="AE440" i="19"/>
  <c r="P460" i="19" s="1"/>
  <c r="AI342" i="19"/>
  <c r="T362" i="19" s="1"/>
  <c r="AK443" i="19"/>
  <c r="V463" i="19" s="1"/>
  <c r="AH340" i="20"/>
  <c r="S360" i="20" s="1"/>
  <c r="AY14" i="21"/>
  <c r="AI23" i="21"/>
  <c r="T43" i="21" s="1"/>
  <c r="AK24" i="21"/>
  <c r="V44" i="21" s="1"/>
  <c r="AZ24" i="21"/>
  <c r="AK25" i="21"/>
  <c r="AL26" i="21"/>
  <c r="AQ119" i="21"/>
  <c r="AB139" i="21" s="1"/>
  <c r="AE124" i="21"/>
  <c r="P144" i="21" s="1"/>
  <c r="V237" i="21"/>
  <c r="G257" i="21" s="1"/>
  <c r="AN349" i="21"/>
  <c r="AB454" i="21"/>
  <c r="Z18" i="19"/>
  <c r="K38" i="19" s="1"/>
  <c r="AR25" i="19"/>
  <c r="AN129" i="19"/>
  <c r="Y149" i="19" s="1"/>
  <c r="V130" i="19"/>
  <c r="G150" i="19" s="1"/>
  <c r="R237" i="19"/>
  <c r="C257" i="19" s="1"/>
  <c r="U238" i="19"/>
  <c r="F258" i="19" s="1"/>
  <c r="AG441" i="19"/>
  <c r="R461" i="19" s="1"/>
  <c r="AQ442" i="19"/>
  <c r="AB462" i="19" s="1"/>
  <c r="U452" i="19"/>
  <c r="F472" i="19" s="1"/>
  <c r="AK25" i="20"/>
  <c r="AC120" i="20"/>
  <c r="N140" i="20" s="1"/>
  <c r="S130" i="20"/>
  <c r="D150" i="20" s="1"/>
  <c r="W238" i="20"/>
  <c r="H258" i="20" s="1"/>
  <c r="T339" i="20"/>
  <c r="E359" i="20" s="1"/>
  <c r="AR348" i="20"/>
  <c r="AN26" i="21"/>
  <c r="AJ124" i="21"/>
  <c r="U144" i="21" s="1"/>
  <c r="AG131" i="21"/>
  <c r="W237" i="21"/>
  <c r="H257" i="21" s="1"/>
  <c r="AR349" i="21"/>
  <c r="AR452" i="21"/>
  <c r="AC472" i="21" s="1"/>
  <c r="AF452" i="21"/>
  <c r="Q472" i="21" s="1"/>
  <c r="W452" i="21"/>
  <c r="H472" i="21" s="1"/>
  <c r="AI454" i="21"/>
  <c r="AM122" i="22"/>
  <c r="X142" i="22" s="1"/>
  <c r="AK122" i="22"/>
  <c r="V142" i="22" s="1"/>
  <c r="Y122" i="22"/>
  <c r="J142" i="22" s="1"/>
  <c r="Q122" i="22"/>
  <c r="B142" i="22" s="1"/>
  <c r="S237" i="19"/>
  <c r="D257" i="19" s="1"/>
  <c r="AQ337" i="19"/>
  <c r="AB357" i="19" s="1"/>
  <c r="AE452" i="19"/>
  <c r="P472" i="19" s="1"/>
  <c r="R455" i="19"/>
  <c r="C475" i="19" s="1"/>
  <c r="AG119" i="20"/>
  <c r="R139" i="20" s="1"/>
  <c r="V339" i="20"/>
  <c r="G359" i="20" s="1"/>
  <c r="AK441" i="20"/>
  <c r="V461" i="20" s="1"/>
  <c r="AR334" i="20"/>
  <c r="AC354" i="20" s="1"/>
  <c r="AQ13" i="21"/>
  <c r="AB33" i="21" s="1"/>
  <c r="U24" i="21"/>
  <c r="F44" i="21" s="1"/>
  <c r="AN24" i="21"/>
  <c r="Y44" i="21" s="1"/>
  <c r="AQ26" i="21"/>
  <c r="AJ122" i="21"/>
  <c r="U142" i="21" s="1"/>
  <c r="U160" i="21" s="1"/>
  <c r="X130" i="21"/>
  <c r="I150" i="21" s="1"/>
  <c r="AK131" i="21"/>
  <c r="AI131" i="21"/>
  <c r="AE336" i="21"/>
  <c r="P356" i="21" s="1"/>
  <c r="AD336" i="21"/>
  <c r="O356" i="21" s="1"/>
  <c r="V336" i="21"/>
  <c r="G356" i="21" s="1"/>
  <c r="AR336" i="21"/>
  <c r="AC356" i="21" s="1"/>
  <c r="U336" i="21"/>
  <c r="F356" i="21" s="1"/>
  <c r="AN451" i="21"/>
  <c r="Y471" i="21" s="1"/>
  <c r="V452" i="21"/>
  <c r="G472" i="21" s="1"/>
  <c r="AN225" i="21"/>
  <c r="Y245" i="21" s="1"/>
  <c r="AG129" i="22"/>
  <c r="R149" i="22" s="1"/>
  <c r="AE24" i="19"/>
  <c r="P44" i="19" s="1"/>
  <c r="V227" i="19"/>
  <c r="G247" i="19" s="1"/>
  <c r="AM232" i="19"/>
  <c r="X252" i="19" s="1"/>
  <c r="AA237" i="19"/>
  <c r="L257" i="19" s="1"/>
  <c r="Y238" i="19"/>
  <c r="J258" i="19" s="1"/>
  <c r="AB337" i="19"/>
  <c r="M357" i="19" s="1"/>
  <c r="AG336" i="20"/>
  <c r="R356" i="20" s="1"/>
  <c r="AA339" i="20"/>
  <c r="L359" i="20" s="1"/>
  <c r="Q441" i="20"/>
  <c r="B461" i="20" s="1"/>
  <c r="AN452" i="20"/>
  <c r="Y472" i="20" s="1"/>
  <c r="AM349" i="19"/>
  <c r="AH440" i="20"/>
  <c r="S460" i="20" s="1"/>
  <c r="AG343" i="20"/>
  <c r="R363" i="20" s="1"/>
  <c r="AD448" i="20"/>
  <c r="O468" i="20" s="1"/>
  <c r="AZ23" i="21"/>
  <c r="V24" i="21"/>
  <c r="G44" i="21" s="1"/>
  <c r="AQ24" i="21"/>
  <c r="AB44" i="21" s="1"/>
  <c r="Q122" i="21"/>
  <c r="B142" i="21" s="1"/>
  <c r="Z130" i="21"/>
  <c r="K150" i="21" s="1"/>
  <c r="Q131" i="21"/>
  <c r="AL131" i="21"/>
  <c r="AB133" i="21"/>
  <c r="M153" i="21" s="1"/>
  <c r="S336" i="21"/>
  <c r="D356" i="21" s="1"/>
  <c r="AH452" i="21"/>
  <c r="S472" i="21" s="1"/>
  <c r="AP455" i="21"/>
  <c r="AA475" i="21" s="1"/>
  <c r="AD22" i="21"/>
  <c r="O42" i="21" s="1"/>
  <c r="AF335" i="21"/>
  <c r="Q355" i="21" s="1"/>
  <c r="S440" i="21"/>
  <c r="D460" i="21" s="1"/>
  <c r="AL440" i="21"/>
  <c r="W460" i="21" s="1"/>
  <c r="AC231" i="21"/>
  <c r="N251" i="21" s="1"/>
  <c r="AB231" i="21"/>
  <c r="M251" i="21" s="1"/>
  <c r="AA448" i="21"/>
  <c r="L468" i="21" s="1"/>
  <c r="AI448" i="21"/>
  <c r="T468" i="21" s="1"/>
  <c r="AN448" i="21"/>
  <c r="Y468" i="21" s="1"/>
  <c r="AC122" i="22"/>
  <c r="N142" i="22" s="1"/>
  <c r="W129" i="22"/>
  <c r="H149" i="22" s="1"/>
  <c r="AN122" i="19"/>
  <c r="Y142" i="19" s="1"/>
  <c r="AE131" i="19"/>
  <c r="AR133" i="19"/>
  <c r="AC153" i="19" s="1"/>
  <c r="V232" i="19"/>
  <c r="G252" i="19" s="1"/>
  <c r="AJ337" i="19"/>
  <c r="U357" i="19" s="1"/>
  <c r="X13" i="20"/>
  <c r="I33" i="20" s="1"/>
  <c r="AL24" i="20"/>
  <c r="W44" i="20" s="1"/>
  <c r="AO129" i="20"/>
  <c r="Z149" i="20" s="1"/>
  <c r="R130" i="20"/>
  <c r="C150" i="20" s="1"/>
  <c r="AB133" i="20"/>
  <c r="M153" i="20" s="1"/>
  <c r="R228" i="20"/>
  <c r="C248" i="20" s="1"/>
  <c r="AD339" i="20"/>
  <c r="O359" i="20" s="1"/>
  <c r="AM240" i="21"/>
  <c r="AI240" i="21"/>
  <c r="S451" i="21"/>
  <c r="D471" i="21" s="1"/>
  <c r="Q451" i="21"/>
  <c r="B471" i="21" s="1"/>
  <c r="V454" i="21"/>
  <c r="R454" i="21"/>
  <c r="AG338" i="21"/>
  <c r="R358" i="21" s="1"/>
  <c r="AI338" i="21"/>
  <c r="T358" i="21" s="1"/>
  <c r="AH338" i="21"/>
  <c r="S358" i="21" s="1"/>
  <c r="T338" i="21"/>
  <c r="E358" i="21" s="1"/>
  <c r="Q338" i="21"/>
  <c r="B358" i="21" s="1"/>
  <c r="AR233" i="21"/>
  <c r="AC253" i="21" s="1"/>
  <c r="AQ233" i="21"/>
  <c r="AB253" i="21" s="1"/>
  <c r="AF233" i="21"/>
  <c r="Q253" i="21" s="1"/>
  <c r="T233" i="21"/>
  <c r="E253" i="21" s="1"/>
  <c r="AP23" i="22"/>
  <c r="AA43" i="22" s="1"/>
  <c r="AK23" i="22"/>
  <c r="V43" i="22" s="1"/>
  <c r="Q23" i="22"/>
  <c r="B43" i="22" s="1"/>
  <c r="AG23" i="22"/>
  <c r="R43" i="22" s="1"/>
  <c r="AC23" i="22"/>
  <c r="N43" i="22" s="1"/>
  <c r="AB23" i="22"/>
  <c r="M43" i="22" s="1"/>
  <c r="AR23" i="22"/>
  <c r="AC43" i="22" s="1"/>
  <c r="U23" i="22"/>
  <c r="F43" i="22" s="1"/>
  <c r="AO23" i="22"/>
  <c r="Z43" i="22" s="1"/>
  <c r="T23" i="22"/>
  <c r="E43" i="22" s="1"/>
  <c r="AG228" i="21"/>
  <c r="R248" i="21" s="1"/>
  <c r="AD237" i="21"/>
  <c r="O257" i="21" s="1"/>
  <c r="Q342" i="21"/>
  <c r="B362" i="21" s="1"/>
  <c r="AI347" i="21"/>
  <c r="T367" i="21" s="1"/>
  <c r="AI348" i="21"/>
  <c r="AB348" i="21"/>
  <c r="AP348" i="21"/>
  <c r="Z446" i="21"/>
  <c r="K466" i="21" s="1"/>
  <c r="AP453" i="21"/>
  <c r="AN454" i="21"/>
  <c r="AL450" i="21"/>
  <c r="W470" i="21" s="1"/>
  <c r="R14" i="22"/>
  <c r="C34" i="22" s="1"/>
  <c r="AZ14" i="22"/>
  <c r="AB16" i="22"/>
  <c r="M36" i="22" s="1"/>
  <c r="AM24" i="22"/>
  <c r="X44" i="22" s="1"/>
  <c r="AG24" i="22"/>
  <c r="R44" i="22" s="1"/>
  <c r="U25" i="22"/>
  <c r="AR25" i="22"/>
  <c r="AM26" i="22"/>
  <c r="AG26" i="22"/>
  <c r="U27" i="22"/>
  <c r="F47" i="22" s="1"/>
  <c r="AR27" i="22"/>
  <c r="AC47" i="22" s="1"/>
  <c r="R120" i="22"/>
  <c r="C140" i="22" s="1"/>
  <c r="AQ120" i="22"/>
  <c r="AB140" i="22" s="1"/>
  <c r="R129" i="22"/>
  <c r="C149" i="22" s="1"/>
  <c r="AQ129" i="22"/>
  <c r="AB149" i="22" s="1"/>
  <c r="AN130" i="22"/>
  <c r="Y150" i="22" s="1"/>
  <c r="AM131" i="22"/>
  <c r="AI133" i="22"/>
  <c r="T153" i="22" s="1"/>
  <c r="AR226" i="22"/>
  <c r="AC246" i="22" s="1"/>
  <c r="S227" i="22"/>
  <c r="D247" i="22" s="1"/>
  <c r="AF227" i="22"/>
  <c r="Q247" i="22" s="1"/>
  <c r="AQ227" i="22"/>
  <c r="AB247" i="22" s="1"/>
  <c r="AK232" i="22"/>
  <c r="V252" i="22" s="1"/>
  <c r="AR240" i="22"/>
  <c r="V241" i="22"/>
  <c r="G261" i="22" s="1"/>
  <c r="W336" i="22"/>
  <c r="H356" i="22" s="1"/>
  <c r="AE339" i="22"/>
  <c r="P359" i="22" s="1"/>
  <c r="P377" i="22" s="1"/>
  <c r="AA348" i="22"/>
  <c r="AN349" i="22"/>
  <c r="AI349" i="22"/>
  <c r="R349" i="22"/>
  <c r="AG350" i="22"/>
  <c r="R370" i="22" s="1"/>
  <c r="AL441" i="22"/>
  <c r="W461" i="22" s="1"/>
  <c r="T442" i="22"/>
  <c r="E462" i="22" s="1"/>
  <c r="S443" i="22"/>
  <c r="D463" i="22" s="1"/>
  <c r="AN444" i="22"/>
  <c r="Y464" i="22" s="1"/>
  <c r="AI444" i="22"/>
  <c r="T464" i="22" s="1"/>
  <c r="U444" i="22"/>
  <c r="F464" i="22" s="1"/>
  <c r="AR444" i="22"/>
  <c r="AC464" i="22" s="1"/>
  <c r="AD450" i="22"/>
  <c r="O470" i="22" s="1"/>
  <c r="AA451" i="22"/>
  <c r="L471" i="22" s="1"/>
  <c r="W452" i="22"/>
  <c r="H472" i="22" s="1"/>
  <c r="AO453" i="22"/>
  <c r="AQ439" i="22"/>
  <c r="AB459" i="22" s="1"/>
  <c r="AQ340" i="22"/>
  <c r="AB360" i="22" s="1"/>
  <c r="AJ342" i="22"/>
  <c r="U362" i="22" s="1"/>
  <c r="AT19" i="23"/>
  <c r="AT29" i="23"/>
  <c r="S25" i="23"/>
  <c r="U241" i="23"/>
  <c r="F261" i="23" s="1"/>
  <c r="AD349" i="23"/>
  <c r="AH349" i="23"/>
  <c r="AE237" i="21"/>
  <c r="P257" i="21" s="1"/>
  <c r="W342" i="21"/>
  <c r="H362" i="21" s="1"/>
  <c r="Q348" i="21"/>
  <c r="AC348" i="21"/>
  <c r="AQ348" i="21"/>
  <c r="AO444" i="21"/>
  <c r="Z464" i="21" s="1"/>
  <c r="Z482" i="21" s="1"/>
  <c r="AI444" i="21"/>
  <c r="T464" i="21" s="1"/>
  <c r="Y453" i="21"/>
  <c r="AR454" i="21"/>
  <c r="AL447" i="21"/>
  <c r="W467" i="21" s="1"/>
  <c r="Z14" i="22"/>
  <c r="K34" i="22" s="1"/>
  <c r="AD16" i="22"/>
  <c r="O36" i="22" s="1"/>
  <c r="Z18" i="22"/>
  <c r="K38" i="22" s="1"/>
  <c r="AP24" i="22"/>
  <c r="AA44" i="22" s="1"/>
  <c r="AJ24" i="22"/>
  <c r="U44" i="22" s="1"/>
  <c r="Y25" i="22"/>
  <c r="AP26" i="22"/>
  <c r="AJ26" i="22"/>
  <c r="Y27" i="22"/>
  <c r="J47" i="22" s="1"/>
  <c r="V120" i="22"/>
  <c r="G140" i="22" s="1"/>
  <c r="V129" i="22"/>
  <c r="G149" i="22" s="1"/>
  <c r="AJ133" i="22"/>
  <c r="U153" i="22" s="1"/>
  <c r="AI226" i="22"/>
  <c r="T246" i="22" s="1"/>
  <c r="T227" i="22"/>
  <c r="E247" i="22" s="1"/>
  <c r="AG227" i="22"/>
  <c r="R247" i="22" s="1"/>
  <c r="AR227" i="22"/>
  <c r="AC247" i="22" s="1"/>
  <c r="W241" i="22"/>
  <c r="H261" i="22" s="1"/>
  <c r="X336" i="22"/>
  <c r="I356" i="22" s="1"/>
  <c r="U342" i="22"/>
  <c r="F362" i="22" s="1"/>
  <c r="AB348" i="22"/>
  <c r="V349" i="22"/>
  <c r="U442" i="22"/>
  <c r="F462" i="22" s="1"/>
  <c r="AA443" i="22"/>
  <c r="L463" i="22" s="1"/>
  <c r="Q444" i="22"/>
  <c r="B464" i="22" s="1"/>
  <c r="Z452" i="22"/>
  <c r="K472" i="22" s="1"/>
  <c r="AM455" i="22"/>
  <c r="X475" i="22" s="1"/>
  <c r="S455" i="22"/>
  <c r="D475" i="22" s="1"/>
  <c r="AH455" i="22"/>
  <c r="S475" i="22" s="1"/>
  <c r="AE455" i="22"/>
  <c r="P475" i="22" s="1"/>
  <c r="AQ455" i="22"/>
  <c r="AB475" i="22" s="1"/>
  <c r="U455" i="22"/>
  <c r="F475" i="22" s="1"/>
  <c r="AK23" i="23"/>
  <c r="V43" i="23" s="1"/>
  <c r="AB23" i="23"/>
  <c r="M43" i="23" s="1"/>
  <c r="AA23" i="23"/>
  <c r="L43" i="23" s="1"/>
  <c r="AQ23" i="23"/>
  <c r="AB43" i="23" s="1"/>
  <c r="T23" i="23"/>
  <c r="E43" i="23" s="1"/>
  <c r="AP23" i="23"/>
  <c r="AA43" i="23" s="1"/>
  <c r="S23" i="23"/>
  <c r="D43" i="23" s="1"/>
  <c r="AJ23" i="23"/>
  <c r="U43" i="23" s="1"/>
  <c r="R23" i="23"/>
  <c r="C43" i="23" s="1"/>
  <c r="AH23" i="23"/>
  <c r="S43" i="23" s="1"/>
  <c r="AM337" i="23"/>
  <c r="X357" i="23" s="1"/>
  <c r="U229" i="23"/>
  <c r="F249" i="23" s="1"/>
  <c r="AO229" i="23"/>
  <c r="Z249" i="23" s="1"/>
  <c r="AG229" i="23"/>
  <c r="R249" i="23" s="1"/>
  <c r="AE229" i="23"/>
  <c r="P249" i="23" s="1"/>
  <c r="W229" i="23"/>
  <c r="H249" i="23" s="1"/>
  <c r="AN229" i="23"/>
  <c r="Y249" i="23" s="1"/>
  <c r="AN123" i="23"/>
  <c r="Y143" i="23" s="1"/>
  <c r="AH123" i="23"/>
  <c r="S143" i="23" s="1"/>
  <c r="AB123" i="23"/>
  <c r="M143" i="23" s="1"/>
  <c r="M161" i="23" s="1"/>
  <c r="X123" i="23"/>
  <c r="I143" i="23" s="1"/>
  <c r="T123" i="23"/>
  <c r="E143" i="23" s="1"/>
  <c r="R123" i="23"/>
  <c r="C143" i="23" s="1"/>
  <c r="AR123" i="23"/>
  <c r="AC143" i="23" s="1"/>
  <c r="AK445" i="23"/>
  <c r="V465" i="23" s="1"/>
  <c r="AC445" i="23"/>
  <c r="N465" i="23" s="1"/>
  <c r="AH126" i="23"/>
  <c r="S146" i="23" s="1"/>
  <c r="AD126" i="23"/>
  <c r="O146" i="23" s="1"/>
  <c r="AN126" i="23"/>
  <c r="Y146" i="23" s="1"/>
  <c r="AO234" i="23"/>
  <c r="Z254" i="23" s="1"/>
  <c r="U234" i="23"/>
  <c r="F254" i="23" s="1"/>
  <c r="AI234" i="23"/>
  <c r="T254" i="23" s="1"/>
  <c r="T234" i="23"/>
  <c r="E254" i="23" s="1"/>
  <c r="AH234" i="23"/>
  <c r="S254" i="23" s="1"/>
  <c r="S234" i="23"/>
  <c r="D254" i="23" s="1"/>
  <c r="AF234" i="23"/>
  <c r="Q254" i="23" s="1"/>
  <c r="AR234" i="23"/>
  <c r="AC254" i="23" s="1"/>
  <c r="AC234" i="23"/>
  <c r="N254" i="23" s="1"/>
  <c r="AG447" i="23"/>
  <c r="R467" i="23" s="1"/>
  <c r="AF447" i="23"/>
  <c r="Q467" i="23" s="1"/>
  <c r="S447" i="23"/>
  <c r="D467" i="23" s="1"/>
  <c r="Q447" i="23"/>
  <c r="B467" i="23" s="1"/>
  <c r="AR232" i="22"/>
  <c r="AC252" i="22" s="1"/>
  <c r="AI350" i="22"/>
  <c r="T370" i="22" s="1"/>
  <c r="Q350" i="22"/>
  <c r="B370" i="22" s="1"/>
  <c r="Z350" i="22"/>
  <c r="K370" i="22" s="1"/>
  <c r="AN350" i="22"/>
  <c r="Y370" i="22" s="1"/>
  <c r="AC441" i="22"/>
  <c r="N461" i="22" s="1"/>
  <c r="AN441" i="22"/>
  <c r="Y461" i="22" s="1"/>
  <c r="Q441" i="22"/>
  <c r="B461" i="22" s="1"/>
  <c r="AR441" i="22"/>
  <c r="AC461" i="22" s="1"/>
  <c r="V442" i="22"/>
  <c r="G462" i="22" s="1"/>
  <c r="T444" i="22"/>
  <c r="E464" i="22" s="1"/>
  <c r="AK453" i="22"/>
  <c r="AD453" i="22"/>
  <c r="AB453" i="22"/>
  <c r="AQ453" i="22"/>
  <c r="S453" i="22"/>
  <c r="AK26" i="23"/>
  <c r="AB26" i="23"/>
  <c r="AA26" i="23"/>
  <c r="AQ26" i="23"/>
  <c r="T26" i="23"/>
  <c r="AP26" i="23"/>
  <c r="S26" i="23"/>
  <c r="AJ26" i="23"/>
  <c r="R26" i="23"/>
  <c r="AH26" i="23"/>
  <c r="AP336" i="23"/>
  <c r="AA356" i="23" s="1"/>
  <c r="U336" i="23"/>
  <c r="F356" i="23" s="1"/>
  <c r="W348" i="23"/>
  <c r="AP348" i="23"/>
  <c r="V348" i="23"/>
  <c r="AM348" i="23"/>
  <c r="S348" i="23"/>
  <c r="AH348" i="23"/>
  <c r="AM237" i="21"/>
  <c r="X257" i="21" s="1"/>
  <c r="AK337" i="21"/>
  <c r="V357" i="21" s="1"/>
  <c r="AC342" i="21"/>
  <c r="N362" i="21" s="1"/>
  <c r="AM346" i="21"/>
  <c r="X366" i="21" s="1"/>
  <c r="S348" i="21"/>
  <c r="AG348" i="21"/>
  <c r="AD441" i="21"/>
  <c r="O461" i="21" s="1"/>
  <c r="AM444" i="21"/>
  <c r="X464" i="21" s="1"/>
  <c r="AF334" i="21"/>
  <c r="Q354" i="21" s="1"/>
  <c r="AB340" i="21"/>
  <c r="M360" i="21" s="1"/>
  <c r="M378" i="21" s="1"/>
  <c r="AH16" i="22"/>
  <c r="S36" i="22" s="1"/>
  <c r="AL16" i="22"/>
  <c r="W36" i="22" s="1"/>
  <c r="AQ18" i="22"/>
  <c r="AB38" i="22" s="1"/>
  <c r="T24" i="22"/>
  <c r="E44" i="22" s="1"/>
  <c r="AO24" i="22"/>
  <c r="Z44" i="22" s="1"/>
  <c r="AL25" i="22"/>
  <c r="AC25" i="22"/>
  <c r="AX25" i="22"/>
  <c r="T26" i="22"/>
  <c r="AO26" i="22"/>
  <c r="AL27" i="22"/>
  <c r="W47" i="22" s="1"/>
  <c r="AC27" i="22"/>
  <c r="N47" i="22" s="1"/>
  <c r="AX27" i="22"/>
  <c r="AN118" i="22"/>
  <c r="Y138" i="22" s="1"/>
  <c r="AD120" i="22"/>
  <c r="O140" i="22" s="1"/>
  <c r="AJ122" i="22"/>
  <c r="U142" i="22" s="1"/>
  <c r="AJ124" i="22"/>
  <c r="U144" i="22" s="1"/>
  <c r="AD129" i="22"/>
  <c r="O149" i="22" s="1"/>
  <c r="V226" i="22"/>
  <c r="G246" i="22" s="1"/>
  <c r="X227" i="22"/>
  <c r="I247" i="22" s="1"/>
  <c r="AI227" i="22"/>
  <c r="T247" i="22" s="1"/>
  <c r="X230" i="22"/>
  <c r="I250" i="22" s="1"/>
  <c r="AJ232" i="22"/>
  <c r="U252" i="22" s="1"/>
  <c r="AO233" i="22"/>
  <c r="Z253" i="22" s="1"/>
  <c r="AG239" i="22"/>
  <c r="AF241" i="22"/>
  <c r="Q261" i="22" s="1"/>
  <c r="AF336" i="22"/>
  <c r="Q356" i="22" s="1"/>
  <c r="AC349" i="22"/>
  <c r="R350" i="22"/>
  <c r="C370" i="22" s="1"/>
  <c r="AP350" i="22"/>
  <c r="AA370" i="22" s="1"/>
  <c r="T441" i="22"/>
  <c r="E461" i="22" s="1"/>
  <c r="AC442" i="22"/>
  <c r="N462" i="22" s="1"/>
  <c r="V444" i="22"/>
  <c r="G464" i="22" s="1"/>
  <c r="AK452" i="22"/>
  <c r="V472" i="22" s="1"/>
  <c r="T453" i="22"/>
  <c r="V454" i="22"/>
  <c r="AQ454" i="22"/>
  <c r="AH445" i="22"/>
  <c r="S465" i="22" s="1"/>
  <c r="AF445" i="22"/>
  <c r="Q465" i="22" s="1"/>
  <c r="AA445" i="22"/>
  <c r="L465" i="22" s="1"/>
  <c r="AN445" i="22"/>
  <c r="Y465" i="22" s="1"/>
  <c r="Q445" i="22"/>
  <c r="B465" i="22" s="1"/>
  <c r="AF448" i="22"/>
  <c r="Q468" i="22" s="1"/>
  <c r="AL448" i="22"/>
  <c r="W468" i="22" s="1"/>
  <c r="AZ17" i="23"/>
  <c r="AI23" i="23"/>
  <c r="T43" i="23" s="1"/>
  <c r="Z26" i="23"/>
  <c r="AC336" i="23"/>
  <c r="N356" i="23" s="1"/>
  <c r="AJ446" i="23"/>
  <c r="U466" i="23" s="1"/>
  <c r="U440" i="23"/>
  <c r="F460" i="23" s="1"/>
  <c r="T348" i="21"/>
  <c r="AH348" i="21"/>
  <c r="V444" i="21"/>
  <c r="G464" i="21" s="1"/>
  <c r="AP444" i="21"/>
  <c r="AA464" i="21" s="1"/>
  <c r="AO19" i="21"/>
  <c r="Z39" i="21" s="1"/>
  <c r="AO229" i="21"/>
  <c r="Z249" i="21" s="1"/>
  <c r="Y236" i="21"/>
  <c r="J256" i="21" s="1"/>
  <c r="AR16" i="22"/>
  <c r="AC36" i="22" s="1"/>
  <c r="Q18" i="22"/>
  <c r="B38" i="22" s="1"/>
  <c r="AL23" i="22"/>
  <c r="W43" i="22" s="1"/>
  <c r="U24" i="22"/>
  <c r="F44" i="22" s="1"/>
  <c r="AR24" i="22"/>
  <c r="AC44" i="22" s="1"/>
  <c r="AM25" i="22"/>
  <c r="AG25" i="22"/>
  <c r="AZ25" i="22"/>
  <c r="U26" i="22"/>
  <c r="AR26" i="22"/>
  <c r="AM27" i="22"/>
  <c r="X47" i="22" s="1"/>
  <c r="AG27" i="22"/>
  <c r="R47" i="22" s="1"/>
  <c r="AZ27" i="22"/>
  <c r="AF120" i="22"/>
  <c r="Q140" i="22" s="1"/>
  <c r="AF129" i="22"/>
  <c r="Q149" i="22" s="1"/>
  <c r="AK131" i="22"/>
  <c r="Y227" i="22"/>
  <c r="J247" i="22" s="1"/>
  <c r="AK227" i="22"/>
  <c r="V247" i="22" s="1"/>
  <c r="AE230" i="22"/>
  <c r="P250" i="22" s="1"/>
  <c r="V232" i="22"/>
  <c r="G252" i="22" s="1"/>
  <c r="AE233" i="22"/>
  <c r="P253" i="22" s="1"/>
  <c r="AQ241" i="22"/>
  <c r="AB261" i="22" s="1"/>
  <c r="AI241" i="22"/>
  <c r="T261" i="22" s="1"/>
  <c r="AN336" i="22"/>
  <c r="Y356" i="22" s="1"/>
  <c r="AI336" i="22"/>
  <c r="T356" i="22" s="1"/>
  <c r="AO349" i="22"/>
  <c r="T350" i="22"/>
  <c r="E370" i="22" s="1"/>
  <c r="V441" i="22"/>
  <c r="G461" i="22" s="1"/>
  <c r="AK442" i="22"/>
  <c r="V462" i="22" s="1"/>
  <c r="Z444" i="22"/>
  <c r="K464" i="22" s="1"/>
  <c r="X447" i="22"/>
  <c r="I467" i="22" s="1"/>
  <c r="AP452" i="22"/>
  <c r="AA472" i="22" s="1"/>
  <c r="U453" i="22"/>
  <c r="Z454" i="22"/>
  <c r="Z455" i="22"/>
  <c r="K475" i="22" s="1"/>
  <c r="AR23" i="23"/>
  <c r="AC43" i="23" s="1"/>
  <c r="AK24" i="23"/>
  <c r="V44" i="23" s="1"/>
  <c r="AP24" i="23"/>
  <c r="AA44" i="23" s="1"/>
  <c r="S24" i="23"/>
  <c r="D44" i="23" s="1"/>
  <c r="AZ24" i="23"/>
  <c r="AJ24" i="23"/>
  <c r="U44" i="23" s="1"/>
  <c r="R24" i="23"/>
  <c r="C44" i="23" s="1"/>
  <c r="AH24" i="23"/>
  <c r="S44" i="23" s="1"/>
  <c r="AB24" i="23"/>
  <c r="M44" i="23" s="1"/>
  <c r="AA24" i="23"/>
  <c r="L44" i="23" s="1"/>
  <c r="AQ24" i="23"/>
  <c r="AB44" i="23" s="1"/>
  <c r="T24" i="23"/>
  <c r="E44" i="23" s="1"/>
  <c r="AI26" i="23"/>
  <c r="AQ27" i="23"/>
  <c r="AB47" i="23" s="1"/>
  <c r="AD27" i="23"/>
  <c r="O47" i="23" s="1"/>
  <c r="Q27" i="23"/>
  <c r="B47" i="23" s="1"/>
  <c r="AO27" i="23"/>
  <c r="Z47" i="23" s="1"/>
  <c r="AA27" i="23"/>
  <c r="L47" i="23" s="1"/>
  <c r="AY27" i="23"/>
  <c r="AI27" i="23"/>
  <c r="T47" i="23" s="1"/>
  <c r="T27" i="23"/>
  <c r="E47" i="23" s="1"/>
  <c r="AF336" i="23"/>
  <c r="Q356" i="23" s="1"/>
  <c r="Z348" i="23"/>
  <c r="AO233" i="21"/>
  <c r="Z253" i="21" s="1"/>
  <c r="AG448" i="21"/>
  <c r="R468" i="21" s="1"/>
  <c r="AL14" i="22"/>
  <c r="W34" i="22" s="1"/>
  <c r="AM23" i="22"/>
  <c r="X43" i="22" s="1"/>
  <c r="Y24" i="22"/>
  <c r="J44" i="22" s="1"/>
  <c r="AJ25" i="22"/>
  <c r="Y26" i="22"/>
  <c r="AJ27" i="22"/>
  <c r="U47" i="22" s="1"/>
  <c r="AA227" i="22"/>
  <c r="L247" i="22" s="1"/>
  <c r="AK230" i="22"/>
  <c r="V250" i="22" s="1"/>
  <c r="W232" i="22"/>
  <c r="H252" i="22" s="1"/>
  <c r="S337" i="22"/>
  <c r="D357" i="22" s="1"/>
  <c r="AN339" i="22"/>
  <c r="Y359" i="22" s="1"/>
  <c r="AF339" i="22"/>
  <c r="Q359" i="22" s="1"/>
  <c r="Q339" i="22"/>
  <c r="B359" i="22" s="1"/>
  <c r="AP341" i="22"/>
  <c r="AA361" i="22" s="1"/>
  <c r="AP349" i="22"/>
  <c r="Y350" i="22"/>
  <c r="J370" i="22" s="1"/>
  <c r="AB441" i="22"/>
  <c r="M461" i="22" s="1"/>
  <c r="AH444" i="22"/>
  <c r="S464" i="22" s="1"/>
  <c r="AR452" i="22"/>
  <c r="AC472" i="22" s="1"/>
  <c r="AG453" i="22"/>
  <c r="AL25" i="23"/>
  <c r="AR25" i="23"/>
  <c r="Z25" i="23"/>
  <c r="AQ25" i="23"/>
  <c r="T25" i="23"/>
  <c r="AH25" i="23"/>
  <c r="AR26" i="23"/>
  <c r="AE348" i="23"/>
  <c r="AA232" i="22"/>
  <c r="L252" i="22" s="1"/>
  <c r="AG337" i="22"/>
  <c r="R357" i="22" s="1"/>
  <c r="AA350" i="22"/>
  <c r="L370" i="22" s="1"/>
  <c r="AQ442" i="22"/>
  <c r="AB462" i="22" s="1"/>
  <c r="AJ444" i="22"/>
  <c r="U464" i="22" s="1"/>
  <c r="AK122" i="23"/>
  <c r="V142" i="23" s="1"/>
  <c r="S122" i="23"/>
  <c r="D142" i="23" s="1"/>
  <c r="AJ241" i="23"/>
  <c r="U261" i="23" s="1"/>
  <c r="AH241" i="23"/>
  <c r="S261" i="23" s="1"/>
  <c r="AE241" i="23"/>
  <c r="P261" i="23" s="1"/>
  <c r="AR350" i="23"/>
  <c r="AC370" i="23" s="1"/>
  <c r="X350" i="23"/>
  <c r="I370" i="23" s="1"/>
  <c r="AK345" i="21"/>
  <c r="V365" i="21" s="1"/>
  <c r="AH14" i="22"/>
  <c r="S34" i="22" s="1"/>
  <c r="AC24" i="22"/>
  <c r="N44" i="22" s="1"/>
  <c r="AX24" i="22"/>
  <c r="AC26" i="22"/>
  <c r="AX26" i="22"/>
  <c r="AI120" i="22"/>
  <c r="T140" i="22" s="1"/>
  <c r="AP120" i="22"/>
  <c r="AA140" i="22" s="1"/>
  <c r="AI129" i="22"/>
  <c r="T149" i="22" s="1"/>
  <c r="AP129" i="22"/>
  <c r="AA149" i="22" s="1"/>
  <c r="AD232" i="22"/>
  <c r="O252" i="22" s="1"/>
  <c r="U341" i="22"/>
  <c r="F361" i="22" s="1"/>
  <c r="AF350" i="22"/>
  <c r="Q370" i="22" s="1"/>
  <c r="AE441" i="22"/>
  <c r="P461" i="22" s="1"/>
  <c r="AN442" i="22"/>
  <c r="Y462" i="22" s="1"/>
  <c r="AA442" i="22"/>
  <c r="L462" i="22" s="1"/>
  <c r="AM442" i="22"/>
  <c r="X462" i="22" s="1"/>
  <c r="S442" i="22"/>
  <c r="D462" i="22" s="1"/>
  <c r="AK443" i="22"/>
  <c r="V463" i="22" s="1"/>
  <c r="W443" i="22"/>
  <c r="H463" i="22" s="1"/>
  <c r="AP443" i="22"/>
  <c r="AA463" i="22" s="1"/>
  <c r="AC450" i="22"/>
  <c r="N470" i="22" s="1"/>
  <c r="AR450" i="22"/>
  <c r="AC470" i="22" s="1"/>
  <c r="AN450" i="22"/>
  <c r="Y470" i="22" s="1"/>
  <c r="AG450" i="22"/>
  <c r="R470" i="22" s="1"/>
  <c r="AE450" i="22"/>
  <c r="P470" i="22" s="1"/>
  <c r="V450" i="22"/>
  <c r="G470" i="22" s="1"/>
  <c r="AQ14" i="23"/>
  <c r="AB34" i="23" s="1"/>
  <c r="AA25" i="23"/>
  <c r="AO122" i="23"/>
  <c r="Z142" i="23" s="1"/>
  <c r="W337" i="23"/>
  <c r="H357" i="23" s="1"/>
  <c r="AQ337" i="23"/>
  <c r="AB357" i="23" s="1"/>
  <c r="U337" i="23"/>
  <c r="F357" i="23" s="1"/>
  <c r="AN337" i="23"/>
  <c r="Y357" i="23" s="1"/>
  <c r="T337" i="23"/>
  <c r="E357" i="23" s="1"/>
  <c r="AF337" i="23"/>
  <c r="Q357" i="23" s="1"/>
  <c r="AB350" i="23"/>
  <c r="M370" i="23" s="1"/>
  <c r="AO446" i="22"/>
  <c r="Z466" i="22" s="1"/>
  <c r="AB451" i="22"/>
  <c r="M471" i="22" s="1"/>
  <c r="U452" i="22"/>
  <c r="F472" i="22" s="1"/>
  <c r="AM452" i="22"/>
  <c r="X472" i="22" s="1"/>
  <c r="AL12" i="22"/>
  <c r="W32" i="22" s="1"/>
  <c r="AC117" i="22"/>
  <c r="N137" i="22" s="1"/>
  <c r="AI233" i="22"/>
  <c r="T253" i="22" s="1"/>
  <c r="R27" i="23"/>
  <c r="C47" i="23" s="1"/>
  <c r="AF27" i="23"/>
  <c r="Q47" i="23" s="1"/>
  <c r="AJ122" i="23"/>
  <c r="U142" i="23" s="1"/>
  <c r="AA122" i="23"/>
  <c r="L142" i="23" s="1"/>
  <c r="AQ122" i="23"/>
  <c r="AB142" i="23" s="1"/>
  <c r="AB160" i="23" s="1"/>
  <c r="U131" i="23"/>
  <c r="AL131" i="23"/>
  <c r="R132" i="23"/>
  <c r="AI226" i="23"/>
  <c r="T246" i="23" s="1"/>
  <c r="AI231" i="23"/>
  <c r="T251" i="23" s="1"/>
  <c r="AO232" i="23"/>
  <c r="Z252" i="23" s="1"/>
  <c r="AC232" i="23"/>
  <c r="N252" i="23" s="1"/>
  <c r="AQ232" i="23"/>
  <c r="AB252" i="23" s="1"/>
  <c r="X234" i="23"/>
  <c r="I254" i="23" s="1"/>
  <c r="AP234" i="23"/>
  <c r="AA254" i="23" s="1"/>
  <c r="AE236" i="23"/>
  <c r="P256" i="23" s="1"/>
  <c r="AM237" i="23"/>
  <c r="X257" i="23" s="1"/>
  <c r="AO336" i="23"/>
  <c r="Z356" i="23" s="1"/>
  <c r="AD336" i="23"/>
  <c r="O356" i="23" s="1"/>
  <c r="AA337" i="23"/>
  <c r="L357" i="23" s="1"/>
  <c r="T341" i="23"/>
  <c r="E361" i="23" s="1"/>
  <c r="AN341" i="23"/>
  <c r="Y361" i="23" s="1"/>
  <c r="AC350" i="23"/>
  <c r="N370" i="23" s="1"/>
  <c r="Y441" i="23"/>
  <c r="J461" i="23" s="1"/>
  <c r="AQ442" i="23"/>
  <c r="AB462" i="23" s="1"/>
  <c r="AM443" i="23"/>
  <c r="X463" i="23" s="1"/>
  <c r="AL448" i="23"/>
  <c r="W468" i="23" s="1"/>
  <c r="U452" i="23"/>
  <c r="F472" i="23" s="1"/>
  <c r="AL452" i="23"/>
  <c r="W472" i="23" s="1"/>
  <c r="Q453" i="23"/>
  <c r="AB453" i="23"/>
  <c r="AP453" i="23"/>
  <c r="T454" i="23"/>
  <c r="AN455" i="23"/>
  <c r="Y475" i="23" s="1"/>
  <c r="AQ439" i="23"/>
  <c r="AB459" i="23" s="1"/>
  <c r="Y340" i="23"/>
  <c r="J360" i="23" s="1"/>
  <c r="AC122" i="23"/>
  <c r="N142" i="23" s="1"/>
  <c r="AA131" i="23"/>
  <c r="AQ131" i="23"/>
  <c r="AB132" i="23"/>
  <c r="AN230" i="23"/>
  <c r="Y250" i="23" s="1"/>
  <c r="AG240" i="23"/>
  <c r="AG336" i="23"/>
  <c r="R356" i="23" s="1"/>
  <c r="AE339" i="23"/>
  <c r="P359" i="23" s="1"/>
  <c r="P377" i="23" s="1"/>
  <c r="X341" i="23"/>
  <c r="I361" i="23" s="1"/>
  <c r="AR341" i="23"/>
  <c r="AC361" i="23" s="1"/>
  <c r="AR346" i="23"/>
  <c r="AC366" i="23" s="1"/>
  <c r="AK350" i="23"/>
  <c r="V370" i="23" s="1"/>
  <c r="AL440" i="23"/>
  <c r="W460" i="23" s="1"/>
  <c r="AL454" i="22"/>
  <c r="AO17" i="22"/>
  <c r="Z37" i="22" s="1"/>
  <c r="S118" i="22"/>
  <c r="D138" i="22" s="1"/>
  <c r="AD334" i="22"/>
  <c r="O354" i="22" s="1"/>
  <c r="AH234" i="22"/>
  <c r="S254" i="22" s="1"/>
  <c r="AL24" i="23"/>
  <c r="W44" i="23" s="1"/>
  <c r="AK25" i="23"/>
  <c r="AI25" i="23"/>
  <c r="V27" i="23"/>
  <c r="G47" i="23" s="1"/>
  <c r="AL27" i="23"/>
  <c r="W47" i="23" s="1"/>
  <c r="AF120" i="23"/>
  <c r="Q140" i="23" s="1"/>
  <c r="Q122" i="23"/>
  <c r="B142" i="23" s="1"/>
  <c r="AG122" i="23"/>
  <c r="R142" i="23" s="1"/>
  <c r="AM130" i="23"/>
  <c r="X150" i="23" s="1"/>
  <c r="AB131" i="23"/>
  <c r="AH132" i="23"/>
  <c r="AR230" i="23"/>
  <c r="AC250" i="23" s="1"/>
  <c r="T232" i="23"/>
  <c r="E252" i="23" s="1"/>
  <c r="AK239" i="23"/>
  <c r="AI240" i="23"/>
  <c r="R336" i="23"/>
  <c r="C356" i="23" s="1"/>
  <c r="AH336" i="23"/>
  <c r="S356" i="23" s="1"/>
  <c r="AK337" i="23"/>
  <c r="V357" i="23" s="1"/>
  <c r="AH339" i="23"/>
  <c r="S359" i="23" s="1"/>
  <c r="Y341" i="23"/>
  <c r="J361" i="23" s="1"/>
  <c r="W342" i="23"/>
  <c r="H362" i="23" s="1"/>
  <c r="T346" i="23"/>
  <c r="E366" i="23" s="1"/>
  <c r="AN348" i="23"/>
  <c r="AI348" i="23"/>
  <c r="T350" i="23"/>
  <c r="E370" i="23" s="1"/>
  <c r="AN350" i="23"/>
  <c r="Y370" i="23" s="1"/>
  <c r="U442" i="23"/>
  <c r="F462" i="23" s="1"/>
  <c r="W443" i="23"/>
  <c r="H463" i="23" s="1"/>
  <c r="AB452" i="23"/>
  <c r="M472" i="23" s="1"/>
  <c r="T453" i="23"/>
  <c r="AH453" i="23"/>
  <c r="AI22" i="23"/>
  <c r="T42" i="23" s="1"/>
  <c r="V445" i="23"/>
  <c r="G465" i="23" s="1"/>
  <c r="AK347" i="22"/>
  <c r="V367" i="22" s="1"/>
  <c r="T451" i="22"/>
  <c r="E471" i="22" s="1"/>
  <c r="AL452" i="22"/>
  <c r="W472" i="22" s="1"/>
  <c r="AB452" i="22"/>
  <c r="M472" i="22" s="1"/>
  <c r="AD455" i="22"/>
  <c r="O475" i="22" s="1"/>
  <c r="R25" i="23"/>
  <c r="AJ25" i="23"/>
  <c r="AZ25" i="23"/>
  <c r="Y27" i="23"/>
  <c r="J47" i="23" s="1"/>
  <c r="AN27" i="23"/>
  <c r="Y47" i="23" s="1"/>
  <c r="AZ27" i="23"/>
  <c r="R122" i="23"/>
  <c r="C142" i="23" s="1"/>
  <c r="AI122" i="23"/>
  <c r="T142" i="23" s="1"/>
  <c r="AO124" i="23"/>
  <c r="Z144" i="23" s="1"/>
  <c r="AJ130" i="23"/>
  <c r="U150" i="23" s="1"/>
  <c r="T231" i="23"/>
  <c r="E251" i="23" s="1"/>
  <c r="U232" i="23"/>
  <c r="F252" i="23" s="1"/>
  <c r="AK232" i="23"/>
  <c r="V252" i="23" s="1"/>
  <c r="AN234" i="23"/>
  <c r="Y254" i="23" s="1"/>
  <c r="R236" i="23"/>
  <c r="C256" i="23" s="1"/>
  <c r="AH238" i="23"/>
  <c r="S258" i="23" s="1"/>
  <c r="AE240" i="23"/>
  <c r="AK240" i="23"/>
  <c r="T336" i="23"/>
  <c r="E356" i="23" s="1"/>
  <c r="AN336" i="23"/>
  <c r="Y356" i="23" s="1"/>
  <c r="S337" i="23"/>
  <c r="D357" i="23" s="1"/>
  <c r="AN339" i="23"/>
  <c r="Y359" i="23" s="1"/>
  <c r="AI339" i="23"/>
  <c r="T359" i="23" s="1"/>
  <c r="T377" i="23" s="1"/>
  <c r="AB341" i="23"/>
  <c r="M361" i="23" s="1"/>
  <c r="AB346" i="23"/>
  <c r="M366" i="23" s="1"/>
  <c r="R348" i="23"/>
  <c r="AL348" i="23"/>
  <c r="U350" i="23"/>
  <c r="F370" i="23" s="1"/>
  <c r="AO350" i="23"/>
  <c r="Z370" i="23" s="1"/>
  <c r="AG445" i="23"/>
  <c r="R465" i="23" s="1"/>
  <c r="AD452" i="23"/>
  <c r="O472" i="23" s="1"/>
  <c r="U453" i="23"/>
  <c r="AI453" i="23"/>
  <c r="AM455" i="23"/>
  <c r="X475" i="23" s="1"/>
  <c r="AH452" i="23"/>
  <c r="S472" i="23" s="1"/>
  <c r="Y453" i="23"/>
  <c r="Z125" i="23"/>
  <c r="K145" i="23" s="1"/>
  <c r="AC453" i="22"/>
  <c r="AN338" i="22"/>
  <c r="Y358" i="22" s="1"/>
  <c r="AB27" i="23"/>
  <c r="M47" i="23" s="1"/>
  <c r="U122" i="23"/>
  <c r="F142" i="23" s="1"/>
  <c r="AL122" i="23"/>
  <c r="W142" i="23" s="1"/>
  <c r="Z130" i="23"/>
  <c r="K150" i="23" s="1"/>
  <c r="R131" i="23"/>
  <c r="AI131" i="23"/>
  <c r="AI228" i="23"/>
  <c r="T248" i="23" s="1"/>
  <c r="V230" i="23"/>
  <c r="G250" i="23" s="1"/>
  <c r="AJ232" i="23"/>
  <c r="U252" i="23" s="1"/>
  <c r="AA232" i="23"/>
  <c r="L252" i="23" s="1"/>
  <c r="AM232" i="23"/>
  <c r="X252" i="23" s="1"/>
  <c r="AN238" i="23"/>
  <c r="Y258" i="23" s="1"/>
  <c r="V239" i="23"/>
  <c r="V240" i="23"/>
  <c r="AO240" i="23"/>
  <c r="X336" i="23"/>
  <c r="I356" i="23" s="1"/>
  <c r="AR336" i="23"/>
  <c r="AC356" i="23" s="1"/>
  <c r="S339" i="23"/>
  <c r="D359" i="23" s="1"/>
  <c r="D377" i="23" s="1"/>
  <c r="AM339" i="23"/>
  <c r="X359" i="23" s="1"/>
  <c r="X377" i="23" s="1"/>
  <c r="AJ341" i="23"/>
  <c r="U361" i="23" s="1"/>
  <c r="AF346" i="23"/>
  <c r="Q366" i="23" s="1"/>
  <c r="AM347" i="23"/>
  <c r="X367" i="23" s="1"/>
  <c r="Y350" i="23"/>
  <c r="J370" i="23" s="1"/>
  <c r="S452" i="23"/>
  <c r="D472" i="23" s="1"/>
  <c r="AI452" i="23"/>
  <c r="T472" i="23" s="1"/>
  <c r="Z453" i="23"/>
  <c r="AB439" i="23"/>
  <c r="M459" i="23" s="1"/>
  <c r="U121" i="23"/>
  <c r="F141" i="23" s="1"/>
  <c r="AK233" i="23"/>
  <c r="V253" i="23" s="1"/>
  <c r="AG335" i="22"/>
  <c r="R355" i="22" s="1"/>
  <c r="AL23" i="23"/>
  <c r="W43" i="23" s="1"/>
  <c r="AL26" i="23"/>
  <c r="Y122" i="23"/>
  <c r="J142" i="23" s="1"/>
  <c r="AR129" i="23"/>
  <c r="AC149" i="23" s="1"/>
  <c r="S131" i="23"/>
  <c r="AK131" i="23"/>
  <c r="AI132" i="23"/>
  <c r="AH228" i="23"/>
  <c r="S248" i="23" s="1"/>
  <c r="W230" i="23"/>
  <c r="H250" i="23" s="1"/>
  <c r="AB232" i="23"/>
  <c r="M252" i="23" s="1"/>
  <c r="W238" i="23"/>
  <c r="H258" i="23" s="1"/>
  <c r="W240" i="23"/>
  <c r="V339" i="23"/>
  <c r="G359" i="23" s="1"/>
  <c r="G377" i="23" s="1"/>
  <c r="AG346" i="23"/>
  <c r="R366" i="23" s="1"/>
  <c r="T452" i="23"/>
  <c r="E472" i="23" s="1"/>
  <c r="AJ452" i="23"/>
  <c r="U472" i="23" s="1"/>
  <c r="AN453" i="23"/>
  <c r="AA453" i="23"/>
  <c r="AO453" i="23"/>
  <c r="AN454" i="23"/>
  <c r="AH226" i="23"/>
  <c r="S246" i="23" s="1"/>
  <c r="AH443" i="23"/>
  <c r="S463" i="23" s="1"/>
  <c r="AB447" i="23"/>
  <c r="M467" i="23" s="1"/>
  <c r="AG450" i="23"/>
  <c r="R470" i="23" s="1"/>
  <c r="AI447" i="23"/>
  <c r="T467" i="23" s="1"/>
  <c r="R450" i="23"/>
  <c r="C470" i="23" s="1"/>
  <c r="AN447" i="23"/>
  <c r="Y467" i="23" s="1"/>
  <c r="AQ447" i="23"/>
  <c r="AB467" i="23" s="1"/>
  <c r="AQ448" i="23"/>
  <c r="AB468" i="23" s="1"/>
  <c r="V447" i="23"/>
  <c r="G467" i="23" s="1"/>
  <c r="U448" i="23"/>
  <c r="F468" i="23" s="1"/>
  <c r="X448" i="23"/>
  <c r="I468" i="23" s="1"/>
  <c r="X342" i="23"/>
  <c r="I362" i="23" s="1"/>
  <c r="AH343" i="23"/>
  <c r="S363" i="23" s="1"/>
  <c r="AM342" i="23"/>
  <c r="X362" i="23" s="1"/>
  <c r="Q233" i="23"/>
  <c r="B253" i="23" s="1"/>
  <c r="R233" i="23"/>
  <c r="C253" i="23" s="1"/>
  <c r="Z233" i="23"/>
  <c r="K253" i="23" s="1"/>
  <c r="AA233" i="23"/>
  <c r="L253" i="23" s="1"/>
  <c r="AB233" i="23"/>
  <c r="M253" i="23" s="1"/>
  <c r="AJ233" i="23"/>
  <c r="U253" i="23" s="1"/>
  <c r="AO233" i="23"/>
  <c r="Z253" i="23" s="1"/>
  <c r="AL125" i="23"/>
  <c r="W145" i="23" s="1"/>
  <c r="AQ445" i="23"/>
  <c r="AB465" i="23" s="1"/>
  <c r="R445" i="23"/>
  <c r="C465" i="23" s="1"/>
  <c r="AJ231" i="23"/>
  <c r="U251" i="23" s="1"/>
  <c r="AD231" i="23"/>
  <c r="O251" i="23" s="1"/>
  <c r="AK231" i="23"/>
  <c r="V251" i="23" s="1"/>
  <c r="AE231" i="23"/>
  <c r="P251" i="23" s="1"/>
  <c r="S231" i="23"/>
  <c r="D251" i="23" s="1"/>
  <c r="AF231" i="23"/>
  <c r="Q251" i="23" s="1"/>
  <c r="U231" i="23"/>
  <c r="F251" i="23" s="1"/>
  <c r="X443" i="23"/>
  <c r="I463" i="23" s="1"/>
  <c r="AN443" i="23"/>
  <c r="Y463" i="23" s="1"/>
  <c r="AE443" i="23"/>
  <c r="P463" i="23" s="1"/>
  <c r="R443" i="23"/>
  <c r="C463" i="23" s="1"/>
  <c r="AK229" i="23"/>
  <c r="V249" i="23" s="1"/>
  <c r="Z121" i="23"/>
  <c r="K141" i="23" s="1"/>
  <c r="AE121" i="23"/>
  <c r="P141" i="23" s="1"/>
  <c r="AJ121" i="23"/>
  <c r="U141" i="23" s="1"/>
  <c r="AB121" i="23"/>
  <c r="M141" i="23" s="1"/>
  <c r="AL121" i="23"/>
  <c r="W141" i="23" s="1"/>
  <c r="R121" i="23"/>
  <c r="C141" i="23" s="1"/>
  <c r="AN439" i="23"/>
  <c r="Y459" i="23" s="1"/>
  <c r="X440" i="23"/>
  <c r="I460" i="23" s="1"/>
  <c r="X439" i="23"/>
  <c r="I459" i="23" s="1"/>
  <c r="AI440" i="23"/>
  <c r="T460" i="23" s="1"/>
  <c r="AF439" i="23"/>
  <c r="Q459" i="23" s="1"/>
  <c r="Z335" i="23"/>
  <c r="K355" i="23" s="1"/>
  <c r="Y226" i="23"/>
  <c r="J246" i="23" s="1"/>
  <c r="AQ226" i="23"/>
  <c r="AB246" i="23" s="1"/>
  <c r="AN226" i="23"/>
  <c r="Y246" i="23" s="1"/>
  <c r="AG226" i="23"/>
  <c r="R246" i="23" s="1"/>
  <c r="S226" i="23"/>
  <c r="D246" i="23" s="1"/>
  <c r="AH22" i="23"/>
  <c r="S42" i="23" s="1"/>
  <c r="AP22" i="23"/>
  <c r="AA42" i="23" s="1"/>
  <c r="AC20" i="23"/>
  <c r="N40" i="23" s="1"/>
  <c r="AJ22" i="23"/>
  <c r="U42" i="23" s="1"/>
  <c r="AK22" i="23"/>
  <c r="V42" i="23" s="1"/>
  <c r="Z22" i="23"/>
  <c r="K42" i="23" s="1"/>
  <c r="AR22" i="23"/>
  <c r="AC42" i="23" s="1"/>
  <c r="AA22" i="23"/>
  <c r="L42" i="23" s="1"/>
  <c r="AL22" i="23"/>
  <c r="W42" i="23" s="1"/>
  <c r="AB22" i="23"/>
  <c r="M42" i="23" s="1"/>
  <c r="R22" i="23"/>
  <c r="C42" i="23" s="1"/>
  <c r="A79" i="23"/>
  <c r="A67" i="23"/>
  <c r="T11" i="23"/>
  <c r="E31" i="23" s="1"/>
  <c r="AB11" i="23"/>
  <c r="M31" i="23" s="1"/>
  <c r="AJ11" i="23"/>
  <c r="U31" i="23" s="1"/>
  <c r="AR11" i="23"/>
  <c r="AC31" i="23" s="1"/>
  <c r="T12" i="23"/>
  <c r="E32" i="23" s="1"/>
  <c r="AB12" i="23"/>
  <c r="M32" i="23" s="1"/>
  <c r="AJ12" i="23"/>
  <c r="U32" i="23" s="1"/>
  <c r="AR12" i="23"/>
  <c r="AC32" i="23" s="1"/>
  <c r="T13" i="23"/>
  <c r="E33" i="23" s="1"/>
  <c r="AB13" i="23"/>
  <c r="M33" i="23" s="1"/>
  <c r="AJ13" i="23"/>
  <c r="U33" i="23" s="1"/>
  <c r="AR13" i="23"/>
  <c r="AC33" i="23" s="1"/>
  <c r="T14" i="23"/>
  <c r="E34" i="23" s="1"/>
  <c r="AB14" i="23"/>
  <c r="M34" i="23" s="1"/>
  <c r="AJ14" i="23"/>
  <c r="U34" i="23" s="1"/>
  <c r="AR14" i="23"/>
  <c r="AC34" i="23" s="1"/>
  <c r="T15" i="23"/>
  <c r="E35" i="23" s="1"/>
  <c r="AB15" i="23"/>
  <c r="M35" i="23" s="1"/>
  <c r="AJ15" i="23"/>
  <c r="U35" i="23" s="1"/>
  <c r="AR15" i="23"/>
  <c r="AC35" i="23" s="1"/>
  <c r="T16" i="23"/>
  <c r="E36" i="23" s="1"/>
  <c r="AB16" i="23"/>
  <c r="M36" i="23" s="1"/>
  <c r="AJ16" i="23"/>
  <c r="U36" i="23" s="1"/>
  <c r="AR16" i="23"/>
  <c r="AC36" i="23" s="1"/>
  <c r="T17" i="23"/>
  <c r="E37" i="23" s="1"/>
  <c r="AB17" i="23"/>
  <c r="M37" i="23" s="1"/>
  <c r="AJ17" i="23"/>
  <c r="U37" i="23" s="1"/>
  <c r="AR17" i="23"/>
  <c r="AC37" i="23" s="1"/>
  <c r="T18" i="23"/>
  <c r="E38" i="23" s="1"/>
  <c r="AB18" i="23"/>
  <c r="M38" i="23" s="1"/>
  <c r="AJ18" i="23"/>
  <c r="U38" i="23" s="1"/>
  <c r="AR18" i="23"/>
  <c r="AC38" i="23" s="1"/>
  <c r="S19" i="23"/>
  <c r="D39" i="23" s="1"/>
  <c r="AA19" i="23"/>
  <c r="L39" i="23" s="1"/>
  <c r="AI19" i="23"/>
  <c r="T39" i="23" s="1"/>
  <c r="AQ19" i="23"/>
  <c r="AB39" i="23" s="1"/>
  <c r="Q20" i="23"/>
  <c r="B40" i="23" s="1"/>
  <c r="Y20" i="23"/>
  <c r="J40" i="23" s="1"/>
  <c r="AG20" i="23"/>
  <c r="R40" i="23" s="1"/>
  <c r="AO20" i="23"/>
  <c r="Z40" i="23" s="1"/>
  <c r="W22" i="23"/>
  <c r="H42" i="23" s="1"/>
  <c r="AE22" i="23"/>
  <c r="P42" i="23" s="1"/>
  <c r="AM22" i="23"/>
  <c r="X42" i="23" s="1"/>
  <c r="W23" i="23"/>
  <c r="H43" i="23" s="1"/>
  <c r="AE23" i="23"/>
  <c r="P43" i="23" s="1"/>
  <c r="AM23" i="23"/>
  <c r="X43" i="23" s="1"/>
  <c r="W24" i="23"/>
  <c r="H44" i="23" s="1"/>
  <c r="AE24" i="23"/>
  <c r="P44" i="23" s="1"/>
  <c r="AM24" i="23"/>
  <c r="X44" i="23" s="1"/>
  <c r="W25" i="23"/>
  <c r="AE25" i="23"/>
  <c r="AM25" i="23"/>
  <c r="W26" i="23"/>
  <c r="AE26" i="23"/>
  <c r="AM26" i="23"/>
  <c r="AM27" i="23"/>
  <c r="X47" i="23" s="1"/>
  <c r="AE27" i="23"/>
  <c r="P47" i="23" s="1"/>
  <c r="W27" i="23"/>
  <c r="H47" i="23" s="1"/>
  <c r="AK27" i="23"/>
  <c r="V47" i="23" s="1"/>
  <c r="AC27" i="23"/>
  <c r="N47" i="23" s="1"/>
  <c r="U27" i="23"/>
  <c r="F47" i="23" s="1"/>
  <c r="Z27" i="23"/>
  <c r="K47" i="23" s="1"/>
  <c r="AJ27" i="23"/>
  <c r="U47" i="23" s="1"/>
  <c r="AU27" i="23"/>
  <c r="AX33" i="23"/>
  <c r="U11" i="23"/>
  <c r="F31" i="23" s="1"/>
  <c r="AC11" i="23"/>
  <c r="N31" i="23" s="1"/>
  <c r="AK11" i="23"/>
  <c r="V31" i="23" s="1"/>
  <c r="U12" i="23"/>
  <c r="F32" i="23" s="1"/>
  <c r="AC12" i="23"/>
  <c r="N32" i="23" s="1"/>
  <c r="AK12" i="23"/>
  <c r="V32" i="23" s="1"/>
  <c r="U13" i="23"/>
  <c r="F33" i="23" s="1"/>
  <c r="AC13" i="23"/>
  <c r="N33" i="23" s="1"/>
  <c r="AK13" i="23"/>
  <c r="V33" i="23" s="1"/>
  <c r="U14" i="23"/>
  <c r="F34" i="23" s="1"/>
  <c r="AC14" i="23"/>
  <c r="N34" i="23" s="1"/>
  <c r="AK14" i="23"/>
  <c r="V34" i="23" s="1"/>
  <c r="U15" i="23"/>
  <c r="F35" i="23" s="1"/>
  <c r="AC15" i="23"/>
  <c r="N35" i="23" s="1"/>
  <c r="AK15" i="23"/>
  <c r="V35" i="23" s="1"/>
  <c r="U16" i="23"/>
  <c r="F36" i="23" s="1"/>
  <c r="AC16" i="23"/>
  <c r="N36" i="23" s="1"/>
  <c r="AK16" i="23"/>
  <c r="V36" i="23" s="1"/>
  <c r="U17" i="23"/>
  <c r="F37" i="23" s="1"/>
  <c r="AC17" i="23"/>
  <c r="N37" i="23" s="1"/>
  <c r="AK17" i="23"/>
  <c r="V37" i="23" s="1"/>
  <c r="U18" i="23"/>
  <c r="F38" i="23" s="1"/>
  <c r="AC18" i="23"/>
  <c r="N38" i="23" s="1"/>
  <c r="AK18" i="23"/>
  <c r="V38" i="23" s="1"/>
  <c r="AU32" i="23"/>
  <c r="T19" i="23"/>
  <c r="E39" i="23" s="1"/>
  <c r="AB19" i="23"/>
  <c r="M39" i="23" s="1"/>
  <c r="AJ19" i="23"/>
  <c r="U39" i="23" s="1"/>
  <c r="AR19" i="23"/>
  <c r="AC39" i="23" s="1"/>
  <c r="R20" i="23"/>
  <c r="C40" i="23" s="1"/>
  <c r="Z20" i="23"/>
  <c r="K40" i="23" s="1"/>
  <c r="AH20" i="23"/>
  <c r="S40" i="23" s="1"/>
  <c r="AP20" i="23"/>
  <c r="AA40" i="23" s="1"/>
  <c r="X22" i="23"/>
  <c r="I42" i="23" s="1"/>
  <c r="AF22" i="23"/>
  <c r="Q42" i="23" s="1"/>
  <c r="AN22" i="23"/>
  <c r="Y42" i="23" s="1"/>
  <c r="X23" i="23"/>
  <c r="I43" i="23" s="1"/>
  <c r="AF23" i="23"/>
  <c r="Q43" i="23" s="1"/>
  <c r="AN23" i="23"/>
  <c r="Y43" i="23" s="1"/>
  <c r="X24" i="23"/>
  <c r="I44" i="23" s="1"/>
  <c r="AF24" i="23"/>
  <c r="Q44" i="23" s="1"/>
  <c r="AN24" i="23"/>
  <c r="Y44" i="23" s="1"/>
  <c r="X25" i="23"/>
  <c r="AF25" i="23"/>
  <c r="AN25" i="23"/>
  <c r="X26" i="23"/>
  <c r="AF26" i="23"/>
  <c r="AN26" i="23"/>
  <c r="AX26" i="23"/>
  <c r="AZ31" i="23"/>
  <c r="AZ33" i="23"/>
  <c r="A74" i="23"/>
  <c r="A62" i="23"/>
  <c r="V11" i="23"/>
  <c r="G31" i="23" s="1"/>
  <c r="AD11" i="23"/>
  <c r="O31" i="23" s="1"/>
  <c r="AL11" i="23"/>
  <c r="W31" i="23" s="1"/>
  <c r="V12" i="23"/>
  <c r="G32" i="23" s="1"/>
  <c r="AD12" i="23"/>
  <c r="O32" i="23" s="1"/>
  <c r="AL12" i="23"/>
  <c r="W32" i="23" s="1"/>
  <c r="V13" i="23"/>
  <c r="G33" i="23" s="1"/>
  <c r="AD13" i="23"/>
  <c r="O33" i="23" s="1"/>
  <c r="AL13" i="23"/>
  <c r="W33" i="23" s="1"/>
  <c r="V14" i="23"/>
  <c r="G34" i="23" s="1"/>
  <c r="AD14" i="23"/>
  <c r="O34" i="23" s="1"/>
  <c r="AL14" i="23"/>
  <c r="W34" i="23" s="1"/>
  <c r="V15" i="23"/>
  <c r="G35" i="23" s="1"/>
  <c r="AD15" i="23"/>
  <c r="O35" i="23" s="1"/>
  <c r="AL15" i="23"/>
  <c r="W35" i="23" s="1"/>
  <c r="V16" i="23"/>
  <c r="G36" i="23" s="1"/>
  <c r="AD16" i="23"/>
  <c r="O36" i="23" s="1"/>
  <c r="AL16" i="23"/>
  <c r="W36" i="23" s="1"/>
  <c r="AU16" i="23"/>
  <c r="V17" i="23"/>
  <c r="G37" i="23" s="1"/>
  <c r="AD17" i="23"/>
  <c r="O37" i="23" s="1"/>
  <c r="AL17" i="23"/>
  <c r="W37" i="23" s="1"/>
  <c r="AU17" i="23"/>
  <c r="V18" i="23"/>
  <c r="G38" i="23" s="1"/>
  <c r="AD18" i="23"/>
  <c r="O38" i="23" s="1"/>
  <c r="AL18" i="23"/>
  <c r="W38" i="23" s="1"/>
  <c r="U19" i="23"/>
  <c r="F39" i="23" s="1"/>
  <c r="AC19" i="23"/>
  <c r="N39" i="23" s="1"/>
  <c r="AK19" i="23"/>
  <c r="V39" i="23" s="1"/>
  <c r="S20" i="23"/>
  <c r="D40" i="23" s="1"/>
  <c r="AA20" i="23"/>
  <c r="L40" i="23" s="1"/>
  <c r="AI20" i="23"/>
  <c r="T40" i="23" s="1"/>
  <c r="AQ20" i="23"/>
  <c r="AB40" i="23" s="1"/>
  <c r="Q22" i="23"/>
  <c r="B42" i="23" s="1"/>
  <c r="Y22" i="23"/>
  <c r="J42" i="23" s="1"/>
  <c r="AG22" i="23"/>
  <c r="R42" i="23" s="1"/>
  <c r="AO22" i="23"/>
  <c r="Z42" i="23" s="1"/>
  <c r="Q23" i="23"/>
  <c r="B43" i="23" s="1"/>
  <c r="Y23" i="23"/>
  <c r="J43" i="23" s="1"/>
  <c r="AG23" i="23"/>
  <c r="R43" i="23" s="1"/>
  <c r="AO23" i="23"/>
  <c r="Z43" i="23" s="1"/>
  <c r="Q24" i="23"/>
  <c r="B44" i="23" s="1"/>
  <c r="Y24" i="23"/>
  <c r="J44" i="23" s="1"/>
  <c r="AG24" i="23"/>
  <c r="R44" i="23" s="1"/>
  <c r="AO24" i="23"/>
  <c r="Z44" i="23" s="1"/>
  <c r="AX24" i="23"/>
  <c r="Q25" i="23"/>
  <c r="Y25" i="23"/>
  <c r="AG25" i="23"/>
  <c r="AO25" i="23"/>
  <c r="AX25" i="23"/>
  <c r="Q26" i="23"/>
  <c r="Y26" i="23"/>
  <c r="AG26" i="23"/>
  <c r="AO26" i="23"/>
  <c r="A65" i="23"/>
  <c r="A77" i="23"/>
  <c r="A68" i="23"/>
  <c r="A80" i="23"/>
  <c r="W11" i="23"/>
  <c r="H31" i="23" s="1"/>
  <c r="AE11" i="23"/>
  <c r="P31" i="23" s="1"/>
  <c r="AM11" i="23"/>
  <c r="X31" i="23" s="1"/>
  <c r="W12" i="23"/>
  <c r="H32" i="23" s="1"/>
  <c r="AE12" i="23"/>
  <c r="P32" i="23" s="1"/>
  <c r="AM12" i="23"/>
  <c r="X32" i="23" s="1"/>
  <c r="W13" i="23"/>
  <c r="H33" i="23" s="1"/>
  <c r="AE13" i="23"/>
  <c r="P33" i="23" s="1"/>
  <c r="AM13" i="23"/>
  <c r="X33" i="23" s="1"/>
  <c r="W14" i="23"/>
  <c r="H34" i="23" s="1"/>
  <c r="AE14" i="23"/>
  <c r="P34" i="23" s="1"/>
  <c r="AM14" i="23"/>
  <c r="X34" i="23" s="1"/>
  <c r="W15" i="23"/>
  <c r="H35" i="23" s="1"/>
  <c r="AE15" i="23"/>
  <c r="P35" i="23" s="1"/>
  <c r="AM15" i="23"/>
  <c r="X35" i="23" s="1"/>
  <c r="W16" i="23"/>
  <c r="H36" i="23" s="1"/>
  <c r="AE16" i="23"/>
  <c r="P36" i="23" s="1"/>
  <c r="AM16" i="23"/>
  <c r="X36" i="23" s="1"/>
  <c r="W17" i="23"/>
  <c r="H37" i="23" s="1"/>
  <c r="AE17" i="23"/>
  <c r="P37" i="23" s="1"/>
  <c r="AM17" i="23"/>
  <c r="X37" i="23" s="1"/>
  <c r="W18" i="23"/>
  <c r="H38" i="23" s="1"/>
  <c r="AE18" i="23"/>
  <c r="P38" i="23" s="1"/>
  <c r="AM18" i="23"/>
  <c r="X38" i="23" s="1"/>
  <c r="V19" i="23"/>
  <c r="G39" i="23" s="1"/>
  <c r="AD19" i="23"/>
  <c r="O39" i="23" s="1"/>
  <c r="AL19" i="23"/>
  <c r="W39" i="23" s="1"/>
  <c r="T20" i="23"/>
  <c r="E40" i="23" s="1"/>
  <c r="AB20" i="23"/>
  <c r="M40" i="23" s="1"/>
  <c r="AJ20" i="23"/>
  <c r="U40" i="23" s="1"/>
  <c r="AR20" i="23"/>
  <c r="AC40" i="23" s="1"/>
  <c r="X11" i="23"/>
  <c r="I31" i="23" s="1"/>
  <c r="AF11" i="23"/>
  <c r="Q31" i="23" s="1"/>
  <c r="AN11" i="23"/>
  <c r="Y31" i="23" s="1"/>
  <c r="X12" i="23"/>
  <c r="I32" i="23" s="1"/>
  <c r="AF12" i="23"/>
  <c r="Q32" i="23" s="1"/>
  <c r="AN12" i="23"/>
  <c r="Y32" i="23" s="1"/>
  <c r="X13" i="23"/>
  <c r="I33" i="23" s="1"/>
  <c r="AF13" i="23"/>
  <c r="Q33" i="23" s="1"/>
  <c r="AN13" i="23"/>
  <c r="Y33" i="23" s="1"/>
  <c r="X14" i="23"/>
  <c r="I34" i="23" s="1"/>
  <c r="AF14" i="23"/>
  <c r="Q34" i="23" s="1"/>
  <c r="AN14" i="23"/>
  <c r="Y34" i="23" s="1"/>
  <c r="X15" i="23"/>
  <c r="I35" i="23" s="1"/>
  <c r="AF15" i="23"/>
  <c r="Q35" i="23" s="1"/>
  <c r="AN15" i="23"/>
  <c r="Y35" i="23" s="1"/>
  <c r="X16" i="23"/>
  <c r="I36" i="23" s="1"/>
  <c r="AF16" i="23"/>
  <c r="Q36" i="23" s="1"/>
  <c r="AN16" i="23"/>
  <c r="Y36" i="23" s="1"/>
  <c r="X17" i="23"/>
  <c r="I37" i="23" s="1"/>
  <c r="AF17" i="23"/>
  <c r="Q37" i="23" s="1"/>
  <c r="AN17" i="23"/>
  <c r="Y37" i="23" s="1"/>
  <c r="X18" i="23"/>
  <c r="I38" i="23" s="1"/>
  <c r="AF18" i="23"/>
  <c r="Q38" i="23" s="1"/>
  <c r="AN18" i="23"/>
  <c r="Y38" i="23" s="1"/>
  <c r="W19" i="23"/>
  <c r="H39" i="23" s="1"/>
  <c r="AE19" i="23"/>
  <c r="P39" i="23" s="1"/>
  <c r="AM19" i="23"/>
  <c r="X39" i="23" s="1"/>
  <c r="AZ22" i="23"/>
  <c r="AZ23" i="23"/>
  <c r="A63" i="23"/>
  <c r="A75" i="23"/>
  <c r="A76" i="23"/>
  <c r="A64" i="23"/>
  <c r="Q11" i="23"/>
  <c r="B31" i="23" s="1"/>
  <c r="Y11" i="23"/>
  <c r="J31" i="23" s="1"/>
  <c r="AG11" i="23"/>
  <c r="R31" i="23" s="1"/>
  <c r="AO11" i="23"/>
  <c r="Z31" i="23" s="1"/>
  <c r="Q12" i="23"/>
  <c r="B32" i="23" s="1"/>
  <c r="Y12" i="23"/>
  <c r="J32" i="23" s="1"/>
  <c r="AG12" i="23"/>
  <c r="R32" i="23" s="1"/>
  <c r="AO12" i="23"/>
  <c r="Z32" i="23" s="1"/>
  <c r="Q13" i="23"/>
  <c r="B33" i="23" s="1"/>
  <c r="Y13" i="23"/>
  <c r="J33" i="23" s="1"/>
  <c r="AG13" i="23"/>
  <c r="R33" i="23" s="1"/>
  <c r="AO13" i="23"/>
  <c r="Z33" i="23" s="1"/>
  <c r="Q14" i="23"/>
  <c r="B34" i="23" s="1"/>
  <c r="Y14" i="23"/>
  <c r="J34" i="23" s="1"/>
  <c r="AG14" i="23"/>
  <c r="R34" i="23" s="1"/>
  <c r="AO14" i="23"/>
  <c r="Z34" i="23" s="1"/>
  <c r="Q15" i="23"/>
  <c r="B35" i="23" s="1"/>
  <c r="Y15" i="23"/>
  <c r="J35" i="23" s="1"/>
  <c r="AG15" i="23"/>
  <c r="R35" i="23" s="1"/>
  <c r="AO15" i="23"/>
  <c r="Z35" i="23" s="1"/>
  <c r="Q16" i="23"/>
  <c r="B36" i="23" s="1"/>
  <c r="Y16" i="23"/>
  <c r="J36" i="23" s="1"/>
  <c r="AG16" i="23"/>
  <c r="R36" i="23" s="1"/>
  <c r="AO16" i="23"/>
  <c r="Z36" i="23" s="1"/>
  <c r="Q17" i="23"/>
  <c r="B37" i="23" s="1"/>
  <c r="Y17" i="23"/>
  <c r="J37" i="23" s="1"/>
  <c r="AG17" i="23"/>
  <c r="R37" i="23" s="1"/>
  <c r="AO17" i="23"/>
  <c r="Z37" i="23" s="1"/>
  <c r="Q18" i="23"/>
  <c r="B38" i="23" s="1"/>
  <c r="Y18" i="23"/>
  <c r="J38" i="23" s="1"/>
  <c r="AG18" i="23"/>
  <c r="R38" i="23" s="1"/>
  <c r="AO18" i="23"/>
  <c r="Z38" i="23" s="1"/>
  <c r="X19" i="23"/>
  <c r="I39" i="23" s="1"/>
  <c r="AF19" i="23"/>
  <c r="Q39" i="23" s="1"/>
  <c r="AN19" i="23"/>
  <c r="Y39" i="23" s="1"/>
  <c r="V20" i="23"/>
  <c r="G40" i="23" s="1"/>
  <c r="AD20" i="23"/>
  <c r="O40" i="23" s="1"/>
  <c r="AZ32" i="23"/>
  <c r="AU33" i="23"/>
  <c r="R11" i="23"/>
  <c r="C31" i="23" s="1"/>
  <c r="Z11" i="23"/>
  <c r="K31" i="23" s="1"/>
  <c r="AH11" i="23"/>
  <c r="S31" i="23" s="1"/>
  <c r="AP11" i="23"/>
  <c r="AA31" i="23" s="1"/>
  <c r="R12" i="23"/>
  <c r="C32" i="23" s="1"/>
  <c r="Z12" i="23"/>
  <c r="K32" i="23" s="1"/>
  <c r="AH12" i="23"/>
  <c r="S32" i="23" s="1"/>
  <c r="AP12" i="23"/>
  <c r="AA32" i="23" s="1"/>
  <c r="R13" i="23"/>
  <c r="C33" i="23" s="1"/>
  <c r="Z13" i="23"/>
  <c r="K33" i="23" s="1"/>
  <c r="AH13" i="23"/>
  <c r="S33" i="23" s="1"/>
  <c r="AP13" i="23"/>
  <c r="AA33" i="23" s="1"/>
  <c r="R14" i="23"/>
  <c r="C34" i="23" s="1"/>
  <c r="Z14" i="23"/>
  <c r="K34" i="23" s="1"/>
  <c r="AH14" i="23"/>
  <c r="S34" i="23" s="1"/>
  <c r="AP14" i="23"/>
  <c r="AA34" i="23" s="1"/>
  <c r="R15" i="23"/>
  <c r="C35" i="23" s="1"/>
  <c r="Z15" i="23"/>
  <c r="K35" i="23" s="1"/>
  <c r="AH15" i="23"/>
  <c r="S35" i="23" s="1"/>
  <c r="AP15" i="23"/>
  <c r="AA35" i="23" s="1"/>
  <c r="R16" i="23"/>
  <c r="C36" i="23" s="1"/>
  <c r="Z16" i="23"/>
  <c r="K36" i="23" s="1"/>
  <c r="AH16" i="23"/>
  <c r="S36" i="23" s="1"/>
  <c r="AP16" i="23"/>
  <c r="AA36" i="23" s="1"/>
  <c r="R17" i="23"/>
  <c r="C37" i="23" s="1"/>
  <c r="Z17" i="23"/>
  <c r="K37" i="23" s="1"/>
  <c r="AH17" i="23"/>
  <c r="S37" i="23" s="1"/>
  <c r="AP17" i="23"/>
  <c r="AA37" i="23" s="1"/>
  <c r="R18" i="23"/>
  <c r="C38" i="23" s="1"/>
  <c r="Z18" i="23"/>
  <c r="K38" i="23" s="1"/>
  <c r="AH18" i="23"/>
  <c r="S38" i="23" s="1"/>
  <c r="AP18" i="23"/>
  <c r="AA38" i="23" s="1"/>
  <c r="Q19" i="23"/>
  <c r="B39" i="23" s="1"/>
  <c r="Y19" i="23"/>
  <c r="J39" i="23" s="1"/>
  <c r="AG19" i="23"/>
  <c r="R39" i="23" s="1"/>
  <c r="AO19" i="23"/>
  <c r="Z39" i="23" s="1"/>
  <c r="W20" i="23"/>
  <c r="H40" i="23" s="1"/>
  <c r="AE20" i="23"/>
  <c r="P40" i="23" s="1"/>
  <c r="AM20" i="23"/>
  <c r="X40" i="23" s="1"/>
  <c r="U22" i="23"/>
  <c r="F42" i="23" s="1"/>
  <c r="AC22" i="23"/>
  <c r="N42" i="23" s="1"/>
  <c r="U23" i="23"/>
  <c r="F43" i="23" s="1"/>
  <c r="AC23" i="23"/>
  <c r="N43" i="23" s="1"/>
  <c r="U24" i="23"/>
  <c r="F44" i="23" s="1"/>
  <c r="AC24" i="23"/>
  <c r="N44" i="23" s="1"/>
  <c r="U25" i="23"/>
  <c r="AC25" i="23"/>
  <c r="U26" i="23"/>
  <c r="AC26" i="23"/>
  <c r="X27" i="23"/>
  <c r="I47" i="23" s="1"/>
  <c r="AH27" i="23"/>
  <c r="S47" i="23" s="1"/>
  <c r="AR27" i="23"/>
  <c r="AC47" i="23" s="1"/>
  <c r="A66" i="23"/>
  <c r="A78" i="23"/>
  <c r="S11" i="23"/>
  <c r="D31" i="23" s="1"/>
  <c r="AA11" i="23"/>
  <c r="L31" i="23" s="1"/>
  <c r="AI11" i="23"/>
  <c r="T31" i="23" s="1"/>
  <c r="AQ11" i="23"/>
  <c r="AB31" i="23" s="1"/>
  <c r="S12" i="23"/>
  <c r="D32" i="23" s="1"/>
  <c r="AA12" i="23"/>
  <c r="L32" i="23" s="1"/>
  <c r="AI12" i="23"/>
  <c r="T32" i="23" s="1"/>
  <c r="AQ12" i="23"/>
  <c r="AB32" i="23" s="1"/>
  <c r="S13" i="23"/>
  <c r="D33" i="23" s="1"/>
  <c r="AA13" i="23"/>
  <c r="L33" i="23" s="1"/>
  <c r="AI13" i="23"/>
  <c r="T33" i="23" s="1"/>
  <c r="AZ13" i="23"/>
  <c r="S14" i="23"/>
  <c r="D34" i="23" s="1"/>
  <c r="AA14" i="23"/>
  <c r="L34" i="23" s="1"/>
  <c r="AI14" i="23"/>
  <c r="T34" i="23" s="1"/>
  <c r="AZ14" i="23"/>
  <c r="S15" i="23"/>
  <c r="D35" i="23" s="1"/>
  <c r="AA15" i="23"/>
  <c r="L35" i="23" s="1"/>
  <c r="AI15" i="23"/>
  <c r="T35" i="23" s="1"/>
  <c r="AZ15" i="23"/>
  <c r="S16" i="23"/>
  <c r="D36" i="23" s="1"/>
  <c r="AA16" i="23"/>
  <c r="L36" i="23" s="1"/>
  <c r="AI16" i="23"/>
  <c r="T36" i="23" s="1"/>
  <c r="S17" i="23"/>
  <c r="D37" i="23" s="1"/>
  <c r="AA17" i="23"/>
  <c r="L37" i="23" s="1"/>
  <c r="AI17" i="23"/>
  <c r="T37" i="23" s="1"/>
  <c r="S18" i="23"/>
  <c r="D38" i="23" s="1"/>
  <c r="AA18" i="23"/>
  <c r="L38" i="23" s="1"/>
  <c r="AI18" i="23"/>
  <c r="T38" i="23" s="1"/>
  <c r="R19" i="23"/>
  <c r="C39" i="23" s="1"/>
  <c r="Z19" i="23"/>
  <c r="K39" i="23" s="1"/>
  <c r="AH19" i="23"/>
  <c r="S39" i="23" s="1"/>
  <c r="X20" i="23"/>
  <c r="I40" i="23" s="1"/>
  <c r="AF20" i="23"/>
  <c r="Q40" i="23" s="1"/>
  <c r="V22" i="23"/>
  <c r="G42" i="23" s="1"/>
  <c r="AD22" i="23"/>
  <c r="O42" i="23" s="1"/>
  <c r="V23" i="23"/>
  <c r="G43" i="23" s="1"/>
  <c r="AD23" i="23"/>
  <c r="O43" i="23" s="1"/>
  <c r="V24" i="23"/>
  <c r="G44" i="23" s="1"/>
  <c r="AD24" i="23"/>
  <c r="O44" i="23" s="1"/>
  <c r="AU24" i="23"/>
  <c r="V25" i="23"/>
  <c r="AD25" i="23"/>
  <c r="AU25" i="23"/>
  <c r="V26" i="23"/>
  <c r="AD26" i="23"/>
  <c r="AU26" i="23"/>
  <c r="Q117" i="23"/>
  <c r="B137" i="23" s="1"/>
  <c r="AH117" i="23"/>
  <c r="S137" i="23" s="1"/>
  <c r="AF119" i="23"/>
  <c r="Q139" i="23" s="1"/>
  <c r="V119" i="23"/>
  <c r="G139" i="23" s="1"/>
  <c r="AN119" i="23"/>
  <c r="Y139" i="23" s="1"/>
  <c r="AD119" i="23"/>
  <c r="O139" i="23" s="1"/>
  <c r="T119" i="23"/>
  <c r="E139" i="23" s="1"/>
  <c r="AC119" i="23"/>
  <c r="N139" i="23" s="1"/>
  <c r="AB120" i="23"/>
  <c r="M140" i="23" s="1"/>
  <c r="V121" i="23"/>
  <c r="G141" i="23" s="1"/>
  <c r="AP121" i="23"/>
  <c r="AA141" i="23" s="1"/>
  <c r="AE124" i="23"/>
  <c r="P144" i="23" s="1"/>
  <c r="V125" i="23"/>
  <c r="G145" i="23" s="1"/>
  <c r="AF129" i="23"/>
  <c r="Q149" i="23" s="1"/>
  <c r="T130" i="23"/>
  <c r="E150" i="23" s="1"/>
  <c r="S133" i="23"/>
  <c r="D153" i="23" s="1"/>
  <c r="AR118" i="23"/>
  <c r="AC138" i="23" s="1"/>
  <c r="AJ118" i="23"/>
  <c r="U138" i="23" s="1"/>
  <c r="AB118" i="23"/>
  <c r="M138" i="23" s="1"/>
  <c r="T118" i="23"/>
  <c r="E138" i="23" s="1"/>
  <c r="AQ118" i="23"/>
  <c r="AB138" i="23" s="1"/>
  <c r="AI118" i="23"/>
  <c r="T138" i="23" s="1"/>
  <c r="AA118" i="23"/>
  <c r="L138" i="23" s="1"/>
  <c r="S118" i="23"/>
  <c r="D138" i="23" s="1"/>
  <c r="AG118" i="23"/>
  <c r="R138" i="23" s="1"/>
  <c r="W118" i="23"/>
  <c r="H138" i="23" s="1"/>
  <c r="AO118" i="23"/>
  <c r="Z138" i="23" s="1"/>
  <c r="AE118" i="23"/>
  <c r="P138" i="23" s="1"/>
  <c r="U118" i="23"/>
  <c r="F138" i="23" s="1"/>
  <c r="AM118" i="23"/>
  <c r="X138" i="23" s="1"/>
  <c r="AC118" i="23"/>
  <c r="N138" i="23" s="1"/>
  <c r="Q118" i="23"/>
  <c r="B138" i="23" s="1"/>
  <c r="AH118" i="23"/>
  <c r="S138" i="23" s="1"/>
  <c r="AE119" i="23"/>
  <c r="P139" i="23" s="1"/>
  <c r="AD120" i="23"/>
  <c r="O140" i="23" s="1"/>
  <c r="V117" i="23"/>
  <c r="G137" i="23" s="1"/>
  <c r="AM117" i="23"/>
  <c r="X137" i="23" s="1"/>
  <c r="R118" i="23"/>
  <c r="C138" i="23" s="1"/>
  <c r="AK118" i="23"/>
  <c r="V138" i="23" s="1"/>
  <c r="AG119" i="23"/>
  <c r="R139" i="23" s="1"/>
  <c r="AM121" i="23"/>
  <c r="X141" i="23" s="1"/>
  <c r="AF125" i="23"/>
  <c r="Q145" i="23" s="1"/>
  <c r="R126" i="23"/>
  <c r="C146" i="23" s="1"/>
  <c r="AD130" i="23"/>
  <c r="O150" i="23" s="1"/>
  <c r="AE133" i="23"/>
  <c r="P153" i="23" s="1"/>
  <c r="X117" i="23"/>
  <c r="I137" i="23" s="1"/>
  <c r="AN117" i="23"/>
  <c r="Y137" i="23" s="1"/>
  <c r="V118" i="23"/>
  <c r="G138" i="23" s="1"/>
  <c r="AL118" i="23"/>
  <c r="W138" i="23" s="1"/>
  <c r="Q119" i="23"/>
  <c r="B139" i="23" s="1"/>
  <c r="AJ119" i="23"/>
  <c r="U139" i="23" s="1"/>
  <c r="AP120" i="23"/>
  <c r="AA140" i="23" s="1"/>
  <c r="AH120" i="23"/>
  <c r="S140" i="23" s="1"/>
  <c r="Z120" i="23"/>
  <c r="K140" i="23" s="1"/>
  <c r="R120" i="23"/>
  <c r="C140" i="23" s="1"/>
  <c r="AO120" i="23"/>
  <c r="Z140" i="23" s="1"/>
  <c r="AG120" i="23"/>
  <c r="R140" i="23" s="1"/>
  <c r="Y120" i="23"/>
  <c r="J140" i="23" s="1"/>
  <c r="Q120" i="23"/>
  <c r="B140" i="23" s="1"/>
  <c r="AQ120" i="23"/>
  <c r="AB140" i="23" s="1"/>
  <c r="AE120" i="23"/>
  <c r="P140" i="23" s="1"/>
  <c r="U120" i="23"/>
  <c r="F140" i="23" s="1"/>
  <c r="AM120" i="23"/>
  <c r="X140" i="23" s="1"/>
  <c r="AC120" i="23"/>
  <c r="N140" i="23" s="1"/>
  <c r="S120" i="23"/>
  <c r="D140" i="23" s="1"/>
  <c r="AK120" i="23"/>
  <c r="V140" i="23" s="1"/>
  <c r="AA120" i="23"/>
  <c r="L140" i="23" s="1"/>
  <c r="AI120" i="23"/>
  <c r="T140" i="23" s="1"/>
  <c r="AQ121" i="23"/>
  <c r="AB141" i="23" s="1"/>
  <c r="AC121" i="23"/>
  <c r="N141" i="23" s="1"/>
  <c r="S121" i="23"/>
  <c r="D141" i="23" s="1"/>
  <c r="AK121" i="23"/>
  <c r="V141" i="23" s="1"/>
  <c r="AA121" i="23"/>
  <c r="L141" i="23" s="1"/>
  <c r="AD121" i="23"/>
  <c r="O141" i="23" s="1"/>
  <c r="X126" i="23"/>
  <c r="I146" i="23" s="1"/>
  <c r="AI133" i="23"/>
  <c r="T153" i="23" s="1"/>
  <c r="X118" i="23"/>
  <c r="I138" i="23" s="1"/>
  <c r="AN118" i="23"/>
  <c r="Y138" i="23" s="1"/>
  <c r="U119" i="23"/>
  <c r="F139" i="23" s="1"/>
  <c r="AK119" i="23"/>
  <c r="V139" i="23" s="1"/>
  <c r="T120" i="23"/>
  <c r="E140" i="23" s="1"/>
  <c r="AJ120" i="23"/>
  <c r="U140" i="23" s="1"/>
  <c r="AQ124" i="23"/>
  <c r="AB144" i="23" s="1"/>
  <c r="AG124" i="23"/>
  <c r="R144" i="23" s="1"/>
  <c r="W124" i="23"/>
  <c r="H144" i="23" s="1"/>
  <c r="AP124" i="23"/>
  <c r="AA144" i="23" s="1"/>
  <c r="AF124" i="23"/>
  <c r="Q144" i="23" s="1"/>
  <c r="T124" i="23"/>
  <c r="E144" i="23" s="1"/>
  <c r="AM124" i="23"/>
  <c r="X144" i="23" s="1"/>
  <c r="AA124" i="23"/>
  <c r="L144" i="23" s="1"/>
  <c r="Q124" i="23"/>
  <c r="B144" i="23" s="1"/>
  <c r="Y118" i="23"/>
  <c r="J138" i="23" s="1"/>
  <c r="AP118" i="23"/>
  <c r="AA138" i="23" s="1"/>
  <c r="W119" i="23"/>
  <c r="H139" i="23" s="1"/>
  <c r="AM119" i="23"/>
  <c r="X139" i="23" s="1"/>
  <c r="V120" i="23"/>
  <c r="G140" i="23" s="1"/>
  <c r="AL120" i="23"/>
  <c r="W140" i="23" s="1"/>
  <c r="AR124" i="23"/>
  <c r="AC144" i="23" s="1"/>
  <c r="AP129" i="23"/>
  <c r="AA149" i="23" s="1"/>
  <c r="AH129" i="23"/>
  <c r="S149" i="23" s="1"/>
  <c r="Z129" i="23"/>
  <c r="K149" i="23" s="1"/>
  <c r="R129" i="23"/>
  <c r="C149" i="23" s="1"/>
  <c r="AO129" i="23"/>
  <c r="Z149" i="23" s="1"/>
  <c r="AG129" i="23"/>
  <c r="R149" i="23" s="1"/>
  <c r="Y129" i="23"/>
  <c r="J149" i="23" s="1"/>
  <c r="Q129" i="23"/>
  <c r="B149" i="23" s="1"/>
  <c r="AJ129" i="23"/>
  <c r="U149" i="23" s="1"/>
  <c r="X129" i="23"/>
  <c r="I149" i="23" s="1"/>
  <c r="AI129" i="23"/>
  <c r="T149" i="23" s="1"/>
  <c r="W129" i="23"/>
  <c r="H149" i="23" s="1"/>
  <c r="AQ129" i="23"/>
  <c r="AB149" i="23" s="1"/>
  <c r="AE129" i="23"/>
  <c r="P149" i="23" s="1"/>
  <c r="U129" i="23"/>
  <c r="F149" i="23" s="1"/>
  <c r="AN129" i="23"/>
  <c r="Y149" i="23" s="1"/>
  <c r="AD129" i="23"/>
  <c r="O149" i="23" s="1"/>
  <c r="T129" i="23"/>
  <c r="E149" i="23" s="1"/>
  <c r="AM129" i="23"/>
  <c r="X149" i="23" s="1"/>
  <c r="AC129" i="23"/>
  <c r="N149" i="23" s="1"/>
  <c r="S129" i="23"/>
  <c r="D149" i="23" s="1"/>
  <c r="AK129" i="23"/>
  <c r="V149" i="23" s="1"/>
  <c r="AA129" i="23"/>
  <c r="L149" i="23" s="1"/>
  <c r="Z118" i="23"/>
  <c r="K138" i="23" s="1"/>
  <c r="X119" i="23"/>
  <c r="I139" i="23" s="1"/>
  <c r="AO119" i="23"/>
  <c r="Z139" i="23" s="1"/>
  <c r="W120" i="23"/>
  <c r="H140" i="23" s="1"/>
  <c r="AN120" i="23"/>
  <c r="Y140" i="23" s="1"/>
  <c r="S124" i="23"/>
  <c r="D144" i="23" s="1"/>
  <c r="V129" i="23"/>
  <c r="G149" i="23" s="1"/>
  <c r="AR130" i="23"/>
  <c r="AC150" i="23" s="1"/>
  <c r="AH130" i="23"/>
  <c r="S150" i="23" s="1"/>
  <c r="V130" i="23"/>
  <c r="G150" i="23" s="1"/>
  <c r="AQ130" i="23"/>
  <c r="AB150" i="23" s="1"/>
  <c r="AE130" i="23"/>
  <c r="P150" i="23" s="1"/>
  <c r="U130" i="23"/>
  <c r="F150" i="23" s="1"/>
  <c r="AC130" i="23"/>
  <c r="N150" i="23" s="1"/>
  <c r="S130" i="23"/>
  <c r="D150" i="23" s="1"/>
  <c r="AL130" i="23"/>
  <c r="W150" i="23" s="1"/>
  <c r="AB130" i="23"/>
  <c r="M150" i="23" s="1"/>
  <c r="R130" i="23"/>
  <c r="C150" i="23" s="1"/>
  <c r="AK130" i="23"/>
  <c r="V150" i="23" s="1"/>
  <c r="AA130" i="23"/>
  <c r="L150" i="23" s="1"/>
  <c r="AQ133" i="23"/>
  <c r="AB153" i="23" s="1"/>
  <c r="AG133" i="23"/>
  <c r="R153" i="23" s="1"/>
  <c r="W133" i="23"/>
  <c r="H153" i="23" s="1"/>
  <c r="AP133" i="23"/>
  <c r="AA153" i="23" s="1"/>
  <c r="AF133" i="23"/>
  <c r="Q153" i="23" s="1"/>
  <c r="T133" i="23"/>
  <c r="E153" i="23" s="1"/>
  <c r="AM133" i="23"/>
  <c r="X153" i="23" s="1"/>
  <c r="AA133" i="23"/>
  <c r="L153" i="23" s="1"/>
  <c r="Q133" i="23"/>
  <c r="B153" i="23" s="1"/>
  <c r="AO225" i="23"/>
  <c r="Z245" i="23" s="1"/>
  <c r="AC225" i="23"/>
  <c r="N245" i="23" s="1"/>
  <c r="S225" i="23"/>
  <c r="D245" i="23" s="1"/>
  <c r="AL225" i="23"/>
  <c r="W245" i="23" s="1"/>
  <c r="AB225" i="23"/>
  <c r="M245" i="23" s="1"/>
  <c r="R225" i="23"/>
  <c r="C245" i="23" s="1"/>
  <c r="AK225" i="23"/>
  <c r="V245" i="23" s="1"/>
  <c r="AA225" i="23"/>
  <c r="L245" i="23" s="1"/>
  <c r="Q225" i="23"/>
  <c r="B245" i="23" s="1"/>
  <c r="AI225" i="23"/>
  <c r="T245" i="23" s="1"/>
  <c r="Y225" i="23"/>
  <c r="J245" i="23" s="1"/>
  <c r="AQ225" i="23"/>
  <c r="AB245" i="23" s="1"/>
  <c r="AG225" i="23"/>
  <c r="R245" i="23" s="1"/>
  <c r="U225" i="23"/>
  <c r="F245" i="23" s="1"/>
  <c r="AP225" i="23"/>
  <c r="AA245" i="23" s="1"/>
  <c r="AD225" i="23"/>
  <c r="O245" i="23" s="1"/>
  <c r="T225" i="23"/>
  <c r="E245" i="23" s="1"/>
  <c r="AJ225" i="23"/>
  <c r="U245" i="23" s="1"/>
  <c r="AH225" i="23"/>
  <c r="S245" i="23" s="1"/>
  <c r="Z225" i="23"/>
  <c r="K245" i="23" s="1"/>
  <c r="V225" i="23"/>
  <c r="G245" i="23" s="1"/>
  <c r="AR225" i="23"/>
  <c r="AC245" i="23" s="1"/>
  <c r="AK117" i="23"/>
  <c r="V137" i="23" s="1"/>
  <c r="AC117" i="23"/>
  <c r="N137" i="23" s="1"/>
  <c r="U117" i="23"/>
  <c r="F137" i="23" s="1"/>
  <c r="AR117" i="23"/>
  <c r="AC137" i="23" s="1"/>
  <c r="AJ117" i="23"/>
  <c r="U137" i="23" s="1"/>
  <c r="AB117" i="23"/>
  <c r="M137" i="23" s="1"/>
  <c r="T117" i="23"/>
  <c r="E137" i="23" s="1"/>
  <c r="AI117" i="23"/>
  <c r="T137" i="23" s="1"/>
  <c r="Y117" i="23"/>
  <c r="J137" i="23" s="1"/>
  <c r="AQ117" i="23"/>
  <c r="AB137" i="23" s="1"/>
  <c r="AG117" i="23"/>
  <c r="R137" i="23" s="1"/>
  <c r="W117" i="23"/>
  <c r="H137" i="23" s="1"/>
  <c r="AO117" i="23"/>
  <c r="Z137" i="23" s="1"/>
  <c r="AE117" i="23"/>
  <c r="P137" i="23" s="1"/>
  <c r="S117" i="23"/>
  <c r="D137" i="23" s="1"/>
  <c r="AF117" i="23"/>
  <c r="Q137" i="23" s="1"/>
  <c r="AD118" i="23"/>
  <c r="O138" i="23" s="1"/>
  <c r="X120" i="23"/>
  <c r="I140" i="23" s="1"/>
  <c r="Y124" i="23"/>
  <c r="J144" i="23" s="1"/>
  <c r="AK125" i="23"/>
  <c r="V145" i="23" s="1"/>
  <c r="AC125" i="23"/>
  <c r="N145" i="23" s="1"/>
  <c r="U125" i="23"/>
  <c r="F145" i="23" s="1"/>
  <c r="AR125" i="23"/>
  <c r="AC145" i="23" s="1"/>
  <c r="AJ125" i="23"/>
  <c r="U145" i="23" s="1"/>
  <c r="AB125" i="23"/>
  <c r="M145" i="23" s="1"/>
  <c r="T125" i="23"/>
  <c r="E145" i="23" s="1"/>
  <c r="AN125" i="23"/>
  <c r="Y145" i="23" s="1"/>
  <c r="AD125" i="23"/>
  <c r="O145" i="23" s="1"/>
  <c r="R125" i="23"/>
  <c r="C145" i="23" s="1"/>
  <c r="AM125" i="23"/>
  <c r="X145" i="23" s="1"/>
  <c r="AA125" i="23"/>
  <c r="L145" i="23" s="1"/>
  <c r="Q125" i="23"/>
  <c r="B145" i="23" s="1"/>
  <c r="AI125" i="23"/>
  <c r="T145" i="23" s="1"/>
  <c r="Y125" i="23"/>
  <c r="J145" i="23" s="1"/>
  <c r="AH125" i="23"/>
  <c r="S145" i="23" s="1"/>
  <c r="X125" i="23"/>
  <c r="I145" i="23" s="1"/>
  <c r="AQ125" i="23"/>
  <c r="AB145" i="23" s="1"/>
  <c r="AG125" i="23"/>
  <c r="R145" i="23" s="1"/>
  <c r="W125" i="23"/>
  <c r="H145" i="23" s="1"/>
  <c r="AO125" i="23"/>
  <c r="Z145" i="23" s="1"/>
  <c r="AE125" i="23"/>
  <c r="P145" i="23" s="1"/>
  <c r="S125" i="23"/>
  <c r="D145" i="23" s="1"/>
  <c r="AB129" i="23"/>
  <c r="M149" i="23" s="1"/>
  <c r="AR133" i="23"/>
  <c r="AC153" i="23" s="1"/>
  <c r="AQ119" i="23"/>
  <c r="AB139" i="23" s="1"/>
  <c r="AI119" i="23"/>
  <c r="T139" i="23" s="1"/>
  <c r="AA119" i="23"/>
  <c r="L139" i="23" s="1"/>
  <c r="S119" i="23"/>
  <c r="D139" i="23" s="1"/>
  <c r="AP119" i="23"/>
  <c r="AA139" i="23" s="1"/>
  <c r="AH119" i="23"/>
  <c r="S139" i="23" s="1"/>
  <c r="Z119" i="23"/>
  <c r="K139" i="23" s="1"/>
  <c r="R119" i="23"/>
  <c r="C139" i="23" s="1"/>
  <c r="AB119" i="23"/>
  <c r="M139" i="23" s="1"/>
  <c r="AL119" i="23"/>
  <c r="W139" i="23" s="1"/>
  <c r="W121" i="23"/>
  <c r="H141" i="23" s="1"/>
  <c r="AI121" i="23"/>
  <c r="T141" i="23" s="1"/>
  <c r="T122" i="23"/>
  <c r="E142" i="23" s="1"/>
  <c r="AD122" i="23"/>
  <c r="O142" i="23" s="1"/>
  <c r="AP122" i="23"/>
  <c r="AA142" i="23" s="1"/>
  <c r="Q123" i="23"/>
  <c r="B143" i="23" s="1"/>
  <c r="AA123" i="23"/>
  <c r="L143" i="23" s="1"/>
  <c r="AK123" i="23"/>
  <c r="V143" i="23" s="1"/>
  <c r="X124" i="23"/>
  <c r="I144" i="23" s="1"/>
  <c r="AH124" i="23"/>
  <c r="S144" i="23" s="1"/>
  <c r="Q126" i="23"/>
  <c r="B146" i="23" s="1"/>
  <c r="AC126" i="23"/>
  <c r="N146" i="23" s="1"/>
  <c r="AM126" i="23"/>
  <c r="X146" i="23" s="1"/>
  <c r="AQ128" i="23"/>
  <c r="AB148" i="23" s="1"/>
  <c r="AI128" i="23"/>
  <c r="T148" i="23" s="1"/>
  <c r="AA128" i="23"/>
  <c r="L148" i="23" s="1"/>
  <c r="S128" i="23"/>
  <c r="D148" i="23" s="1"/>
  <c r="AP128" i="23"/>
  <c r="AA148" i="23" s="1"/>
  <c r="AH128" i="23"/>
  <c r="S148" i="23" s="1"/>
  <c r="Z128" i="23"/>
  <c r="K148" i="23" s="1"/>
  <c r="R128" i="23"/>
  <c r="C148" i="23" s="1"/>
  <c r="AB128" i="23"/>
  <c r="M148" i="23" s="1"/>
  <c r="AL128" i="23"/>
  <c r="W148" i="23" s="1"/>
  <c r="W130" i="23"/>
  <c r="H150" i="23" s="1"/>
  <c r="AI130" i="23"/>
  <c r="T150" i="23" s="1"/>
  <c r="T131" i="23"/>
  <c r="AD131" i="23"/>
  <c r="AP131" i="23"/>
  <c r="Q132" i="23"/>
  <c r="AA132" i="23"/>
  <c r="AK132" i="23"/>
  <c r="X133" i="23"/>
  <c r="I153" i="23" s="1"/>
  <c r="AH133" i="23"/>
  <c r="S153" i="23" s="1"/>
  <c r="A169" i="23"/>
  <c r="AL227" i="23"/>
  <c r="W247" i="23" s="1"/>
  <c r="AD227" i="23"/>
  <c r="O247" i="23" s="1"/>
  <c r="V227" i="23"/>
  <c r="G247" i="23" s="1"/>
  <c r="AK227" i="23"/>
  <c r="V247" i="23" s="1"/>
  <c r="AC227" i="23"/>
  <c r="N247" i="23" s="1"/>
  <c r="U227" i="23"/>
  <c r="F247" i="23" s="1"/>
  <c r="AQ227" i="23"/>
  <c r="AB247" i="23" s="1"/>
  <c r="AG227" i="23"/>
  <c r="R247" i="23" s="1"/>
  <c r="W227" i="23"/>
  <c r="H247" i="23" s="1"/>
  <c r="AP227" i="23"/>
  <c r="AA247" i="23" s="1"/>
  <c r="AF227" i="23"/>
  <c r="Q247" i="23" s="1"/>
  <c r="T227" i="23"/>
  <c r="E247" i="23" s="1"/>
  <c r="AO227" i="23"/>
  <c r="Z247" i="23" s="1"/>
  <c r="AE227" i="23"/>
  <c r="P247" i="23" s="1"/>
  <c r="S227" i="23"/>
  <c r="D247" i="23" s="1"/>
  <c r="AN227" i="23"/>
  <c r="Y247" i="23" s="1"/>
  <c r="AB227" i="23"/>
  <c r="M247" i="23" s="1"/>
  <c r="R227" i="23"/>
  <c r="C247" i="23" s="1"/>
  <c r="AM227" i="23"/>
  <c r="X247" i="23" s="1"/>
  <c r="AA227" i="23"/>
  <c r="L247" i="23" s="1"/>
  <c r="Q227" i="23"/>
  <c r="B247" i="23" s="1"/>
  <c r="AI227" i="23"/>
  <c r="T247" i="23" s="1"/>
  <c r="Y227" i="23"/>
  <c r="J247" i="23" s="1"/>
  <c r="AR227" i="23"/>
  <c r="AC247" i="23" s="1"/>
  <c r="AH227" i="23"/>
  <c r="S247" i="23" s="1"/>
  <c r="X227" i="23"/>
  <c r="I247" i="23" s="1"/>
  <c r="AO121" i="23"/>
  <c r="Z141" i="23" s="1"/>
  <c r="V122" i="23"/>
  <c r="G142" i="23" s="1"/>
  <c r="AH122" i="23"/>
  <c r="S142" i="23" s="1"/>
  <c r="AR122" i="23"/>
  <c r="AC142" i="23" s="1"/>
  <c r="S123" i="23"/>
  <c r="D143" i="23" s="1"/>
  <c r="AC123" i="23"/>
  <c r="N143" i="23" s="1"/>
  <c r="AO123" i="23"/>
  <c r="Z143" i="23" s="1"/>
  <c r="AL124" i="23"/>
  <c r="W144" i="23" s="1"/>
  <c r="AD124" i="23"/>
  <c r="O144" i="23" s="1"/>
  <c r="V124" i="23"/>
  <c r="G144" i="23" s="1"/>
  <c r="AK124" i="23"/>
  <c r="V144" i="23" s="1"/>
  <c r="AC124" i="23"/>
  <c r="N144" i="23" s="1"/>
  <c r="U124" i="23"/>
  <c r="F144" i="23" s="1"/>
  <c r="Z124" i="23"/>
  <c r="K144" i="23" s="1"/>
  <c r="AJ124" i="23"/>
  <c r="U144" i="23" s="1"/>
  <c r="U126" i="23"/>
  <c r="F146" i="23" s="1"/>
  <c r="AE126" i="23"/>
  <c r="P146" i="23" s="1"/>
  <c r="AO126" i="23"/>
  <c r="Z146" i="23" s="1"/>
  <c r="T128" i="23"/>
  <c r="E148" i="23" s="1"/>
  <c r="AD128" i="23"/>
  <c r="O148" i="23" s="1"/>
  <c r="AN128" i="23"/>
  <c r="Y148" i="23" s="1"/>
  <c r="AO130" i="23"/>
  <c r="Z150" i="23" s="1"/>
  <c r="V131" i="23"/>
  <c r="AH131" i="23"/>
  <c r="AR131" i="23"/>
  <c r="S132" i="23"/>
  <c r="AC132" i="23"/>
  <c r="AO132" i="23"/>
  <c r="AL133" i="23"/>
  <c r="W153" i="23" s="1"/>
  <c r="AD133" i="23"/>
  <c r="O153" i="23" s="1"/>
  <c r="V133" i="23"/>
  <c r="G153" i="23" s="1"/>
  <c r="AK133" i="23"/>
  <c r="V153" i="23" s="1"/>
  <c r="AC133" i="23"/>
  <c r="N153" i="23" s="1"/>
  <c r="U133" i="23"/>
  <c r="F153" i="23" s="1"/>
  <c r="Z133" i="23"/>
  <c r="K153" i="23" s="1"/>
  <c r="AJ133" i="23"/>
  <c r="U153" i="23" s="1"/>
  <c r="A173" i="23"/>
  <c r="AF123" i="23"/>
  <c r="Q143" i="23" s="1"/>
  <c r="AP123" i="23"/>
  <c r="AA143" i="23" s="1"/>
  <c r="V126" i="23"/>
  <c r="G146" i="23" s="1"/>
  <c r="AF126" i="23"/>
  <c r="Q146" i="23" s="1"/>
  <c r="AP126" i="23"/>
  <c r="AA146" i="23" s="1"/>
  <c r="U128" i="23"/>
  <c r="F148" i="23" s="1"/>
  <c r="AE128" i="23"/>
  <c r="P148" i="23" s="1"/>
  <c r="AO128" i="23"/>
  <c r="Z148" i="23" s="1"/>
  <c r="T132" i="23"/>
  <c r="AF132" i="23"/>
  <c r="AP132" i="23"/>
  <c r="AN225" i="23"/>
  <c r="Y245" i="23" s="1"/>
  <c r="AR119" i="23"/>
  <c r="AC139" i="23" s="1"/>
  <c r="AN122" i="23"/>
  <c r="Y142" i="23" s="1"/>
  <c r="Z122" i="23"/>
  <c r="K142" i="23" s="1"/>
  <c r="U123" i="23"/>
  <c r="F143" i="23" s="1"/>
  <c r="AG123" i="23"/>
  <c r="R143" i="23" s="1"/>
  <c r="AQ123" i="23"/>
  <c r="AB143" i="23" s="1"/>
  <c r="R124" i="23"/>
  <c r="C144" i="23" s="1"/>
  <c r="AB124" i="23"/>
  <c r="M144" i="23" s="1"/>
  <c r="AN124" i="23"/>
  <c r="Y144" i="23" s="1"/>
  <c r="W126" i="23"/>
  <c r="H146" i="23" s="1"/>
  <c r="AG126" i="23"/>
  <c r="R146" i="23" s="1"/>
  <c r="V128" i="23"/>
  <c r="G148" i="23" s="1"/>
  <c r="AF128" i="23"/>
  <c r="Q148" i="23" s="1"/>
  <c r="AR128" i="23"/>
  <c r="AC148" i="23" s="1"/>
  <c r="AN131" i="23"/>
  <c r="Z131" i="23"/>
  <c r="U132" i="23"/>
  <c r="AG132" i="23"/>
  <c r="AQ132" i="23"/>
  <c r="R133" i="23"/>
  <c r="C153" i="23" s="1"/>
  <c r="AB133" i="23"/>
  <c r="M153" i="23" s="1"/>
  <c r="AN133" i="23"/>
  <c r="Y153" i="23" s="1"/>
  <c r="A182" i="23"/>
  <c r="A170" i="23"/>
  <c r="A174" i="23"/>
  <c r="A186" i="23"/>
  <c r="Y123" i="23"/>
  <c r="J143" i="23" s="1"/>
  <c r="Y126" i="23"/>
  <c r="J146" i="23" s="1"/>
  <c r="X128" i="23"/>
  <c r="I148" i="23" s="1"/>
  <c r="Y132" i="23"/>
  <c r="AM123" i="23"/>
  <c r="X143" i="23" s="1"/>
  <c r="AE123" i="23"/>
  <c r="P143" i="23" s="1"/>
  <c r="W123" i="23"/>
  <c r="H143" i="23" s="1"/>
  <c r="AL123" i="23"/>
  <c r="W143" i="23" s="1"/>
  <c r="AD123" i="23"/>
  <c r="O143" i="23" s="1"/>
  <c r="V123" i="23"/>
  <c r="G143" i="23" s="1"/>
  <c r="Z123" i="23"/>
  <c r="K143" i="23" s="1"/>
  <c r="AJ123" i="23"/>
  <c r="U143" i="23" s="1"/>
  <c r="AR126" i="23"/>
  <c r="AC146" i="23" s="1"/>
  <c r="AJ126" i="23"/>
  <c r="U146" i="23" s="1"/>
  <c r="AB126" i="23"/>
  <c r="M146" i="23" s="1"/>
  <c r="T126" i="23"/>
  <c r="E146" i="23" s="1"/>
  <c r="AQ126" i="23"/>
  <c r="AB146" i="23" s="1"/>
  <c r="AI126" i="23"/>
  <c r="T146" i="23" s="1"/>
  <c r="AA126" i="23"/>
  <c r="L146" i="23" s="1"/>
  <c r="S126" i="23"/>
  <c r="D146" i="23" s="1"/>
  <c r="Z126" i="23"/>
  <c r="K146" i="23" s="1"/>
  <c r="AL126" i="23"/>
  <c r="W146" i="23" s="1"/>
  <c r="Y128" i="23"/>
  <c r="J148" i="23" s="1"/>
  <c r="AM132" i="23"/>
  <c r="AE132" i="23"/>
  <c r="W132" i="23"/>
  <c r="AL132" i="23"/>
  <c r="AD132" i="23"/>
  <c r="V132" i="23"/>
  <c r="Z132" i="23"/>
  <c r="AJ132" i="23"/>
  <c r="A187" i="23"/>
  <c r="A175" i="23"/>
  <c r="X121" i="23"/>
  <c r="I141" i="23" s="1"/>
  <c r="AF121" i="23"/>
  <c r="Q141" i="23" s="1"/>
  <c r="AN121" i="23"/>
  <c r="Y141" i="23" s="1"/>
  <c r="W122" i="23"/>
  <c r="H142" i="23" s="1"/>
  <c r="AE122" i="23"/>
  <c r="P142" i="23" s="1"/>
  <c r="AM122" i="23"/>
  <c r="X142" i="23" s="1"/>
  <c r="X130" i="23"/>
  <c r="I150" i="23" s="1"/>
  <c r="AF130" i="23"/>
  <c r="Q150" i="23" s="1"/>
  <c r="AN130" i="23"/>
  <c r="Y150" i="23" s="1"/>
  <c r="W131" i="23"/>
  <c r="AE131" i="23"/>
  <c r="AM131" i="23"/>
  <c r="Q226" i="23"/>
  <c r="B246" i="23" s="1"/>
  <c r="AA226" i="23"/>
  <c r="L246" i="23" s="1"/>
  <c r="AK226" i="23"/>
  <c r="V246" i="23" s="1"/>
  <c r="S228" i="23"/>
  <c r="D248" i="23" s="1"/>
  <c r="AE228" i="23"/>
  <c r="P248" i="23" s="1"/>
  <c r="AO228" i="23"/>
  <c r="Z248" i="23" s="1"/>
  <c r="Q229" i="23"/>
  <c r="B249" i="23" s="1"/>
  <c r="AC229" i="23"/>
  <c r="N249" i="23" s="1"/>
  <c r="AM229" i="23"/>
  <c r="X249" i="23" s="1"/>
  <c r="AQ230" i="23"/>
  <c r="AB250" i="23" s="1"/>
  <c r="AI230" i="23"/>
  <c r="T250" i="23" s="1"/>
  <c r="AA230" i="23"/>
  <c r="L250" i="23" s="1"/>
  <c r="S230" i="23"/>
  <c r="D250" i="23" s="1"/>
  <c r="AP230" i="23"/>
  <c r="AA250" i="23" s="1"/>
  <c r="AH230" i="23"/>
  <c r="S250" i="23" s="1"/>
  <c r="Z230" i="23"/>
  <c r="K250" i="23" s="1"/>
  <c r="R230" i="23"/>
  <c r="C250" i="23" s="1"/>
  <c r="AB230" i="23"/>
  <c r="M250" i="23" s="1"/>
  <c r="AL230" i="23"/>
  <c r="W250" i="23" s="1"/>
  <c r="AA231" i="23"/>
  <c r="L251" i="23" s="1"/>
  <c r="W232" i="23"/>
  <c r="H252" i="23" s="1"/>
  <c r="AI232" i="23"/>
  <c r="T252" i="23" s="1"/>
  <c r="T233" i="23"/>
  <c r="E253" i="23" s="1"/>
  <c r="AD233" i="23"/>
  <c r="O253" i="23" s="1"/>
  <c r="AP233" i="23"/>
  <c r="AA253" i="23" s="1"/>
  <c r="Q234" i="23"/>
  <c r="B254" i="23" s="1"/>
  <c r="AA234" i="23"/>
  <c r="L254" i="23" s="1"/>
  <c r="AK234" i="23"/>
  <c r="V254" i="23" s="1"/>
  <c r="X236" i="23"/>
  <c r="I256" i="23" s="1"/>
  <c r="AH236" i="23"/>
  <c r="S256" i="23" s="1"/>
  <c r="AR236" i="23"/>
  <c r="AC256" i="23" s="1"/>
  <c r="S237" i="23"/>
  <c r="D257" i="23" s="1"/>
  <c r="AE237" i="23"/>
  <c r="P257" i="23" s="1"/>
  <c r="AO237" i="23"/>
  <c r="Z257" i="23" s="1"/>
  <c r="Q238" i="23"/>
  <c r="B258" i="23" s="1"/>
  <c r="AC238" i="23"/>
  <c r="N258" i="23" s="1"/>
  <c r="AM238" i="23"/>
  <c r="X258" i="23" s="1"/>
  <c r="AQ239" i="23"/>
  <c r="AI239" i="23"/>
  <c r="AA239" i="23"/>
  <c r="S239" i="23"/>
  <c r="AP239" i="23"/>
  <c r="AH239" i="23"/>
  <c r="Z239" i="23"/>
  <c r="R239" i="23"/>
  <c r="AB239" i="23"/>
  <c r="AL239" i="23"/>
  <c r="W241" i="23"/>
  <c r="H261" i="23" s="1"/>
  <c r="AK241" i="23"/>
  <c r="V261" i="23" s="1"/>
  <c r="Q121" i="23"/>
  <c r="B141" i="23" s="1"/>
  <c r="Y121" i="23"/>
  <c r="J141" i="23" s="1"/>
  <c r="AG121" i="23"/>
  <c r="R141" i="23" s="1"/>
  <c r="X122" i="23"/>
  <c r="I142" i="23" s="1"/>
  <c r="AF122" i="23"/>
  <c r="Q142" i="23" s="1"/>
  <c r="Q130" i="23"/>
  <c r="B150" i="23" s="1"/>
  <c r="Y130" i="23"/>
  <c r="J150" i="23" s="1"/>
  <c r="AG130" i="23"/>
  <c r="R150" i="23" s="1"/>
  <c r="X131" i="23"/>
  <c r="AF131" i="23"/>
  <c r="R226" i="23"/>
  <c r="C246" i="23" s="1"/>
  <c r="AB226" i="23"/>
  <c r="M246" i="23" s="1"/>
  <c r="V228" i="23"/>
  <c r="G248" i="23" s="1"/>
  <c r="AF228" i="23"/>
  <c r="Q248" i="23" s="1"/>
  <c r="AP228" i="23"/>
  <c r="AA248" i="23" s="1"/>
  <c r="R229" i="23"/>
  <c r="C249" i="23" s="1"/>
  <c r="AD229" i="23"/>
  <c r="O249" i="23" s="1"/>
  <c r="Q230" i="23"/>
  <c r="B250" i="23" s="1"/>
  <c r="AC230" i="23"/>
  <c r="N250" i="23" s="1"/>
  <c r="AM230" i="23"/>
  <c r="X250" i="23" s="1"/>
  <c r="AP231" i="23"/>
  <c r="AA251" i="23" s="1"/>
  <c r="AH231" i="23"/>
  <c r="S251" i="23" s="1"/>
  <c r="Z231" i="23"/>
  <c r="K251" i="23" s="1"/>
  <c r="R231" i="23"/>
  <c r="C251" i="23" s="1"/>
  <c r="AO231" i="23"/>
  <c r="Z251" i="23" s="1"/>
  <c r="AG231" i="23"/>
  <c r="R251" i="23" s="1"/>
  <c r="Y231" i="23"/>
  <c r="J251" i="23" s="1"/>
  <c r="Q231" i="23"/>
  <c r="B251" i="23" s="1"/>
  <c r="AB231" i="23"/>
  <c r="M251" i="23" s="1"/>
  <c r="AL231" i="23"/>
  <c r="W251" i="23" s="1"/>
  <c r="Z232" i="23"/>
  <c r="K252" i="23" s="1"/>
  <c r="U233" i="23"/>
  <c r="F253" i="23" s="1"/>
  <c r="AG233" i="23"/>
  <c r="R253" i="23" s="1"/>
  <c r="AQ233" i="23"/>
  <c r="AB253" i="23" s="1"/>
  <c r="R234" i="23"/>
  <c r="C254" i="23" s="1"/>
  <c r="AB234" i="23"/>
  <c r="M254" i="23" s="1"/>
  <c r="Y236" i="23"/>
  <c r="J256" i="23" s="1"/>
  <c r="V237" i="23"/>
  <c r="G257" i="23" s="1"/>
  <c r="AF237" i="23"/>
  <c r="Q257" i="23" s="1"/>
  <c r="AP237" i="23"/>
  <c r="AA257" i="23" s="1"/>
  <c r="R238" i="23"/>
  <c r="C258" i="23" s="1"/>
  <c r="AD238" i="23"/>
  <c r="O258" i="23" s="1"/>
  <c r="Q239" i="23"/>
  <c r="AC239" i="23"/>
  <c r="AM239" i="23"/>
  <c r="AR240" i="23"/>
  <c r="AJ240" i="23"/>
  <c r="AB240" i="23"/>
  <c r="T240" i="23"/>
  <c r="AP240" i="23"/>
  <c r="AH240" i="23"/>
  <c r="Z240" i="23"/>
  <c r="R240" i="23"/>
  <c r="AN240" i="23"/>
  <c r="AD240" i="23"/>
  <c r="S240" i="23"/>
  <c r="AM240" i="23"/>
  <c r="AC240" i="23"/>
  <c r="Q240" i="23"/>
  <c r="AF240" i="23"/>
  <c r="X241" i="23"/>
  <c r="I261" i="23" s="1"/>
  <c r="AN241" i="23"/>
  <c r="Y261" i="23" s="1"/>
  <c r="V233" i="23"/>
  <c r="G253" i="23" s="1"/>
  <c r="AH233" i="23"/>
  <c r="S253" i="23" s="1"/>
  <c r="AR233" i="23"/>
  <c r="AC253" i="23" s="1"/>
  <c r="AL236" i="23"/>
  <c r="W256" i="23" s="1"/>
  <c r="AD236" i="23"/>
  <c r="O256" i="23" s="1"/>
  <c r="V236" i="23"/>
  <c r="G256" i="23" s="1"/>
  <c r="AK236" i="23"/>
  <c r="V256" i="23" s="1"/>
  <c r="AC236" i="23"/>
  <c r="N256" i="23" s="1"/>
  <c r="U236" i="23"/>
  <c r="F256" i="23" s="1"/>
  <c r="Z236" i="23"/>
  <c r="K256" i="23" s="1"/>
  <c r="AJ236" i="23"/>
  <c r="U256" i="23" s="1"/>
  <c r="W237" i="23"/>
  <c r="H257" i="23" s="1"/>
  <c r="AG237" i="23"/>
  <c r="R257" i="23" s="1"/>
  <c r="AQ237" i="23"/>
  <c r="AB257" i="23" s="1"/>
  <c r="U238" i="23"/>
  <c r="F258" i="23" s="1"/>
  <c r="AE238" i="23"/>
  <c r="P258" i="23" s="1"/>
  <c r="AO238" i="23"/>
  <c r="Z258" i="23" s="1"/>
  <c r="T239" i="23"/>
  <c r="AD239" i="23"/>
  <c r="AN239" i="23"/>
  <c r="Z241" i="23"/>
  <c r="K261" i="23" s="1"/>
  <c r="AP241" i="23"/>
  <c r="AA261" i="23" s="1"/>
  <c r="X228" i="23"/>
  <c r="I248" i="23" s="1"/>
  <c r="V229" i="23"/>
  <c r="G249" i="23" s="1"/>
  <c r="AF229" i="23"/>
  <c r="Q249" i="23" s="1"/>
  <c r="AP229" i="23"/>
  <c r="AA249" i="23" s="1"/>
  <c r="U230" i="23"/>
  <c r="F250" i="23" s="1"/>
  <c r="AE230" i="23"/>
  <c r="P250" i="23" s="1"/>
  <c r="AO230" i="23"/>
  <c r="Z250" i="23" s="1"/>
  <c r="Y233" i="23"/>
  <c r="J253" i="23" s="1"/>
  <c r="AI233" i="23"/>
  <c r="T253" i="23" s="1"/>
  <c r="Q236" i="23"/>
  <c r="B256" i="23" s="1"/>
  <c r="AA236" i="23"/>
  <c r="L256" i="23" s="1"/>
  <c r="AM236" i="23"/>
  <c r="X256" i="23" s="1"/>
  <c r="X237" i="23"/>
  <c r="I257" i="23" s="1"/>
  <c r="V238" i="23"/>
  <c r="G258" i="23" s="1"/>
  <c r="AF238" i="23"/>
  <c r="Q258" i="23" s="1"/>
  <c r="AP238" i="23"/>
  <c r="AA258" i="23" s="1"/>
  <c r="U239" i="23"/>
  <c r="AE239" i="23"/>
  <c r="AO239" i="23"/>
  <c r="AD241" i="23"/>
  <c r="O261" i="23" s="1"/>
  <c r="AR241" i="23"/>
  <c r="AC261" i="23" s="1"/>
  <c r="Y228" i="23"/>
  <c r="J248" i="23" s="1"/>
  <c r="Y237" i="23"/>
  <c r="J257" i="23" s="1"/>
  <c r="AI237" i="23"/>
  <c r="T257" i="23" s="1"/>
  <c r="AR239" i="23"/>
  <c r="A288" i="23"/>
  <c r="A276" i="23"/>
  <c r="A289" i="23"/>
  <c r="A277" i="23"/>
  <c r="AK228" i="23"/>
  <c r="V248" i="23" s="1"/>
  <c r="AC228" i="23"/>
  <c r="N248" i="23" s="1"/>
  <c r="U228" i="23"/>
  <c r="F248" i="23" s="1"/>
  <c r="AR228" i="23"/>
  <c r="AC248" i="23" s="1"/>
  <c r="AJ228" i="23"/>
  <c r="U248" i="23" s="1"/>
  <c r="AB228" i="23"/>
  <c r="M248" i="23" s="1"/>
  <c r="T228" i="23"/>
  <c r="E248" i="23" s="1"/>
  <c r="Z228" i="23"/>
  <c r="K248" i="23" s="1"/>
  <c r="AL228" i="23"/>
  <c r="W248" i="23" s="1"/>
  <c r="X229" i="23"/>
  <c r="I249" i="23" s="1"/>
  <c r="AH229" i="23"/>
  <c r="S249" i="23" s="1"/>
  <c r="AG230" i="23"/>
  <c r="R250" i="23" s="1"/>
  <c r="AK237" i="23"/>
  <c r="V257" i="23" s="1"/>
  <c r="AC237" i="23"/>
  <c r="N257" i="23" s="1"/>
  <c r="U237" i="23"/>
  <c r="F257" i="23" s="1"/>
  <c r="AR237" i="23"/>
  <c r="AC257" i="23" s="1"/>
  <c r="AJ237" i="23"/>
  <c r="U257" i="23" s="1"/>
  <c r="AB237" i="23"/>
  <c r="M257" i="23" s="1"/>
  <c r="T237" i="23"/>
  <c r="E257" i="23" s="1"/>
  <c r="Z237" i="23"/>
  <c r="K257" i="23" s="1"/>
  <c r="AL237" i="23"/>
  <c r="W257" i="23" s="1"/>
  <c r="X238" i="23"/>
  <c r="I258" i="23" s="1"/>
  <c r="W239" i="23"/>
  <c r="AG239" i="23"/>
  <c r="T241" i="23"/>
  <c r="E261" i="23" s="1"/>
  <c r="AF241" i="23"/>
  <c r="Q261" i="23" s="1"/>
  <c r="A283" i="23"/>
  <c r="A295" i="23"/>
  <c r="Q228" i="23"/>
  <c r="B248" i="23" s="1"/>
  <c r="AA228" i="23"/>
  <c r="L248" i="23" s="1"/>
  <c r="AM228" i="23"/>
  <c r="X248" i="23" s="1"/>
  <c r="Y229" i="23"/>
  <c r="J249" i="23" s="1"/>
  <c r="X230" i="23"/>
  <c r="I250" i="23" s="1"/>
  <c r="AJ230" i="23"/>
  <c r="U250" i="23" s="1"/>
  <c r="Q237" i="23"/>
  <c r="B257" i="23" s="1"/>
  <c r="AA237" i="23"/>
  <c r="L257" i="23" s="1"/>
  <c r="Y238" i="23"/>
  <c r="J258" i="23" s="1"/>
  <c r="X239" i="23"/>
  <c r="AJ239" i="23"/>
  <c r="A291" i="23"/>
  <c r="A279" i="23"/>
  <c r="AM226" i="23"/>
  <c r="X246" i="23" s="1"/>
  <c r="AE226" i="23"/>
  <c r="P246" i="23" s="1"/>
  <c r="W226" i="23"/>
  <c r="H246" i="23" s="1"/>
  <c r="AL226" i="23"/>
  <c r="W246" i="23" s="1"/>
  <c r="AD226" i="23"/>
  <c r="O246" i="23" s="1"/>
  <c r="V226" i="23"/>
  <c r="G246" i="23" s="1"/>
  <c r="Z226" i="23"/>
  <c r="K246" i="23" s="1"/>
  <c r="AJ226" i="23"/>
  <c r="U246" i="23" s="1"/>
  <c r="R228" i="23"/>
  <c r="C248" i="23" s="1"/>
  <c r="AD228" i="23"/>
  <c r="O248" i="23" s="1"/>
  <c r="AN228" i="23"/>
  <c r="Y248" i="23" s="1"/>
  <c r="AR229" i="23"/>
  <c r="AC249" i="23" s="1"/>
  <c r="AJ229" i="23"/>
  <c r="U249" i="23" s="1"/>
  <c r="AB229" i="23"/>
  <c r="M249" i="23" s="1"/>
  <c r="T229" i="23"/>
  <c r="E249" i="23" s="1"/>
  <c r="AQ229" i="23"/>
  <c r="AB249" i="23" s="1"/>
  <c r="AI229" i="23"/>
  <c r="T249" i="23" s="1"/>
  <c r="AA229" i="23"/>
  <c r="L249" i="23" s="1"/>
  <c r="S229" i="23"/>
  <c r="D249" i="23" s="1"/>
  <c r="Z229" i="23"/>
  <c r="K249" i="23" s="1"/>
  <c r="AL229" i="23"/>
  <c r="W249" i="23" s="1"/>
  <c r="Y230" i="23"/>
  <c r="J250" i="23" s="1"/>
  <c r="X231" i="23"/>
  <c r="I251" i="23" s="1"/>
  <c r="S233" i="23"/>
  <c r="D253" i="23" s="1"/>
  <c r="AC233" i="23"/>
  <c r="N253" i="23" s="1"/>
  <c r="AM234" i="23"/>
  <c r="X254" i="23" s="1"/>
  <c r="AE234" i="23"/>
  <c r="P254" i="23" s="1"/>
  <c r="W234" i="23"/>
  <c r="H254" i="23" s="1"/>
  <c r="AL234" i="23"/>
  <c r="W254" i="23" s="1"/>
  <c r="AD234" i="23"/>
  <c r="O254" i="23" s="1"/>
  <c r="V234" i="23"/>
  <c r="G254" i="23" s="1"/>
  <c r="Z234" i="23"/>
  <c r="K254" i="23" s="1"/>
  <c r="AJ234" i="23"/>
  <c r="U254" i="23" s="1"/>
  <c r="W236" i="23"/>
  <c r="H256" i="23" s="1"/>
  <c r="AG236" i="23"/>
  <c r="R256" i="23" s="1"/>
  <c r="AQ236" i="23"/>
  <c r="AB256" i="23" s="1"/>
  <c r="R237" i="23"/>
  <c r="C257" i="23" s="1"/>
  <c r="AD237" i="23"/>
  <c r="O257" i="23" s="1"/>
  <c r="AN237" i="23"/>
  <c r="Y257" i="23" s="1"/>
  <c r="AR238" i="23"/>
  <c r="AC258" i="23" s="1"/>
  <c r="AJ238" i="23"/>
  <c r="U258" i="23" s="1"/>
  <c r="AB238" i="23"/>
  <c r="M258" i="23" s="1"/>
  <c r="T238" i="23"/>
  <c r="E258" i="23" s="1"/>
  <c r="AQ238" i="23"/>
  <c r="AB258" i="23" s="1"/>
  <c r="AI238" i="23"/>
  <c r="T258" i="23" s="1"/>
  <c r="AA238" i="23"/>
  <c r="L258" i="23" s="1"/>
  <c r="S238" i="23"/>
  <c r="D258" i="23" s="1"/>
  <c r="Z238" i="23"/>
  <c r="K258" i="23" s="1"/>
  <c r="AL238" i="23"/>
  <c r="W258" i="23" s="1"/>
  <c r="Y239" i="23"/>
  <c r="AA240" i="23"/>
  <c r="V241" i="23"/>
  <c r="G261" i="23" s="1"/>
  <c r="A292" i="23"/>
  <c r="A280" i="23"/>
  <c r="W225" i="23"/>
  <c r="H245" i="23" s="1"/>
  <c r="AE225" i="23"/>
  <c r="P245" i="23" s="1"/>
  <c r="AM225" i="23"/>
  <c r="X245" i="23" s="1"/>
  <c r="X232" i="23"/>
  <c r="I252" i="23" s="1"/>
  <c r="AF232" i="23"/>
  <c r="Q252" i="23" s="1"/>
  <c r="AN232" i="23"/>
  <c r="Y252" i="23" s="1"/>
  <c r="W233" i="23"/>
  <c r="H253" i="23" s="1"/>
  <c r="AE233" i="23"/>
  <c r="P253" i="23" s="1"/>
  <c r="AM233" i="23"/>
  <c r="X253" i="23" s="1"/>
  <c r="AQ241" i="23"/>
  <c r="AB261" i="23" s="1"/>
  <c r="AI241" i="23"/>
  <c r="T261" i="23" s="1"/>
  <c r="AA241" i="23"/>
  <c r="L261" i="23" s="1"/>
  <c r="S241" i="23"/>
  <c r="D261" i="23" s="1"/>
  <c r="AO241" i="23"/>
  <c r="Z261" i="23" s="1"/>
  <c r="AG241" i="23"/>
  <c r="R261" i="23" s="1"/>
  <c r="Y241" i="23"/>
  <c r="J261" i="23" s="1"/>
  <c r="Q241" i="23"/>
  <c r="B261" i="23" s="1"/>
  <c r="AB241" i="23"/>
  <c r="M261" i="23" s="1"/>
  <c r="AL241" i="23"/>
  <c r="W261" i="23" s="1"/>
  <c r="A294" i="23"/>
  <c r="A282" i="23"/>
  <c r="X334" i="23"/>
  <c r="I354" i="23" s="1"/>
  <c r="AL334" i="23"/>
  <c r="W354" i="23" s="1"/>
  <c r="Q335" i="23"/>
  <c r="B355" i="23" s="1"/>
  <c r="AK335" i="23"/>
  <c r="V355" i="23" s="1"/>
  <c r="AE338" i="23"/>
  <c r="P358" i="23" s="1"/>
  <c r="AN340" i="23"/>
  <c r="Y360" i="23" s="1"/>
  <c r="AE342" i="23"/>
  <c r="P362" i="23" s="1"/>
  <c r="AR343" i="23"/>
  <c r="AC363" i="23" s="1"/>
  <c r="Z345" i="23"/>
  <c r="K365" i="23" s="1"/>
  <c r="AE347" i="23"/>
  <c r="P367" i="23" s="1"/>
  <c r="AP349" i="23"/>
  <c r="A400" i="23"/>
  <c r="A388" i="23"/>
  <c r="X225" i="23"/>
  <c r="I245" i="23" s="1"/>
  <c r="AF225" i="23"/>
  <c r="Q245" i="23" s="1"/>
  <c r="Q232" i="23"/>
  <c r="B252" i="23" s="1"/>
  <c r="Y232" i="23"/>
  <c r="J252" i="23" s="1"/>
  <c r="AG232" i="23"/>
  <c r="R252" i="23" s="1"/>
  <c r="X233" i="23"/>
  <c r="I253" i="23" s="1"/>
  <c r="AF233" i="23"/>
  <c r="Q253" i="23" s="1"/>
  <c r="R241" i="23"/>
  <c r="C261" i="23" s="1"/>
  <c r="AC241" i="23"/>
  <c r="N261" i="23" s="1"/>
  <c r="AM241" i="23"/>
  <c r="X261" i="23" s="1"/>
  <c r="Y334" i="23"/>
  <c r="J354" i="23" s="1"/>
  <c r="V335" i="23"/>
  <c r="G355" i="23" s="1"/>
  <c r="AL335" i="23"/>
  <c r="W355" i="23" s="1"/>
  <c r="AP337" i="23"/>
  <c r="AA357" i="23" s="1"/>
  <c r="AH337" i="23"/>
  <c r="S357" i="23" s="1"/>
  <c r="Z337" i="23"/>
  <c r="K357" i="23" s="1"/>
  <c r="R337" i="23"/>
  <c r="C357" i="23" s="1"/>
  <c r="AL337" i="23"/>
  <c r="W357" i="23" s="1"/>
  <c r="AD337" i="23"/>
  <c r="O357" i="23" s="1"/>
  <c r="V337" i="23"/>
  <c r="G357" i="23" s="1"/>
  <c r="AJ337" i="23"/>
  <c r="U357" i="23" s="1"/>
  <c r="Y337" i="23"/>
  <c r="J357" i="23" s="1"/>
  <c r="AI337" i="23"/>
  <c r="T357" i="23" s="1"/>
  <c r="X337" i="23"/>
  <c r="I357" i="23" s="1"/>
  <c r="AR337" i="23"/>
  <c r="AC357" i="23" s="1"/>
  <c r="AE337" i="23"/>
  <c r="P357" i="23" s="1"/>
  <c r="Q337" i="23"/>
  <c r="B357" i="23" s="1"/>
  <c r="AO337" i="23"/>
  <c r="Z357" i="23" s="1"/>
  <c r="AB337" i="23"/>
  <c r="M357" i="23" s="1"/>
  <c r="AG337" i="23"/>
  <c r="R357" i="23" s="1"/>
  <c r="R340" i="23"/>
  <c r="C360" i="23" s="1"/>
  <c r="AF342" i="23"/>
  <c r="Q362" i="23" s="1"/>
  <c r="W343" i="23"/>
  <c r="H363" i="23" s="1"/>
  <c r="AQ346" i="23"/>
  <c r="AB366" i="23" s="1"/>
  <c r="AI346" i="23"/>
  <c r="T366" i="23" s="1"/>
  <c r="AA346" i="23"/>
  <c r="L366" i="23" s="1"/>
  <c r="S346" i="23"/>
  <c r="D366" i="23" s="1"/>
  <c r="AP346" i="23"/>
  <c r="AA366" i="23" s="1"/>
  <c r="AH346" i="23"/>
  <c r="S366" i="23" s="1"/>
  <c r="Z346" i="23"/>
  <c r="K366" i="23" s="1"/>
  <c r="R346" i="23"/>
  <c r="C366" i="23" s="1"/>
  <c r="AM346" i="23"/>
  <c r="X366" i="23" s="1"/>
  <c r="AE346" i="23"/>
  <c r="P366" i="23" s="1"/>
  <c r="W346" i="23"/>
  <c r="H366" i="23" s="1"/>
  <c r="AL346" i="23"/>
  <c r="W366" i="23" s="1"/>
  <c r="AD346" i="23"/>
  <c r="O366" i="23" s="1"/>
  <c r="V346" i="23"/>
  <c r="G366" i="23" s="1"/>
  <c r="AO346" i="23"/>
  <c r="Z366" i="23" s="1"/>
  <c r="Y346" i="23"/>
  <c r="J366" i="23" s="1"/>
  <c r="AN346" i="23"/>
  <c r="Y366" i="23" s="1"/>
  <c r="X346" i="23"/>
  <c r="I366" i="23" s="1"/>
  <c r="U346" i="23"/>
  <c r="F366" i="23" s="1"/>
  <c r="AK346" i="23"/>
  <c r="V366" i="23" s="1"/>
  <c r="Q346" i="23"/>
  <c r="B366" i="23" s="1"/>
  <c r="AF347" i="23"/>
  <c r="Q367" i="23" s="1"/>
  <c r="AN349" i="23"/>
  <c r="Z334" i="23"/>
  <c r="K354" i="23" s="1"/>
  <c r="AP334" i="23"/>
  <c r="AA354" i="23" s="1"/>
  <c r="AP338" i="23"/>
  <c r="AA358" i="23" s="1"/>
  <c r="AH338" i="23"/>
  <c r="S358" i="23" s="1"/>
  <c r="AO338" i="23"/>
  <c r="Z358" i="23" s="1"/>
  <c r="AG338" i="23"/>
  <c r="R358" i="23" s="1"/>
  <c r="Y338" i="23"/>
  <c r="J358" i="23" s="1"/>
  <c r="Q338" i="23"/>
  <c r="B358" i="23" s="1"/>
  <c r="AL338" i="23"/>
  <c r="W358" i="23" s="1"/>
  <c r="AD338" i="23"/>
  <c r="O358" i="23" s="1"/>
  <c r="AK338" i="23"/>
  <c r="V358" i="23" s="1"/>
  <c r="AC338" i="23"/>
  <c r="N358" i="23" s="1"/>
  <c r="U338" i="23"/>
  <c r="F358" i="23" s="1"/>
  <c r="AJ338" i="23"/>
  <c r="U358" i="23" s="1"/>
  <c r="W338" i="23"/>
  <c r="H358" i="23" s="1"/>
  <c r="AI338" i="23"/>
  <c r="T358" i="23" s="1"/>
  <c r="V338" i="23"/>
  <c r="G358" i="23" s="1"/>
  <c r="AN338" i="23"/>
  <c r="Y358" i="23" s="1"/>
  <c r="T338" i="23"/>
  <c r="E358" i="23" s="1"/>
  <c r="AF338" i="23"/>
  <c r="Q358" i="23" s="1"/>
  <c r="R338" i="23"/>
  <c r="C358" i="23" s="1"/>
  <c r="AQ338" i="23"/>
  <c r="AB358" i="23" s="1"/>
  <c r="AD345" i="23"/>
  <c r="O365" i="23" s="1"/>
  <c r="AC345" i="23"/>
  <c r="N365" i="23" s="1"/>
  <c r="AP345" i="23"/>
  <c r="AA365" i="23" s="1"/>
  <c r="V345" i="23"/>
  <c r="G365" i="23" s="1"/>
  <c r="AL345" i="23"/>
  <c r="W365" i="23" s="1"/>
  <c r="R345" i="23"/>
  <c r="C365" i="23" s="1"/>
  <c r="AH345" i="23"/>
  <c r="S365" i="23" s="1"/>
  <c r="AD334" i="23"/>
  <c r="O354" i="23" s="1"/>
  <c r="Y335" i="23"/>
  <c r="J355" i="23" s="1"/>
  <c r="AQ335" i="23"/>
  <c r="AB355" i="23" s="1"/>
  <c r="S338" i="23"/>
  <c r="D358" i="23" s="1"/>
  <c r="AR338" i="23"/>
  <c r="AC358" i="23" s="1"/>
  <c r="Z340" i="23"/>
  <c r="K360" i="23" s="1"/>
  <c r="AD343" i="23"/>
  <c r="O363" i="23" s="1"/>
  <c r="AK345" i="23"/>
  <c r="V365" i="23" s="1"/>
  <c r="AN347" i="23"/>
  <c r="Y367" i="23" s="1"/>
  <c r="R349" i="23"/>
  <c r="AR334" i="23"/>
  <c r="AC354" i="23" s="1"/>
  <c r="AJ334" i="23"/>
  <c r="U354" i="23" s="1"/>
  <c r="AB334" i="23"/>
  <c r="M354" i="23" s="1"/>
  <c r="T334" i="23"/>
  <c r="E354" i="23" s="1"/>
  <c r="AQ334" i="23"/>
  <c r="AB354" i="23" s="1"/>
  <c r="AI334" i="23"/>
  <c r="T354" i="23" s="1"/>
  <c r="AA334" i="23"/>
  <c r="L354" i="23" s="1"/>
  <c r="S334" i="23"/>
  <c r="D354" i="23" s="1"/>
  <c r="AO334" i="23"/>
  <c r="Z354" i="23" s="1"/>
  <c r="AE334" i="23"/>
  <c r="P354" i="23" s="1"/>
  <c r="U334" i="23"/>
  <c r="F354" i="23" s="1"/>
  <c r="AM334" i="23"/>
  <c r="X354" i="23" s="1"/>
  <c r="AC334" i="23"/>
  <c r="N354" i="23" s="1"/>
  <c r="Q334" i="23"/>
  <c r="B354" i="23" s="1"/>
  <c r="AF334" i="23"/>
  <c r="Q354" i="23" s="1"/>
  <c r="X338" i="23"/>
  <c r="I358" i="23" s="1"/>
  <c r="AE343" i="23"/>
  <c r="P363" i="23" s="1"/>
  <c r="AO345" i="23"/>
  <c r="Z365" i="23" s="1"/>
  <c r="Z349" i="23"/>
  <c r="R334" i="23"/>
  <c r="C354" i="23" s="1"/>
  <c r="AG334" i="23"/>
  <c r="R354" i="23" s="1"/>
  <c r="AO335" i="23"/>
  <c r="Z355" i="23" s="1"/>
  <c r="AD335" i="23"/>
  <c r="O355" i="23" s="1"/>
  <c r="S335" i="23"/>
  <c r="D355" i="23" s="1"/>
  <c r="AM335" i="23"/>
  <c r="X355" i="23" s="1"/>
  <c r="AC335" i="23"/>
  <c r="N355" i="23" s="1"/>
  <c r="R335" i="23"/>
  <c r="C355" i="23" s="1"/>
  <c r="AH335" i="23"/>
  <c r="S355" i="23" s="1"/>
  <c r="U335" i="23"/>
  <c r="F355" i="23" s="1"/>
  <c r="AE335" i="23"/>
  <c r="P355" i="23" s="1"/>
  <c r="AA335" i="23"/>
  <c r="L355" i="23" s="1"/>
  <c r="Z338" i="23"/>
  <c r="K358" i="23" s="1"/>
  <c r="Q345" i="23"/>
  <c r="B365" i="23" s="1"/>
  <c r="AP347" i="23"/>
  <c r="AA367" i="23" s="1"/>
  <c r="AH347" i="23"/>
  <c r="S367" i="23" s="1"/>
  <c r="Z347" i="23"/>
  <c r="K367" i="23" s="1"/>
  <c r="R347" i="23"/>
  <c r="C367" i="23" s="1"/>
  <c r="AO347" i="23"/>
  <c r="Z367" i="23" s="1"/>
  <c r="AG347" i="23"/>
  <c r="R367" i="23" s="1"/>
  <c r="Y347" i="23"/>
  <c r="J367" i="23" s="1"/>
  <c r="Q347" i="23"/>
  <c r="B367" i="23" s="1"/>
  <c r="AL347" i="23"/>
  <c r="W367" i="23" s="1"/>
  <c r="AD347" i="23"/>
  <c r="O367" i="23" s="1"/>
  <c r="V347" i="23"/>
  <c r="G367" i="23" s="1"/>
  <c r="AK347" i="23"/>
  <c r="V367" i="23" s="1"/>
  <c r="AC347" i="23"/>
  <c r="N367" i="23" s="1"/>
  <c r="U347" i="23"/>
  <c r="F367" i="23" s="1"/>
  <c r="AJ347" i="23"/>
  <c r="U367" i="23" s="1"/>
  <c r="T347" i="23"/>
  <c r="E367" i="23" s="1"/>
  <c r="AI347" i="23"/>
  <c r="T367" i="23" s="1"/>
  <c r="S347" i="23"/>
  <c r="D367" i="23" s="1"/>
  <c r="AB347" i="23"/>
  <c r="M367" i="23" s="1"/>
  <c r="AR347" i="23"/>
  <c r="AC367" i="23" s="1"/>
  <c r="X347" i="23"/>
  <c r="I367" i="23" s="1"/>
  <c r="V334" i="23"/>
  <c r="G354" i="23" s="1"/>
  <c r="AG335" i="23"/>
  <c r="R355" i="23" s="1"/>
  <c r="AA338" i="23"/>
  <c r="L358" i="23" s="1"/>
  <c r="AL340" i="23"/>
  <c r="W360" i="23" s="1"/>
  <c r="V340" i="23"/>
  <c r="G360" i="23" s="1"/>
  <c r="AK340" i="23"/>
  <c r="V360" i="23" s="1"/>
  <c r="U340" i="23"/>
  <c r="F360" i="23" s="1"/>
  <c r="AO340" i="23"/>
  <c r="Z360" i="23" s="1"/>
  <c r="Q340" i="23"/>
  <c r="B360" i="23" s="1"/>
  <c r="AG340" i="23"/>
  <c r="R360" i="23" s="1"/>
  <c r="AH340" i="23"/>
  <c r="S360" i="23" s="1"/>
  <c r="AK343" i="23"/>
  <c r="V363" i="23" s="1"/>
  <c r="AC343" i="23"/>
  <c r="N363" i="23" s="1"/>
  <c r="U343" i="23"/>
  <c r="F363" i="23" s="1"/>
  <c r="AO343" i="23"/>
  <c r="Z363" i="23" s="1"/>
  <c r="AG343" i="23"/>
  <c r="R363" i="23" s="1"/>
  <c r="Y343" i="23"/>
  <c r="J363" i="23" s="1"/>
  <c r="Q343" i="23"/>
  <c r="B363" i="23" s="1"/>
  <c r="AL343" i="23"/>
  <c r="W363" i="23" s="1"/>
  <c r="V343" i="23"/>
  <c r="G363" i="23" s="1"/>
  <c r="AI343" i="23"/>
  <c r="T363" i="23" s="1"/>
  <c r="S343" i="23"/>
  <c r="D363" i="23" s="1"/>
  <c r="Z343" i="23"/>
  <c r="K363" i="23" s="1"/>
  <c r="AP343" i="23"/>
  <c r="AA363" i="23" s="1"/>
  <c r="R343" i="23"/>
  <c r="C363" i="23" s="1"/>
  <c r="AM343" i="23"/>
  <c r="X363" i="23" s="1"/>
  <c r="U345" i="23"/>
  <c r="F365" i="23" s="1"/>
  <c r="W347" i="23"/>
  <c r="H367" i="23" s="1"/>
  <c r="W334" i="23"/>
  <c r="H354" i="23" s="1"/>
  <c r="AK334" i="23"/>
  <c r="V354" i="23" s="1"/>
  <c r="AI335" i="23"/>
  <c r="T355" i="23" s="1"/>
  <c r="AB338" i="23"/>
  <c r="M358" i="23" s="1"/>
  <c r="AQ343" i="23"/>
  <c r="AB363" i="23" s="1"/>
  <c r="Y345" i="23"/>
  <c r="J365" i="23" s="1"/>
  <c r="AA347" i="23"/>
  <c r="L367" i="23" s="1"/>
  <c r="AL349" i="23"/>
  <c r="V349" i="23"/>
  <c r="AK349" i="23"/>
  <c r="U349" i="23"/>
  <c r="AG349" i="23"/>
  <c r="AC349" i="23"/>
  <c r="Y349" i="23"/>
  <c r="AO349" i="23"/>
  <c r="AR335" i="23"/>
  <c r="AC355" i="23" s="1"/>
  <c r="V336" i="23"/>
  <c r="G356" i="23" s="1"/>
  <c r="AJ336" i="23"/>
  <c r="U356" i="23" s="1"/>
  <c r="AL342" i="23"/>
  <c r="W362" i="23" s="1"/>
  <c r="AD342" i="23"/>
  <c r="O362" i="23" s="1"/>
  <c r="V342" i="23"/>
  <c r="G362" i="23" s="1"/>
  <c r="AK342" i="23"/>
  <c r="V362" i="23" s="1"/>
  <c r="AC342" i="23"/>
  <c r="N362" i="23" s="1"/>
  <c r="U342" i="23"/>
  <c r="F362" i="23" s="1"/>
  <c r="AP342" i="23"/>
  <c r="AA362" i="23" s="1"/>
  <c r="AH342" i="23"/>
  <c r="S362" i="23" s="1"/>
  <c r="Z342" i="23"/>
  <c r="K362" i="23" s="1"/>
  <c r="R342" i="23"/>
  <c r="C362" i="23" s="1"/>
  <c r="AO342" i="23"/>
  <c r="Z362" i="23" s="1"/>
  <c r="AG342" i="23"/>
  <c r="R362" i="23" s="1"/>
  <c r="Y342" i="23"/>
  <c r="J362" i="23" s="1"/>
  <c r="Q342" i="23"/>
  <c r="B362" i="23" s="1"/>
  <c r="AR342" i="23"/>
  <c r="AC362" i="23" s="1"/>
  <c r="AB342" i="23"/>
  <c r="M362" i="23" s="1"/>
  <c r="AQ342" i="23"/>
  <c r="AB362" i="23" s="1"/>
  <c r="AA342" i="23"/>
  <c r="L362" i="23" s="1"/>
  <c r="AJ342" i="23"/>
  <c r="U362" i="23" s="1"/>
  <c r="A397" i="23"/>
  <c r="A385" i="23"/>
  <c r="Y336" i="23"/>
  <c r="J356" i="23" s="1"/>
  <c r="T342" i="23"/>
  <c r="E362" i="23" s="1"/>
  <c r="AN342" i="23"/>
  <c r="Y362" i="23" s="1"/>
  <c r="AQ336" i="23"/>
  <c r="AB356" i="23" s="1"/>
  <c r="AI336" i="23"/>
  <c r="T356" i="23" s="1"/>
  <c r="AA336" i="23"/>
  <c r="L356" i="23" s="1"/>
  <c r="S336" i="23"/>
  <c r="D356" i="23" s="1"/>
  <c r="AM336" i="23"/>
  <c r="X356" i="23" s="1"/>
  <c r="AE336" i="23"/>
  <c r="P356" i="23" s="1"/>
  <c r="W336" i="23"/>
  <c r="H356" i="23" s="1"/>
  <c r="Z336" i="23"/>
  <c r="K356" i="23" s="1"/>
  <c r="AK336" i="23"/>
  <c r="V356" i="23" s="1"/>
  <c r="AO339" i="23"/>
  <c r="Z359" i="23" s="1"/>
  <c r="AG339" i="23"/>
  <c r="R359" i="23" s="1"/>
  <c r="Y339" i="23"/>
  <c r="J359" i="23" s="1"/>
  <c r="Q339" i="23"/>
  <c r="B359" i="23" s="1"/>
  <c r="AK339" i="23"/>
  <c r="V359" i="23" s="1"/>
  <c r="AC339" i="23"/>
  <c r="N359" i="23" s="1"/>
  <c r="U339" i="23"/>
  <c r="F359" i="23" s="1"/>
  <c r="AA339" i="23"/>
  <c r="L359" i="23" s="1"/>
  <c r="AQ339" i="23"/>
  <c r="AB359" i="23" s="1"/>
  <c r="AM341" i="23"/>
  <c r="X361" i="23" s="1"/>
  <c r="AE341" i="23"/>
  <c r="P361" i="23" s="1"/>
  <c r="W341" i="23"/>
  <c r="H361" i="23" s="1"/>
  <c r="AL341" i="23"/>
  <c r="W361" i="23" s="1"/>
  <c r="AD341" i="23"/>
  <c r="O361" i="23" s="1"/>
  <c r="V341" i="23"/>
  <c r="G361" i="23" s="1"/>
  <c r="AQ341" i="23"/>
  <c r="AB361" i="23" s="1"/>
  <c r="AI341" i="23"/>
  <c r="T361" i="23" s="1"/>
  <c r="AA341" i="23"/>
  <c r="L361" i="23" s="1"/>
  <c r="S341" i="23"/>
  <c r="D361" i="23" s="1"/>
  <c r="AP341" i="23"/>
  <c r="AA361" i="23" s="1"/>
  <c r="AH341" i="23"/>
  <c r="S361" i="23" s="1"/>
  <c r="Z341" i="23"/>
  <c r="K361" i="23" s="1"/>
  <c r="R341" i="23"/>
  <c r="C361" i="23" s="1"/>
  <c r="AF341" i="23"/>
  <c r="Q361" i="23" s="1"/>
  <c r="AO348" i="23"/>
  <c r="AG348" i="23"/>
  <c r="Y348" i="23"/>
  <c r="Q348" i="23"/>
  <c r="AK348" i="23"/>
  <c r="AC348" i="23"/>
  <c r="U348" i="23"/>
  <c r="AA348" i="23"/>
  <c r="AQ348" i="23"/>
  <c r="AM350" i="23"/>
  <c r="X370" i="23" s="1"/>
  <c r="AE350" i="23"/>
  <c r="P370" i="23" s="1"/>
  <c r="W350" i="23"/>
  <c r="H370" i="23" s="1"/>
  <c r="AL350" i="23"/>
  <c r="W370" i="23" s="1"/>
  <c r="AD350" i="23"/>
  <c r="O370" i="23" s="1"/>
  <c r="V350" i="23"/>
  <c r="G370" i="23" s="1"/>
  <c r="AQ350" i="23"/>
  <c r="AB370" i="23" s="1"/>
  <c r="AI350" i="23"/>
  <c r="T370" i="23" s="1"/>
  <c r="AA350" i="23"/>
  <c r="L370" i="23" s="1"/>
  <c r="S350" i="23"/>
  <c r="D370" i="23" s="1"/>
  <c r="AP350" i="23"/>
  <c r="AA370" i="23" s="1"/>
  <c r="AH350" i="23"/>
  <c r="S370" i="23" s="1"/>
  <c r="Z350" i="23"/>
  <c r="K370" i="23" s="1"/>
  <c r="R350" i="23"/>
  <c r="C370" i="23" s="1"/>
  <c r="AF350" i="23"/>
  <c r="Q370" i="23" s="1"/>
  <c r="Q336" i="23"/>
  <c r="B356" i="23" s="1"/>
  <c r="AB336" i="23"/>
  <c r="M356" i="23" s="1"/>
  <c r="AL336" i="23"/>
  <c r="W356" i="23" s="1"/>
  <c r="AD339" i="23"/>
  <c r="O359" i="23" s="1"/>
  <c r="Q341" i="23"/>
  <c r="B361" i="23" s="1"/>
  <c r="AG341" i="23"/>
  <c r="R361" i="23" s="1"/>
  <c r="AR345" i="23"/>
  <c r="AC365" i="23" s="1"/>
  <c r="AD348" i="23"/>
  <c r="Q350" i="23"/>
  <c r="B370" i="23" s="1"/>
  <c r="AG350" i="23"/>
  <c r="R370" i="23" s="1"/>
  <c r="A403" i="23"/>
  <c r="A391" i="23"/>
  <c r="X335" i="23"/>
  <c r="I355" i="23" s="1"/>
  <c r="AF335" i="23"/>
  <c r="Q355" i="23" s="1"/>
  <c r="AN335" i="23"/>
  <c r="Y355" i="23" s="1"/>
  <c r="T339" i="23"/>
  <c r="E359" i="23" s="1"/>
  <c r="AB339" i="23"/>
  <c r="M359" i="23" s="1"/>
  <c r="AJ339" i="23"/>
  <c r="U359" i="23" s="1"/>
  <c r="AR339" i="23"/>
  <c r="AC359" i="23" s="1"/>
  <c r="S340" i="23"/>
  <c r="D360" i="23" s="1"/>
  <c r="AA340" i="23"/>
  <c r="L360" i="23" s="1"/>
  <c r="AI340" i="23"/>
  <c r="T360" i="23" s="1"/>
  <c r="AQ340" i="23"/>
  <c r="AB360" i="23" s="1"/>
  <c r="X343" i="23"/>
  <c r="I363" i="23" s="1"/>
  <c r="AF343" i="23"/>
  <c r="Q363" i="23" s="1"/>
  <c r="AN343" i="23"/>
  <c r="Y363" i="23" s="1"/>
  <c r="W345" i="23"/>
  <c r="H365" i="23" s="1"/>
  <c r="AE345" i="23"/>
  <c r="P365" i="23" s="1"/>
  <c r="AM345" i="23"/>
  <c r="X365" i="23" s="1"/>
  <c r="T348" i="23"/>
  <c r="AB348" i="23"/>
  <c r="AJ348" i="23"/>
  <c r="AR348" i="23"/>
  <c r="S349" i="23"/>
  <c r="AA349" i="23"/>
  <c r="AI349" i="23"/>
  <c r="AQ349" i="23"/>
  <c r="AM444" i="23"/>
  <c r="X464" i="23" s="1"/>
  <c r="AB444" i="23"/>
  <c r="M464" i="23" s="1"/>
  <c r="R444" i="23"/>
  <c r="C464" i="23" s="1"/>
  <c r="AJ444" i="23"/>
  <c r="U464" i="23" s="1"/>
  <c r="V444" i="23"/>
  <c r="G464" i="23" s="1"/>
  <c r="AI444" i="23"/>
  <c r="T464" i="23" s="1"/>
  <c r="T444" i="23"/>
  <c r="E464" i="23" s="1"/>
  <c r="AG444" i="23"/>
  <c r="R464" i="23" s="1"/>
  <c r="S444" i="23"/>
  <c r="D464" i="23" s="1"/>
  <c r="AQ444" i="23"/>
  <c r="AB464" i="23" s="1"/>
  <c r="AD444" i="23"/>
  <c r="O464" i="23" s="1"/>
  <c r="AO444" i="23"/>
  <c r="Z464" i="23" s="1"/>
  <c r="Z444" i="23"/>
  <c r="K464" i="23" s="1"/>
  <c r="U446" i="23"/>
  <c r="F466" i="23" s="1"/>
  <c r="AQ450" i="23"/>
  <c r="AB470" i="23" s="1"/>
  <c r="AE450" i="23"/>
  <c r="P470" i="23" s="1"/>
  <c r="U450" i="23"/>
  <c r="F470" i="23" s="1"/>
  <c r="AK450" i="23"/>
  <c r="V470" i="23" s="1"/>
  <c r="Z450" i="23"/>
  <c r="K470" i="23" s="1"/>
  <c r="AL450" i="23"/>
  <c r="W470" i="23" s="1"/>
  <c r="W450" i="23"/>
  <c r="H470" i="23" s="1"/>
  <c r="AJ450" i="23"/>
  <c r="U470" i="23" s="1"/>
  <c r="V450" i="23"/>
  <c r="G470" i="23" s="1"/>
  <c r="AH450" i="23"/>
  <c r="S470" i="23" s="1"/>
  <c r="T450" i="23"/>
  <c r="E470" i="23" s="1"/>
  <c r="AD450" i="23"/>
  <c r="O470" i="23" s="1"/>
  <c r="Q450" i="23"/>
  <c r="B470" i="23" s="1"/>
  <c r="AP450" i="23"/>
  <c r="AA470" i="23" s="1"/>
  <c r="AB450" i="23"/>
  <c r="M470" i="23" s="1"/>
  <c r="AL451" i="23"/>
  <c r="W471" i="23" s="1"/>
  <c r="T340" i="23"/>
  <c r="E360" i="23" s="1"/>
  <c r="AB340" i="23"/>
  <c r="M360" i="23" s="1"/>
  <c r="AJ340" i="23"/>
  <c r="U360" i="23" s="1"/>
  <c r="AR340" i="23"/>
  <c r="AC360" i="23" s="1"/>
  <c r="X345" i="23"/>
  <c r="I365" i="23" s="1"/>
  <c r="AF345" i="23"/>
  <c r="Q365" i="23" s="1"/>
  <c r="AN345" i="23"/>
  <c r="Y365" i="23" s="1"/>
  <c r="T349" i="23"/>
  <c r="AB349" i="23"/>
  <c r="AJ349" i="23"/>
  <c r="AR349" i="23"/>
  <c r="Y446" i="23"/>
  <c r="J466" i="23" s="1"/>
  <c r="AC446" i="23"/>
  <c r="N466" i="23" s="1"/>
  <c r="Q451" i="23"/>
  <c r="B471" i="23" s="1"/>
  <c r="AP451" i="23"/>
  <c r="AA471" i="23" s="1"/>
  <c r="AD451" i="23"/>
  <c r="O471" i="23" s="1"/>
  <c r="T451" i="23"/>
  <c r="E471" i="23" s="1"/>
  <c r="AK451" i="23"/>
  <c r="V471" i="23" s="1"/>
  <c r="AA451" i="23"/>
  <c r="L471" i="23" s="1"/>
  <c r="AI451" i="23"/>
  <c r="T471" i="23" s="1"/>
  <c r="U451" i="23"/>
  <c r="F471" i="23" s="1"/>
  <c r="AQ451" i="23"/>
  <c r="AB471" i="23" s="1"/>
  <c r="AB451" i="23"/>
  <c r="M471" i="23" s="1"/>
  <c r="AJ451" i="23"/>
  <c r="U471" i="23" s="1"/>
  <c r="R451" i="23"/>
  <c r="C471" i="23" s="1"/>
  <c r="AH451" i="23"/>
  <c r="S471" i="23" s="1"/>
  <c r="AE451" i="23"/>
  <c r="P471" i="23" s="1"/>
  <c r="Z451" i="23"/>
  <c r="K471" i="23" s="1"/>
  <c r="AM451" i="23"/>
  <c r="X471" i="23" s="1"/>
  <c r="V451" i="23"/>
  <c r="G471" i="23" s="1"/>
  <c r="A387" i="23"/>
  <c r="T335" i="23"/>
  <c r="E355" i="23" s="1"/>
  <c r="AB335" i="23"/>
  <c r="M355" i="23" s="1"/>
  <c r="AJ335" i="23"/>
  <c r="U355" i="23" s="1"/>
  <c r="X339" i="23"/>
  <c r="I359" i="23" s="1"/>
  <c r="AF339" i="23"/>
  <c r="Q359" i="23" s="1"/>
  <c r="W340" i="23"/>
  <c r="H360" i="23" s="1"/>
  <c r="AE340" i="23"/>
  <c r="P360" i="23" s="1"/>
  <c r="AM340" i="23"/>
  <c r="X360" i="23" s="1"/>
  <c r="T343" i="23"/>
  <c r="E363" i="23" s="1"/>
  <c r="AB343" i="23"/>
  <c r="M363" i="23" s="1"/>
  <c r="AJ343" i="23"/>
  <c r="U363" i="23" s="1"/>
  <c r="S345" i="23"/>
  <c r="D365" i="23" s="1"/>
  <c r="AA345" i="23"/>
  <c r="L365" i="23" s="1"/>
  <c r="AI345" i="23"/>
  <c r="T365" i="23" s="1"/>
  <c r="AQ345" i="23"/>
  <c r="AB365" i="23" s="1"/>
  <c r="X348" i="23"/>
  <c r="AF348" i="23"/>
  <c r="W349" i="23"/>
  <c r="AE349" i="23"/>
  <c r="AM349" i="23"/>
  <c r="A389" i="23"/>
  <c r="AR440" i="23"/>
  <c r="AC460" i="23" s="1"/>
  <c r="AJ440" i="23"/>
  <c r="U460" i="23" s="1"/>
  <c r="AB440" i="23"/>
  <c r="M460" i="23" s="1"/>
  <c r="T440" i="23"/>
  <c r="E460" i="23" s="1"/>
  <c r="AO440" i="23"/>
  <c r="Z460" i="23" s="1"/>
  <c r="AG440" i="23"/>
  <c r="R460" i="23" s="1"/>
  <c r="Y440" i="23"/>
  <c r="J460" i="23" s="1"/>
  <c r="Q440" i="23"/>
  <c r="B460" i="23" s="1"/>
  <c r="AH440" i="23"/>
  <c r="S460" i="23" s="1"/>
  <c r="W440" i="23"/>
  <c r="H460" i="23" s="1"/>
  <c r="AM440" i="23"/>
  <c r="X460" i="23" s="1"/>
  <c r="AC440" i="23"/>
  <c r="N460" i="23" s="1"/>
  <c r="R440" i="23"/>
  <c r="C460" i="23" s="1"/>
  <c r="AQ440" i="23"/>
  <c r="AB460" i="23" s="1"/>
  <c r="AD440" i="23"/>
  <c r="O460" i="23" s="1"/>
  <c r="AP440" i="23"/>
  <c r="AA460" i="23" s="1"/>
  <c r="AA440" i="23"/>
  <c r="L460" i="23" s="1"/>
  <c r="AN440" i="23"/>
  <c r="Y460" i="23" s="1"/>
  <c r="Z440" i="23"/>
  <c r="K460" i="23" s="1"/>
  <c r="AK440" i="23"/>
  <c r="V460" i="23" s="1"/>
  <c r="V440" i="23"/>
  <c r="G460" i="23" s="1"/>
  <c r="AF440" i="23"/>
  <c r="Q460" i="23" s="1"/>
  <c r="S440" i="23"/>
  <c r="D460" i="23" s="1"/>
  <c r="AP441" i="23"/>
  <c r="AA461" i="23" s="1"/>
  <c r="AE441" i="23"/>
  <c r="P461" i="23" s="1"/>
  <c r="U441" i="23"/>
  <c r="F461" i="23" s="1"/>
  <c r="AK441" i="23"/>
  <c r="V461" i="23" s="1"/>
  <c r="Z441" i="23"/>
  <c r="K461" i="23" s="1"/>
  <c r="AH441" i="23"/>
  <c r="S461" i="23" s="1"/>
  <c r="T441" i="23"/>
  <c r="E461" i="23" s="1"/>
  <c r="AG441" i="23"/>
  <c r="R461" i="23" s="1"/>
  <c r="R441" i="23"/>
  <c r="C461" i="23" s="1"/>
  <c r="AD441" i="23"/>
  <c r="O461" i="23" s="1"/>
  <c r="Q441" i="23"/>
  <c r="B461" i="23" s="1"/>
  <c r="AO441" i="23"/>
  <c r="Z461" i="23" s="1"/>
  <c r="AB441" i="23"/>
  <c r="M461" i="23" s="1"/>
  <c r="AL441" i="23"/>
  <c r="W461" i="23" s="1"/>
  <c r="W441" i="23"/>
  <c r="H461" i="23" s="1"/>
  <c r="AR441" i="23"/>
  <c r="AC461" i="23" s="1"/>
  <c r="AA444" i="23"/>
  <c r="L464" i="23" s="1"/>
  <c r="AM445" i="23"/>
  <c r="X465" i="23" s="1"/>
  <c r="AE445" i="23"/>
  <c r="P465" i="23" s="1"/>
  <c r="W445" i="23"/>
  <c r="H465" i="23" s="1"/>
  <c r="AR445" i="23"/>
  <c r="AC465" i="23" s="1"/>
  <c r="AJ445" i="23"/>
  <c r="U465" i="23" s="1"/>
  <c r="AB445" i="23"/>
  <c r="M465" i="23" s="1"/>
  <c r="T445" i="23"/>
  <c r="E465" i="23" s="1"/>
  <c r="AO445" i="23"/>
  <c r="Z465" i="23" s="1"/>
  <c r="AD445" i="23"/>
  <c r="O465" i="23" s="1"/>
  <c r="S445" i="23"/>
  <c r="D465" i="23" s="1"/>
  <c r="AI445" i="23"/>
  <c r="T465" i="23" s="1"/>
  <c r="Y445" i="23"/>
  <c r="J465" i="23" s="1"/>
  <c r="AP445" i="23"/>
  <c r="AA465" i="23" s="1"/>
  <c r="AA445" i="23"/>
  <c r="L465" i="23" s="1"/>
  <c r="AN445" i="23"/>
  <c r="Y465" i="23" s="1"/>
  <c r="Z445" i="23"/>
  <c r="K465" i="23" s="1"/>
  <c r="AL445" i="23"/>
  <c r="W465" i="23" s="1"/>
  <c r="X445" i="23"/>
  <c r="I465" i="23" s="1"/>
  <c r="AH445" i="23"/>
  <c r="S465" i="23" s="1"/>
  <c r="U445" i="23"/>
  <c r="F465" i="23" s="1"/>
  <c r="AF445" i="23"/>
  <c r="Q465" i="23" s="1"/>
  <c r="Q445" i="23"/>
  <c r="B465" i="23" s="1"/>
  <c r="AN446" i="23"/>
  <c r="Y466" i="23" s="1"/>
  <c r="Y450" i="23"/>
  <c r="J470" i="23" s="1"/>
  <c r="X340" i="23"/>
  <c r="I360" i="23" s="1"/>
  <c r="AF340" i="23"/>
  <c r="Q360" i="23" s="1"/>
  <c r="T345" i="23"/>
  <c r="E365" i="23" s="1"/>
  <c r="AB345" i="23"/>
  <c r="M365" i="23" s="1"/>
  <c r="AJ345" i="23"/>
  <c r="U365" i="23" s="1"/>
  <c r="X349" i="23"/>
  <c r="AF349" i="23"/>
  <c r="AE444" i="23"/>
  <c r="P464" i="23" s="1"/>
  <c r="AF448" i="23"/>
  <c r="Q468" i="23" s="1"/>
  <c r="S448" i="23"/>
  <c r="D468" i="23" s="1"/>
  <c r="AN448" i="23"/>
  <c r="Y468" i="23" s="1"/>
  <c r="Z448" i="23"/>
  <c r="K468" i="23" s="1"/>
  <c r="AP448" i="23"/>
  <c r="AA468" i="23" s="1"/>
  <c r="AC450" i="23"/>
  <c r="N470" i="23" s="1"/>
  <c r="S451" i="23"/>
  <c r="D471" i="23" s="1"/>
  <c r="AH446" i="23"/>
  <c r="S466" i="23" s="1"/>
  <c r="T446" i="23"/>
  <c r="E466" i="23" s="1"/>
  <c r="AF446" i="23"/>
  <c r="Q466" i="23" s="1"/>
  <c r="R446" i="23"/>
  <c r="C466" i="23" s="1"/>
  <c r="AO446" i="23"/>
  <c r="Z466" i="23" s="1"/>
  <c r="Z446" i="23"/>
  <c r="K466" i="23" s="1"/>
  <c r="AK446" i="23"/>
  <c r="V466" i="23" s="1"/>
  <c r="X446" i="23"/>
  <c r="I466" i="23" s="1"/>
  <c r="W451" i="23"/>
  <c r="H471" i="23" s="1"/>
  <c r="A398" i="23"/>
  <c r="A386" i="23"/>
  <c r="A404" i="23"/>
  <c r="AA439" i="23"/>
  <c r="L459" i="23" s="1"/>
  <c r="AP442" i="23"/>
  <c r="AA462" i="23" s="1"/>
  <c r="AH442" i="23"/>
  <c r="S462" i="23" s="1"/>
  <c r="Z442" i="23"/>
  <c r="K462" i="23" s="1"/>
  <c r="R442" i="23"/>
  <c r="C462" i="23" s="1"/>
  <c r="AM442" i="23"/>
  <c r="X462" i="23" s="1"/>
  <c r="AE442" i="23"/>
  <c r="P462" i="23" s="1"/>
  <c r="W442" i="23"/>
  <c r="H462" i="23" s="1"/>
  <c r="AN442" i="23"/>
  <c r="Y462" i="23" s="1"/>
  <c r="AC442" i="23"/>
  <c r="N462" i="23" s="1"/>
  <c r="S442" i="23"/>
  <c r="D462" i="23" s="1"/>
  <c r="AI442" i="23"/>
  <c r="T462" i="23" s="1"/>
  <c r="X442" i="23"/>
  <c r="I462" i="23" s="1"/>
  <c r="AD442" i="23"/>
  <c r="O462" i="23" s="1"/>
  <c r="AR442" i="23"/>
  <c r="AC462" i="23" s="1"/>
  <c r="AR444" i="23"/>
  <c r="AC464" i="23" s="1"/>
  <c r="AK447" i="23"/>
  <c r="V467" i="23" s="1"/>
  <c r="AC447" i="23"/>
  <c r="N467" i="23" s="1"/>
  <c r="U447" i="23"/>
  <c r="F467" i="23" s="1"/>
  <c r="AP447" i="23"/>
  <c r="AA467" i="23" s="1"/>
  <c r="AH447" i="23"/>
  <c r="S467" i="23" s="1"/>
  <c r="Z447" i="23"/>
  <c r="K467" i="23" s="1"/>
  <c r="R447" i="23"/>
  <c r="C467" i="23" s="1"/>
  <c r="AJ447" i="23"/>
  <c r="U467" i="23" s="1"/>
  <c r="Y447" i="23"/>
  <c r="J467" i="23" s="1"/>
  <c r="AO447" i="23"/>
  <c r="Z467" i="23" s="1"/>
  <c r="AE447" i="23"/>
  <c r="P467" i="23" s="1"/>
  <c r="T447" i="23"/>
  <c r="E467" i="23" s="1"/>
  <c r="AD447" i="23"/>
  <c r="O467" i="23" s="1"/>
  <c r="AR447" i="23"/>
  <c r="AC467" i="23" s="1"/>
  <c r="V448" i="23"/>
  <c r="G468" i="23" s="1"/>
  <c r="AK448" i="23"/>
  <c r="V468" i="23" s="1"/>
  <c r="AK439" i="23"/>
  <c r="V459" i="23" s="1"/>
  <c r="AC439" i="23"/>
  <c r="N459" i="23" s="1"/>
  <c r="U439" i="23"/>
  <c r="F459" i="23" s="1"/>
  <c r="AP439" i="23"/>
  <c r="AA459" i="23" s="1"/>
  <c r="AH439" i="23"/>
  <c r="S459" i="23" s="1"/>
  <c r="Z439" i="23"/>
  <c r="K459" i="23" s="1"/>
  <c r="R439" i="23"/>
  <c r="C459" i="23" s="1"/>
  <c r="AJ439" i="23"/>
  <c r="U459" i="23" s="1"/>
  <c r="Y439" i="23"/>
  <c r="J459" i="23" s="1"/>
  <c r="AO439" i="23"/>
  <c r="Z459" i="23" s="1"/>
  <c r="AE439" i="23"/>
  <c r="P459" i="23" s="1"/>
  <c r="T439" i="23"/>
  <c r="E459" i="23" s="1"/>
  <c r="AD439" i="23"/>
  <c r="O459" i="23" s="1"/>
  <c r="AR439" i="23"/>
  <c r="AC459" i="23" s="1"/>
  <c r="AN444" i="23"/>
  <c r="Y464" i="23" s="1"/>
  <c r="S439" i="23"/>
  <c r="D459" i="23" s="1"/>
  <c r="AG439" i="23"/>
  <c r="R459" i="23" s="1"/>
  <c r="V442" i="23"/>
  <c r="G462" i="23" s="1"/>
  <c r="AK442" i="23"/>
  <c r="V462" i="23" s="1"/>
  <c r="AQ443" i="23"/>
  <c r="AB463" i="23" s="1"/>
  <c r="AF443" i="23"/>
  <c r="Q463" i="23" s="1"/>
  <c r="U443" i="23"/>
  <c r="F463" i="23" s="1"/>
  <c r="AB443" i="23"/>
  <c r="M463" i="23" s="1"/>
  <c r="AP443" i="23"/>
  <c r="AA463" i="23" s="1"/>
  <c r="AL446" i="23"/>
  <c r="W466" i="23" s="1"/>
  <c r="AD446" i="23"/>
  <c r="O466" i="23" s="1"/>
  <c r="V446" i="23"/>
  <c r="G466" i="23" s="1"/>
  <c r="AQ446" i="23"/>
  <c r="AB466" i="23" s="1"/>
  <c r="AI446" i="23"/>
  <c r="T466" i="23" s="1"/>
  <c r="AA446" i="23"/>
  <c r="L466" i="23" s="1"/>
  <c r="S446" i="23"/>
  <c r="D466" i="23" s="1"/>
  <c r="AM446" i="23"/>
  <c r="X466" i="23" s="1"/>
  <c r="AB446" i="23"/>
  <c r="M466" i="23" s="1"/>
  <c r="Q446" i="23"/>
  <c r="B466" i="23" s="1"/>
  <c r="AR446" i="23"/>
  <c r="AC466" i="23" s="1"/>
  <c r="AG446" i="23"/>
  <c r="R466" i="23" s="1"/>
  <c r="W446" i="23"/>
  <c r="H466" i="23" s="1"/>
  <c r="AE446" i="23"/>
  <c r="P466" i="23" s="1"/>
  <c r="W447" i="23"/>
  <c r="H467" i="23" s="1"/>
  <c r="AL447" i="23"/>
  <c r="W467" i="23" s="1"/>
  <c r="AD448" i="23"/>
  <c r="O468" i="23" s="1"/>
  <c r="V439" i="23"/>
  <c r="G459" i="23" s="1"/>
  <c r="AI439" i="23"/>
  <c r="T459" i="23" s="1"/>
  <c r="Y442" i="23"/>
  <c r="J462" i="23" s="1"/>
  <c r="AL442" i="23"/>
  <c r="W462" i="23" s="1"/>
  <c r="X447" i="23"/>
  <c r="I467" i="23" s="1"/>
  <c r="AM447" i="23"/>
  <c r="X467" i="23" s="1"/>
  <c r="AR448" i="23"/>
  <c r="AC468" i="23" s="1"/>
  <c r="AJ448" i="23"/>
  <c r="U468" i="23" s="1"/>
  <c r="AB448" i="23"/>
  <c r="M468" i="23" s="1"/>
  <c r="T448" i="23"/>
  <c r="E468" i="23" s="1"/>
  <c r="AO448" i="23"/>
  <c r="Z468" i="23" s="1"/>
  <c r="AG448" i="23"/>
  <c r="R468" i="23" s="1"/>
  <c r="Y448" i="23"/>
  <c r="J468" i="23" s="1"/>
  <c r="Q448" i="23"/>
  <c r="B468" i="23" s="1"/>
  <c r="AH448" i="23"/>
  <c r="S468" i="23" s="1"/>
  <c r="W448" i="23"/>
  <c r="H468" i="23" s="1"/>
  <c r="AM448" i="23"/>
  <c r="X468" i="23" s="1"/>
  <c r="AC448" i="23"/>
  <c r="N468" i="23" s="1"/>
  <c r="R448" i="23"/>
  <c r="C468" i="23" s="1"/>
  <c r="AE448" i="23"/>
  <c r="P468" i="23" s="1"/>
  <c r="W439" i="23"/>
  <c r="H459" i="23" s="1"/>
  <c r="AL439" i="23"/>
  <c r="W459" i="23" s="1"/>
  <c r="AA442" i="23"/>
  <c r="L462" i="23" s="1"/>
  <c r="AO442" i="23"/>
  <c r="Z462" i="23" s="1"/>
  <c r="AA447" i="23"/>
  <c r="L467" i="23" s="1"/>
  <c r="AQ441" i="23"/>
  <c r="AB461" i="23" s="1"/>
  <c r="AO443" i="23"/>
  <c r="Z463" i="23" s="1"/>
  <c r="AG443" i="23"/>
  <c r="R463" i="23" s="1"/>
  <c r="Y443" i="23"/>
  <c r="J463" i="23" s="1"/>
  <c r="Q443" i="23"/>
  <c r="B463" i="23" s="1"/>
  <c r="AL443" i="23"/>
  <c r="W463" i="23" s="1"/>
  <c r="AD443" i="23"/>
  <c r="O463" i="23" s="1"/>
  <c r="V443" i="23"/>
  <c r="G463" i="23" s="1"/>
  <c r="AA443" i="23"/>
  <c r="L463" i="23" s="1"/>
  <c r="AK443" i="23"/>
  <c r="V463" i="23" s="1"/>
  <c r="W444" i="23"/>
  <c r="H464" i="23" s="1"/>
  <c r="AH444" i="23"/>
  <c r="S464" i="23" s="1"/>
  <c r="X441" i="23"/>
  <c r="I461" i="23" s="1"/>
  <c r="AF441" i="23"/>
  <c r="Q461" i="23" s="1"/>
  <c r="AN441" i="23"/>
  <c r="Y461" i="23" s="1"/>
  <c r="U444" i="23"/>
  <c r="F464" i="23" s="1"/>
  <c r="AC444" i="23"/>
  <c r="N464" i="23" s="1"/>
  <c r="AK444" i="23"/>
  <c r="V464" i="23" s="1"/>
  <c r="AO450" i="23"/>
  <c r="Z470" i="23" s="1"/>
  <c r="X450" i="23"/>
  <c r="I470" i="23" s="1"/>
  <c r="AF450" i="23"/>
  <c r="Q470" i="23" s="1"/>
  <c r="AN450" i="23"/>
  <c r="Y470" i="23" s="1"/>
  <c r="AO451" i="23"/>
  <c r="Z471" i="23" s="1"/>
  <c r="Y452" i="23"/>
  <c r="J472" i="23" s="1"/>
  <c r="Q452" i="23"/>
  <c r="B472" i="23" s="1"/>
  <c r="Z452" i="23"/>
  <c r="K472" i="23" s="1"/>
  <c r="AK452" i="23"/>
  <c r="V472" i="23" s="1"/>
  <c r="Z454" i="23"/>
  <c r="Z455" i="23"/>
  <c r="K475" i="23" s="1"/>
  <c r="A504" i="23"/>
  <c r="A492" i="23"/>
  <c r="AM454" i="23"/>
  <c r="AE454" i="23"/>
  <c r="W454" i="23"/>
  <c r="AL454" i="23"/>
  <c r="AD454" i="23"/>
  <c r="V454" i="23"/>
  <c r="AK454" i="23"/>
  <c r="AC454" i="23"/>
  <c r="U454" i="23"/>
  <c r="AA454" i="23"/>
  <c r="AO454" i="23"/>
  <c r="AL455" i="23"/>
  <c r="W475" i="23" s="1"/>
  <c r="AD455" i="23"/>
  <c r="O475" i="23" s="1"/>
  <c r="V455" i="23"/>
  <c r="G475" i="23" s="1"/>
  <c r="AK455" i="23"/>
  <c r="V475" i="23" s="1"/>
  <c r="AC455" i="23"/>
  <c r="N475" i="23" s="1"/>
  <c r="U455" i="23"/>
  <c r="F475" i="23" s="1"/>
  <c r="AR455" i="23"/>
  <c r="AC475" i="23" s="1"/>
  <c r="AJ455" i="23"/>
  <c r="U475" i="23" s="1"/>
  <c r="AB455" i="23"/>
  <c r="M475" i="23" s="1"/>
  <c r="T455" i="23"/>
  <c r="E475" i="23" s="1"/>
  <c r="AA455" i="23"/>
  <c r="L475" i="23" s="1"/>
  <c r="AO455" i="23"/>
  <c r="Z475" i="23" s="1"/>
  <c r="Q454" i="23"/>
  <c r="AB454" i="23"/>
  <c r="AP454" i="23"/>
  <c r="Q455" i="23"/>
  <c r="B475" i="23" s="1"/>
  <c r="AE455" i="23"/>
  <c r="P475" i="23" s="1"/>
  <c r="AP455" i="23"/>
  <c r="AA475" i="23" s="1"/>
  <c r="S441" i="23"/>
  <c r="D461" i="23" s="1"/>
  <c r="AA441" i="23"/>
  <c r="L461" i="23" s="1"/>
  <c r="AI441" i="23"/>
  <c r="T461" i="23" s="1"/>
  <c r="X444" i="23"/>
  <c r="I464" i="23" s="1"/>
  <c r="AF444" i="23"/>
  <c r="Q464" i="23" s="1"/>
  <c r="S450" i="23"/>
  <c r="D470" i="23" s="1"/>
  <c r="AA450" i="23"/>
  <c r="L470" i="23" s="1"/>
  <c r="AI450" i="23"/>
  <c r="T470" i="23" s="1"/>
  <c r="AR450" i="23"/>
  <c r="AC470" i="23" s="1"/>
  <c r="R452" i="23"/>
  <c r="C472" i="23" s="1"/>
  <c r="AC452" i="23"/>
  <c r="N472" i="23" s="1"/>
  <c r="AQ452" i="23"/>
  <c r="AB472" i="23" s="1"/>
  <c r="R454" i="23"/>
  <c r="AF454" i="23"/>
  <c r="AQ454" i="23"/>
  <c r="R455" i="23"/>
  <c r="C475" i="23" s="1"/>
  <c r="AF455" i="23"/>
  <c r="Q475" i="23" s="1"/>
  <c r="AQ455" i="23"/>
  <c r="AB475" i="23" s="1"/>
  <c r="A496" i="23"/>
  <c r="A508" i="23"/>
  <c r="S454" i="23"/>
  <c r="AG454" i="23"/>
  <c r="AR454" i="23"/>
  <c r="S455" i="23"/>
  <c r="D475" i="23" s="1"/>
  <c r="AG455" i="23"/>
  <c r="R475" i="23" s="1"/>
  <c r="A507" i="23"/>
  <c r="A495" i="23"/>
  <c r="X454" i="23"/>
  <c r="AI454" i="23"/>
  <c r="X455" i="23"/>
  <c r="I475" i="23" s="1"/>
  <c r="AI455" i="23"/>
  <c r="T475" i="23" s="1"/>
  <c r="A506" i="23"/>
  <c r="A494" i="23"/>
  <c r="A503" i="23"/>
  <c r="A491" i="23"/>
  <c r="X451" i="23"/>
  <c r="I471" i="23" s="1"/>
  <c r="AF451" i="23"/>
  <c r="Q471" i="23" s="1"/>
  <c r="AN451" i="23"/>
  <c r="Y471" i="23" s="1"/>
  <c r="W452" i="23"/>
  <c r="H472" i="23" s="1"/>
  <c r="AE452" i="23"/>
  <c r="P472" i="23" s="1"/>
  <c r="AM452" i="23"/>
  <c r="X472" i="23" s="1"/>
  <c r="V453" i="23"/>
  <c r="AD453" i="23"/>
  <c r="AL453" i="23"/>
  <c r="Y451" i="23"/>
  <c r="J471" i="23" s="1"/>
  <c r="AG451" i="23"/>
  <c r="R471" i="23" s="1"/>
  <c r="X452" i="23"/>
  <c r="I472" i="23" s="1"/>
  <c r="AF452" i="23"/>
  <c r="Q472" i="23" s="1"/>
  <c r="AN452" i="23"/>
  <c r="Y472" i="23" s="1"/>
  <c r="W453" i="23"/>
  <c r="AE453" i="23"/>
  <c r="AM453" i="23"/>
  <c r="AG452" i="23"/>
  <c r="R472" i="23" s="1"/>
  <c r="X453" i="23"/>
  <c r="AF453" i="23"/>
  <c r="A502" i="23"/>
  <c r="A509" i="23"/>
  <c r="A497" i="23"/>
  <c r="A505" i="23"/>
  <c r="W447" i="22"/>
  <c r="H467" i="22" s="1"/>
  <c r="T450" i="22"/>
  <c r="E470" i="22" s="1"/>
  <c r="AJ450" i="22"/>
  <c r="U470" i="22" s="1"/>
  <c r="U450" i="22"/>
  <c r="F470" i="22" s="1"/>
  <c r="AK450" i="22"/>
  <c r="V470" i="22" s="1"/>
  <c r="AL450" i="22"/>
  <c r="W470" i="22" s="1"/>
  <c r="Z342" i="22"/>
  <c r="K362" i="22" s="1"/>
  <c r="AR342" i="22"/>
  <c r="AC362" i="22" s="1"/>
  <c r="Y342" i="22"/>
  <c r="J362" i="22" s="1"/>
  <c r="AP342" i="22"/>
  <c r="AA362" i="22" s="1"/>
  <c r="AB342" i="22"/>
  <c r="M362" i="22" s="1"/>
  <c r="AN342" i="22"/>
  <c r="Y362" i="22" s="1"/>
  <c r="AC342" i="22"/>
  <c r="N362" i="22" s="1"/>
  <c r="Q342" i="22"/>
  <c r="B362" i="22" s="1"/>
  <c r="AG342" i="22"/>
  <c r="R362" i="22" s="1"/>
  <c r="R342" i="22"/>
  <c r="C362" i="22" s="1"/>
  <c r="AH342" i="22"/>
  <c r="S362" i="22" s="1"/>
  <c r="T342" i="22"/>
  <c r="E362" i="22" s="1"/>
  <c r="S233" i="22"/>
  <c r="D253" i="22" s="1"/>
  <c r="AK233" i="22"/>
  <c r="V253" i="22" s="1"/>
  <c r="U233" i="22"/>
  <c r="F253" i="22" s="1"/>
  <c r="AQ233" i="22"/>
  <c r="AB253" i="22" s="1"/>
  <c r="AB233" i="22"/>
  <c r="M253" i="22" s="1"/>
  <c r="AK234" i="22"/>
  <c r="V254" i="22" s="1"/>
  <c r="R233" i="22"/>
  <c r="C253" i="22" s="1"/>
  <c r="T233" i="22"/>
  <c r="E253" i="22" s="1"/>
  <c r="AP233" i="22"/>
  <c r="AA253" i="22" s="1"/>
  <c r="AC233" i="22"/>
  <c r="N253" i="22" s="1"/>
  <c r="R234" i="22"/>
  <c r="C254" i="22" s="1"/>
  <c r="AL233" i="22"/>
  <c r="W253" i="22" s="1"/>
  <c r="AG125" i="22"/>
  <c r="R145" i="22" s="1"/>
  <c r="AO125" i="22"/>
  <c r="Z145" i="22" s="1"/>
  <c r="AQ125" i="22"/>
  <c r="AB145" i="22" s="1"/>
  <c r="AP125" i="22"/>
  <c r="AA145" i="22" s="1"/>
  <c r="S125" i="22"/>
  <c r="D145" i="22" s="1"/>
  <c r="AI445" i="22"/>
  <c r="T465" i="22" s="1"/>
  <c r="AB445" i="22"/>
  <c r="M465" i="22" s="1"/>
  <c r="M483" i="22" s="1"/>
  <c r="AP445" i="22"/>
  <c r="AA465" i="22" s="1"/>
  <c r="S445" i="22"/>
  <c r="D465" i="22" s="1"/>
  <c r="AG445" i="22"/>
  <c r="R465" i="22" s="1"/>
  <c r="T445" i="22"/>
  <c r="E465" i="22" s="1"/>
  <c r="Z443" i="22"/>
  <c r="K463" i="22" s="1"/>
  <c r="AB443" i="22"/>
  <c r="M463" i="22" s="1"/>
  <c r="V338" i="22"/>
  <c r="G358" i="22" s="1"/>
  <c r="AH338" i="22"/>
  <c r="S358" i="22" s="1"/>
  <c r="V440" i="22"/>
  <c r="G460" i="22" s="1"/>
  <c r="U334" i="22"/>
  <c r="F354" i="22" s="1"/>
  <c r="AO334" i="22"/>
  <c r="Z354" i="22" s="1"/>
  <c r="Y335" i="22"/>
  <c r="J355" i="22" s="1"/>
  <c r="AN335" i="22"/>
  <c r="Y355" i="22" s="1"/>
  <c r="AB334" i="22"/>
  <c r="M354" i="22" s="1"/>
  <c r="AR334" i="22"/>
  <c r="AC354" i="22" s="1"/>
  <c r="AC335" i="22"/>
  <c r="N355" i="22" s="1"/>
  <c r="AR335" i="22"/>
  <c r="AC355" i="22" s="1"/>
  <c r="AN334" i="22"/>
  <c r="Y354" i="22" s="1"/>
  <c r="S335" i="22"/>
  <c r="D355" i="22" s="1"/>
  <c r="AK22" i="22"/>
  <c r="V42" i="22" s="1"/>
  <c r="AP15" i="22"/>
  <c r="AA35" i="22" s="1"/>
  <c r="AA12" i="22"/>
  <c r="L32" i="22" s="1"/>
  <c r="AR11" i="22"/>
  <c r="AC31" i="22" s="1"/>
  <c r="AY16" i="22"/>
  <c r="AP22" i="22"/>
  <c r="AA42" i="22" s="1"/>
  <c r="AR22" i="22"/>
  <c r="AC42" i="22" s="1"/>
  <c r="Q22" i="22"/>
  <c r="B42" i="22" s="1"/>
  <c r="AC22" i="22"/>
  <c r="N42" i="22" s="1"/>
  <c r="AD20" i="22"/>
  <c r="O40" i="22" s="1"/>
  <c r="AN19" i="22"/>
  <c r="Y39" i="22" s="1"/>
  <c r="AG19" i="22"/>
  <c r="R39" i="22" s="1"/>
  <c r="Z17" i="22"/>
  <c r="K37" i="22" s="1"/>
  <c r="R17" i="22"/>
  <c r="C37" i="22" s="1"/>
  <c r="AG17" i="22"/>
  <c r="R37" i="22" s="1"/>
  <c r="Q12" i="22"/>
  <c r="B32" i="22" s="1"/>
  <c r="AM22" i="22"/>
  <c r="X42" i="22" s="1"/>
  <c r="AG22" i="22"/>
  <c r="R42" i="22" s="1"/>
  <c r="T22" i="22"/>
  <c r="E42" i="22" s="1"/>
  <c r="AO22" i="22"/>
  <c r="Z42" i="22" s="1"/>
  <c r="U22" i="22"/>
  <c r="F42" i="22" s="1"/>
  <c r="AI12" i="22"/>
  <c r="T32" i="22" s="1"/>
  <c r="Y11" i="22"/>
  <c r="J31" i="22" s="1"/>
  <c r="AB11" i="22"/>
  <c r="M31" i="22" s="1"/>
  <c r="Z15" i="22"/>
  <c r="K35" i="22" s="1"/>
  <c r="Q11" i="22"/>
  <c r="B31" i="22" s="1"/>
  <c r="AA11" i="22"/>
  <c r="L31" i="22" s="1"/>
  <c r="AL11" i="22"/>
  <c r="W31" i="22" s="1"/>
  <c r="AM12" i="22"/>
  <c r="X32" i="22" s="1"/>
  <c r="AE12" i="22"/>
  <c r="P32" i="22" s="1"/>
  <c r="W12" i="22"/>
  <c r="H32" i="22" s="1"/>
  <c r="AK12" i="22"/>
  <c r="V32" i="22" s="1"/>
  <c r="AC12" i="22"/>
  <c r="N32" i="22" s="1"/>
  <c r="U12" i="22"/>
  <c r="F32" i="22" s="1"/>
  <c r="Z12" i="22"/>
  <c r="K32" i="22" s="1"/>
  <c r="AJ12" i="22"/>
  <c r="U32" i="22" s="1"/>
  <c r="Y13" i="22"/>
  <c r="J33" i="22" s="1"/>
  <c r="AX13" i="22"/>
  <c r="Q14" i="22"/>
  <c r="B34" i="22" s="1"/>
  <c r="AD14" i="22"/>
  <c r="O34" i="22" s="1"/>
  <c r="AR14" i="22"/>
  <c r="AC34" i="22" s="1"/>
  <c r="Y15" i="22"/>
  <c r="J35" i="22" s="1"/>
  <c r="AO15" i="22"/>
  <c r="Z35" i="22" s="1"/>
  <c r="T16" i="22"/>
  <c r="E36" i="22" s="1"/>
  <c r="AJ16" i="22"/>
  <c r="U36" i="22" s="1"/>
  <c r="Q17" i="22"/>
  <c r="B37" i="22" s="1"/>
  <c r="AL17" i="22"/>
  <c r="W37" i="22" s="1"/>
  <c r="V18" i="22"/>
  <c r="G38" i="22" s="1"/>
  <c r="AP18" i="22"/>
  <c r="AA38" i="22" s="1"/>
  <c r="X19" i="22"/>
  <c r="I39" i="22" s="1"/>
  <c r="AT19" i="22"/>
  <c r="W20" i="22"/>
  <c r="H40" i="22" s="1"/>
  <c r="AX23" i="22"/>
  <c r="A66" i="22"/>
  <c r="A78" i="22"/>
  <c r="AQ13" i="22"/>
  <c r="AB33" i="22" s="1"/>
  <c r="AI13" i="22"/>
  <c r="T33" i="22" s="1"/>
  <c r="AA13" i="22"/>
  <c r="L33" i="22" s="1"/>
  <c r="AZ22" i="22"/>
  <c r="AM13" i="22"/>
  <c r="X33" i="22" s="1"/>
  <c r="AE13" i="22"/>
  <c r="P33" i="22" s="1"/>
  <c r="W13" i="22"/>
  <c r="H33" i="22" s="1"/>
  <c r="AK13" i="22"/>
  <c r="V33" i="22" s="1"/>
  <c r="AC13" i="22"/>
  <c r="N33" i="22" s="1"/>
  <c r="U13" i="22"/>
  <c r="F33" i="22" s="1"/>
  <c r="S11" i="22"/>
  <c r="D31" i="22" s="1"/>
  <c r="AD11" i="22"/>
  <c r="O31" i="22" s="1"/>
  <c r="AO11" i="22"/>
  <c r="Z31" i="22" s="1"/>
  <c r="R12" i="22"/>
  <c r="C32" i="22" s="1"/>
  <c r="AB12" i="22"/>
  <c r="M32" i="22" s="1"/>
  <c r="AN12" i="22"/>
  <c r="Y32" i="22" s="1"/>
  <c r="AX12" i="22"/>
  <c r="Q13" i="22"/>
  <c r="B33" i="22" s="1"/>
  <c r="AB13" i="22"/>
  <c r="M33" i="22" s="1"/>
  <c r="AO13" i="22"/>
  <c r="Z33" i="22" s="1"/>
  <c r="T14" i="22"/>
  <c r="E34" i="22" s="1"/>
  <c r="AG14" i="22"/>
  <c r="R34" i="22" s="1"/>
  <c r="AB15" i="22"/>
  <c r="M35" i="22" s="1"/>
  <c r="AR15" i="22"/>
  <c r="AC35" i="22" s="1"/>
  <c r="Y16" i="22"/>
  <c r="J36" i="22" s="1"/>
  <c r="AO16" i="22"/>
  <c r="Z36" i="22" s="1"/>
  <c r="V17" i="22"/>
  <c r="G37" i="22" s="1"/>
  <c r="AP17" i="22"/>
  <c r="AA37" i="22" s="1"/>
  <c r="AV32" i="22"/>
  <c r="AC19" i="22"/>
  <c r="N39" i="22" s="1"/>
  <c r="A76" i="22"/>
  <c r="A64" i="22"/>
  <c r="A80" i="22"/>
  <c r="A68" i="22"/>
  <c r="AN13" i="22"/>
  <c r="Y33" i="22" s="1"/>
  <c r="T11" i="22"/>
  <c r="E31" i="22" s="1"/>
  <c r="AF11" i="22"/>
  <c r="Q31" i="22" s="1"/>
  <c r="AP11" i="22"/>
  <c r="AA31" i="22" s="1"/>
  <c r="S12" i="22"/>
  <c r="D32" i="22" s="1"/>
  <c r="AD12" i="22"/>
  <c r="O32" i="22" s="1"/>
  <c r="AO12" i="22"/>
  <c r="Z32" i="22" s="1"/>
  <c r="R13" i="22"/>
  <c r="C33" i="22" s="1"/>
  <c r="AD13" i="22"/>
  <c r="O33" i="22" s="1"/>
  <c r="AP13" i="22"/>
  <c r="AA33" i="22" s="1"/>
  <c r="AU23" i="22"/>
  <c r="V14" i="22"/>
  <c r="G34" i="22" s="1"/>
  <c r="AQ15" i="22"/>
  <c r="AB35" i="22" s="1"/>
  <c r="AD15" i="22"/>
  <c r="O35" i="22" s="1"/>
  <c r="Z16" i="22"/>
  <c r="K36" i="22" s="1"/>
  <c r="AP16" i="22"/>
  <c r="AA36" i="22" s="1"/>
  <c r="AU31" i="22"/>
  <c r="Y17" i="22"/>
  <c r="J37" i="22" s="1"/>
  <c r="AR18" i="22"/>
  <c r="AC38" i="22" s="1"/>
  <c r="AJ18" i="22"/>
  <c r="U38" i="22" s="1"/>
  <c r="AB18" i="22"/>
  <c r="M38" i="22" s="1"/>
  <c r="T18" i="22"/>
  <c r="E38" i="22" s="1"/>
  <c r="AD18" i="22"/>
  <c r="O38" i="22" s="1"/>
  <c r="AF19" i="22"/>
  <c r="Q39" i="22" s="1"/>
  <c r="AO20" i="22"/>
  <c r="Z40" i="22" s="1"/>
  <c r="AG20" i="22"/>
  <c r="R40" i="22" s="1"/>
  <c r="Y20" i="22"/>
  <c r="J40" i="22" s="1"/>
  <c r="Q20" i="22"/>
  <c r="B40" i="22" s="1"/>
  <c r="AX33" i="22"/>
  <c r="AE20" i="22"/>
  <c r="P40" i="22" s="1"/>
  <c r="V11" i="22"/>
  <c r="G31" i="22" s="1"/>
  <c r="AG11" i="22"/>
  <c r="R31" i="22" s="1"/>
  <c r="AQ11" i="22"/>
  <c r="AB31" i="22" s="1"/>
  <c r="T12" i="22"/>
  <c r="E32" i="22" s="1"/>
  <c r="AF12" i="22"/>
  <c r="Q32" i="22" s="1"/>
  <c r="AP12" i="22"/>
  <c r="AA32" i="22" s="1"/>
  <c r="S13" i="22"/>
  <c r="D33" i="22" s="1"/>
  <c r="AF13" i="22"/>
  <c r="Q33" i="22" s="1"/>
  <c r="AR13" i="22"/>
  <c r="AC33" i="22" s="1"/>
  <c r="X14" i="22"/>
  <c r="I34" i="22" s="1"/>
  <c r="AJ14" i="22"/>
  <c r="U34" i="22" s="1"/>
  <c r="Q15" i="22"/>
  <c r="B35" i="22" s="1"/>
  <c r="AG15" i="22"/>
  <c r="R35" i="22" s="1"/>
  <c r="AI20" i="22"/>
  <c r="T40" i="22" s="1"/>
  <c r="Z13" i="22"/>
  <c r="K33" i="22" s="1"/>
  <c r="X11" i="22"/>
  <c r="I31" i="22" s="1"/>
  <c r="AH11" i="22"/>
  <c r="S31" i="22" s="1"/>
  <c r="V12" i="22"/>
  <c r="G32" i="22" s="1"/>
  <c r="AG12" i="22"/>
  <c r="R32" i="22" s="1"/>
  <c r="AQ12" i="22"/>
  <c r="AB32" i="22" s="1"/>
  <c r="AU22" i="22"/>
  <c r="T13" i="22"/>
  <c r="E33" i="22" s="1"/>
  <c r="AG13" i="22"/>
  <c r="R33" i="22" s="1"/>
  <c r="Y14" i="22"/>
  <c r="J34" i="22" s="1"/>
  <c r="R15" i="22"/>
  <c r="C35" i="22" s="1"/>
  <c r="AH15" i="22"/>
  <c r="S35" i="22" s="1"/>
  <c r="AR17" i="22"/>
  <c r="AC37" i="22" s="1"/>
  <c r="AJ17" i="22"/>
  <c r="U37" i="22" s="1"/>
  <c r="AB17" i="22"/>
  <c r="M37" i="22" s="1"/>
  <c r="T17" i="22"/>
  <c r="E37" i="22" s="1"/>
  <c r="AX31" i="22"/>
  <c r="AD17" i="22"/>
  <c r="O37" i="22" s="1"/>
  <c r="AQ19" i="22"/>
  <c r="AB39" i="22" s="1"/>
  <c r="AI19" i="22"/>
  <c r="T39" i="22" s="1"/>
  <c r="AA19" i="22"/>
  <c r="L39" i="22" s="1"/>
  <c r="S19" i="22"/>
  <c r="D39" i="22" s="1"/>
  <c r="AP19" i="22"/>
  <c r="AA39" i="22" s="1"/>
  <c r="AH19" i="22"/>
  <c r="S39" i="22" s="1"/>
  <c r="Z19" i="22"/>
  <c r="K39" i="22" s="1"/>
  <c r="R19" i="22"/>
  <c r="C39" i="22" s="1"/>
  <c r="AZ32" i="22"/>
  <c r="AM19" i="22"/>
  <c r="X39" i="22" s="1"/>
  <c r="AE19" i="22"/>
  <c r="P39" i="22" s="1"/>
  <c r="W19" i="22"/>
  <c r="H39" i="22" s="1"/>
  <c r="AL19" i="22"/>
  <c r="W39" i="22" s="1"/>
  <c r="AD19" i="22"/>
  <c r="O39" i="22" s="1"/>
  <c r="V19" i="22"/>
  <c r="G39" i="22" s="1"/>
  <c r="AR19" i="22"/>
  <c r="AC39" i="22" s="1"/>
  <c r="AJ19" i="22"/>
  <c r="U39" i="22" s="1"/>
  <c r="AB19" i="22"/>
  <c r="M39" i="22" s="1"/>
  <c r="T19" i="22"/>
  <c r="E39" i="22" s="1"/>
  <c r="AK19" i="22"/>
  <c r="V39" i="22" s="1"/>
  <c r="AN20" i="22"/>
  <c r="Y40" i="22" s="1"/>
  <c r="AL20" i="22"/>
  <c r="W40" i="22" s="1"/>
  <c r="AU25" i="22"/>
  <c r="X12" i="22"/>
  <c r="I32" i="22" s="1"/>
  <c r="AH12" i="22"/>
  <c r="S32" i="22" s="1"/>
  <c r="AR12" i="22"/>
  <c r="AC32" i="22" s="1"/>
  <c r="V13" i="22"/>
  <c r="G33" i="22" s="1"/>
  <c r="AH13" i="22"/>
  <c r="S33" i="22" s="1"/>
  <c r="T15" i="22"/>
  <c r="E35" i="22" s="1"/>
  <c r="AJ15" i="22"/>
  <c r="U35" i="22" s="1"/>
  <c r="A75" i="22"/>
  <c r="A63" i="22"/>
  <c r="A65" i="22"/>
  <c r="A77" i="22"/>
  <c r="AU24" i="22"/>
  <c r="A67" i="22"/>
  <c r="A79" i="22"/>
  <c r="AM11" i="22"/>
  <c r="X31" i="22" s="1"/>
  <c r="AE11" i="22"/>
  <c r="P31" i="22" s="1"/>
  <c r="W11" i="22"/>
  <c r="H31" i="22" s="1"/>
  <c r="AK11" i="22"/>
  <c r="V31" i="22" s="1"/>
  <c r="AC11" i="22"/>
  <c r="N31" i="22" s="1"/>
  <c r="U11" i="22"/>
  <c r="F31" i="22" s="1"/>
  <c r="Z11" i="22"/>
  <c r="K31" i="22" s="1"/>
  <c r="AJ11" i="22"/>
  <c r="U31" i="22" s="1"/>
  <c r="AU11" i="22"/>
  <c r="Y12" i="22"/>
  <c r="J32" i="22" s="1"/>
  <c r="X13" i="22"/>
  <c r="I33" i="22" s="1"/>
  <c r="AJ13" i="22"/>
  <c r="U33" i="22" s="1"/>
  <c r="AQ14" i="22"/>
  <c r="AB34" i="22" s="1"/>
  <c r="AI14" i="22"/>
  <c r="T34" i="22" s="1"/>
  <c r="AA14" i="22"/>
  <c r="L34" i="22" s="1"/>
  <c r="S14" i="22"/>
  <c r="D34" i="22" s="1"/>
  <c r="AZ23" i="22"/>
  <c r="AN14" i="22"/>
  <c r="Y34" i="22" s="1"/>
  <c r="AM14" i="22"/>
  <c r="X34" i="22" s="1"/>
  <c r="AE14" i="22"/>
  <c r="P34" i="22" s="1"/>
  <c r="W14" i="22"/>
  <c r="H34" i="22" s="1"/>
  <c r="AK14" i="22"/>
  <c r="V34" i="22" s="1"/>
  <c r="AC14" i="22"/>
  <c r="N34" i="22" s="1"/>
  <c r="U14" i="22"/>
  <c r="F34" i="22" s="1"/>
  <c r="AB14" i="22"/>
  <c r="M34" i="22" s="1"/>
  <c r="AP14" i="22"/>
  <c r="AA34" i="22" s="1"/>
  <c r="V15" i="22"/>
  <c r="G35" i="22" s="1"/>
  <c r="R16" i="22"/>
  <c r="C36" i="22" s="1"/>
  <c r="AQ17" i="22"/>
  <c r="AB37" i="22" s="1"/>
  <c r="AH17" i="22"/>
  <c r="S37" i="22" s="1"/>
  <c r="R18" i="22"/>
  <c r="C38" i="22" s="1"/>
  <c r="AO18" i="22"/>
  <c r="Z38" i="22" s="1"/>
  <c r="U19" i="22"/>
  <c r="F39" i="22" s="1"/>
  <c r="AO19" i="22"/>
  <c r="Z39" i="22" s="1"/>
  <c r="V20" i="22"/>
  <c r="G40" i="22" s="1"/>
  <c r="AQ20" i="22"/>
  <c r="AB40" i="22" s="1"/>
  <c r="U15" i="22"/>
  <c r="F35" i="22" s="1"/>
  <c r="AC15" i="22"/>
  <c r="N35" i="22" s="1"/>
  <c r="AK15" i="22"/>
  <c r="V35" i="22" s="1"/>
  <c r="U16" i="22"/>
  <c r="F36" i="22" s="1"/>
  <c r="AC16" i="22"/>
  <c r="N36" i="22" s="1"/>
  <c r="AK16" i="22"/>
  <c r="V36" i="22" s="1"/>
  <c r="U17" i="22"/>
  <c r="F37" i="22" s="1"/>
  <c r="AC17" i="22"/>
  <c r="N37" i="22" s="1"/>
  <c r="AK17" i="22"/>
  <c r="V37" i="22" s="1"/>
  <c r="U18" i="22"/>
  <c r="F38" i="22" s="1"/>
  <c r="AC18" i="22"/>
  <c r="N38" i="22" s="1"/>
  <c r="AK18" i="22"/>
  <c r="V38" i="22" s="1"/>
  <c r="R20" i="22"/>
  <c r="C40" i="22" s="1"/>
  <c r="Z20" i="22"/>
  <c r="K40" i="22" s="1"/>
  <c r="AH20" i="22"/>
  <c r="S40" i="22" s="1"/>
  <c r="AP20" i="22"/>
  <c r="AA40" i="22" s="1"/>
  <c r="X22" i="22"/>
  <c r="I42" i="22" s="1"/>
  <c r="AF22" i="22"/>
  <c r="Q42" i="22" s="1"/>
  <c r="AN22" i="22"/>
  <c r="Y42" i="22" s="1"/>
  <c r="X23" i="22"/>
  <c r="I43" i="22" s="1"/>
  <c r="AF23" i="22"/>
  <c r="Q43" i="22" s="1"/>
  <c r="AN23" i="22"/>
  <c r="Y43" i="22" s="1"/>
  <c r="X24" i="22"/>
  <c r="I44" i="22" s="1"/>
  <c r="AF24" i="22"/>
  <c r="Q44" i="22" s="1"/>
  <c r="AN24" i="22"/>
  <c r="Y44" i="22" s="1"/>
  <c r="X25" i="22"/>
  <c r="AF25" i="22"/>
  <c r="AN25" i="22"/>
  <c r="X26" i="22"/>
  <c r="AF26" i="22"/>
  <c r="AN26" i="22"/>
  <c r="X27" i="22"/>
  <c r="I47" i="22" s="1"/>
  <c r="AF27" i="22"/>
  <c r="Q47" i="22" s="1"/>
  <c r="AN27" i="22"/>
  <c r="Y47" i="22" s="1"/>
  <c r="AZ31" i="22"/>
  <c r="AZ33" i="22"/>
  <c r="AO117" i="22"/>
  <c r="Z137" i="22" s="1"/>
  <c r="R118" i="22"/>
  <c r="C138" i="22" s="1"/>
  <c r="AG119" i="22"/>
  <c r="R139" i="22" s="1"/>
  <c r="U121" i="22"/>
  <c r="F141" i="22" s="1"/>
  <c r="AJ123" i="22"/>
  <c r="U143" i="22" s="1"/>
  <c r="Z124" i="22"/>
  <c r="K144" i="22" s="1"/>
  <c r="AB132" i="22"/>
  <c r="A74" i="22"/>
  <c r="AI119" i="22"/>
  <c r="T139" i="22" s="1"/>
  <c r="AH124" i="22"/>
  <c r="S144" i="22" s="1"/>
  <c r="AQ128" i="22"/>
  <c r="AB148" i="22" s="1"/>
  <c r="AG128" i="22"/>
  <c r="R148" i="22" s="1"/>
  <c r="W128" i="22"/>
  <c r="H148" i="22" s="1"/>
  <c r="W15" i="22"/>
  <c r="H35" i="22" s="1"/>
  <c r="AE15" i="22"/>
  <c r="P35" i="22" s="1"/>
  <c r="AM15" i="22"/>
  <c r="X35" i="22" s="1"/>
  <c r="W16" i="22"/>
  <c r="H36" i="22" s="1"/>
  <c r="AE16" i="22"/>
  <c r="P36" i="22" s="1"/>
  <c r="AM16" i="22"/>
  <c r="X36" i="22" s="1"/>
  <c r="W17" i="22"/>
  <c r="H37" i="22" s="1"/>
  <c r="AE17" i="22"/>
  <c r="P37" i="22" s="1"/>
  <c r="AM17" i="22"/>
  <c r="X37" i="22" s="1"/>
  <c r="W18" i="22"/>
  <c r="H38" i="22" s="1"/>
  <c r="AE18" i="22"/>
  <c r="P38" i="22" s="1"/>
  <c r="AM18" i="22"/>
  <c r="X38" i="22" s="1"/>
  <c r="T20" i="22"/>
  <c r="E40" i="22" s="1"/>
  <c r="AB20" i="22"/>
  <c r="M40" i="22" s="1"/>
  <c r="AJ20" i="22"/>
  <c r="U40" i="22" s="1"/>
  <c r="AR20" i="22"/>
  <c r="AC40" i="22" s="1"/>
  <c r="R22" i="22"/>
  <c r="C42" i="22" s="1"/>
  <c r="Z22" i="22"/>
  <c r="K42" i="22" s="1"/>
  <c r="AH22" i="22"/>
  <c r="S42" i="22" s="1"/>
  <c r="R23" i="22"/>
  <c r="C43" i="22" s="1"/>
  <c r="Z23" i="22"/>
  <c r="K43" i="22" s="1"/>
  <c r="AH23" i="22"/>
  <c r="S43" i="22" s="1"/>
  <c r="R24" i="22"/>
  <c r="C44" i="22" s="1"/>
  <c r="Z24" i="22"/>
  <c r="K44" i="22" s="1"/>
  <c r="AH24" i="22"/>
  <c r="S44" i="22" s="1"/>
  <c r="AY24" i="22"/>
  <c r="R25" i="22"/>
  <c r="Z25" i="22"/>
  <c r="AH25" i="22"/>
  <c r="AY25" i="22"/>
  <c r="R26" i="22"/>
  <c r="Z26" i="22"/>
  <c r="AH26" i="22"/>
  <c r="AY26" i="22"/>
  <c r="R27" i="22"/>
  <c r="C47" i="22" s="1"/>
  <c r="Z27" i="22"/>
  <c r="K47" i="22" s="1"/>
  <c r="AH27" i="22"/>
  <c r="S47" i="22" s="1"/>
  <c r="AY27" i="22"/>
  <c r="S117" i="22"/>
  <c r="D137" i="22" s="1"/>
  <c r="AR117" i="22"/>
  <c r="AC137" i="22" s="1"/>
  <c r="Z118" i="22"/>
  <c r="K138" i="22" s="1"/>
  <c r="AJ119" i="22"/>
  <c r="U139" i="22" s="1"/>
  <c r="AG122" i="22"/>
  <c r="R142" i="22" s="1"/>
  <c r="W122" i="22"/>
  <c r="H142" i="22" s="1"/>
  <c r="AR122" i="22"/>
  <c r="AC142" i="22" s="1"/>
  <c r="AF122" i="22"/>
  <c r="Q142" i="22" s="1"/>
  <c r="V122" i="22"/>
  <c r="G142" i="22" s="1"/>
  <c r="AN122" i="22"/>
  <c r="Y142" i="22" s="1"/>
  <c r="AD122" i="22"/>
  <c r="O142" i="22" s="1"/>
  <c r="T122" i="22"/>
  <c r="E142" i="22" s="1"/>
  <c r="X15" i="22"/>
  <c r="I35" i="22" s="1"/>
  <c r="AF15" i="22"/>
  <c r="Q35" i="22" s="1"/>
  <c r="AN15" i="22"/>
  <c r="Y35" i="22" s="1"/>
  <c r="X16" i="22"/>
  <c r="I36" i="22" s="1"/>
  <c r="AF16" i="22"/>
  <c r="Q36" i="22" s="1"/>
  <c r="AN16" i="22"/>
  <c r="Y36" i="22" s="1"/>
  <c r="X17" i="22"/>
  <c r="I37" i="22" s="1"/>
  <c r="AF17" i="22"/>
  <c r="Q37" i="22" s="1"/>
  <c r="AN17" i="22"/>
  <c r="Y37" i="22" s="1"/>
  <c r="X18" i="22"/>
  <c r="I38" i="22" s="1"/>
  <c r="AF18" i="22"/>
  <c r="Q38" i="22" s="1"/>
  <c r="AN18" i="22"/>
  <c r="Y38" i="22" s="1"/>
  <c r="U20" i="22"/>
  <c r="F40" i="22" s="1"/>
  <c r="AC20" i="22"/>
  <c r="N40" i="22" s="1"/>
  <c r="AK20" i="22"/>
  <c r="V40" i="22" s="1"/>
  <c r="S22" i="22"/>
  <c r="D42" i="22" s="1"/>
  <c r="AA22" i="22"/>
  <c r="L42" i="22" s="1"/>
  <c r="AI22" i="22"/>
  <c r="T42" i="22" s="1"/>
  <c r="AQ22" i="22"/>
  <c r="AB42" i="22" s="1"/>
  <c r="S23" i="22"/>
  <c r="D43" i="22" s="1"/>
  <c r="AA23" i="22"/>
  <c r="L43" i="22" s="1"/>
  <c r="AI23" i="22"/>
  <c r="T43" i="22" s="1"/>
  <c r="AQ23" i="22"/>
  <c r="AB43" i="22" s="1"/>
  <c r="S24" i="22"/>
  <c r="D44" i="22" s="1"/>
  <c r="AA24" i="22"/>
  <c r="L44" i="22" s="1"/>
  <c r="AI24" i="22"/>
  <c r="T44" i="22" s="1"/>
  <c r="AQ24" i="22"/>
  <c r="AB44" i="22" s="1"/>
  <c r="S25" i="22"/>
  <c r="AA25" i="22"/>
  <c r="AI25" i="22"/>
  <c r="AQ25" i="22"/>
  <c r="S26" i="22"/>
  <c r="AA26" i="22"/>
  <c r="AI26" i="22"/>
  <c r="T46" i="22" s="1"/>
  <c r="AQ26" i="22"/>
  <c r="S27" i="22"/>
  <c r="D47" i="22" s="1"/>
  <c r="AA27" i="22"/>
  <c r="L47" i="22" s="1"/>
  <c r="AI27" i="22"/>
  <c r="T47" i="22" s="1"/>
  <c r="AQ27" i="22"/>
  <c r="AB47" i="22" s="1"/>
  <c r="U117" i="22"/>
  <c r="F137" i="22" s="1"/>
  <c r="AB118" i="22"/>
  <c r="M138" i="22" s="1"/>
  <c r="Y128" i="22"/>
  <c r="J148" i="22" s="1"/>
  <c r="AV33" i="22"/>
  <c r="AL119" i="22"/>
  <c r="W139" i="22" s="1"/>
  <c r="AD119" i="22"/>
  <c r="O139" i="22" s="1"/>
  <c r="V119" i="22"/>
  <c r="G139" i="22" s="1"/>
  <c r="AK119" i="22"/>
  <c r="V139" i="22" s="1"/>
  <c r="AC119" i="22"/>
  <c r="N139" i="22" s="1"/>
  <c r="U119" i="22"/>
  <c r="F139" i="22" s="1"/>
  <c r="AR119" i="22"/>
  <c r="AC139" i="22" s="1"/>
  <c r="AH119" i="22"/>
  <c r="S139" i="22" s="1"/>
  <c r="X119" i="22"/>
  <c r="I139" i="22" s="1"/>
  <c r="AP119" i="22"/>
  <c r="AA139" i="22" s="1"/>
  <c r="AF119" i="22"/>
  <c r="Q139" i="22" s="1"/>
  <c r="T119" i="22"/>
  <c r="E139" i="22" s="1"/>
  <c r="AO119" i="22"/>
  <c r="Z139" i="22" s="1"/>
  <c r="AE119" i="22"/>
  <c r="P139" i="22" s="1"/>
  <c r="S119" i="22"/>
  <c r="D139" i="22" s="1"/>
  <c r="AN119" i="22"/>
  <c r="Y139" i="22" s="1"/>
  <c r="AB119" i="22"/>
  <c r="M139" i="22" s="1"/>
  <c r="R119" i="22"/>
  <c r="C139" i="22" s="1"/>
  <c r="AM119" i="22"/>
  <c r="X139" i="22" s="1"/>
  <c r="AA119" i="22"/>
  <c r="L139" i="22" s="1"/>
  <c r="Q119" i="22"/>
  <c r="B139" i="22" s="1"/>
  <c r="A171" i="22"/>
  <c r="A183" i="22"/>
  <c r="W119" i="22"/>
  <c r="H139" i="22" s="1"/>
  <c r="AP123" i="22"/>
  <c r="AA143" i="22" s="1"/>
  <c r="AH123" i="22"/>
  <c r="S143" i="22" s="1"/>
  <c r="Z123" i="22"/>
  <c r="K143" i="22" s="1"/>
  <c r="R123" i="22"/>
  <c r="C143" i="22" s="1"/>
  <c r="AO123" i="22"/>
  <c r="Z143" i="22" s="1"/>
  <c r="AG123" i="22"/>
  <c r="R143" i="22" s="1"/>
  <c r="Y123" i="22"/>
  <c r="J143" i="22" s="1"/>
  <c r="Q123" i="22"/>
  <c r="B143" i="22" s="1"/>
  <c r="AK123" i="22"/>
  <c r="V143" i="22" s="1"/>
  <c r="AA123" i="22"/>
  <c r="L143" i="22" s="1"/>
  <c r="AI123" i="22"/>
  <c r="T143" i="22" s="1"/>
  <c r="W123" i="22"/>
  <c r="H143" i="22" s="1"/>
  <c r="AR123" i="22"/>
  <c r="AC143" i="22" s="1"/>
  <c r="AF123" i="22"/>
  <c r="Q143" i="22" s="1"/>
  <c r="V123" i="22"/>
  <c r="G143" i="22" s="1"/>
  <c r="AQ123" i="22"/>
  <c r="AB143" i="22" s="1"/>
  <c r="AE123" i="22"/>
  <c r="P143" i="22" s="1"/>
  <c r="U123" i="22"/>
  <c r="F143" i="22" s="1"/>
  <c r="AN123" i="22"/>
  <c r="Y143" i="22" s="1"/>
  <c r="AD123" i="22"/>
  <c r="O143" i="22" s="1"/>
  <c r="T123" i="22"/>
  <c r="E143" i="22" s="1"/>
  <c r="AM123" i="22"/>
  <c r="X143" i="22" s="1"/>
  <c r="AC123" i="22"/>
  <c r="N143" i="22" s="1"/>
  <c r="S123" i="22"/>
  <c r="D143" i="22" s="1"/>
  <c r="AR124" i="22"/>
  <c r="AC144" i="22" s="1"/>
  <c r="AP124" i="22"/>
  <c r="AA144" i="22" s="1"/>
  <c r="AD124" i="22"/>
  <c r="O144" i="22" s="1"/>
  <c r="T124" i="22"/>
  <c r="E144" i="22" s="1"/>
  <c r="AM124" i="22"/>
  <c r="X144" i="22" s="1"/>
  <c r="AC124" i="22"/>
  <c r="N144" i="22" s="1"/>
  <c r="S124" i="22"/>
  <c r="D144" i="22" s="1"/>
  <c r="AK124" i="22"/>
  <c r="V144" i="22" s="1"/>
  <c r="AA124" i="22"/>
  <c r="L144" i="22" s="1"/>
  <c r="AR133" i="22"/>
  <c r="AC153" i="22" s="1"/>
  <c r="AH133" i="22"/>
  <c r="S153" i="22" s="1"/>
  <c r="V133" i="22"/>
  <c r="G153" i="22" s="1"/>
  <c r="AP133" i="22"/>
  <c r="AA153" i="22" s="1"/>
  <c r="AD133" i="22"/>
  <c r="O153" i="22" s="1"/>
  <c r="T133" i="22"/>
  <c r="E153" i="22" s="1"/>
  <c r="AM133" i="22"/>
  <c r="X153" i="22" s="1"/>
  <c r="AC133" i="22"/>
  <c r="N153" i="22" s="1"/>
  <c r="S133" i="22"/>
  <c r="D153" i="22" s="1"/>
  <c r="AK133" i="22"/>
  <c r="V153" i="22" s="1"/>
  <c r="AA133" i="22"/>
  <c r="L153" i="22" s="1"/>
  <c r="A169" i="22"/>
  <c r="A181" i="22"/>
  <c r="S15" i="22"/>
  <c r="D35" i="22" s="1"/>
  <c r="AA15" i="22"/>
  <c r="L35" i="22" s="1"/>
  <c r="AI15" i="22"/>
  <c r="T35" i="22" s="1"/>
  <c r="S16" i="22"/>
  <c r="D36" i="22" s="1"/>
  <c r="AA16" i="22"/>
  <c r="L36" i="22" s="1"/>
  <c r="AI16" i="22"/>
  <c r="T36" i="22" s="1"/>
  <c r="S17" i="22"/>
  <c r="D37" i="22" s="1"/>
  <c r="AA17" i="22"/>
  <c r="L37" i="22" s="1"/>
  <c r="AI17" i="22"/>
  <c r="T37" i="22" s="1"/>
  <c r="S18" i="22"/>
  <c r="D38" i="22" s="1"/>
  <c r="AA18" i="22"/>
  <c r="L38" i="22" s="1"/>
  <c r="AI18" i="22"/>
  <c r="T38" i="22" s="1"/>
  <c r="X20" i="22"/>
  <c r="I40" i="22" s="1"/>
  <c r="AF20" i="22"/>
  <c r="Q40" i="22" s="1"/>
  <c r="V22" i="22"/>
  <c r="G42" i="22" s="1"/>
  <c r="AD22" i="22"/>
  <c r="O42" i="22" s="1"/>
  <c r="V23" i="22"/>
  <c r="G43" i="22" s="1"/>
  <c r="AD23" i="22"/>
  <c r="O43" i="22" s="1"/>
  <c r="V24" i="22"/>
  <c r="G44" i="22" s="1"/>
  <c r="AD24" i="22"/>
  <c r="O44" i="22" s="1"/>
  <c r="V25" i="22"/>
  <c r="AD25" i="22"/>
  <c r="V26" i="22"/>
  <c r="AD26" i="22"/>
  <c r="AU26" i="22"/>
  <c r="V27" i="22"/>
  <c r="G47" i="22" s="1"/>
  <c r="AD27" i="22"/>
  <c r="O47" i="22" s="1"/>
  <c r="AU27" i="22"/>
  <c r="A69" i="22"/>
  <c r="Y119" i="22"/>
  <c r="J139" i="22" s="1"/>
  <c r="AR121" i="22"/>
  <c r="AC141" i="22" s="1"/>
  <c r="AJ121" i="22"/>
  <c r="U141" i="22" s="1"/>
  <c r="AB121" i="22"/>
  <c r="M141" i="22" s="1"/>
  <c r="T121" i="22"/>
  <c r="E141" i="22" s="1"/>
  <c r="AQ121" i="22"/>
  <c r="AB141" i="22" s="1"/>
  <c r="AI121" i="22"/>
  <c r="T141" i="22" s="1"/>
  <c r="AA121" i="22"/>
  <c r="L141" i="22" s="1"/>
  <c r="S121" i="22"/>
  <c r="D141" i="22" s="1"/>
  <c r="AM121" i="22"/>
  <c r="X141" i="22" s="1"/>
  <c r="AC121" i="22"/>
  <c r="N141" i="22" s="1"/>
  <c r="Q121" i="22"/>
  <c r="B141" i="22" s="1"/>
  <c r="AK121" i="22"/>
  <c r="V141" i="22" s="1"/>
  <c r="Y121" i="22"/>
  <c r="J141" i="22" s="1"/>
  <c r="AH121" i="22"/>
  <c r="S141" i="22" s="1"/>
  <c r="X121" i="22"/>
  <c r="I141" i="22" s="1"/>
  <c r="AG121" i="22"/>
  <c r="R141" i="22" s="1"/>
  <c r="W121" i="22"/>
  <c r="H141" i="22" s="1"/>
  <c r="AP121" i="22"/>
  <c r="AA141" i="22" s="1"/>
  <c r="AF121" i="22"/>
  <c r="Q141" i="22" s="1"/>
  <c r="V121" i="22"/>
  <c r="G141" i="22" s="1"/>
  <c r="AO121" i="22"/>
  <c r="Z141" i="22" s="1"/>
  <c r="X123" i="22"/>
  <c r="I143" i="22" s="1"/>
  <c r="W22" i="22"/>
  <c r="H42" i="22" s="1"/>
  <c r="AE22" i="22"/>
  <c r="P42" i="22" s="1"/>
  <c r="W23" i="22"/>
  <c r="H43" i="22" s="1"/>
  <c r="AE23" i="22"/>
  <c r="P43" i="22" s="1"/>
  <c r="W24" i="22"/>
  <c r="H44" i="22" s="1"/>
  <c r="AE24" i="22"/>
  <c r="P44" i="22" s="1"/>
  <c r="W25" i="22"/>
  <c r="AE25" i="22"/>
  <c r="W26" i="22"/>
  <c r="AE26" i="22"/>
  <c r="W27" i="22"/>
  <c r="H47" i="22" s="1"/>
  <c r="AE27" i="22"/>
  <c r="P47" i="22" s="1"/>
  <c r="AP117" i="22"/>
  <c r="AA137" i="22" s="1"/>
  <c r="AD117" i="22"/>
  <c r="O137" i="22" s="1"/>
  <c r="T117" i="22"/>
  <c r="E137" i="22" s="1"/>
  <c r="AL117" i="22"/>
  <c r="W137" i="22" s="1"/>
  <c r="AB117" i="22"/>
  <c r="M137" i="22" s="1"/>
  <c r="R117" i="22"/>
  <c r="C137" i="22" s="1"/>
  <c r="AK117" i="22"/>
  <c r="V137" i="22" s="1"/>
  <c r="AA117" i="22"/>
  <c r="L137" i="22" s="1"/>
  <c r="Q117" i="22"/>
  <c r="B137" i="22" s="1"/>
  <c r="AJ117" i="22"/>
  <c r="U137" i="22" s="1"/>
  <c r="Z117" i="22"/>
  <c r="K137" i="22" s="1"/>
  <c r="AI117" i="22"/>
  <c r="T137" i="22" s="1"/>
  <c r="Y117" i="22"/>
  <c r="J137" i="22" s="1"/>
  <c r="AH117" i="22"/>
  <c r="S137" i="22" s="1"/>
  <c r="AM118" i="22"/>
  <c r="X138" i="22" s="1"/>
  <c r="AE118" i="22"/>
  <c r="P138" i="22" s="1"/>
  <c r="W118" i="22"/>
  <c r="H138" i="22" s="1"/>
  <c r="AL118" i="22"/>
  <c r="W138" i="22" s="1"/>
  <c r="AD118" i="22"/>
  <c r="O138" i="22" s="1"/>
  <c r="V118" i="22"/>
  <c r="G138" i="22" s="1"/>
  <c r="AK118" i="22"/>
  <c r="V138" i="22" s="1"/>
  <c r="AA118" i="22"/>
  <c r="L138" i="22" s="1"/>
  <c r="Q118" i="22"/>
  <c r="B138" i="22" s="1"/>
  <c r="AI118" i="22"/>
  <c r="T138" i="22" s="1"/>
  <c r="Y118" i="22"/>
  <c r="J138" i="22" s="1"/>
  <c r="AR118" i="22"/>
  <c r="AC138" i="22" s="1"/>
  <c r="AH118" i="22"/>
  <c r="S138" i="22" s="1"/>
  <c r="X118" i="22"/>
  <c r="I138" i="22" s="1"/>
  <c r="AQ118" i="22"/>
  <c r="AB138" i="22" s="1"/>
  <c r="AG118" i="22"/>
  <c r="R138" i="22" s="1"/>
  <c r="U118" i="22"/>
  <c r="F138" i="22" s="1"/>
  <c r="AP118" i="22"/>
  <c r="AA138" i="22" s="1"/>
  <c r="AF118" i="22"/>
  <c r="Q138" i="22" s="1"/>
  <c r="T118" i="22"/>
  <c r="E138" i="22" s="1"/>
  <c r="AO118" i="22"/>
  <c r="Z138" i="22" s="1"/>
  <c r="Z119" i="22"/>
  <c r="K139" i="22" s="1"/>
  <c r="AB123" i="22"/>
  <c r="M143" i="22" s="1"/>
  <c r="V124" i="22"/>
  <c r="G144" i="22" s="1"/>
  <c r="AP132" i="22"/>
  <c r="AH132" i="22"/>
  <c r="Z132" i="22"/>
  <c r="R132" i="22"/>
  <c r="AO132" i="22"/>
  <c r="AG132" i="22"/>
  <c r="Y132" i="22"/>
  <c r="Q132" i="22"/>
  <c r="AK132" i="22"/>
  <c r="AA132" i="22"/>
  <c r="AJ132" i="22"/>
  <c r="X132" i="22"/>
  <c r="AI132" i="22"/>
  <c r="W132" i="22"/>
  <c r="AR132" i="22"/>
  <c r="AF132" i="22"/>
  <c r="V132" i="22"/>
  <c r="AQ132" i="22"/>
  <c r="AE132" i="22"/>
  <c r="U132" i="22"/>
  <c r="AN132" i="22"/>
  <c r="AD132" i="22"/>
  <c r="T132" i="22"/>
  <c r="AM132" i="22"/>
  <c r="AC132" i="22"/>
  <c r="S132" i="22"/>
  <c r="Z133" i="22"/>
  <c r="K153" i="22" s="1"/>
  <c r="AO124" i="22"/>
  <c r="Z144" i="22" s="1"/>
  <c r="V125" i="22"/>
  <c r="G145" i="22" s="1"/>
  <c r="AH125" i="22"/>
  <c r="S145" i="22" s="1"/>
  <c r="AR125" i="22"/>
  <c r="AC145" i="22" s="1"/>
  <c r="S126" i="22"/>
  <c r="D146" i="22" s="1"/>
  <c r="AC126" i="22"/>
  <c r="N146" i="22" s="1"/>
  <c r="AO126" i="22"/>
  <c r="Z146" i="22" s="1"/>
  <c r="AL128" i="22"/>
  <c r="W148" i="22" s="1"/>
  <c r="AD128" i="22"/>
  <c r="O148" i="22" s="1"/>
  <c r="V128" i="22"/>
  <c r="G148" i="22" s="1"/>
  <c r="AK128" i="22"/>
  <c r="V148" i="22" s="1"/>
  <c r="AC128" i="22"/>
  <c r="N148" i="22" s="1"/>
  <c r="U128" i="22"/>
  <c r="F148" i="22" s="1"/>
  <c r="Z128" i="22"/>
  <c r="K148" i="22" s="1"/>
  <c r="AJ128" i="22"/>
  <c r="U148" i="22" s="1"/>
  <c r="U130" i="22"/>
  <c r="F150" i="22" s="1"/>
  <c r="AE130" i="22"/>
  <c r="P150" i="22" s="1"/>
  <c r="AO130" i="22"/>
  <c r="Z150" i="22" s="1"/>
  <c r="T131" i="22"/>
  <c r="AD131" i="22"/>
  <c r="AN131" i="22"/>
  <c r="AO133" i="22"/>
  <c r="Z153" i="22" s="1"/>
  <c r="AK229" i="22"/>
  <c r="V249" i="22" s="1"/>
  <c r="AC229" i="22"/>
  <c r="N249" i="22" s="1"/>
  <c r="U229" i="22"/>
  <c r="F249" i="22" s="1"/>
  <c r="AR229" i="22"/>
  <c r="AC249" i="22" s="1"/>
  <c r="AJ229" i="22"/>
  <c r="U249" i="22" s="1"/>
  <c r="AB229" i="22"/>
  <c r="M249" i="22" s="1"/>
  <c r="T229" i="22"/>
  <c r="E249" i="22" s="1"/>
  <c r="AP229" i="22"/>
  <c r="AA249" i="22" s="1"/>
  <c r="AF229" i="22"/>
  <c r="Q249" i="22" s="1"/>
  <c r="V229" i="22"/>
  <c r="G249" i="22" s="1"/>
  <c r="AN229" i="22"/>
  <c r="Y249" i="22" s="1"/>
  <c r="AD229" i="22"/>
  <c r="O249" i="22" s="1"/>
  <c r="R229" i="22"/>
  <c r="C249" i="22" s="1"/>
  <c r="AM229" i="22"/>
  <c r="X249" i="22" s="1"/>
  <c r="Y229" i="22"/>
  <c r="J249" i="22" s="1"/>
  <c r="AL229" i="22"/>
  <c r="W249" i="22" s="1"/>
  <c r="X229" i="22"/>
  <c r="I249" i="22" s="1"/>
  <c r="AI229" i="22"/>
  <c r="T249" i="22" s="1"/>
  <c r="W229" i="22"/>
  <c r="H249" i="22" s="1"/>
  <c r="AH229" i="22"/>
  <c r="S249" i="22" s="1"/>
  <c r="S229" i="22"/>
  <c r="D249" i="22" s="1"/>
  <c r="AG229" i="22"/>
  <c r="R249" i="22" s="1"/>
  <c r="Q229" i="22"/>
  <c r="B249" i="22" s="1"/>
  <c r="AQ229" i="22"/>
  <c r="AB249" i="22" s="1"/>
  <c r="AA229" i="22"/>
  <c r="L249" i="22" s="1"/>
  <c r="AO229" i="22"/>
  <c r="Z249" i="22" s="1"/>
  <c r="Z229" i="22"/>
  <c r="K249" i="22" s="1"/>
  <c r="AQ231" i="22"/>
  <c r="AB251" i="22" s="1"/>
  <c r="AI231" i="22"/>
  <c r="T251" i="22" s="1"/>
  <c r="AA231" i="22"/>
  <c r="L251" i="22" s="1"/>
  <c r="S231" i="22"/>
  <c r="D251" i="22" s="1"/>
  <c r="AP231" i="22"/>
  <c r="AA251" i="22" s="1"/>
  <c r="AH231" i="22"/>
  <c r="S251" i="22" s="1"/>
  <c r="Z231" i="22"/>
  <c r="K251" i="22" s="1"/>
  <c r="R231" i="22"/>
  <c r="C251" i="22" s="1"/>
  <c r="AM231" i="22"/>
  <c r="X251" i="22" s="1"/>
  <c r="AC231" i="22"/>
  <c r="N251" i="22" s="1"/>
  <c r="Q231" i="22"/>
  <c r="B251" i="22" s="1"/>
  <c r="AK231" i="22"/>
  <c r="V251" i="22" s="1"/>
  <c r="Y231" i="22"/>
  <c r="J251" i="22" s="1"/>
  <c r="AN231" i="22"/>
  <c r="Y251" i="22" s="1"/>
  <c r="X231" i="22"/>
  <c r="I251" i="22" s="1"/>
  <c r="AL231" i="22"/>
  <c r="W251" i="22" s="1"/>
  <c r="W231" i="22"/>
  <c r="H251" i="22" s="1"/>
  <c r="AJ231" i="22"/>
  <c r="U251" i="22" s="1"/>
  <c r="V231" i="22"/>
  <c r="G251" i="22" s="1"/>
  <c r="AG231" i="22"/>
  <c r="R251" i="22" s="1"/>
  <c r="U231" i="22"/>
  <c r="F251" i="22" s="1"/>
  <c r="AF231" i="22"/>
  <c r="Q251" i="22" s="1"/>
  <c r="T231" i="22"/>
  <c r="E251" i="22" s="1"/>
  <c r="AR231" i="22"/>
  <c r="AC251" i="22" s="1"/>
  <c r="AD231" i="22"/>
  <c r="O251" i="22" s="1"/>
  <c r="AO231" i="22"/>
  <c r="Z251" i="22" s="1"/>
  <c r="AB231" i="22"/>
  <c r="M251" i="22" s="1"/>
  <c r="AH238" i="22"/>
  <c r="S258" i="22" s="1"/>
  <c r="S238" i="22"/>
  <c r="D258" i="22" s="1"/>
  <c r="AG238" i="22"/>
  <c r="R258" i="22" s="1"/>
  <c r="Q238" i="22"/>
  <c r="B258" i="22" s="1"/>
  <c r="A290" i="22"/>
  <c r="A278" i="22"/>
  <c r="A280" i="22"/>
  <c r="A292" i="22"/>
  <c r="X120" i="22"/>
  <c r="I140" i="22" s="1"/>
  <c r="AH120" i="22"/>
  <c r="S140" i="22" s="1"/>
  <c r="U122" i="22"/>
  <c r="F142" i="22" s="1"/>
  <c r="AE122" i="22"/>
  <c r="P142" i="22" s="1"/>
  <c r="AO122" i="22"/>
  <c r="Z142" i="22" s="1"/>
  <c r="R124" i="22"/>
  <c r="C144" i="22" s="1"/>
  <c r="AB124" i="22"/>
  <c r="M144" i="22" s="1"/>
  <c r="AL124" i="22"/>
  <c r="W144" i="22" s="1"/>
  <c r="Y125" i="22"/>
  <c r="J145" i="22" s="1"/>
  <c r="AI125" i="22"/>
  <c r="T145" i="22" s="1"/>
  <c r="T126" i="22"/>
  <c r="E146" i="22" s="1"/>
  <c r="AF126" i="22"/>
  <c r="Q146" i="22" s="1"/>
  <c r="AP126" i="22"/>
  <c r="AA146" i="22" s="1"/>
  <c r="Q128" i="22"/>
  <c r="B148" i="22" s="1"/>
  <c r="AA128" i="22"/>
  <c r="L148" i="22" s="1"/>
  <c r="AM128" i="22"/>
  <c r="X148" i="22" s="1"/>
  <c r="X129" i="22"/>
  <c r="I149" i="22" s="1"/>
  <c r="AH129" i="22"/>
  <c r="S149" i="22" s="1"/>
  <c r="V130" i="22"/>
  <c r="G150" i="22" s="1"/>
  <c r="AF130" i="22"/>
  <c r="Q150" i="22" s="1"/>
  <c r="AP130" i="22"/>
  <c r="AA150" i="22" s="1"/>
  <c r="U131" i="22"/>
  <c r="AE131" i="22"/>
  <c r="AO131" i="22"/>
  <c r="R133" i="22"/>
  <c r="C153" i="22" s="1"/>
  <c r="AB133" i="22"/>
  <c r="M153" i="22" s="1"/>
  <c r="AL133" i="22"/>
  <c r="W153" i="22" s="1"/>
  <c r="AE229" i="22"/>
  <c r="P249" i="22" s="1"/>
  <c r="AE231" i="22"/>
  <c r="P251" i="22" s="1"/>
  <c r="AB240" i="22"/>
  <c r="AN117" i="22"/>
  <c r="Y137" i="22" s="1"/>
  <c r="Y120" i="22"/>
  <c r="J140" i="22" s="1"/>
  <c r="AN125" i="22"/>
  <c r="Y145" i="22" s="1"/>
  <c r="Z125" i="22"/>
  <c r="K145" i="22" s="1"/>
  <c r="AJ125" i="22"/>
  <c r="U145" i="22" s="1"/>
  <c r="U126" i="22"/>
  <c r="F146" i="22" s="1"/>
  <c r="AG126" i="22"/>
  <c r="R146" i="22" s="1"/>
  <c r="AQ126" i="22"/>
  <c r="AB146" i="22" s="1"/>
  <c r="R128" i="22"/>
  <c r="C148" i="22" s="1"/>
  <c r="AB128" i="22"/>
  <c r="M148" i="22" s="1"/>
  <c r="AN128" i="22"/>
  <c r="Y148" i="22" s="1"/>
  <c r="Y129" i="22"/>
  <c r="J149" i="22" s="1"/>
  <c r="W130" i="22"/>
  <c r="H150" i="22" s="1"/>
  <c r="AG130" i="22"/>
  <c r="R150" i="22" s="1"/>
  <c r="V131" i="22"/>
  <c r="AF131" i="22"/>
  <c r="AR131" i="22"/>
  <c r="AQ238" i="22"/>
  <c r="AB258" i="22" s="1"/>
  <c r="A279" i="22"/>
  <c r="A291" i="22"/>
  <c r="AK120" i="22"/>
  <c r="V140" i="22" s="1"/>
  <c r="AC120" i="22"/>
  <c r="N140" i="22" s="1"/>
  <c r="U120" i="22"/>
  <c r="F140" i="22" s="1"/>
  <c r="AR120" i="22"/>
  <c r="AC140" i="22" s="1"/>
  <c r="AJ120" i="22"/>
  <c r="U140" i="22" s="1"/>
  <c r="AB120" i="22"/>
  <c r="M140" i="22" s="1"/>
  <c r="T120" i="22"/>
  <c r="E140" i="22" s="1"/>
  <c r="Z120" i="22"/>
  <c r="K140" i="22" s="1"/>
  <c r="AL120" i="22"/>
  <c r="W140" i="22" s="1"/>
  <c r="Q125" i="22"/>
  <c r="B145" i="22" s="1"/>
  <c r="AA125" i="22"/>
  <c r="L145" i="22" s="1"/>
  <c r="AK125" i="22"/>
  <c r="V145" i="22" s="1"/>
  <c r="X126" i="22"/>
  <c r="I146" i="22" s="1"/>
  <c r="AH126" i="22"/>
  <c r="S146" i="22" s="1"/>
  <c r="AR126" i="22"/>
  <c r="AC146" i="22" s="1"/>
  <c r="S128" i="22"/>
  <c r="D148" i="22" s="1"/>
  <c r="AE128" i="22"/>
  <c r="P148" i="22" s="1"/>
  <c r="AO128" i="22"/>
  <c r="Z148" i="22" s="1"/>
  <c r="AK129" i="22"/>
  <c r="V149" i="22" s="1"/>
  <c r="AC129" i="22"/>
  <c r="N149" i="22" s="1"/>
  <c r="U129" i="22"/>
  <c r="F149" i="22" s="1"/>
  <c r="AR129" i="22"/>
  <c r="AC149" i="22" s="1"/>
  <c r="AJ129" i="22"/>
  <c r="U149" i="22" s="1"/>
  <c r="AB129" i="22"/>
  <c r="M149" i="22" s="1"/>
  <c r="T129" i="22"/>
  <c r="E149" i="22" s="1"/>
  <c r="Z129" i="22"/>
  <c r="K149" i="22" s="1"/>
  <c r="AL129" i="22"/>
  <c r="W149" i="22" s="1"/>
  <c r="X130" i="22"/>
  <c r="I150" i="22" s="1"/>
  <c r="AH130" i="22"/>
  <c r="S150" i="22" s="1"/>
  <c r="W131" i="22"/>
  <c r="AG131" i="22"/>
  <c r="A187" i="22"/>
  <c r="A175" i="22"/>
  <c r="A182" i="22"/>
  <c r="Z238" i="22"/>
  <c r="K258" i="22" s="1"/>
  <c r="A281" i="22"/>
  <c r="A293" i="22"/>
  <c r="Q120" i="22"/>
  <c r="B140" i="22" s="1"/>
  <c r="AA120" i="22"/>
  <c r="L140" i="22" s="1"/>
  <c r="AM120" i="22"/>
  <c r="X140" i="22" s="1"/>
  <c r="X122" i="22"/>
  <c r="I142" i="22" s="1"/>
  <c r="U124" i="22"/>
  <c r="F144" i="22" s="1"/>
  <c r="AE124" i="22"/>
  <c r="P144" i="22" s="1"/>
  <c r="AQ124" i="22"/>
  <c r="AB144" i="22" s="1"/>
  <c r="R125" i="22"/>
  <c r="C145" i="22" s="1"/>
  <c r="AB125" i="22"/>
  <c r="M145" i="22" s="1"/>
  <c r="AL125" i="22"/>
  <c r="W145" i="22" s="1"/>
  <c r="Y126" i="22"/>
  <c r="J146" i="22" s="1"/>
  <c r="T128" i="22"/>
  <c r="E148" i="22" s="1"/>
  <c r="AF128" i="22"/>
  <c r="Q148" i="22" s="1"/>
  <c r="AP128" i="22"/>
  <c r="AA148" i="22" s="1"/>
  <c r="Q129" i="22"/>
  <c r="B149" i="22" s="1"/>
  <c r="AA129" i="22"/>
  <c r="L149" i="22" s="1"/>
  <c r="AM129" i="22"/>
  <c r="X149" i="22" s="1"/>
  <c r="Y130" i="22"/>
  <c r="J150" i="22" s="1"/>
  <c r="X131" i="22"/>
  <c r="U133" i="22"/>
  <c r="F153" i="22" s="1"/>
  <c r="AE133" i="22"/>
  <c r="P153" i="22" s="1"/>
  <c r="AQ133" i="22"/>
  <c r="AB153" i="22" s="1"/>
  <c r="A184" i="22"/>
  <c r="A172" i="22"/>
  <c r="A186" i="22"/>
  <c r="A174" i="22"/>
  <c r="A173" i="22"/>
  <c r="AO238" i="22"/>
  <c r="Z258" i="22" s="1"/>
  <c r="AM126" i="22"/>
  <c r="X146" i="22" s="1"/>
  <c r="AE126" i="22"/>
  <c r="P146" i="22" s="1"/>
  <c r="W126" i="22"/>
  <c r="H146" i="22" s="1"/>
  <c r="AL126" i="22"/>
  <c r="W146" i="22" s="1"/>
  <c r="AD126" i="22"/>
  <c r="O146" i="22" s="1"/>
  <c r="V126" i="22"/>
  <c r="G146" i="22" s="1"/>
  <c r="Z126" i="22"/>
  <c r="K146" i="22" s="1"/>
  <c r="AJ126" i="22"/>
  <c r="U146" i="22" s="1"/>
  <c r="AR130" i="22"/>
  <c r="AC150" i="22" s="1"/>
  <c r="AJ130" i="22"/>
  <c r="U150" i="22" s="1"/>
  <c r="AB130" i="22"/>
  <c r="M150" i="22" s="1"/>
  <c r="T130" i="22"/>
  <c r="E150" i="22" s="1"/>
  <c r="AQ130" i="22"/>
  <c r="AB150" i="22" s="1"/>
  <c r="AI130" i="22"/>
  <c r="T150" i="22" s="1"/>
  <c r="AA130" i="22"/>
  <c r="L150" i="22" s="1"/>
  <c r="S130" i="22"/>
  <c r="D150" i="22" s="1"/>
  <c r="Z130" i="22"/>
  <c r="K150" i="22" s="1"/>
  <c r="AL130" i="22"/>
  <c r="W150" i="22" s="1"/>
  <c r="Y131" i="22"/>
  <c r="S120" i="22"/>
  <c r="D140" i="22" s="1"/>
  <c r="AE120" i="22"/>
  <c r="P140" i="22" s="1"/>
  <c r="AO120" i="22"/>
  <c r="Z140" i="22" s="1"/>
  <c r="AQ122" i="22"/>
  <c r="AB142" i="22" s="1"/>
  <c r="AI122" i="22"/>
  <c r="T142" i="22" s="1"/>
  <c r="AA122" i="22"/>
  <c r="L142" i="22" s="1"/>
  <c r="S122" i="22"/>
  <c r="D142" i="22" s="1"/>
  <c r="AP122" i="22"/>
  <c r="AA142" i="22" s="1"/>
  <c r="AH122" i="22"/>
  <c r="S142" i="22" s="1"/>
  <c r="Z122" i="22"/>
  <c r="K142" i="22" s="1"/>
  <c r="R122" i="22"/>
  <c r="C142" i="22" s="1"/>
  <c r="AB122" i="22"/>
  <c r="M142" i="22" s="1"/>
  <c r="AL122" i="22"/>
  <c r="W142" i="22" s="1"/>
  <c r="W124" i="22"/>
  <c r="H144" i="22" s="1"/>
  <c r="T125" i="22"/>
  <c r="E145" i="22" s="1"/>
  <c r="AD125" i="22"/>
  <c r="O145" i="22" s="1"/>
  <c r="Q126" i="22"/>
  <c r="B146" i="22" s="1"/>
  <c r="AA126" i="22"/>
  <c r="L146" i="22" s="1"/>
  <c r="AK126" i="22"/>
  <c r="V146" i="22" s="1"/>
  <c r="X128" i="22"/>
  <c r="I148" i="22" s="1"/>
  <c r="AH128" i="22"/>
  <c r="S148" i="22" s="1"/>
  <c r="AR128" i="22"/>
  <c r="AC148" i="22" s="1"/>
  <c r="S129" i="22"/>
  <c r="D149" i="22" s="1"/>
  <c r="AE129" i="22"/>
  <c r="P149" i="22" s="1"/>
  <c r="AO129" i="22"/>
  <c r="Z149" i="22" s="1"/>
  <c r="Q130" i="22"/>
  <c r="B150" i="22" s="1"/>
  <c r="AC130" i="22"/>
  <c r="N150" i="22" s="1"/>
  <c r="AM130" i="22"/>
  <c r="X150" i="22" s="1"/>
  <c r="AQ131" i="22"/>
  <c r="AI131" i="22"/>
  <c r="AA131" i="22"/>
  <c r="S131" i="22"/>
  <c r="AP131" i="22"/>
  <c r="AH131" i="22"/>
  <c r="Z131" i="22"/>
  <c r="R131" i="22"/>
  <c r="AB131" i="22"/>
  <c r="AL131" i="22"/>
  <c r="W133" i="22"/>
  <c r="H153" i="22" s="1"/>
  <c r="A168" i="22"/>
  <c r="A180" i="22"/>
  <c r="AG240" i="22"/>
  <c r="U240" i="22"/>
  <c r="AF240" i="22"/>
  <c r="T240" i="22"/>
  <c r="W117" i="22"/>
  <c r="H137" i="22" s="1"/>
  <c r="AE117" i="22"/>
  <c r="P137" i="22" s="1"/>
  <c r="AM117" i="22"/>
  <c r="X137" i="22" s="1"/>
  <c r="X124" i="22"/>
  <c r="I144" i="22" s="1"/>
  <c r="AF124" i="22"/>
  <c r="Q144" i="22" s="1"/>
  <c r="AN124" i="22"/>
  <c r="Y144" i="22" s="1"/>
  <c r="W125" i="22"/>
  <c r="H145" i="22" s="1"/>
  <c r="AE125" i="22"/>
  <c r="P145" i="22" s="1"/>
  <c r="AM125" i="22"/>
  <c r="X145" i="22" s="1"/>
  <c r="X133" i="22"/>
  <c r="I153" i="22" s="1"/>
  <c r="AF133" i="22"/>
  <c r="Q153" i="22" s="1"/>
  <c r="AN133" i="22"/>
  <c r="Y153" i="22" s="1"/>
  <c r="AB225" i="22"/>
  <c r="M245" i="22" s="1"/>
  <c r="AP225" i="22"/>
  <c r="AA245" i="22" s="1"/>
  <c r="R226" i="22"/>
  <c r="C246" i="22" s="1"/>
  <c r="AH226" i="22"/>
  <c r="S246" i="22" s="1"/>
  <c r="T228" i="22"/>
  <c r="E248" i="22" s="1"/>
  <c r="AJ228" i="22"/>
  <c r="U248" i="22" s="1"/>
  <c r="U230" i="22"/>
  <c r="F250" i="22" s="1"/>
  <c r="AG230" i="22"/>
  <c r="R250" i="22" s="1"/>
  <c r="T232" i="22"/>
  <c r="E252" i="22" s="1"/>
  <c r="AF232" i="22"/>
  <c r="Q252" i="22" s="1"/>
  <c r="W233" i="22"/>
  <c r="H253" i="22" s="1"/>
  <c r="AN234" i="22"/>
  <c r="Y254" i="22" s="1"/>
  <c r="AB234" i="22"/>
  <c r="M254" i="22" s="1"/>
  <c r="AR234" i="22"/>
  <c r="AC254" i="22" s="1"/>
  <c r="R237" i="22"/>
  <c r="C257" i="22" s="1"/>
  <c r="AF237" i="22"/>
  <c r="Q257" i="22" s="1"/>
  <c r="X238" i="22"/>
  <c r="I258" i="22" s="1"/>
  <c r="AL238" i="22"/>
  <c r="W258" i="22" s="1"/>
  <c r="AE239" i="22"/>
  <c r="W240" i="22"/>
  <c r="AL240" i="22"/>
  <c r="AJ241" i="22"/>
  <c r="U261" i="22" s="1"/>
  <c r="AD241" i="22"/>
  <c r="O261" i="22" s="1"/>
  <c r="AR241" i="22"/>
  <c r="AC261" i="22" s="1"/>
  <c r="X117" i="22"/>
  <c r="I137" i="22" s="1"/>
  <c r="AF117" i="22"/>
  <c r="Q137" i="22" s="1"/>
  <c r="Q124" i="22"/>
  <c r="B144" i="22" s="1"/>
  <c r="Y124" i="22"/>
  <c r="J144" i="22" s="1"/>
  <c r="AG124" i="22"/>
  <c r="R144" i="22" s="1"/>
  <c r="X125" i="22"/>
  <c r="I145" i="22" s="1"/>
  <c r="AF125" i="22"/>
  <c r="Q145" i="22" s="1"/>
  <c r="Q133" i="22"/>
  <c r="B153" i="22" s="1"/>
  <c r="Y133" i="22"/>
  <c r="J153" i="22" s="1"/>
  <c r="AG133" i="22"/>
  <c r="R153" i="22" s="1"/>
  <c r="AO225" i="22"/>
  <c r="Z245" i="22" s="1"/>
  <c r="AC225" i="22"/>
  <c r="N245" i="22" s="1"/>
  <c r="T226" i="22"/>
  <c r="E246" i="22" s="1"/>
  <c r="X228" i="22"/>
  <c r="I248" i="22" s="1"/>
  <c r="V230" i="22"/>
  <c r="G250" i="22" s="1"/>
  <c r="U232" i="22"/>
  <c r="F252" i="22" s="1"/>
  <c r="AI232" i="22"/>
  <c r="T252" i="22" s="1"/>
  <c r="AJ233" i="22"/>
  <c r="U253" i="22" s="1"/>
  <c r="Z233" i="22"/>
  <c r="K253" i="22" s="1"/>
  <c r="AR233" i="22"/>
  <c r="AC253" i="22" s="1"/>
  <c r="AH233" i="22"/>
  <c r="S253" i="22" s="1"/>
  <c r="V233" i="22"/>
  <c r="G253" i="22" s="1"/>
  <c r="AA233" i="22"/>
  <c r="L253" i="22" s="1"/>
  <c r="AM233" i="22"/>
  <c r="X253" i="22" s="1"/>
  <c r="Q234" i="22"/>
  <c r="B254" i="22" s="1"/>
  <c r="AD234" i="22"/>
  <c r="O254" i="22" s="1"/>
  <c r="S237" i="22"/>
  <c r="D257" i="22" s="1"/>
  <c r="AH237" i="22"/>
  <c r="S257" i="22" s="1"/>
  <c r="Y238" i="22"/>
  <c r="J258" i="22" s="1"/>
  <c r="AM238" i="22"/>
  <c r="X258" i="22" s="1"/>
  <c r="Q239" i="22"/>
  <c r="AF239" i="22"/>
  <c r="X240" i="22"/>
  <c r="AN240" i="22"/>
  <c r="S241" i="22"/>
  <c r="D261" i="22" s="1"/>
  <c r="AE241" i="22"/>
  <c r="P261" i="22" s="1"/>
  <c r="A289" i="22"/>
  <c r="A277" i="22"/>
  <c r="A283" i="22"/>
  <c r="T234" i="22"/>
  <c r="E254" i="22" s="1"/>
  <c r="AI234" i="22"/>
  <c r="T254" i="22" s="1"/>
  <c r="X237" i="22"/>
  <c r="I257" i="22" s="1"/>
  <c r="AM237" i="22"/>
  <c r="X257" i="22" s="1"/>
  <c r="AA238" i="22"/>
  <c r="L258" i="22" s="1"/>
  <c r="V239" i="22"/>
  <c r="AH239" i="22"/>
  <c r="AD240" i="22"/>
  <c r="B247" i="22"/>
  <c r="A288" i="22"/>
  <c r="AQ226" i="22"/>
  <c r="AB246" i="22" s="1"/>
  <c r="AG226" i="22"/>
  <c r="R246" i="22" s="1"/>
  <c r="U226" i="22"/>
  <c r="F246" i="22" s="1"/>
  <c r="AO226" i="22"/>
  <c r="Z246" i="22" s="1"/>
  <c r="AC226" i="22"/>
  <c r="N246" i="22" s="1"/>
  <c r="S226" i="22"/>
  <c r="D246" i="22" s="1"/>
  <c r="Z226" i="22"/>
  <c r="K246" i="22" s="1"/>
  <c r="AL226" i="22"/>
  <c r="W246" i="22" s="1"/>
  <c r="AL228" i="22"/>
  <c r="W248" i="22" s="1"/>
  <c r="AD228" i="22"/>
  <c r="O248" i="22" s="1"/>
  <c r="V228" i="22"/>
  <c r="G248" i="22" s="1"/>
  <c r="AK228" i="22"/>
  <c r="V248" i="22" s="1"/>
  <c r="AC228" i="22"/>
  <c r="N248" i="22" s="1"/>
  <c r="U228" i="22"/>
  <c r="F248" i="22" s="1"/>
  <c r="AI228" i="22"/>
  <c r="T248" i="22" s="1"/>
  <c r="Y228" i="22"/>
  <c r="J248" i="22" s="1"/>
  <c r="AQ228" i="22"/>
  <c r="AB248" i="22" s="1"/>
  <c r="AG228" i="22"/>
  <c r="R248" i="22" s="1"/>
  <c r="W228" i="22"/>
  <c r="H248" i="22" s="1"/>
  <c r="AB228" i="22"/>
  <c r="M248" i="22" s="1"/>
  <c r="AP228" i="22"/>
  <c r="AA248" i="22" s="1"/>
  <c r="AN230" i="22"/>
  <c r="Y250" i="22" s="1"/>
  <c r="AD230" i="22"/>
  <c r="O250" i="22" s="1"/>
  <c r="R230" i="22"/>
  <c r="C250" i="22" s="1"/>
  <c r="Y230" i="22"/>
  <c r="J250" i="22" s="1"/>
  <c r="AO230" i="22"/>
  <c r="Z250" i="22" s="1"/>
  <c r="AN232" i="22"/>
  <c r="Y252" i="22" s="1"/>
  <c r="V234" i="22"/>
  <c r="G254" i="22" s="1"/>
  <c r="AJ234" i="22"/>
  <c r="U254" i="22" s="1"/>
  <c r="Z237" i="22"/>
  <c r="K257" i="22" s="1"/>
  <c r="AN237" i="22"/>
  <c r="Y257" i="22" s="1"/>
  <c r="AK238" i="22"/>
  <c r="V258" i="22" s="1"/>
  <c r="AC238" i="22"/>
  <c r="N258" i="22" s="1"/>
  <c r="U238" i="22"/>
  <c r="F258" i="22" s="1"/>
  <c r="AR238" i="22"/>
  <c r="AC258" i="22" s="1"/>
  <c r="AJ238" i="22"/>
  <c r="U258" i="22" s="1"/>
  <c r="AB238" i="22"/>
  <c r="M258" i="22" s="1"/>
  <c r="T238" i="22"/>
  <c r="E258" i="22" s="1"/>
  <c r="AP238" i="22"/>
  <c r="AA258" i="22" s="1"/>
  <c r="AF238" i="22"/>
  <c r="Q258" i="22" s="1"/>
  <c r="V238" i="22"/>
  <c r="G258" i="22" s="1"/>
  <c r="AN238" i="22"/>
  <c r="Y258" i="22" s="1"/>
  <c r="AD238" i="22"/>
  <c r="O258" i="22" s="1"/>
  <c r="R238" i="22"/>
  <c r="C258" i="22" s="1"/>
  <c r="AE238" i="22"/>
  <c r="P258" i="22" s="1"/>
  <c r="W239" i="22"/>
  <c r="AK239" i="22"/>
  <c r="AQ240" i="22"/>
  <c r="AI240" i="22"/>
  <c r="AA240" i="22"/>
  <c r="S240" i="22"/>
  <c r="AP240" i="22"/>
  <c r="AH240" i="22"/>
  <c r="Z240" i="22"/>
  <c r="R240" i="22"/>
  <c r="AM240" i="22"/>
  <c r="AC240" i="22"/>
  <c r="Q240" i="22"/>
  <c r="AK240" i="22"/>
  <c r="Y240" i="22"/>
  <c r="AE240" i="22"/>
  <c r="AA226" i="22"/>
  <c r="L246" i="22" s="1"/>
  <c r="AP226" i="22"/>
  <c r="AA246" i="22" s="1"/>
  <c r="Q228" i="22"/>
  <c r="B248" i="22" s="1"/>
  <c r="AE228" i="22"/>
  <c r="P248" i="22" s="1"/>
  <c r="AR228" i="22"/>
  <c r="AC248" i="22" s="1"/>
  <c r="AC230" i="22"/>
  <c r="N250" i="22" s="1"/>
  <c r="AP230" i="22"/>
  <c r="AA250" i="22" s="1"/>
  <c r="AC232" i="22"/>
  <c r="N252" i="22" s="1"/>
  <c r="AQ232" i="22"/>
  <c r="AB252" i="22" s="1"/>
  <c r="Y234" i="22"/>
  <c r="J254" i="22" s="1"/>
  <c r="AA237" i="22"/>
  <c r="L257" i="22" s="1"/>
  <c r="X239" i="22"/>
  <c r="AQ234" i="22"/>
  <c r="AB254" i="22" s="1"/>
  <c r="AG234" i="22"/>
  <c r="R254" i="22" s="1"/>
  <c r="U234" i="22"/>
  <c r="F254" i="22" s="1"/>
  <c r="AO234" i="22"/>
  <c r="Z254" i="22" s="1"/>
  <c r="AC234" i="22"/>
  <c r="N254" i="22" s="1"/>
  <c r="S234" i="22"/>
  <c r="D254" i="22" s="1"/>
  <c r="Z234" i="22"/>
  <c r="K254" i="22" s="1"/>
  <c r="AL234" i="22"/>
  <c r="W254" i="22" s="1"/>
  <c r="AL237" i="22"/>
  <c r="W257" i="22" s="1"/>
  <c r="AD237" i="22"/>
  <c r="O257" i="22" s="1"/>
  <c r="V237" i="22"/>
  <c r="G257" i="22" s="1"/>
  <c r="AK237" i="22"/>
  <c r="V257" i="22" s="1"/>
  <c r="AC237" i="22"/>
  <c r="N257" i="22" s="1"/>
  <c r="U237" i="22"/>
  <c r="F257" i="22" s="1"/>
  <c r="AI237" i="22"/>
  <c r="T257" i="22" s="1"/>
  <c r="Y237" i="22"/>
  <c r="J257" i="22" s="1"/>
  <c r="AQ237" i="22"/>
  <c r="AB257" i="22" s="1"/>
  <c r="AG237" i="22"/>
  <c r="R257" i="22" s="1"/>
  <c r="W237" i="22"/>
  <c r="H257" i="22" s="1"/>
  <c r="AB237" i="22"/>
  <c r="M257" i="22" s="1"/>
  <c r="AP237" i="22"/>
  <c r="AA257" i="22" s="1"/>
  <c r="AN239" i="22"/>
  <c r="AD239" i="22"/>
  <c r="R239" i="22"/>
  <c r="Y239" i="22"/>
  <c r="AO239" i="22"/>
  <c r="AJ225" i="22"/>
  <c r="U245" i="22" s="1"/>
  <c r="Z225" i="22"/>
  <c r="K245" i="22" s="1"/>
  <c r="AR225" i="22"/>
  <c r="AC245" i="22" s="1"/>
  <c r="AH225" i="22"/>
  <c r="S245" i="22" s="1"/>
  <c r="V225" i="22"/>
  <c r="G245" i="22" s="1"/>
  <c r="AA225" i="22"/>
  <c r="L245" i="22" s="1"/>
  <c r="AM225" i="22"/>
  <c r="X245" i="22" s="1"/>
  <c r="Q226" i="22"/>
  <c r="B246" i="22" s="1"/>
  <c r="AD226" i="22"/>
  <c r="O246" i="22" s="1"/>
  <c r="S228" i="22"/>
  <c r="D248" i="22" s="1"/>
  <c r="AH228" i="22"/>
  <c r="S248" i="22" s="1"/>
  <c r="Q230" i="22"/>
  <c r="B250" i="22" s="1"/>
  <c r="AF230" i="22"/>
  <c r="Q250" i="22" s="1"/>
  <c r="S232" i="22"/>
  <c r="D252" i="22" s="1"/>
  <c r="AA234" i="22"/>
  <c r="L254" i="22" s="1"/>
  <c r="AP234" i="22"/>
  <c r="AA254" i="22" s="1"/>
  <c r="Q237" i="22"/>
  <c r="B257" i="22" s="1"/>
  <c r="AE237" i="22"/>
  <c r="P257" i="22" s="1"/>
  <c r="AR237" i="22"/>
  <c r="AC257" i="22" s="1"/>
  <c r="W238" i="22"/>
  <c r="H258" i="22" s="1"/>
  <c r="AI238" i="22"/>
  <c r="T258" i="22" s="1"/>
  <c r="AC239" i="22"/>
  <c r="AP239" i="22"/>
  <c r="V240" i="22"/>
  <c r="AJ240" i="22"/>
  <c r="AC241" i="22"/>
  <c r="N261" i="22" s="1"/>
  <c r="AM227" i="22"/>
  <c r="X247" i="22" s="1"/>
  <c r="AE227" i="22"/>
  <c r="P247" i="22" s="1"/>
  <c r="W227" i="22"/>
  <c r="H247" i="22" s="1"/>
  <c r="AL227" i="22"/>
  <c r="W247" i="22" s="1"/>
  <c r="AD227" i="22"/>
  <c r="O247" i="22" s="1"/>
  <c r="V227" i="22"/>
  <c r="G247" i="22" s="1"/>
  <c r="Z227" i="22"/>
  <c r="K247" i="22" s="1"/>
  <c r="AJ227" i="22"/>
  <c r="U247" i="22" s="1"/>
  <c r="AR230" i="22"/>
  <c r="AC250" i="22" s="1"/>
  <c r="AJ230" i="22"/>
  <c r="U250" i="22" s="1"/>
  <c r="AB230" i="22"/>
  <c r="M250" i="22" s="1"/>
  <c r="T230" i="22"/>
  <c r="E250" i="22" s="1"/>
  <c r="AQ230" i="22"/>
  <c r="AB250" i="22" s="1"/>
  <c r="AI230" i="22"/>
  <c r="T250" i="22" s="1"/>
  <c r="AA230" i="22"/>
  <c r="L250" i="22" s="1"/>
  <c r="S230" i="22"/>
  <c r="D250" i="22" s="1"/>
  <c r="Z230" i="22"/>
  <c r="K250" i="22" s="1"/>
  <c r="AL230" i="22"/>
  <c r="W250" i="22" s="1"/>
  <c r="X232" i="22"/>
  <c r="I252" i="22" s="1"/>
  <c r="AM236" i="22"/>
  <c r="X256" i="22" s="1"/>
  <c r="AE236" i="22"/>
  <c r="P256" i="22" s="1"/>
  <c r="W236" i="22"/>
  <c r="H256" i="22" s="1"/>
  <c r="AL236" i="22"/>
  <c r="W256" i="22" s="1"/>
  <c r="AD236" i="22"/>
  <c r="O256" i="22" s="1"/>
  <c r="V236" i="22"/>
  <c r="G256" i="22" s="1"/>
  <c r="Z236" i="22"/>
  <c r="K256" i="22" s="1"/>
  <c r="AJ236" i="22"/>
  <c r="U256" i="22" s="1"/>
  <c r="AR239" i="22"/>
  <c r="AJ239" i="22"/>
  <c r="AB239" i="22"/>
  <c r="T239" i="22"/>
  <c r="AQ239" i="22"/>
  <c r="AI239" i="22"/>
  <c r="AA239" i="22"/>
  <c r="S239" i="22"/>
  <c r="Z239" i="22"/>
  <c r="AL239" i="22"/>
  <c r="X241" i="22"/>
  <c r="I261" i="22" s="1"/>
  <c r="AP232" i="22"/>
  <c r="AA252" i="22" s="1"/>
  <c r="AH232" i="22"/>
  <c r="S252" i="22" s="1"/>
  <c r="Z232" i="22"/>
  <c r="K252" i="22" s="1"/>
  <c r="R232" i="22"/>
  <c r="C252" i="22" s="1"/>
  <c r="AO232" i="22"/>
  <c r="Z252" i="22" s="1"/>
  <c r="AG232" i="22"/>
  <c r="R252" i="22" s="1"/>
  <c r="Y232" i="22"/>
  <c r="J252" i="22" s="1"/>
  <c r="Q232" i="22"/>
  <c r="B252" i="22" s="1"/>
  <c r="AB232" i="22"/>
  <c r="M252" i="22" s="1"/>
  <c r="AL232" i="22"/>
  <c r="W252" i="22" s="1"/>
  <c r="AP241" i="22"/>
  <c r="AA261" i="22" s="1"/>
  <c r="AH241" i="22"/>
  <c r="S261" i="22" s="1"/>
  <c r="Z241" i="22"/>
  <c r="K261" i="22" s="1"/>
  <c r="R241" i="22"/>
  <c r="C261" i="22" s="1"/>
  <c r="AO241" i="22"/>
  <c r="Z261" i="22" s="1"/>
  <c r="AG241" i="22"/>
  <c r="R261" i="22" s="1"/>
  <c r="Y241" i="22"/>
  <c r="J261" i="22" s="1"/>
  <c r="Q241" i="22"/>
  <c r="B261" i="22" s="1"/>
  <c r="AB241" i="22"/>
  <c r="M261" i="22" s="1"/>
  <c r="AL241" i="22"/>
  <c r="W261" i="22" s="1"/>
  <c r="A282" i="22"/>
  <c r="A294" i="22"/>
  <c r="A398" i="22"/>
  <c r="A386" i="22"/>
  <c r="X225" i="22"/>
  <c r="I245" i="22" s="1"/>
  <c r="AF225" i="22"/>
  <c r="Q245" i="22" s="1"/>
  <c r="AN225" i="22"/>
  <c r="Y245" i="22" s="1"/>
  <c r="W226" i="22"/>
  <c r="H246" i="22" s="1"/>
  <c r="AE226" i="22"/>
  <c r="P246" i="22" s="1"/>
  <c r="AM226" i="22"/>
  <c r="X246" i="22" s="1"/>
  <c r="X233" i="22"/>
  <c r="I253" i="22" s="1"/>
  <c r="AF233" i="22"/>
  <c r="Q253" i="22" s="1"/>
  <c r="AN233" i="22"/>
  <c r="Y253" i="22" s="1"/>
  <c r="W234" i="22"/>
  <c r="H254" i="22" s="1"/>
  <c r="AE234" i="22"/>
  <c r="P254" i="22" s="1"/>
  <c r="AM234" i="22"/>
  <c r="X254" i="22" s="1"/>
  <c r="Y334" i="22"/>
  <c r="J354" i="22" s="1"/>
  <c r="AK334" i="22"/>
  <c r="V354" i="22" s="1"/>
  <c r="AL336" i="22"/>
  <c r="W356" i="22" s="1"/>
  <c r="AD336" i="22"/>
  <c r="O356" i="22" s="1"/>
  <c r="V336" i="22"/>
  <c r="G356" i="22" s="1"/>
  <c r="AK336" i="22"/>
  <c r="V356" i="22" s="1"/>
  <c r="AC336" i="22"/>
  <c r="N356" i="22" s="1"/>
  <c r="U336" i="22"/>
  <c r="F356" i="22" s="1"/>
  <c r="AO336" i="22"/>
  <c r="Z356" i="22" s="1"/>
  <c r="AG336" i="22"/>
  <c r="R356" i="22" s="1"/>
  <c r="Y336" i="22"/>
  <c r="J356" i="22" s="1"/>
  <c r="Q336" i="22"/>
  <c r="B356" i="22" s="1"/>
  <c r="AB336" i="22"/>
  <c r="M356" i="22" s="1"/>
  <c r="AP336" i="22"/>
  <c r="AA356" i="22" s="1"/>
  <c r="Q337" i="22"/>
  <c r="B357" i="22" s="1"/>
  <c r="AD337" i="22"/>
  <c r="O357" i="22" s="1"/>
  <c r="AP337" i="22"/>
  <c r="AA357" i="22" s="1"/>
  <c r="R338" i="22"/>
  <c r="C358" i="22" s="1"/>
  <c r="AF338" i="22"/>
  <c r="Q358" i="22" s="1"/>
  <c r="W339" i="22"/>
  <c r="H359" i="22" s="1"/>
  <c r="AJ339" i="22"/>
  <c r="U359" i="22" s="1"/>
  <c r="AA340" i="22"/>
  <c r="L360" i="22" s="1"/>
  <c r="AM340" i="22"/>
  <c r="X360" i="22" s="1"/>
  <c r="R341" i="22"/>
  <c r="C361" i="22" s="1"/>
  <c r="AH341" i="22"/>
  <c r="S361" i="22" s="1"/>
  <c r="X343" i="22"/>
  <c r="I363" i="22" s="1"/>
  <c r="AR343" i="22"/>
  <c r="AC363" i="22" s="1"/>
  <c r="W345" i="22"/>
  <c r="H365" i="22" s="1"/>
  <c r="AL346" i="22"/>
  <c r="W366" i="22" s="1"/>
  <c r="X347" i="22"/>
  <c r="I367" i="22" s="1"/>
  <c r="AJ348" i="22"/>
  <c r="W348" i="22"/>
  <c r="AH348" i="22"/>
  <c r="U348" i="22"/>
  <c r="AQ348" i="22"/>
  <c r="AC348" i="22"/>
  <c r="R348" i="22"/>
  <c r="Q225" i="22"/>
  <c r="B245" i="22" s="1"/>
  <c r="Y225" i="22"/>
  <c r="J245" i="22" s="1"/>
  <c r="AG225" i="22"/>
  <c r="R245" i="22" s="1"/>
  <c r="X226" i="22"/>
  <c r="I246" i="22" s="1"/>
  <c r="AF226" i="22"/>
  <c r="Q246" i="22" s="1"/>
  <c r="Q233" i="22"/>
  <c r="B253" i="22" s="1"/>
  <c r="Y233" i="22"/>
  <c r="J253" i="22" s="1"/>
  <c r="AG233" i="22"/>
  <c r="R253" i="22" s="1"/>
  <c r="X234" i="22"/>
  <c r="I254" i="22" s="1"/>
  <c r="AF234" i="22"/>
  <c r="Q254" i="22" s="1"/>
  <c r="Z334" i="22"/>
  <c r="K354" i="22" s="1"/>
  <c r="AM335" i="22"/>
  <c r="X355" i="22" s="1"/>
  <c r="AE335" i="22"/>
  <c r="P355" i="22" s="1"/>
  <c r="W335" i="22"/>
  <c r="H355" i="22" s="1"/>
  <c r="AL335" i="22"/>
  <c r="W355" i="22" s="1"/>
  <c r="AD335" i="22"/>
  <c r="O355" i="22" s="1"/>
  <c r="V335" i="22"/>
  <c r="G355" i="22" s="1"/>
  <c r="AP335" i="22"/>
  <c r="AA355" i="22" s="1"/>
  <c r="AH335" i="22"/>
  <c r="S355" i="22" s="1"/>
  <c r="Z335" i="22"/>
  <c r="K355" i="22" s="1"/>
  <c r="R335" i="22"/>
  <c r="C355" i="22" s="1"/>
  <c r="AB335" i="22"/>
  <c r="M355" i="22" s="1"/>
  <c r="AO335" i="22"/>
  <c r="Z355" i="22" s="1"/>
  <c r="R336" i="22"/>
  <c r="C356" i="22" s="1"/>
  <c r="AE336" i="22"/>
  <c r="P356" i="22" s="1"/>
  <c r="AQ336" i="22"/>
  <c r="AB356" i="22" s="1"/>
  <c r="R337" i="22"/>
  <c r="C357" i="22" s="1"/>
  <c r="AE337" i="22"/>
  <c r="P357" i="22" s="1"/>
  <c r="AQ337" i="22"/>
  <c r="AB357" i="22" s="1"/>
  <c r="U338" i="22"/>
  <c r="F358" i="22" s="1"/>
  <c r="AG338" i="22"/>
  <c r="R358" i="22" s="1"/>
  <c r="X339" i="22"/>
  <c r="I359" i="22" s="1"/>
  <c r="AK339" i="22"/>
  <c r="V359" i="22" s="1"/>
  <c r="AB340" i="22"/>
  <c r="M360" i="22" s="1"/>
  <c r="S341" i="22"/>
  <c r="D361" i="22" s="1"/>
  <c r="AI341" i="22"/>
  <c r="T361" i="22" s="1"/>
  <c r="AA343" i="22"/>
  <c r="L363" i="22" s="1"/>
  <c r="Z345" i="22"/>
  <c r="K365" i="22" s="1"/>
  <c r="AA347" i="22"/>
  <c r="L367" i="22" s="1"/>
  <c r="AO348" i="22"/>
  <c r="A400" i="22"/>
  <c r="A388" i="22"/>
  <c r="AP340" i="22"/>
  <c r="AA360" i="22" s="1"/>
  <c r="AH340" i="22"/>
  <c r="S360" i="22" s="1"/>
  <c r="Z340" i="22"/>
  <c r="K360" i="22" s="1"/>
  <c r="R340" i="22"/>
  <c r="C360" i="22" s="1"/>
  <c r="AO340" i="22"/>
  <c r="Z360" i="22" s="1"/>
  <c r="AG340" i="22"/>
  <c r="R360" i="22" s="1"/>
  <c r="Y340" i="22"/>
  <c r="J360" i="22" s="1"/>
  <c r="Q340" i="22"/>
  <c r="B360" i="22" s="1"/>
  <c r="AN340" i="22"/>
  <c r="Y360" i="22" s="1"/>
  <c r="AK340" i="22"/>
  <c r="V360" i="22" s="1"/>
  <c r="AC340" i="22"/>
  <c r="N360" i="22" s="1"/>
  <c r="U340" i="22"/>
  <c r="F360" i="22" s="1"/>
  <c r="AD340" i="22"/>
  <c r="O360" i="22" s="1"/>
  <c r="AR340" i="22"/>
  <c r="AC360" i="22" s="1"/>
  <c r="AQ346" i="22"/>
  <c r="AB366" i="22" s="1"/>
  <c r="AI346" i="22"/>
  <c r="T366" i="22" s="1"/>
  <c r="AA346" i="22"/>
  <c r="L366" i="22" s="1"/>
  <c r="S346" i="22"/>
  <c r="D366" i="22" s="1"/>
  <c r="AP346" i="22"/>
  <c r="AA366" i="22" s="1"/>
  <c r="AH346" i="22"/>
  <c r="S366" i="22" s="1"/>
  <c r="Z346" i="22"/>
  <c r="K366" i="22" s="1"/>
  <c r="R346" i="22"/>
  <c r="C366" i="22" s="1"/>
  <c r="AG346" i="22"/>
  <c r="R366" i="22" s="1"/>
  <c r="W346" i="22"/>
  <c r="H366" i="22" s="1"/>
  <c r="AO346" i="22"/>
  <c r="Z366" i="22" s="1"/>
  <c r="AE346" i="22"/>
  <c r="P366" i="22" s="1"/>
  <c r="U346" i="22"/>
  <c r="F366" i="22" s="1"/>
  <c r="AN346" i="22"/>
  <c r="Y366" i="22" s="1"/>
  <c r="AD346" i="22"/>
  <c r="O366" i="22" s="1"/>
  <c r="T346" i="22"/>
  <c r="E366" i="22" s="1"/>
  <c r="AM346" i="22"/>
  <c r="X366" i="22" s="1"/>
  <c r="AC346" i="22"/>
  <c r="N366" i="22" s="1"/>
  <c r="Q346" i="22"/>
  <c r="B366" i="22" s="1"/>
  <c r="AJ346" i="22"/>
  <c r="U366" i="22" s="1"/>
  <c r="X346" i="22"/>
  <c r="I366" i="22" s="1"/>
  <c r="A387" i="22"/>
  <c r="A399" i="22"/>
  <c r="AH336" i="22"/>
  <c r="S356" i="22" s="1"/>
  <c r="V337" i="22"/>
  <c r="G357" i="22" s="1"/>
  <c r="AH337" i="22"/>
  <c r="S357" i="22" s="1"/>
  <c r="X338" i="22"/>
  <c r="I358" i="22" s="1"/>
  <c r="AK338" i="22"/>
  <c r="V358" i="22" s="1"/>
  <c r="AB339" i="22"/>
  <c r="M359" i="22" s="1"/>
  <c r="S340" i="22"/>
  <c r="D360" i="22" s="1"/>
  <c r="AE340" i="22"/>
  <c r="P360" i="22" s="1"/>
  <c r="V341" i="22"/>
  <c r="G361" i="22" s="1"/>
  <c r="AL341" i="22"/>
  <c r="W361" i="22" s="1"/>
  <c r="AF343" i="22"/>
  <c r="Q363" i="22" s="1"/>
  <c r="AG345" i="22"/>
  <c r="R365" i="22" s="1"/>
  <c r="V346" i="22"/>
  <c r="G366" i="22" s="1"/>
  <c r="W337" i="22"/>
  <c r="H357" i="22" s="1"/>
  <c r="Y338" i="22"/>
  <c r="J358" i="22" s="1"/>
  <c r="AQ339" i="22"/>
  <c r="AB359" i="22" s="1"/>
  <c r="AI339" i="22"/>
  <c r="T359" i="22" s="1"/>
  <c r="AA339" i="22"/>
  <c r="L359" i="22" s="1"/>
  <c r="S339" i="22"/>
  <c r="D359" i="22" s="1"/>
  <c r="AP339" i="22"/>
  <c r="AA359" i="22" s="1"/>
  <c r="AH339" i="22"/>
  <c r="S359" i="22" s="1"/>
  <c r="Z339" i="22"/>
  <c r="K359" i="22" s="1"/>
  <c r="R339" i="22"/>
  <c r="C359" i="22" s="1"/>
  <c r="AL339" i="22"/>
  <c r="W359" i="22" s="1"/>
  <c r="AD339" i="22"/>
  <c r="O359" i="22" s="1"/>
  <c r="V339" i="22"/>
  <c r="G359" i="22" s="1"/>
  <c r="AC339" i="22"/>
  <c r="N359" i="22" s="1"/>
  <c r="AO339" i="22"/>
  <c r="Z359" i="22" s="1"/>
  <c r="T340" i="22"/>
  <c r="E360" i="22" s="1"/>
  <c r="AF340" i="22"/>
  <c r="Q360" i="22" s="1"/>
  <c r="Z341" i="22"/>
  <c r="K361" i="22" s="1"/>
  <c r="AL345" i="22"/>
  <c r="W365" i="22" s="1"/>
  <c r="Y346" i="22"/>
  <c r="J366" i="22" s="1"/>
  <c r="AI347" i="22"/>
  <c r="T367" i="22" s="1"/>
  <c r="V347" i="22"/>
  <c r="G367" i="22" s="1"/>
  <c r="AL347" i="22"/>
  <c r="W367" i="22" s="1"/>
  <c r="A403" i="22"/>
  <c r="A391" i="22"/>
  <c r="AK337" i="22"/>
  <c r="V357" i="22" s="1"/>
  <c r="AC337" i="22"/>
  <c r="N357" i="22" s="1"/>
  <c r="U337" i="22"/>
  <c r="F357" i="22" s="1"/>
  <c r="Y337" i="22"/>
  <c r="J357" i="22" s="1"/>
  <c r="AL337" i="22"/>
  <c r="W357" i="22" s="1"/>
  <c r="V340" i="22"/>
  <c r="G360" i="22" s="1"/>
  <c r="AI340" i="22"/>
  <c r="T360" i="22" s="1"/>
  <c r="AO341" i="22"/>
  <c r="Z361" i="22" s="1"/>
  <c r="AG341" i="22"/>
  <c r="R361" i="22" s="1"/>
  <c r="Y341" i="22"/>
  <c r="J361" i="22" s="1"/>
  <c r="Q341" i="22"/>
  <c r="B361" i="22" s="1"/>
  <c r="AM341" i="22"/>
  <c r="X361" i="22" s="1"/>
  <c r="AE341" i="22"/>
  <c r="P361" i="22" s="1"/>
  <c r="W341" i="22"/>
  <c r="H361" i="22" s="1"/>
  <c r="AA341" i="22"/>
  <c r="L361" i="22" s="1"/>
  <c r="AQ341" i="22"/>
  <c r="AB361" i="22" s="1"/>
  <c r="AO343" i="22"/>
  <c r="Z363" i="22" s="1"/>
  <c r="AG343" i="22"/>
  <c r="R363" i="22" s="1"/>
  <c r="Y343" i="22"/>
  <c r="J363" i="22" s="1"/>
  <c r="Q343" i="22"/>
  <c r="B363" i="22" s="1"/>
  <c r="AM343" i="22"/>
  <c r="X363" i="22" s="1"/>
  <c r="AE343" i="22"/>
  <c r="P363" i="22" s="1"/>
  <c r="W343" i="22"/>
  <c r="H363" i="22" s="1"/>
  <c r="AL343" i="22"/>
  <c r="W363" i="22" s="1"/>
  <c r="AD343" i="22"/>
  <c r="O363" i="22" s="1"/>
  <c r="V343" i="22"/>
  <c r="G363" i="22" s="1"/>
  <c r="AK343" i="22"/>
  <c r="V363" i="22" s="1"/>
  <c r="AC343" i="22"/>
  <c r="N363" i="22" s="1"/>
  <c r="U343" i="22"/>
  <c r="F363" i="22" s="1"/>
  <c r="AP343" i="22"/>
  <c r="AA363" i="22" s="1"/>
  <c r="AH343" i="22"/>
  <c r="S363" i="22" s="1"/>
  <c r="Z343" i="22"/>
  <c r="K363" i="22" s="1"/>
  <c r="R343" i="22"/>
  <c r="C363" i="22" s="1"/>
  <c r="AJ343" i="22"/>
  <c r="U363" i="22" s="1"/>
  <c r="AM345" i="22"/>
  <c r="X365" i="22" s="1"/>
  <c r="AB346" i="22"/>
  <c r="M366" i="22" s="1"/>
  <c r="A385" i="22"/>
  <c r="A397" i="22"/>
  <c r="Z337" i="22"/>
  <c r="K357" i="22" s="1"/>
  <c r="AM337" i="22"/>
  <c r="X357" i="22" s="1"/>
  <c r="AR338" i="22"/>
  <c r="AC358" i="22" s="1"/>
  <c r="AJ338" i="22"/>
  <c r="U358" i="22" s="1"/>
  <c r="AB338" i="22"/>
  <c r="M358" i="22" s="1"/>
  <c r="T338" i="22"/>
  <c r="E358" i="22" s="1"/>
  <c r="AQ338" i="22"/>
  <c r="AB358" i="22" s="1"/>
  <c r="AI338" i="22"/>
  <c r="T358" i="22" s="1"/>
  <c r="AA338" i="22"/>
  <c r="L358" i="22" s="1"/>
  <c r="S338" i="22"/>
  <c r="D358" i="22" s="1"/>
  <c r="AM338" i="22"/>
  <c r="X358" i="22" s="1"/>
  <c r="AE338" i="22"/>
  <c r="P358" i="22" s="1"/>
  <c r="W338" i="22"/>
  <c r="H358" i="22" s="1"/>
  <c r="AC338" i="22"/>
  <c r="N358" i="22" s="1"/>
  <c r="AO338" i="22"/>
  <c r="Z358" i="22" s="1"/>
  <c r="W340" i="22"/>
  <c r="H360" i="22" s="1"/>
  <c r="AJ340" i="22"/>
  <c r="U360" i="22" s="1"/>
  <c r="AC341" i="22"/>
  <c r="N361" i="22" s="1"/>
  <c r="S343" i="22"/>
  <c r="D363" i="22" s="1"/>
  <c r="AN343" i="22"/>
  <c r="Y363" i="22" s="1"/>
  <c r="R345" i="22"/>
  <c r="C365" i="22" s="1"/>
  <c r="AF346" i="22"/>
  <c r="Q366" i="22" s="1"/>
  <c r="AJ347" i="22"/>
  <c r="U367" i="22" s="1"/>
  <c r="AA336" i="22"/>
  <c r="L356" i="22" s="1"/>
  <c r="AR337" i="22"/>
  <c r="AC357" i="22" s="1"/>
  <c r="AA337" i="22"/>
  <c r="L357" i="22" s="1"/>
  <c r="AO337" i="22"/>
  <c r="Z357" i="22" s="1"/>
  <c r="Q338" i="22"/>
  <c r="B358" i="22" s="1"/>
  <c r="AD338" i="22"/>
  <c r="O358" i="22" s="1"/>
  <c r="AP338" i="22"/>
  <c r="AA358" i="22" s="1"/>
  <c r="U339" i="22"/>
  <c r="F359" i="22" s="1"/>
  <c r="AG339" i="22"/>
  <c r="R359" i="22" s="1"/>
  <c r="X340" i="22"/>
  <c r="I360" i="22" s="1"/>
  <c r="AL340" i="22"/>
  <c r="W360" i="22" s="1"/>
  <c r="AN341" i="22"/>
  <c r="Y361" i="22" s="1"/>
  <c r="AD341" i="22"/>
  <c r="O361" i="22" s="1"/>
  <c r="T343" i="22"/>
  <c r="E363" i="22" s="1"/>
  <c r="AQ343" i="22"/>
  <c r="AB363" i="22" s="1"/>
  <c r="AK346" i="22"/>
  <c r="V366" i="22" s="1"/>
  <c r="U347" i="22"/>
  <c r="F367" i="22" s="1"/>
  <c r="S334" i="22"/>
  <c r="D354" i="22" s="1"/>
  <c r="AA334" i="22"/>
  <c r="L354" i="22" s="1"/>
  <c r="AI334" i="22"/>
  <c r="T354" i="22" s="1"/>
  <c r="AQ334" i="22"/>
  <c r="AB354" i="22" s="1"/>
  <c r="X337" i="22"/>
  <c r="I357" i="22" s="1"/>
  <c r="AF337" i="22"/>
  <c r="Q357" i="22" s="1"/>
  <c r="AN337" i="22"/>
  <c r="Y357" i="22" s="1"/>
  <c r="T341" i="22"/>
  <c r="E361" i="22" s="1"/>
  <c r="AB341" i="22"/>
  <c r="M361" i="22" s="1"/>
  <c r="AJ341" i="22"/>
  <c r="U361" i="22" s="1"/>
  <c r="AR341" i="22"/>
  <c r="AC361" i="22" s="1"/>
  <c r="S342" i="22"/>
  <c r="D362" i="22" s="1"/>
  <c r="AA342" i="22"/>
  <c r="L362" i="22" s="1"/>
  <c r="AI342" i="22"/>
  <c r="T362" i="22" s="1"/>
  <c r="AQ342" i="22"/>
  <c r="AB362" i="22" s="1"/>
  <c r="Q345" i="22"/>
  <c r="B365" i="22" s="1"/>
  <c r="Y345" i="22"/>
  <c r="J365" i="22" s="1"/>
  <c r="AK345" i="22"/>
  <c r="V365" i="22" s="1"/>
  <c r="W347" i="22"/>
  <c r="H367" i="22" s="1"/>
  <c r="Q348" i="22"/>
  <c r="AP348" i="22"/>
  <c r="AD348" i="22"/>
  <c r="T348" i="22"/>
  <c r="Z348" i="22"/>
  <c r="AK348" i="22"/>
  <c r="Z349" i="22"/>
  <c r="AL349" i="22"/>
  <c r="AM350" i="22"/>
  <c r="X370" i="22" s="1"/>
  <c r="AE350" i="22"/>
  <c r="P370" i="22" s="1"/>
  <c r="W350" i="22"/>
  <c r="H370" i="22" s="1"/>
  <c r="AL350" i="22"/>
  <c r="W370" i="22" s="1"/>
  <c r="AD350" i="22"/>
  <c r="O370" i="22" s="1"/>
  <c r="V350" i="22"/>
  <c r="G370" i="22" s="1"/>
  <c r="AR350" i="22"/>
  <c r="AC370" i="22" s="1"/>
  <c r="AH350" i="22"/>
  <c r="S370" i="22" s="1"/>
  <c r="X350" i="22"/>
  <c r="I370" i="22" s="1"/>
  <c r="AO350" i="22"/>
  <c r="Z370" i="22" s="1"/>
  <c r="AC350" i="22"/>
  <c r="N370" i="22" s="1"/>
  <c r="S350" i="22"/>
  <c r="D370" i="22" s="1"/>
  <c r="AB350" i="22"/>
  <c r="M370" i="22" s="1"/>
  <c r="AQ350" i="22"/>
  <c r="AB370" i="22" s="1"/>
  <c r="V342" i="22"/>
  <c r="G362" i="22" s="1"/>
  <c r="AD342" i="22"/>
  <c r="O362" i="22" s="1"/>
  <c r="AL342" i="22"/>
  <c r="W362" i="22" s="1"/>
  <c r="T345" i="22"/>
  <c r="E365" i="22" s="1"/>
  <c r="AD345" i="22"/>
  <c r="O365" i="22" s="1"/>
  <c r="AN345" i="22"/>
  <c r="Y365" i="22" s="1"/>
  <c r="AP347" i="22"/>
  <c r="AA367" i="22" s="1"/>
  <c r="AH347" i="22"/>
  <c r="S367" i="22" s="1"/>
  <c r="Z347" i="22"/>
  <c r="K367" i="22" s="1"/>
  <c r="R347" i="22"/>
  <c r="C367" i="22" s="1"/>
  <c r="AO347" i="22"/>
  <c r="Z367" i="22" s="1"/>
  <c r="AG347" i="22"/>
  <c r="R367" i="22" s="1"/>
  <c r="Y347" i="22"/>
  <c r="J367" i="22" s="1"/>
  <c r="Q347" i="22"/>
  <c r="B367" i="22" s="1"/>
  <c r="AR347" i="22"/>
  <c r="AC367" i="22" s="1"/>
  <c r="AF347" i="22"/>
  <c r="Q367" i="22" s="1"/>
  <c r="AB347" i="22"/>
  <c r="M367" i="22" s="1"/>
  <c r="AM347" i="22"/>
  <c r="X367" i="22" s="1"/>
  <c r="S349" i="22"/>
  <c r="AD349" i="22"/>
  <c r="AQ349" i="22"/>
  <c r="O461" i="22"/>
  <c r="W334" i="22"/>
  <c r="H354" i="22" s="1"/>
  <c r="AE334" i="22"/>
  <c r="P354" i="22" s="1"/>
  <c r="AM334" i="22"/>
  <c r="X354" i="22" s="1"/>
  <c r="T337" i="22"/>
  <c r="E357" i="22" s="1"/>
  <c r="AB337" i="22"/>
  <c r="M357" i="22" s="1"/>
  <c r="AJ337" i="22"/>
  <c r="U357" i="22" s="1"/>
  <c r="X341" i="22"/>
  <c r="I361" i="22" s="1"/>
  <c r="AF341" i="22"/>
  <c r="Q361" i="22" s="1"/>
  <c r="W342" i="22"/>
  <c r="H362" i="22" s="1"/>
  <c r="AE342" i="22"/>
  <c r="P362" i="22" s="1"/>
  <c r="AM342" i="22"/>
  <c r="X362" i="22" s="1"/>
  <c r="U345" i="22"/>
  <c r="F365" i="22" s="1"/>
  <c r="AE345" i="22"/>
  <c r="P365" i="22" s="1"/>
  <c r="AO345" i="22"/>
  <c r="Z365" i="22" s="1"/>
  <c r="S347" i="22"/>
  <c r="D367" i="22" s="1"/>
  <c r="AC347" i="22"/>
  <c r="N367" i="22" s="1"/>
  <c r="AN347" i="22"/>
  <c r="Y367" i="22" s="1"/>
  <c r="S348" i="22"/>
  <c r="AE348" i="22"/>
  <c r="AR348" i="22"/>
  <c r="T349" i="22"/>
  <c r="AG349" i="22"/>
  <c r="U350" i="22"/>
  <c r="F370" i="22" s="1"/>
  <c r="AJ350" i="22"/>
  <c r="U370" i="22" s="1"/>
  <c r="X334" i="22"/>
  <c r="I354" i="22" s="1"/>
  <c r="AF334" i="22"/>
  <c r="Q354" i="22" s="1"/>
  <c r="X342" i="22"/>
  <c r="I362" i="22" s="1"/>
  <c r="AF342" i="22"/>
  <c r="Q362" i="22" s="1"/>
  <c r="V345" i="22"/>
  <c r="G365" i="22" s="1"/>
  <c r="AF345" i="22"/>
  <c r="Q365" i="22" s="1"/>
  <c r="T347" i="22"/>
  <c r="E367" i="22" s="1"/>
  <c r="AD347" i="22"/>
  <c r="O367" i="22" s="1"/>
  <c r="AQ347" i="22"/>
  <c r="AB367" i="22" s="1"/>
  <c r="U349" i="22"/>
  <c r="AR345" i="22"/>
  <c r="AC365" i="22" s="1"/>
  <c r="AJ345" i="22"/>
  <c r="U365" i="22" s="1"/>
  <c r="AB345" i="22"/>
  <c r="M365" i="22" s="1"/>
  <c r="AQ345" i="22"/>
  <c r="AB365" i="22" s="1"/>
  <c r="AI345" i="22"/>
  <c r="T365" i="22" s="1"/>
  <c r="AA345" i="22"/>
  <c r="L365" i="22" s="1"/>
  <c r="X345" i="22"/>
  <c r="I365" i="22" s="1"/>
  <c r="AH345" i="22"/>
  <c r="S365" i="22" s="1"/>
  <c r="AK349" i="22"/>
  <c r="AA349" i="22"/>
  <c r="Q349" i="22"/>
  <c r="AR349" i="22"/>
  <c r="Y349" i="22"/>
  <c r="AJ349" i="22"/>
  <c r="AP448" i="22"/>
  <c r="AA468" i="22" s="1"/>
  <c r="AE448" i="22"/>
  <c r="P468" i="22" s="1"/>
  <c r="AD448" i="22"/>
  <c r="O468" i="22" s="1"/>
  <c r="Z448" i="22"/>
  <c r="K468" i="22" s="1"/>
  <c r="U448" i="22"/>
  <c r="F468" i="22" s="1"/>
  <c r="R448" i="22"/>
  <c r="C468" i="22" s="1"/>
  <c r="AK439" i="22"/>
  <c r="V459" i="22" s="1"/>
  <c r="AC439" i="22"/>
  <c r="N459" i="22" s="1"/>
  <c r="U439" i="22"/>
  <c r="F459" i="22" s="1"/>
  <c r="AR439" i="22"/>
  <c r="AC459" i="22" s="1"/>
  <c r="AJ439" i="22"/>
  <c r="U459" i="22" s="1"/>
  <c r="AB439" i="22"/>
  <c r="M459" i="22" s="1"/>
  <c r="T439" i="22"/>
  <c r="E459" i="22" s="1"/>
  <c r="AN439" i="22"/>
  <c r="Y459" i="22" s="1"/>
  <c r="AD439" i="22"/>
  <c r="O459" i="22" s="1"/>
  <c r="R439" i="22"/>
  <c r="C459" i="22" s="1"/>
  <c r="AM439" i="22"/>
  <c r="X459" i="22" s="1"/>
  <c r="AA439" i="22"/>
  <c r="L459" i="22" s="1"/>
  <c r="Q439" i="22"/>
  <c r="B459" i="22" s="1"/>
  <c r="AP439" i="22"/>
  <c r="AA459" i="22" s="1"/>
  <c r="Z439" i="22"/>
  <c r="K459" i="22" s="1"/>
  <c r="AL439" i="22"/>
  <c r="W459" i="22" s="1"/>
  <c r="X439" i="22"/>
  <c r="I459" i="22" s="1"/>
  <c r="AO439" i="22"/>
  <c r="Z459" i="22" s="1"/>
  <c r="V439" i="22"/>
  <c r="G459" i="22" s="1"/>
  <c r="AI439" i="22"/>
  <c r="T459" i="22" s="1"/>
  <c r="S439" i="22"/>
  <c r="D459" i="22" s="1"/>
  <c r="AL447" i="22"/>
  <c r="W467" i="22" s="1"/>
  <c r="W439" i="22"/>
  <c r="H459" i="22" s="1"/>
  <c r="AM447" i="22"/>
  <c r="X467" i="22" s="1"/>
  <c r="Y439" i="22"/>
  <c r="J459" i="22" s="1"/>
  <c r="AF440" i="22"/>
  <c r="Q460" i="22" s="1"/>
  <c r="R440" i="22"/>
  <c r="C460" i="22" s="1"/>
  <c r="AP440" i="22"/>
  <c r="AA460" i="22" s="1"/>
  <c r="AD440" i="22"/>
  <c r="O460" i="22" s="1"/>
  <c r="AM440" i="22"/>
  <c r="X460" i="22" s="1"/>
  <c r="U440" i="22"/>
  <c r="F460" i="22" s="1"/>
  <c r="AH440" i="22"/>
  <c r="S460" i="22" s="1"/>
  <c r="Q440" i="22"/>
  <c r="B460" i="22" s="1"/>
  <c r="AG440" i="22"/>
  <c r="R460" i="22" s="1"/>
  <c r="AN447" i="22"/>
  <c r="Y467" i="22" s="1"/>
  <c r="A503" i="22"/>
  <c r="A491" i="22"/>
  <c r="A493" i="22"/>
  <c r="A505" i="22"/>
  <c r="AE439" i="22"/>
  <c r="P459" i="22" s="1"/>
  <c r="AN440" i="22"/>
  <c r="Y460" i="22" s="1"/>
  <c r="AP447" i="22"/>
  <c r="AA467" i="22" s="1"/>
  <c r="AH447" i="22"/>
  <c r="S467" i="22" s="1"/>
  <c r="Z447" i="22"/>
  <c r="K467" i="22" s="1"/>
  <c r="R447" i="22"/>
  <c r="C467" i="22" s="1"/>
  <c r="AK447" i="22"/>
  <c r="V467" i="22" s="1"/>
  <c r="AC447" i="22"/>
  <c r="N467" i="22" s="1"/>
  <c r="U447" i="22"/>
  <c r="F467" i="22" s="1"/>
  <c r="AR447" i="22"/>
  <c r="AC467" i="22" s="1"/>
  <c r="AJ447" i="22"/>
  <c r="U467" i="22" s="1"/>
  <c r="AB447" i="22"/>
  <c r="M467" i="22" s="1"/>
  <c r="T447" i="22"/>
  <c r="E467" i="22" s="1"/>
  <c r="AF447" i="22"/>
  <c r="Q467" i="22" s="1"/>
  <c r="S447" i="22"/>
  <c r="D467" i="22" s="1"/>
  <c r="AQ447" i="22"/>
  <c r="AB467" i="22" s="1"/>
  <c r="AE447" i="22"/>
  <c r="P467" i="22" s="1"/>
  <c r="Q447" i="22"/>
  <c r="B467" i="22" s="1"/>
  <c r="AD447" i="22"/>
  <c r="O467" i="22" s="1"/>
  <c r="AO447" i="22"/>
  <c r="Z467" i="22" s="1"/>
  <c r="Y447" i="22"/>
  <c r="J467" i="22" s="1"/>
  <c r="AI447" i="22"/>
  <c r="T467" i="22" s="1"/>
  <c r="AG447" i="22"/>
  <c r="R467" i="22" s="1"/>
  <c r="AR451" i="22"/>
  <c r="AC471" i="22" s="1"/>
  <c r="AD451" i="22"/>
  <c r="O471" i="22" s="1"/>
  <c r="S451" i="22"/>
  <c r="D471" i="22" s="1"/>
  <c r="AK451" i="22"/>
  <c r="V471" i="22" s="1"/>
  <c r="U451" i="22"/>
  <c r="F471" i="22" s="1"/>
  <c r="AI451" i="22"/>
  <c r="T471" i="22" s="1"/>
  <c r="AL451" i="22"/>
  <c r="W471" i="22" s="1"/>
  <c r="AJ451" i="22"/>
  <c r="U471" i="22" s="1"/>
  <c r="AF451" i="22"/>
  <c r="Q471" i="22" s="1"/>
  <c r="AE454" i="22"/>
  <c r="AF439" i="22"/>
  <c r="Q459" i="22" s="1"/>
  <c r="AO440" i="22"/>
  <c r="Z460" i="22" s="1"/>
  <c r="AL446" i="22"/>
  <c r="W466" i="22" s="1"/>
  <c r="AD446" i="22"/>
  <c r="O466" i="22" s="1"/>
  <c r="V446" i="22"/>
  <c r="G466" i="22" s="1"/>
  <c r="AK446" i="22"/>
  <c r="V466" i="22" s="1"/>
  <c r="AC446" i="22"/>
  <c r="N466" i="22" s="1"/>
  <c r="U446" i="22"/>
  <c r="F466" i="22" s="1"/>
  <c r="AQ446" i="22"/>
  <c r="AB466" i="22" s="1"/>
  <c r="AG446" i="22"/>
  <c r="R466" i="22" s="1"/>
  <c r="W446" i="22"/>
  <c r="H466" i="22" s="1"/>
  <c r="AP446" i="22"/>
  <c r="AA466" i="22" s="1"/>
  <c r="AF446" i="22"/>
  <c r="Q466" i="22" s="1"/>
  <c r="T446" i="22"/>
  <c r="E466" i="22" s="1"/>
  <c r="AI446" i="22"/>
  <c r="T466" i="22" s="1"/>
  <c r="S446" i="22"/>
  <c r="D466" i="22" s="1"/>
  <c r="AE446" i="22"/>
  <c r="P466" i="22" s="1"/>
  <c r="Q446" i="22"/>
  <c r="B466" i="22" s="1"/>
  <c r="AH446" i="22"/>
  <c r="S466" i="22" s="1"/>
  <c r="AB446" i="22"/>
  <c r="M466" i="22" s="1"/>
  <c r="AN446" i="22"/>
  <c r="Y466" i="22" s="1"/>
  <c r="V447" i="22"/>
  <c r="G467" i="22" s="1"/>
  <c r="AH439" i="22"/>
  <c r="S459" i="22" s="1"/>
  <c r="W440" i="22"/>
  <c r="H460" i="22" s="1"/>
  <c r="AI454" i="22"/>
  <c r="S454" i="22"/>
  <c r="AJ454" i="22"/>
  <c r="AB454" i="22"/>
  <c r="X454" i="22"/>
  <c r="W454" i="22"/>
  <c r="AR454" i="22"/>
  <c r="X348" i="22"/>
  <c r="AF348" i="22"/>
  <c r="AN348" i="22"/>
  <c r="W349" i="22"/>
  <c r="AE349" i="22"/>
  <c r="AM349" i="22"/>
  <c r="AQ441" i="22"/>
  <c r="AB461" i="22" s="1"/>
  <c r="AI441" i="22"/>
  <c r="T461" i="22" s="1"/>
  <c r="AA441" i="22"/>
  <c r="L461" i="22" s="1"/>
  <c r="S441" i="22"/>
  <c r="D461" i="22" s="1"/>
  <c r="AP441" i="22"/>
  <c r="AA461" i="22" s="1"/>
  <c r="AH441" i="22"/>
  <c r="S461" i="22" s="1"/>
  <c r="Z441" i="22"/>
  <c r="K461" i="22" s="1"/>
  <c r="R441" i="22"/>
  <c r="C461" i="22" s="1"/>
  <c r="AK441" i="22"/>
  <c r="V461" i="22" s="1"/>
  <c r="Y441" i="22"/>
  <c r="J461" i="22" s="1"/>
  <c r="AJ441" i="22"/>
  <c r="U461" i="22" s="1"/>
  <c r="X441" i="22"/>
  <c r="I461" i="22" s="1"/>
  <c r="AM441" i="22"/>
  <c r="X461" i="22" s="1"/>
  <c r="W441" i="22"/>
  <c r="H461" i="22" s="1"/>
  <c r="AG441" i="22"/>
  <c r="R461" i="22" s="1"/>
  <c r="U441" i="22"/>
  <c r="F461" i="22" s="1"/>
  <c r="AF441" i="22"/>
  <c r="Q461" i="22" s="1"/>
  <c r="AE442" i="22"/>
  <c r="P462" i="22" s="1"/>
  <c r="AR443" i="22"/>
  <c r="AC463" i="22" s="1"/>
  <c r="AH443" i="22"/>
  <c r="S463" i="22" s="1"/>
  <c r="V443" i="22"/>
  <c r="G463" i="22" s="1"/>
  <c r="AQ443" i="22"/>
  <c r="AB463" i="22" s="1"/>
  <c r="AE443" i="22"/>
  <c r="P463" i="22" s="1"/>
  <c r="U443" i="22"/>
  <c r="F463" i="22" s="1"/>
  <c r="AJ443" i="22"/>
  <c r="U463" i="22" s="1"/>
  <c r="T443" i="22"/>
  <c r="E463" i="22" s="1"/>
  <c r="AD443" i="22"/>
  <c r="O463" i="22" s="1"/>
  <c r="R443" i="22"/>
  <c r="C463" i="22" s="1"/>
  <c r="AC443" i="22"/>
  <c r="N463" i="22" s="1"/>
  <c r="AO444" i="22"/>
  <c r="Z464" i="22" s="1"/>
  <c r="AC444" i="22"/>
  <c r="N464" i="22" s="1"/>
  <c r="S444" i="22"/>
  <c r="D464" i="22" s="1"/>
  <c r="AL444" i="22"/>
  <c r="W464" i="22" s="1"/>
  <c r="AB444" i="22"/>
  <c r="M464" i="22" s="1"/>
  <c r="R444" i="22"/>
  <c r="C464" i="22" s="1"/>
  <c r="AQ444" i="22"/>
  <c r="AB464" i="22" s="1"/>
  <c r="AA444" i="22"/>
  <c r="L464" i="22" s="1"/>
  <c r="AK444" i="22"/>
  <c r="V464" i="22" s="1"/>
  <c r="Y444" i="22"/>
  <c r="J464" i="22" s="1"/>
  <c r="AD444" i="22"/>
  <c r="O464" i="22" s="1"/>
  <c r="Y348" i="22"/>
  <c r="AG348" i="22"/>
  <c r="X349" i="22"/>
  <c r="AF349" i="22"/>
  <c r="AI443" i="22"/>
  <c r="T463" i="22" s="1"/>
  <c r="AG444" i="22"/>
  <c r="R464" i="22" s="1"/>
  <c r="AO448" i="22"/>
  <c r="Z468" i="22" s="1"/>
  <c r="AG448" i="22"/>
  <c r="R468" i="22" s="1"/>
  <c r="Y448" i="22"/>
  <c r="J468" i="22" s="1"/>
  <c r="Q448" i="22"/>
  <c r="B468" i="22" s="1"/>
  <c r="AR448" i="22"/>
  <c r="AC468" i="22" s="1"/>
  <c r="AJ448" i="22"/>
  <c r="U468" i="22" s="1"/>
  <c r="AB448" i="22"/>
  <c r="M468" i="22" s="1"/>
  <c r="T448" i="22"/>
  <c r="E468" i="22" s="1"/>
  <c r="AQ448" i="22"/>
  <c r="AB468" i="22" s="1"/>
  <c r="AI448" i="22"/>
  <c r="T468" i="22" s="1"/>
  <c r="AA448" i="22"/>
  <c r="L468" i="22" s="1"/>
  <c r="S448" i="22"/>
  <c r="D468" i="22" s="1"/>
  <c r="AK448" i="22"/>
  <c r="V468" i="22" s="1"/>
  <c r="W448" i="22"/>
  <c r="H468" i="22" s="1"/>
  <c r="AH448" i="22"/>
  <c r="S468" i="22" s="1"/>
  <c r="V448" i="22"/>
  <c r="G468" i="22" s="1"/>
  <c r="AC448" i="22"/>
  <c r="N468" i="22" s="1"/>
  <c r="AN448" i="22"/>
  <c r="Y468" i="22" s="1"/>
  <c r="X448" i="22"/>
  <c r="I468" i="22" s="1"/>
  <c r="AM448" i="22"/>
  <c r="X468" i="22" s="1"/>
  <c r="A504" i="22"/>
  <c r="A492" i="22"/>
  <c r="A496" i="22"/>
  <c r="A508" i="22"/>
  <c r="AK440" i="22"/>
  <c r="V460" i="22" s="1"/>
  <c r="AB442" i="22"/>
  <c r="M462" i="22" s="1"/>
  <c r="AH452" i="22"/>
  <c r="S472" i="22" s="1"/>
  <c r="T452" i="22"/>
  <c r="E472" i="22" s="1"/>
  <c r="AE452" i="22"/>
  <c r="P472" i="22" s="1"/>
  <c r="S452" i="22"/>
  <c r="D472" i="22" s="1"/>
  <c r="AC452" i="22"/>
  <c r="N472" i="22" s="1"/>
  <c r="AP442" i="22"/>
  <c r="AA462" i="22" s="1"/>
  <c r="AH442" i="22"/>
  <c r="S462" i="22" s="1"/>
  <c r="Z442" i="22"/>
  <c r="K462" i="22" s="1"/>
  <c r="R442" i="22"/>
  <c r="C462" i="22" s="1"/>
  <c r="AO442" i="22"/>
  <c r="Z462" i="22" s="1"/>
  <c r="AG442" i="22"/>
  <c r="R462" i="22" s="1"/>
  <c r="Y442" i="22"/>
  <c r="J462" i="22" s="1"/>
  <c r="Q442" i="22"/>
  <c r="B462" i="22" s="1"/>
  <c r="AJ442" i="22"/>
  <c r="U462" i="22" s="1"/>
  <c r="X442" i="22"/>
  <c r="I462" i="22" s="1"/>
  <c r="AI442" i="22"/>
  <c r="T462" i="22" s="1"/>
  <c r="W442" i="22"/>
  <c r="H462" i="22" s="1"/>
  <c r="AD442" i="22"/>
  <c r="O462" i="22" s="1"/>
  <c r="AR442" i="22"/>
  <c r="AC462" i="22" s="1"/>
  <c r="X470" i="22"/>
  <c r="AM453" i="22"/>
  <c r="X453" i="22"/>
  <c r="AL453" i="22"/>
  <c r="V453" i="22"/>
  <c r="AE453" i="22"/>
  <c r="A506" i="22"/>
  <c r="A494" i="22"/>
  <c r="Y440" i="22"/>
  <c r="J460" i="22" s="1"/>
  <c r="Y445" i="22"/>
  <c r="J465" i="22" s="1"/>
  <c r="Y450" i="22"/>
  <c r="J470" i="22" s="1"/>
  <c r="AM451" i="22"/>
  <c r="X471" i="22" s="1"/>
  <c r="AE451" i="22"/>
  <c r="P471" i="22" s="1"/>
  <c r="W451" i="22"/>
  <c r="H471" i="22" s="1"/>
  <c r="AP451" i="22"/>
  <c r="AA471" i="22" s="1"/>
  <c r="AH451" i="22"/>
  <c r="S471" i="22" s="1"/>
  <c r="Z451" i="22"/>
  <c r="K471" i="22" s="1"/>
  <c r="R451" i="22"/>
  <c r="C471" i="22" s="1"/>
  <c r="AO451" i="22"/>
  <c r="Z471" i="22" s="1"/>
  <c r="AG451" i="22"/>
  <c r="R471" i="22" s="1"/>
  <c r="Y451" i="22"/>
  <c r="J471" i="22" s="1"/>
  <c r="Q451" i="22"/>
  <c r="B471" i="22" s="1"/>
  <c r="AC451" i="22"/>
  <c r="N471" i="22" s="1"/>
  <c r="AQ451" i="22"/>
  <c r="AB471" i="22" s="1"/>
  <c r="AP454" i="22"/>
  <c r="AH454" i="22"/>
  <c r="AO454" i="22"/>
  <c r="AG454" i="22"/>
  <c r="Y454" i="22"/>
  <c r="Q454" i="22"/>
  <c r="AK454" i="22"/>
  <c r="AA454" i="22"/>
  <c r="R454" i="22"/>
  <c r="AN454" i="22"/>
  <c r="AD454" i="22"/>
  <c r="U454" i="22"/>
  <c r="AM454" i="22"/>
  <c r="AC454" i="22"/>
  <c r="T454" i="22"/>
  <c r="AF454" i="22"/>
  <c r="AL455" i="22"/>
  <c r="W475" i="22" s="1"/>
  <c r="AC455" i="22"/>
  <c r="N475" i="22" s="1"/>
  <c r="AR455" i="22"/>
  <c r="AC475" i="22" s="1"/>
  <c r="AR440" i="22"/>
  <c r="AC460" i="22" s="1"/>
  <c r="AJ440" i="22"/>
  <c r="U460" i="22" s="1"/>
  <c r="AB440" i="22"/>
  <c r="M460" i="22" s="1"/>
  <c r="T440" i="22"/>
  <c r="E460" i="22" s="1"/>
  <c r="AQ440" i="22"/>
  <c r="AB460" i="22" s="1"/>
  <c r="AI440" i="22"/>
  <c r="T460" i="22" s="1"/>
  <c r="AA440" i="22"/>
  <c r="L460" i="22" s="1"/>
  <c r="S440" i="22"/>
  <c r="D460" i="22" s="1"/>
  <c r="Z440" i="22"/>
  <c r="K460" i="22" s="1"/>
  <c r="AL440" i="22"/>
  <c r="W460" i="22" s="1"/>
  <c r="AM445" i="22"/>
  <c r="X465" i="22" s="1"/>
  <c r="AE445" i="22"/>
  <c r="P465" i="22" s="1"/>
  <c r="W445" i="22"/>
  <c r="H465" i="22" s="1"/>
  <c r="AL445" i="22"/>
  <c r="W465" i="22" s="1"/>
  <c r="AD445" i="22"/>
  <c r="O465" i="22" s="1"/>
  <c r="V445" i="22"/>
  <c r="G465" i="22" s="1"/>
  <c r="Z445" i="22"/>
  <c r="K465" i="22" s="1"/>
  <c r="AJ445" i="22"/>
  <c r="U465" i="22" s="1"/>
  <c r="AB450" i="22"/>
  <c r="M470" i="22" s="1"/>
  <c r="A495" i="22"/>
  <c r="A507" i="22"/>
  <c r="X443" i="22"/>
  <c r="I463" i="22" s="1"/>
  <c r="AF443" i="22"/>
  <c r="Q463" i="22" s="1"/>
  <c r="AN443" i="22"/>
  <c r="Y463" i="22" s="1"/>
  <c r="W444" i="22"/>
  <c r="H464" i="22" s="1"/>
  <c r="AE444" i="22"/>
  <c r="P464" i="22" s="1"/>
  <c r="AM444" i="22"/>
  <c r="X464" i="22" s="1"/>
  <c r="R450" i="22"/>
  <c r="C470" i="22" s="1"/>
  <c r="Z450" i="22"/>
  <c r="K470" i="22" s="1"/>
  <c r="AH450" i="22"/>
  <c r="S470" i="22" s="1"/>
  <c r="AP450" i="22"/>
  <c r="AA470" i="22" s="1"/>
  <c r="AQ452" i="22"/>
  <c r="AB472" i="22" s="1"/>
  <c r="X452" i="22"/>
  <c r="I472" i="22" s="1"/>
  <c r="AF452" i="22"/>
  <c r="Q472" i="22" s="1"/>
  <c r="AN452" i="22"/>
  <c r="Y472" i="22" s="1"/>
  <c r="AP453" i="22"/>
  <c r="AH453" i="22"/>
  <c r="Z453" i="22"/>
  <c r="R453" i="22"/>
  <c r="Y453" i="22"/>
  <c r="AI453" i="22"/>
  <c r="AR453" i="22"/>
  <c r="AN455" i="22"/>
  <c r="Y475" i="22" s="1"/>
  <c r="AA455" i="22"/>
  <c r="L475" i="22" s="1"/>
  <c r="AK455" i="22"/>
  <c r="V475" i="22" s="1"/>
  <c r="A509" i="22"/>
  <c r="A497" i="22"/>
  <c r="Q443" i="22"/>
  <c r="B463" i="22" s="1"/>
  <c r="Y443" i="22"/>
  <c r="J463" i="22" s="1"/>
  <c r="AG443" i="22"/>
  <c r="R463" i="22" s="1"/>
  <c r="X444" i="22"/>
  <c r="I464" i="22" s="1"/>
  <c r="AF444" i="22"/>
  <c r="Q464" i="22" s="1"/>
  <c r="S450" i="22"/>
  <c r="D470" i="22" s="1"/>
  <c r="AA450" i="22"/>
  <c r="L470" i="22" s="1"/>
  <c r="AI450" i="22"/>
  <c r="T470" i="22" s="1"/>
  <c r="AQ450" i="22"/>
  <c r="AB470" i="22" s="1"/>
  <c r="Q452" i="22"/>
  <c r="B472" i="22" s="1"/>
  <c r="Y452" i="22"/>
  <c r="J472" i="22" s="1"/>
  <c r="AG452" i="22"/>
  <c r="R472" i="22" s="1"/>
  <c r="AO452" i="22"/>
  <c r="Z472" i="22" s="1"/>
  <c r="Q453" i="22"/>
  <c r="AA453" i="22"/>
  <c r="AJ453" i="22"/>
  <c r="R455" i="22"/>
  <c r="C475" i="22" s="1"/>
  <c r="AB455" i="22"/>
  <c r="M475" i="22" s="1"/>
  <c r="X450" i="22"/>
  <c r="I470" i="22" s="1"/>
  <c r="AF450" i="22"/>
  <c r="Q470" i="22" s="1"/>
  <c r="V452" i="22"/>
  <c r="G472" i="22" s="1"/>
  <c r="AD452" i="22"/>
  <c r="O472" i="22" s="1"/>
  <c r="W453" i="22"/>
  <c r="AF453" i="22"/>
  <c r="AO455" i="22"/>
  <c r="Z475" i="22" s="1"/>
  <c r="AG455" i="22"/>
  <c r="R475" i="22" s="1"/>
  <c r="Y455" i="22"/>
  <c r="J475" i="22" s="1"/>
  <c r="Q455" i="22"/>
  <c r="B475" i="22" s="1"/>
  <c r="W455" i="22"/>
  <c r="H475" i="22" s="1"/>
  <c r="AI455" i="22"/>
  <c r="T475" i="22" s="1"/>
  <c r="A490" i="22"/>
  <c r="A502" i="22"/>
  <c r="X455" i="22"/>
  <c r="I475" i="22" s="1"/>
  <c r="AF455" i="22"/>
  <c r="Q475" i="22" s="1"/>
  <c r="AJ345" i="21"/>
  <c r="U365" i="21" s="1"/>
  <c r="AA345" i="21"/>
  <c r="L365" i="21" s="1"/>
  <c r="S236" i="21"/>
  <c r="D256" i="21" s="1"/>
  <c r="Z128" i="21"/>
  <c r="K148" i="21" s="1"/>
  <c r="Q448" i="21"/>
  <c r="B468" i="21" s="1"/>
  <c r="AM448" i="21"/>
  <c r="X468" i="21" s="1"/>
  <c r="Q447" i="21"/>
  <c r="B467" i="21" s="1"/>
  <c r="W448" i="21"/>
  <c r="H468" i="21" s="1"/>
  <c r="AQ448" i="21"/>
  <c r="AB468" i="21" s="1"/>
  <c r="Z447" i="21"/>
  <c r="K467" i="21" s="1"/>
  <c r="X448" i="21"/>
  <c r="I468" i="21" s="1"/>
  <c r="AA447" i="21"/>
  <c r="L467" i="21" s="1"/>
  <c r="R233" i="21"/>
  <c r="C253" i="21" s="1"/>
  <c r="AC233" i="21"/>
  <c r="N253" i="21" s="1"/>
  <c r="AP233" i="21"/>
  <c r="AA253" i="21" s="1"/>
  <c r="AE234" i="21"/>
  <c r="P254" i="21" s="1"/>
  <c r="U233" i="21"/>
  <c r="F253" i="21" s="1"/>
  <c r="AH233" i="21"/>
  <c r="S253" i="21" s="1"/>
  <c r="AI234" i="21"/>
  <c r="T254" i="21" s="1"/>
  <c r="AN234" i="21"/>
  <c r="Y254" i="21" s="1"/>
  <c r="X233" i="21"/>
  <c r="I253" i="21" s="1"/>
  <c r="AI233" i="21"/>
  <c r="T253" i="21" s="1"/>
  <c r="Q234" i="21"/>
  <c r="B254" i="21" s="1"/>
  <c r="Y233" i="21"/>
  <c r="J253" i="21" s="1"/>
  <c r="AK233" i="21"/>
  <c r="V253" i="21" s="1"/>
  <c r="R234" i="21"/>
  <c r="C254" i="21" s="1"/>
  <c r="AA233" i="21"/>
  <c r="L253" i="21" s="1"/>
  <c r="AN233" i="21"/>
  <c r="Y253" i="21" s="1"/>
  <c r="Q233" i="21"/>
  <c r="B253" i="21" s="1"/>
  <c r="AB233" i="21"/>
  <c r="M253" i="21" s="1"/>
  <c r="AI125" i="21"/>
  <c r="T145" i="21" s="1"/>
  <c r="AN125" i="21"/>
  <c r="Y145" i="21" s="1"/>
  <c r="V125" i="21"/>
  <c r="G145" i="21" s="1"/>
  <c r="AQ340" i="21"/>
  <c r="AB360" i="21" s="1"/>
  <c r="X340" i="21"/>
  <c r="I360" i="21" s="1"/>
  <c r="Y340" i="21"/>
  <c r="J360" i="21" s="1"/>
  <c r="J378" i="21" s="1"/>
  <c r="AI123" i="21"/>
  <c r="T143" i="21" s="1"/>
  <c r="AM443" i="21"/>
  <c r="X463" i="21" s="1"/>
  <c r="U338" i="21"/>
  <c r="F358" i="21" s="1"/>
  <c r="AJ338" i="21"/>
  <c r="U358" i="21" s="1"/>
  <c r="V338" i="21"/>
  <c r="G358" i="21" s="1"/>
  <c r="AK338" i="21"/>
  <c r="V358" i="21" s="1"/>
  <c r="AA338" i="21"/>
  <c r="L358" i="21" s="1"/>
  <c r="AR338" i="21"/>
  <c r="AC358" i="21" s="1"/>
  <c r="AD338" i="21"/>
  <c r="O358" i="21" s="1"/>
  <c r="AN338" i="21"/>
  <c r="Y358" i="21" s="1"/>
  <c r="Q229" i="21"/>
  <c r="B249" i="21" s="1"/>
  <c r="AF229" i="21"/>
  <c r="Q249" i="21" s="1"/>
  <c r="U229" i="21"/>
  <c r="F249" i="21" s="1"/>
  <c r="AL229" i="21"/>
  <c r="W249" i="21" s="1"/>
  <c r="V229" i="21"/>
  <c r="G249" i="21" s="1"/>
  <c r="AM229" i="21"/>
  <c r="X249" i="21" s="1"/>
  <c r="W229" i="21"/>
  <c r="H249" i="21" s="1"/>
  <c r="AN229" i="21"/>
  <c r="Y249" i="21" s="1"/>
  <c r="AB229" i="21"/>
  <c r="M249" i="21" s="1"/>
  <c r="AI440" i="21"/>
  <c r="T460" i="21" s="1"/>
  <c r="W334" i="21"/>
  <c r="H354" i="21" s="1"/>
  <c r="AG334" i="21"/>
  <c r="R354" i="21" s="1"/>
  <c r="AH334" i="21"/>
  <c r="S354" i="21" s="1"/>
  <c r="AN334" i="21"/>
  <c r="Y354" i="21" s="1"/>
  <c r="R334" i="21"/>
  <c r="C354" i="21" s="1"/>
  <c r="AO334" i="21"/>
  <c r="Z354" i="21" s="1"/>
  <c r="AO225" i="21"/>
  <c r="Z245" i="21" s="1"/>
  <c r="AA22" i="21"/>
  <c r="L42" i="21" s="1"/>
  <c r="U20" i="21"/>
  <c r="F40" i="21" s="1"/>
  <c r="AR12" i="21"/>
  <c r="AC32" i="21" s="1"/>
  <c r="AE20" i="21"/>
  <c r="P40" i="21" s="1"/>
  <c r="AX33" i="21"/>
  <c r="A62" i="21"/>
  <c r="A74" i="21"/>
  <c r="U11" i="21"/>
  <c r="F31" i="21" s="1"/>
  <c r="AC11" i="21"/>
  <c r="N31" i="21" s="1"/>
  <c r="AK11" i="21"/>
  <c r="V31" i="21" s="1"/>
  <c r="U12" i="21"/>
  <c r="F32" i="21" s="1"/>
  <c r="AC12" i="21"/>
  <c r="N32" i="21" s="1"/>
  <c r="AK12" i="21"/>
  <c r="V32" i="21" s="1"/>
  <c r="U13" i="21"/>
  <c r="F33" i="21" s="1"/>
  <c r="AC13" i="21"/>
  <c r="N33" i="21" s="1"/>
  <c r="AK13" i="21"/>
  <c r="V33" i="21" s="1"/>
  <c r="U14" i="21"/>
  <c r="F34" i="21" s="1"/>
  <c r="AD14" i="21"/>
  <c r="O34" i="21" s="1"/>
  <c r="AN14" i="21"/>
  <c r="Y34" i="21" s="1"/>
  <c r="U15" i="21"/>
  <c r="F35" i="21" s="1"/>
  <c r="AE15" i="21"/>
  <c r="P35" i="21" s="1"/>
  <c r="AP15" i="21"/>
  <c r="AA35" i="21" s="1"/>
  <c r="V16" i="21"/>
  <c r="G36" i="21" s="1"/>
  <c r="AF16" i="21"/>
  <c r="Q36" i="21" s="1"/>
  <c r="AQ16" i="21"/>
  <c r="AB36" i="21" s="1"/>
  <c r="W17" i="21"/>
  <c r="H37" i="21" s="1"/>
  <c r="AH17" i="21"/>
  <c r="S37" i="21" s="1"/>
  <c r="X18" i="21"/>
  <c r="I38" i="21" s="1"/>
  <c r="AI18" i="21"/>
  <c r="T38" i="21" s="1"/>
  <c r="Y19" i="21"/>
  <c r="J39" i="21" s="1"/>
  <c r="R20" i="21"/>
  <c r="C40" i="21" s="1"/>
  <c r="AH20" i="21"/>
  <c r="S40" i="21" s="1"/>
  <c r="AC22" i="21"/>
  <c r="N42" i="21" s="1"/>
  <c r="AM23" i="21"/>
  <c r="X43" i="21" s="1"/>
  <c r="AE23" i="21"/>
  <c r="P43" i="21" s="1"/>
  <c r="W23" i="21"/>
  <c r="H43" i="21" s="1"/>
  <c r="AR23" i="21"/>
  <c r="AC43" i="21" s="1"/>
  <c r="AJ23" i="21"/>
  <c r="U43" i="21" s="1"/>
  <c r="AB23" i="21"/>
  <c r="M43" i="21" s="1"/>
  <c r="T23" i="21"/>
  <c r="E43" i="21" s="1"/>
  <c r="AP23" i="21"/>
  <c r="AA43" i="21" s="1"/>
  <c r="AH23" i="21"/>
  <c r="S43" i="21" s="1"/>
  <c r="Z23" i="21"/>
  <c r="K43" i="21" s="1"/>
  <c r="R23" i="21"/>
  <c r="C43" i="21" s="1"/>
  <c r="AO23" i="21"/>
  <c r="Z43" i="21" s="1"/>
  <c r="AG23" i="21"/>
  <c r="R43" i="21" s="1"/>
  <c r="Y23" i="21"/>
  <c r="J43" i="21" s="1"/>
  <c r="Q23" i="21"/>
  <c r="B43" i="21" s="1"/>
  <c r="AF23" i="21"/>
  <c r="Q43" i="21" s="1"/>
  <c r="V25" i="21"/>
  <c r="AL25" i="21"/>
  <c r="AA27" i="21"/>
  <c r="L47" i="21" s="1"/>
  <c r="AQ27" i="21"/>
  <c r="AB47" i="21" s="1"/>
  <c r="AX31" i="21"/>
  <c r="AZ33" i="21"/>
  <c r="A75" i="21"/>
  <c r="A63" i="21"/>
  <c r="V11" i="21"/>
  <c r="G31" i="21" s="1"/>
  <c r="AD11" i="21"/>
  <c r="O31" i="21" s="1"/>
  <c r="AL11" i="21"/>
  <c r="W31" i="21" s="1"/>
  <c r="V12" i="21"/>
  <c r="G32" i="21" s="1"/>
  <c r="AD12" i="21"/>
  <c r="O32" i="21" s="1"/>
  <c r="AL12" i="21"/>
  <c r="W32" i="21" s="1"/>
  <c r="V13" i="21"/>
  <c r="G33" i="21" s="1"/>
  <c r="AD13" i="21"/>
  <c r="O33" i="21" s="1"/>
  <c r="AL13" i="21"/>
  <c r="W33" i="21" s="1"/>
  <c r="V14" i="21"/>
  <c r="G34" i="21" s="1"/>
  <c r="AE14" i="21"/>
  <c r="P34" i="21" s="1"/>
  <c r="AP14" i="21"/>
  <c r="AA34" i="21" s="1"/>
  <c r="X17" i="21"/>
  <c r="I37" i="21" s="1"/>
  <c r="AI17" i="21"/>
  <c r="T37" i="21" s="1"/>
  <c r="Z18" i="21"/>
  <c r="K38" i="21" s="1"/>
  <c r="AK18" i="21"/>
  <c r="V38" i="21" s="1"/>
  <c r="AX32" i="21"/>
  <c r="AL19" i="21"/>
  <c r="W39" i="21" s="1"/>
  <c r="AD19" i="21"/>
  <c r="O39" i="21" s="1"/>
  <c r="V19" i="21"/>
  <c r="G39" i="21" s="1"/>
  <c r="AK19" i="21"/>
  <c r="V39" i="21" s="1"/>
  <c r="AC19" i="21"/>
  <c r="N39" i="21" s="1"/>
  <c r="U19" i="21"/>
  <c r="F39" i="21" s="1"/>
  <c r="Z19" i="21"/>
  <c r="K39" i="21" s="1"/>
  <c r="AP19" i="21"/>
  <c r="AA39" i="21" s="1"/>
  <c r="AU22" i="21"/>
  <c r="AC27" i="21"/>
  <c r="N47" i="21" s="1"/>
  <c r="W11" i="21"/>
  <c r="H31" i="21" s="1"/>
  <c r="AE11" i="21"/>
  <c r="P31" i="21" s="1"/>
  <c r="AM11" i="21"/>
  <c r="X31" i="21" s="1"/>
  <c r="W12" i="21"/>
  <c r="H32" i="21" s="1"/>
  <c r="AE12" i="21"/>
  <c r="P32" i="21" s="1"/>
  <c r="AM12" i="21"/>
  <c r="X32" i="21" s="1"/>
  <c r="W13" i="21"/>
  <c r="H33" i="21" s="1"/>
  <c r="AE13" i="21"/>
  <c r="P33" i="21" s="1"/>
  <c r="AM13" i="21"/>
  <c r="X33" i="21" s="1"/>
  <c r="W14" i="21"/>
  <c r="H34" i="21" s="1"/>
  <c r="AF14" i="21"/>
  <c r="Q34" i="21" s="1"/>
  <c r="W15" i="21"/>
  <c r="H35" i="21" s="1"/>
  <c r="AH15" i="21"/>
  <c r="S35" i="21" s="1"/>
  <c r="X16" i="21"/>
  <c r="I36" i="21" s="1"/>
  <c r="AI16" i="21"/>
  <c r="T36" i="21" s="1"/>
  <c r="Z17" i="21"/>
  <c r="K37" i="21" s="1"/>
  <c r="AR18" i="21"/>
  <c r="AC38" i="21" s="1"/>
  <c r="AJ18" i="21"/>
  <c r="U38" i="21" s="1"/>
  <c r="AB18" i="21"/>
  <c r="M38" i="21" s="1"/>
  <c r="T18" i="21"/>
  <c r="E38" i="21" s="1"/>
  <c r="AO18" i="21"/>
  <c r="Z38" i="21" s="1"/>
  <c r="AG18" i="21"/>
  <c r="R38" i="21" s="1"/>
  <c r="Y18" i="21"/>
  <c r="J38" i="21" s="1"/>
  <c r="Q18" i="21"/>
  <c r="B38" i="21" s="1"/>
  <c r="AA18" i="21"/>
  <c r="L38" i="21" s="1"/>
  <c r="AL18" i="21"/>
  <c r="W38" i="21" s="1"/>
  <c r="AB19" i="21"/>
  <c r="M39" i="21" s="1"/>
  <c r="AR19" i="21"/>
  <c r="AC39" i="21" s="1"/>
  <c r="W20" i="21"/>
  <c r="H40" i="21" s="1"/>
  <c r="AM20" i="21"/>
  <c r="X40" i="21" s="1"/>
  <c r="AM22" i="21"/>
  <c r="X42" i="21" s="1"/>
  <c r="AE22" i="21"/>
  <c r="P42" i="21" s="1"/>
  <c r="W22" i="21"/>
  <c r="H42" i="21" s="1"/>
  <c r="AR22" i="21"/>
  <c r="AC42" i="21" s="1"/>
  <c r="AJ22" i="21"/>
  <c r="U42" i="21" s="1"/>
  <c r="AB22" i="21"/>
  <c r="M42" i="21" s="1"/>
  <c r="T22" i="21"/>
  <c r="E42" i="21" s="1"/>
  <c r="AP22" i="21"/>
  <c r="AA42" i="21" s="1"/>
  <c r="AH22" i="21"/>
  <c r="S42" i="21" s="1"/>
  <c r="Z22" i="21"/>
  <c r="K42" i="21" s="1"/>
  <c r="R22" i="21"/>
  <c r="C42" i="21" s="1"/>
  <c r="AO22" i="21"/>
  <c r="Z42" i="21" s="1"/>
  <c r="AG22" i="21"/>
  <c r="R42" i="21" s="1"/>
  <c r="Y22" i="21"/>
  <c r="J42" i="21" s="1"/>
  <c r="Q22" i="21"/>
  <c r="B42" i="21" s="1"/>
  <c r="AF22" i="21"/>
  <c r="Q42" i="21" s="1"/>
  <c r="U23" i="21"/>
  <c r="F43" i="21" s="1"/>
  <c r="AK23" i="21"/>
  <c r="V43" i="21" s="1"/>
  <c r="AA25" i="21"/>
  <c r="AQ25" i="21"/>
  <c r="AC26" i="21"/>
  <c r="X11" i="21"/>
  <c r="I31" i="21" s="1"/>
  <c r="AF11" i="21"/>
  <c r="Q31" i="21" s="1"/>
  <c r="AN11" i="21"/>
  <c r="Y31" i="21" s="1"/>
  <c r="X12" i="21"/>
  <c r="I32" i="21" s="1"/>
  <c r="AF12" i="21"/>
  <c r="Q32" i="21" s="1"/>
  <c r="AN12" i="21"/>
  <c r="Y32" i="21" s="1"/>
  <c r="X13" i="21"/>
  <c r="I33" i="21" s="1"/>
  <c r="AF13" i="21"/>
  <c r="Q33" i="21" s="1"/>
  <c r="AN13" i="21"/>
  <c r="Y33" i="21" s="1"/>
  <c r="AR14" i="21"/>
  <c r="AC34" i="21" s="1"/>
  <c r="AJ14" i="21"/>
  <c r="U34" i="21" s="1"/>
  <c r="AB14" i="21"/>
  <c r="M34" i="21" s="1"/>
  <c r="AO14" i="21"/>
  <c r="Z34" i="21" s="1"/>
  <c r="AG14" i="21"/>
  <c r="R34" i="21" s="1"/>
  <c r="X14" i="21"/>
  <c r="I34" i="21" s="1"/>
  <c r="AH14" i="21"/>
  <c r="S34" i="21" s="1"/>
  <c r="X15" i="21"/>
  <c r="I35" i="21" s="1"/>
  <c r="AI15" i="21"/>
  <c r="T35" i="21" s="1"/>
  <c r="Z16" i="21"/>
  <c r="K36" i="21" s="1"/>
  <c r="AV16" i="21"/>
  <c r="AR17" i="21"/>
  <c r="AC37" i="21" s="1"/>
  <c r="AJ17" i="21"/>
  <c r="U37" i="21" s="1"/>
  <c r="AB17" i="21"/>
  <c r="M37" i="21" s="1"/>
  <c r="T17" i="21"/>
  <c r="E37" i="21" s="1"/>
  <c r="AO17" i="21"/>
  <c r="Z37" i="21" s="1"/>
  <c r="AG17" i="21"/>
  <c r="R37" i="21" s="1"/>
  <c r="Y17" i="21"/>
  <c r="J37" i="21" s="1"/>
  <c r="Q17" i="21"/>
  <c r="B37" i="21" s="1"/>
  <c r="AA17" i="21"/>
  <c r="L37" i="21" s="1"/>
  <c r="AL17" i="21"/>
  <c r="W37" i="21" s="1"/>
  <c r="R18" i="21"/>
  <c r="C38" i="21" s="1"/>
  <c r="AC18" i="21"/>
  <c r="N38" i="21" s="1"/>
  <c r="AM18" i="21"/>
  <c r="X38" i="21" s="1"/>
  <c r="AQ19" i="21"/>
  <c r="AB39" i="21" s="1"/>
  <c r="AE19" i="21"/>
  <c r="P39" i="21" s="1"/>
  <c r="X20" i="21"/>
  <c r="I40" i="21" s="1"/>
  <c r="AN20" i="21"/>
  <c r="Y40" i="21" s="1"/>
  <c r="S22" i="21"/>
  <c r="D42" i="21" s="1"/>
  <c r="AI22" i="21"/>
  <c r="T42" i="21" s="1"/>
  <c r="AZ22" i="21"/>
  <c r="V23" i="21"/>
  <c r="G43" i="21" s="1"/>
  <c r="AL23" i="21"/>
  <c r="W43" i="21" s="1"/>
  <c r="AC25" i="21"/>
  <c r="AM27" i="21"/>
  <c r="X47" i="21" s="1"/>
  <c r="AE27" i="21"/>
  <c r="P47" i="21" s="1"/>
  <c r="W27" i="21"/>
  <c r="H47" i="21" s="1"/>
  <c r="AR27" i="21"/>
  <c r="AC47" i="21" s="1"/>
  <c r="AJ27" i="21"/>
  <c r="U47" i="21" s="1"/>
  <c r="AB27" i="21"/>
  <c r="M47" i="21" s="1"/>
  <c r="T27" i="21"/>
  <c r="E47" i="21" s="1"/>
  <c r="AP27" i="21"/>
  <c r="AA47" i="21" s="1"/>
  <c r="AH27" i="21"/>
  <c r="S47" i="21" s="1"/>
  <c r="Z27" i="21"/>
  <c r="K47" i="21" s="1"/>
  <c r="R27" i="21"/>
  <c r="C47" i="21" s="1"/>
  <c r="AO27" i="21"/>
  <c r="Z47" i="21" s="1"/>
  <c r="AG27" i="21"/>
  <c r="R47" i="21" s="1"/>
  <c r="Y27" i="21"/>
  <c r="J47" i="21" s="1"/>
  <c r="Q27" i="21"/>
  <c r="B47" i="21" s="1"/>
  <c r="AF27" i="21"/>
  <c r="Q47" i="21" s="1"/>
  <c r="A67" i="21"/>
  <c r="Q11" i="21"/>
  <c r="B31" i="21" s="1"/>
  <c r="Y11" i="21"/>
  <c r="J31" i="21" s="1"/>
  <c r="AG11" i="21"/>
  <c r="R31" i="21" s="1"/>
  <c r="AO11" i="21"/>
  <c r="Z31" i="21" s="1"/>
  <c r="AX11" i="21"/>
  <c r="Q12" i="21"/>
  <c r="B32" i="21" s="1"/>
  <c r="Y12" i="21"/>
  <c r="J32" i="21" s="1"/>
  <c r="AG12" i="21"/>
  <c r="R32" i="21" s="1"/>
  <c r="AO12" i="21"/>
  <c r="Z32" i="21" s="1"/>
  <c r="AX12" i="21"/>
  <c r="Q13" i="21"/>
  <c r="B33" i="21" s="1"/>
  <c r="Y13" i="21"/>
  <c r="J33" i="21" s="1"/>
  <c r="AG13" i="21"/>
  <c r="R33" i="21" s="1"/>
  <c r="AO13" i="21"/>
  <c r="Z33" i="21" s="1"/>
  <c r="Q14" i="21"/>
  <c r="B34" i="21" s="1"/>
  <c r="Y14" i="21"/>
  <c r="J34" i="21" s="1"/>
  <c r="AI14" i="21"/>
  <c r="T34" i="21" s="1"/>
  <c r="Z15" i="21"/>
  <c r="K35" i="21" s="1"/>
  <c r="AV15" i="21"/>
  <c r="AR16" i="21"/>
  <c r="AC36" i="21" s="1"/>
  <c r="AJ16" i="21"/>
  <c r="U36" i="21" s="1"/>
  <c r="AB16" i="21"/>
  <c r="M36" i="21" s="1"/>
  <c r="T16" i="21"/>
  <c r="E36" i="21" s="1"/>
  <c r="AO16" i="21"/>
  <c r="Z36" i="21" s="1"/>
  <c r="AG16" i="21"/>
  <c r="R36" i="21" s="1"/>
  <c r="Y16" i="21"/>
  <c r="J36" i="21" s="1"/>
  <c r="Q16" i="21"/>
  <c r="B36" i="21" s="1"/>
  <c r="AA16" i="21"/>
  <c r="L36" i="21" s="1"/>
  <c r="AL16" i="21"/>
  <c r="W36" i="21" s="1"/>
  <c r="R17" i="21"/>
  <c r="C37" i="21" s="1"/>
  <c r="AC17" i="21"/>
  <c r="N37" i="21" s="1"/>
  <c r="AM17" i="21"/>
  <c r="X37" i="21" s="1"/>
  <c r="S18" i="21"/>
  <c r="D38" i="21" s="1"/>
  <c r="AD18" i="21"/>
  <c r="O38" i="21" s="1"/>
  <c r="AN18" i="21"/>
  <c r="Y38" i="21" s="1"/>
  <c r="Q19" i="21"/>
  <c r="B39" i="21" s="1"/>
  <c r="AG19" i="21"/>
  <c r="R39" i="21" s="1"/>
  <c r="Z20" i="21"/>
  <c r="K40" i="21" s="1"/>
  <c r="AP20" i="21"/>
  <c r="AA40" i="21" s="1"/>
  <c r="U22" i="21"/>
  <c r="F42" i="21" s="1"/>
  <c r="AK22" i="21"/>
  <c r="V42" i="21" s="1"/>
  <c r="X23" i="21"/>
  <c r="I43" i="21" s="1"/>
  <c r="AN23" i="21"/>
  <c r="Y43" i="21" s="1"/>
  <c r="AM26" i="21"/>
  <c r="AE26" i="21"/>
  <c r="W26" i="21"/>
  <c r="AR26" i="21"/>
  <c r="AJ26" i="21"/>
  <c r="AB26" i="21"/>
  <c r="T26" i="21"/>
  <c r="AP26" i="21"/>
  <c r="AH26" i="21"/>
  <c r="Z26" i="21"/>
  <c r="R26" i="21"/>
  <c r="AO26" i="21"/>
  <c r="AG26" i="21"/>
  <c r="Y26" i="21"/>
  <c r="Q26" i="21"/>
  <c r="AF26" i="21"/>
  <c r="S27" i="21"/>
  <c r="D47" i="21" s="1"/>
  <c r="AI27" i="21"/>
  <c r="T47" i="21" s="1"/>
  <c r="AK120" i="21"/>
  <c r="V140" i="21" s="1"/>
  <c r="AB120" i="21"/>
  <c r="M140" i="21" s="1"/>
  <c r="S120" i="21"/>
  <c r="D140" i="21" s="1"/>
  <c r="AP120" i="21"/>
  <c r="AA140" i="21" s="1"/>
  <c r="AG120" i="21"/>
  <c r="R140" i="21" s="1"/>
  <c r="X120" i="21"/>
  <c r="I140" i="21" s="1"/>
  <c r="AL120" i="21"/>
  <c r="W140" i="21" s="1"/>
  <c r="AC120" i="21"/>
  <c r="N140" i="21" s="1"/>
  <c r="T120" i="21"/>
  <c r="E140" i="21" s="1"/>
  <c r="AN120" i="21"/>
  <c r="Y140" i="21" s="1"/>
  <c r="AI120" i="21"/>
  <c r="T140" i="21" s="1"/>
  <c r="AF120" i="21"/>
  <c r="Q140" i="21" s="1"/>
  <c r="AD120" i="21"/>
  <c r="O140" i="21" s="1"/>
  <c r="Z120" i="21"/>
  <c r="K140" i="21" s="1"/>
  <c r="V120" i="21"/>
  <c r="G140" i="21" s="1"/>
  <c r="AR120" i="21"/>
  <c r="AC140" i="21" s="1"/>
  <c r="U120" i="21"/>
  <c r="F140" i="21" s="1"/>
  <c r="AO120" i="21"/>
  <c r="Z140" i="21" s="1"/>
  <c r="Q120" i="21"/>
  <c r="B140" i="21" s="1"/>
  <c r="R11" i="21"/>
  <c r="C31" i="21" s="1"/>
  <c r="Z11" i="21"/>
  <c r="K31" i="21" s="1"/>
  <c r="AH11" i="21"/>
  <c r="S31" i="21" s="1"/>
  <c r="AP11" i="21"/>
  <c r="AA31" i="21" s="1"/>
  <c r="R12" i="21"/>
  <c r="C32" i="21" s="1"/>
  <c r="Z12" i="21"/>
  <c r="K32" i="21" s="1"/>
  <c r="AH12" i="21"/>
  <c r="S32" i="21" s="1"/>
  <c r="AP12" i="21"/>
  <c r="AA32" i="21" s="1"/>
  <c r="R13" i="21"/>
  <c r="C33" i="21" s="1"/>
  <c r="Z13" i="21"/>
  <c r="K33" i="21" s="1"/>
  <c r="AH13" i="21"/>
  <c r="S33" i="21" s="1"/>
  <c r="AP13" i="21"/>
  <c r="AA33" i="21" s="1"/>
  <c r="R14" i="21"/>
  <c r="C34" i="21" s="1"/>
  <c r="Z14" i="21"/>
  <c r="K34" i="21" s="1"/>
  <c r="AK14" i="21"/>
  <c r="V34" i="21" s="1"/>
  <c r="AV14" i="21"/>
  <c r="AR15" i="21"/>
  <c r="AC35" i="21" s="1"/>
  <c r="AJ15" i="21"/>
  <c r="U35" i="21" s="1"/>
  <c r="AB15" i="21"/>
  <c r="M35" i="21" s="1"/>
  <c r="T15" i="21"/>
  <c r="E35" i="21" s="1"/>
  <c r="AO15" i="21"/>
  <c r="Z35" i="21" s="1"/>
  <c r="AG15" i="21"/>
  <c r="R35" i="21" s="1"/>
  <c r="Y15" i="21"/>
  <c r="J35" i="21" s="1"/>
  <c r="Q15" i="21"/>
  <c r="B35" i="21" s="1"/>
  <c r="AA15" i="21"/>
  <c r="L35" i="21" s="1"/>
  <c r="AL15" i="21"/>
  <c r="W35" i="21" s="1"/>
  <c r="R16" i="21"/>
  <c r="C36" i="21" s="1"/>
  <c r="AC16" i="21"/>
  <c r="N36" i="21" s="1"/>
  <c r="AM16" i="21"/>
  <c r="X36" i="21" s="1"/>
  <c r="S17" i="21"/>
  <c r="D37" i="21" s="1"/>
  <c r="AD17" i="21"/>
  <c r="O37" i="21" s="1"/>
  <c r="AN17" i="21"/>
  <c r="Y37" i="21" s="1"/>
  <c r="AZ17" i="21"/>
  <c r="U18" i="21"/>
  <c r="F38" i="21" s="1"/>
  <c r="AE18" i="21"/>
  <c r="P38" i="21" s="1"/>
  <c r="AP18" i="21"/>
  <c r="AA38" i="21" s="1"/>
  <c r="R19" i="21"/>
  <c r="C39" i="21" s="1"/>
  <c r="AH19" i="21"/>
  <c r="S39" i="21" s="1"/>
  <c r="AC20" i="21"/>
  <c r="N40" i="21" s="1"/>
  <c r="V22" i="21"/>
  <c r="G42" i="21" s="1"/>
  <c r="AL22" i="21"/>
  <c r="W42" i="21" s="1"/>
  <c r="AA23" i="21"/>
  <c r="L43" i="21" s="1"/>
  <c r="AQ23" i="21"/>
  <c r="AB43" i="21" s="1"/>
  <c r="AM25" i="21"/>
  <c r="AE25" i="21"/>
  <c r="W25" i="21"/>
  <c r="AR25" i="21"/>
  <c r="AJ25" i="21"/>
  <c r="AB25" i="21"/>
  <c r="T25" i="21"/>
  <c r="AP25" i="21"/>
  <c r="AH25" i="21"/>
  <c r="Z25" i="21"/>
  <c r="R25" i="21"/>
  <c r="AO25" i="21"/>
  <c r="AG25" i="21"/>
  <c r="Y25" i="21"/>
  <c r="Q25" i="21"/>
  <c r="AF25" i="21"/>
  <c r="S26" i="21"/>
  <c r="AI26" i="21"/>
  <c r="U27" i="21"/>
  <c r="F47" i="21" s="1"/>
  <c r="AK27" i="21"/>
  <c r="V47" i="21" s="1"/>
  <c r="AZ27" i="21"/>
  <c r="A64" i="21"/>
  <c r="A76" i="21"/>
  <c r="S11" i="21"/>
  <c r="D31" i="21" s="1"/>
  <c r="AA11" i="21"/>
  <c r="L31" i="21" s="1"/>
  <c r="AI11" i="21"/>
  <c r="T31" i="21" s="1"/>
  <c r="AQ11" i="21"/>
  <c r="AB31" i="21" s="1"/>
  <c r="S12" i="21"/>
  <c r="D32" i="21" s="1"/>
  <c r="AA12" i="21"/>
  <c r="L32" i="21" s="1"/>
  <c r="AI12" i="21"/>
  <c r="T32" i="21" s="1"/>
  <c r="AQ12" i="21"/>
  <c r="AB32" i="21" s="1"/>
  <c r="S13" i="21"/>
  <c r="D33" i="21" s="1"/>
  <c r="AA13" i="21"/>
  <c r="L33" i="21" s="1"/>
  <c r="AI13" i="21"/>
  <c r="T33" i="21" s="1"/>
  <c r="AZ13" i="21"/>
  <c r="S14" i="21"/>
  <c r="D34" i="21" s="1"/>
  <c r="AA14" i="21"/>
  <c r="L34" i="21" s="1"/>
  <c r="AL14" i="21"/>
  <c r="W34" i="21" s="1"/>
  <c r="R15" i="21"/>
  <c r="C35" i="21" s="1"/>
  <c r="AC15" i="21"/>
  <c r="N35" i="21" s="1"/>
  <c r="AM15" i="21"/>
  <c r="X35" i="21" s="1"/>
  <c r="AY15" i="21"/>
  <c r="S16" i="21"/>
  <c r="D36" i="21" s="1"/>
  <c r="AD16" i="21"/>
  <c r="O36" i="21" s="1"/>
  <c r="AN16" i="21"/>
  <c r="Y36" i="21" s="1"/>
  <c r="AZ16" i="21"/>
  <c r="U17" i="21"/>
  <c r="F37" i="21" s="1"/>
  <c r="AE17" i="21"/>
  <c r="P37" i="21" s="1"/>
  <c r="AP17" i="21"/>
  <c r="AA37" i="21" s="1"/>
  <c r="V18" i="21"/>
  <c r="G38" i="21" s="1"/>
  <c r="AF18" i="21"/>
  <c r="Q38" i="21" s="1"/>
  <c r="AQ18" i="21"/>
  <c r="AB38" i="21" s="1"/>
  <c r="T19" i="21"/>
  <c r="E39" i="21" s="1"/>
  <c r="AJ19" i="21"/>
  <c r="U39" i="21" s="1"/>
  <c r="X22" i="21"/>
  <c r="I42" i="21" s="1"/>
  <c r="AN22" i="21"/>
  <c r="Y42" i="21" s="1"/>
  <c r="AC23" i="21"/>
  <c r="N43" i="21" s="1"/>
  <c r="AM24" i="21"/>
  <c r="X44" i="21" s="1"/>
  <c r="AE24" i="21"/>
  <c r="P44" i="21" s="1"/>
  <c r="W24" i="21"/>
  <c r="H44" i="21" s="1"/>
  <c r="AR24" i="21"/>
  <c r="AC44" i="21" s="1"/>
  <c r="AJ24" i="21"/>
  <c r="U44" i="21" s="1"/>
  <c r="AB24" i="21"/>
  <c r="M44" i="21" s="1"/>
  <c r="T24" i="21"/>
  <c r="E44" i="21" s="1"/>
  <c r="AP24" i="21"/>
  <c r="AA44" i="21" s="1"/>
  <c r="AH24" i="21"/>
  <c r="S44" i="21" s="1"/>
  <c r="Z24" i="21"/>
  <c r="K44" i="21" s="1"/>
  <c r="R24" i="21"/>
  <c r="C44" i="21" s="1"/>
  <c r="AO24" i="21"/>
  <c r="Z44" i="21" s="1"/>
  <c r="AG24" i="21"/>
  <c r="R44" i="21" s="1"/>
  <c r="Y24" i="21"/>
  <c r="J44" i="21" s="1"/>
  <c r="Q24" i="21"/>
  <c r="B44" i="21" s="1"/>
  <c r="AF24" i="21"/>
  <c r="Q44" i="21" s="1"/>
  <c r="S25" i="21"/>
  <c r="AI25" i="21"/>
  <c r="U26" i="21"/>
  <c r="AK26" i="21"/>
  <c r="V27" i="21"/>
  <c r="G47" i="21" s="1"/>
  <c r="AL27" i="21"/>
  <c r="W47" i="21" s="1"/>
  <c r="A77" i="21"/>
  <c r="A65" i="21"/>
  <c r="A66" i="21"/>
  <c r="AT29" i="21"/>
  <c r="AT19" i="21"/>
  <c r="T11" i="21"/>
  <c r="E31" i="21" s="1"/>
  <c r="AB11" i="21"/>
  <c r="M31" i="21" s="1"/>
  <c r="AJ11" i="21"/>
  <c r="U31" i="21" s="1"/>
  <c r="T12" i="21"/>
  <c r="E32" i="21" s="1"/>
  <c r="AB12" i="21"/>
  <c r="M32" i="21" s="1"/>
  <c r="AJ12" i="21"/>
  <c r="U32" i="21" s="1"/>
  <c r="T13" i="21"/>
  <c r="E33" i="21" s="1"/>
  <c r="AB13" i="21"/>
  <c r="M33" i="21" s="1"/>
  <c r="AJ13" i="21"/>
  <c r="U33" i="21" s="1"/>
  <c r="AR13" i="21"/>
  <c r="AC33" i="21" s="1"/>
  <c r="T14" i="21"/>
  <c r="E34" i="21" s="1"/>
  <c r="AC14" i="21"/>
  <c r="N34" i="21" s="1"/>
  <c r="AM14" i="21"/>
  <c r="X34" i="21" s="1"/>
  <c r="V17" i="21"/>
  <c r="G37" i="21" s="1"/>
  <c r="AF17" i="21"/>
  <c r="Q37" i="21" s="1"/>
  <c r="W18" i="21"/>
  <c r="H38" i="21" s="1"/>
  <c r="AU32" i="21"/>
  <c r="W19" i="21"/>
  <c r="H39" i="21" s="1"/>
  <c r="AM19" i="21"/>
  <c r="X39" i="21" s="1"/>
  <c r="AO20" i="21"/>
  <c r="Z40" i="21" s="1"/>
  <c r="AG20" i="21"/>
  <c r="R40" i="21" s="1"/>
  <c r="Y20" i="21"/>
  <c r="J40" i="21" s="1"/>
  <c r="Q20" i="21"/>
  <c r="B40" i="21" s="1"/>
  <c r="AL20" i="21"/>
  <c r="W40" i="21" s="1"/>
  <c r="AD20" i="21"/>
  <c r="O40" i="21" s="1"/>
  <c r="V20" i="21"/>
  <c r="G40" i="21" s="1"/>
  <c r="AR20" i="21"/>
  <c r="AC40" i="21" s="1"/>
  <c r="AJ20" i="21"/>
  <c r="U40" i="21" s="1"/>
  <c r="AB20" i="21"/>
  <c r="M40" i="21" s="1"/>
  <c r="T20" i="21"/>
  <c r="E40" i="21" s="1"/>
  <c r="AQ20" i="21"/>
  <c r="AB40" i="21" s="1"/>
  <c r="AI20" i="21"/>
  <c r="T40" i="21" s="1"/>
  <c r="AA20" i="21"/>
  <c r="L40" i="21" s="1"/>
  <c r="S20" i="21"/>
  <c r="D40" i="21" s="1"/>
  <c r="AF20" i="21"/>
  <c r="Q40" i="21" s="1"/>
  <c r="AU23" i="21"/>
  <c r="X27" i="21"/>
  <c r="I47" i="21" s="1"/>
  <c r="AN27" i="21"/>
  <c r="Y47" i="21" s="1"/>
  <c r="AR119" i="21"/>
  <c r="AC139" i="21" s="1"/>
  <c r="AI119" i="21"/>
  <c r="T139" i="21" s="1"/>
  <c r="Z119" i="21"/>
  <c r="K139" i="21" s="1"/>
  <c r="Q119" i="21"/>
  <c r="B139" i="21" s="1"/>
  <c r="AM119" i="21"/>
  <c r="X139" i="21" s="1"/>
  <c r="AD119" i="21"/>
  <c r="O139" i="21" s="1"/>
  <c r="U119" i="21"/>
  <c r="F139" i="21" s="1"/>
  <c r="AJ119" i="21"/>
  <c r="U139" i="21" s="1"/>
  <c r="AA119" i="21"/>
  <c r="L139" i="21" s="1"/>
  <c r="R119" i="21"/>
  <c r="C139" i="21" s="1"/>
  <c r="AK119" i="21"/>
  <c r="V139" i="21" s="1"/>
  <c r="X121" i="21"/>
  <c r="I141" i="21" s="1"/>
  <c r="AF123" i="21"/>
  <c r="Q143" i="21" s="1"/>
  <c r="AL119" i="21"/>
  <c r="W139" i="21" s="1"/>
  <c r="Y121" i="21"/>
  <c r="J141" i="21" s="1"/>
  <c r="AH123" i="21"/>
  <c r="S143" i="21" s="1"/>
  <c r="AM128" i="21"/>
  <c r="X148" i="21" s="1"/>
  <c r="AE128" i="21"/>
  <c r="P148" i="21" s="1"/>
  <c r="W128" i="21"/>
  <c r="H148" i="21" s="1"/>
  <c r="AQ128" i="21"/>
  <c r="AB148" i="21" s="1"/>
  <c r="AI128" i="21"/>
  <c r="T148" i="21" s="1"/>
  <c r="AA128" i="21"/>
  <c r="L148" i="21" s="1"/>
  <c r="S128" i="21"/>
  <c r="D148" i="21" s="1"/>
  <c r="AH128" i="21"/>
  <c r="S148" i="21" s="1"/>
  <c r="U128" i="21"/>
  <c r="F148" i="21" s="1"/>
  <c r="AG128" i="21"/>
  <c r="R148" i="21" s="1"/>
  <c r="T128" i="21"/>
  <c r="E148" i="21" s="1"/>
  <c r="AR128" i="21"/>
  <c r="AC148" i="21" s="1"/>
  <c r="AD128" i="21"/>
  <c r="O148" i="21" s="1"/>
  <c r="R128" i="21"/>
  <c r="C148" i="21" s="1"/>
  <c r="AP128" i="21"/>
  <c r="AA148" i="21" s="1"/>
  <c r="AC128" i="21"/>
  <c r="N148" i="21" s="1"/>
  <c r="Q128" i="21"/>
  <c r="B148" i="21" s="1"/>
  <c r="AO128" i="21"/>
  <c r="Z148" i="21" s="1"/>
  <c r="AB128" i="21"/>
  <c r="M148" i="21" s="1"/>
  <c r="AJ128" i="21"/>
  <c r="U148" i="21" s="1"/>
  <c r="V128" i="21"/>
  <c r="G148" i="21" s="1"/>
  <c r="AK132" i="21"/>
  <c r="U132" i="21"/>
  <c r="AD132" i="21"/>
  <c r="AP132" i="21"/>
  <c r="Z132" i="21"/>
  <c r="AB121" i="21"/>
  <c r="M141" i="21" s="1"/>
  <c r="AL123" i="21"/>
  <c r="W143" i="21" s="1"/>
  <c r="AA123" i="21"/>
  <c r="L143" i="21" s="1"/>
  <c r="Q123" i="21"/>
  <c r="B143" i="21" s="1"/>
  <c r="AQ123" i="21"/>
  <c r="AB143" i="21" s="1"/>
  <c r="AG123" i="21"/>
  <c r="R143" i="21" s="1"/>
  <c r="V123" i="21"/>
  <c r="G143" i="21" s="1"/>
  <c r="AN123" i="21"/>
  <c r="Y143" i="21" s="1"/>
  <c r="AC123" i="21"/>
  <c r="N143" i="21" s="1"/>
  <c r="R123" i="21"/>
  <c r="C143" i="21" s="1"/>
  <c r="AO123" i="21"/>
  <c r="Z143" i="21" s="1"/>
  <c r="X19" i="21"/>
  <c r="I39" i="21" s="1"/>
  <c r="AF19" i="21"/>
  <c r="Q39" i="21" s="1"/>
  <c r="AN19" i="21"/>
  <c r="Y39" i="21" s="1"/>
  <c r="AZ32" i="21"/>
  <c r="A69" i="21"/>
  <c r="A81" i="21"/>
  <c r="A68" i="21"/>
  <c r="AL117" i="21"/>
  <c r="W137" i="21" s="1"/>
  <c r="AC117" i="21"/>
  <c r="N137" i="21" s="1"/>
  <c r="T117" i="21"/>
  <c r="E137" i="21" s="1"/>
  <c r="AQ117" i="21"/>
  <c r="AB137" i="21" s="1"/>
  <c r="AG117" i="21"/>
  <c r="R137" i="21" s="1"/>
  <c r="X117" i="21"/>
  <c r="I137" i="21" s="1"/>
  <c r="AM117" i="21"/>
  <c r="X137" i="21" s="1"/>
  <c r="AD117" i="21"/>
  <c r="O137" i="21" s="1"/>
  <c r="U117" i="21"/>
  <c r="F137" i="21" s="1"/>
  <c r="AF117" i="21"/>
  <c r="Q137" i="21" s="1"/>
  <c r="AO118" i="21"/>
  <c r="Z138" i="21" s="1"/>
  <c r="AG118" i="21"/>
  <c r="R138" i="21" s="1"/>
  <c r="Y118" i="21"/>
  <c r="J138" i="21" s="1"/>
  <c r="Q118" i="21"/>
  <c r="B138" i="21" s="1"/>
  <c r="AP118" i="21"/>
  <c r="AA138" i="21" s="1"/>
  <c r="AF118" i="21"/>
  <c r="Q138" i="21" s="1"/>
  <c r="W118" i="21"/>
  <c r="H138" i="21" s="1"/>
  <c r="AN118" i="21"/>
  <c r="Y138" i="21" s="1"/>
  <c r="AE118" i="21"/>
  <c r="P138" i="21" s="1"/>
  <c r="V118" i="21"/>
  <c r="G138" i="21" s="1"/>
  <c r="AL118" i="21"/>
  <c r="W138" i="21" s="1"/>
  <c r="AC118" i="21"/>
  <c r="N138" i="21" s="1"/>
  <c r="T118" i="21"/>
  <c r="E138" i="21" s="1"/>
  <c r="AK118" i="21"/>
  <c r="V138" i="21" s="1"/>
  <c r="AB118" i="21"/>
  <c r="M138" i="21" s="1"/>
  <c r="S118" i="21"/>
  <c r="D138" i="21" s="1"/>
  <c r="AQ118" i="21"/>
  <c r="AB138" i="21" s="1"/>
  <c r="AH118" i="21"/>
  <c r="S138" i="21" s="1"/>
  <c r="X118" i="21"/>
  <c r="I138" i="21" s="1"/>
  <c r="AM118" i="21"/>
  <c r="X138" i="21" s="1"/>
  <c r="T119" i="21"/>
  <c r="E139" i="21" s="1"/>
  <c r="AP123" i="21"/>
  <c r="AA143" i="21" s="1"/>
  <c r="AM125" i="21"/>
  <c r="X145" i="21" s="1"/>
  <c r="AA125" i="21"/>
  <c r="L145" i="21" s="1"/>
  <c r="AJ125" i="21"/>
  <c r="U145" i="21" s="1"/>
  <c r="W125" i="21"/>
  <c r="H145" i="21" s="1"/>
  <c r="AR125" i="21"/>
  <c r="AC145" i="21" s="1"/>
  <c r="AE125" i="21"/>
  <c r="P145" i="21" s="1"/>
  <c r="S125" i="21"/>
  <c r="D145" i="21" s="1"/>
  <c r="AH121" i="21"/>
  <c r="S141" i="21" s="1"/>
  <c r="AM129" i="21"/>
  <c r="X149" i="21" s="1"/>
  <c r="AE129" i="21"/>
  <c r="P149" i="21" s="1"/>
  <c r="W129" i="21"/>
  <c r="H149" i="21" s="1"/>
  <c r="AL129" i="21"/>
  <c r="W149" i="21" s="1"/>
  <c r="AD129" i="21"/>
  <c r="O149" i="21" s="1"/>
  <c r="V129" i="21"/>
  <c r="G149" i="21" s="1"/>
  <c r="AR129" i="21"/>
  <c r="AC149" i="21" s="1"/>
  <c r="AJ129" i="21"/>
  <c r="U149" i="21" s="1"/>
  <c r="AB129" i="21"/>
  <c r="M149" i="21" s="1"/>
  <c r="T129" i="21"/>
  <c r="E149" i="21" s="1"/>
  <c r="AP129" i="21"/>
  <c r="AA149" i="21" s="1"/>
  <c r="AH129" i="21"/>
  <c r="S149" i="21" s="1"/>
  <c r="Z129" i="21"/>
  <c r="K149" i="21" s="1"/>
  <c r="R129" i="21"/>
  <c r="C149" i="21" s="1"/>
  <c r="AO129" i="21"/>
  <c r="Z149" i="21" s="1"/>
  <c r="Y129" i="21"/>
  <c r="J149" i="21" s="1"/>
  <c r="AN129" i="21"/>
  <c r="Y149" i="21" s="1"/>
  <c r="X129" i="21"/>
  <c r="I149" i="21" s="1"/>
  <c r="AK129" i="21"/>
  <c r="V149" i="21" s="1"/>
  <c r="U129" i="21"/>
  <c r="F149" i="21" s="1"/>
  <c r="AI129" i="21"/>
  <c r="T149" i="21" s="1"/>
  <c r="S129" i="21"/>
  <c r="D149" i="21" s="1"/>
  <c r="AG129" i="21"/>
  <c r="R149" i="21" s="1"/>
  <c r="Q129" i="21"/>
  <c r="B149" i="21" s="1"/>
  <c r="AQ129" i="21"/>
  <c r="AB149" i="21" s="1"/>
  <c r="AA129" i="21"/>
  <c r="L149" i="21" s="1"/>
  <c r="Q227" i="21"/>
  <c r="B247" i="21" s="1"/>
  <c r="AR227" i="21"/>
  <c r="AC247" i="21" s="1"/>
  <c r="AO227" i="21"/>
  <c r="Z247" i="21" s="1"/>
  <c r="AE227" i="21"/>
  <c r="P247" i="21" s="1"/>
  <c r="AB227" i="21"/>
  <c r="M247" i="21" s="1"/>
  <c r="Y227" i="21"/>
  <c r="J247" i="21" s="1"/>
  <c r="AK121" i="21"/>
  <c r="V141" i="21" s="1"/>
  <c r="S19" i="21"/>
  <c r="D39" i="21" s="1"/>
  <c r="AA19" i="21"/>
  <c r="L39" i="21" s="1"/>
  <c r="AI19" i="21"/>
  <c r="T39" i="21" s="1"/>
  <c r="AC119" i="21"/>
  <c r="N139" i="21" s="1"/>
  <c r="AL121" i="21"/>
  <c r="W141" i="21" s="1"/>
  <c r="AD121" i="21"/>
  <c r="O141" i="21" s="1"/>
  <c r="V121" i="21"/>
  <c r="G141" i="21" s="1"/>
  <c r="AN121" i="21"/>
  <c r="Y141" i="21" s="1"/>
  <c r="AE121" i="21"/>
  <c r="P141" i="21" s="1"/>
  <c r="U121" i="21"/>
  <c r="F141" i="21" s="1"/>
  <c r="AM121" i="21"/>
  <c r="X141" i="21" s="1"/>
  <c r="AC121" i="21"/>
  <c r="N141" i="21" s="1"/>
  <c r="T121" i="21"/>
  <c r="E141" i="21" s="1"/>
  <c r="AJ121" i="21"/>
  <c r="U141" i="21" s="1"/>
  <c r="AA121" i="21"/>
  <c r="L141" i="21" s="1"/>
  <c r="R121" i="21"/>
  <c r="C141" i="21" s="1"/>
  <c r="AR121" i="21"/>
  <c r="AC141" i="21" s="1"/>
  <c r="AI121" i="21"/>
  <c r="T141" i="21" s="1"/>
  <c r="Z121" i="21"/>
  <c r="K141" i="21" s="1"/>
  <c r="Q121" i="21"/>
  <c r="B141" i="21" s="1"/>
  <c r="AO121" i="21"/>
  <c r="Z141" i="21" s="1"/>
  <c r="AF121" i="21"/>
  <c r="Q141" i="21" s="1"/>
  <c r="W121" i="21"/>
  <c r="H141" i="21" s="1"/>
  <c r="AP121" i="21"/>
  <c r="AA141" i="21" s="1"/>
  <c r="Y123" i="21"/>
  <c r="J143" i="21" s="1"/>
  <c r="T125" i="21"/>
  <c r="E145" i="21" s="1"/>
  <c r="AK128" i="21"/>
  <c r="V148" i="21" s="1"/>
  <c r="AF129" i="21"/>
  <c r="Q149" i="21" s="1"/>
  <c r="S121" i="21"/>
  <c r="D141" i="21" s="1"/>
  <c r="AK122" i="21"/>
  <c r="V142" i="21" s="1"/>
  <c r="AC122" i="21"/>
  <c r="N142" i="21" s="1"/>
  <c r="U122" i="21"/>
  <c r="F142" i="21" s="1"/>
  <c r="Y122" i="21"/>
  <c r="J142" i="21" s="1"/>
  <c r="AH122" i="21"/>
  <c r="S142" i="21" s="1"/>
  <c r="AQ122" i="21"/>
  <c r="AB142" i="21" s="1"/>
  <c r="AQ124" i="21"/>
  <c r="AB144" i="21" s="1"/>
  <c r="AI124" i="21"/>
  <c r="T144" i="21" s="1"/>
  <c r="AA124" i="21"/>
  <c r="L144" i="21" s="1"/>
  <c r="S124" i="21"/>
  <c r="D144" i="21" s="1"/>
  <c r="AP124" i="21"/>
  <c r="AA144" i="21" s="1"/>
  <c r="AH124" i="21"/>
  <c r="S144" i="21" s="1"/>
  <c r="Z124" i="21"/>
  <c r="K144" i="21" s="1"/>
  <c r="AL124" i="21"/>
  <c r="W144" i="21" s="1"/>
  <c r="AD124" i="21"/>
  <c r="O144" i="21" s="1"/>
  <c r="V124" i="21"/>
  <c r="G144" i="21" s="1"/>
  <c r="AB124" i="21"/>
  <c r="M144" i="21" s="1"/>
  <c r="AN124" i="21"/>
  <c r="Y144" i="21" s="1"/>
  <c r="W130" i="21"/>
  <c r="H150" i="21" s="1"/>
  <c r="AM130" i="21"/>
  <c r="X150" i="21" s="1"/>
  <c r="A175" i="21"/>
  <c r="A187" i="21"/>
  <c r="AR226" i="21"/>
  <c r="AC246" i="21" s="1"/>
  <c r="AJ226" i="21"/>
  <c r="U246" i="21" s="1"/>
  <c r="AB226" i="21"/>
  <c r="M246" i="21" s="1"/>
  <c r="T226" i="21"/>
  <c r="E246" i="21" s="1"/>
  <c r="AQ226" i="21"/>
  <c r="AB246" i="21" s="1"/>
  <c r="AI226" i="21"/>
  <c r="T246" i="21" s="1"/>
  <c r="AA226" i="21"/>
  <c r="L246" i="21" s="1"/>
  <c r="S226" i="21"/>
  <c r="D246" i="21" s="1"/>
  <c r="AK226" i="21"/>
  <c r="V246" i="21" s="1"/>
  <c r="Y226" i="21"/>
  <c r="J246" i="21" s="1"/>
  <c r="AO226" i="21"/>
  <c r="Z246" i="21" s="1"/>
  <c r="AE226" i="21"/>
  <c r="P246" i="21" s="1"/>
  <c r="U226" i="21"/>
  <c r="F246" i="21" s="1"/>
  <c r="AP226" i="21"/>
  <c r="AA246" i="21" s="1"/>
  <c r="AC226" i="21"/>
  <c r="N246" i="21" s="1"/>
  <c r="AN226" i="21"/>
  <c r="Y246" i="21" s="1"/>
  <c r="Z226" i="21"/>
  <c r="K246" i="21" s="1"/>
  <c r="AM226" i="21"/>
  <c r="X246" i="21" s="1"/>
  <c r="X226" i="21"/>
  <c r="I246" i="21" s="1"/>
  <c r="AL226" i="21"/>
  <c r="W246" i="21" s="1"/>
  <c r="W226" i="21"/>
  <c r="H246" i="21" s="1"/>
  <c r="AG226" i="21"/>
  <c r="R246" i="21" s="1"/>
  <c r="R226" i="21"/>
  <c r="C246" i="21" s="1"/>
  <c r="AP230" i="21"/>
  <c r="AA250" i="21" s="1"/>
  <c r="AH230" i="21"/>
  <c r="S250" i="21" s="1"/>
  <c r="Z230" i="21"/>
  <c r="K250" i="21" s="1"/>
  <c r="R230" i="21"/>
  <c r="C250" i="21" s="1"/>
  <c r="AO230" i="21"/>
  <c r="Z250" i="21" s="1"/>
  <c r="AG230" i="21"/>
  <c r="R250" i="21" s="1"/>
  <c r="Y230" i="21"/>
  <c r="J250" i="21" s="1"/>
  <c r="Q230" i="21"/>
  <c r="B250" i="21" s="1"/>
  <c r="AJ230" i="21"/>
  <c r="U250" i="21" s="1"/>
  <c r="X230" i="21"/>
  <c r="I250" i="21" s="1"/>
  <c r="AI230" i="21"/>
  <c r="T250" i="21" s="1"/>
  <c r="W230" i="21"/>
  <c r="H250" i="21" s="1"/>
  <c r="AK230" i="21"/>
  <c r="V250" i="21" s="1"/>
  <c r="U230" i="21"/>
  <c r="F250" i="21" s="1"/>
  <c r="AF230" i="21"/>
  <c r="Q250" i="21" s="1"/>
  <c r="T230" i="21"/>
  <c r="E250" i="21" s="1"/>
  <c r="AQ230" i="21"/>
  <c r="AB250" i="21" s="1"/>
  <c r="AC230" i="21"/>
  <c r="N250" i="21" s="1"/>
  <c r="AN230" i="21"/>
  <c r="Y250" i="21" s="1"/>
  <c r="AB230" i="21"/>
  <c r="M250" i="21" s="1"/>
  <c r="AM230" i="21"/>
  <c r="X250" i="21" s="1"/>
  <c r="AL230" i="21"/>
  <c r="W250" i="21" s="1"/>
  <c r="AE230" i="21"/>
  <c r="P250" i="21" s="1"/>
  <c r="AD230" i="21"/>
  <c r="O250" i="21" s="1"/>
  <c r="V230" i="21"/>
  <c r="G250" i="21" s="1"/>
  <c r="A172" i="21"/>
  <c r="A184" i="21"/>
  <c r="AC227" i="21"/>
  <c r="N247" i="21" s="1"/>
  <c r="A276" i="21"/>
  <c r="A288" i="21"/>
  <c r="S122" i="21"/>
  <c r="D142" i="21" s="1"/>
  <c r="AB122" i="21"/>
  <c r="M142" i="21" s="1"/>
  <c r="AL122" i="21"/>
  <c r="W142" i="21" s="1"/>
  <c r="T124" i="21"/>
  <c r="E144" i="21" s="1"/>
  <c r="AF124" i="21"/>
  <c r="Q144" i="21" s="1"/>
  <c r="Z126" i="21"/>
  <c r="K146" i="21" s="1"/>
  <c r="AL126" i="21"/>
  <c r="W146" i="21" s="1"/>
  <c r="AN128" i="21"/>
  <c r="Y148" i="21" s="1"/>
  <c r="AB130" i="21"/>
  <c r="M150" i="21" s="1"/>
  <c r="AR130" i="21"/>
  <c r="AC150" i="21" s="1"/>
  <c r="AR132" i="21"/>
  <c r="AJ132" i="21"/>
  <c r="AB132" i="21"/>
  <c r="T132" i="21"/>
  <c r="AQ132" i="21"/>
  <c r="AI132" i="21"/>
  <c r="AA132" i="21"/>
  <c r="S132" i="21"/>
  <c r="AO132" i="21"/>
  <c r="AG132" i="21"/>
  <c r="Y132" i="21"/>
  <c r="Q132" i="21"/>
  <c r="AM132" i="21"/>
  <c r="AE132" i="21"/>
  <c r="W132" i="21"/>
  <c r="AF132" i="21"/>
  <c r="AD226" i="21"/>
  <c r="O246" i="21" s="1"/>
  <c r="AR230" i="21"/>
  <c r="AC250" i="21" s="1"/>
  <c r="AA257" i="21"/>
  <c r="AQ238" i="21"/>
  <c r="AB258" i="21" s="1"/>
  <c r="AI238" i="21"/>
  <c r="T258" i="21" s="1"/>
  <c r="AA238" i="21"/>
  <c r="L258" i="21" s="1"/>
  <c r="S238" i="21"/>
  <c r="D258" i="21" s="1"/>
  <c r="AP238" i="21"/>
  <c r="AA258" i="21" s="1"/>
  <c r="AH238" i="21"/>
  <c r="S258" i="21" s="1"/>
  <c r="Z238" i="21"/>
  <c r="K258" i="21" s="1"/>
  <c r="R238" i="21"/>
  <c r="C258" i="21" s="1"/>
  <c r="AK238" i="21"/>
  <c r="V258" i="21" s="1"/>
  <c r="Y238" i="21"/>
  <c r="J258" i="21" s="1"/>
  <c r="AJ238" i="21"/>
  <c r="U258" i="21" s="1"/>
  <c r="X238" i="21"/>
  <c r="I258" i="21" s="1"/>
  <c r="AN238" i="21"/>
  <c r="Y258" i="21" s="1"/>
  <c r="AB238" i="21"/>
  <c r="M258" i="21" s="1"/>
  <c r="AM238" i="21"/>
  <c r="X258" i="21" s="1"/>
  <c r="W238" i="21"/>
  <c r="H258" i="21" s="1"/>
  <c r="AF238" i="21"/>
  <c r="Q258" i="21" s="1"/>
  <c r="T238" i="21"/>
  <c r="E258" i="21" s="1"/>
  <c r="AE238" i="21"/>
  <c r="P258" i="21" s="1"/>
  <c r="Q238" i="21"/>
  <c r="B258" i="21" s="1"/>
  <c r="AL238" i="21"/>
  <c r="W258" i="21" s="1"/>
  <c r="AG238" i="21"/>
  <c r="R258" i="21" s="1"/>
  <c r="AD238" i="21"/>
  <c r="O258" i="21" s="1"/>
  <c r="AC238" i="21"/>
  <c r="N258" i="21" s="1"/>
  <c r="U238" i="21"/>
  <c r="F258" i="21" s="1"/>
  <c r="AP117" i="21"/>
  <c r="AA137" i="21" s="1"/>
  <c r="AH117" i="21"/>
  <c r="S137" i="21" s="1"/>
  <c r="Z117" i="21"/>
  <c r="K137" i="21" s="1"/>
  <c r="R117" i="21"/>
  <c r="C137" i="21" s="1"/>
  <c r="Y117" i="21"/>
  <c r="J137" i="21" s="1"/>
  <c r="AI117" i="21"/>
  <c r="T137" i="21" s="1"/>
  <c r="AR117" i="21"/>
  <c r="AC137" i="21" s="1"/>
  <c r="V119" i="21"/>
  <c r="G139" i="21" s="1"/>
  <c r="AE119" i="21"/>
  <c r="P139" i="21" s="1"/>
  <c r="AO119" i="21"/>
  <c r="Z139" i="21" s="1"/>
  <c r="AM120" i="21"/>
  <c r="X140" i="21" s="1"/>
  <c r="AE120" i="21"/>
  <c r="P140" i="21" s="1"/>
  <c r="W120" i="21"/>
  <c r="H140" i="21" s="1"/>
  <c r="Y120" i="21"/>
  <c r="J140" i="21" s="1"/>
  <c r="AH120" i="21"/>
  <c r="S140" i="21" s="1"/>
  <c r="AQ120" i="21"/>
  <c r="AB140" i="21" s="1"/>
  <c r="T122" i="21"/>
  <c r="E142" i="21" s="1"/>
  <c r="AD122" i="21"/>
  <c r="O142" i="21" s="1"/>
  <c r="AM122" i="21"/>
  <c r="X142" i="21" s="1"/>
  <c r="X123" i="21"/>
  <c r="I143" i="21" s="1"/>
  <c r="U124" i="21"/>
  <c r="F144" i="21" s="1"/>
  <c r="AG124" i="21"/>
  <c r="R144" i="21" s="1"/>
  <c r="X125" i="21"/>
  <c r="I145" i="21" s="1"/>
  <c r="AL125" i="21"/>
  <c r="W145" i="21" s="1"/>
  <c r="AA126" i="21"/>
  <c r="L146" i="21" s="1"/>
  <c r="AM126" i="21"/>
  <c r="X146" i="21" s="1"/>
  <c r="AM131" i="21"/>
  <c r="R132" i="21"/>
  <c r="AH132" i="21"/>
  <c r="AC133" i="21"/>
  <c r="N153" i="21" s="1"/>
  <c r="A180" i="21"/>
  <c r="A168" i="21"/>
  <c r="A173" i="21"/>
  <c r="AF225" i="21"/>
  <c r="Q245" i="21" s="1"/>
  <c r="R225" i="21"/>
  <c r="C245" i="21" s="1"/>
  <c r="AF226" i="21"/>
  <c r="Q246" i="21" s="1"/>
  <c r="V238" i="21"/>
  <c r="G258" i="21" s="1"/>
  <c r="AR240" i="21"/>
  <c r="AH240" i="21"/>
  <c r="V240" i="21"/>
  <c r="AQ240" i="21"/>
  <c r="AE240" i="21"/>
  <c r="U240" i="21"/>
  <c r="AK240" i="21"/>
  <c r="W240" i="21"/>
  <c r="AJ240" i="21"/>
  <c r="T240" i="21"/>
  <c r="AC240" i="21"/>
  <c r="AP240" i="21"/>
  <c r="AB240" i="21"/>
  <c r="AA240" i="21"/>
  <c r="Z240" i="21"/>
  <c r="S240" i="21"/>
  <c r="R240" i="21"/>
  <c r="AL240" i="21"/>
  <c r="AL130" i="21"/>
  <c r="W150" i="21" s="1"/>
  <c r="AD130" i="21"/>
  <c r="O150" i="21" s="1"/>
  <c r="V130" i="21"/>
  <c r="G150" i="21" s="1"/>
  <c r="AK130" i="21"/>
  <c r="V150" i="21" s="1"/>
  <c r="AC130" i="21"/>
  <c r="N150" i="21" s="1"/>
  <c r="U130" i="21"/>
  <c r="F150" i="21" s="1"/>
  <c r="AQ130" i="21"/>
  <c r="AB150" i="21" s="1"/>
  <c r="AI130" i="21"/>
  <c r="T150" i="21" s="1"/>
  <c r="AA130" i="21"/>
  <c r="L150" i="21" s="1"/>
  <c r="S130" i="21"/>
  <c r="D150" i="21" s="1"/>
  <c r="AO130" i="21"/>
  <c r="Z150" i="21" s="1"/>
  <c r="AG130" i="21"/>
  <c r="R150" i="21" s="1"/>
  <c r="Y130" i="21"/>
  <c r="J150" i="21" s="1"/>
  <c r="Q130" i="21"/>
  <c r="B150" i="21" s="1"/>
  <c r="AF130" i="21"/>
  <c r="Q150" i="21" s="1"/>
  <c r="S117" i="21"/>
  <c r="D137" i="21" s="1"/>
  <c r="AB117" i="21"/>
  <c r="M137" i="21" s="1"/>
  <c r="AK117" i="21"/>
  <c r="V137" i="21" s="1"/>
  <c r="AN119" i="21"/>
  <c r="Y139" i="21" s="1"/>
  <c r="Y119" i="21"/>
  <c r="J139" i="21" s="1"/>
  <c r="AH119" i="21"/>
  <c r="S139" i="21" s="1"/>
  <c r="R120" i="21"/>
  <c r="C140" i="21" s="1"/>
  <c r="AA120" i="21"/>
  <c r="L140" i="21" s="1"/>
  <c r="AJ120" i="21"/>
  <c r="U140" i="21" s="1"/>
  <c r="W122" i="21"/>
  <c r="H142" i="21" s="1"/>
  <c r="AF122" i="21"/>
  <c r="Q142" i="21" s="1"/>
  <c r="AO122" i="21"/>
  <c r="Z142" i="21" s="1"/>
  <c r="AR123" i="21"/>
  <c r="AC143" i="21" s="1"/>
  <c r="AJ123" i="21"/>
  <c r="U143" i="21" s="1"/>
  <c r="AB123" i="21"/>
  <c r="M143" i="21" s="1"/>
  <c r="T123" i="21"/>
  <c r="E143" i="21" s="1"/>
  <c r="AM123" i="21"/>
  <c r="X143" i="21" s="1"/>
  <c r="AE123" i="21"/>
  <c r="P143" i="21" s="1"/>
  <c r="W123" i="21"/>
  <c r="H143" i="21" s="1"/>
  <c r="Z123" i="21"/>
  <c r="K143" i="21" s="1"/>
  <c r="AK123" i="21"/>
  <c r="V143" i="21" s="1"/>
  <c r="X124" i="21"/>
  <c r="I144" i="21" s="1"/>
  <c r="AK124" i="21"/>
  <c r="V144" i="21" s="1"/>
  <c r="AB125" i="21"/>
  <c r="M145" i="21" s="1"/>
  <c r="R126" i="21"/>
  <c r="C146" i="21" s="1"/>
  <c r="AD126" i="21"/>
  <c r="O146" i="21" s="1"/>
  <c r="AQ126" i="21"/>
  <c r="AB146" i="21" s="1"/>
  <c r="R130" i="21"/>
  <c r="C150" i="21" s="1"/>
  <c r="AH130" i="21"/>
  <c r="S150" i="21" s="1"/>
  <c r="AJ131" i="21"/>
  <c r="AB131" i="21"/>
  <c r="T131" i="21"/>
  <c r="AP131" i="21"/>
  <c r="AH131" i="21"/>
  <c r="Z131" i="21"/>
  <c r="R131" i="21"/>
  <c r="AA131" i="21"/>
  <c r="AQ131" i="21"/>
  <c r="V132" i="21"/>
  <c r="AL132" i="21"/>
  <c r="Q133" i="21"/>
  <c r="B153" i="21" s="1"/>
  <c r="AG133" i="21"/>
  <c r="R153" i="21" s="1"/>
  <c r="X225" i="21"/>
  <c r="I245" i="21" s="1"/>
  <c r="AR238" i="21"/>
  <c r="AC258" i="21" s="1"/>
  <c r="X122" i="21"/>
  <c r="I142" i="21" s="1"/>
  <c r="AG122" i="21"/>
  <c r="R142" i="21" s="1"/>
  <c r="AP122" i="21"/>
  <c r="AA142" i="21" s="1"/>
  <c r="Y124" i="21"/>
  <c r="J144" i="21" s="1"/>
  <c r="AM124" i="21"/>
  <c r="X144" i="21" s="1"/>
  <c r="AP125" i="21"/>
  <c r="AA145" i="21" s="1"/>
  <c r="AH125" i="21"/>
  <c r="S145" i="21" s="1"/>
  <c r="Z125" i="21"/>
  <c r="K145" i="21" s="1"/>
  <c r="R125" i="21"/>
  <c r="C145" i="21" s="1"/>
  <c r="AO125" i="21"/>
  <c r="Z145" i="21" s="1"/>
  <c r="AG125" i="21"/>
  <c r="R145" i="21" s="1"/>
  <c r="Y125" i="21"/>
  <c r="J145" i="21" s="1"/>
  <c r="Q125" i="21"/>
  <c r="B145" i="21" s="1"/>
  <c r="AK125" i="21"/>
  <c r="V145" i="21" s="1"/>
  <c r="AC125" i="21"/>
  <c r="N145" i="21" s="1"/>
  <c r="U125" i="21"/>
  <c r="F145" i="21" s="1"/>
  <c r="AD125" i="21"/>
  <c r="O145" i="21" s="1"/>
  <c r="AQ125" i="21"/>
  <c r="AB145" i="21" s="1"/>
  <c r="S126" i="21"/>
  <c r="D146" i="21" s="1"/>
  <c r="T130" i="21"/>
  <c r="E150" i="21" s="1"/>
  <c r="AJ130" i="21"/>
  <c r="U150" i="21" s="1"/>
  <c r="X132" i="21"/>
  <c r="AN132" i="21"/>
  <c r="T133" i="21"/>
  <c r="E153" i="21" s="1"/>
  <c r="A170" i="21"/>
  <c r="A182" i="21"/>
  <c r="AK236" i="21"/>
  <c r="V256" i="21" s="1"/>
  <c r="AC236" i="21"/>
  <c r="N256" i="21" s="1"/>
  <c r="U236" i="21"/>
  <c r="F256" i="21" s="1"/>
  <c r="AR236" i="21"/>
  <c r="AC256" i="21" s="1"/>
  <c r="AJ236" i="21"/>
  <c r="U256" i="21" s="1"/>
  <c r="AB236" i="21"/>
  <c r="M256" i="21" s="1"/>
  <c r="T236" i="21"/>
  <c r="E256" i="21" s="1"/>
  <c r="AN236" i="21"/>
  <c r="Y256" i="21" s="1"/>
  <c r="AD236" i="21"/>
  <c r="O256" i="21" s="1"/>
  <c r="R236" i="21"/>
  <c r="C256" i="21" s="1"/>
  <c r="AM236" i="21"/>
  <c r="X256" i="21" s="1"/>
  <c r="AA236" i="21"/>
  <c r="L256" i="21" s="1"/>
  <c r="Q236" i="21"/>
  <c r="B256" i="21" s="1"/>
  <c r="AQ236" i="21"/>
  <c r="AB256" i="21" s="1"/>
  <c r="AE236" i="21"/>
  <c r="P256" i="21" s="1"/>
  <c r="AP236" i="21"/>
  <c r="AA256" i="21" s="1"/>
  <c r="Z236" i="21"/>
  <c r="K256" i="21" s="1"/>
  <c r="AI236" i="21"/>
  <c r="T256" i="21" s="1"/>
  <c r="W236" i="21"/>
  <c r="H256" i="21" s="1"/>
  <c r="AH236" i="21"/>
  <c r="S256" i="21" s="1"/>
  <c r="V236" i="21"/>
  <c r="G256" i="21" s="1"/>
  <c r="AO236" i="21"/>
  <c r="Z256" i="21" s="1"/>
  <c r="AL236" i="21"/>
  <c r="W256" i="21" s="1"/>
  <c r="AG236" i="21"/>
  <c r="R256" i="21" s="1"/>
  <c r="AF236" i="21"/>
  <c r="Q256" i="21" s="1"/>
  <c r="X236" i="21"/>
  <c r="I256" i="21" s="1"/>
  <c r="AD240" i="21"/>
  <c r="Z146" i="21"/>
  <c r="T126" i="21"/>
  <c r="E146" i="21" s="1"/>
  <c r="AB126" i="21"/>
  <c r="M146" i="21" s="1"/>
  <c r="AJ126" i="21"/>
  <c r="U146" i="21" s="1"/>
  <c r="AR126" i="21"/>
  <c r="AC146" i="21" s="1"/>
  <c r="X131" i="21"/>
  <c r="AF131" i="21"/>
  <c r="AN131" i="21"/>
  <c r="V133" i="21"/>
  <c r="G153" i="21" s="1"/>
  <c r="AD133" i="21"/>
  <c r="O153" i="21" s="1"/>
  <c r="AL133" i="21"/>
  <c r="W153" i="21" s="1"/>
  <c r="Z225" i="21"/>
  <c r="K245" i="21" s="1"/>
  <c r="AC228" i="21"/>
  <c r="N248" i="21" s="1"/>
  <c r="T241" i="21"/>
  <c r="E261" i="21" s="1"/>
  <c r="X133" i="21"/>
  <c r="I153" i="21" s="1"/>
  <c r="AF133" i="21"/>
  <c r="Q153" i="21" s="1"/>
  <c r="AN133" i="21"/>
  <c r="Y153" i="21" s="1"/>
  <c r="AK225" i="21"/>
  <c r="V245" i="21" s="1"/>
  <c r="AC225" i="21"/>
  <c r="N245" i="21" s="1"/>
  <c r="U225" i="21"/>
  <c r="F245" i="21" s="1"/>
  <c r="AR225" i="21"/>
  <c r="AC245" i="21" s="1"/>
  <c r="AJ225" i="21"/>
  <c r="U245" i="21" s="1"/>
  <c r="AB225" i="21"/>
  <c r="M245" i="21" s="1"/>
  <c r="T225" i="21"/>
  <c r="E245" i="21" s="1"/>
  <c r="AM225" i="21"/>
  <c r="X245" i="21" s="1"/>
  <c r="AA225" i="21"/>
  <c r="L245" i="21" s="1"/>
  <c r="Q225" i="21"/>
  <c r="B245" i="21" s="1"/>
  <c r="AQ225" i="21"/>
  <c r="AB245" i="21" s="1"/>
  <c r="AG225" i="21"/>
  <c r="R245" i="21" s="1"/>
  <c r="W225" i="21"/>
  <c r="H245" i="21" s="1"/>
  <c r="AE225" i="21"/>
  <c r="P245" i="21" s="1"/>
  <c r="AQ227" i="21"/>
  <c r="AB247" i="21" s="1"/>
  <c r="AI227" i="21"/>
  <c r="T247" i="21" s="1"/>
  <c r="AA227" i="21"/>
  <c r="L247" i="21" s="1"/>
  <c r="S227" i="21"/>
  <c r="D247" i="21" s="1"/>
  <c r="AP227" i="21"/>
  <c r="AA247" i="21" s="1"/>
  <c r="AH227" i="21"/>
  <c r="S247" i="21" s="1"/>
  <c r="Z227" i="21"/>
  <c r="K247" i="21" s="1"/>
  <c r="R227" i="21"/>
  <c r="C247" i="21" s="1"/>
  <c r="AJ227" i="21"/>
  <c r="U247" i="21" s="1"/>
  <c r="X227" i="21"/>
  <c r="I247" i="21" s="1"/>
  <c r="AG227" i="21"/>
  <c r="R247" i="21" s="1"/>
  <c r="W227" i="21"/>
  <c r="H247" i="21" s="1"/>
  <c r="AN227" i="21"/>
  <c r="Y247" i="21" s="1"/>
  <c r="AD227" i="21"/>
  <c r="O247" i="21" s="1"/>
  <c r="T227" i="21"/>
  <c r="E247" i="21" s="1"/>
  <c r="AF227" i="21"/>
  <c r="Q247" i="21" s="1"/>
  <c r="AF228" i="21"/>
  <c r="Q248" i="21" s="1"/>
  <c r="AL231" i="21"/>
  <c r="W251" i="21" s="1"/>
  <c r="Z231" i="21"/>
  <c r="K251" i="21" s="1"/>
  <c r="AI231" i="21"/>
  <c r="T251" i="21" s="1"/>
  <c r="S231" i="21"/>
  <c r="D251" i="21" s="1"/>
  <c r="AD231" i="21"/>
  <c r="O251" i="21" s="1"/>
  <c r="R231" i="21"/>
  <c r="C251" i="21" s="1"/>
  <c r="AP231" i="21"/>
  <c r="AA251" i="21" s="1"/>
  <c r="Z241" i="21"/>
  <c r="K261" i="21" s="1"/>
  <c r="AK227" i="21"/>
  <c r="V247" i="21" s="1"/>
  <c r="AO231" i="21"/>
  <c r="Z251" i="21" s="1"/>
  <c r="AL239" i="21"/>
  <c r="V239" i="21"/>
  <c r="AN239" i="21"/>
  <c r="A279" i="21"/>
  <c r="A291" i="21"/>
  <c r="X126" i="21"/>
  <c r="I146" i="21" s="1"/>
  <c r="AF126" i="21"/>
  <c r="Q146" i="21" s="1"/>
  <c r="AN126" i="21"/>
  <c r="Y146" i="21" s="1"/>
  <c r="AR131" i="21"/>
  <c r="R133" i="21"/>
  <c r="C153" i="21" s="1"/>
  <c r="Z133" i="21"/>
  <c r="K153" i="21" s="1"/>
  <c r="AH133" i="21"/>
  <c r="S153" i="21" s="1"/>
  <c r="AP133" i="21"/>
  <c r="AA153" i="21" s="1"/>
  <c r="S225" i="21"/>
  <c r="D245" i="21" s="1"/>
  <c r="AH225" i="21"/>
  <c r="S245" i="21" s="1"/>
  <c r="U227" i="21"/>
  <c r="F247" i="21" s="1"/>
  <c r="AL227" i="21"/>
  <c r="W247" i="21" s="1"/>
  <c r="AR228" i="21"/>
  <c r="AC248" i="21" s="1"/>
  <c r="AJ228" i="21"/>
  <c r="U248" i="21" s="1"/>
  <c r="AB228" i="21"/>
  <c r="M248" i="21" s="1"/>
  <c r="AQ228" i="21"/>
  <c r="AB248" i="21" s="1"/>
  <c r="AI228" i="21"/>
  <c r="T248" i="21" s="1"/>
  <c r="AA228" i="21"/>
  <c r="L248" i="21" s="1"/>
  <c r="AL228" i="21"/>
  <c r="W248" i="21" s="1"/>
  <c r="Z228" i="21"/>
  <c r="K248" i="21" s="1"/>
  <c r="R228" i="21"/>
  <c r="C248" i="21" s="1"/>
  <c r="AK228" i="21"/>
  <c r="V248" i="21" s="1"/>
  <c r="Y228" i="21"/>
  <c r="J248" i="21" s="1"/>
  <c r="Q228" i="21"/>
  <c r="B248" i="21" s="1"/>
  <c r="AM228" i="21"/>
  <c r="X248" i="21" s="1"/>
  <c r="W228" i="21"/>
  <c r="H248" i="21" s="1"/>
  <c r="AH228" i="21"/>
  <c r="S248" i="21" s="1"/>
  <c r="V228" i="21"/>
  <c r="G248" i="21" s="1"/>
  <c r="AE228" i="21"/>
  <c r="P248" i="21" s="1"/>
  <c r="S228" i="21"/>
  <c r="D248" i="21" s="1"/>
  <c r="AN228" i="21"/>
  <c r="Y248" i="21" s="1"/>
  <c r="T231" i="21"/>
  <c r="E251" i="21" s="1"/>
  <c r="AO241" i="21"/>
  <c r="Z261" i="21" s="1"/>
  <c r="AC241" i="21"/>
  <c r="N261" i="21" s="1"/>
  <c r="S241" i="21"/>
  <c r="D261" i="21" s="1"/>
  <c r="AL241" i="21"/>
  <c r="W261" i="21" s="1"/>
  <c r="AB241" i="21"/>
  <c r="M261" i="21" s="1"/>
  <c r="R241" i="21"/>
  <c r="C261" i="21" s="1"/>
  <c r="AR241" i="21"/>
  <c r="AC261" i="21" s="1"/>
  <c r="AD241" i="21"/>
  <c r="O261" i="21" s="1"/>
  <c r="AQ241" i="21"/>
  <c r="AB261" i="21" s="1"/>
  <c r="AA241" i="21"/>
  <c r="L261" i="21" s="1"/>
  <c r="AJ241" i="21"/>
  <c r="U261" i="21" s="1"/>
  <c r="V241" i="21"/>
  <c r="G261" i="21" s="1"/>
  <c r="AI241" i="21"/>
  <c r="T261" i="21" s="1"/>
  <c r="U241" i="21"/>
  <c r="F261" i="21" s="1"/>
  <c r="AH241" i="21"/>
  <c r="S261" i="21" s="1"/>
  <c r="X119" i="21"/>
  <c r="I139" i="21" s="1"/>
  <c r="AF119" i="21"/>
  <c r="Q139" i="21" s="1"/>
  <c r="Q126" i="21"/>
  <c r="B146" i="21" s="1"/>
  <c r="Y126" i="21"/>
  <c r="J146" i="21" s="1"/>
  <c r="AG126" i="21"/>
  <c r="R146" i="21" s="1"/>
  <c r="X128" i="21"/>
  <c r="I148" i="21" s="1"/>
  <c r="AF128" i="21"/>
  <c r="Q148" i="21" s="1"/>
  <c r="U131" i="21"/>
  <c r="AC131" i="21"/>
  <c r="S133" i="21"/>
  <c r="D153" i="21" s="1"/>
  <c r="AA133" i="21"/>
  <c r="L153" i="21" s="1"/>
  <c r="AI133" i="21"/>
  <c r="T153" i="21" s="1"/>
  <c r="V225" i="21"/>
  <c r="G245" i="21" s="1"/>
  <c r="AI225" i="21"/>
  <c r="T245" i="21" s="1"/>
  <c r="V227" i="21"/>
  <c r="G247" i="21" s="1"/>
  <c r="AM227" i="21"/>
  <c r="X247" i="21" s="1"/>
  <c r="T228" i="21"/>
  <c r="E248" i="21" s="1"/>
  <c r="AO228" i="21"/>
  <c r="Z248" i="21" s="1"/>
  <c r="W231" i="21"/>
  <c r="H251" i="21" s="1"/>
  <c r="T239" i="21"/>
  <c r="AK241" i="21"/>
  <c r="V261" i="21" s="1"/>
  <c r="AA234" i="21"/>
  <c r="L254" i="21" s="1"/>
  <c r="AO234" i="21"/>
  <c r="Z254" i="21" s="1"/>
  <c r="AK237" i="21"/>
  <c r="V257" i="21" s="1"/>
  <c r="Y237" i="21"/>
  <c r="J257" i="21" s="1"/>
  <c r="X237" i="21"/>
  <c r="I257" i="21" s="1"/>
  <c r="AN237" i="21"/>
  <c r="Y257" i="21" s="1"/>
  <c r="A292" i="21"/>
  <c r="A280" i="21"/>
  <c r="AC337" i="21"/>
  <c r="N357" i="21" s="1"/>
  <c r="AO232" i="21"/>
  <c r="Z252" i="21" s="1"/>
  <c r="AC232" i="21"/>
  <c r="N252" i="21" s="1"/>
  <c r="S232" i="21"/>
  <c r="D252" i="21" s="1"/>
  <c r="AL232" i="21"/>
  <c r="W252" i="21" s="1"/>
  <c r="AB232" i="21"/>
  <c r="M252" i="21" s="1"/>
  <c r="R232" i="21"/>
  <c r="C252" i="21" s="1"/>
  <c r="Z232" i="21"/>
  <c r="K252" i="21" s="1"/>
  <c r="AP232" i="21"/>
  <c r="AA252" i="21" s="1"/>
  <c r="AL234" i="21"/>
  <c r="W254" i="21" s="1"/>
  <c r="AD234" i="21"/>
  <c r="O254" i="21" s="1"/>
  <c r="V234" i="21"/>
  <c r="G254" i="21" s="1"/>
  <c r="AK234" i="21"/>
  <c r="V254" i="21" s="1"/>
  <c r="AC234" i="21"/>
  <c r="N254" i="21" s="1"/>
  <c r="U234" i="21"/>
  <c r="F254" i="21" s="1"/>
  <c r="AQ234" i="21"/>
  <c r="AB254" i="21" s="1"/>
  <c r="AG234" i="21"/>
  <c r="R254" i="21" s="1"/>
  <c r="W234" i="21"/>
  <c r="H254" i="21" s="1"/>
  <c r="AP234" i="21"/>
  <c r="AA254" i="21" s="1"/>
  <c r="AF234" i="21"/>
  <c r="Q254" i="21" s="1"/>
  <c r="T234" i="21"/>
  <c r="E254" i="21" s="1"/>
  <c r="AB234" i="21"/>
  <c r="M254" i="21" s="1"/>
  <c r="AR234" i="21"/>
  <c r="AC254" i="21" s="1"/>
  <c r="AC237" i="21"/>
  <c r="N257" i="21" s="1"/>
  <c r="AO237" i="21"/>
  <c r="Z257" i="21" s="1"/>
  <c r="AA239" i="21"/>
  <c r="AO240" i="21"/>
  <c r="N249" i="21"/>
  <c r="AQ335" i="21"/>
  <c r="AB355" i="21" s="1"/>
  <c r="AI335" i="21"/>
  <c r="T355" i="21" s="1"/>
  <c r="AA335" i="21"/>
  <c r="L355" i="21" s="1"/>
  <c r="S335" i="21"/>
  <c r="D355" i="21" s="1"/>
  <c r="AP335" i="21"/>
  <c r="AA355" i="21" s="1"/>
  <c r="AH335" i="21"/>
  <c r="S355" i="21" s="1"/>
  <c r="Z335" i="21"/>
  <c r="K355" i="21" s="1"/>
  <c r="R335" i="21"/>
  <c r="C355" i="21" s="1"/>
  <c r="AK335" i="21"/>
  <c r="V355" i="21" s="1"/>
  <c r="Y335" i="21"/>
  <c r="J355" i="21" s="1"/>
  <c r="AJ335" i="21"/>
  <c r="U355" i="21" s="1"/>
  <c r="X335" i="21"/>
  <c r="I355" i="21" s="1"/>
  <c r="AL335" i="21"/>
  <c r="W355" i="21" s="1"/>
  <c r="V335" i="21"/>
  <c r="G355" i="21" s="1"/>
  <c r="AG335" i="21"/>
  <c r="R355" i="21" s="1"/>
  <c r="U335" i="21"/>
  <c r="F355" i="21" s="1"/>
  <c r="AM335" i="21"/>
  <c r="X355" i="21" s="1"/>
  <c r="Q335" i="21"/>
  <c r="B355" i="21" s="1"/>
  <c r="AC335" i="21"/>
  <c r="N355" i="21" s="1"/>
  <c r="AR335" i="21"/>
  <c r="AC355" i="21" s="1"/>
  <c r="AB335" i="21"/>
  <c r="M355" i="21" s="1"/>
  <c r="AO335" i="21"/>
  <c r="Z355" i="21" s="1"/>
  <c r="W335" i="21"/>
  <c r="H355" i="21" s="1"/>
  <c r="AR337" i="21"/>
  <c r="AC357" i="21" s="1"/>
  <c r="AH337" i="21"/>
  <c r="S357" i="21" s="1"/>
  <c r="V337" i="21"/>
  <c r="G357" i="21" s="1"/>
  <c r="AQ337" i="21"/>
  <c r="AB357" i="21" s="1"/>
  <c r="AE337" i="21"/>
  <c r="P357" i="21" s="1"/>
  <c r="U337" i="21"/>
  <c r="F357" i="21" s="1"/>
  <c r="AI337" i="21"/>
  <c r="T357" i="21" s="1"/>
  <c r="S337" i="21"/>
  <c r="D357" i="21" s="1"/>
  <c r="AD337" i="21"/>
  <c r="O357" i="21" s="1"/>
  <c r="R337" i="21"/>
  <c r="C357" i="21" s="1"/>
  <c r="AJ337" i="21"/>
  <c r="U357" i="21" s="1"/>
  <c r="AP337" i="21"/>
  <c r="AA357" i="21" s="1"/>
  <c r="Z337" i="21"/>
  <c r="K357" i="21" s="1"/>
  <c r="AM337" i="21"/>
  <c r="X357" i="21" s="1"/>
  <c r="W337" i="21"/>
  <c r="H357" i="21" s="1"/>
  <c r="AL337" i="21"/>
  <c r="W357" i="21" s="1"/>
  <c r="T337" i="21"/>
  <c r="E357" i="21" s="1"/>
  <c r="S234" i="21"/>
  <c r="D254" i="21" s="1"/>
  <c r="R237" i="21"/>
  <c r="C257" i="21" s="1"/>
  <c r="AF237" i="21"/>
  <c r="Q257" i="21" s="1"/>
  <c r="AP239" i="21"/>
  <c r="AH239" i="21"/>
  <c r="Z239" i="21"/>
  <c r="R239" i="21"/>
  <c r="AO239" i="21"/>
  <c r="AG239" i="21"/>
  <c r="Y239" i="21"/>
  <c r="Q239" i="21"/>
  <c r="AJ239" i="21"/>
  <c r="X239" i="21"/>
  <c r="AI239" i="21"/>
  <c r="W239" i="21"/>
  <c r="AD239" i="21"/>
  <c r="AR239" i="21"/>
  <c r="T335" i="21"/>
  <c r="E355" i="21" s="1"/>
  <c r="AQ229" i="21"/>
  <c r="AB249" i="21" s="1"/>
  <c r="AI229" i="21"/>
  <c r="T249" i="21" s="1"/>
  <c r="AA229" i="21"/>
  <c r="L249" i="21" s="1"/>
  <c r="S229" i="21"/>
  <c r="D249" i="21" s="1"/>
  <c r="AP229" i="21"/>
  <c r="AA249" i="21" s="1"/>
  <c r="AH229" i="21"/>
  <c r="S249" i="21" s="1"/>
  <c r="Z229" i="21"/>
  <c r="K249" i="21" s="1"/>
  <c r="R229" i="21"/>
  <c r="C249" i="21" s="1"/>
  <c r="AK229" i="21"/>
  <c r="V249" i="21" s="1"/>
  <c r="Y229" i="21"/>
  <c r="J249" i="21" s="1"/>
  <c r="AJ229" i="21"/>
  <c r="U249" i="21" s="1"/>
  <c r="X229" i="21"/>
  <c r="I249" i="21" s="1"/>
  <c r="AD229" i="21"/>
  <c r="O249" i="21" s="1"/>
  <c r="AR229" i="21"/>
  <c r="AC249" i="21" s="1"/>
  <c r="AR231" i="21"/>
  <c r="AC251" i="21" s="1"/>
  <c r="AH231" i="21"/>
  <c r="S251" i="21" s="1"/>
  <c r="V231" i="21"/>
  <c r="G251" i="21" s="1"/>
  <c r="AQ231" i="21"/>
  <c r="AB251" i="21" s="1"/>
  <c r="AE231" i="21"/>
  <c r="P251" i="21" s="1"/>
  <c r="U231" i="21"/>
  <c r="F251" i="21" s="1"/>
  <c r="AA231" i="21"/>
  <c r="L251" i="21" s="1"/>
  <c r="AM231" i="21"/>
  <c r="X251" i="21" s="1"/>
  <c r="T232" i="21"/>
  <c r="E252" i="21" s="1"/>
  <c r="AH232" i="21"/>
  <c r="S252" i="21" s="1"/>
  <c r="X234" i="21"/>
  <c r="I254" i="21" s="1"/>
  <c r="AJ234" i="21"/>
  <c r="U254" i="21" s="1"/>
  <c r="U237" i="21"/>
  <c r="F257" i="21" s="1"/>
  <c r="AG237" i="21"/>
  <c r="R257" i="21" s="1"/>
  <c r="S239" i="21"/>
  <c r="AE239" i="21"/>
  <c r="AN241" i="21"/>
  <c r="Y261" i="21" s="1"/>
  <c r="A277" i="21"/>
  <c r="AD335" i="21"/>
  <c r="O355" i="21" s="1"/>
  <c r="AO337" i="21"/>
  <c r="Z357" i="21" s="1"/>
  <c r="A283" i="21"/>
  <c r="AE334" i="21"/>
  <c r="P354" i="21" s="1"/>
  <c r="Q334" i="21"/>
  <c r="B354" i="21" s="1"/>
  <c r="AP334" i="21"/>
  <c r="AA354" i="21" s="1"/>
  <c r="AD334" i="21"/>
  <c r="O354" i="21" s="1"/>
  <c r="AC334" i="21"/>
  <c r="N354" i="21" s="1"/>
  <c r="U334" i="21"/>
  <c r="F354" i="21" s="1"/>
  <c r="AM334" i="21"/>
  <c r="X354" i="21" s="1"/>
  <c r="AP336" i="21"/>
  <c r="AA356" i="21" s="1"/>
  <c r="AH336" i="21"/>
  <c r="S356" i="21" s="1"/>
  <c r="Z336" i="21"/>
  <c r="K356" i="21" s="1"/>
  <c r="R336" i="21"/>
  <c r="C356" i="21" s="1"/>
  <c r="AO336" i="21"/>
  <c r="Z356" i="21" s="1"/>
  <c r="AG336" i="21"/>
  <c r="R356" i="21" s="1"/>
  <c r="Y336" i="21"/>
  <c r="J356" i="21" s="1"/>
  <c r="Q336" i="21"/>
  <c r="B356" i="21" s="1"/>
  <c r="AJ336" i="21"/>
  <c r="U356" i="21" s="1"/>
  <c r="X336" i="21"/>
  <c r="I356" i="21" s="1"/>
  <c r="AI336" i="21"/>
  <c r="T356" i="21" s="1"/>
  <c r="W336" i="21"/>
  <c r="H356" i="21" s="1"/>
  <c r="AQ336" i="21"/>
  <c r="AB356" i="21" s="1"/>
  <c r="AC336" i="21"/>
  <c r="N356" i="21" s="1"/>
  <c r="AN336" i="21"/>
  <c r="Y356" i="21" s="1"/>
  <c r="AB336" i="21"/>
  <c r="M356" i="21" s="1"/>
  <c r="AF336" i="21"/>
  <c r="Q356" i="21" s="1"/>
  <c r="AK334" i="21"/>
  <c r="V354" i="21" s="1"/>
  <c r="R340" i="21"/>
  <c r="C360" i="21" s="1"/>
  <c r="AN340" i="21"/>
  <c r="Y360" i="21" s="1"/>
  <c r="S341" i="21"/>
  <c r="D361" i="21" s="1"/>
  <c r="V343" i="21"/>
  <c r="G363" i="21" s="1"/>
  <c r="AC346" i="21"/>
  <c r="N366" i="21" s="1"/>
  <c r="AI350" i="21"/>
  <c r="T370" i="21" s="1"/>
  <c r="Y350" i="21"/>
  <c r="J370" i="21" s="1"/>
  <c r="AO350" i="21"/>
  <c r="Z370" i="21" s="1"/>
  <c r="AM233" i="21"/>
  <c r="X253" i="21" s="1"/>
  <c r="AE233" i="21"/>
  <c r="P253" i="21" s="1"/>
  <c r="W233" i="21"/>
  <c r="H253" i="21" s="1"/>
  <c r="AL233" i="21"/>
  <c r="W253" i="21" s="1"/>
  <c r="AD233" i="21"/>
  <c r="O253" i="21" s="1"/>
  <c r="V233" i="21"/>
  <c r="G253" i="21" s="1"/>
  <c r="Z233" i="21"/>
  <c r="K253" i="21" s="1"/>
  <c r="AJ233" i="21"/>
  <c r="U253" i="21" s="1"/>
  <c r="AR237" i="21"/>
  <c r="AC257" i="21" s="1"/>
  <c r="AJ237" i="21"/>
  <c r="U257" i="21" s="1"/>
  <c r="AB237" i="21"/>
  <c r="M257" i="21" s="1"/>
  <c r="T237" i="21"/>
  <c r="E257" i="21" s="1"/>
  <c r="AQ237" i="21"/>
  <c r="AB257" i="21" s="1"/>
  <c r="AI237" i="21"/>
  <c r="T257" i="21" s="1"/>
  <c r="AA237" i="21"/>
  <c r="L257" i="21" s="1"/>
  <c r="S237" i="21"/>
  <c r="D257" i="21" s="1"/>
  <c r="Z237" i="21"/>
  <c r="K257" i="21" s="1"/>
  <c r="AL237" i="21"/>
  <c r="W257" i="21" s="1"/>
  <c r="AO338" i="21"/>
  <c r="Z358" i="21" s="1"/>
  <c r="AC338" i="21"/>
  <c r="N358" i="21" s="1"/>
  <c r="S338" i="21"/>
  <c r="D358" i="21" s="1"/>
  <c r="AL338" i="21"/>
  <c r="W358" i="21" s="1"/>
  <c r="AB338" i="21"/>
  <c r="M358" i="21" s="1"/>
  <c r="R338" i="21"/>
  <c r="C358" i="21" s="1"/>
  <c r="Z338" i="21"/>
  <c r="K358" i="21" s="1"/>
  <c r="AP338" i="21"/>
  <c r="AA358" i="21" s="1"/>
  <c r="S340" i="21"/>
  <c r="D360" i="21" s="1"/>
  <c r="AO340" i="21"/>
  <c r="Z360" i="21" s="1"/>
  <c r="Y341" i="21"/>
  <c r="J361" i="21" s="1"/>
  <c r="AP342" i="21"/>
  <c r="AA362" i="21" s="1"/>
  <c r="AF342" i="21"/>
  <c r="Q362" i="21" s="1"/>
  <c r="V342" i="21"/>
  <c r="G362" i="21" s="1"/>
  <c r="AO342" i="21"/>
  <c r="Z362" i="21" s="1"/>
  <c r="AE342" i="21"/>
  <c r="P362" i="21" s="1"/>
  <c r="U342" i="21"/>
  <c r="F362" i="21" s="1"/>
  <c r="AN342" i="21"/>
  <c r="Y362" i="21" s="1"/>
  <c r="AD342" i="21"/>
  <c r="O362" i="21" s="1"/>
  <c r="R342" i="21"/>
  <c r="C362" i="21" s="1"/>
  <c r="AH342" i="21"/>
  <c r="S362" i="21" s="1"/>
  <c r="W343" i="21"/>
  <c r="H363" i="21" s="1"/>
  <c r="AI346" i="21"/>
  <c r="T366" i="21" s="1"/>
  <c r="AH350" i="21"/>
  <c r="S370" i="21" s="1"/>
  <c r="Z341" i="21"/>
  <c r="K361" i="21" s="1"/>
  <c r="AB343" i="21"/>
  <c r="M363" i="21" s="1"/>
  <c r="AR345" i="21"/>
  <c r="AC365" i="21" s="1"/>
  <c r="AF345" i="21"/>
  <c r="Q365" i="21" s="1"/>
  <c r="V345" i="21"/>
  <c r="G365" i="21" s="1"/>
  <c r="AP346" i="21"/>
  <c r="AA366" i="21" s="1"/>
  <c r="AD346" i="21"/>
  <c r="O366" i="21" s="1"/>
  <c r="T346" i="21"/>
  <c r="E366" i="21" s="1"/>
  <c r="AL346" i="21"/>
  <c r="W366" i="21" s="1"/>
  <c r="AB346" i="21"/>
  <c r="M366" i="21" s="1"/>
  <c r="R346" i="21"/>
  <c r="C366" i="21" s="1"/>
  <c r="AK346" i="21"/>
  <c r="V366" i="21" s="1"/>
  <c r="AA346" i="21"/>
  <c r="L366" i="21" s="1"/>
  <c r="AJ346" i="21"/>
  <c r="U366" i="21" s="1"/>
  <c r="Z346" i="21"/>
  <c r="K366" i="21" s="1"/>
  <c r="AR346" i="21"/>
  <c r="AC366" i="21" s="1"/>
  <c r="AH346" i="21"/>
  <c r="S366" i="21" s="1"/>
  <c r="V346" i="21"/>
  <c r="G366" i="21" s="1"/>
  <c r="AQ346" i="21"/>
  <c r="AB366" i="21" s="1"/>
  <c r="AE346" i="21"/>
  <c r="P366" i="21" s="1"/>
  <c r="U346" i="21"/>
  <c r="F366" i="21" s="1"/>
  <c r="AI341" i="21"/>
  <c r="T361" i="21" s="1"/>
  <c r="AG343" i="21"/>
  <c r="R363" i="21" s="1"/>
  <c r="U345" i="21"/>
  <c r="F365" i="21" s="1"/>
  <c r="AL341" i="21"/>
  <c r="W361" i="21" s="1"/>
  <c r="AL343" i="21"/>
  <c r="W363" i="21" s="1"/>
  <c r="AH340" i="21"/>
  <c r="S360" i="21" s="1"/>
  <c r="AE345" i="21"/>
  <c r="P365" i="21" s="1"/>
  <c r="S346" i="21"/>
  <c r="D366" i="21" s="1"/>
  <c r="AK341" i="21"/>
  <c r="V361" i="21" s="1"/>
  <c r="AC341" i="21"/>
  <c r="N361" i="21" s="1"/>
  <c r="U341" i="21"/>
  <c r="F361" i="21" s="1"/>
  <c r="AR341" i="21"/>
  <c r="AC361" i="21" s="1"/>
  <c r="AJ341" i="21"/>
  <c r="U361" i="21" s="1"/>
  <c r="AB341" i="21"/>
  <c r="M361" i="21" s="1"/>
  <c r="T341" i="21"/>
  <c r="E361" i="21" s="1"/>
  <c r="AH341" i="21"/>
  <c r="S361" i="21" s="1"/>
  <c r="X341" i="21"/>
  <c r="I361" i="21" s="1"/>
  <c r="AQ341" i="21"/>
  <c r="AB361" i="21" s="1"/>
  <c r="AG341" i="21"/>
  <c r="R361" i="21" s="1"/>
  <c r="W341" i="21"/>
  <c r="H361" i="21" s="1"/>
  <c r="AP341" i="21"/>
  <c r="AA361" i="21" s="1"/>
  <c r="AF341" i="21"/>
  <c r="Q361" i="21" s="1"/>
  <c r="V341" i="21"/>
  <c r="G361" i="21" s="1"/>
  <c r="AN341" i="21"/>
  <c r="Y361" i="21" s="1"/>
  <c r="AD341" i="21"/>
  <c r="O361" i="21" s="1"/>
  <c r="R341" i="21"/>
  <c r="C361" i="21" s="1"/>
  <c r="AM341" i="21"/>
  <c r="X361" i="21" s="1"/>
  <c r="AA341" i="21"/>
  <c r="L361" i="21" s="1"/>
  <c r="Q341" i="21"/>
  <c r="B361" i="21" s="1"/>
  <c r="AQ343" i="21"/>
  <c r="AB363" i="21" s="1"/>
  <c r="AI343" i="21"/>
  <c r="T363" i="21" s="1"/>
  <c r="AA343" i="21"/>
  <c r="L363" i="21" s="1"/>
  <c r="S343" i="21"/>
  <c r="D363" i="21" s="1"/>
  <c r="AP343" i="21"/>
  <c r="AA363" i="21" s="1"/>
  <c r="AH343" i="21"/>
  <c r="S363" i="21" s="1"/>
  <c r="Z343" i="21"/>
  <c r="K363" i="21" s="1"/>
  <c r="R343" i="21"/>
  <c r="C363" i="21" s="1"/>
  <c r="AO343" i="21"/>
  <c r="Z363" i="21" s="1"/>
  <c r="AE343" i="21"/>
  <c r="P363" i="21" s="1"/>
  <c r="U343" i="21"/>
  <c r="F363" i="21" s="1"/>
  <c r="AN343" i="21"/>
  <c r="Y363" i="21" s="1"/>
  <c r="AD343" i="21"/>
  <c r="O363" i="21" s="1"/>
  <c r="T343" i="21"/>
  <c r="E363" i="21" s="1"/>
  <c r="AM343" i="21"/>
  <c r="X363" i="21" s="1"/>
  <c r="AC343" i="21"/>
  <c r="N363" i="21" s="1"/>
  <c r="Q343" i="21"/>
  <c r="B363" i="21" s="1"/>
  <c r="AK343" i="21"/>
  <c r="V363" i="21" s="1"/>
  <c r="Y343" i="21"/>
  <c r="J363" i="21" s="1"/>
  <c r="AJ343" i="21"/>
  <c r="U363" i="21" s="1"/>
  <c r="X343" i="21"/>
  <c r="I363" i="21" s="1"/>
  <c r="W346" i="21"/>
  <c r="H366" i="21" s="1"/>
  <c r="A400" i="21"/>
  <c r="A388" i="21"/>
  <c r="X231" i="21"/>
  <c r="I251" i="21" s="1"/>
  <c r="AF231" i="21"/>
  <c r="Q251" i="21" s="1"/>
  <c r="AN231" i="21"/>
  <c r="Y251" i="21" s="1"/>
  <c r="W232" i="21"/>
  <c r="H252" i="21" s="1"/>
  <c r="AE232" i="21"/>
  <c r="P252" i="21" s="1"/>
  <c r="AM232" i="21"/>
  <c r="X252" i="21" s="1"/>
  <c r="X240" i="21"/>
  <c r="AF240" i="21"/>
  <c r="AN240" i="21"/>
  <c r="W241" i="21"/>
  <c r="H261" i="21" s="1"/>
  <c r="AE241" i="21"/>
  <c r="P261" i="21" s="1"/>
  <c r="AM241" i="21"/>
  <c r="X261" i="21" s="1"/>
  <c r="Y334" i="21"/>
  <c r="J354" i="21" s="1"/>
  <c r="Y339" i="21"/>
  <c r="J359" i="21" s="1"/>
  <c r="T340" i="21"/>
  <c r="E360" i="21" s="1"/>
  <c r="AF340" i="21"/>
  <c r="Q360" i="21" s="1"/>
  <c r="AP340" i="21"/>
  <c r="AA360" i="21" s="1"/>
  <c r="Y342" i="21"/>
  <c r="J362" i="21" s="1"/>
  <c r="W345" i="21"/>
  <c r="H365" i="21" s="1"/>
  <c r="AI345" i="21"/>
  <c r="T365" i="21" s="1"/>
  <c r="R347" i="21"/>
  <c r="C367" i="21" s="1"/>
  <c r="AB347" i="21"/>
  <c r="M367" i="21" s="1"/>
  <c r="AL347" i="21"/>
  <c r="W367" i="21" s="1"/>
  <c r="Y348" i="21"/>
  <c r="T349" i="21"/>
  <c r="AF349" i="21"/>
  <c r="AP349" i="21"/>
  <c r="Q350" i="21"/>
  <c r="B370" i="21" s="1"/>
  <c r="AA350" i="21"/>
  <c r="L370" i="21" s="1"/>
  <c r="AM350" i="21"/>
  <c r="X370" i="21" s="1"/>
  <c r="A386" i="21"/>
  <c r="A398" i="21"/>
  <c r="AD440" i="21"/>
  <c r="O460" i="21" s="1"/>
  <c r="Q231" i="21"/>
  <c r="B251" i="21" s="1"/>
  <c r="Y231" i="21"/>
  <c r="J251" i="21" s="1"/>
  <c r="AG231" i="21"/>
  <c r="R251" i="21" s="1"/>
  <c r="X232" i="21"/>
  <c r="I252" i="21" s="1"/>
  <c r="AF232" i="21"/>
  <c r="Q252" i="21" s="1"/>
  <c r="Q240" i="21"/>
  <c r="Y240" i="21"/>
  <c r="AG240" i="21"/>
  <c r="X241" i="21"/>
  <c r="I261" i="21" s="1"/>
  <c r="AF241" i="21"/>
  <c r="Q261" i="21" s="1"/>
  <c r="AR334" i="21"/>
  <c r="AC354" i="21" s="1"/>
  <c r="AJ334" i="21"/>
  <c r="U354" i="21" s="1"/>
  <c r="AB334" i="21"/>
  <c r="M354" i="21" s="1"/>
  <c r="T334" i="21"/>
  <c r="E354" i="21" s="1"/>
  <c r="AQ334" i="21"/>
  <c r="AB354" i="21" s="1"/>
  <c r="AI334" i="21"/>
  <c r="T354" i="21" s="1"/>
  <c r="AA334" i="21"/>
  <c r="L354" i="21" s="1"/>
  <c r="S334" i="21"/>
  <c r="D354" i="21" s="1"/>
  <c r="Z334" i="21"/>
  <c r="K354" i="21" s="1"/>
  <c r="AL334" i="21"/>
  <c r="W354" i="21" s="1"/>
  <c r="AM339" i="21"/>
  <c r="X359" i="21" s="1"/>
  <c r="AE339" i="21"/>
  <c r="P359" i="21" s="1"/>
  <c r="W339" i="21"/>
  <c r="H359" i="21" s="1"/>
  <c r="AL339" i="21"/>
  <c r="W359" i="21" s="1"/>
  <c r="AD339" i="21"/>
  <c r="O359" i="21" s="1"/>
  <c r="V339" i="21"/>
  <c r="G359" i="21" s="1"/>
  <c r="Z339" i="21"/>
  <c r="K359" i="21" s="1"/>
  <c r="AJ339" i="21"/>
  <c r="U359" i="21" s="1"/>
  <c r="W340" i="21"/>
  <c r="H360" i="21" s="1"/>
  <c r="AG340" i="21"/>
  <c r="R360" i="21" s="1"/>
  <c r="AR342" i="21"/>
  <c r="AC362" i="21" s="1"/>
  <c r="AJ342" i="21"/>
  <c r="U362" i="21" s="1"/>
  <c r="AB342" i="21"/>
  <c r="M362" i="21" s="1"/>
  <c r="T342" i="21"/>
  <c r="E362" i="21" s="1"/>
  <c r="AQ342" i="21"/>
  <c r="AB362" i="21" s="1"/>
  <c r="AI342" i="21"/>
  <c r="T362" i="21" s="1"/>
  <c r="AA342" i="21"/>
  <c r="L362" i="21" s="1"/>
  <c r="S342" i="21"/>
  <c r="D362" i="21" s="1"/>
  <c r="Z342" i="21"/>
  <c r="K362" i="21" s="1"/>
  <c r="AL342" i="21"/>
  <c r="W362" i="21" s="1"/>
  <c r="X345" i="21"/>
  <c r="I365" i="21" s="1"/>
  <c r="S347" i="21"/>
  <c r="D367" i="21" s="1"/>
  <c r="AC347" i="21"/>
  <c r="N367" i="21" s="1"/>
  <c r="AO347" i="21"/>
  <c r="Z367" i="21" s="1"/>
  <c r="AM348" i="21"/>
  <c r="AE348" i="21"/>
  <c r="W348" i="21"/>
  <c r="AL348" i="21"/>
  <c r="AD348" i="21"/>
  <c r="V348" i="21"/>
  <c r="Z348" i="21"/>
  <c r="AJ348" i="21"/>
  <c r="W349" i="21"/>
  <c r="AG349" i="21"/>
  <c r="R350" i="21"/>
  <c r="C370" i="21" s="1"/>
  <c r="AD350" i="21"/>
  <c r="O370" i="21" s="1"/>
  <c r="AN350" i="21"/>
  <c r="Y370" i="21" s="1"/>
  <c r="A391" i="21"/>
  <c r="A403" i="21"/>
  <c r="AL439" i="21"/>
  <c r="W459" i="21" s="1"/>
  <c r="AD439" i="21"/>
  <c r="O459" i="21" s="1"/>
  <c r="V439" i="21"/>
  <c r="G459" i="21" s="1"/>
  <c r="AK439" i="21"/>
  <c r="V459" i="21" s="1"/>
  <c r="AC439" i="21"/>
  <c r="N459" i="21" s="1"/>
  <c r="U439" i="21"/>
  <c r="F459" i="21" s="1"/>
  <c r="AP439" i="21"/>
  <c r="AA459" i="21" s="1"/>
  <c r="AH439" i="21"/>
  <c r="S459" i="21" s="1"/>
  <c r="Z439" i="21"/>
  <c r="K459" i="21" s="1"/>
  <c r="R439" i="21"/>
  <c r="C459" i="21" s="1"/>
  <c r="AO439" i="21"/>
  <c r="Z459" i="21" s="1"/>
  <c r="AG439" i="21"/>
  <c r="R459" i="21" s="1"/>
  <c r="Y439" i="21"/>
  <c r="J459" i="21" s="1"/>
  <c r="Q439" i="21"/>
  <c r="B459" i="21" s="1"/>
  <c r="AN439" i="21"/>
  <c r="Y459" i="21" s="1"/>
  <c r="X439" i="21"/>
  <c r="I459" i="21" s="1"/>
  <c r="AM439" i="21"/>
  <c r="X459" i="21" s="1"/>
  <c r="W439" i="21"/>
  <c r="H459" i="21" s="1"/>
  <c r="AE439" i="21"/>
  <c r="P459" i="21" s="1"/>
  <c r="T439" i="21"/>
  <c r="E459" i="21" s="1"/>
  <c r="AR439" i="21"/>
  <c r="AC459" i="21" s="1"/>
  <c r="S439" i="21"/>
  <c r="D459" i="21" s="1"/>
  <c r="M462" i="21"/>
  <c r="AK445" i="21"/>
  <c r="V465" i="21" s="1"/>
  <c r="AB445" i="21"/>
  <c r="M465" i="21" s="1"/>
  <c r="T445" i="21"/>
  <c r="E465" i="21" s="1"/>
  <c r="AJ445" i="21"/>
  <c r="U465" i="21" s="1"/>
  <c r="AA445" i="21"/>
  <c r="L465" i="21" s="1"/>
  <c r="S445" i="21"/>
  <c r="D465" i="21" s="1"/>
  <c r="AN445" i="21"/>
  <c r="Y465" i="21" s="1"/>
  <c r="V445" i="21"/>
  <c r="G465" i="21" s="1"/>
  <c r="AL445" i="21"/>
  <c r="W465" i="21" s="1"/>
  <c r="U445" i="21"/>
  <c r="F465" i="21" s="1"/>
  <c r="AD445" i="21"/>
  <c r="O465" i="21" s="1"/>
  <c r="AC445" i="21"/>
  <c r="N465" i="21" s="1"/>
  <c r="AH445" i="21"/>
  <c r="S465" i="21" s="1"/>
  <c r="Z445" i="21"/>
  <c r="K465" i="21" s="1"/>
  <c r="Y445" i="21"/>
  <c r="J465" i="21" s="1"/>
  <c r="R445" i="21"/>
  <c r="C465" i="21" s="1"/>
  <c r="A505" i="21"/>
  <c r="A493" i="21"/>
  <c r="AP345" i="21"/>
  <c r="AA365" i="21" s="1"/>
  <c r="AH345" i="21"/>
  <c r="S365" i="21" s="1"/>
  <c r="Z345" i="21"/>
  <c r="K365" i="21" s="1"/>
  <c r="R345" i="21"/>
  <c r="C365" i="21" s="1"/>
  <c r="AO345" i="21"/>
  <c r="Z365" i="21" s="1"/>
  <c r="AG345" i="21"/>
  <c r="R365" i="21" s="1"/>
  <c r="Y345" i="21"/>
  <c r="J365" i="21" s="1"/>
  <c r="Q345" i="21"/>
  <c r="B365" i="21" s="1"/>
  <c r="AB345" i="21"/>
  <c r="M365" i="21" s="1"/>
  <c r="AL345" i="21"/>
  <c r="W365" i="21" s="1"/>
  <c r="AG347" i="21"/>
  <c r="R367" i="21" s="1"/>
  <c r="AQ347" i="21"/>
  <c r="AB367" i="21" s="1"/>
  <c r="Y349" i="21"/>
  <c r="AI349" i="21"/>
  <c r="V350" i="21"/>
  <c r="G370" i="21" s="1"/>
  <c r="AF350" i="21"/>
  <c r="Q370" i="21" s="1"/>
  <c r="AP350" i="21"/>
  <c r="AA370" i="21" s="1"/>
  <c r="AA439" i="21"/>
  <c r="L459" i="21" s="1"/>
  <c r="AH440" i="21"/>
  <c r="S460" i="21" s="1"/>
  <c r="R440" i="21"/>
  <c r="C460" i="21" s="1"/>
  <c r="AE440" i="21"/>
  <c r="P460" i="21" s="1"/>
  <c r="AM440" i="21"/>
  <c r="X460" i="21" s="1"/>
  <c r="W440" i="21"/>
  <c r="H460" i="21" s="1"/>
  <c r="AA440" i="21"/>
  <c r="L460" i="21" s="1"/>
  <c r="Z440" i="21"/>
  <c r="K460" i="21" s="1"/>
  <c r="AP440" i="21"/>
  <c r="AA460" i="21" s="1"/>
  <c r="AL340" i="21"/>
  <c r="W360" i="21" s="1"/>
  <c r="AD340" i="21"/>
  <c r="O360" i="21" s="1"/>
  <c r="V340" i="21"/>
  <c r="G360" i="21" s="1"/>
  <c r="AK340" i="21"/>
  <c r="V360" i="21" s="1"/>
  <c r="AC340" i="21"/>
  <c r="N360" i="21" s="1"/>
  <c r="U340" i="21"/>
  <c r="F360" i="21" s="1"/>
  <c r="Z340" i="21"/>
  <c r="K360" i="21" s="1"/>
  <c r="AJ340" i="21"/>
  <c r="U360" i="21" s="1"/>
  <c r="S345" i="21"/>
  <c r="D365" i="21" s="1"/>
  <c r="AC345" i="21"/>
  <c r="N365" i="21" s="1"/>
  <c r="AM345" i="21"/>
  <c r="X365" i="21" s="1"/>
  <c r="AO346" i="21"/>
  <c r="Z366" i="21" s="1"/>
  <c r="V347" i="21"/>
  <c r="G367" i="21" s="1"/>
  <c r="AH347" i="21"/>
  <c r="S367" i="21" s="1"/>
  <c r="AR347" i="21"/>
  <c r="AC367" i="21" s="1"/>
  <c r="AL349" i="21"/>
  <c r="AD349" i="21"/>
  <c r="V349" i="21"/>
  <c r="AK349" i="21"/>
  <c r="AC349" i="21"/>
  <c r="U349" i="21"/>
  <c r="Z349" i="21"/>
  <c r="AJ349" i="21"/>
  <c r="W350" i="21"/>
  <c r="H370" i="21" s="1"/>
  <c r="AG350" i="21"/>
  <c r="R370" i="21" s="1"/>
  <c r="AQ350" i="21"/>
  <c r="AB370" i="21" s="1"/>
  <c r="AB439" i="21"/>
  <c r="M459" i="21" s="1"/>
  <c r="AQ440" i="21"/>
  <c r="AB460" i="21" s="1"/>
  <c r="AA340" i="21"/>
  <c r="L360" i="21" s="1"/>
  <c r="AM340" i="21"/>
  <c r="X360" i="21" s="1"/>
  <c r="T345" i="21"/>
  <c r="E365" i="21" s="1"/>
  <c r="AD345" i="21"/>
  <c r="O365" i="21" s="1"/>
  <c r="AN345" i="21"/>
  <c r="Y365" i="21" s="1"/>
  <c r="Y347" i="21"/>
  <c r="J367" i="21" s="1"/>
  <c r="Q349" i="21"/>
  <c r="AA349" i="21"/>
  <c r="AM349" i="21"/>
  <c r="X350" i="21"/>
  <c r="I370" i="21" s="1"/>
  <c r="AF439" i="21"/>
  <c r="Q459" i="21" s="1"/>
  <c r="P463" i="21"/>
  <c r="Q445" i="21"/>
  <c r="B465" i="21" s="1"/>
  <c r="A402" i="21"/>
  <c r="A390" i="21"/>
  <c r="AI439" i="21"/>
  <c r="T459" i="21" s="1"/>
  <c r="AI445" i="21"/>
  <c r="T465" i="21" s="1"/>
  <c r="AK350" i="21"/>
  <c r="V370" i="21" s="1"/>
  <c r="AC350" i="21"/>
  <c r="N370" i="21" s="1"/>
  <c r="U350" i="21"/>
  <c r="F370" i="21" s="1"/>
  <c r="AR350" i="21"/>
  <c r="AC370" i="21" s="1"/>
  <c r="AJ350" i="21"/>
  <c r="U370" i="21" s="1"/>
  <c r="AB350" i="21"/>
  <c r="M370" i="21" s="1"/>
  <c r="T350" i="21"/>
  <c r="E370" i="21" s="1"/>
  <c r="Z350" i="21"/>
  <c r="K370" i="21" s="1"/>
  <c r="AL350" i="21"/>
  <c r="W370" i="21" s="1"/>
  <c r="A401" i="21"/>
  <c r="A389" i="21"/>
  <c r="AJ439" i="21"/>
  <c r="U459" i="21" s="1"/>
  <c r="V440" i="21"/>
  <c r="G460" i="21" s="1"/>
  <c r="AR445" i="21"/>
  <c r="AC465" i="21" s="1"/>
  <c r="D475" i="21"/>
  <c r="K475" i="21"/>
  <c r="X337" i="21"/>
  <c r="I357" i="21" s="1"/>
  <c r="AF337" i="21"/>
  <c r="Q357" i="21" s="1"/>
  <c r="AN337" i="21"/>
  <c r="Y357" i="21" s="1"/>
  <c r="W338" i="21"/>
  <c r="H358" i="21" s="1"/>
  <c r="AE338" i="21"/>
  <c r="P358" i="21" s="1"/>
  <c r="AM338" i="21"/>
  <c r="X358" i="21" s="1"/>
  <c r="X346" i="21"/>
  <c r="I366" i="21" s="1"/>
  <c r="AF346" i="21"/>
  <c r="Q366" i="21" s="1"/>
  <c r="AN346" i="21"/>
  <c r="Y366" i="21" s="1"/>
  <c r="W347" i="21"/>
  <c r="H367" i="21" s="1"/>
  <c r="AE347" i="21"/>
  <c r="P367" i="21" s="1"/>
  <c r="AM347" i="21"/>
  <c r="X367" i="21" s="1"/>
  <c r="AQ442" i="21"/>
  <c r="AB462" i="21" s="1"/>
  <c r="AI442" i="21"/>
  <c r="T462" i="21" s="1"/>
  <c r="AA442" i="21"/>
  <c r="L462" i="21" s="1"/>
  <c r="S442" i="21"/>
  <c r="D462" i="21" s="1"/>
  <c r="AP442" i="21"/>
  <c r="AA462" i="21" s="1"/>
  <c r="AH442" i="21"/>
  <c r="S462" i="21" s="1"/>
  <c r="Z442" i="21"/>
  <c r="K462" i="21" s="1"/>
  <c r="R442" i="21"/>
  <c r="C462" i="21" s="1"/>
  <c r="AO442" i="21"/>
  <c r="Z462" i="21" s="1"/>
  <c r="AE442" i="21"/>
  <c r="P462" i="21" s="1"/>
  <c r="U442" i="21"/>
  <c r="F462" i="21" s="1"/>
  <c r="AN442" i="21"/>
  <c r="Y462" i="21" s="1"/>
  <c r="AD442" i="21"/>
  <c r="O462" i="21" s="1"/>
  <c r="T442" i="21"/>
  <c r="E462" i="21" s="1"/>
  <c r="AK442" i="21"/>
  <c r="V462" i="21" s="1"/>
  <c r="Y442" i="21"/>
  <c r="J462" i="21" s="1"/>
  <c r="AJ442" i="21"/>
  <c r="U462" i="21" s="1"/>
  <c r="X442" i="21"/>
  <c r="I462" i="21" s="1"/>
  <c r="AG442" i="21"/>
  <c r="R462" i="21" s="1"/>
  <c r="AF442" i="21"/>
  <c r="Q462" i="21" s="1"/>
  <c r="AR442" i="21"/>
  <c r="AC462" i="21" s="1"/>
  <c r="V442" i="21"/>
  <c r="G462" i="21" s="1"/>
  <c r="Q337" i="21"/>
  <c r="B357" i="21" s="1"/>
  <c r="Y337" i="21"/>
  <c r="J357" i="21" s="1"/>
  <c r="AG337" i="21"/>
  <c r="R357" i="21" s="1"/>
  <c r="X338" i="21"/>
  <c r="I358" i="21" s="1"/>
  <c r="AF338" i="21"/>
  <c r="Q358" i="21" s="1"/>
  <c r="Q346" i="21"/>
  <c r="B366" i="21" s="1"/>
  <c r="Y346" i="21"/>
  <c r="J366" i="21" s="1"/>
  <c r="AG346" i="21"/>
  <c r="R366" i="21" s="1"/>
  <c r="X347" i="21"/>
  <c r="I367" i="21" s="1"/>
  <c r="AF347" i="21"/>
  <c r="Q367" i="21" s="1"/>
  <c r="AK450" i="21"/>
  <c r="V470" i="21" s="1"/>
  <c r="AC450" i="21"/>
  <c r="N470" i="21" s="1"/>
  <c r="U450" i="21"/>
  <c r="F470" i="21" s="1"/>
  <c r="AQ450" i="21"/>
  <c r="AB470" i="21" s="1"/>
  <c r="AI450" i="21"/>
  <c r="T470" i="21" s="1"/>
  <c r="AA450" i="21"/>
  <c r="L470" i="21" s="1"/>
  <c r="S450" i="21"/>
  <c r="D470" i="21" s="1"/>
  <c r="AN450" i="21"/>
  <c r="Y470" i="21" s="1"/>
  <c r="AD450" i="21"/>
  <c r="O470" i="21" s="1"/>
  <c r="R450" i="21"/>
  <c r="C470" i="21" s="1"/>
  <c r="AM450" i="21"/>
  <c r="X470" i="21" s="1"/>
  <c r="AB450" i="21"/>
  <c r="M470" i="21" s="1"/>
  <c r="Q450" i="21"/>
  <c r="B470" i="21" s="1"/>
  <c r="AH450" i="21"/>
  <c r="S470" i="21" s="1"/>
  <c r="X450" i="21"/>
  <c r="I470" i="21" s="1"/>
  <c r="AR450" i="21"/>
  <c r="AC470" i="21" s="1"/>
  <c r="AG450" i="21"/>
  <c r="R470" i="21" s="1"/>
  <c r="W450" i="21"/>
  <c r="H470" i="21" s="1"/>
  <c r="Y450" i="21"/>
  <c r="J470" i="21" s="1"/>
  <c r="AP450" i="21"/>
  <c r="AA470" i="21" s="1"/>
  <c r="V450" i="21"/>
  <c r="G470" i="21" s="1"/>
  <c r="AJ450" i="21"/>
  <c r="U470" i="21" s="1"/>
  <c r="AF450" i="21"/>
  <c r="Q470" i="21" s="1"/>
  <c r="AO450" i="21"/>
  <c r="Z470" i="21" s="1"/>
  <c r="T450" i="21"/>
  <c r="E470" i="21" s="1"/>
  <c r="AM451" i="21"/>
  <c r="X471" i="21" s="1"/>
  <c r="AM446" i="21"/>
  <c r="X466" i="21" s="1"/>
  <c r="AB446" i="21"/>
  <c r="M466" i="21" s="1"/>
  <c r="R446" i="21"/>
  <c r="C466" i="21" s="1"/>
  <c r="AK446" i="21"/>
  <c r="V466" i="21" s="1"/>
  <c r="AA446" i="21"/>
  <c r="L466" i="21" s="1"/>
  <c r="Q446" i="21"/>
  <c r="B466" i="21" s="1"/>
  <c r="AR446" i="21"/>
  <c r="AC466" i="21" s="1"/>
  <c r="AH446" i="21"/>
  <c r="S466" i="21" s="1"/>
  <c r="W446" i="21"/>
  <c r="H466" i="21" s="1"/>
  <c r="AQ446" i="21"/>
  <c r="AB466" i="21" s="1"/>
  <c r="AG446" i="21"/>
  <c r="R466" i="21" s="1"/>
  <c r="U446" i="21"/>
  <c r="F466" i="21" s="1"/>
  <c r="AP446" i="21"/>
  <c r="AA466" i="21" s="1"/>
  <c r="T446" i="21"/>
  <c r="E466" i="21" s="1"/>
  <c r="AO446" i="21"/>
  <c r="Z466" i="21" s="1"/>
  <c r="S446" i="21"/>
  <c r="D466" i="21" s="1"/>
  <c r="AE446" i="21"/>
  <c r="P466" i="21" s="1"/>
  <c r="AC446" i="21"/>
  <c r="N466" i="21" s="1"/>
  <c r="Y446" i="21"/>
  <c r="J466" i="21" s="1"/>
  <c r="AJ446" i="21"/>
  <c r="U466" i="21" s="1"/>
  <c r="AF451" i="21"/>
  <c r="Q471" i="21" s="1"/>
  <c r="V451" i="21"/>
  <c r="G471" i="21" s="1"/>
  <c r="AO451" i="21"/>
  <c r="Z471" i="21" s="1"/>
  <c r="AE451" i="21"/>
  <c r="P471" i="21" s="1"/>
  <c r="U451" i="21"/>
  <c r="F471" i="21" s="1"/>
  <c r="X451" i="21"/>
  <c r="I471" i="21" s="1"/>
  <c r="W451" i="21"/>
  <c r="H471" i="21" s="1"/>
  <c r="AI451" i="21"/>
  <c r="T471" i="21" s="1"/>
  <c r="AG451" i="21"/>
  <c r="R471" i="21" s="1"/>
  <c r="AD451" i="21"/>
  <c r="O471" i="21" s="1"/>
  <c r="AC451" i="21"/>
  <c r="N471" i="21" s="1"/>
  <c r="AK440" i="21"/>
  <c r="V460" i="21" s="1"/>
  <c r="AC441" i="21"/>
  <c r="N461" i="21" s="1"/>
  <c r="AN446" i="21"/>
  <c r="Y466" i="21" s="1"/>
  <c r="AP443" i="21"/>
  <c r="AA463" i="21" s="1"/>
  <c r="AH443" i="21"/>
  <c r="S463" i="21" s="1"/>
  <c r="Z443" i="21"/>
  <c r="K463" i="21" s="1"/>
  <c r="R443" i="21"/>
  <c r="C463" i="21" s="1"/>
  <c r="AO443" i="21"/>
  <c r="Z463" i="21" s="1"/>
  <c r="AG443" i="21"/>
  <c r="R463" i="21" s="1"/>
  <c r="Y443" i="21"/>
  <c r="J463" i="21" s="1"/>
  <c r="Q443" i="21"/>
  <c r="B463" i="21" s="1"/>
  <c r="AL443" i="21"/>
  <c r="W463" i="21" s="1"/>
  <c r="AD443" i="21"/>
  <c r="O463" i="21" s="1"/>
  <c r="V443" i="21"/>
  <c r="G463" i="21" s="1"/>
  <c r="AK443" i="21"/>
  <c r="V463" i="21" s="1"/>
  <c r="AC443" i="21"/>
  <c r="N463" i="21" s="1"/>
  <c r="U443" i="21"/>
  <c r="F463" i="21" s="1"/>
  <c r="AJ443" i="21"/>
  <c r="U463" i="21" s="1"/>
  <c r="T443" i="21"/>
  <c r="E463" i="21" s="1"/>
  <c r="AI443" i="21"/>
  <c r="T463" i="21" s="1"/>
  <c r="S443" i="21"/>
  <c r="D463" i="21" s="1"/>
  <c r="AR443" i="21"/>
  <c r="AC463" i="21" s="1"/>
  <c r="AB443" i="21"/>
  <c r="M463" i="21" s="1"/>
  <c r="AQ443" i="21"/>
  <c r="AB463" i="21" s="1"/>
  <c r="AA443" i="21"/>
  <c r="L463" i="21" s="1"/>
  <c r="AM447" i="21"/>
  <c r="X467" i="21" s="1"/>
  <c r="AE447" i="21"/>
  <c r="P467" i="21" s="1"/>
  <c r="W447" i="21"/>
  <c r="H467" i="21" s="1"/>
  <c r="AK447" i="21"/>
  <c r="V467" i="21" s="1"/>
  <c r="AC447" i="21"/>
  <c r="N467" i="21" s="1"/>
  <c r="U447" i="21"/>
  <c r="F467" i="21" s="1"/>
  <c r="AI447" i="21"/>
  <c r="T467" i="21" s="1"/>
  <c r="Y447" i="21"/>
  <c r="J467" i="21" s="1"/>
  <c r="AR447" i="21"/>
  <c r="AC467" i="21" s="1"/>
  <c r="AH447" i="21"/>
  <c r="S467" i="21" s="1"/>
  <c r="X447" i="21"/>
  <c r="I467" i="21" s="1"/>
  <c r="AO447" i="21"/>
  <c r="Z467" i="21" s="1"/>
  <c r="AD447" i="21"/>
  <c r="O467" i="21" s="1"/>
  <c r="S447" i="21"/>
  <c r="D467" i="21" s="1"/>
  <c r="AN447" i="21"/>
  <c r="Y467" i="21" s="1"/>
  <c r="AB447" i="21"/>
  <c r="M467" i="21" s="1"/>
  <c r="R447" i="21"/>
  <c r="C467" i="21" s="1"/>
  <c r="AQ447" i="21"/>
  <c r="AB467" i="21" s="1"/>
  <c r="V447" i="21"/>
  <c r="G467" i="21" s="1"/>
  <c r="AP447" i="21"/>
  <c r="AA467" i="21" s="1"/>
  <c r="T447" i="21"/>
  <c r="E467" i="21" s="1"/>
  <c r="AG447" i="21"/>
  <c r="R467" i="21" s="1"/>
  <c r="AF447" i="21"/>
  <c r="Q467" i="21" s="1"/>
  <c r="S453" i="21"/>
  <c r="AL453" i="21"/>
  <c r="AB453" i="21"/>
  <c r="Q453" i="21"/>
  <c r="AE453" i="21"/>
  <c r="AD453" i="21"/>
  <c r="AQ453" i="21"/>
  <c r="U453" i="21"/>
  <c r="AO453" i="21"/>
  <c r="T453" i="21"/>
  <c r="X440" i="21"/>
  <c r="I460" i="21" s="1"/>
  <c r="AF440" i="21"/>
  <c r="Q460" i="21" s="1"/>
  <c r="AN440" i="21"/>
  <c r="Y460" i="21" s="1"/>
  <c r="Y441" i="21"/>
  <c r="J461" i="21" s="1"/>
  <c r="AQ452" i="21"/>
  <c r="AB472" i="21" s="1"/>
  <c r="AI452" i="21"/>
  <c r="T472" i="21" s="1"/>
  <c r="AA452" i="21"/>
  <c r="L472" i="21" s="1"/>
  <c r="S452" i="21"/>
  <c r="D472" i="21" s="1"/>
  <c r="AO452" i="21"/>
  <c r="Z472" i="21" s="1"/>
  <c r="AG452" i="21"/>
  <c r="R472" i="21" s="1"/>
  <c r="Y452" i="21"/>
  <c r="J472" i="21" s="1"/>
  <c r="Q452" i="21"/>
  <c r="B472" i="21" s="1"/>
  <c r="AK452" i="21"/>
  <c r="V472" i="21" s="1"/>
  <c r="Z452" i="21"/>
  <c r="K472" i="21" s="1"/>
  <c r="AJ452" i="21"/>
  <c r="U472" i="21" s="1"/>
  <c r="X452" i="21"/>
  <c r="I472" i="21" s="1"/>
  <c r="AP452" i="21"/>
  <c r="AA472" i="21" s="1"/>
  <c r="AE452" i="21"/>
  <c r="P472" i="21" s="1"/>
  <c r="U452" i="21"/>
  <c r="F472" i="21" s="1"/>
  <c r="AN452" i="21"/>
  <c r="Y472" i="21" s="1"/>
  <c r="AD452" i="21"/>
  <c r="O472" i="21" s="1"/>
  <c r="T452" i="21"/>
  <c r="E472" i="21" s="1"/>
  <c r="AL452" i="21"/>
  <c r="W472" i="21" s="1"/>
  <c r="A508" i="21"/>
  <c r="A496" i="21"/>
  <c r="Q440" i="21"/>
  <c r="B460" i="21" s="1"/>
  <c r="Y440" i="21"/>
  <c r="J460" i="21" s="1"/>
  <c r="AG440" i="21"/>
  <c r="R460" i="21" s="1"/>
  <c r="AO440" i="21"/>
  <c r="Z460" i="21" s="1"/>
  <c r="AR441" i="21"/>
  <c r="AC461" i="21" s="1"/>
  <c r="AJ441" i="21"/>
  <c r="U461" i="21" s="1"/>
  <c r="AB441" i="21"/>
  <c r="M461" i="21" s="1"/>
  <c r="T441" i="21"/>
  <c r="E461" i="21" s="1"/>
  <c r="AQ441" i="21"/>
  <c r="AB461" i="21" s="1"/>
  <c r="AI441" i="21"/>
  <c r="T461" i="21" s="1"/>
  <c r="AA441" i="21"/>
  <c r="L461" i="21" s="1"/>
  <c r="S441" i="21"/>
  <c r="D461" i="21" s="1"/>
  <c r="Z441" i="21"/>
  <c r="K461" i="21" s="1"/>
  <c r="AL441" i="21"/>
  <c r="W461" i="21" s="1"/>
  <c r="AP445" i="21"/>
  <c r="AA465" i="21" s="1"/>
  <c r="AK451" i="21"/>
  <c r="V471" i="21" s="1"/>
  <c r="R452" i="21"/>
  <c r="C472" i="21" s="1"/>
  <c r="AM452" i="21"/>
  <c r="X472" i="21" s="1"/>
  <c r="A502" i="21"/>
  <c r="A490" i="21"/>
  <c r="T440" i="21"/>
  <c r="E460" i="21" s="1"/>
  <c r="AB440" i="21"/>
  <c r="M460" i="21" s="1"/>
  <c r="AJ440" i="21"/>
  <c r="U460" i="21" s="1"/>
  <c r="AR440" i="21"/>
  <c r="AC460" i="21" s="1"/>
  <c r="U441" i="21"/>
  <c r="F461" i="21" s="1"/>
  <c r="AE441" i="21"/>
  <c r="P461" i="21" s="1"/>
  <c r="AO441" i="21"/>
  <c r="Z461" i="21" s="1"/>
  <c r="AK444" i="21"/>
  <c r="V464" i="21" s="1"/>
  <c r="AC444" i="21"/>
  <c r="N464" i="21" s="1"/>
  <c r="U444" i="21"/>
  <c r="F464" i="21" s="1"/>
  <c r="AR444" i="21"/>
  <c r="AC464" i="21" s="1"/>
  <c r="AJ444" i="21"/>
  <c r="U464" i="21" s="1"/>
  <c r="AB444" i="21"/>
  <c r="M464" i="21" s="1"/>
  <c r="T444" i="21"/>
  <c r="E464" i="21" s="1"/>
  <c r="AA444" i="21"/>
  <c r="L464" i="21" s="1"/>
  <c r="AQ444" i="21"/>
  <c r="AB464" i="21" s="1"/>
  <c r="AB452" i="21"/>
  <c r="M472" i="21" s="1"/>
  <c r="AJ454" i="21"/>
  <c r="Z454" i="21"/>
  <c r="AC454" i="21"/>
  <c r="A491" i="21"/>
  <c r="A503" i="21"/>
  <c r="A509" i="21"/>
  <c r="A497" i="21"/>
  <c r="U440" i="21"/>
  <c r="F460" i="21" s="1"/>
  <c r="AC440" i="21"/>
  <c r="N460" i="21" s="1"/>
  <c r="V441" i="21"/>
  <c r="G461" i="21" s="1"/>
  <c r="AF441" i="21"/>
  <c r="Q461" i="21" s="1"/>
  <c r="AP441" i="21"/>
  <c r="AA461" i="21" s="1"/>
  <c r="AD444" i="21"/>
  <c r="O464" i="21" s="1"/>
  <c r="AC452" i="21"/>
  <c r="N472" i="21" s="1"/>
  <c r="AR453" i="21"/>
  <c r="AH454" i="21"/>
  <c r="AM455" i="21"/>
  <c r="X475" i="21" s="1"/>
  <c r="AB455" i="21"/>
  <c r="M475" i="21" s="1"/>
  <c r="R455" i="21"/>
  <c r="C475" i="21" s="1"/>
  <c r="AK455" i="21"/>
  <c r="V475" i="21" s="1"/>
  <c r="AA455" i="21"/>
  <c r="L475" i="21" s="1"/>
  <c r="Q455" i="21"/>
  <c r="B475" i="21" s="1"/>
  <c r="AR455" i="21"/>
  <c r="AC475" i="21" s="1"/>
  <c r="AH455" i="21"/>
  <c r="S475" i="21" s="1"/>
  <c r="W455" i="21"/>
  <c r="H475" i="21" s="1"/>
  <c r="AQ455" i="21"/>
  <c r="AB475" i="21" s="1"/>
  <c r="AG455" i="21"/>
  <c r="R475" i="21" s="1"/>
  <c r="U455" i="21"/>
  <c r="F475" i="21" s="1"/>
  <c r="AI455" i="21"/>
  <c r="T475" i="21" s="1"/>
  <c r="Y448" i="21"/>
  <c r="J468" i="21" s="1"/>
  <c r="AL448" i="21"/>
  <c r="W468" i="21" s="1"/>
  <c r="AD448" i="21"/>
  <c r="O468" i="21" s="1"/>
  <c r="V448" i="21"/>
  <c r="G468" i="21" s="1"/>
  <c r="AR448" i="21"/>
  <c r="AC468" i="21" s="1"/>
  <c r="AJ448" i="21"/>
  <c r="U468" i="21" s="1"/>
  <c r="AB448" i="21"/>
  <c r="M468" i="21" s="1"/>
  <c r="T448" i="21"/>
  <c r="E468" i="21" s="1"/>
  <c r="Z448" i="21"/>
  <c r="K468" i="21" s="1"/>
  <c r="AK448" i="21"/>
  <c r="V468" i="21" s="1"/>
  <c r="AQ451" i="21"/>
  <c r="AB471" i="21" s="1"/>
  <c r="AC453" i="21"/>
  <c r="AM453" i="21"/>
  <c r="AO454" i="21"/>
  <c r="AG454" i="21"/>
  <c r="Y454" i="21"/>
  <c r="Q454" i="21"/>
  <c r="AM454" i="21"/>
  <c r="AE454" i="21"/>
  <c r="W454" i="21"/>
  <c r="AA454" i="21"/>
  <c r="AK454" i="21"/>
  <c r="X444" i="21"/>
  <c r="I464" i="21" s="1"/>
  <c r="AF444" i="21"/>
  <c r="Q464" i="21" s="1"/>
  <c r="AN444" i="21"/>
  <c r="Y464" i="21" s="1"/>
  <c r="W445" i="21"/>
  <c r="H465" i="21" s="1"/>
  <c r="AE445" i="21"/>
  <c r="P465" i="21" s="1"/>
  <c r="S448" i="21"/>
  <c r="D468" i="21" s="1"/>
  <c r="AE448" i="21"/>
  <c r="P468" i="21" s="1"/>
  <c r="AO448" i="21"/>
  <c r="Z468" i="21" s="1"/>
  <c r="Y451" i="21"/>
  <c r="J471" i="21" s="1"/>
  <c r="V453" i="21"/>
  <c r="AG453" i="21"/>
  <c r="T454" i="21"/>
  <c r="AD454" i="21"/>
  <c r="AP454" i="21"/>
  <c r="B461" i="21"/>
  <c r="Q444" i="21"/>
  <c r="B464" i="21" s="1"/>
  <c r="Y444" i="21"/>
  <c r="J464" i="21" s="1"/>
  <c r="AG444" i="21"/>
  <c r="R464" i="21" s="1"/>
  <c r="AO445" i="21"/>
  <c r="Z465" i="21" s="1"/>
  <c r="AG445" i="21"/>
  <c r="R465" i="21" s="1"/>
  <c r="AM445" i="21"/>
  <c r="X465" i="21" s="1"/>
  <c r="X445" i="21"/>
  <c r="I465" i="21" s="1"/>
  <c r="AF445" i="21"/>
  <c r="Q465" i="21" s="1"/>
  <c r="AQ445" i="21"/>
  <c r="AB465" i="21" s="1"/>
  <c r="U448" i="21"/>
  <c r="F468" i="21" s="1"/>
  <c r="AF448" i="21"/>
  <c r="Q468" i="21" s="1"/>
  <c r="AP448" i="21"/>
  <c r="AA468" i="21" s="1"/>
  <c r="AR451" i="21"/>
  <c r="AC471" i="21" s="1"/>
  <c r="AJ451" i="21"/>
  <c r="U471" i="21" s="1"/>
  <c r="AB451" i="21"/>
  <c r="M471" i="21" s="1"/>
  <c r="T451" i="21"/>
  <c r="E471" i="21" s="1"/>
  <c r="AP451" i="21"/>
  <c r="AA471" i="21" s="1"/>
  <c r="AH451" i="21"/>
  <c r="S471" i="21" s="1"/>
  <c r="Z451" i="21"/>
  <c r="K471" i="21" s="1"/>
  <c r="R451" i="21"/>
  <c r="C471" i="21" s="1"/>
  <c r="AA451" i="21"/>
  <c r="L471" i="21" s="1"/>
  <c r="AL451" i="21"/>
  <c r="W471" i="21" s="1"/>
  <c r="R453" i="21"/>
  <c r="W453" i="21"/>
  <c r="AI453" i="21"/>
  <c r="U454" i="21"/>
  <c r="AF454" i="21"/>
  <c r="AQ454" i="21"/>
  <c r="A492" i="21"/>
  <c r="A504" i="21"/>
  <c r="A507" i="21"/>
  <c r="A495" i="21"/>
  <c r="A494" i="21"/>
  <c r="A506" i="21"/>
  <c r="V446" i="21"/>
  <c r="G466" i="21" s="1"/>
  <c r="AD446" i="21"/>
  <c r="O466" i="21" s="1"/>
  <c r="AL446" i="21"/>
  <c r="W466" i="21" s="1"/>
  <c r="X453" i="21"/>
  <c r="AF453" i="21"/>
  <c r="AN453" i="21"/>
  <c r="V455" i="21"/>
  <c r="G475" i="21" s="1"/>
  <c r="AD455" i="21"/>
  <c r="O475" i="21" s="1"/>
  <c r="AL455" i="21"/>
  <c r="W475" i="21" s="1"/>
  <c r="X446" i="21"/>
  <c r="I466" i="21" s="1"/>
  <c r="AF446" i="21"/>
  <c r="Q466" i="21" s="1"/>
  <c r="Z453" i="21"/>
  <c r="AH453" i="21"/>
  <c r="X455" i="21"/>
  <c r="I475" i="21" s="1"/>
  <c r="AF455" i="21"/>
  <c r="Q475" i="21" s="1"/>
  <c r="AR18" i="19"/>
  <c r="AC38" i="19" s="1"/>
  <c r="AN27" i="19"/>
  <c r="Y47" i="19" s="1"/>
  <c r="AN130" i="19"/>
  <c r="Y150" i="19" s="1"/>
  <c r="S133" i="19"/>
  <c r="D153" i="19" s="1"/>
  <c r="AI13" i="19"/>
  <c r="T33" i="19" s="1"/>
  <c r="T27" i="19"/>
  <c r="E47" i="19" s="1"/>
  <c r="T120" i="19"/>
  <c r="E140" i="19" s="1"/>
  <c r="AC122" i="19"/>
  <c r="N142" i="19" s="1"/>
  <c r="AN124" i="19"/>
  <c r="Y144" i="19" s="1"/>
  <c r="AN131" i="19"/>
  <c r="AH131" i="19"/>
  <c r="U133" i="19"/>
  <c r="F153" i="19" s="1"/>
  <c r="AM227" i="19"/>
  <c r="X247" i="19" s="1"/>
  <c r="AO228" i="19"/>
  <c r="Z248" i="19" s="1"/>
  <c r="Q230" i="19"/>
  <c r="B250" i="19" s="1"/>
  <c r="AO230" i="19"/>
  <c r="Z250" i="19" s="1"/>
  <c r="W232" i="19"/>
  <c r="H252" i="19" s="1"/>
  <c r="AA236" i="19"/>
  <c r="L256" i="19" s="1"/>
  <c r="AN237" i="19"/>
  <c r="Y257" i="19" s="1"/>
  <c r="AP237" i="19"/>
  <c r="AA257" i="19" s="1"/>
  <c r="AI237" i="19"/>
  <c r="T257" i="19" s="1"/>
  <c r="AN240" i="19"/>
  <c r="R339" i="19"/>
  <c r="C359" i="19" s="1"/>
  <c r="AO341" i="19"/>
  <c r="Z361" i="19" s="1"/>
  <c r="AR341" i="19"/>
  <c r="AC361" i="19" s="1"/>
  <c r="AG347" i="19"/>
  <c r="R367" i="19" s="1"/>
  <c r="AI348" i="19"/>
  <c r="AO350" i="19"/>
  <c r="Z370" i="19" s="1"/>
  <c r="U440" i="19"/>
  <c r="F460" i="19" s="1"/>
  <c r="T441" i="19"/>
  <c r="E461" i="19" s="1"/>
  <c r="Q443" i="19"/>
  <c r="B463" i="19" s="1"/>
  <c r="AQ451" i="19"/>
  <c r="AB471" i="19" s="1"/>
  <c r="Z452" i="19"/>
  <c r="K472" i="19" s="1"/>
  <c r="AQ453" i="19"/>
  <c r="AB453" i="19"/>
  <c r="T453" i="19"/>
  <c r="AC16" i="20"/>
  <c r="N36" i="20" s="1"/>
  <c r="AR18" i="20"/>
  <c r="AC38" i="20" s="1"/>
  <c r="Q25" i="20"/>
  <c r="AI120" i="20"/>
  <c r="T140" i="20" s="1"/>
  <c r="U120" i="20"/>
  <c r="F140" i="20" s="1"/>
  <c r="AH120" i="20"/>
  <c r="S140" i="20" s="1"/>
  <c r="S120" i="20"/>
  <c r="D140" i="20" s="1"/>
  <c r="AG120" i="20"/>
  <c r="R140" i="20" s="1"/>
  <c r="AB129" i="20"/>
  <c r="M149" i="20" s="1"/>
  <c r="AD337" i="20"/>
  <c r="O357" i="20" s="1"/>
  <c r="Z444" i="20"/>
  <c r="K464" i="20" s="1"/>
  <c r="W444" i="20"/>
  <c r="H464" i="20" s="1"/>
  <c r="AP444" i="20"/>
  <c r="AA464" i="20" s="1"/>
  <c r="V444" i="20"/>
  <c r="G464" i="20" s="1"/>
  <c r="G482" i="20" s="1"/>
  <c r="AM444" i="20"/>
  <c r="X464" i="20" s="1"/>
  <c r="S444" i="20"/>
  <c r="D464" i="20" s="1"/>
  <c r="AL444" i="20"/>
  <c r="W464" i="20" s="1"/>
  <c r="R444" i="20"/>
  <c r="C464" i="20" s="1"/>
  <c r="AO451" i="20"/>
  <c r="Z471" i="20" s="1"/>
  <c r="AJ451" i="20"/>
  <c r="U471" i="20" s="1"/>
  <c r="U451" i="20"/>
  <c r="F471" i="20" s="1"/>
  <c r="T451" i="20"/>
  <c r="E471" i="20" s="1"/>
  <c r="Q451" i="20"/>
  <c r="B471" i="20" s="1"/>
  <c r="AQ117" i="20"/>
  <c r="AB137" i="20" s="1"/>
  <c r="AF117" i="20"/>
  <c r="Q137" i="20" s="1"/>
  <c r="AK225" i="20"/>
  <c r="V245" i="20" s="1"/>
  <c r="AG225" i="20"/>
  <c r="R245" i="20" s="1"/>
  <c r="AC225" i="20"/>
  <c r="N245" i="20" s="1"/>
  <c r="U225" i="20"/>
  <c r="F245" i="20" s="1"/>
  <c r="Q225" i="20"/>
  <c r="B245" i="20" s="1"/>
  <c r="AP225" i="20"/>
  <c r="AA245" i="20" s="1"/>
  <c r="AD335" i="20"/>
  <c r="O355" i="20" s="1"/>
  <c r="AB335" i="20"/>
  <c r="M355" i="20" s="1"/>
  <c r="AQ128" i="20"/>
  <c r="AB148" i="20" s="1"/>
  <c r="AG128" i="20"/>
  <c r="R148" i="20" s="1"/>
  <c r="U128" i="20"/>
  <c r="F148" i="20" s="1"/>
  <c r="T128" i="20"/>
  <c r="E148" i="20" s="1"/>
  <c r="AB345" i="20"/>
  <c r="M365" i="20" s="1"/>
  <c r="AN345" i="20"/>
  <c r="Y365" i="20" s="1"/>
  <c r="AF345" i="20"/>
  <c r="Q365" i="20" s="1"/>
  <c r="AD345" i="20"/>
  <c r="O365" i="20" s="1"/>
  <c r="AM231" i="20"/>
  <c r="X251" i="20" s="1"/>
  <c r="AI231" i="20"/>
  <c r="T251" i="20" s="1"/>
  <c r="T269" i="20" s="1"/>
  <c r="AR231" i="20"/>
  <c r="AC251" i="20" s="1"/>
  <c r="AC269" i="20" s="1"/>
  <c r="AQ125" i="20"/>
  <c r="AB145" i="20" s="1"/>
  <c r="AA125" i="20"/>
  <c r="L145" i="20" s="1"/>
  <c r="AJ233" i="20"/>
  <c r="U253" i="20" s="1"/>
  <c r="AA233" i="20"/>
  <c r="L253" i="20" s="1"/>
  <c r="U233" i="20"/>
  <c r="F253" i="20" s="1"/>
  <c r="AK233" i="20"/>
  <c r="V253" i="20" s="1"/>
  <c r="U343" i="20"/>
  <c r="F363" i="20" s="1"/>
  <c r="AE343" i="20"/>
  <c r="P363" i="20" s="1"/>
  <c r="AO343" i="20"/>
  <c r="Z363" i="20" s="1"/>
  <c r="AH343" i="20"/>
  <c r="S363" i="20" s="1"/>
  <c r="AG132" i="20"/>
  <c r="Q132" i="20"/>
  <c r="AH132" i="20"/>
  <c r="AN349" i="20"/>
  <c r="X349" i="20"/>
  <c r="AK349" i="20"/>
  <c r="U349" i="20"/>
  <c r="AH349" i="20"/>
  <c r="T349" i="20"/>
  <c r="AG349" i="20"/>
  <c r="S349" i="20"/>
  <c r="AR349" i="20"/>
  <c r="AF349" i="20"/>
  <c r="R349" i="20"/>
  <c r="AQ349" i="20"/>
  <c r="AC349" i="20"/>
  <c r="Q349" i="20"/>
  <c r="AP349" i="20"/>
  <c r="AB349" i="20"/>
  <c r="AI349" i="20"/>
  <c r="AJ229" i="20"/>
  <c r="U249" i="20" s="1"/>
  <c r="T229" i="20"/>
  <c r="E249" i="20" s="1"/>
  <c r="AI229" i="20"/>
  <c r="T249" i="20" s="1"/>
  <c r="S229" i="20"/>
  <c r="D249" i="20" s="1"/>
  <c r="AG229" i="20"/>
  <c r="R249" i="20" s="1"/>
  <c r="R229" i="20"/>
  <c r="C249" i="20" s="1"/>
  <c r="AC229" i="20"/>
  <c r="N249" i="20" s="1"/>
  <c r="Q229" i="20"/>
  <c r="B249" i="20" s="1"/>
  <c r="AR229" i="20"/>
  <c r="AC249" i="20" s="1"/>
  <c r="AB229" i="20"/>
  <c r="M249" i="20" s="1"/>
  <c r="AN229" i="20"/>
  <c r="Y249" i="20" s="1"/>
  <c r="AQ229" i="20"/>
  <c r="AB249" i="20" s="1"/>
  <c r="AA229" i="20"/>
  <c r="L249" i="20" s="1"/>
  <c r="AL229" i="20"/>
  <c r="W249" i="20" s="1"/>
  <c r="AO229" i="20"/>
  <c r="Z249" i="20" s="1"/>
  <c r="Y229" i="20"/>
  <c r="J249" i="20" s="1"/>
  <c r="V27" i="19"/>
  <c r="G47" i="19" s="1"/>
  <c r="AB120" i="19"/>
  <c r="M140" i="19" s="1"/>
  <c r="AD122" i="19"/>
  <c r="O142" i="19" s="1"/>
  <c r="R131" i="19"/>
  <c r="AI131" i="19"/>
  <c r="Y133" i="19"/>
  <c r="J153" i="19" s="1"/>
  <c r="T230" i="19"/>
  <c r="E250" i="19" s="1"/>
  <c r="AR230" i="19"/>
  <c r="AC250" i="19" s="1"/>
  <c r="AD232" i="19"/>
  <c r="O252" i="19" s="1"/>
  <c r="AH238" i="19"/>
  <c r="S258" i="19" s="1"/>
  <c r="T339" i="19"/>
  <c r="E359" i="19" s="1"/>
  <c r="AC452" i="19"/>
  <c r="N472" i="19" s="1"/>
  <c r="Q453" i="19"/>
  <c r="AG16" i="20"/>
  <c r="R36" i="20" s="1"/>
  <c r="AM18" i="20"/>
  <c r="X38" i="20" s="1"/>
  <c r="U25" i="20"/>
  <c r="AI119" i="20"/>
  <c r="T139" i="20" s="1"/>
  <c r="AJ119" i="20"/>
  <c r="U139" i="20" s="1"/>
  <c r="Q120" i="20"/>
  <c r="B140" i="20" s="1"/>
  <c r="AK120" i="20"/>
  <c r="V140" i="20" s="1"/>
  <c r="AG129" i="20"/>
  <c r="R149" i="20" s="1"/>
  <c r="AN237" i="20"/>
  <c r="Y257" i="20" s="1"/>
  <c r="AF237" i="20"/>
  <c r="Q257" i="20" s="1"/>
  <c r="Y237" i="20"/>
  <c r="J257" i="20" s="1"/>
  <c r="R237" i="20"/>
  <c r="C257" i="20" s="1"/>
  <c r="AA337" i="20"/>
  <c r="L357" i="20" s="1"/>
  <c r="U337" i="20"/>
  <c r="F357" i="20" s="1"/>
  <c r="AR337" i="20"/>
  <c r="AC357" i="20" s="1"/>
  <c r="T337" i="20"/>
  <c r="E357" i="20" s="1"/>
  <c r="AI122" i="19"/>
  <c r="T142" i="19" s="1"/>
  <c r="AH227" i="19"/>
  <c r="S247" i="19" s="1"/>
  <c r="X230" i="19"/>
  <c r="I250" i="19" s="1"/>
  <c r="Z339" i="19"/>
  <c r="K359" i="19" s="1"/>
  <c r="AN18" i="20"/>
  <c r="Y38" i="20" s="1"/>
  <c r="AI18" i="20"/>
  <c r="T38" i="20" s="1"/>
  <c r="AE18" i="20"/>
  <c r="P38" i="20" s="1"/>
  <c r="AG25" i="20"/>
  <c r="AK119" i="20"/>
  <c r="V139" i="20" s="1"/>
  <c r="R120" i="20"/>
  <c r="C140" i="20" s="1"/>
  <c r="AN120" i="20"/>
  <c r="Y140" i="20" s="1"/>
  <c r="AB27" i="19"/>
  <c r="M47" i="19" s="1"/>
  <c r="AA133" i="19"/>
  <c r="L153" i="19" s="1"/>
  <c r="AN18" i="19"/>
  <c r="Y38" i="19" s="1"/>
  <c r="AJ27" i="19"/>
  <c r="U47" i="19" s="1"/>
  <c r="AK120" i="19"/>
  <c r="V140" i="19" s="1"/>
  <c r="AK122" i="19"/>
  <c r="V142" i="19" s="1"/>
  <c r="AA124" i="19"/>
  <c r="L144" i="19" s="1"/>
  <c r="AE129" i="19"/>
  <c r="P149" i="19" s="1"/>
  <c r="U131" i="19"/>
  <c r="AM131" i="19"/>
  <c r="AC133" i="19"/>
  <c r="N153" i="19" s="1"/>
  <c r="Y230" i="19"/>
  <c r="J250" i="19" s="1"/>
  <c r="Z237" i="19"/>
  <c r="K257" i="19" s="1"/>
  <c r="AM238" i="19"/>
  <c r="X258" i="19" s="1"/>
  <c r="AP238" i="19"/>
  <c r="AA258" i="19" s="1"/>
  <c r="R238" i="19"/>
  <c r="C258" i="19" s="1"/>
  <c r="AO238" i="19"/>
  <c r="Z258" i="19" s="1"/>
  <c r="Q238" i="19"/>
  <c r="B258" i="19" s="1"/>
  <c r="AD337" i="19"/>
  <c r="O357" i="19" s="1"/>
  <c r="AB339" i="19"/>
  <c r="M359" i="19" s="1"/>
  <c r="AI341" i="19"/>
  <c r="T361" i="19" s="1"/>
  <c r="W441" i="19"/>
  <c r="H461" i="19" s="1"/>
  <c r="V444" i="19"/>
  <c r="G464" i="19" s="1"/>
  <c r="AI451" i="19"/>
  <c r="T471" i="19" s="1"/>
  <c r="AD451" i="19"/>
  <c r="O471" i="19" s="1"/>
  <c r="AR453" i="19"/>
  <c r="AM455" i="19"/>
  <c r="X475" i="19" s="1"/>
  <c r="S18" i="20"/>
  <c r="D38" i="20" s="1"/>
  <c r="S27" i="20"/>
  <c r="D47" i="20" s="1"/>
  <c r="AN119" i="20"/>
  <c r="Y139" i="20" s="1"/>
  <c r="Z119" i="20"/>
  <c r="K139" i="20" s="1"/>
  <c r="AQ119" i="20"/>
  <c r="AB139" i="20" s="1"/>
  <c r="U119" i="20"/>
  <c r="F139" i="20" s="1"/>
  <c r="AP119" i="20"/>
  <c r="AA139" i="20" s="1"/>
  <c r="X120" i="20"/>
  <c r="I140" i="20" s="1"/>
  <c r="AO120" i="20"/>
  <c r="Z140" i="20" s="1"/>
  <c r="AA336" i="20"/>
  <c r="L356" i="20" s="1"/>
  <c r="Y336" i="20"/>
  <c r="J356" i="20" s="1"/>
  <c r="AQ336" i="20"/>
  <c r="AB356" i="20" s="1"/>
  <c r="U336" i="20"/>
  <c r="F356" i="20" s="1"/>
  <c r="AE337" i="20"/>
  <c r="P357" i="20" s="1"/>
  <c r="AO350" i="20"/>
  <c r="Z370" i="20" s="1"/>
  <c r="AN350" i="20"/>
  <c r="Y370" i="20" s="1"/>
  <c r="AJ350" i="20"/>
  <c r="U370" i="20" s="1"/>
  <c r="Z350" i="20"/>
  <c r="K370" i="20" s="1"/>
  <c r="X350" i="20"/>
  <c r="I370" i="20" s="1"/>
  <c r="AE444" i="20"/>
  <c r="P464" i="20" s="1"/>
  <c r="AR27" i="19"/>
  <c r="AC47" i="19" s="1"/>
  <c r="AQ120" i="19"/>
  <c r="AB140" i="19" s="1"/>
  <c r="AL120" i="19"/>
  <c r="W140" i="19" s="1"/>
  <c r="AP122" i="19"/>
  <c r="AA142" i="19" s="1"/>
  <c r="AG133" i="19"/>
  <c r="R153" i="19" s="1"/>
  <c r="AB230" i="19"/>
  <c r="M250" i="19" s="1"/>
  <c r="AH339" i="19"/>
  <c r="S359" i="19" s="1"/>
  <c r="AO347" i="19"/>
  <c r="Z367" i="19" s="1"/>
  <c r="U348" i="19"/>
  <c r="R451" i="19"/>
  <c r="C471" i="19" s="1"/>
  <c r="AO455" i="19"/>
  <c r="Z475" i="19" s="1"/>
  <c r="AP455" i="19"/>
  <c r="AA475" i="19" s="1"/>
  <c r="AA18" i="20"/>
  <c r="L38" i="20" s="1"/>
  <c r="AA27" i="20"/>
  <c r="L47" i="20" s="1"/>
  <c r="Y120" i="20"/>
  <c r="J140" i="20" s="1"/>
  <c r="AQ120" i="20"/>
  <c r="AB140" i="20" s="1"/>
  <c r="AH129" i="20"/>
  <c r="S149" i="20" s="1"/>
  <c r="S129" i="20"/>
  <c r="D149" i="20" s="1"/>
  <c r="AR129" i="20"/>
  <c r="AC149" i="20" s="1"/>
  <c r="AC129" i="20"/>
  <c r="N149" i="20" s="1"/>
  <c r="Q129" i="20"/>
  <c r="B149" i="20" s="1"/>
  <c r="AN129" i="20"/>
  <c r="Y149" i="20" s="1"/>
  <c r="Y129" i="20"/>
  <c r="J149" i="20" s="1"/>
  <c r="AK129" i="20"/>
  <c r="V149" i="20" s="1"/>
  <c r="X129" i="20"/>
  <c r="I149" i="20" s="1"/>
  <c r="AQ129" i="20"/>
  <c r="AB149" i="20" s="1"/>
  <c r="AG232" i="20"/>
  <c r="R252" i="20" s="1"/>
  <c r="AL232" i="20"/>
  <c r="W252" i="20" s="1"/>
  <c r="AF232" i="20"/>
  <c r="Q252" i="20" s="1"/>
  <c r="V232" i="20"/>
  <c r="G252" i="20" s="1"/>
  <c r="R232" i="20"/>
  <c r="C252" i="20" s="1"/>
  <c r="AK440" i="19"/>
  <c r="V460" i="19" s="1"/>
  <c r="AN440" i="19"/>
  <c r="Y460" i="19" s="1"/>
  <c r="AH440" i="19"/>
  <c r="S460" i="19" s="1"/>
  <c r="T236" i="19"/>
  <c r="E256" i="19" s="1"/>
  <c r="S236" i="19"/>
  <c r="D256" i="19" s="1"/>
  <c r="AM236" i="19"/>
  <c r="X256" i="19" s="1"/>
  <c r="AP342" i="19"/>
  <c r="AA362" i="19" s="1"/>
  <c r="AR342" i="19"/>
  <c r="AC362" i="19" s="1"/>
  <c r="Y443" i="19"/>
  <c r="J463" i="19" s="1"/>
  <c r="U443" i="19"/>
  <c r="F463" i="19" s="1"/>
  <c r="AK133" i="19"/>
  <c r="V153" i="19" s="1"/>
  <c r="AF230" i="19"/>
  <c r="Q250" i="19" s="1"/>
  <c r="AJ339" i="19"/>
  <c r="U359" i="19" s="1"/>
  <c r="AN14" i="19"/>
  <c r="Y34" i="19" s="1"/>
  <c r="AJ18" i="19"/>
  <c r="U38" i="19" s="1"/>
  <c r="AQ24" i="19"/>
  <c r="AB44" i="19" s="1"/>
  <c r="AD25" i="19"/>
  <c r="V122" i="19"/>
  <c r="G142" i="19" s="1"/>
  <c r="AC131" i="19"/>
  <c r="Q133" i="19"/>
  <c r="B153" i="19" s="1"/>
  <c r="AO133" i="19"/>
  <c r="Z153" i="19" s="1"/>
  <c r="AA227" i="19"/>
  <c r="L247" i="19" s="1"/>
  <c r="Y228" i="19"/>
  <c r="J248" i="19" s="1"/>
  <c r="Z238" i="19"/>
  <c r="K258" i="19" s="1"/>
  <c r="AO239" i="19"/>
  <c r="AN239" i="19"/>
  <c r="AD347" i="19"/>
  <c r="O367" i="19" s="1"/>
  <c r="U347" i="19"/>
  <c r="F367" i="19" s="1"/>
  <c r="Z455" i="19"/>
  <c r="K475" i="19" s="1"/>
  <c r="AL16" i="20"/>
  <c r="W36" i="20" s="1"/>
  <c r="U16" i="20"/>
  <c r="F36" i="20" s="1"/>
  <c r="Q16" i="20"/>
  <c r="B36" i="20" s="1"/>
  <c r="AQ27" i="20"/>
  <c r="AB47" i="20" s="1"/>
  <c r="AB120" i="20"/>
  <c r="M140" i="20" s="1"/>
  <c r="AI122" i="20"/>
  <c r="T142" i="20" s="1"/>
  <c r="T160" i="20" s="1"/>
  <c r="U129" i="20"/>
  <c r="F149" i="20" s="1"/>
  <c r="AM24" i="19"/>
  <c r="X44" i="19" s="1"/>
  <c r="AL25" i="19"/>
  <c r="W122" i="19"/>
  <c r="H142" i="19" s="1"/>
  <c r="AD228" i="19"/>
  <c r="O248" i="19" s="1"/>
  <c r="Q239" i="19"/>
  <c r="AP339" i="19"/>
  <c r="AA359" i="19" s="1"/>
  <c r="Q347" i="19"/>
  <c r="B367" i="19" s="1"/>
  <c r="X348" i="19"/>
  <c r="AA350" i="19"/>
  <c r="L370" i="19" s="1"/>
  <c r="AO441" i="19"/>
  <c r="Z461" i="19" s="1"/>
  <c r="W452" i="19"/>
  <c r="H472" i="19" s="1"/>
  <c r="AH455" i="19"/>
  <c r="S475" i="19" s="1"/>
  <c r="Y16" i="20"/>
  <c r="J36" i="20" s="1"/>
  <c r="AL25" i="20"/>
  <c r="AC25" i="20"/>
  <c r="Y25" i="20"/>
  <c r="AD119" i="20"/>
  <c r="O139" i="20" s="1"/>
  <c r="AA129" i="20"/>
  <c r="L149" i="20" s="1"/>
  <c r="AE130" i="20"/>
  <c r="P150" i="20" s="1"/>
  <c r="X130" i="20"/>
  <c r="I150" i="20" s="1"/>
  <c r="AM237" i="19"/>
  <c r="X257" i="19" s="1"/>
  <c r="AM339" i="19"/>
  <c r="X359" i="19" s="1"/>
  <c r="AN348" i="19"/>
  <c r="AN441" i="19"/>
  <c r="Y461" i="19" s="1"/>
  <c r="AR452" i="19"/>
  <c r="AC472" i="19" s="1"/>
  <c r="AM452" i="19"/>
  <c r="X472" i="19" s="1"/>
  <c r="W23" i="20"/>
  <c r="H43" i="20" s="1"/>
  <c r="AR27" i="20"/>
  <c r="AC47" i="20" s="1"/>
  <c r="AI130" i="20"/>
  <c r="T150" i="20" s="1"/>
  <c r="T226" i="20"/>
  <c r="E246" i="20" s="1"/>
  <c r="AL236" i="20"/>
  <c r="W256" i="20" s="1"/>
  <c r="AG236" i="20"/>
  <c r="R256" i="20" s="1"/>
  <c r="AH238" i="20"/>
  <c r="S258" i="20" s="1"/>
  <c r="AD241" i="20"/>
  <c r="O261" i="20" s="1"/>
  <c r="AD334" i="20"/>
  <c r="O354" i="20" s="1"/>
  <c r="AI336" i="20"/>
  <c r="T356" i="20" s="1"/>
  <c r="AN337" i="20"/>
  <c r="Y357" i="20" s="1"/>
  <c r="AF337" i="20"/>
  <c r="Q357" i="20" s="1"/>
  <c r="AK339" i="20"/>
  <c r="V359" i="20" s="1"/>
  <c r="AG339" i="20"/>
  <c r="R359" i="20" s="1"/>
  <c r="S340" i="20"/>
  <c r="D360" i="20" s="1"/>
  <c r="AG340" i="20"/>
  <c r="R360" i="20" s="1"/>
  <c r="AI341" i="20"/>
  <c r="T361" i="20" s="1"/>
  <c r="AF343" i="20"/>
  <c r="Q363" i="20" s="1"/>
  <c r="AK346" i="20"/>
  <c r="V366" i="20" s="1"/>
  <c r="V348" i="20"/>
  <c r="R441" i="20"/>
  <c r="C461" i="20" s="1"/>
  <c r="AK442" i="20"/>
  <c r="V462" i="20" s="1"/>
  <c r="AD444" i="20"/>
  <c r="O464" i="20" s="1"/>
  <c r="O482" i="20" s="1"/>
  <c r="Y446" i="20"/>
  <c r="J466" i="20" s="1"/>
  <c r="R450" i="20"/>
  <c r="C470" i="20" s="1"/>
  <c r="AI452" i="20"/>
  <c r="T472" i="20" s="1"/>
  <c r="AC455" i="20"/>
  <c r="N475" i="20" s="1"/>
  <c r="AR17" i="20"/>
  <c r="AC37" i="20" s="1"/>
  <c r="AJ20" i="20"/>
  <c r="U40" i="20" s="1"/>
  <c r="AE231" i="20"/>
  <c r="P251" i="20" s="1"/>
  <c r="AC343" i="20"/>
  <c r="N363" i="20" s="1"/>
  <c r="AO339" i="19"/>
  <c r="Z359" i="19" s="1"/>
  <c r="AR339" i="19"/>
  <c r="AC359" i="19" s="1"/>
  <c r="AN350" i="19"/>
  <c r="Y370" i="19" s="1"/>
  <c r="R452" i="19"/>
  <c r="C472" i="19" s="1"/>
  <c r="AP452" i="19"/>
  <c r="AA472" i="19" s="1"/>
  <c r="AE14" i="20"/>
  <c r="P34" i="20" s="1"/>
  <c r="AE27" i="20"/>
  <c r="P47" i="20" s="1"/>
  <c r="AQ130" i="20"/>
  <c r="AB150" i="20" s="1"/>
  <c r="AO130" i="20"/>
  <c r="Z150" i="20" s="1"/>
  <c r="AL227" i="20"/>
  <c r="W247" i="20" s="1"/>
  <c r="AN236" i="20"/>
  <c r="Y256" i="20" s="1"/>
  <c r="AJ236" i="20"/>
  <c r="U256" i="20" s="1"/>
  <c r="AO237" i="20"/>
  <c r="Z257" i="20" s="1"/>
  <c r="AG238" i="20"/>
  <c r="R258" i="20" s="1"/>
  <c r="AM238" i="20"/>
  <c r="X258" i="20" s="1"/>
  <c r="Q336" i="20"/>
  <c r="B356" i="20" s="1"/>
  <c r="Q337" i="20"/>
  <c r="B357" i="20" s="1"/>
  <c r="AK337" i="20"/>
  <c r="V357" i="20" s="1"/>
  <c r="AH339" i="20"/>
  <c r="S359" i="20" s="1"/>
  <c r="T340" i="20"/>
  <c r="E360" i="20" s="1"/>
  <c r="AJ341" i="20"/>
  <c r="U361" i="20" s="1"/>
  <c r="AM346" i="20"/>
  <c r="X366" i="20" s="1"/>
  <c r="AA348" i="20"/>
  <c r="AG441" i="20"/>
  <c r="R461" i="20" s="1"/>
  <c r="AC442" i="20"/>
  <c r="N462" i="20" s="1"/>
  <c r="AN444" i="20"/>
  <c r="Y464" i="20" s="1"/>
  <c r="AI444" i="20"/>
  <c r="T464" i="20" s="1"/>
  <c r="AB446" i="20"/>
  <c r="M466" i="20" s="1"/>
  <c r="AG451" i="20"/>
  <c r="R471" i="20" s="1"/>
  <c r="AJ452" i="20"/>
  <c r="U472" i="20" s="1"/>
  <c r="AE455" i="20"/>
  <c r="P475" i="20" s="1"/>
  <c r="AF445" i="19"/>
  <c r="Q465" i="19" s="1"/>
  <c r="AJ17" i="20"/>
  <c r="U37" i="20" s="1"/>
  <c r="AJ439" i="20"/>
  <c r="U459" i="20" s="1"/>
  <c r="AK128" i="20"/>
  <c r="V148" i="20" s="1"/>
  <c r="AG450" i="20"/>
  <c r="R470" i="20" s="1"/>
  <c r="AE227" i="20"/>
  <c r="P247" i="20" s="1"/>
  <c r="AD228" i="20"/>
  <c r="O248" i="20" s="1"/>
  <c r="AO238" i="20"/>
  <c r="Z258" i="20" s="1"/>
  <c r="T336" i="20"/>
  <c r="E356" i="20" s="1"/>
  <c r="S337" i="20"/>
  <c r="D357" i="20" s="1"/>
  <c r="AM337" i="20"/>
  <c r="X357" i="20" s="1"/>
  <c r="AJ339" i="20"/>
  <c r="U359" i="20" s="1"/>
  <c r="AN341" i="20"/>
  <c r="Y361" i="20" s="1"/>
  <c r="AK348" i="20"/>
  <c r="AC446" i="20"/>
  <c r="N466" i="20" s="1"/>
  <c r="AJ455" i="20"/>
  <c r="U475" i="20" s="1"/>
  <c r="AK455" i="20"/>
  <c r="V475" i="20" s="1"/>
  <c r="R12" i="20"/>
  <c r="C32" i="20" s="1"/>
  <c r="AJ446" i="20"/>
  <c r="U466" i="20" s="1"/>
  <c r="AM455" i="20"/>
  <c r="X475" i="20" s="1"/>
  <c r="AJ343" i="19"/>
  <c r="U363" i="19" s="1"/>
  <c r="AE342" i="20"/>
  <c r="P362" i="20" s="1"/>
  <c r="S227" i="20"/>
  <c r="D247" i="20" s="1"/>
  <c r="S346" i="20"/>
  <c r="D366" i="20" s="1"/>
  <c r="AN348" i="20"/>
  <c r="AH348" i="20"/>
  <c r="Q446" i="20"/>
  <c r="B466" i="20" s="1"/>
  <c r="AK446" i="20"/>
  <c r="V466" i="20" s="1"/>
  <c r="S452" i="20"/>
  <c r="D472" i="20" s="1"/>
  <c r="T455" i="20"/>
  <c r="E475" i="20" s="1"/>
  <c r="AR455" i="20"/>
  <c r="AC475" i="20" s="1"/>
  <c r="W227" i="20"/>
  <c r="H247" i="20" s="1"/>
  <c r="AR232" i="20"/>
  <c r="AC252" i="20" s="1"/>
  <c r="X341" i="20"/>
  <c r="I361" i="20" s="1"/>
  <c r="U346" i="20"/>
  <c r="F366" i="20" s="1"/>
  <c r="Q348" i="20"/>
  <c r="AJ348" i="20"/>
  <c r="T446" i="20"/>
  <c r="E466" i="20" s="1"/>
  <c r="AN446" i="20"/>
  <c r="Y466" i="20" s="1"/>
  <c r="T452" i="20"/>
  <c r="E472" i="20" s="1"/>
  <c r="U455" i="20"/>
  <c r="F475" i="20" s="1"/>
  <c r="AR234" i="19"/>
  <c r="AC254" i="19" s="1"/>
  <c r="AA454" i="19"/>
  <c r="AF334" i="20"/>
  <c r="Q354" i="20" s="1"/>
  <c r="AG123" i="20"/>
  <c r="R143" i="20" s="1"/>
  <c r="AE131" i="20"/>
  <c r="Y238" i="20"/>
  <c r="J258" i="20" s="1"/>
  <c r="AO336" i="20"/>
  <c r="Z356" i="20" s="1"/>
  <c r="AD336" i="20"/>
  <c r="O356" i="20" s="1"/>
  <c r="AA346" i="20"/>
  <c r="L366" i="20" s="1"/>
  <c r="T348" i="20"/>
  <c r="AQ348" i="20"/>
  <c r="U446" i="20"/>
  <c r="F466" i="20" s="1"/>
  <c r="AB452" i="20"/>
  <c r="M472" i="20" s="1"/>
  <c r="W455" i="20"/>
  <c r="H475" i="20" s="1"/>
  <c r="AI439" i="19"/>
  <c r="T459" i="19" s="1"/>
  <c r="S340" i="19"/>
  <c r="D360" i="19" s="1"/>
  <c r="AQ338" i="19"/>
  <c r="AB358" i="19" s="1"/>
  <c r="AE440" i="20"/>
  <c r="P460" i="20" s="1"/>
  <c r="S231" i="20"/>
  <c r="D251" i="20" s="1"/>
  <c r="AB121" i="20"/>
  <c r="M141" i="20" s="1"/>
  <c r="AI121" i="20"/>
  <c r="T141" i="20" s="1"/>
  <c r="Y121" i="20"/>
  <c r="J141" i="20" s="1"/>
  <c r="AN121" i="20"/>
  <c r="Y141" i="20" s="1"/>
  <c r="AQ121" i="20"/>
  <c r="AB141" i="20" s="1"/>
  <c r="AO121" i="20"/>
  <c r="Z141" i="20" s="1"/>
  <c r="AF240" i="20"/>
  <c r="AN240" i="20"/>
  <c r="AK240" i="20"/>
  <c r="W240" i="20"/>
  <c r="R343" i="20"/>
  <c r="C363" i="20" s="1"/>
  <c r="AM343" i="20"/>
  <c r="X363" i="20" s="1"/>
  <c r="W343" i="20"/>
  <c r="H363" i="20" s="1"/>
  <c r="AQ233" i="20"/>
  <c r="AB253" i="20" s="1"/>
  <c r="S234" i="20"/>
  <c r="D254" i="20" s="1"/>
  <c r="AI234" i="20"/>
  <c r="T254" i="20" s="1"/>
  <c r="AH445" i="20"/>
  <c r="S465" i="20" s="1"/>
  <c r="AO445" i="20"/>
  <c r="Z465" i="20" s="1"/>
  <c r="Q445" i="20"/>
  <c r="B465" i="20" s="1"/>
  <c r="W231" i="20"/>
  <c r="H251" i="20" s="1"/>
  <c r="Q450" i="20"/>
  <c r="B470" i="20" s="1"/>
  <c r="AL450" i="20"/>
  <c r="W470" i="20" s="1"/>
  <c r="U450" i="20"/>
  <c r="F470" i="20" s="1"/>
  <c r="AP450" i="20"/>
  <c r="AA470" i="20" s="1"/>
  <c r="V450" i="20"/>
  <c r="G470" i="20" s="1"/>
  <c r="AR345" i="20"/>
  <c r="AC365" i="20" s="1"/>
  <c r="T345" i="20"/>
  <c r="E365" i="20" s="1"/>
  <c r="U236" i="20"/>
  <c r="F256" i="20" s="1"/>
  <c r="AI236" i="20"/>
  <c r="T256" i="20" s="1"/>
  <c r="Q236" i="20"/>
  <c r="B256" i="20" s="1"/>
  <c r="AB236" i="20"/>
  <c r="M256" i="20" s="1"/>
  <c r="AP236" i="20"/>
  <c r="AA256" i="20" s="1"/>
  <c r="R236" i="20"/>
  <c r="C256" i="20" s="1"/>
  <c r="AC236" i="20"/>
  <c r="N256" i="20" s="1"/>
  <c r="AA128" i="20"/>
  <c r="L148" i="20" s="1"/>
  <c r="AN128" i="20"/>
  <c r="Y148" i="20" s="1"/>
  <c r="AJ128" i="20"/>
  <c r="U148" i="20" s="1"/>
  <c r="Q128" i="20"/>
  <c r="B148" i="20" s="1"/>
  <c r="V334" i="20"/>
  <c r="G354" i="20" s="1"/>
  <c r="AB334" i="20"/>
  <c r="M354" i="20" s="1"/>
  <c r="AQ15" i="20"/>
  <c r="AB35" i="20" s="1"/>
  <c r="AR26" i="20"/>
  <c r="T26" i="20"/>
  <c r="AP20" i="20"/>
  <c r="AA40" i="20" s="1"/>
  <c r="U20" i="20"/>
  <c r="F40" i="20" s="1"/>
  <c r="AC20" i="20"/>
  <c r="N40" i="20" s="1"/>
  <c r="AG20" i="20"/>
  <c r="R40" i="20" s="1"/>
  <c r="AN20" i="20"/>
  <c r="Y40" i="20" s="1"/>
  <c r="AK20" i="20"/>
  <c r="V40" i="20" s="1"/>
  <c r="Q20" i="20"/>
  <c r="B40" i="20" s="1"/>
  <c r="AR20" i="20"/>
  <c r="AC40" i="20" s="1"/>
  <c r="R20" i="20"/>
  <c r="C40" i="20" s="1"/>
  <c r="AP19" i="20"/>
  <c r="AA39" i="20" s="1"/>
  <c r="T17" i="20"/>
  <c r="E37" i="20" s="1"/>
  <c r="AN22" i="20"/>
  <c r="Y42" i="20" s="1"/>
  <c r="AP11" i="20"/>
  <c r="AA31" i="20" s="1"/>
  <c r="R11" i="20"/>
  <c r="C31" i="20" s="1"/>
  <c r="Y12" i="20"/>
  <c r="J32" i="20" s="1"/>
  <c r="Z12" i="20"/>
  <c r="K32" i="20" s="1"/>
  <c r="AB12" i="20"/>
  <c r="M32" i="20" s="1"/>
  <c r="AG12" i="20"/>
  <c r="R32" i="20" s="1"/>
  <c r="AK12" i="20"/>
  <c r="V32" i="20" s="1"/>
  <c r="AO11" i="20"/>
  <c r="Z31" i="20" s="1"/>
  <c r="AK26" i="20"/>
  <c r="T20" i="20"/>
  <c r="E40" i="20" s="1"/>
  <c r="AO20" i="20"/>
  <c r="Z40" i="20" s="1"/>
  <c r="R19" i="20"/>
  <c r="C39" i="20" s="1"/>
  <c r="V19" i="20"/>
  <c r="G39" i="20" s="1"/>
  <c r="Z19" i="20"/>
  <c r="K39" i="20" s="1"/>
  <c r="AH19" i="20"/>
  <c r="S39" i="20" s="1"/>
  <c r="AJ12" i="20"/>
  <c r="U32" i="20" s="1"/>
  <c r="AP12" i="20"/>
  <c r="AA32" i="20" s="1"/>
  <c r="AN12" i="20"/>
  <c r="Y32" i="20" s="1"/>
  <c r="AC12" i="20"/>
  <c r="N32" i="20" s="1"/>
  <c r="Q12" i="20"/>
  <c r="B32" i="20" s="1"/>
  <c r="AA338" i="19"/>
  <c r="L358" i="19" s="1"/>
  <c r="AK338" i="19"/>
  <c r="V358" i="19" s="1"/>
  <c r="X343" i="19"/>
  <c r="I363" i="19" s="1"/>
  <c r="AG343" i="19"/>
  <c r="R363" i="19" s="1"/>
  <c r="AB234" i="19"/>
  <c r="M254" i="19" s="1"/>
  <c r="AK234" i="19"/>
  <c r="V254" i="19" s="1"/>
  <c r="AA445" i="19"/>
  <c r="L465" i="19" s="1"/>
  <c r="AN340" i="19"/>
  <c r="Y360" i="19" s="1"/>
  <c r="AQ340" i="19"/>
  <c r="AB360" i="19" s="1"/>
  <c r="Q340" i="19"/>
  <c r="B360" i="19" s="1"/>
  <c r="AL236" i="19"/>
  <c r="W256" i="19" s="1"/>
  <c r="AJ236" i="19"/>
  <c r="U256" i="19" s="1"/>
  <c r="AO236" i="19"/>
  <c r="Z256" i="19" s="1"/>
  <c r="AR236" i="19"/>
  <c r="AC256" i="19" s="1"/>
  <c r="S439" i="19"/>
  <c r="D459" i="19" s="1"/>
  <c r="AN335" i="19"/>
  <c r="Y355" i="19" s="1"/>
  <c r="AR15" i="19"/>
  <c r="AC35" i="19" s="1"/>
  <c r="AP20" i="19"/>
  <c r="AA40" i="19" s="1"/>
  <c r="R20" i="19"/>
  <c r="C40" i="19" s="1"/>
  <c r="T20" i="19"/>
  <c r="E40" i="19" s="1"/>
  <c r="Z20" i="19"/>
  <c r="K40" i="19" s="1"/>
  <c r="AB20" i="19"/>
  <c r="M40" i="19" s="1"/>
  <c r="AR20" i="19"/>
  <c r="AC40" i="19" s="1"/>
  <c r="AH20" i="19"/>
  <c r="S40" i="19" s="1"/>
  <c r="AQ22" i="19"/>
  <c r="AB42" i="19" s="1"/>
  <c r="AQ26" i="19"/>
  <c r="AJ20" i="19"/>
  <c r="U40" i="19" s="1"/>
  <c r="AN20" i="19"/>
  <c r="Y40" i="19" s="1"/>
  <c r="AM22" i="19"/>
  <c r="X42" i="19" s="1"/>
  <c r="AO22" i="19"/>
  <c r="Z42" i="19" s="1"/>
  <c r="AL22" i="19"/>
  <c r="W42" i="19" s="1"/>
  <c r="R12" i="19"/>
  <c r="C32" i="19" s="1"/>
  <c r="T12" i="19"/>
  <c r="E32" i="19" s="1"/>
  <c r="Z12" i="19"/>
  <c r="K32" i="19" s="1"/>
  <c r="Q11" i="19"/>
  <c r="B31" i="19" s="1"/>
  <c r="AG11" i="19"/>
  <c r="R31" i="19" s="1"/>
  <c r="S11" i="19"/>
  <c r="D31" i="19" s="1"/>
  <c r="Z36" i="20"/>
  <c r="AM15" i="20"/>
  <c r="X35" i="20" s="1"/>
  <c r="AE15" i="20"/>
  <c r="P35" i="20" s="1"/>
  <c r="W15" i="20"/>
  <c r="H35" i="20" s="1"/>
  <c r="AK15" i="20"/>
  <c r="V35" i="20" s="1"/>
  <c r="AC15" i="20"/>
  <c r="N35" i="20" s="1"/>
  <c r="U15" i="20"/>
  <c r="F35" i="20" s="1"/>
  <c r="R15" i="20"/>
  <c r="C35" i="20" s="1"/>
  <c r="AR15" i="20"/>
  <c r="AC35" i="20" s="1"/>
  <c r="AJ15" i="20"/>
  <c r="U35" i="20" s="1"/>
  <c r="AB15" i="20"/>
  <c r="M35" i="20" s="1"/>
  <c r="T15" i="20"/>
  <c r="E35" i="20" s="1"/>
  <c r="AH15" i="20"/>
  <c r="S35" i="20" s="1"/>
  <c r="AP15" i="20"/>
  <c r="AA35" i="20" s="1"/>
  <c r="Z15" i="20"/>
  <c r="K35" i="20" s="1"/>
  <c r="AO15" i="20"/>
  <c r="Z35" i="20" s="1"/>
  <c r="AG15" i="20"/>
  <c r="R35" i="20" s="1"/>
  <c r="Y15" i="20"/>
  <c r="J35" i="20" s="1"/>
  <c r="Q15" i="20"/>
  <c r="B35" i="20" s="1"/>
  <c r="AO13" i="20"/>
  <c r="Z33" i="20" s="1"/>
  <c r="AG13" i="20"/>
  <c r="R33" i="20" s="1"/>
  <c r="Y13" i="20"/>
  <c r="J33" i="20" s="1"/>
  <c r="Q13" i="20"/>
  <c r="B33" i="20" s="1"/>
  <c r="AM13" i="20"/>
  <c r="X33" i="20" s="1"/>
  <c r="AE13" i="20"/>
  <c r="P33" i="20" s="1"/>
  <c r="W13" i="20"/>
  <c r="H33" i="20" s="1"/>
  <c r="AB13" i="20"/>
  <c r="M33" i="20" s="1"/>
  <c r="AL13" i="20"/>
  <c r="W33" i="20" s="1"/>
  <c r="AD13" i="20"/>
  <c r="O33" i="20" s="1"/>
  <c r="V13" i="20"/>
  <c r="G33" i="20" s="1"/>
  <c r="AR13" i="20"/>
  <c r="AC33" i="20" s="1"/>
  <c r="T13" i="20"/>
  <c r="E33" i="20" s="1"/>
  <c r="AK13" i="20"/>
  <c r="V33" i="20" s="1"/>
  <c r="AC13" i="20"/>
  <c r="N33" i="20" s="1"/>
  <c r="U13" i="20"/>
  <c r="F33" i="20" s="1"/>
  <c r="AJ13" i="20"/>
  <c r="U33" i="20" s="1"/>
  <c r="AQ13" i="20"/>
  <c r="AB33" i="20" s="1"/>
  <c r="AI13" i="20"/>
  <c r="T33" i="20" s="1"/>
  <c r="AA13" i="20"/>
  <c r="L33" i="20" s="1"/>
  <c r="S13" i="20"/>
  <c r="D33" i="20" s="1"/>
  <c r="AP13" i="20"/>
  <c r="AA33" i="20" s="1"/>
  <c r="AH13" i="20"/>
  <c r="S33" i="20" s="1"/>
  <c r="Z13" i="20"/>
  <c r="K33" i="20" s="1"/>
  <c r="R13" i="20"/>
  <c r="C33" i="20" s="1"/>
  <c r="AN14" i="20"/>
  <c r="Y34" i="20" s="1"/>
  <c r="AM24" i="20"/>
  <c r="X44" i="20" s="1"/>
  <c r="AE24" i="20"/>
  <c r="P44" i="20" s="1"/>
  <c r="W24" i="20"/>
  <c r="H44" i="20" s="1"/>
  <c r="AK24" i="20"/>
  <c r="V44" i="20" s="1"/>
  <c r="AC24" i="20"/>
  <c r="N44" i="20" s="1"/>
  <c r="U24" i="20"/>
  <c r="F44" i="20" s="1"/>
  <c r="AR24" i="20"/>
  <c r="AC44" i="20" s="1"/>
  <c r="AJ24" i="20"/>
  <c r="U44" i="20" s="1"/>
  <c r="AB24" i="20"/>
  <c r="M44" i="20" s="1"/>
  <c r="T24" i="20"/>
  <c r="E44" i="20" s="1"/>
  <c r="R24" i="20"/>
  <c r="C44" i="20" s="1"/>
  <c r="AP24" i="20"/>
  <c r="AA44" i="20" s="1"/>
  <c r="Z24" i="20"/>
  <c r="K44" i="20" s="1"/>
  <c r="AH24" i="20"/>
  <c r="S44" i="20" s="1"/>
  <c r="AO24" i="20"/>
  <c r="Z44" i="20" s="1"/>
  <c r="AG24" i="20"/>
  <c r="R44" i="20" s="1"/>
  <c r="Y24" i="20"/>
  <c r="J44" i="20" s="1"/>
  <c r="Q24" i="20"/>
  <c r="B44" i="20" s="1"/>
  <c r="A79" i="20"/>
  <c r="A67" i="20"/>
  <c r="AF13" i="20"/>
  <c r="Q33" i="20" s="1"/>
  <c r="AD15" i="20"/>
  <c r="O35" i="20" s="1"/>
  <c r="AO22" i="20"/>
  <c r="Z42" i="20" s="1"/>
  <c r="AG22" i="20"/>
  <c r="R42" i="20" s="1"/>
  <c r="Y22" i="20"/>
  <c r="J42" i="20" s="1"/>
  <c r="Q22" i="20"/>
  <c r="B42" i="20" s="1"/>
  <c r="AM22" i="20"/>
  <c r="X42" i="20" s="1"/>
  <c r="AE22" i="20"/>
  <c r="P42" i="20" s="1"/>
  <c r="W22" i="20"/>
  <c r="H42" i="20" s="1"/>
  <c r="AJ22" i="20"/>
  <c r="U42" i="20" s="1"/>
  <c r="AL22" i="20"/>
  <c r="W42" i="20" s="1"/>
  <c r="AD22" i="20"/>
  <c r="O42" i="20" s="1"/>
  <c r="V22" i="20"/>
  <c r="G42" i="20" s="1"/>
  <c r="AB22" i="20"/>
  <c r="M42" i="20" s="1"/>
  <c r="AK22" i="20"/>
  <c r="V42" i="20" s="1"/>
  <c r="AC22" i="20"/>
  <c r="N42" i="20" s="1"/>
  <c r="U22" i="20"/>
  <c r="F42" i="20" s="1"/>
  <c r="T22" i="20"/>
  <c r="E42" i="20" s="1"/>
  <c r="AR22" i="20"/>
  <c r="AC42" i="20" s="1"/>
  <c r="AQ22" i="20"/>
  <c r="AB42" i="20" s="1"/>
  <c r="AI22" i="20"/>
  <c r="T42" i="20" s="1"/>
  <c r="AA22" i="20"/>
  <c r="L42" i="20" s="1"/>
  <c r="S22" i="20"/>
  <c r="D42" i="20" s="1"/>
  <c r="AP22" i="20"/>
  <c r="AA42" i="20" s="1"/>
  <c r="AH22" i="20"/>
  <c r="S42" i="20" s="1"/>
  <c r="Z22" i="20"/>
  <c r="K42" i="20" s="1"/>
  <c r="R22" i="20"/>
  <c r="C42" i="20" s="1"/>
  <c r="AN23" i="20"/>
  <c r="Y43" i="20" s="1"/>
  <c r="AQ24" i="20"/>
  <c r="AB44" i="20" s="1"/>
  <c r="A77" i="20"/>
  <c r="A65" i="20"/>
  <c r="S14" i="20"/>
  <c r="D34" i="20" s="1"/>
  <c r="AQ14" i="20"/>
  <c r="AB34" i="20" s="1"/>
  <c r="AI14" i="20"/>
  <c r="T34" i="20" s="1"/>
  <c r="AA14" i="20"/>
  <c r="L34" i="20" s="1"/>
  <c r="AP14" i="20"/>
  <c r="AA34" i="20" s="1"/>
  <c r="AH14" i="20"/>
  <c r="S34" i="20" s="1"/>
  <c r="Z14" i="20"/>
  <c r="K34" i="20" s="1"/>
  <c r="R14" i="20"/>
  <c r="C34" i="20" s="1"/>
  <c r="W14" i="20"/>
  <c r="H34" i="20" s="1"/>
  <c r="AN13" i="20"/>
  <c r="Y33" i="20" s="1"/>
  <c r="AM14" i="20"/>
  <c r="X34" i="20" s="1"/>
  <c r="AL15" i="20"/>
  <c r="W35" i="20" s="1"/>
  <c r="X22" i="20"/>
  <c r="I42" i="20" s="1"/>
  <c r="V24" i="20"/>
  <c r="G44" i="20" s="1"/>
  <c r="AI23" i="20"/>
  <c r="T43" i="20" s="1"/>
  <c r="AA23" i="20"/>
  <c r="L43" i="20" s="1"/>
  <c r="AQ23" i="20"/>
  <c r="AB43" i="20" s="1"/>
  <c r="S23" i="20"/>
  <c r="D43" i="20" s="1"/>
  <c r="AP23" i="20"/>
  <c r="AA43" i="20" s="1"/>
  <c r="AH23" i="20"/>
  <c r="S43" i="20" s="1"/>
  <c r="Z23" i="20"/>
  <c r="K43" i="20" s="1"/>
  <c r="R23" i="20"/>
  <c r="C43" i="20" s="1"/>
  <c r="AF22" i="20"/>
  <c r="Q42" i="20" s="1"/>
  <c r="AE23" i="20"/>
  <c r="P43" i="20" s="1"/>
  <c r="AD24" i="20"/>
  <c r="O44" i="20" s="1"/>
  <c r="A81" i="20"/>
  <c r="A69" i="20"/>
  <c r="T11" i="20"/>
  <c r="E31" i="20" s="1"/>
  <c r="AB11" i="20"/>
  <c r="M31" i="20" s="1"/>
  <c r="AJ11" i="20"/>
  <c r="U31" i="20" s="1"/>
  <c r="AR11" i="20"/>
  <c r="AC31" i="20" s="1"/>
  <c r="S12" i="20"/>
  <c r="D32" i="20" s="1"/>
  <c r="AA12" i="20"/>
  <c r="L32" i="20" s="1"/>
  <c r="AI12" i="20"/>
  <c r="T32" i="20" s="1"/>
  <c r="AQ12" i="20"/>
  <c r="AB32" i="20" s="1"/>
  <c r="Q14" i="20"/>
  <c r="B34" i="20" s="1"/>
  <c r="Y14" i="20"/>
  <c r="J34" i="20" s="1"/>
  <c r="AG14" i="20"/>
  <c r="R34" i="20" s="1"/>
  <c r="AO14" i="20"/>
  <c r="Z34" i="20" s="1"/>
  <c r="X15" i="20"/>
  <c r="I35" i="20" s="1"/>
  <c r="AF15" i="20"/>
  <c r="Q35" i="20" s="1"/>
  <c r="AN15" i="20"/>
  <c r="Y35" i="20" s="1"/>
  <c r="W16" i="20"/>
  <c r="H36" i="20" s="1"/>
  <c r="AE16" i="20"/>
  <c r="P36" i="20" s="1"/>
  <c r="AM16" i="20"/>
  <c r="X36" i="20" s="1"/>
  <c r="V17" i="20"/>
  <c r="G37" i="20" s="1"/>
  <c r="AD17" i="20"/>
  <c r="O37" i="20" s="1"/>
  <c r="AL17" i="20"/>
  <c r="W37" i="20" s="1"/>
  <c r="U18" i="20"/>
  <c r="F38" i="20" s="1"/>
  <c r="AC18" i="20"/>
  <c r="N38" i="20" s="1"/>
  <c r="AK18" i="20"/>
  <c r="V38" i="20" s="1"/>
  <c r="T19" i="20"/>
  <c r="E39" i="20" s="1"/>
  <c r="AB19" i="20"/>
  <c r="M39" i="20" s="1"/>
  <c r="AJ19" i="20"/>
  <c r="U39" i="20" s="1"/>
  <c r="AR19" i="20"/>
  <c r="AC39" i="20" s="1"/>
  <c r="S20" i="20"/>
  <c r="D40" i="20" s="1"/>
  <c r="AA20" i="20"/>
  <c r="L40" i="20" s="1"/>
  <c r="AI20" i="20"/>
  <c r="T40" i="20" s="1"/>
  <c r="AQ20" i="20"/>
  <c r="AB40" i="20" s="1"/>
  <c r="Q23" i="20"/>
  <c r="B43" i="20" s="1"/>
  <c r="Y23" i="20"/>
  <c r="J43" i="20" s="1"/>
  <c r="AG23" i="20"/>
  <c r="R43" i="20" s="1"/>
  <c r="AO23" i="20"/>
  <c r="Z43" i="20" s="1"/>
  <c r="X24" i="20"/>
  <c r="I44" i="20" s="1"/>
  <c r="AF24" i="20"/>
  <c r="Q44" i="20" s="1"/>
  <c r="AN24" i="20"/>
  <c r="Y44" i="20" s="1"/>
  <c r="W25" i="20"/>
  <c r="AE25" i="20"/>
  <c r="AM25" i="20"/>
  <c r="V26" i="20"/>
  <c r="AD26" i="20"/>
  <c r="AL26" i="20"/>
  <c r="U27" i="20"/>
  <c r="F47" i="20" s="1"/>
  <c r="AC27" i="20"/>
  <c r="N47" i="20" s="1"/>
  <c r="AK27" i="20"/>
  <c r="V47" i="20" s="1"/>
  <c r="Y122" i="20"/>
  <c r="J142" i="20" s="1"/>
  <c r="U11" i="20"/>
  <c r="F31" i="20" s="1"/>
  <c r="AC11" i="20"/>
  <c r="N31" i="20" s="1"/>
  <c r="AK11" i="20"/>
  <c r="V31" i="20" s="1"/>
  <c r="X16" i="20"/>
  <c r="I36" i="20" s="1"/>
  <c r="AF16" i="20"/>
  <c r="Q36" i="20" s="1"/>
  <c r="AN16" i="20"/>
  <c r="Y36" i="20" s="1"/>
  <c r="W17" i="20"/>
  <c r="H37" i="20" s="1"/>
  <c r="AE17" i="20"/>
  <c r="P37" i="20" s="1"/>
  <c r="AM17" i="20"/>
  <c r="X37" i="20" s="1"/>
  <c r="V18" i="20"/>
  <c r="G38" i="20" s="1"/>
  <c r="AD18" i="20"/>
  <c r="O38" i="20" s="1"/>
  <c r="AL18" i="20"/>
  <c r="W38" i="20" s="1"/>
  <c r="U19" i="20"/>
  <c r="F39" i="20" s="1"/>
  <c r="AC19" i="20"/>
  <c r="N39" i="20" s="1"/>
  <c r="AK19" i="20"/>
  <c r="V39" i="20" s="1"/>
  <c r="X25" i="20"/>
  <c r="AF25" i="20"/>
  <c r="AN25" i="20"/>
  <c r="W26" i="20"/>
  <c r="AE26" i="20"/>
  <c r="AM26" i="20"/>
  <c r="V27" i="20"/>
  <c r="G47" i="20" s="1"/>
  <c r="AD27" i="20"/>
  <c r="O47" i="20" s="1"/>
  <c r="AL27" i="20"/>
  <c r="W47" i="20" s="1"/>
  <c r="E32" i="20"/>
  <c r="A78" i="20"/>
  <c r="A66" i="20"/>
  <c r="G137" i="20"/>
  <c r="V137" i="20"/>
  <c r="AF26" i="20"/>
  <c r="AM27" i="20"/>
  <c r="X47" i="20" s="1"/>
  <c r="V11" i="20"/>
  <c r="G31" i="20" s="1"/>
  <c r="AD11" i="20"/>
  <c r="O31" i="20" s="1"/>
  <c r="AL11" i="20"/>
  <c r="W31" i="20" s="1"/>
  <c r="AF17" i="20"/>
  <c r="Q37" i="20" s="1"/>
  <c r="AN17" i="20"/>
  <c r="Y37" i="20" s="1"/>
  <c r="W18" i="20"/>
  <c r="H38" i="20" s="1"/>
  <c r="AD19" i="20"/>
  <c r="O39" i="20" s="1"/>
  <c r="AL19" i="20"/>
  <c r="W39" i="20" s="1"/>
  <c r="X26" i="20"/>
  <c r="AN26" i="20"/>
  <c r="W27" i="20"/>
  <c r="H47" i="20" s="1"/>
  <c r="W11" i="20"/>
  <c r="H31" i="20" s="1"/>
  <c r="AE11" i="20"/>
  <c r="P31" i="20" s="1"/>
  <c r="AM11" i="20"/>
  <c r="X31" i="20" s="1"/>
  <c r="V12" i="20"/>
  <c r="G32" i="20" s="1"/>
  <c r="AD12" i="20"/>
  <c r="O32" i="20" s="1"/>
  <c r="AL12" i="20"/>
  <c r="W32" i="20" s="1"/>
  <c r="T14" i="20"/>
  <c r="E34" i="20" s="1"/>
  <c r="AB14" i="20"/>
  <c r="M34" i="20" s="1"/>
  <c r="AJ14" i="20"/>
  <c r="U34" i="20" s="1"/>
  <c r="AR14" i="20"/>
  <c r="AC34" i="20" s="1"/>
  <c r="S15" i="20"/>
  <c r="D35" i="20" s="1"/>
  <c r="AA15" i="20"/>
  <c r="L35" i="20" s="1"/>
  <c r="AI15" i="20"/>
  <c r="T35" i="20" s="1"/>
  <c r="R16" i="20"/>
  <c r="C36" i="20" s="1"/>
  <c r="Z16" i="20"/>
  <c r="K36" i="20" s="1"/>
  <c r="AH16" i="20"/>
  <c r="S36" i="20" s="1"/>
  <c r="AP16" i="20"/>
  <c r="AA36" i="20" s="1"/>
  <c r="Q17" i="20"/>
  <c r="B37" i="20" s="1"/>
  <c r="Y17" i="20"/>
  <c r="J37" i="20" s="1"/>
  <c r="AG17" i="20"/>
  <c r="R37" i="20" s="1"/>
  <c r="AO17" i="20"/>
  <c r="Z37" i="20" s="1"/>
  <c r="X18" i="20"/>
  <c r="I38" i="20" s="1"/>
  <c r="AF18" i="20"/>
  <c r="Q38" i="20" s="1"/>
  <c r="W19" i="20"/>
  <c r="H39" i="20" s="1"/>
  <c r="AE19" i="20"/>
  <c r="P39" i="20" s="1"/>
  <c r="AM19" i="20"/>
  <c r="X39" i="20" s="1"/>
  <c r="V20" i="20"/>
  <c r="G40" i="20" s="1"/>
  <c r="AD20" i="20"/>
  <c r="O40" i="20" s="1"/>
  <c r="AL20" i="20"/>
  <c r="W40" i="20" s="1"/>
  <c r="T23" i="20"/>
  <c r="E43" i="20" s="1"/>
  <c r="AB23" i="20"/>
  <c r="M43" i="20" s="1"/>
  <c r="AJ23" i="20"/>
  <c r="U43" i="20" s="1"/>
  <c r="AR23" i="20"/>
  <c r="AC43" i="20" s="1"/>
  <c r="S24" i="20"/>
  <c r="D44" i="20" s="1"/>
  <c r="AA24" i="20"/>
  <c r="L44" i="20" s="1"/>
  <c r="AI24" i="20"/>
  <c r="T44" i="20" s="1"/>
  <c r="R25" i="20"/>
  <c r="Z25" i="20"/>
  <c r="AH25" i="20"/>
  <c r="AP25" i="20"/>
  <c r="Q26" i="20"/>
  <c r="Y26" i="20"/>
  <c r="AG26" i="20"/>
  <c r="AO26" i="20"/>
  <c r="X27" i="20"/>
  <c r="I47" i="20" s="1"/>
  <c r="AF27" i="20"/>
  <c r="Q47" i="20" s="1"/>
  <c r="A80" i="20"/>
  <c r="X17" i="20"/>
  <c r="I37" i="20" s="1"/>
  <c r="X11" i="20"/>
  <c r="I31" i="20" s="1"/>
  <c r="AF11" i="20"/>
  <c r="Q31" i="20" s="1"/>
  <c r="AN11" i="20"/>
  <c r="Y31" i="20" s="1"/>
  <c r="W12" i="20"/>
  <c r="H32" i="20" s="1"/>
  <c r="AE12" i="20"/>
  <c r="P32" i="20" s="1"/>
  <c r="AM12" i="20"/>
  <c r="X32" i="20" s="1"/>
  <c r="U14" i="20"/>
  <c r="F34" i="20" s="1"/>
  <c r="AC14" i="20"/>
  <c r="N34" i="20" s="1"/>
  <c r="AK14" i="20"/>
  <c r="V34" i="20" s="1"/>
  <c r="S16" i="20"/>
  <c r="D36" i="20" s="1"/>
  <c r="AA16" i="20"/>
  <c r="L36" i="20" s="1"/>
  <c r="AI16" i="20"/>
  <c r="T36" i="20" s="1"/>
  <c r="AQ16" i="20"/>
  <c r="AB36" i="20" s="1"/>
  <c r="R17" i="20"/>
  <c r="C37" i="20" s="1"/>
  <c r="Z17" i="20"/>
  <c r="K37" i="20" s="1"/>
  <c r="AH17" i="20"/>
  <c r="S37" i="20" s="1"/>
  <c r="AP17" i="20"/>
  <c r="AA37" i="20" s="1"/>
  <c r="Q18" i="20"/>
  <c r="B38" i="20" s="1"/>
  <c r="Y18" i="20"/>
  <c r="J38" i="20" s="1"/>
  <c r="AG18" i="20"/>
  <c r="R38" i="20" s="1"/>
  <c r="AO18" i="20"/>
  <c r="Z38" i="20" s="1"/>
  <c r="X19" i="20"/>
  <c r="I39" i="20" s="1"/>
  <c r="AF19" i="20"/>
  <c r="Q39" i="20" s="1"/>
  <c r="AN19" i="20"/>
  <c r="Y39" i="20" s="1"/>
  <c r="W20" i="20"/>
  <c r="H40" i="20" s="1"/>
  <c r="AE20" i="20"/>
  <c r="P40" i="20" s="1"/>
  <c r="AM20" i="20"/>
  <c r="X40" i="20" s="1"/>
  <c r="U23" i="20"/>
  <c r="F43" i="20" s="1"/>
  <c r="AC23" i="20"/>
  <c r="N43" i="20" s="1"/>
  <c r="AK23" i="20"/>
  <c r="V43" i="20" s="1"/>
  <c r="S25" i="20"/>
  <c r="AA25" i="20"/>
  <c r="AI25" i="20"/>
  <c r="AQ25" i="20"/>
  <c r="R26" i="20"/>
  <c r="Z26" i="20"/>
  <c r="AH26" i="20"/>
  <c r="AP26" i="20"/>
  <c r="Q27" i="20"/>
  <c r="B47" i="20" s="1"/>
  <c r="Y27" i="20"/>
  <c r="J47" i="20" s="1"/>
  <c r="AG27" i="20"/>
  <c r="R47" i="20" s="1"/>
  <c r="AO27" i="20"/>
  <c r="Z47" i="20" s="1"/>
  <c r="Q11" i="20"/>
  <c r="B31" i="20" s="1"/>
  <c r="Y11" i="20"/>
  <c r="J31" i="20" s="1"/>
  <c r="AG11" i="20"/>
  <c r="R31" i="20" s="1"/>
  <c r="X12" i="20"/>
  <c r="I32" i="20" s="1"/>
  <c r="AF12" i="20"/>
  <c r="Q32" i="20" s="1"/>
  <c r="V14" i="20"/>
  <c r="G34" i="20" s="1"/>
  <c r="AD14" i="20"/>
  <c r="O34" i="20" s="1"/>
  <c r="AL14" i="20"/>
  <c r="W34" i="20" s="1"/>
  <c r="T16" i="20"/>
  <c r="E36" i="20" s="1"/>
  <c r="AB16" i="20"/>
  <c r="M36" i="20" s="1"/>
  <c r="AJ16" i="20"/>
  <c r="U36" i="20" s="1"/>
  <c r="AR16" i="20"/>
  <c r="AC36" i="20" s="1"/>
  <c r="S17" i="20"/>
  <c r="D37" i="20" s="1"/>
  <c r="AA17" i="20"/>
  <c r="L37" i="20" s="1"/>
  <c r="AI17" i="20"/>
  <c r="T37" i="20" s="1"/>
  <c r="AQ17" i="20"/>
  <c r="AB37" i="20" s="1"/>
  <c r="R18" i="20"/>
  <c r="C38" i="20" s="1"/>
  <c r="Z18" i="20"/>
  <c r="K38" i="20" s="1"/>
  <c r="AH18" i="20"/>
  <c r="S38" i="20" s="1"/>
  <c r="AP18" i="20"/>
  <c r="AA38" i="20" s="1"/>
  <c r="Q19" i="20"/>
  <c r="B39" i="20" s="1"/>
  <c r="Y19" i="20"/>
  <c r="J39" i="20" s="1"/>
  <c r="AG19" i="20"/>
  <c r="R39" i="20" s="1"/>
  <c r="X20" i="20"/>
  <c r="I40" i="20" s="1"/>
  <c r="AF20" i="20"/>
  <c r="Q40" i="20" s="1"/>
  <c r="V23" i="20"/>
  <c r="G43" i="20" s="1"/>
  <c r="AD23" i="20"/>
  <c r="O43" i="20" s="1"/>
  <c r="AL23" i="20"/>
  <c r="W43" i="20" s="1"/>
  <c r="T25" i="20"/>
  <c r="AB25" i="20"/>
  <c r="AJ25" i="20"/>
  <c r="AR25" i="20"/>
  <c r="S26" i="20"/>
  <c r="AA26" i="20"/>
  <c r="AI26" i="20"/>
  <c r="AQ26" i="20"/>
  <c r="R27" i="20"/>
  <c r="C47" i="20" s="1"/>
  <c r="Z27" i="20"/>
  <c r="K47" i="20" s="1"/>
  <c r="AH27" i="20"/>
  <c r="S47" i="20" s="1"/>
  <c r="AP27" i="20"/>
  <c r="AA47" i="20" s="1"/>
  <c r="A63" i="20"/>
  <c r="A75" i="20"/>
  <c r="S11" i="20"/>
  <c r="D31" i="20" s="1"/>
  <c r="AA11" i="20"/>
  <c r="L31" i="20" s="1"/>
  <c r="AI11" i="20"/>
  <c r="T31" i="20" s="1"/>
  <c r="AH12" i="20"/>
  <c r="S32" i="20" s="1"/>
  <c r="X14" i="20"/>
  <c r="I34" i="20" s="1"/>
  <c r="AF14" i="20"/>
  <c r="Q34" i="20" s="1"/>
  <c r="V16" i="20"/>
  <c r="G36" i="20" s="1"/>
  <c r="AD16" i="20"/>
  <c r="O36" i="20" s="1"/>
  <c r="U17" i="20"/>
  <c r="F37" i="20" s="1"/>
  <c r="AC17" i="20"/>
  <c r="N37" i="20" s="1"/>
  <c r="T18" i="20"/>
  <c r="E38" i="20" s="1"/>
  <c r="AB18" i="20"/>
  <c r="M38" i="20" s="1"/>
  <c r="AJ18" i="20"/>
  <c r="U38" i="20" s="1"/>
  <c r="S19" i="20"/>
  <c r="D39" i="20" s="1"/>
  <c r="AA19" i="20"/>
  <c r="L39" i="20" s="1"/>
  <c r="AI19" i="20"/>
  <c r="T39" i="20" s="1"/>
  <c r="Z20" i="20"/>
  <c r="K40" i="20" s="1"/>
  <c r="AH20" i="20"/>
  <c r="S40" i="20" s="1"/>
  <c r="X23" i="20"/>
  <c r="I43" i="20" s="1"/>
  <c r="AF23" i="20"/>
  <c r="Q43" i="20" s="1"/>
  <c r="V25" i="20"/>
  <c r="AD25" i="20"/>
  <c r="U26" i="20"/>
  <c r="AC26" i="20"/>
  <c r="T27" i="20"/>
  <c r="E47" i="20" s="1"/>
  <c r="AB27" i="20"/>
  <c r="M47" i="20" s="1"/>
  <c r="AJ27" i="20"/>
  <c r="U47" i="20" s="1"/>
  <c r="A64" i="20"/>
  <c r="L139" i="20"/>
  <c r="AK122" i="20"/>
  <c r="V142" i="20" s="1"/>
  <c r="AC122" i="20"/>
  <c r="N142" i="20" s="1"/>
  <c r="U122" i="20"/>
  <c r="F142" i="20" s="1"/>
  <c r="AR122" i="20"/>
  <c r="AC142" i="20" s="1"/>
  <c r="AJ122" i="20"/>
  <c r="U142" i="20" s="1"/>
  <c r="AB122" i="20"/>
  <c r="M142" i="20" s="1"/>
  <c r="T122" i="20"/>
  <c r="E142" i="20" s="1"/>
  <c r="AH122" i="20"/>
  <c r="S142" i="20" s="1"/>
  <c r="X122" i="20"/>
  <c r="I142" i="20" s="1"/>
  <c r="AQ122" i="20"/>
  <c r="AB142" i="20" s="1"/>
  <c r="AG122" i="20"/>
  <c r="R142" i="20" s="1"/>
  <c r="W122" i="20"/>
  <c r="H142" i="20" s="1"/>
  <c r="AP122" i="20"/>
  <c r="AA142" i="20" s="1"/>
  <c r="AF122" i="20"/>
  <c r="Q142" i="20" s="1"/>
  <c r="V122" i="20"/>
  <c r="G142" i="20" s="1"/>
  <c r="AN122" i="20"/>
  <c r="Y142" i="20" s="1"/>
  <c r="AD122" i="20"/>
  <c r="O142" i="20" s="1"/>
  <c r="R122" i="20"/>
  <c r="C142" i="20" s="1"/>
  <c r="AM122" i="20"/>
  <c r="X142" i="20" s="1"/>
  <c r="AA122" i="20"/>
  <c r="L142" i="20" s="1"/>
  <c r="Q122" i="20"/>
  <c r="B142" i="20" s="1"/>
  <c r="AL122" i="20"/>
  <c r="W142" i="20" s="1"/>
  <c r="AE122" i="20"/>
  <c r="P142" i="20" s="1"/>
  <c r="Z122" i="20"/>
  <c r="K142" i="20" s="1"/>
  <c r="S122" i="20"/>
  <c r="D142" i="20" s="1"/>
  <c r="AO122" i="20"/>
  <c r="Z142" i="20" s="1"/>
  <c r="AA117" i="20"/>
  <c r="L137" i="20" s="1"/>
  <c r="AH121" i="20"/>
  <c r="S141" i="20" s="1"/>
  <c r="X123" i="20"/>
  <c r="I143" i="20" s="1"/>
  <c r="AI131" i="20"/>
  <c r="AQ133" i="20"/>
  <c r="AB153" i="20" s="1"/>
  <c r="AI133" i="20"/>
  <c r="T153" i="20" s="1"/>
  <c r="AA133" i="20"/>
  <c r="L153" i="20" s="1"/>
  <c r="S133" i="20"/>
  <c r="D153" i="20" s="1"/>
  <c r="AP133" i="20"/>
  <c r="AA153" i="20" s="1"/>
  <c r="AH133" i="20"/>
  <c r="S153" i="20" s="1"/>
  <c r="Z133" i="20"/>
  <c r="K153" i="20" s="1"/>
  <c r="R133" i="20"/>
  <c r="C153" i="20" s="1"/>
  <c r="AG133" i="20"/>
  <c r="R153" i="20" s="1"/>
  <c r="W133" i="20"/>
  <c r="H153" i="20" s="1"/>
  <c r="AO133" i="20"/>
  <c r="Z153" i="20" s="1"/>
  <c r="AE133" i="20"/>
  <c r="P153" i="20" s="1"/>
  <c r="U133" i="20"/>
  <c r="F153" i="20" s="1"/>
  <c r="AN133" i="20"/>
  <c r="Y153" i="20" s="1"/>
  <c r="AD133" i="20"/>
  <c r="O153" i="20" s="1"/>
  <c r="T133" i="20"/>
  <c r="E153" i="20" s="1"/>
  <c r="AM133" i="20"/>
  <c r="X153" i="20" s="1"/>
  <c r="AC133" i="20"/>
  <c r="N153" i="20" s="1"/>
  <c r="Q133" i="20"/>
  <c r="B153" i="20" s="1"/>
  <c r="AK133" i="20"/>
  <c r="V153" i="20" s="1"/>
  <c r="Y133" i="20"/>
  <c r="J153" i="20" s="1"/>
  <c r="AJ133" i="20"/>
  <c r="U153" i="20" s="1"/>
  <c r="X133" i="20"/>
  <c r="I153" i="20" s="1"/>
  <c r="AQ124" i="20"/>
  <c r="AB144" i="20" s="1"/>
  <c r="AI124" i="20"/>
  <c r="T144" i="20" s="1"/>
  <c r="AA124" i="20"/>
  <c r="L144" i="20" s="1"/>
  <c r="S124" i="20"/>
  <c r="D144" i="20" s="1"/>
  <c r="AP124" i="20"/>
  <c r="AA144" i="20" s="1"/>
  <c r="AH124" i="20"/>
  <c r="S144" i="20" s="1"/>
  <c r="Z124" i="20"/>
  <c r="K144" i="20" s="1"/>
  <c r="R124" i="20"/>
  <c r="C144" i="20" s="1"/>
  <c r="AG124" i="20"/>
  <c r="R144" i="20" s="1"/>
  <c r="AO124" i="20"/>
  <c r="Z144" i="20" s="1"/>
  <c r="AE124" i="20"/>
  <c r="P144" i="20" s="1"/>
  <c r="U124" i="20"/>
  <c r="F144" i="20" s="1"/>
  <c r="AN124" i="20"/>
  <c r="Y144" i="20" s="1"/>
  <c r="AD124" i="20"/>
  <c r="O144" i="20" s="1"/>
  <c r="T124" i="20"/>
  <c r="E144" i="20" s="1"/>
  <c r="AM124" i="20"/>
  <c r="X144" i="20" s="1"/>
  <c r="AC124" i="20"/>
  <c r="N144" i="20" s="1"/>
  <c r="Q124" i="20"/>
  <c r="B144" i="20" s="1"/>
  <c r="AK124" i="20"/>
  <c r="V144" i="20" s="1"/>
  <c r="Y124" i="20"/>
  <c r="J144" i="20" s="1"/>
  <c r="AJ124" i="20"/>
  <c r="U144" i="20" s="1"/>
  <c r="X124" i="20"/>
  <c r="I144" i="20" s="1"/>
  <c r="AO131" i="20"/>
  <c r="AL118" i="20"/>
  <c r="W138" i="20" s="1"/>
  <c r="AB118" i="20"/>
  <c r="M138" i="20" s="1"/>
  <c r="R118" i="20"/>
  <c r="C138" i="20" s="1"/>
  <c r="AK118" i="20"/>
  <c r="V138" i="20" s="1"/>
  <c r="AA118" i="20"/>
  <c r="L138" i="20" s="1"/>
  <c r="AR118" i="20"/>
  <c r="AC138" i="20" s="1"/>
  <c r="AH118" i="20"/>
  <c r="S138" i="20" s="1"/>
  <c r="V118" i="20"/>
  <c r="G138" i="20" s="1"/>
  <c r="AQ118" i="20"/>
  <c r="AB138" i="20" s="1"/>
  <c r="AE118" i="20"/>
  <c r="P138" i="20" s="1"/>
  <c r="U118" i="20"/>
  <c r="F138" i="20" s="1"/>
  <c r="AD118" i="20"/>
  <c r="O138" i="20" s="1"/>
  <c r="V124" i="20"/>
  <c r="G144" i="20" s="1"/>
  <c r="A182" i="20"/>
  <c r="A170" i="20"/>
  <c r="A186" i="20"/>
  <c r="A174" i="20"/>
  <c r="AO123" i="20"/>
  <c r="Z143" i="20" s="1"/>
  <c r="AE123" i="20"/>
  <c r="P143" i="20" s="1"/>
  <c r="U123" i="20"/>
  <c r="F143" i="20" s="1"/>
  <c r="AN123" i="20"/>
  <c r="Y143" i="20" s="1"/>
  <c r="AD123" i="20"/>
  <c r="O143" i="20" s="1"/>
  <c r="R123" i="20"/>
  <c r="C143" i="20" s="1"/>
  <c r="AK123" i="20"/>
  <c r="V143" i="20" s="1"/>
  <c r="Y123" i="20"/>
  <c r="J143" i="20" s="1"/>
  <c r="AH123" i="20"/>
  <c r="S143" i="20" s="1"/>
  <c r="W124" i="20"/>
  <c r="H144" i="20" s="1"/>
  <c r="AR125" i="20"/>
  <c r="AC145" i="20" s="1"/>
  <c r="AF125" i="20"/>
  <c r="Q145" i="20" s="1"/>
  <c r="V125" i="20"/>
  <c r="G145" i="20" s="1"/>
  <c r="AJ118" i="20"/>
  <c r="U138" i="20" s="1"/>
  <c r="AM123" i="20"/>
  <c r="X143" i="20" s="1"/>
  <c r="AB124" i="20"/>
  <c r="M144" i="20" s="1"/>
  <c r="AJ125" i="20"/>
  <c r="U145" i="20" s="1"/>
  <c r="Q126" i="20"/>
  <c r="B146" i="20" s="1"/>
  <c r="AP126" i="20"/>
  <c r="AA146" i="20" s="1"/>
  <c r="AD126" i="20"/>
  <c r="O146" i="20" s="1"/>
  <c r="T126" i="20"/>
  <c r="E146" i="20" s="1"/>
  <c r="AL126" i="20"/>
  <c r="W146" i="20" s="1"/>
  <c r="AB126" i="20"/>
  <c r="M146" i="20" s="1"/>
  <c r="R126" i="20"/>
  <c r="C146" i="20" s="1"/>
  <c r="AK126" i="20"/>
  <c r="V146" i="20" s="1"/>
  <c r="AA126" i="20"/>
  <c r="L146" i="20" s="1"/>
  <c r="AJ126" i="20"/>
  <c r="U146" i="20" s="1"/>
  <c r="Z126" i="20"/>
  <c r="K146" i="20" s="1"/>
  <c r="AR126" i="20"/>
  <c r="AC146" i="20" s="1"/>
  <c r="AH126" i="20"/>
  <c r="S146" i="20" s="1"/>
  <c r="V126" i="20"/>
  <c r="G146" i="20" s="1"/>
  <c r="AQ126" i="20"/>
  <c r="AB146" i="20" s="1"/>
  <c r="AE126" i="20"/>
  <c r="P146" i="20" s="1"/>
  <c r="U126" i="20"/>
  <c r="F146" i="20" s="1"/>
  <c r="AH131" i="20"/>
  <c r="AL133" i="20"/>
  <c r="W153" i="20" s="1"/>
  <c r="AP117" i="20"/>
  <c r="AA137" i="20" s="1"/>
  <c r="AH117" i="20"/>
  <c r="S137" i="20" s="1"/>
  <c r="Z117" i="20"/>
  <c r="K137" i="20" s="1"/>
  <c r="R117" i="20"/>
  <c r="C137" i="20" s="1"/>
  <c r="AO117" i="20"/>
  <c r="Z137" i="20" s="1"/>
  <c r="AG117" i="20"/>
  <c r="R137" i="20" s="1"/>
  <c r="Y117" i="20"/>
  <c r="J137" i="20" s="1"/>
  <c r="Q117" i="20"/>
  <c r="B137" i="20" s="1"/>
  <c r="AN117" i="20"/>
  <c r="Y137" i="20" s="1"/>
  <c r="AD117" i="20"/>
  <c r="O137" i="20" s="1"/>
  <c r="T117" i="20"/>
  <c r="E137" i="20" s="1"/>
  <c r="AM117" i="20"/>
  <c r="X137" i="20" s="1"/>
  <c r="AC117" i="20"/>
  <c r="N137" i="20" s="1"/>
  <c r="S117" i="20"/>
  <c r="D137" i="20" s="1"/>
  <c r="AJ117" i="20"/>
  <c r="U137" i="20" s="1"/>
  <c r="X117" i="20"/>
  <c r="I137" i="20" s="1"/>
  <c r="AI117" i="20"/>
  <c r="T137" i="20" s="1"/>
  <c r="W117" i="20"/>
  <c r="H137" i="20" s="1"/>
  <c r="AL117" i="20"/>
  <c r="W137" i="20" s="1"/>
  <c r="S118" i="20"/>
  <c r="D138" i="20" s="1"/>
  <c r="AM118" i="20"/>
  <c r="X138" i="20" s="1"/>
  <c r="AF124" i="20"/>
  <c r="Q144" i="20" s="1"/>
  <c r="U125" i="20"/>
  <c r="F145" i="20" s="1"/>
  <c r="S131" i="20"/>
  <c r="AR133" i="20"/>
  <c r="AC153" i="20" s="1"/>
  <c r="A172" i="20"/>
  <c r="A184" i="20"/>
  <c r="A173" i="20"/>
  <c r="A185" i="20"/>
  <c r="Y131" i="20"/>
  <c r="A168" i="20"/>
  <c r="A180" i="20"/>
  <c r="W123" i="20"/>
  <c r="H143" i="20" s="1"/>
  <c r="AR124" i="20"/>
  <c r="AC144" i="20" s="1"/>
  <c r="AE125" i="20"/>
  <c r="P145" i="20" s="1"/>
  <c r="R119" i="20"/>
  <c r="C139" i="20" s="1"/>
  <c r="AB119" i="20"/>
  <c r="M139" i="20" s="1"/>
  <c r="AL119" i="20"/>
  <c r="W139" i="20" s="1"/>
  <c r="T121" i="20"/>
  <c r="E141" i="20" s="1"/>
  <c r="AF121" i="20"/>
  <c r="Q141" i="20" s="1"/>
  <c r="AP121" i="20"/>
  <c r="AA141" i="20" s="1"/>
  <c r="W125" i="20"/>
  <c r="H145" i="20" s="1"/>
  <c r="AI125" i="20"/>
  <c r="T145" i="20" s="1"/>
  <c r="R128" i="20"/>
  <c r="C148" i="20" s="1"/>
  <c r="AB128" i="20"/>
  <c r="M148" i="20" s="1"/>
  <c r="AL128" i="20"/>
  <c r="W148" i="20" s="1"/>
  <c r="T130" i="20"/>
  <c r="E150" i="20" s="1"/>
  <c r="AF130" i="20"/>
  <c r="Q150" i="20" s="1"/>
  <c r="AP130" i="20"/>
  <c r="AA150" i="20" s="1"/>
  <c r="Q131" i="20"/>
  <c r="AA131" i="20"/>
  <c r="AM131" i="20"/>
  <c r="Y132" i="20"/>
  <c r="AK132" i="20"/>
  <c r="AQ227" i="20"/>
  <c r="AB247" i="20" s="1"/>
  <c r="Z228" i="20"/>
  <c r="K248" i="20" s="1"/>
  <c r="X230" i="20"/>
  <c r="I250" i="20" s="1"/>
  <c r="W241" i="20"/>
  <c r="H261" i="20" s="1"/>
  <c r="A278" i="20"/>
  <c r="A290" i="20"/>
  <c r="F249" i="20"/>
  <c r="S119" i="20"/>
  <c r="D139" i="20" s="1"/>
  <c r="AC119" i="20"/>
  <c r="N139" i="20" s="1"/>
  <c r="AO119" i="20"/>
  <c r="Z139" i="20" s="1"/>
  <c r="AM120" i="20"/>
  <c r="X140" i="20" s="1"/>
  <c r="AE120" i="20"/>
  <c r="P140" i="20" s="1"/>
  <c r="W120" i="20"/>
  <c r="H140" i="20" s="1"/>
  <c r="AL120" i="20"/>
  <c r="W140" i="20" s="1"/>
  <c r="AD120" i="20"/>
  <c r="O140" i="20" s="1"/>
  <c r="V120" i="20"/>
  <c r="G140" i="20" s="1"/>
  <c r="Z120" i="20"/>
  <c r="K140" i="20" s="1"/>
  <c r="AJ120" i="20"/>
  <c r="U140" i="20" s="1"/>
  <c r="W121" i="20"/>
  <c r="H141" i="20" s="1"/>
  <c r="AG121" i="20"/>
  <c r="R141" i="20" s="1"/>
  <c r="AR123" i="20"/>
  <c r="AC143" i="20" s="1"/>
  <c r="AJ123" i="20"/>
  <c r="U143" i="20" s="1"/>
  <c r="AB123" i="20"/>
  <c r="M143" i="20" s="1"/>
  <c r="T123" i="20"/>
  <c r="E143" i="20" s="1"/>
  <c r="AQ123" i="20"/>
  <c r="AB143" i="20" s="1"/>
  <c r="AI123" i="20"/>
  <c r="T143" i="20" s="1"/>
  <c r="AA123" i="20"/>
  <c r="L143" i="20" s="1"/>
  <c r="S123" i="20"/>
  <c r="D143" i="20" s="1"/>
  <c r="Z123" i="20"/>
  <c r="K143" i="20" s="1"/>
  <c r="AL123" i="20"/>
  <c r="W143" i="20" s="1"/>
  <c r="X125" i="20"/>
  <c r="I145" i="20" s="1"/>
  <c r="S128" i="20"/>
  <c r="D148" i="20" s="1"/>
  <c r="AC128" i="20"/>
  <c r="N148" i="20" s="1"/>
  <c r="AO128" i="20"/>
  <c r="Z148" i="20" s="1"/>
  <c r="AM129" i="20"/>
  <c r="X149" i="20" s="1"/>
  <c r="AE129" i="20"/>
  <c r="P149" i="20" s="1"/>
  <c r="W129" i="20"/>
  <c r="H149" i="20" s="1"/>
  <c r="AL129" i="20"/>
  <c r="W149" i="20" s="1"/>
  <c r="AD129" i="20"/>
  <c r="O149" i="20" s="1"/>
  <c r="V129" i="20"/>
  <c r="G149" i="20" s="1"/>
  <c r="Z129" i="20"/>
  <c r="K149" i="20" s="1"/>
  <c r="AJ129" i="20"/>
  <c r="U149" i="20" s="1"/>
  <c r="W130" i="20"/>
  <c r="H150" i="20" s="1"/>
  <c r="AG130" i="20"/>
  <c r="R150" i="20" s="1"/>
  <c r="R131" i="20"/>
  <c r="AD131" i="20"/>
  <c r="AN131" i="20"/>
  <c r="AR132" i="20"/>
  <c r="AJ132" i="20"/>
  <c r="AB132" i="20"/>
  <c r="T132" i="20"/>
  <c r="AQ132" i="20"/>
  <c r="AI132" i="20"/>
  <c r="AA132" i="20"/>
  <c r="S132" i="20"/>
  <c r="Z132" i="20"/>
  <c r="AL132" i="20"/>
  <c r="AN227" i="20"/>
  <c r="Y247" i="20" s="1"/>
  <c r="AB230" i="20"/>
  <c r="M250" i="20" s="1"/>
  <c r="AP231" i="20"/>
  <c r="AA251" i="20" s="1"/>
  <c r="AH231" i="20"/>
  <c r="S251" i="20" s="1"/>
  <c r="Z231" i="20"/>
  <c r="K251" i="20" s="1"/>
  <c r="R231" i="20"/>
  <c r="C251" i="20" s="1"/>
  <c r="AO231" i="20"/>
  <c r="Z251" i="20" s="1"/>
  <c r="AG231" i="20"/>
  <c r="R251" i="20" s="1"/>
  <c r="Y231" i="20"/>
  <c r="J251" i="20" s="1"/>
  <c r="Q231" i="20"/>
  <c r="B251" i="20" s="1"/>
  <c r="AQ231" i="20"/>
  <c r="AB251" i="20" s="1"/>
  <c r="AB232" i="20"/>
  <c r="M252" i="20" s="1"/>
  <c r="AR233" i="20"/>
  <c r="AC253" i="20" s="1"/>
  <c r="Q234" i="20"/>
  <c r="B254" i="20" s="1"/>
  <c r="AJ234" i="20"/>
  <c r="U254" i="20" s="1"/>
  <c r="Z234" i="20"/>
  <c r="K254" i="20" s="1"/>
  <c r="AR234" i="20"/>
  <c r="AC254" i="20" s="1"/>
  <c r="AH234" i="20"/>
  <c r="S254" i="20" s="1"/>
  <c r="V234" i="20"/>
  <c r="G254" i="20" s="1"/>
  <c r="AQ234" i="20"/>
  <c r="AB254" i="20" s="1"/>
  <c r="AE234" i="20"/>
  <c r="P254" i="20" s="1"/>
  <c r="U234" i="20"/>
  <c r="F254" i="20" s="1"/>
  <c r="AP234" i="20"/>
  <c r="AA254" i="20" s="1"/>
  <c r="AD234" i="20"/>
  <c r="O254" i="20" s="1"/>
  <c r="T234" i="20"/>
  <c r="E254" i="20" s="1"/>
  <c r="AL234" i="20"/>
  <c r="W254" i="20" s="1"/>
  <c r="AB234" i="20"/>
  <c r="M254" i="20" s="1"/>
  <c r="R234" i="20"/>
  <c r="C254" i="20" s="1"/>
  <c r="AK234" i="20"/>
  <c r="V254" i="20" s="1"/>
  <c r="AA234" i="20"/>
  <c r="L254" i="20" s="1"/>
  <c r="O256" i="20"/>
  <c r="AJ241" i="20"/>
  <c r="U261" i="20" s="1"/>
  <c r="AF230" i="20"/>
  <c r="Q250" i="20" s="1"/>
  <c r="AP125" i="20"/>
  <c r="AA145" i="20" s="1"/>
  <c r="AH125" i="20"/>
  <c r="S145" i="20" s="1"/>
  <c r="Z125" i="20"/>
  <c r="K145" i="20" s="1"/>
  <c r="R125" i="20"/>
  <c r="C145" i="20" s="1"/>
  <c r="AO125" i="20"/>
  <c r="Z145" i="20" s="1"/>
  <c r="AG125" i="20"/>
  <c r="R145" i="20" s="1"/>
  <c r="Y125" i="20"/>
  <c r="J145" i="20" s="1"/>
  <c r="Q125" i="20"/>
  <c r="B145" i="20" s="1"/>
  <c r="AB125" i="20"/>
  <c r="M145" i="20" s="1"/>
  <c r="AL125" i="20"/>
  <c r="W145" i="20" s="1"/>
  <c r="Y130" i="20"/>
  <c r="J150" i="20" s="1"/>
  <c r="V131" i="20"/>
  <c r="AF131" i="20"/>
  <c r="AP131" i="20"/>
  <c r="R132" i="20"/>
  <c r="AD132" i="20"/>
  <c r="AN132" i="20"/>
  <c r="AM228" i="20"/>
  <c r="X248" i="20" s="1"/>
  <c r="AE228" i="20"/>
  <c r="P248" i="20" s="1"/>
  <c r="W228" i="20"/>
  <c r="H248" i="20" s="1"/>
  <c r="AK228" i="20"/>
  <c r="V248" i="20" s="1"/>
  <c r="AC228" i="20"/>
  <c r="N248" i="20" s="1"/>
  <c r="U228" i="20"/>
  <c r="F248" i="20" s="1"/>
  <c r="AR228" i="20"/>
  <c r="AC248" i="20" s="1"/>
  <c r="AJ228" i="20"/>
  <c r="U248" i="20" s="1"/>
  <c r="AB228" i="20"/>
  <c r="M248" i="20" s="1"/>
  <c r="T228" i="20"/>
  <c r="E248" i="20" s="1"/>
  <c r="AQ228" i="20"/>
  <c r="AB248" i="20" s="1"/>
  <c r="AI228" i="20"/>
  <c r="T248" i="20" s="1"/>
  <c r="AA228" i="20"/>
  <c r="L248" i="20" s="1"/>
  <c r="S228" i="20"/>
  <c r="D248" i="20" s="1"/>
  <c r="AO228" i="20"/>
  <c r="Z248" i="20" s="1"/>
  <c r="AG228" i="20"/>
  <c r="R248" i="20" s="1"/>
  <c r="Y228" i="20"/>
  <c r="J248" i="20" s="1"/>
  <c r="Q228" i="20"/>
  <c r="B248" i="20" s="1"/>
  <c r="AL228" i="20"/>
  <c r="W248" i="20" s="1"/>
  <c r="AJ230" i="20"/>
  <c r="U250" i="20" s="1"/>
  <c r="AO118" i="20"/>
  <c r="Z138" i="20" s="1"/>
  <c r="V119" i="20"/>
  <c r="G139" i="20" s="1"/>
  <c r="AH119" i="20"/>
  <c r="S139" i="20" s="1"/>
  <c r="AR119" i="20"/>
  <c r="AC139" i="20" s="1"/>
  <c r="AL121" i="20"/>
  <c r="W141" i="20" s="1"/>
  <c r="AD121" i="20"/>
  <c r="O141" i="20" s="1"/>
  <c r="V121" i="20"/>
  <c r="G141" i="20" s="1"/>
  <c r="AK121" i="20"/>
  <c r="V141" i="20" s="1"/>
  <c r="AC121" i="20"/>
  <c r="N141" i="20" s="1"/>
  <c r="U121" i="20"/>
  <c r="F141" i="20" s="1"/>
  <c r="Z121" i="20"/>
  <c r="K141" i="20" s="1"/>
  <c r="AJ121" i="20"/>
  <c r="U141" i="20" s="1"/>
  <c r="S125" i="20"/>
  <c r="D145" i="20" s="1"/>
  <c r="AC125" i="20"/>
  <c r="N145" i="20" s="1"/>
  <c r="AM125" i="20"/>
  <c r="X145" i="20" s="1"/>
  <c r="AO126" i="20"/>
  <c r="Z146" i="20" s="1"/>
  <c r="V128" i="20"/>
  <c r="G148" i="20" s="1"/>
  <c r="AH128" i="20"/>
  <c r="S148" i="20" s="1"/>
  <c r="AR128" i="20"/>
  <c r="AC148" i="20" s="1"/>
  <c r="AL130" i="20"/>
  <c r="W150" i="20" s="1"/>
  <c r="AD130" i="20"/>
  <c r="O150" i="20" s="1"/>
  <c r="V130" i="20"/>
  <c r="G150" i="20" s="1"/>
  <c r="AK130" i="20"/>
  <c r="V150" i="20" s="1"/>
  <c r="AC130" i="20"/>
  <c r="N150" i="20" s="1"/>
  <c r="U130" i="20"/>
  <c r="F150" i="20" s="1"/>
  <c r="Z130" i="20"/>
  <c r="K150" i="20" s="1"/>
  <c r="AJ130" i="20"/>
  <c r="U150" i="20" s="1"/>
  <c r="W131" i="20"/>
  <c r="AG131" i="20"/>
  <c r="AQ131" i="20"/>
  <c r="U132" i="20"/>
  <c r="AE132" i="20"/>
  <c r="AO132" i="20"/>
  <c r="A181" i="20"/>
  <c r="A169" i="20"/>
  <c r="AA227" i="20"/>
  <c r="L247" i="20" s="1"/>
  <c r="AP228" i="20"/>
  <c r="AA248" i="20" s="1"/>
  <c r="AN230" i="20"/>
  <c r="Y250" i="20" s="1"/>
  <c r="AE233" i="20"/>
  <c r="P253" i="20" s="1"/>
  <c r="AK239" i="20"/>
  <c r="AC239" i="20"/>
  <c r="U239" i="20"/>
  <c r="AR239" i="20"/>
  <c r="AJ239" i="20"/>
  <c r="AB239" i="20"/>
  <c r="T239" i="20"/>
  <c r="AQ239" i="20"/>
  <c r="AI239" i="20"/>
  <c r="AA239" i="20"/>
  <c r="S239" i="20"/>
  <c r="AP239" i="20"/>
  <c r="AH239" i="20"/>
  <c r="Z239" i="20"/>
  <c r="R239" i="20"/>
  <c r="AM239" i="20"/>
  <c r="AE239" i="20"/>
  <c r="W239" i="20"/>
  <c r="AD239" i="20"/>
  <c r="X239" i="20"/>
  <c r="AO239" i="20"/>
  <c r="V239" i="20"/>
  <c r="AN239" i="20"/>
  <c r="Q239" i="20"/>
  <c r="AG239" i="20"/>
  <c r="AF239" i="20"/>
  <c r="Y119" i="20"/>
  <c r="J139" i="20" s="1"/>
  <c r="T120" i="20"/>
  <c r="E140" i="20" s="1"/>
  <c r="AF120" i="20"/>
  <c r="Q140" i="20" s="1"/>
  <c r="AP120" i="20"/>
  <c r="AA140" i="20" s="1"/>
  <c r="Q121" i="20"/>
  <c r="B141" i="20" s="1"/>
  <c r="AA121" i="20"/>
  <c r="L141" i="20" s="1"/>
  <c r="AM121" i="20"/>
  <c r="X141" i="20" s="1"/>
  <c r="V123" i="20"/>
  <c r="G143" i="20" s="1"/>
  <c r="AF123" i="20"/>
  <c r="Q143" i="20" s="1"/>
  <c r="AP123" i="20"/>
  <c r="AA143" i="20" s="1"/>
  <c r="T125" i="20"/>
  <c r="E145" i="20" s="1"/>
  <c r="AD125" i="20"/>
  <c r="O145" i="20" s="1"/>
  <c r="AN125" i="20"/>
  <c r="Y145" i="20" s="1"/>
  <c r="Y128" i="20"/>
  <c r="J148" i="20" s="1"/>
  <c r="T129" i="20"/>
  <c r="E149" i="20" s="1"/>
  <c r="AF129" i="20"/>
  <c r="Q149" i="20" s="1"/>
  <c r="AP129" i="20"/>
  <c r="AA149" i="20" s="1"/>
  <c r="Q130" i="20"/>
  <c r="B150" i="20" s="1"/>
  <c r="AA130" i="20"/>
  <c r="L150" i="20" s="1"/>
  <c r="AM130" i="20"/>
  <c r="X150" i="20" s="1"/>
  <c r="X131" i="20"/>
  <c r="V132" i="20"/>
  <c r="AF132" i="20"/>
  <c r="AP132" i="20"/>
  <c r="AO226" i="20"/>
  <c r="Z246" i="20" s="1"/>
  <c r="AG226" i="20"/>
  <c r="R246" i="20" s="1"/>
  <c r="Y226" i="20"/>
  <c r="J246" i="20" s="1"/>
  <c r="Q226" i="20"/>
  <c r="B246" i="20" s="1"/>
  <c r="AM226" i="20"/>
  <c r="X246" i="20" s="1"/>
  <c r="AE226" i="20"/>
  <c r="P246" i="20" s="1"/>
  <c r="W226" i="20"/>
  <c r="H246" i="20" s="1"/>
  <c r="AL226" i="20"/>
  <c r="W246" i="20" s="1"/>
  <c r="AD226" i="20"/>
  <c r="O246" i="20" s="1"/>
  <c r="V226" i="20"/>
  <c r="G246" i="20" s="1"/>
  <c r="AK226" i="20"/>
  <c r="V246" i="20" s="1"/>
  <c r="AC226" i="20"/>
  <c r="N246" i="20" s="1"/>
  <c r="U226" i="20"/>
  <c r="F246" i="20" s="1"/>
  <c r="AQ226" i="20"/>
  <c r="AB246" i="20" s="1"/>
  <c r="AI226" i="20"/>
  <c r="T246" i="20" s="1"/>
  <c r="AA226" i="20"/>
  <c r="L246" i="20" s="1"/>
  <c r="S226" i="20"/>
  <c r="D246" i="20" s="1"/>
  <c r="AP226" i="20"/>
  <c r="AA246" i="20" s="1"/>
  <c r="AH226" i="20"/>
  <c r="S246" i="20" s="1"/>
  <c r="Z226" i="20"/>
  <c r="K246" i="20" s="1"/>
  <c r="R226" i="20"/>
  <c r="C246" i="20" s="1"/>
  <c r="AN228" i="20"/>
  <c r="Y248" i="20" s="1"/>
  <c r="AA231" i="20"/>
  <c r="L251" i="20" s="1"/>
  <c r="W234" i="20"/>
  <c r="H254" i="20" s="1"/>
  <c r="Y239" i="20"/>
  <c r="AL241" i="20"/>
  <c r="W261" i="20" s="1"/>
  <c r="A289" i="20"/>
  <c r="A277" i="20"/>
  <c r="AK230" i="20"/>
  <c r="V250" i="20" s="1"/>
  <c r="AC230" i="20"/>
  <c r="N250" i="20" s="1"/>
  <c r="U230" i="20"/>
  <c r="F250" i="20" s="1"/>
  <c r="AQ230" i="20"/>
  <c r="AB250" i="20" s="1"/>
  <c r="AI230" i="20"/>
  <c r="T250" i="20" s="1"/>
  <c r="AA230" i="20"/>
  <c r="L250" i="20" s="1"/>
  <c r="S230" i="20"/>
  <c r="D250" i="20" s="1"/>
  <c r="AP230" i="20"/>
  <c r="AA250" i="20" s="1"/>
  <c r="AH230" i="20"/>
  <c r="S250" i="20" s="1"/>
  <c r="Z230" i="20"/>
  <c r="K250" i="20" s="1"/>
  <c r="R230" i="20"/>
  <c r="C250" i="20" s="1"/>
  <c r="AO230" i="20"/>
  <c r="Z250" i="20" s="1"/>
  <c r="AG230" i="20"/>
  <c r="R250" i="20" s="1"/>
  <c r="Y230" i="20"/>
  <c r="J250" i="20" s="1"/>
  <c r="Q230" i="20"/>
  <c r="B250" i="20" s="1"/>
  <c r="AM230" i="20"/>
  <c r="X250" i="20" s="1"/>
  <c r="AE230" i="20"/>
  <c r="P250" i="20" s="1"/>
  <c r="W230" i="20"/>
  <c r="H250" i="20" s="1"/>
  <c r="AL230" i="20"/>
  <c r="W250" i="20" s="1"/>
  <c r="AD230" i="20"/>
  <c r="O250" i="20" s="1"/>
  <c r="V230" i="20"/>
  <c r="G250" i="20" s="1"/>
  <c r="A281" i="20"/>
  <c r="A293" i="20"/>
  <c r="AK131" i="20"/>
  <c r="AC131" i="20"/>
  <c r="U131" i="20"/>
  <c r="AR131" i="20"/>
  <c r="AJ131" i="20"/>
  <c r="AB131" i="20"/>
  <c r="T131" i="20"/>
  <c r="Z131" i="20"/>
  <c r="AL131" i="20"/>
  <c r="X132" i="20"/>
  <c r="A187" i="20"/>
  <c r="A175" i="20"/>
  <c r="T230" i="20"/>
  <c r="E250" i="20" s="1"/>
  <c r="X118" i="20"/>
  <c r="I138" i="20" s="1"/>
  <c r="AF118" i="20"/>
  <c r="Q138" i="20" s="1"/>
  <c r="AN118" i="20"/>
  <c r="Y138" i="20" s="1"/>
  <c r="W119" i="20"/>
  <c r="H139" i="20" s="1"/>
  <c r="AE119" i="20"/>
  <c r="P139" i="20" s="1"/>
  <c r="AM119" i="20"/>
  <c r="X139" i="20" s="1"/>
  <c r="X126" i="20"/>
  <c r="I146" i="20" s="1"/>
  <c r="AF126" i="20"/>
  <c r="Q146" i="20" s="1"/>
  <c r="AN126" i="20"/>
  <c r="Y146" i="20" s="1"/>
  <c r="W128" i="20"/>
  <c r="H148" i="20" s="1"/>
  <c r="AE128" i="20"/>
  <c r="P148" i="20" s="1"/>
  <c r="AM128" i="20"/>
  <c r="X148" i="20" s="1"/>
  <c r="S225" i="20"/>
  <c r="D245" i="20" s="1"/>
  <c r="AA225" i="20"/>
  <c r="L245" i="20" s="1"/>
  <c r="AI225" i="20"/>
  <c r="T245" i="20" s="1"/>
  <c r="AQ225" i="20"/>
  <c r="AB245" i="20" s="1"/>
  <c r="Q227" i="20"/>
  <c r="B247" i="20" s="1"/>
  <c r="Y227" i="20"/>
  <c r="J247" i="20" s="1"/>
  <c r="AG227" i="20"/>
  <c r="R247" i="20" s="1"/>
  <c r="AO227" i="20"/>
  <c r="Z247" i="20" s="1"/>
  <c r="X228" i="20"/>
  <c r="I248" i="20" s="1"/>
  <c r="AF228" i="20"/>
  <c r="Q248" i="20" s="1"/>
  <c r="W229" i="20"/>
  <c r="H249" i="20" s="1"/>
  <c r="AE229" i="20"/>
  <c r="P249" i="20" s="1"/>
  <c r="AM229" i="20"/>
  <c r="X249" i="20" s="1"/>
  <c r="U231" i="20"/>
  <c r="F251" i="20" s="1"/>
  <c r="AC231" i="20"/>
  <c r="N251" i="20" s="1"/>
  <c r="AK231" i="20"/>
  <c r="V251" i="20" s="1"/>
  <c r="T232" i="20"/>
  <c r="E252" i="20" s="1"/>
  <c r="AD232" i="20"/>
  <c r="O252" i="20" s="1"/>
  <c r="AN232" i="20"/>
  <c r="Y252" i="20" s="1"/>
  <c r="S233" i="20"/>
  <c r="D253" i="20" s="1"/>
  <c r="AC233" i="20"/>
  <c r="N253" i="20" s="1"/>
  <c r="AM233" i="20"/>
  <c r="X253" i="20" s="1"/>
  <c r="AO234" i="20"/>
  <c r="Z254" i="20" s="1"/>
  <c r="V236" i="20"/>
  <c r="G256" i="20" s="1"/>
  <c r="AH236" i="20"/>
  <c r="S256" i="20" s="1"/>
  <c r="T237" i="20"/>
  <c r="E257" i="20" s="1"/>
  <c r="AH237" i="20"/>
  <c r="S257" i="20" s="1"/>
  <c r="AE238" i="20"/>
  <c r="P258" i="20" s="1"/>
  <c r="T241" i="20"/>
  <c r="E261" i="20" s="1"/>
  <c r="AM241" i="20"/>
  <c r="X261" i="20" s="1"/>
  <c r="W335" i="20"/>
  <c r="H355" i="20" s="1"/>
  <c r="AC338" i="20"/>
  <c r="N358" i="20" s="1"/>
  <c r="Q118" i="20"/>
  <c r="B138" i="20" s="1"/>
  <c r="Y118" i="20"/>
  <c r="J138" i="20" s="1"/>
  <c r="AG118" i="20"/>
  <c r="R138" i="20" s="1"/>
  <c r="X119" i="20"/>
  <c r="I139" i="20" s="1"/>
  <c r="AF119" i="20"/>
  <c r="Q139" i="20" s="1"/>
  <c r="Y126" i="20"/>
  <c r="J146" i="20" s="1"/>
  <c r="AG126" i="20"/>
  <c r="R146" i="20" s="1"/>
  <c r="X128" i="20"/>
  <c r="I148" i="20" s="1"/>
  <c r="AF128" i="20"/>
  <c r="Q148" i="20" s="1"/>
  <c r="T225" i="20"/>
  <c r="E245" i="20" s="1"/>
  <c r="AB225" i="20"/>
  <c r="M245" i="20" s="1"/>
  <c r="AJ225" i="20"/>
  <c r="U245" i="20" s="1"/>
  <c r="AR225" i="20"/>
  <c r="AC245" i="20" s="1"/>
  <c r="R227" i="20"/>
  <c r="C247" i="20" s="1"/>
  <c r="Z227" i="20"/>
  <c r="K247" i="20" s="1"/>
  <c r="AH227" i="20"/>
  <c r="S247" i="20" s="1"/>
  <c r="AP227" i="20"/>
  <c r="AA247" i="20" s="1"/>
  <c r="X229" i="20"/>
  <c r="I249" i="20" s="1"/>
  <c r="AF229" i="20"/>
  <c r="Q249" i="20" s="1"/>
  <c r="V231" i="20"/>
  <c r="G251" i="20" s="1"/>
  <c r="AD231" i="20"/>
  <c r="O251" i="20" s="1"/>
  <c r="AL231" i="20"/>
  <c r="W251" i="20" s="1"/>
  <c r="U232" i="20"/>
  <c r="F252" i="20" s="1"/>
  <c r="AE232" i="20"/>
  <c r="P252" i="20" s="1"/>
  <c r="AO232" i="20"/>
  <c r="Z252" i="20" s="1"/>
  <c r="T233" i="20"/>
  <c r="E253" i="20" s="1"/>
  <c r="AD233" i="20"/>
  <c r="O253" i="20" s="1"/>
  <c r="AN233" i="20"/>
  <c r="Y253" i="20" s="1"/>
  <c r="X237" i="20"/>
  <c r="I257" i="20" s="1"/>
  <c r="AI237" i="20"/>
  <c r="T257" i="20" s="1"/>
  <c r="AR240" i="20"/>
  <c r="AJ240" i="20"/>
  <c r="AB240" i="20"/>
  <c r="T240" i="20"/>
  <c r="AQ240" i="20"/>
  <c r="AI240" i="20"/>
  <c r="AA240" i="20"/>
  <c r="S240" i="20"/>
  <c r="AP240" i="20"/>
  <c r="AH240" i="20"/>
  <c r="Z240" i="20"/>
  <c r="R240" i="20"/>
  <c r="AO240" i="20"/>
  <c r="AG240" i="20"/>
  <c r="Y240" i="20"/>
  <c r="Q240" i="20"/>
  <c r="AL240" i="20"/>
  <c r="AD240" i="20"/>
  <c r="V240" i="20"/>
  <c r="AM240" i="20"/>
  <c r="V241" i="20"/>
  <c r="G261" i="20" s="1"/>
  <c r="AR241" i="20"/>
  <c r="AC261" i="20" s="1"/>
  <c r="AG342" i="20"/>
  <c r="R362" i="20" s="1"/>
  <c r="A404" i="20"/>
  <c r="A392" i="20"/>
  <c r="V225" i="20"/>
  <c r="G245" i="20" s="1"/>
  <c r="AD225" i="20"/>
  <c r="O245" i="20" s="1"/>
  <c r="AL225" i="20"/>
  <c r="W245" i="20" s="1"/>
  <c r="T227" i="20"/>
  <c r="E247" i="20" s="1"/>
  <c r="AB227" i="20"/>
  <c r="M247" i="20" s="1"/>
  <c r="AJ227" i="20"/>
  <c r="U247" i="20" s="1"/>
  <c r="AR227" i="20"/>
  <c r="AC247" i="20" s="1"/>
  <c r="Z229" i="20"/>
  <c r="K249" i="20" s="1"/>
  <c r="AH229" i="20"/>
  <c r="S249" i="20" s="1"/>
  <c r="AP229" i="20"/>
  <c r="AA249" i="20" s="1"/>
  <c r="X231" i="20"/>
  <c r="I251" i="20" s="1"/>
  <c r="AF231" i="20"/>
  <c r="Q251" i="20" s="1"/>
  <c r="AN231" i="20"/>
  <c r="Y251" i="20" s="1"/>
  <c r="W232" i="20"/>
  <c r="H252" i="20" s="1"/>
  <c r="V233" i="20"/>
  <c r="G253" i="20" s="1"/>
  <c r="AF233" i="20"/>
  <c r="Q253" i="20" s="1"/>
  <c r="Z237" i="20"/>
  <c r="K257" i="20" s="1"/>
  <c r="AB241" i="20"/>
  <c r="M261" i="20" s="1"/>
  <c r="A294" i="20"/>
  <c r="A282" i="20"/>
  <c r="W225" i="20"/>
  <c r="H245" i="20" s="1"/>
  <c r="AE225" i="20"/>
  <c r="P245" i="20" s="1"/>
  <c r="AM225" i="20"/>
  <c r="X245" i="20" s="1"/>
  <c r="U227" i="20"/>
  <c r="F247" i="20" s="1"/>
  <c r="AC227" i="20"/>
  <c r="N247" i="20" s="1"/>
  <c r="AK227" i="20"/>
  <c r="V247" i="20" s="1"/>
  <c r="AQ232" i="20"/>
  <c r="AB252" i="20" s="1"/>
  <c r="AI232" i="20"/>
  <c r="T252" i="20" s="1"/>
  <c r="AA232" i="20"/>
  <c r="L252" i="20" s="1"/>
  <c r="AP232" i="20"/>
  <c r="AA252" i="20" s="1"/>
  <c r="AH232" i="20"/>
  <c r="S252" i="20" s="1"/>
  <c r="Z232" i="20"/>
  <c r="K252" i="20" s="1"/>
  <c r="X232" i="20"/>
  <c r="I252" i="20" s="1"/>
  <c r="AJ232" i="20"/>
  <c r="U252" i="20" s="1"/>
  <c r="W233" i="20"/>
  <c r="H253" i="20" s="1"/>
  <c r="AI233" i="20"/>
  <c r="T253" i="20" s="1"/>
  <c r="AM237" i="20"/>
  <c r="X257" i="20" s="1"/>
  <c r="AE237" i="20"/>
  <c r="P257" i="20" s="1"/>
  <c r="W237" i="20"/>
  <c r="H257" i="20" s="1"/>
  <c r="AL237" i="20"/>
  <c r="W257" i="20" s="1"/>
  <c r="AD237" i="20"/>
  <c r="O257" i="20" s="1"/>
  <c r="V237" i="20"/>
  <c r="G257" i="20" s="1"/>
  <c r="AK237" i="20"/>
  <c r="V257" i="20" s="1"/>
  <c r="AC237" i="20"/>
  <c r="N257" i="20" s="1"/>
  <c r="U237" i="20"/>
  <c r="F257" i="20" s="1"/>
  <c r="AR237" i="20"/>
  <c r="AC257" i="20" s="1"/>
  <c r="AJ237" i="20"/>
  <c r="U257" i="20" s="1"/>
  <c r="AA237" i="20"/>
  <c r="L257" i="20" s="1"/>
  <c r="AP237" i="20"/>
  <c r="AA257" i="20" s="1"/>
  <c r="A291" i="20"/>
  <c r="A279" i="20"/>
  <c r="A295" i="20"/>
  <c r="A283" i="20"/>
  <c r="A280" i="20"/>
  <c r="X225" i="20"/>
  <c r="I245" i="20" s="1"/>
  <c r="AF225" i="20"/>
  <c r="Q245" i="20" s="1"/>
  <c r="AN225" i="20"/>
  <c r="Y245" i="20" s="1"/>
  <c r="V227" i="20"/>
  <c r="G247" i="20" s="1"/>
  <c r="AD227" i="20"/>
  <c r="O247" i="20" s="1"/>
  <c r="Q232" i="20"/>
  <c r="B252" i="20" s="1"/>
  <c r="Y232" i="20"/>
  <c r="J252" i="20" s="1"/>
  <c r="AK232" i="20"/>
  <c r="V252" i="20" s="1"/>
  <c r="X233" i="20"/>
  <c r="I253" i="20" s="1"/>
  <c r="Q237" i="20"/>
  <c r="B257" i="20" s="1"/>
  <c r="AB237" i="20"/>
  <c r="M257" i="20" s="1"/>
  <c r="AQ237" i="20"/>
  <c r="AB257" i="20" s="1"/>
  <c r="AE241" i="20"/>
  <c r="P261" i="20" s="1"/>
  <c r="AG335" i="20"/>
  <c r="R355" i="20" s="1"/>
  <c r="Y335" i="20"/>
  <c r="J355" i="20" s="1"/>
  <c r="Q335" i="20"/>
  <c r="B355" i="20" s="1"/>
  <c r="AR335" i="20"/>
  <c r="AC355" i="20" s="1"/>
  <c r="AH335" i="20"/>
  <c r="S355" i="20" s="1"/>
  <c r="V335" i="20"/>
  <c r="G355" i="20" s="1"/>
  <c r="AQ335" i="20"/>
  <c r="AB355" i="20" s="1"/>
  <c r="AE335" i="20"/>
  <c r="P355" i="20" s="1"/>
  <c r="U335" i="20"/>
  <c r="F355" i="20" s="1"/>
  <c r="AM335" i="20"/>
  <c r="X355" i="20" s="1"/>
  <c r="AC335" i="20"/>
  <c r="N355" i="20" s="1"/>
  <c r="S335" i="20"/>
  <c r="D355" i="20" s="1"/>
  <c r="AK335" i="20"/>
  <c r="V355" i="20" s="1"/>
  <c r="AA335" i="20"/>
  <c r="L355" i="20" s="1"/>
  <c r="AP335" i="20"/>
  <c r="AA355" i="20" s="1"/>
  <c r="T335" i="20"/>
  <c r="E355" i="20" s="1"/>
  <c r="AL335" i="20"/>
  <c r="W355" i="20" s="1"/>
  <c r="R335" i="20"/>
  <c r="C355" i="20" s="1"/>
  <c r="AJ335" i="20"/>
  <c r="U355" i="20" s="1"/>
  <c r="AI335" i="20"/>
  <c r="T355" i="20" s="1"/>
  <c r="Z335" i="20"/>
  <c r="K355" i="20" s="1"/>
  <c r="AR338" i="20"/>
  <c r="AC358" i="20" s="1"/>
  <c r="AH338" i="20"/>
  <c r="S358" i="20" s="1"/>
  <c r="V338" i="20"/>
  <c r="G358" i="20" s="1"/>
  <c r="AQ338" i="20"/>
  <c r="AB358" i="20" s="1"/>
  <c r="AE338" i="20"/>
  <c r="P358" i="20" s="1"/>
  <c r="U338" i="20"/>
  <c r="F358" i="20" s="1"/>
  <c r="AI338" i="20"/>
  <c r="T358" i="20" s="1"/>
  <c r="S338" i="20"/>
  <c r="D358" i="20" s="1"/>
  <c r="AD338" i="20"/>
  <c r="O358" i="20" s="1"/>
  <c r="R338" i="20"/>
  <c r="C358" i="20" s="1"/>
  <c r="AP338" i="20"/>
  <c r="AA358" i="20" s="1"/>
  <c r="AB338" i="20"/>
  <c r="M358" i="20" s="1"/>
  <c r="AL338" i="20"/>
  <c r="W358" i="20" s="1"/>
  <c r="Z338" i="20"/>
  <c r="K358" i="20" s="1"/>
  <c r="AA338" i="20"/>
  <c r="L358" i="20" s="1"/>
  <c r="W338" i="20"/>
  <c r="H358" i="20" s="1"/>
  <c r="T338" i="20"/>
  <c r="E358" i="20" s="1"/>
  <c r="AJ338" i="20"/>
  <c r="U358" i="20" s="1"/>
  <c r="R225" i="20"/>
  <c r="C245" i="20" s="1"/>
  <c r="Z225" i="20"/>
  <c r="K245" i="20" s="1"/>
  <c r="AH225" i="20"/>
  <c r="S245" i="20" s="1"/>
  <c r="X227" i="20"/>
  <c r="I247" i="20" s="1"/>
  <c r="AF227" i="20"/>
  <c r="Q247" i="20" s="1"/>
  <c r="V229" i="20"/>
  <c r="G249" i="20" s="1"/>
  <c r="AD229" i="20"/>
  <c r="O249" i="20" s="1"/>
  <c r="T231" i="20"/>
  <c r="E251" i="20" s="1"/>
  <c r="AB231" i="20"/>
  <c r="M251" i="20" s="1"/>
  <c r="AJ231" i="20"/>
  <c r="U251" i="20" s="1"/>
  <c r="S232" i="20"/>
  <c r="D252" i="20" s="1"/>
  <c r="AC232" i="20"/>
  <c r="N252" i="20" s="1"/>
  <c r="AM232" i="20"/>
  <c r="X252" i="20" s="1"/>
  <c r="AP233" i="20"/>
  <c r="AA253" i="20" s="1"/>
  <c r="AH233" i="20"/>
  <c r="S253" i="20" s="1"/>
  <c r="Z233" i="20"/>
  <c r="K253" i="20" s="1"/>
  <c r="R233" i="20"/>
  <c r="C253" i="20" s="1"/>
  <c r="AO233" i="20"/>
  <c r="Z253" i="20" s="1"/>
  <c r="AG233" i="20"/>
  <c r="R253" i="20" s="1"/>
  <c r="Y233" i="20"/>
  <c r="J253" i="20" s="1"/>
  <c r="Q233" i="20"/>
  <c r="B253" i="20" s="1"/>
  <c r="AB233" i="20"/>
  <c r="M253" i="20" s="1"/>
  <c r="AL233" i="20"/>
  <c r="W253" i="20" s="1"/>
  <c r="S237" i="20"/>
  <c r="D257" i="20" s="1"/>
  <c r="AG237" i="20"/>
  <c r="R257" i="20" s="1"/>
  <c r="AQ241" i="20"/>
  <c r="AB261" i="20" s="1"/>
  <c r="A288" i="20"/>
  <c r="A276" i="20"/>
  <c r="X238" i="20"/>
  <c r="I258" i="20" s="1"/>
  <c r="AF238" i="20"/>
  <c r="Q258" i="20" s="1"/>
  <c r="AN238" i="20"/>
  <c r="Y258" i="20" s="1"/>
  <c r="U241" i="20"/>
  <c r="F261" i="20" s="1"/>
  <c r="AC241" i="20"/>
  <c r="N261" i="20" s="1"/>
  <c r="AK241" i="20"/>
  <c r="V261" i="20" s="1"/>
  <c r="AI342" i="20"/>
  <c r="T362" i="20" s="1"/>
  <c r="AR347" i="20"/>
  <c r="AC367" i="20" s="1"/>
  <c r="AH347" i="20"/>
  <c r="S367" i="20" s="1"/>
  <c r="V347" i="20"/>
  <c r="G367" i="20" s="1"/>
  <c r="AQ347" i="20"/>
  <c r="AB367" i="20" s="1"/>
  <c r="AE347" i="20"/>
  <c r="P367" i="20" s="1"/>
  <c r="U347" i="20"/>
  <c r="F367" i="20" s="1"/>
  <c r="AJ347" i="20"/>
  <c r="U367" i="20" s="1"/>
  <c r="T347" i="20"/>
  <c r="E367" i="20" s="1"/>
  <c r="AI347" i="20"/>
  <c r="T367" i="20" s="1"/>
  <c r="S347" i="20"/>
  <c r="D367" i="20" s="1"/>
  <c r="AD347" i="20"/>
  <c r="O367" i="20" s="1"/>
  <c r="R347" i="20"/>
  <c r="C367" i="20" s="1"/>
  <c r="AC347" i="20"/>
  <c r="N367" i="20" s="1"/>
  <c r="AP347" i="20"/>
  <c r="AA367" i="20" s="1"/>
  <c r="AB347" i="20"/>
  <c r="M367" i="20" s="1"/>
  <c r="AL347" i="20"/>
  <c r="W367" i="20" s="1"/>
  <c r="Z347" i="20"/>
  <c r="K367" i="20" s="1"/>
  <c r="S238" i="20"/>
  <c r="D258" i="20" s="1"/>
  <c r="AA238" i="20"/>
  <c r="L258" i="20" s="1"/>
  <c r="AI238" i="20"/>
  <c r="T258" i="20" s="1"/>
  <c r="AQ238" i="20"/>
  <c r="AB258" i="20" s="1"/>
  <c r="X241" i="20"/>
  <c r="I261" i="20" s="1"/>
  <c r="AF241" i="20"/>
  <c r="Q261" i="20" s="1"/>
  <c r="AN241" i="20"/>
  <c r="Y261" i="20" s="1"/>
  <c r="AO338" i="20"/>
  <c r="Z358" i="20" s="1"/>
  <c r="S342" i="20"/>
  <c r="D362" i="20" s="1"/>
  <c r="T238" i="20"/>
  <c r="E258" i="20" s="1"/>
  <c r="AB238" i="20"/>
  <c r="M258" i="20" s="1"/>
  <c r="AJ238" i="20"/>
  <c r="U258" i="20" s="1"/>
  <c r="AR238" i="20"/>
  <c r="AC258" i="20" s="1"/>
  <c r="Q241" i="20"/>
  <c r="B261" i="20" s="1"/>
  <c r="Y241" i="20"/>
  <c r="J261" i="20" s="1"/>
  <c r="AG241" i="20"/>
  <c r="R261" i="20" s="1"/>
  <c r="AO241" i="20"/>
  <c r="Z261" i="20" s="1"/>
  <c r="W342" i="20"/>
  <c r="H362" i="20" s="1"/>
  <c r="X234" i="20"/>
  <c r="I254" i="20" s="1"/>
  <c r="AF234" i="20"/>
  <c r="Q254" i="20" s="1"/>
  <c r="AN234" i="20"/>
  <c r="Y254" i="20" s="1"/>
  <c r="W236" i="20"/>
  <c r="H256" i="20" s="1"/>
  <c r="AE236" i="20"/>
  <c r="P256" i="20" s="1"/>
  <c r="AM236" i="20"/>
  <c r="X256" i="20" s="1"/>
  <c r="U238" i="20"/>
  <c r="F258" i="20" s="1"/>
  <c r="AC238" i="20"/>
  <c r="N258" i="20" s="1"/>
  <c r="AK238" i="20"/>
  <c r="V258" i="20" s="1"/>
  <c r="R241" i="20"/>
  <c r="C261" i="20" s="1"/>
  <c r="Z241" i="20"/>
  <c r="K261" i="20" s="1"/>
  <c r="AH241" i="20"/>
  <c r="S261" i="20" s="1"/>
  <c r="AP241" i="20"/>
  <c r="AA261" i="20" s="1"/>
  <c r="AP334" i="20"/>
  <c r="AA354" i="20" s="1"/>
  <c r="AH334" i="20"/>
  <c r="S354" i="20" s="1"/>
  <c r="Z334" i="20"/>
  <c r="K354" i="20" s="1"/>
  <c r="R334" i="20"/>
  <c r="C354" i="20" s="1"/>
  <c r="AO334" i="20"/>
  <c r="Z354" i="20" s="1"/>
  <c r="AG334" i="20"/>
  <c r="R354" i="20" s="1"/>
  <c r="Y334" i="20"/>
  <c r="J354" i="20" s="1"/>
  <c r="Q334" i="20"/>
  <c r="B354" i="20" s="1"/>
  <c r="AJ334" i="20"/>
  <c r="U354" i="20" s="1"/>
  <c r="X334" i="20"/>
  <c r="I354" i="20" s="1"/>
  <c r="AI334" i="20"/>
  <c r="T354" i="20" s="1"/>
  <c r="W334" i="20"/>
  <c r="H354" i="20" s="1"/>
  <c r="AQ334" i="20"/>
  <c r="AB354" i="20" s="1"/>
  <c r="AE334" i="20"/>
  <c r="P354" i="20" s="1"/>
  <c r="U334" i="20"/>
  <c r="F354" i="20" s="1"/>
  <c r="AM334" i="20"/>
  <c r="X354" i="20" s="1"/>
  <c r="AC334" i="20"/>
  <c r="N354" i="20" s="1"/>
  <c r="S334" i="20"/>
  <c r="D354" i="20" s="1"/>
  <c r="AL334" i="20"/>
  <c r="W354" i="20" s="1"/>
  <c r="AL341" i="20"/>
  <c r="W361" i="20" s="1"/>
  <c r="AD341" i="20"/>
  <c r="O361" i="20" s="1"/>
  <c r="V341" i="20"/>
  <c r="G361" i="20" s="1"/>
  <c r="AK341" i="20"/>
  <c r="V361" i="20" s="1"/>
  <c r="AC341" i="20"/>
  <c r="N361" i="20" s="1"/>
  <c r="U341" i="20"/>
  <c r="F361" i="20" s="1"/>
  <c r="AQ341" i="20"/>
  <c r="AB361" i="20" s="1"/>
  <c r="AG341" i="20"/>
  <c r="R361" i="20" s="1"/>
  <c r="W341" i="20"/>
  <c r="H361" i="20" s="1"/>
  <c r="AP341" i="20"/>
  <c r="AA361" i="20" s="1"/>
  <c r="AF341" i="20"/>
  <c r="Q361" i="20" s="1"/>
  <c r="T341" i="20"/>
  <c r="E361" i="20" s="1"/>
  <c r="AH341" i="20"/>
  <c r="S361" i="20" s="1"/>
  <c r="R341" i="20"/>
  <c r="C361" i="20" s="1"/>
  <c r="AE341" i="20"/>
  <c r="P361" i="20" s="1"/>
  <c r="Q341" i="20"/>
  <c r="B361" i="20" s="1"/>
  <c r="AO341" i="20"/>
  <c r="Z361" i="20" s="1"/>
  <c r="AA341" i="20"/>
  <c r="L361" i="20" s="1"/>
  <c r="AM341" i="20"/>
  <c r="X361" i="20" s="1"/>
  <c r="Y341" i="20"/>
  <c r="J361" i="20" s="1"/>
  <c r="AR341" i="20"/>
  <c r="AC361" i="20" s="1"/>
  <c r="Z342" i="20"/>
  <c r="K362" i="20" s="1"/>
  <c r="W347" i="20"/>
  <c r="H367" i="20" s="1"/>
  <c r="Y234" i="20"/>
  <c r="J254" i="20" s="1"/>
  <c r="AG234" i="20"/>
  <c r="R254" i="20" s="1"/>
  <c r="X236" i="20"/>
  <c r="I256" i="20" s="1"/>
  <c r="AF236" i="20"/>
  <c r="Q256" i="20" s="1"/>
  <c r="V238" i="20"/>
  <c r="G258" i="20" s="1"/>
  <c r="AD238" i="20"/>
  <c r="O258" i="20" s="1"/>
  <c r="S241" i="20"/>
  <c r="D261" i="20" s="1"/>
  <c r="AA241" i="20"/>
  <c r="L261" i="20" s="1"/>
  <c r="AI241" i="20"/>
  <c r="T261" i="20" s="1"/>
  <c r="T334" i="20"/>
  <c r="E354" i="20" s="1"/>
  <c r="AN334" i="20"/>
  <c r="Y354" i="20" s="1"/>
  <c r="S341" i="20"/>
  <c r="D361" i="20" s="1"/>
  <c r="AQ345" i="20"/>
  <c r="AB365" i="20" s="1"/>
  <c r="AI345" i="20"/>
  <c r="T365" i="20" s="1"/>
  <c r="AA345" i="20"/>
  <c r="L365" i="20" s="1"/>
  <c r="S345" i="20"/>
  <c r="D365" i="20" s="1"/>
  <c r="AP345" i="20"/>
  <c r="AA365" i="20" s="1"/>
  <c r="AH345" i="20"/>
  <c r="S365" i="20" s="1"/>
  <c r="Z345" i="20"/>
  <c r="K365" i="20" s="1"/>
  <c r="R345" i="20"/>
  <c r="C365" i="20" s="1"/>
  <c r="AK345" i="20"/>
  <c r="V365" i="20" s="1"/>
  <c r="Y345" i="20"/>
  <c r="J365" i="20" s="1"/>
  <c r="AJ345" i="20"/>
  <c r="U365" i="20" s="1"/>
  <c r="X345" i="20"/>
  <c r="I365" i="20" s="1"/>
  <c r="AM345" i="20"/>
  <c r="X365" i="20" s="1"/>
  <c r="W345" i="20"/>
  <c r="H365" i="20" s="1"/>
  <c r="AL345" i="20"/>
  <c r="W365" i="20" s="1"/>
  <c r="V345" i="20"/>
  <c r="G365" i="20" s="1"/>
  <c r="AG345" i="20"/>
  <c r="R365" i="20" s="1"/>
  <c r="U345" i="20"/>
  <c r="F365" i="20" s="1"/>
  <c r="AE345" i="20"/>
  <c r="P365" i="20" s="1"/>
  <c r="Q345" i="20"/>
  <c r="B365" i="20" s="1"/>
  <c r="AO345" i="20"/>
  <c r="Z365" i="20" s="1"/>
  <c r="AC345" i="20"/>
  <c r="N365" i="20" s="1"/>
  <c r="AA347" i="20"/>
  <c r="L367" i="20" s="1"/>
  <c r="AO335" i="20"/>
  <c r="Z355" i="20" s="1"/>
  <c r="V336" i="20"/>
  <c r="G356" i="20" s="1"/>
  <c r="AH336" i="20"/>
  <c r="S356" i="20" s="1"/>
  <c r="AR336" i="20"/>
  <c r="AC356" i="20" s="1"/>
  <c r="AC360" i="20"/>
  <c r="L360" i="20"/>
  <c r="I360" i="20"/>
  <c r="AK342" i="20"/>
  <c r="V362" i="20" s="1"/>
  <c r="AC342" i="20"/>
  <c r="N362" i="20" s="1"/>
  <c r="U342" i="20"/>
  <c r="F362" i="20" s="1"/>
  <c r="AR342" i="20"/>
  <c r="AC362" i="20" s="1"/>
  <c r="AJ342" i="20"/>
  <c r="U362" i="20" s="1"/>
  <c r="AB342" i="20"/>
  <c r="M362" i="20" s="1"/>
  <c r="T342" i="20"/>
  <c r="E362" i="20" s="1"/>
  <c r="AN342" i="20"/>
  <c r="Y362" i="20" s="1"/>
  <c r="AD342" i="20"/>
  <c r="O362" i="20" s="1"/>
  <c r="R342" i="20"/>
  <c r="C362" i="20" s="1"/>
  <c r="AM342" i="20"/>
  <c r="X362" i="20" s="1"/>
  <c r="AA342" i="20"/>
  <c r="L362" i="20" s="1"/>
  <c r="Q342" i="20"/>
  <c r="B362" i="20" s="1"/>
  <c r="AF342" i="20"/>
  <c r="Q362" i="20" s="1"/>
  <c r="T346" i="20"/>
  <c r="E366" i="20" s="1"/>
  <c r="AF346" i="20"/>
  <c r="Q366" i="20" s="1"/>
  <c r="Y350" i="20"/>
  <c r="J370" i="20" s="1"/>
  <c r="AM350" i="20"/>
  <c r="X370" i="20" s="1"/>
  <c r="A400" i="20"/>
  <c r="A388" i="20"/>
  <c r="A389" i="20"/>
  <c r="A401" i="20"/>
  <c r="AN336" i="20"/>
  <c r="Y356" i="20" s="1"/>
  <c r="Z336" i="20"/>
  <c r="K356" i="20" s="1"/>
  <c r="AJ336" i="20"/>
  <c r="U356" i="20" s="1"/>
  <c r="V337" i="20"/>
  <c r="G357" i="20" s="1"/>
  <c r="AL337" i="20"/>
  <c r="W357" i="20" s="1"/>
  <c r="U339" i="20"/>
  <c r="F359" i="20" s="1"/>
  <c r="AI339" i="20"/>
  <c r="T359" i="20" s="1"/>
  <c r="V342" i="20"/>
  <c r="G362" i="20" s="1"/>
  <c r="AH342" i="20"/>
  <c r="S362" i="20" s="1"/>
  <c r="X343" i="20"/>
  <c r="I363" i="20" s="1"/>
  <c r="AN343" i="20"/>
  <c r="Y363" i="20" s="1"/>
  <c r="V346" i="20"/>
  <c r="G366" i="20" s="1"/>
  <c r="AL346" i="20"/>
  <c r="W366" i="20" s="1"/>
  <c r="AI348" i="20"/>
  <c r="AA350" i="20"/>
  <c r="L370" i="20" s="1"/>
  <c r="AO347" i="20"/>
  <c r="Z367" i="20" s="1"/>
  <c r="AL350" i="20"/>
  <c r="W370" i="20" s="1"/>
  <c r="AD350" i="20"/>
  <c r="O370" i="20" s="1"/>
  <c r="V350" i="20"/>
  <c r="G370" i="20" s="1"/>
  <c r="AK350" i="20"/>
  <c r="V370" i="20" s="1"/>
  <c r="AC350" i="20"/>
  <c r="N370" i="20" s="1"/>
  <c r="U350" i="20"/>
  <c r="F370" i="20" s="1"/>
  <c r="AQ350" i="20"/>
  <c r="AB370" i="20" s="1"/>
  <c r="AG350" i="20"/>
  <c r="R370" i="20" s="1"/>
  <c r="W350" i="20"/>
  <c r="H370" i="20" s="1"/>
  <c r="AP350" i="20"/>
  <c r="AA370" i="20" s="1"/>
  <c r="AF350" i="20"/>
  <c r="Q370" i="20" s="1"/>
  <c r="T350" i="20"/>
  <c r="E370" i="20" s="1"/>
  <c r="AB350" i="20"/>
  <c r="M370" i="20" s="1"/>
  <c r="AR350" i="20"/>
  <c r="AC370" i="20" s="1"/>
  <c r="A398" i="20"/>
  <c r="A386" i="20"/>
  <c r="R336" i="20"/>
  <c r="C356" i="20" s="1"/>
  <c r="AB336" i="20"/>
  <c r="M356" i="20" s="1"/>
  <c r="AL336" i="20"/>
  <c r="W356" i="20" s="1"/>
  <c r="AB337" i="20"/>
  <c r="M357" i="20" s="1"/>
  <c r="Y339" i="20"/>
  <c r="J359" i="20" s="1"/>
  <c r="X342" i="20"/>
  <c r="I362" i="20" s="1"/>
  <c r="AL342" i="20"/>
  <c r="W362" i="20" s="1"/>
  <c r="AK343" i="20"/>
  <c r="V363" i="20" s="1"/>
  <c r="AD343" i="20"/>
  <c r="O363" i="20" s="1"/>
  <c r="AP343" i="20"/>
  <c r="AA363" i="20" s="1"/>
  <c r="AB346" i="20"/>
  <c r="M366" i="20" s="1"/>
  <c r="AN346" i="20"/>
  <c r="Y366" i="20" s="1"/>
  <c r="Y348" i="20"/>
  <c r="Q350" i="20"/>
  <c r="B370" i="20" s="1"/>
  <c r="AE350" i="20"/>
  <c r="P370" i="20" s="1"/>
  <c r="S336" i="20"/>
  <c r="D356" i="20" s="1"/>
  <c r="AC336" i="20"/>
  <c r="N356" i="20" s="1"/>
  <c r="AP337" i="20"/>
  <c r="AA357" i="20" s="1"/>
  <c r="AH337" i="20"/>
  <c r="S357" i="20" s="1"/>
  <c r="Z337" i="20"/>
  <c r="K357" i="20" s="1"/>
  <c r="R337" i="20"/>
  <c r="C357" i="20" s="1"/>
  <c r="AO337" i="20"/>
  <c r="Z357" i="20" s="1"/>
  <c r="AG337" i="20"/>
  <c r="R357" i="20" s="1"/>
  <c r="Y337" i="20"/>
  <c r="J357" i="20" s="1"/>
  <c r="AJ337" i="20"/>
  <c r="U357" i="20" s="1"/>
  <c r="X337" i="20"/>
  <c r="I357" i="20" s="1"/>
  <c r="AI337" i="20"/>
  <c r="T357" i="20" s="1"/>
  <c r="W337" i="20"/>
  <c r="H357" i="20" s="1"/>
  <c r="AC337" i="20"/>
  <c r="N357" i="20" s="1"/>
  <c r="AQ337" i="20"/>
  <c r="AB357" i="20" s="1"/>
  <c r="AO339" i="20"/>
  <c r="Z359" i="20" s="1"/>
  <c r="AC339" i="20"/>
  <c r="N359" i="20" s="1"/>
  <c r="S339" i="20"/>
  <c r="D359" i="20" s="1"/>
  <c r="AL339" i="20"/>
  <c r="W359" i="20" s="1"/>
  <c r="AB339" i="20"/>
  <c r="M359" i="20" s="1"/>
  <c r="R339" i="20"/>
  <c r="C359" i="20" s="1"/>
  <c r="Z339" i="20"/>
  <c r="K359" i="20" s="1"/>
  <c r="AP339" i="20"/>
  <c r="AA359" i="20" s="1"/>
  <c r="Y342" i="20"/>
  <c r="J362" i="20" s="1"/>
  <c r="AO342" i="20"/>
  <c r="Z362" i="20" s="1"/>
  <c r="Q343" i="20"/>
  <c r="B363" i="20" s="1"/>
  <c r="AC346" i="20"/>
  <c r="N366" i="20" s="1"/>
  <c r="AM348" i="20"/>
  <c r="AE348" i="20"/>
  <c r="W348" i="20"/>
  <c r="AO348" i="20"/>
  <c r="AC348" i="20"/>
  <c r="S348" i="20"/>
  <c r="AL348" i="20"/>
  <c r="AB348" i="20"/>
  <c r="R348" i="20"/>
  <c r="Z348" i="20"/>
  <c r="AP348" i="20"/>
  <c r="R350" i="20"/>
  <c r="C370" i="20" s="1"/>
  <c r="AH350" i="20"/>
  <c r="S370" i="20" s="1"/>
  <c r="AP346" i="20"/>
  <c r="AA366" i="20" s="1"/>
  <c r="AH346" i="20"/>
  <c r="S366" i="20" s="1"/>
  <c r="Z346" i="20"/>
  <c r="K366" i="20" s="1"/>
  <c r="R346" i="20"/>
  <c r="C366" i="20" s="1"/>
  <c r="AO346" i="20"/>
  <c r="Z366" i="20" s="1"/>
  <c r="AG346" i="20"/>
  <c r="R366" i="20" s="1"/>
  <c r="Y346" i="20"/>
  <c r="J366" i="20" s="1"/>
  <c r="Q346" i="20"/>
  <c r="B366" i="20" s="1"/>
  <c r="AJ346" i="20"/>
  <c r="U366" i="20" s="1"/>
  <c r="X346" i="20"/>
  <c r="I366" i="20" s="1"/>
  <c r="AI346" i="20"/>
  <c r="T366" i="20" s="1"/>
  <c r="W346" i="20"/>
  <c r="H366" i="20" s="1"/>
  <c r="AD346" i="20"/>
  <c r="O366" i="20" s="1"/>
  <c r="AR346" i="20"/>
  <c r="AC366" i="20" s="1"/>
  <c r="S350" i="20"/>
  <c r="D370" i="20" s="1"/>
  <c r="AI350" i="20"/>
  <c r="T370" i="20" s="1"/>
  <c r="Z360" i="20"/>
  <c r="X335" i="20"/>
  <c r="I355" i="20" s="1"/>
  <c r="AF335" i="20"/>
  <c r="Q355" i="20" s="1"/>
  <c r="AN335" i="20"/>
  <c r="Y355" i="20" s="1"/>
  <c r="W336" i="20"/>
  <c r="H356" i="20" s="1"/>
  <c r="AE336" i="20"/>
  <c r="P356" i="20" s="1"/>
  <c r="AM336" i="20"/>
  <c r="X356" i="20" s="1"/>
  <c r="Y340" i="20"/>
  <c r="J360" i="20" s="1"/>
  <c r="Y343" i="20"/>
  <c r="J363" i="20" s="1"/>
  <c r="Y349" i="20"/>
  <c r="X439" i="20"/>
  <c r="I459" i="20" s="1"/>
  <c r="AP440" i="20"/>
  <c r="AA460" i="20" s="1"/>
  <c r="Y441" i="20"/>
  <c r="J461" i="20" s="1"/>
  <c r="AJ442" i="20"/>
  <c r="U462" i="20" s="1"/>
  <c r="X443" i="20"/>
  <c r="I463" i="20" s="1"/>
  <c r="S447" i="20"/>
  <c r="D467" i="20" s="1"/>
  <c r="X336" i="20"/>
  <c r="I356" i="20" s="1"/>
  <c r="AF336" i="20"/>
  <c r="Q356" i="20" s="1"/>
  <c r="AM340" i="20"/>
  <c r="X360" i="20" s="1"/>
  <c r="AE340" i="20"/>
  <c r="P360" i="20" s="1"/>
  <c r="W340" i="20"/>
  <c r="H360" i="20" s="1"/>
  <c r="AL340" i="20"/>
  <c r="W360" i="20" s="1"/>
  <c r="AD340" i="20"/>
  <c r="O360" i="20" s="1"/>
  <c r="V340" i="20"/>
  <c r="G360" i="20" s="1"/>
  <c r="Z340" i="20"/>
  <c r="K360" i="20" s="1"/>
  <c r="AJ340" i="20"/>
  <c r="U360" i="20" s="1"/>
  <c r="AR343" i="20"/>
  <c r="AC363" i="20" s="1"/>
  <c r="AJ343" i="20"/>
  <c r="U363" i="20" s="1"/>
  <c r="AB343" i="20"/>
  <c r="M363" i="20" s="1"/>
  <c r="T343" i="20"/>
  <c r="E363" i="20" s="1"/>
  <c r="AQ343" i="20"/>
  <c r="AB363" i="20" s="1"/>
  <c r="AI343" i="20"/>
  <c r="T363" i="20" s="1"/>
  <c r="AA343" i="20"/>
  <c r="L363" i="20" s="1"/>
  <c r="S343" i="20"/>
  <c r="D363" i="20" s="1"/>
  <c r="Z343" i="20"/>
  <c r="K363" i="20" s="1"/>
  <c r="AL343" i="20"/>
  <c r="W363" i="20" s="1"/>
  <c r="AM349" i="20"/>
  <c r="AE349" i="20"/>
  <c r="W349" i="20"/>
  <c r="AL349" i="20"/>
  <c r="AD349" i="20"/>
  <c r="V349" i="20"/>
  <c r="Z349" i="20"/>
  <c r="AJ349" i="20"/>
  <c r="AE439" i="20"/>
  <c r="P459" i="20" s="1"/>
  <c r="AK440" i="20"/>
  <c r="V460" i="20" s="1"/>
  <c r="AE443" i="20"/>
  <c r="P463" i="20" s="1"/>
  <c r="AQ445" i="20"/>
  <c r="AB465" i="20" s="1"/>
  <c r="AI445" i="20"/>
  <c r="T465" i="20" s="1"/>
  <c r="AA445" i="20"/>
  <c r="L465" i="20" s="1"/>
  <c r="S445" i="20"/>
  <c r="D465" i="20" s="1"/>
  <c r="AL445" i="20"/>
  <c r="W465" i="20" s="1"/>
  <c r="V445" i="20"/>
  <c r="G465" i="20" s="1"/>
  <c r="AK445" i="20"/>
  <c r="V465" i="20" s="1"/>
  <c r="U445" i="20"/>
  <c r="F465" i="20" s="1"/>
  <c r="Y445" i="20"/>
  <c r="J465" i="20" s="1"/>
  <c r="AG445" i="20"/>
  <c r="R465" i="20" s="1"/>
  <c r="AC445" i="20"/>
  <c r="N465" i="20" s="1"/>
  <c r="Z445" i="20"/>
  <c r="K465" i="20" s="1"/>
  <c r="AP445" i="20"/>
  <c r="AA465" i="20" s="1"/>
  <c r="T447" i="20"/>
  <c r="E467" i="20" s="1"/>
  <c r="AA448" i="20"/>
  <c r="L468" i="20" s="1"/>
  <c r="AM448" i="20"/>
  <c r="X468" i="20" s="1"/>
  <c r="AF439" i="20"/>
  <c r="Q459" i="20" s="1"/>
  <c r="R440" i="20"/>
  <c r="C460" i="20" s="1"/>
  <c r="AQ442" i="20"/>
  <c r="AB462" i="20" s="1"/>
  <c r="AI442" i="20"/>
  <c r="T462" i="20" s="1"/>
  <c r="AA442" i="20"/>
  <c r="L462" i="20" s="1"/>
  <c r="S442" i="20"/>
  <c r="D462" i="20" s="1"/>
  <c r="AP442" i="20"/>
  <c r="AA462" i="20" s="1"/>
  <c r="AH442" i="20"/>
  <c r="S462" i="20" s="1"/>
  <c r="Z442" i="20"/>
  <c r="K462" i="20" s="1"/>
  <c r="R442" i="20"/>
  <c r="C462" i="20" s="1"/>
  <c r="AM442" i="20"/>
  <c r="X462" i="20" s="1"/>
  <c r="AE442" i="20"/>
  <c r="P462" i="20" s="1"/>
  <c r="W442" i="20"/>
  <c r="H462" i="20" s="1"/>
  <c r="AL442" i="20"/>
  <c r="W462" i="20" s="1"/>
  <c r="AD442" i="20"/>
  <c r="O462" i="20" s="1"/>
  <c r="V442" i="20"/>
  <c r="G462" i="20" s="1"/>
  <c r="AO442" i="20"/>
  <c r="Z462" i="20" s="1"/>
  <c r="Y442" i="20"/>
  <c r="J462" i="20" s="1"/>
  <c r="AN442" i="20"/>
  <c r="Y462" i="20" s="1"/>
  <c r="X442" i="20"/>
  <c r="I462" i="20" s="1"/>
  <c r="U442" i="20"/>
  <c r="F462" i="20" s="1"/>
  <c r="AR442" i="20"/>
  <c r="AC462" i="20" s="1"/>
  <c r="T442" i="20"/>
  <c r="E462" i="20" s="1"/>
  <c r="AF443" i="20"/>
  <c r="Q463" i="20" s="1"/>
  <c r="AF447" i="20"/>
  <c r="Q467" i="20" s="1"/>
  <c r="AQ453" i="20"/>
  <c r="AI453" i="20"/>
  <c r="AA453" i="20"/>
  <c r="S453" i="20"/>
  <c r="AK453" i="20"/>
  <c r="AB453" i="20"/>
  <c r="R453" i="20"/>
  <c r="AJ453" i="20"/>
  <c r="Z453" i="20"/>
  <c r="Q453" i="20"/>
  <c r="AR453" i="20"/>
  <c r="AH453" i="20"/>
  <c r="AP453" i="20"/>
  <c r="AG453" i="20"/>
  <c r="X453" i="20"/>
  <c r="AO453" i="20"/>
  <c r="AF453" i="20"/>
  <c r="W453" i="20"/>
  <c r="AN453" i="20"/>
  <c r="AE453" i="20"/>
  <c r="V453" i="20"/>
  <c r="AD453" i="20"/>
  <c r="AC453" i="20"/>
  <c r="T453" i="20"/>
  <c r="AM453" i="20"/>
  <c r="Y453" i="20"/>
  <c r="U453" i="20"/>
  <c r="AI439" i="20"/>
  <c r="T459" i="20" s="1"/>
  <c r="AA440" i="20"/>
  <c r="L460" i="20" s="1"/>
  <c r="AM441" i="20"/>
  <c r="X461" i="20" s="1"/>
  <c r="AE441" i="20"/>
  <c r="P461" i="20" s="1"/>
  <c r="W441" i="20"/>
  <c r="H461" i="20" s="1"/>
  <c r="AD441" i="20"/>
  <c r="O461" i="20" s="1"/>
  <c r="AC441" i="20"/>
  <c r="N461" i="20" s="1"/>
  <c r="AP441" i="20"/>
  <c r="AA461" i="20" s="1"/>
  <c r="V441" i="20"/>
  <c r="G461" i="20" s="1"/>
  <c r="AO441" i="20"/>
  <c r="Z461" i="20" s="1"/>
  <c r="U441" i="20"/>
  <c r="F461" i="20" s="1"/>
  <c r="AH441" i="20"/>
  <c r="S461" i="20" s="1"/>
  <c r="Q442" i="20"/>
  <c r="B462" i="20" s="1"/>
  <c r="AM443" i="20"/>
  <c r="X463" i="20" s="1"/>
  <c r="AJ447" i="20"/>
  <c r="U467" i="20" s="1"/>
  <c r="AL453" i="20"/>
  <c r="AD440" i="20"/>
  <c r="O460" i="20" s="1"/>
  <c r="AB442" i="20"/>
  <c r="M462" i="20" s="1"/>
  <c r="AN443" i="20"/>
  <c r="Y463" i="20" s="1"/>
  <c r="AM447" i="20"/>
  <c r="X467" i="20" s="1"/>
  <c r="A390" i="20"/>
  <c r="AL439" i="20"/>
  <c r="W459" i="20" s="1"/>
  <c r="AD439" i="20"/>
  <c r="O459" i="20" s="1"/>
  <c r="V439" i="20"/>
  <c r="G459" i="20" s="1"/>
  <c r="AK439" i="20"/>
  <c r="V459" i="20" s="1"/>
  <c r="AC439" i="20"/>
  <c r="N459" i="20" s="1"/>
  <c r="U439" i="20"/>
  <c r="F459" i="20" s="1"/>
  <c r="AP439" i="20"/>
  <c r="AA459" i="20" s="1"/>
  <c r="AH439" i="20"/>
  <c r="S459" i="20" s="1"/>
  <c r="Z439" i="20"/>
  <c r="K459" i="20" s="1"/>
  <c r="R439" i="20"/>
  <c r="C459" i="20" s="1"/>
  <c r="AO439" i="20"/>
  <c r="Z459" i="20" s="1"/>
  <c r="AG439" i="20"/>
  <c r="R459" i="20" s="1"/>
  <c r="Y439" i="20"/>
  <c r="J459" i="20" s="1"/>
  <c r="Q439" i="20"/>
  <c r="B459" i="20" s="1"/>
  <c r="AR439" i="20"/>
  <c r="AC459" i="20" s="1"/>
  <c r="AB439" i="20"/>
  <c r="M459" i="20" s="1"/>
  <c r="AQ439" i="20"/>
  <c r="AB459" i="20" s="1"/>
  <c r="AA439" i="20"/>
  <c r="L459" i="20" s="1"/>
  <c r="AN439" i="20"/>
  <c r="Y459" i="20" s="1"/>
  <c r="T439" i="20"/>
  <c r="E459" i="20" s="1"/>
  <c r="AM439" i="20"/>
  <c r="X459" i="20" s="1"/>
  <c r="S439" i="20"/>
  <c r="D459" i="20" s="1"/>
  <c r="AP443" i="20"/>
  <c r="AA463" i="20" s="1"/>
  <c r="AH443" i="20"/>
  <c r="S463" i="20" s="1"/>
  <c r="Z443" i="20"/>
  <c r="K463" i="20" s="1"/>
  <c r="R443" i="20"/>
  <c r="C463" i="20" s="1"/>
  <c r="AO443" i="20"/>
  <c r="Z463" i="20" s="1"/>
  <c r="AG443" i="20"/>
  <c r="R463" i="20" s="1"/>
  <c r="Y443" i="20"/>
  <c r="J463" i="20" s="1"/>
  <c r="Q443" i="20"/>
  <c r="B463" i="20" s="1"/>
  <c r="AL443" i="20"/>
  <c r="W463" i="20" s="1"/>
  <c r="AD443" i="20"/>
  <c r="O463" i="20" s="1"/>
  <c r="V443" i="20"/>
  <c r="G463" i="20" s="1"/>
  <c r="AK443" i="20"/>
  <c r="V463" i="20" s="1"/>
  <c r="AC443" i="20"/>
  <c r="N463" i="20" s="1"/>
  <c r="U443" i="20"/>
  <c r="F463" i="20" s="1"/>
  <c r="AJ443" i="20"/>
  <c r="U463" i="20" s="1"/>
  <c r="T443" i="20"/>
  <c r="E463" i="20" s="1"/>
  <c r="AI443" i="20"/>
  <c r="T463" i="20" s="1"/>
  <c r="S443" i="20"/>
  <c r="D463" i="20" s="1"/>
  <c r="AB443" i="20"/>
  <c r="M463" i="20" s="1"/>
  <c r="AA443" i="20"/>
  <c r="L463" i="20" s="1"/>
  <c r="AR443" i="20"/>
  <c r="AC463" i="20" s="1"/>
  <c r="A391" i="20"/>
  <c r="A397" i="20"/>
  <c r="W439" i="20"/>
  <c r="H459" i="20" s="1"/>
  <c r="AL440" i="20"/>
  <c r="W460" i="20" s="1"/>
  <c r="V440" i="20"/>
  <c r="G460" i="20" s="1"/>
  <c r="AI440" i="20"/>
  <c r="T460" i="20" s="1"/>
  <c r="S440" i="20"/>
  <c r="D460" i="20" s="1"/>
  <c r="Z440" i="20"/>
  <c r="K460" i="20" s="1"/>
  <c r="AQ440" i="20"/>
  <c r="AB460" i="20" s="1"/>
  <c r="W440" i="20"/>
  <c r="H460" i="20" s="1"/>
  <c r="AM440" i="20"/>
  <c r="X460" i="20" s="1"/>
  <c r="W443" i="20"/>
  <c r="H463" i="20" s="1"/>
  <c r="AL447" i="20"/>
  <c r="W467" i="20" s="1"/>
  <c r="AD447" i="20"/>
  <c r="O467" i="20" s="1"/>
  <c r="V447" i="20"/>
  <c r="G467" i="20" s="1"/>
  <c r="AK447" i="20"/>
  <c r="V467" i="20" s="1"/>
  <c r="AC447" i="20"/>
  <c r="N467" i="20" s="1"/>
  <c r="U447" i="20"/>
  <c r="F467" i="20" s="1"/>
  <c r="AP447" i="20"/>
  <c r="AA467" i="20" s="1"/>
  <c r="AH447" i="20"/>
  <c r="S467" i="20" s="1"/>
  <c r="Z447" i="20"/>
  <c r="K467" i="20" s="1"/>
  <c r="R447" i="20"/>
  <c r="C467" i="20" s="1"/>
  <c r="AO447" i="20"/>
  <c r="Z467" i="20" s="1"/>
  <c r="AG447" i="20"/>
  <c r="R467" i="20" s="1"/>
  <c r="Y447" i="20"/>
  <c r="J467" i="20" s="1"/>
  <c r="Q447" i="20"/>
  <c r="B467" i="20" s="1"/>
  <c r="AR447" i="20"/>
  <c r="AC467" i="20" s="1"/>
  <c r="AB447" i="20"/>
  <c r="M467" i="20" s="1"/>
  <c r="AQ447" i="20"/>
  <c r="AB467" i="20" s="1"/>
  <c r="AA447" i="20"/>
  <c r="L467" i="20" s="1"/>
  <c r="W447" i="20"/>
  <c r="H467" i="20" s="1"/>
  <c r="AI447" i="20"/>
  <c r="T467" i="20" s="1"/>
  <c r="AE447" i="20"/>
  <c r="P467" i="20" s="1"/>
  <c r="X447" i="20"/>
  <c r="I467" i="20" s="1"/>
  <c r="X338" i="20"/>
  <c r="I358" i="20" s="1"/>
  <c r="AF338" i="20"/>
  <c r="Q358" i="20" s="1"/>
  <c r="AN338" i="20"/>
  <c r="Y358" i="20" s="1"/>
  <c r="W339" i="20"/>
  <c r="H359" i="20" s="1"/>
  <c r="AE339" i="20"/>
  <c r="P359" i="20" s="1"/>
  <c r="AM339" i="20"/>
  <c r="X359" i="20" s="1"/>
  <c r="X347" i="20"/>
  <c r="I367" i="20" s="1"/>
  <c r="AF347" i="20"/>
  <c r="Q367" i="20" s="1"/>
  <c r="AN347" i="20"/>
  <c r="Y367" i="20" s="1"/>
  <c r="T450" i="20"/>
  <c r="E470" i="20" s="1"/>
  <c r="AM450" i="20"/>
  <c r="X470" i="20" s="1"/>
  <c r="AE450" i="20"/>
  <c r="P470" i="20" s="1"/>
  <c r="W450" i="20"/>
  <c r="H470" i="20" s="1"/>
  <c r="AD450" i="20"/>
  <c r="O470" i="20" s="1"/>
  <c r="AC450" i="20"/>
  <c r="N470" i="20" s="1"/>
  <c r="Z450" i="20"/>
  <c r="K470" i="20" s="1"/>
  <c r="AC451" i="20"/>
  <c r="N471" i="20" s="1"/>
  <c r="Q338" i="20"/>
  <c r="B358" i="20" s="1"/>
  <c r="Y338" i="20"/>
  <c r="J358" i="20" s="1"/>
  <c r="AG338" i="20"/>
  <c r="R358" i="20" s="1"/>
  <c r="X339" i="20"/>
  <c r="I359" i="20" s="1"/>
  <c r="AF339" i="20"/>
  <c r="Q359" i="20" s="1"/>
  <c r="Q347" i="20"/>
  <c r="B367" i="20" s="1"/>
  <c r="Y347" i="20"/>
  <c r="J367" i="20" s="1"/>
  <c r="AG347" i="20"/>
  <c r="R367" i="20" s="1"/>
  <c r="X348" i="20"/>
  <c r="AF348" i="20"/>
  <c r="AL448" i="20"/>
  <c r="W468" i="20" s="1"/>
  <c r="V448" i="20"/>
  <c r="G468" i="20" s="1"/>
  <c r="AI448" i="20"/>
  <c r="T468" i="20" s="1"/>
  <c r="S448" i="20"/>
  <c r="D468" i="20" s="1"/>
  <c r="AE448" i="20"/>
  <c r="P468" i="20" s="1"/>
  <c r="AR452" i="20"/>
  <c r="AC472" i="20" s="1"/>
  <c r="AP452" i="20"/>
  <c r="AA472" i="20" s="1"/>
  <c r="AH452" i="20"/>
  <c r="S472" i="20" s="1"/>
  <c r="Z452" i="20"/>
  <c r="K472" i="20" s="1"/>
  <c r="R452" i="20"/>
  <c r="C472" i="20" s="1"/>
  <c r="AO452" i="20"/>
  <c r="Z472" i="20" s="1"/>
  <c r="AG452" i="20"/>
  <c r="R472" i="20" s="1"/>
  <c r="Y452" i="20"/>
  <c r="J472" i="20" s="1"/>
  <c r="Q452" i="20"/>
  <c r="B472" i="20" s="1"/>
  <c r="AM452" i="20"/>
  <c r="X472" i="20" s="1"/>
  <c r="AE452" i="20"/>
  <c r="P472" i="20" s="1"/>
  <c r="W452" i="20"/>
  <c r="H472" i="20" s="1"/>
  <c r="AL452" i="20"/>
  <c r="W472" i="20" s="1"/>
  <c r="AD452" i="20"/>
  <c r="O472" i="20" s="1"/>
  <c r="V452" i="20"/>
  <c r="G472" i="20" s="1"/>
  <c r="AK452" i="20"/>
  <c r="V472" i="20" s="1"/>
  <c r="AC452" i="20"/>
  <c r="N472" i="20" s="1"/>
  <c r="U452" i="20"/>
  <c r="F472" i="20" s="1"/>
  <c r="AA452" i="20"/>
  <c r="L472" i="20" s="1"/>
  <c r="X452" i="20"/>
  <c r="I472" i="20" s="1"/>
  <c r="AQ452" i="20"/>
  <c r="AB472" i="20" s="1"/>
  <c r="AK448" i="20"/>
  <c r="V468" i="20" s="1"/>
  <c r="AQ451" i="20"/>
  <c r="AB471" i="20" s="1"/>
  <c r="AI451" i="20"/>
  <c r="T471" i="20" s="1"/>
  <c r="AA451" i="20"/>
  <c r="L471" i="20" s="1"/>
  <c r="S451" i="20"/>
  <c r="D471" i="20" s="1"/>
  <c r="AP451" i="20"/>
  <c r="AA471" i="20" s="1"/>
  <c r="AH451" i="20"/>
  <c r="S471" i="20" s="1"/>
  <c r="Z451" i="20"/>
  <c r="K471" i="20" s="1"/>
  <c r="R451" i="20"/>
  <c r="C471" i="20" s="1"/>
  <c r="AN451" i="20"/>
  <c r="Y471" i="20" s="1"/>
  <c r="AF451" i="20"/>
  <c r="Q471" i="20" s="1"/>
  <c r="AM451" i="20"/>
  <c r="X471" i="20" s="1"/>
  <c r="AE451" i="20"/>
  <c r="P471" i="20" s="1"/>
  <c r="W451" i="20"/>
  <c r="H471" i="20" s="1"/>
  <c r="AL451" i="20"/>
  <c r="W471" i="20" s="1"/>
  <c r="AD451" i="20"/>
  <c r="O471" i="20" s="1"/>
  <c r="V451" i="20"/>
  <c r="G471" i="20" s="1"/>
  <c r="Y451" i="20"/>
  <c r="J471" i="20" s="1"/>
  <c r="AR451" i="20"/>
  <c r="AC471" i="20" s="1"/>
  <c r="X451" i="20"/>
  <c r="I471" i="20" s="1"/>
  <c r="AK451" i="20"/>
  <c r="V471" i="20" s="1"/>
  <c r="AB451" i="20"/>
  <c r="M471" i="20" s="1"/>
  <c r="AO444" i="20"/>
  <c r="Z464" i="20" s="1"/>
  <c r="AG444" i="20"/>
  <c r="R464" i="20" s="1"/>
  <c r="Y444" i="20"/>
  <c r="J464" i="20" s="1"/>
  <c r="Q444" i="20"/>
  <c r="B464" i="20" s="1"/>
  <c r="AK444" i="20"/>
  <c r="V464" i="20" s="1"/>
  <c r="AC444" i="20"/>
  <c r="N464" i="20" s="1"/>
  <c r="U444" i="20"/>
  <c r="F464" i="20" s="1"/>
  <c r="AR444" i="20"/>
  <c r="AC464" i="20" s="1"/>
  <c r="AJ444" i="20"/>
  <c r="U464" i="20" s="1"/>
  <c r="AB444" i="20"/>
  <c r="M464" i="20" s="1"/>
  <c r="T444" i="20"/>
  <c r="E464" i="20" s="1"/>
  <c r="AA444" i="20"/>
  <c r="L464" i="20" s="1"/>
  <c r="AQ444" i="20"/>
  <c r="AB464" i="20" s="1"/>
  <c r="AM446" i="20"/>
  <c r="X466" i="20" s="1"/>
  <c r="AE446" i="20"/>
  <c r="P466" i="20" s="1"/>
  <c r="W446" i="20"/>
  <c r="H466" i="20" s="1"/>
  <c r="AL446" i="20"/>
  <c r="W466" i="20" s="1"/>
  <c r="AD446" i="20"/>
  <c r="O466" i="20" s="1"/>
  <c r="V446" i="20"/>
  <c r="G466" i="20" s="1"/>
  <c r="AQ446" i="20"/>
  <c r="AB466" i="20" s="1"/>
  <c r="AI446" i="20"/>
  <c r="T466" i="20" s="1"/>
  <c r="AA446" i="20"/>
  <c r="L466" i="20" s="1"/>
  <c r="S446" i="20"/>
  <c r="D466" i="20" s="1"/>
  <c r="AP446" i="20"/>
  <c r="AA466" i="20" s="1"/>
  <c r="AH446" i="20"/>
  <c r="S466" i="20" s="1"/>
  <c r="Z446" i="20"/>
  <c r="K466" i="20" s="1"/>
  <c r="R446" i="20"/>
  <c r="C466" i="20" s="1"/>
  <c r="AF446" i="20"/>
  <c r="Q466" i="20" s="1"/>
  <c r="AR441" i="20"/>
  <c r="AC461" i="20" s="1"/>
  <c r="AG446" i="20"/>
  <c r="R466" i="20" s="1"/>
  <c r="AR450" i="20"/>
  <c r="AC470" i="20" s="1"/>
  <c r="A504" i="20"/>
  <c r="A492" i="20"/>
  <c r="X440" i="20"/>
  <c r="I460" i="20" s="1"/>
  <c r="AF440" i="20"/>
  <c r="Q460" i="20" s="1"/>
  <c r="AN440" i="20"/>
  <c r="Y460" i="20" s="1"/>
  <c r="X448" i="20"/>
  <c r="I468" i="20" s="1"/>
  <c r="AF448" i="20"/>
  <c r="Q468" i="20" s="1"/>
  <c r="AN448" i="20"/>
  <c r="Y468" i="20" s="1"/>
  <c r="AR454" i="20"/>
  <c r="AJ454" i="20"/>
  <c r="AB454" i="20"/>
  <c r="T454" i="20"/>
  <c r="AQ454" i="20"/>
  <c r="AI454" i="20"/>
  <c r="AA454" i="20"/>
  <c r="S454" i="20"/>
  <c r="AP454" i="20"/>
  <c r="AH454" i="20"/>
  <c r="Z454" i="20"/>
  <c r="R454" i="20"/>
  <c r="AD454" i="20"/>
  <c r="AO454" i="20"/>
  <c r="A490" i="20"/>
  <c r="Q440" i="20"/>
  <c r="B460" i="20" s="1"/>
  <c r="Y440" i="20"/>
  <c r="J460" i="20" s="1"/>
  <c r="AG440" i="20"/>
  <c r="R460" i="20" s="1"/>
  <c r="AO440" i="20"/>
  <c r="Z460" i="20" s="1"/>
  <c r="X441" i="20"/>
  <c r="I461" i="20" s="1"/>
  <c r="AF441" i="20"/>
  <c r="Q461" i="20" s="1"/>
  <c r="AN441" i="20"/>
  <c r="Y461" i="20" s="1"/>
  <c r="T445" i="20"/>
  <c r="E465" i="20" s="1"/>
  <c r="AB445" i="20"/>
  <c r="M465" i="20" s="1"/>
  <c r="AJ445" i="20"/>
  <c r="U465" i="20" s="1"/>
  <c r="AR445" i="20"/>
  <c r="AC465" i="20" s="1"/>
  <c r="Q448" i="20"/>
  <c r="B468" i="20" s="1"/>
  <c r="Y448" i="20"/>
  <c r="J468" i="20" s="1"/>
  <c r="AG448" i="20"/>
  <c r="R468" i="20" s="1"/>
  <c r="AO448" i="20"/>
  <c r="Z468" i="20" s="1"/>
  <c r="X450" i="20"/>
  <c r="I470" i="20" s="1"/>
  <c r="AF450" i="20"/>
  <c r="Q470" i="20" s="1"/>
  <c r="AN450" i="20"/>
  <c r="Y470" i="20" s="1"/>
  <c r="Q454" i="20"/>
  <c r="AE454" i="20"/>
  <c r="A493" i="20"/>
  <c r="A505" i="20"/>
  <c r="U454" i="20"/>
  <c r="AF454" i="20"/>
  <c r="V454" i="20"/>
  <c r="AG454" i="20"/>
  <c r="T440" i="20"/>
  <c r="E460" i="20" s="1"/>
  <c r="AB440" i="20"/>
  <c r="M460" i="20" s="1"/>
  <c r="AJ440" i="20"/>
  <c r="U460" i="20" s="1"/>
  <c r="AR440" i="20"/>
  <c r="AC460" i="20" s="1"/>
  <c r="S441" i="20"/>
  <c r="D461" i="20" s="1"/>
  <c r="AA441" i="20"/>
  <c r="L461" i="20" s="1"/>
  <c r="AI441" i="20"/>
  <c r="T461" i="20" s="1"/>
  <c r="AQ441" i="20"/>
  <c r="AB461" i="20" s="1"/>
  <c r="X444" i="20"/>
  <c r="I464" i="20" s="1"/>
  <c r="AF444" i="20"/>
  <c r="Q464" i="20" s="1"/>
  <c r="W445" i="20"/>
  <c r="H465" i="20" s="1"/>
  <c r="AE445" i="20"/>
  <c r="P465" i="20" s="1"/>
  <c r="AM445" i="20"/>
  <c r="X465" i="20" s="1"/>
  <c r="T448" i="20"/>
  <c r="E468" i="20" s="1"/>
  <c r="AB448" i="20"/>
  <c r="M468" i="20" s="1"/>
  <c r="AJ448" i="20"/>
  <c r="U468" i="20" s="1"/>
  <c r="AR448" i="20"/>
  <c r="AC468" i="20" s="1"/>
  <c r="S450" i="20"/>
  <c r="D470" i="20" s="1"/>
  <c r="AA450" i="20"/>
  <c r="L470" i="20" s="1"/>
  <c r="AI450" i="20"/>
  <c r="T470" i="20" s="1"/>
  <c r="AQ450" i="20"/>
  <c r="AB470" i="20" s="1"/>
  <c r="W454" i="20"/>
  <c r="AK454" i="20"/>
  <c r="U440" i="20"/>
  <c r="F460" i="20" s="1"/>
  <c r="AC440" i="20"/>
  <c r="N460" i="20" s="1"/>
  <c r="T441" i="20"/>
  <c r="E461" i="20" s="1"/>
  <c r="AB441" i="20"/>
  <c r="M461" i="20" s="1"/>
  <c r="AJ441" i="20"/>
  <c r="U461" i="20" s="1"/>
  <c r="X445" i="20"/>
  <c r="I465" i="20" s="1"/>
  <c r="AF445" i="20"/>
  <c r="Q465" i="20" s="1"/>
  <c r="U448" i="20"/>
  <c r="F468" i="20" s="1"/>
  <c r="AC448" i="20"/>
  <c r="N468" i="20" s="1"/>
  <c r="AB450" i="20"/>
  <c r="M470" i="20" s="1"/>
  <c r="AJ450" i="20"/>
  <c r="U470" i="20" s="1"/>
  <c r="X454" i="20"/>
  <c r="AL454" i="20"/>
  <c r="Y454" i="20"/>
  <c r="AM454" i="20"/>
  <c r="A496" i="20"/>
  <c r="A508" i="20"/>
  <c r="AC454" i="20"/>
  <c r="V455" i="20"/>
  <c r="G475" i="20" s="1"/>
  <c r="AD455" i="20"/>
  <c r="O475" i="20" s="1"/>
  <c r="AL455" i="20"/>
  <c r="W475" i="20" s="1"/>
  <c r="A495" i="20"/>
  <c r="X455" i="20"/>
  <c r="I475" i="20" s="1"/>
  <c r="AF455" i="20"/>
  <c r="Q475" i="20" s="1"/>
  <c r="AN455" i="20"/>
  <c r="Y475" i="20" s="1"/>
  <c r="Q455" i="20"/>
  <c r="B475" i="20" s="1"/>
  <c r="Y455" i="20"/>
  <c r="J475" i="20" s="1"/>
  <c r="AG455" i="20"/>
  <c r="R475" i="20" s="1"/>
  <c r="AO455" i="20"/>
  <c r="Z475" i="20" s="1"/>
  <c r="R455" i="20"/>
  <c r="C475" i="20" s="1"/>
  <c r="Z455" i="20"/>
  <c r="K475" i="20" s="1"/>
  <c r="AH455" i="20"/>
  <c r="S475" i="20" s="1"/>
  <c r="AP455" i="20"/>
  <c r="AA475" i="20" s="1"/>
  <c r="A503" i="20"/>
  <c r="A491" i="20"/>
  <c r="A509" i="20"/>
  <c r="A497" i="20"/>
  <c r="S455" i="20"/>
  <c r="D475" i="20" s="1"/>
  <c r="AA455" i="20"/>
  <c r="L475" i="20" s="1"/>
  <c r="AI455" i="20"/>
  <c r="T475" i="20" s="1"/>
  <c r="A494" i="20"/>
  <c r="A506" i="20"/>
  <c r="A65" i="19"/>
  <c r="A77" i="19"/>
  <c r="AM12" i="19"/>
  <c r="X32" i="19" s="1"/>
  <c r="AE12" i="19"/>
  <c r="P32" i="19" s="1"/>
  <c r="W12" i="19"/>
  <c r="H32" i="19" s="1"/>
  <c r="AL12" i="19"/>
  <c r="W32" i="19" s="1"/>
  <c r="AD12" i="19"/>
  <c r="O32" i="19" s="1"/>
  <c r="V12" i="19"/>
  <c r="G32" i="19" s="1"/>
  <c r="AK12" i="19"/>
  <c r="V32" i="19" s="1"/>
  <c r="AC12" i="19"/>
  <c r="N32" i="19" s="1"/>
  <c r="U12" i="19"/>
  <c r="F32" i="19" s="1"/>
  <c r="AQ12" i="19"/>
  <c r="AB32" i="19" s="1"/>
  <c r="AI12" i="19"/>
  <c r="T32" i="19" s="1"/>
  <c r="AA12" i="19"/>
  <c r="L32" i="19" s="1"/>
  <c r="S12" i="19"/>
  <c r="D32" i="19" s="1"/>
  <c r="AO12" i="19"/>
  <c r="Z32" i="19" s="1"/>
  <c r="AG12" i="19"/>
  <c r="R32" i="19" s="1"/>
  <c r="Y12" i="19"/>
  <c r="J32" i="19" s="1"/>
  <c r="Q12" i="19"/>
  <c r="B32" i="19" s="1"/>
  <c r="AJ12" i="19"/>
  <c r="U32" i="19" s="1"/>
  <c r="AL13" i="19"/>
  <c r="W33" i="19" s="1"/>
  <c r="AM13" i="19"/>
  <c r="X33" i="19" s="1"/>
  <c r="R14" i="19"/>
  <c r="C34" i="19" s="1"/>
  <c r="AC15" i="19"/>
  <c r="N35" i="19" s="1"/>
  <c r="AO15" i="19"/>
  <c r="Z35" i="19" s="1"/>
  <c r="Q15" i="19"/>
  <c r="B35" i="19" s="1"/>
  <c r="Y15" i="19"/>
  <c r="J35" i="19" s="1"/>
  <c r="AG15" i="19"/>
  <c r="R35" i="19" s="1"/>
  <c r="AK15" i="19"/>
  <c r="V35" i="19" s="1"/>
  <c r="U15" i="19"/>
  <c r="F35" i="19" s="1"/>
  <c r="X23" i="19"/>
  <c r="I43" i="19" s="1"/>
  <c r="W24" i="19"/>
  <c r="H44" i="19" s="1"/>
  <c r="Q13" i="19"/>
  <c r="B33" i="19" s="1"/>
  <c r="AO13" i="19"/>
  <c r="Z33" i="19" s="1"/>
  <c r="V14" i="19"/>
  <c r="G34" i="19" s="1"/>
  <c r="AR16" i="19"/>
  <c r="AC36" i="19" s="1"/>
  <c r="AF23" i="19"/>
  <c r="Q43" i="19" s="1"/>
  <c r="S13" i="19"/>
  <c r="D33" i="19" s="1"/>
  <c r="AQ13" i="19"/>
  <c r="AB33" i="19" s="1"/>
  <c r="X12" i="19"/>
  <c r="I32" i="19" s="1"/>
  <c r="AR12" i="19"/>
  <c r="AC32" i="19" s="1"/>
  <c r="W13" i="19"/>
  <c r="H33" i="19" s="1"/>
  <c r="AF14" i="19"/>
  <c r="Q34" i="19" s="1"/>
  <c r="AE15" i="19"/>
  <c r="P35" i="19" s="1"/>
  <c r="AD16" i="19"/>
  <c r="O36" i="19" s="1"/>
  <c r="A80" i="19"/>
  <c r="A68" i="19"/>
  <c r="A67" i="19"/>
  <c r="Y13" i="19"/>
  <c r="J33" i="19" s="1"/>
  <c r="AB12" i="19"/>
  <c r="M32" i="19" s="1"/>
  <c r="AA13" i="19"/>
  <c r="L33" i="19" s="1"/>
  <c r="AR24" i="19"/>
  <c r="AC44" i="19" s="1"/>
  <c r="A62" i="19"/>
  <c r="A74" i="19"/>
  <c r="A75" i="19"/>
  <c r="AE13" i="19"/>
  <c r="P33" i="19" s="1"/>
  <c r="AK24" i="19"/>
  <c r="V44" i="19" s="1"/>
  <c r="AC24" i="19"/>
  <c r="N44" i="19" s="1"/>
  <c r="U24" i="19"/>
  <c r="F44" i="19" s="1"/>
  <c r="Q24" i="19"/>
  <c r="B44" i="19" s="1"/>
  <c r="AO24" i="19"/>
  <c r="Z44" i="19" s="1"/>
  <c r="Y24" i="19"/>
  <c r="J44" i="19" s="1"/>
  <c r="AG24" i="19"/>
  <c r="R44" i="19" s="1"/>
  <c r="AQ119" i="19"/>
  <c r="AB139" i="19" s="1"/>
  <c r="AI119" i="19"/>
  <c r="T139" i="19" s="1"/>
  <c r="AA119" i="19"/>
  <c r="L139" i="19" s="1"/>
  <c r="S119" i="19"/>
  <c r="D139" i="19" s="1"/>
  <c r="AM119" i="19"/>
  <c r="X139" i="19" s="1"/>
  <c r="AD119" i="19"/>
  <c r="O139" i="19" s="1"/>
  <c r="U119" i="19"/>
  <c r="F139" i="19" s="1"/>
  <c r="AL119" i="19"/>
  <c r="W139" i="19" s="1"/>
  <c r="AC119" i="19"/>
  <c r="N139" i="19" s="1"/>
  <c r="T119" i="19"/>
  <c r="E139" i="19" s="1"/>
  <c r="AK119" i="19"/>
  <c r="V139" i="19" s="1"/>
  <c r="AB119" i="19"/>
  <c r="M139" i="19" s="1"/>
  <c r="R119" i="19"/>
  <c r="C139" i="19" s="1"/>
  <c r="AJ119" i="19"/>
  <c r="U139" i="19" s="1"/>
  <c r="Z119" i="19"/>
  <c r="K139" i="19" s="1"/>
  <c r="Q119" i="19"/>
  <c r="B139" i="19" s="1"/>
  <c r="AP119" i="19"/>
  <c r="AA139" i="19" s="1"/>
  <c r="AO119" i="19"/>
  <c r="Z139" i="19" s="1"/>
  <c r="AF119" i="19"/>
  <c r="Q139" i="19" s="1"/>
  <c r="W119" i="19"/>
  <c r="H139" i="19" s="1"/>
  <c r="AN119" i="19"/>
  <c r="Y139" i="19" s="1"/>
  <c r="AE119" i="19"/>
  <c r="P139" i="19" s="1"/>
  <c r="V119" i="19"/>
  <c r="G139" i="19" s="1"/>
  <c r="AR119" i="19"/>
  <c r="AC139" i="19" s="1"/>
  <c r="AH119" i="19"/>
  <c r="S139" i="19" s="1"/>
  <c r="AG119" i="19"/>
  <c r="R139" i="19" s="1"/>
  <c r="Y119" i="19"/>
  <c r="J139" i="19" s="1"/>
  <c r="X119" i="19"/>
  <c r="I139" i="19" s="1"/>
  <c r="AG13" i="19"/>
  <c r="R33" i="19" s="1"/>
  <c r="AD14" i="19"/>
  <c r="O34" i="19" s="1"/>
  <c r="AK14" i="19"/>
  <c r="V34" i="19" s="1"/>
  <c r="AC14" i="19"/>
  <c r="N34" i="19" s="1"/>
  <c r="U14" i="19"/>
  <c r="F34" i="19" s="1"/>
  <c r="AH14" i="19"/>
  <c r="S34" i="19" s="1"/>
  <c r="Z14" i="19"/>
  <c r="K34" i="19" s="1"/>
  <c r="AR14" i="19"/>
  <c r="AC34" i="19" s="1"/>
  <c r="AJ14" i="19"/>
  <c r="U34" i="19" s="1"/>
  <c r="AB14" i="19"/>
  <c r="M34" i="19" s="1"/>
  <c r="T14" i="19"/>
  <c r="E34" i="19" s="1"/>
  <c r="AQ14" i="19"/>
  <c r="AB34" i="19" s="1"/>
  <c r="AI14" i="19"/>
  <c r="T34" i="19" s="1"/>
  <c r="AA14" i="19"/>
  <c r="L34" i="19" s="1"/>
  <c r="S14" i="19"/>
  <c r="D34" i="19" s="1"/>
  <c r="AP14" i="19"/>
  <c r="AA34" i="19" s="1"/>
  <c r="AO14" i="19"/>
  <c r="Z34" i="19" s="1"/>
  <c r="AG14" i="19"/>
  <c r="R34" i="19" s="1"/>
  <c r="Y14" i="19"/>
  <c r="J34" i="19" s="1"/>
  <c r="Q14" i="19"/>
  <c r="B34" i="19" s="1"/>
  <c r="AM14" i="19"/>
  <c r="X34" i="19" s="1"/>
  <c r="AE14" i="19"/>
  <c r="P34" i="19" s="1"/>
  <c r="W14" i="19"/>
  <c r="H34" i="19" s="1"/>
  <c r="AL14" i="19"/>
  <c r="W34" i="19" s="1"/>
  <c r="AL23" i="19"/>
  <c r="W43" i="19" s="1"/>
  <c r="AD23" i="19"/>
  <c r="O43" i="19" s="1"/>
  <c r="V23" i="19"/>
  <c r="G43" i="19" s="1"/>
  <c r="AK23" i="19"/>
  <c r="V43" i="19" s="1"/>
  <c r="AC23" i="19"/>
  <c r="N43" i="19" s="1"/>
  <c r="U23" i="19"/>
  <c r="F43" i="19" s="1"/>
  <c r="AH23" i="19"/>
  <c r="S43" i="19" s="1"/>
  <c r="AR23" i="19"/>
  <c r="AC43" i="19" s="1"/>
  <c r="AJ23" i="19"/>
  <c r="U43" i="19" s="1"/>
  <c r="AB23" i="19"/>
  <c r="M43" i="19" s="1"/>
  <c r="T23" i="19"/>
  <c r="E43" i="19" s="1"/>
  <c r="AQ23" i="19"/>
  <c r="AB43" i="19" s="1"/>
  <c r="AI23" i="19"/>
  <c r="T43" i="19" s="1"/>
  <c r="AA23" i="19"/>
  <c r="L43" i="19" s="1"/>
  <c r="S23" i="19"/>
  <c r="D43" i="19" s="1"/>
  <c r="Z23" i="19"/>
  <c r="K43" i="19" s="1"/>
  <c r="AP23" i="19"/>
  <c r="AA43" i="19" s="1"/>
  <c r="R23" i="19"/>
  <c r="C43" i="19" s="1"/>
  <c r="AO23" i="19"/>
  <c r="Z43" i="19" s="1"/>
  <c r="AG23" i="19"/>
  <c r="R43" i="19" s="1"/>
  <c r="Y23" i="19"/>
  <c r="J43" i="19" s="1"/>
  <c r="Q23" i="19"/>
  <c r="B43" i="19" s="1"/>
  <c r="AM23" i="19"/>
  <c r="X43" i="19" s="1"/>
  <c r="AE23" i="19"/>
  <c r="P43" i="19" s="1"/>
  <c r="W23" i="19"/>
  <c r="H43" i="19" s="1"/>
  <c r="T16" i="19"/>
  <c r="E36" i="19" s="1"/>
  <c r="AJ16" i="19"/>
  <c r="U36" i="19" s="1"/>
  <c r="S17" i="19"/>
  <c r="D37" i="19" s="1"/>
  <c r="AI17" i="19"/>
  <c r="T37" i="19" s="1"/>
  <c r="R18" i="19"/>
  <c r="C38" i="19" s="1"/>
  <c r="AH18" i="19"/>
  <c r="S38" i="19" s="1"/>
  <c r="AP18" i="19"/>
  <c r="AA38" i="19" s="1"/>
  <c r="X13" i="19"/>
  <c r="I33" i="19" s="1"/>
  <c r="AF13" i="19"/>
  <c r="Q33" i="19" s="1"/>
  <c r="AN13" i="19"/>
  <c r="Y33" i="19" s="1"/>
  <c r="V15" i="19"/>
  <c r="G35" i="19" s="1"/>
  <c r="AD15" i="19"/>
  <c r="O35" i="19" s="1"/>
  <c r="AL15" i="19"/>
  <c r="W35" i="19" s="1"/>
  <c r="U16" i="19"/>
  <c r="F36" i="19" s="1"/>
  <c r="AC16" i="19"/>
  <c r="N36" i="19" s="1"/>
  <c r="AK16" i="19"/>
  <c r="V36" i="19" s="1"/>
  <c r="T17" i="19"/>
  <c r="E37" i="19" s="1"/>
  <c r="AB17" i="19"/>
  <c r="M37" i="19" s="1"/>
  <c r="AJ17" i="19"/>
  <c r="U37" i="19" s="1"/>
  <c r="AR17" i="19"/>
  <c r="AC37" i="19" s="1"/>
  <c r="S18" i="19"/>
  <c r="D38" i="19" s="1"/>
  <c r="AA18" i="19"/>
  <c r="L38" i="19" s="1"/>
  <c r="AI18" i="19"/>
  <c r="T38" i="19" s="1"/>
  <c r="AQ18" i="19"/>
  <c r="AB38" i="19" s="1"/>
  <c r="AH19" i="19"/>
  <c r="S39" i="19" s="1"/>
  <c r="AP19" i="19"/>
  <c r="AA39" i="19" s="1"/>
  <c r="Q20" i="19"/>
  <c r="B40" i="19" s="1"/>
  <c r="Y20" i="19"/>
  <c r="J40" i="19" s="1"/>
  <c r="AG20" i="19"/>
  <c r="R40" i="19" s="1"/>
  <c r="AO20" i="19"/>
  <c r="Z40" i="19" s="1"/>
  <c r="X22" i="19"/>
  <c r="I42" i="19" s="1"/>
  <c r="AF22" i="19"/>
  <c r="Q42" i="19" s="1"/>
  <c r="AN22" i="19"/>
  <c r="Y42" i="19" s="1"/>
  <c r="V24" i="19"/>
  <c r="G44" i="19" s="1"/>
  <c r="AD24" i="19"/>
  <c r="O44" i="19" s="1"/>
  <c r="AL24" i="19"/>
  <c r="W44" i="19" s="1"/>
  <c r="U25" i="19"/>
  <c r="AC25" i="19"/>
  <c r="AK25" i="19"/>
  <c r="T26" i="19"/>
  <c r="AB26" i="19"/>
  <c r="AJ26" i="19"/>
  <c r="AR26" i="19"/>
  <c r="S27" i="19"/>
  <c r="D47" i="19" s="1"/>
  <c r="AA27" i="19"/>
  <c r="L47" i="19" s="1"/>
  <c r="AI27" i="19"/>
  <c r="T47" i="19" s="1"/>
  <c r="AQ27" i="19"/>
  <c r="AB47" i="19" s="1"/>
  <c r="A76" i="19"/>
  <c r="T11" i="19"/>
  <c r="E31" i="19" s="1"/>
  <c r="AB11" i="19"/>
  <c r="M31" i="19" s="1"/>
  <c r="AJ11" i="19"/>
  <c r="U31" i="19" s="1"/>
  <c r="AR11" i="19"/>
  <c r="AC31" i="19" s="1"/>
  <c r="R13" i="19"/>
  <c r="C33" i="19" s="1"/>
  <c r="Z13" i="19"/>
  <c r="K33" i="19" s="1"/>
  <c r="AH13" i="19"/>
  <c r="S33" i="19" s="1"/>
  <c r="AP13" i="19"/>
  <c r="AA33" i="19" s="1"/>
  <c r="X15" i="19"/>
  <c r="I35" i="19" s="1"/>
  <c r="AF15" i="19"/>
  <c r="Q35" i="19" s="1"/>
  <c r="AN15" i="19"/>
  <c r="Y35" i="19" s="1"/>
  <c r="W16" i="19"/>
  <c r="H36" i="19" s="1"/>
  <c r="AE16" i="19"/>
  <c r="P36" i="19" s="1"/>
  <c r="AM16" i="19"/>
  <c r="X36" i="19" s="1"/>
  <c r="V17" i="19"/>
  <c r="G37" i="19" s="1"/>
  <c r="AD17" i="19"/>
  <c r="O37" i="19" s="1"/>
  <c r="AL17" i="19"/>
  <c r="W37" i="19" s="1"/>
  <c r="U18" i="19"/>
  <c r="F38" i="19" s="1"/>
  <c r="AC18" i="19"/>
  <c r="N38" i="19" s="1"/>
  <c r="AK18" i="19"/>
  <c r="V38" i="19" s="1"/>
  <c r="T19" i="19"/>
  <c r="E39" i="19" s="1"/>
  <c r="AB19" i="19"/>
  <c r="M39" i="19" s="1"/>
  <c r="AJ19" i="19"/>
  <c r="U39" i="19" s="1"/>
  <c r="AR19" i="19"/>
  <c r="AC39" i="19" s="1"/>
  <c r="S20" i="19"/>
  <c r="D40" i="19" s="1"/>
  <c r="AA20" i="19"/>
  <c r="L40" i="19" s="1"/>
  <c r="AI20" i="19"/>
  <c r="T40" i="19" s="1"/>
  <c r="AQ20" i="19"/>
  <c r="AB40" i="19" s="1"/>
  <c r="R22" i="19"/>
  <c r="C42" i="19" s="1"/>
  <c r="Z22" i="19"/>
  <c r="K42" i="19" s="1"/>
  <c r="AH22" i="19"/>
  <c r="S42" i="19" s="1"/>
  <c r="AP22" i="19"/>
  <c r="AA42" i="19" s="1"/>
  <c r="X24" i="19"/>
  <c r="I44" i="19" s="1"/>
  <c r="AF24" i="19"/>
  <c r="Q44" i="19" s="1"/>
  <c r="AN24" i="19"/>
  <c r="Y44" i="19" s="1"/>
  <c r="W25" i="19"/>
  <c r="AE25" i="19"/>
  <c r="AM25" i="19"/>
  <c r="V26" i="19"/>
  <c r="AD26" i="19"/>
  <c r="AL26" i="19"/>
  <c r="U27" i="19"/>
  <c r="F47" i="19" s="1"/>
  <c r="AC27" i="19"/>
  <c r="N47" i="19" s="1"/>
  <c r="AK27" i="19"/>
  <c r="V47" i="19" s="1"/>
  <c r="AN25" i="19"/>
  <c r="W26" i="19"/>
  <c r="AE26" i="19"/>
  <c r="AM26" i="19"/>
  <c r="AL27" i="19"/>
  <c r="W47" i="19" s="1"/>
  <c r="A78" i="19"/>
  <c r="A66" i="19"/>
  <c r="AF16" i="19"/>
  <c r="Q36" i="19" s="1"/>
  <c r="AM17" i="19"/>
  <c r="X37" i="19" s="1"/>
  <c r="AD18" i="19"/>
  <c r="O38" i="19" s="1"/>
  <c r="X25" i="19"/>
  <c r="AF25" i="19"/>
  <c r="V11" i="19"/>
  <c r="G31" i="19" s="1"/>
  <c r="AD11" i="19"/>
  <c r="O31" i="19" s="1"/>
  <c r="T13" i="19"/>
  <c r="E33" i="19" s="1"/>
  <c r="AB13" i="19"/>
  <c r="M33" i="19" s="1"/>
  <c r="AJ13" i="19"/>
  <c r="U33" i="19" s="1"/>
  <c r="AR13" i="19"/>
  <c r="AC33" i="19" s="1"/>
  <c r="R15" i="19"/>
  <c r="C35" i="19" s="1"/>
  <c r="Z15" i="19"/>
  <c r="K35" i="19" s="1"/>
  <c r="AH15" i="19"/>
  <c r="S35" i="19" s="1"/>
  <c r="AP15" i="19"/>
  <c r="AA35" i="19" s="1"/>
  <c r="Q16" i="19"/>
  <c r="B36" i="19" s="1"/>
  <c r="Y16" i="19"/>
  <c r="J36" i="19" s="1"/>
  <c r="AG16" i="19"/>
  <c r="R36" i="19" s="1"/>
  <c r="AO16" i="19"/>
  <c r="Z36" i="19" s="1"/>
  <c r="X17" i="19"/>
  <c r="I37" i="19" s="1"/>
  <c r="AF17" i="19"/>
  <c r="Q37" i="19" s="1"/>
  <c r="AN17" i="19"/>
  <c r="Y37" i="19" s="1"/>
  <c r="W18" i="19"/>
  <c r="H38" i="19" s="1"/>
  <c r="AE18" i="19"/>
  <c r="P38" i="19" s="1"/>
  <c r="AM18" i="19"/>
  <c r="X38" i="19" s="1"/>
  <c r="V19" i="19"/>
  <c r="G39" i="19" s="1"/>
  <c r="AD19" i="19"/>
  <c r="O39" i="19" s="1"/>
  <c r="U20" i="19"/>
  <c r="F40" i="19" s="1"/>
  <c r="AC20" i="19"/>
  <c r="N40" i="19" s="1"/>
  <c r="AK20" i="19"/>
  <c r="V40" i="19" s="1"/>
  <c r="T22" i="19"/>
  <c r="E42" i="19" s="1"/>
  <c r="AB22" i="19"/>
  <c r="M42" i="19" s="1"/>
  <c r="AJ22" i="19"/>
  <c r="U42" i="19" s="1"/>
  <c r="AR22" i="19"/>
  <c r="AC42" i="19" s="1"/>
  <c r="R24" i="19"/>
  <c r="C44" i="19" s="1"/>
  <c r="Z24" i="19"/>
  <c r="K44" i="19" s="1"/>
  <c r="AH24" i="19"/>
  <c r="S44" i="19" s="1"/>
  <c r="AP24" i="19"/>
  <c r="AA44" i="19" s="1"/>
  <c r="Q25" i="19"/>
  <c r="Y25" i="19"/>
  <c r="AG25" i="19"/>
  <c r="AO25" i="19"/>
  <c r="X26" i="19"/>
  <c r="AF26" i="19"/>
  <c r="AN26" i="19"/>
  <c r="W27" i="19"/>
  <c r="H47" i="19" s="1"/>
  <c r="AE27" i="19"/>
  <c r="P47" i="19" s="1"/>
  <c r="AM27" i="19"/>
  <c r="X47" i="19" s="1"/>
  <c r="AK121" i="19"/>
  <c r="V141" i="19" s="1"/>
  <c r="AB121" i="19"/>
  <c r="M141" i="19" s="1"/>
  <c r="S121" i="19"/>
  <c r="D141" i="19" s="1"/>
  <c r="AJ121" i="19"/>
  <c r="U141" i="19" s="1"/>
  <c r="AA121" i="19"/>
  <c r="L141" i="19" s="1"/>
  <c r="R121" i="19"/>
  <c r="C141" i="19" s="1"/>
  <c r="AQ121" i="19"/>
  <c r="AB141" i="19" s="1"/>
  <c r="AH121" i="19"/>
  <c r="S141" i="19" s="1"/>
  <c r="X121" i="19"/>
  <c r="I141" i="19" s="1"/>
  <c r="AN121" i="19"/>
  <c r="Y141" i="19" s="1"/>
  <c r="AE121" i="19"/>
  <c r="P141" i="19" s="1"/>
  <c r="V121" i="19"/>
  <c r="G141" i="19" s="1"/>
  <c r="AM121" i="19"/>
  <c r="X141" i="19" s="1"/>
  <c r="AD121" i="19"/>
  <c r="O141" i="19" s="1"/>
  <c r="U121" i="19"/>
  <c r="F141" i="19" s="1"/>
  <c r="AL121" i="19"/>
  <c r="W141" i="19" s="1"/>
  <c r="AC121" i="19"/>
  <c r="N141" i="19" s="1"/>
  <c r="T121" i="19"/>
  <c r="E141" i="19" s="1"/>
  <c r="AD27" i="19"/>
  <c r="O47" i="19" s="1"/>
  <c r="W11" i="19"/>
  <c r="H31" i="19" s="1"/>
  <c r="AE11" i="19"/>
  <c r="P31" i="19" s="1"/>
  <c r="AM11" i="19"/>
  <c r="X31" i="19" s="1"/>
  <c r="U13" i="19"/>
  <c r="F33" i="19" s="1"/>
  <c r="AC13" i="19"/>
  <c r="N33" i="19" s="1"/>
  <c r="AK13" i="19"/>
  <c r="V33" i="19" s="1"/>
  <c r="S15" i="19"/>
  <c r="D35" i="19" s="1"/>
  <c r="AA15" i="19"/>
  <c r="L35" i="19" s="1"/>
  <c r="AI15" i="19"/>
  <c r="T35" i="19" s="1"/>
  <c r="R16" i="19"/>
  <c r="C36" i="19" s="1"/>
  <c r="Z16" i="19"/>
  <c r="K36" i="19" s="1"/>
  <c r="AH16" i="19"/>
  <c r="S36" i="19" s="1"/>
  <c r="AP16" i="19"/>
  <c r="AA36" i="19" s="1"/>
  <c r="Q17" i="19"/>
  <c r="B37" i="19" s="1"/>
  <c r="Y17" i="19"/>
  <c r="J37" i="19" s="1"/>
  <c r="AG17" i="19"/>
  <c r="R37" i="19" s="1"/>
  <c r="AO17" i="19"/>
  <c r="Z37" i="19" s="1"/>
  <c r="X18" i="19"/>
  <c r="I38" i="19" s="1"/>
  <c r="AF18" i="19"/>
  <c r="Q38" i="19" s="1"/>
  <c r="W19" i="19"/>
  <c r="H39" i="19" s="1"/>
  <c r="AE19" i="19"/>
  <c r="P39" i="19" s="1"/>
  <c r="AM19" i="19"/>
  <c r="X39" i="19" s="1"/>
  <c r="V20" i="19"/>
  <c r="G40" i="19" s="1"/>
  <c r="AD20" i="19"/>
  <c r="O40" i="19" s="1"/>
  <c r="AL20" i="19"/>
  <c r="W40" i="19" s="1"/>
  <c r="U22" i="19"/>
  <c r="F42" i="19" s="1"/>
  <c r="AC22" i="19"/>
  <c r="N42" i="19" s="1"/>
  <c r="AK22" i="19"/>
  <c r="V42" i="19" s="1"/>
  <c r="S24" i="19"/>
  <c r="D44" i="19" s="1"/>
  <c r="AA24" i="19"/>
  <c r="L44" i="19" s="1"/>
  <c r="AI24" i="19"/>
  <c r="T44" i="19" s="1"/>
  <c r="R25" i="19"/>
  <c r="Z25" i="19"/>
  <c r="AH25" i="19"/>
  <c r="AP25" i="19"/>
  <c r="Q26" i="19"/>
  <c r="Y26" i="19"/>
  <c r="AG26" i="19"/>
  <c r="AO26" i="19"/>
  <c r="X27" i="19"/>
  <c r="I47" i="19" s="1"/>
  <c r="AF27" i="19"/>
  <c r="Q47" i="19" s="1"/>
  <c r="X16" i="19"/>
  <c r="I36" i="19" s="1"/>
  <c r="AN16" i="19"/>
  <c r="Y36" i="19" s="1"/>
  <c r="AE17" i="19"/>
  <c r="P37" i="19" s="1"/>
  <c r="V18" i="19"/>
  <c r="G38" i="19" s="1"/>
  <c r="AL18" i="19"/>
  <c r="W38" i="19" s="1"/>
  <c r="X11" i="19"/>
  <c r="I31" i="19" s="1"/>
  <c r="AF11" i="19"/>
  <c r="Q31" i="19" s="1"/>
  <c r="V13" i="19"/>
  <c r="G33" i="19" s="1"/>
  <c r="AD13" i="19"/>
  <c r="O33" i="19" s="1"/>
  <c r="T15" i="19"/>
  <c r="E35" i="19" s="1"/>
  <c r="AB15" i="19"/>
  <c r="M35" i="19" s="1"/>
  <c r="AJ15" i="19"/>
  <c r="U35" i="19" s="1"/>
  <c r="S16" i="19"/>
  <c r="D36" i="19" s="1"/>
  <c r="AA16" i="19"/>
  <c r="L36" i="19" s="1"/>
  <c r="AI16" i="19"/>
  <c r="T36" i="19" s="1"/>
  <c r="AQ16" i="19"/>
  <c r="AB36" i="19" s="1"/>
  <c r="R17" i="19"/>
  <c r="C37" i="19" s="1"/>
  <c r="Z17" i="19"/>
  <c r="K37" i="19" s="1"/>
  <c r="AH17" i="19"/>
  <c r="S37" i="19" s="1"/>
  <c r="Q18" i="19"/>
  <c r="B38" i="19" s="1"/>
  <c r="Y18" i="19"/>
  <c r="J38" i="19" s="1"/>
  <c r="AG18" i="19"/>
  <c r="R38" i="19" s="1"/>
  <c r="AO18" i="19"/>
  <c r="Z38" i="19" s="1"/>
  <c r="X19" i="19"/>
  <c r="I39" i="19" s="1"/>
  <c r="AF19" i="19"/>
  <c r="Q39" i="19" s="1"/>
  <c r="W20" i="19"/>
  <c r="H40" i="19" s="1"/>
  <c r="AE20" i="19"/>
  <c r="P40" i="19" s="1"/>
  <c r="AM20" i="19"/>
  <c r="X40" i="19" s="1"/>
  <c r="V22" i="19"/>
  <c r="G42" i="19" s="1"/>
  <c r="AD22" i="19"/>
  <c r="O42" i="19" s="1"/>
  <c r="T24" i="19"/>
  <c r="E44" i="19" s="1"/>
  <c r="AB24" i="19"/>
  <c r="M44" i="19" s="1"/>
  <c r="AJ24" i="19"/>
  <c r="U44" i="19" s="1"/>
  <c r="S25" i="19"/>
  <c r="AA25" i="19"/>
  <c r="AI25" i="19"/>
  <c r="AQ25" i="19"/>
  <c r="R26" i="19"/>
  <c r="Z26" i="19"/>
  <c r="AH26" i="19"/>
  <c r="Q27" i="19"/>
  <c r="B47" i="19" s="1"/>
  <c r="Y27" i="19"/>
  <c r="J47" i="19" s="1"/>
  <c r="AG27" i="19"/>
  <c r="R47" i="19" s="1"/>
  <c r="AO27" i="19"/>
  <c r="Z47" i="19" s="1"/>
  <c r="AB16" i="19"/>
  <c r="M36" i="19" s="1"/>
  <c r="AA17" i="19"/>
  <c r="L37" i="19" s="1"/>
  <c r="X20" i="19"/>
  <c r="I40" i="19" s="1"/>
  <c r="AF20" i="19"/>
  <c r="Q40" i="19" s="1"/>
  <c r="W22" i="19"/>
  <c r="H42" i="19" s="1"/>
  <c r="AE22" i="19"/>
  <c r="P42" i="19" s="1"/>
  <c r="T25" i="19"/>
  <c r="AB25" i="19"/>
  <c r="AJ25" i="19"/>
  <c r="S26" i="19"/>
  <c r="AA26" i="19"/>
  <c r="AI26" i="19"/>
  <c r="R27" i="19"/>
  <c r="C47" i="19" s="1"/>
  <c r="Z27" i="19"/>
  <c r="K47" i="19" s="1"/>
  <c r="AH27" i="19"/>
  <c r="S47" i="19" s="1"/>
  <c r="A81" i="19"/>
  <c r="A69" i="19"/>
  <c r="AK117" i="19"/>
  <c r="V137" i="19" s="1"/>
  <c r="AC117" i="19"/>
  <c r="N137" i="19" s="1"/>
  <c r="U117" i="19"/>
  <c r="F137" i="19" s="1"/>
  <c r="Y117" i="19"/>
  <c r="J137" i="19" s="1"/>
  <c r="AH117" i="19"/>
  <c r="S137" i="19" s="1"/>
  <c r="AQ117" i="19"/>
  <c r="AB137" i="19" s="1"/>
  <c r="R118" i="19"/>
  <c r="C138" i="19" s="1"/>
  <c r="AA118" i="19"/>
  <c r="L138" i="19" s="1"/>
  <c r="AK118" i="19"/>
  <c r="V138" i="19" s="1"/>
  <c r="AP120" i="19"/>
  <c r="AA140" i="19" s="1"/>
  <c r="AH120" i="19"/>
  <c r="S140" i="19" s="1"/>
  <c r="Z120" i="19"/>
  <c r="K140" i="19" s="1"/>
  <c r="R120" i="19"/>
  <c r="C140" i="19" s="1"/>
  <c r="Y120" i="19"/>
  <c r="J140" i="19" s="1"/>
  <c r="AI120" i="19"/>
  <c r="T140" i="19" s="1"/>
  <c r="AR120" i="19"/>
  <c r="AC140" i="19" s="1"/>
  <c r="AR122" i="19"/>
  <c r="AC142" i="19" s="1"/>
  <c r="AJ122" i="19"/>
  <c r="U142" i="19" s="1"/>
  <c r="AB122" i="19"/>
  <c r="M142" i="19" s="1"/>
  <c r="T122" i="19"/>
  <c r="E142" i="19" s="1"/>
  <c r="AO122" i="19"/>
  <c r="Z142" i="19" s="1"/>
  <c r="AG122" i="19"/>
  <c r="R142" i="19" s="1"/>
  <c r="Y122" i="19"/>
  <c r="J142" i="19" s="1"/>
  <c r="Q122" i="19"/>
  <c r="B142" i="19" s="1"/>
  <c r="Z122" i="19"/>
  <c r="K142" i="19" s="1"/>
  <c r="AL122" i="19"/>
  <c r="W142" i="19" s="1"/>
  <c r="AQ123" i="19"/>
  <c r="AB143" i="19" s="1"/>
  <c r="AB123" i="19"/>
  <c r="M143" i="19" s="1"/>
  <c r="AO123" i="19"/>
  <c r="Z143" i="19" s="1"/>
  <c r="Q124" i="19"/>
  <c r="B144" i="19" s="1"/>
  <c r="AC124" i="19"/>
  <c r="N144" i="19" s="1"/>
  <c r="AQ124" i="19"/>
  <c r="AB144" i="19" s="1"/>
  <c r="S125" i="19"/>
  <c r="D145" i="19" s="1"/>
  <c r="AF125" i="19"/>
  <c r="Q145" i="19" s="1"/>
  <c r="AR125" i="19"/>
  <c r="AC145" i="19" s="1"/>
  <c r="S126" i="19"/>
  <c r="D146" i="19" s="1"/>
  <c r="AG126" i="19"/>
  <c r="R146" i="19" s="1"/>
  <c r="V128" i="19"/>
  <c r="G148" i="19" s="1"/>
  <c r="AH128" i="19"/>
  <c r="S148" i="19" s="1"/>
  <c r="Y129" i="19"/>
  <c r="J149" i="19" s="1"/>
  <c r="AM129" i="19"/>
  <c r="X149" i="19" s="1"/>
  <c r="AK130" i="19"/>
  <c r="V150" i="19" s="1"/>
  <c r="AC130" i="19"/>
  <c r="N150" i="19" s="1"/>
  <c r="U130" i="19"/>
  <c r="F150" i="19" s="1"/>
  <c r="AP130" i="19"/>
  <c r="AA150" i="19" s="1"/>
  <c r="AH130" i="19"/>
  <c r="S150" i="19" s="1"/>
  <c r="Z130" i="19"/>
  <c r="K150" i="19" s="1"/>
  <c r="R130" i="19"/>
  <c r="C150" i="19" s="1"/>
  <c r="AO130" i="19"/>
  <c r="Z150" i="19" s="1"/>
  <c r="AG130" i="19"/>
  <c r="R150" i="19" s="1"/>
  <c r="Y130" i="19"/>
  <c r="J150" i="19" s="1"/>
  <c r="Q130" i="19"/>
  <c r="B150" i="19" s="1"/>
  <c r="AD130" i="19"/>
  <c r="O150" i="19" s="1"/>
  <c r="AQ130" i="19"/>
  <c r="AB150" i="19" s="1"/>
  <c r="AK132" i="19"/>
  <c r="AC132" i="19"/>
  <c r="U132" i="19"/>
  <c r="AO132" i="19"/>
  <c r="AG132" i="19"/>
  <c r="Y132" i="19"/>
  <c r="Q132" i="19"/>
  <c r="AD132" i="19"/>
  <c r="Q117" i="19"/>
  <c r="B137" i="19" s="1"/>
  <c r="Z117" i="19"/>
  <c r="K137" i="19" s="1"/>
  <c r="AI117" i="19"/>
  <c r="T137" i="19" s="1"/>
  <c r="AR117" i="19"/>
  <c r="AC137" i="19" s="1"/>
  <c r="S118" i="19"/>
  <c r="D138" i="19" s="1"/>
  <c r="AC118" i="19"/>
  <c r="N138" i="19" s="1"/>
  <c r="AL118" i="19"/>
  <c r="W138" i="19" s="1"/>
  <c r="Q120" i="19"/>
  <c r="B140" i="19" s="1"/>
  <c r="AA120" i="19"/>
  <c r="L140" i="19" s="1"/>
  <c r="AJ120" i="19"/>
  <c r="U140" i="19" s="1"/>
  <c r="AA122" i="19"/>
  <c r="L142" i="19" s="1"/>
  <c r="AM122" i="19"/>
  <c r="X142" i="19" s="1"/>
  <c r="Q123" i="19"/>
  <c r="B143" i="19" s="1"/>
  <c r="AC123" i="19"/>
  <c r="N143" i="19" s="1"/>
  <c r="AP123" i="19"/>
  <c r="AA143" i="19" s="1"/>
  <c r="S124" i="19"/>
  <c r="D144" i="19" s="1"/>
  <c r="AF124" i="19"/>
  <c r="Q144" i="19" s="1"/>
  <c r="AR124" i="19"/>
  <c r="AC144" i="19" s="1"/>
  <c r="T125" i="19"/>
  <c r="E145" i="19" s="1"/>
  <c r="AH125" i="19"/>
  <c r="S145" i="19" s="1"/>
  <c r="V126" i="19"/>
  <c r="G146" i="19" s="1"/>
  <c r="AH126" i="19"/>
  <c r="S146" i="19" s="1"/>
  <c r="X128" i="19"/>
  <c r="I148" i="19" s="1"/>
  <c r="AK128" i="19"/>
  <c r="V148" i="19" s="1"/>
  <c r="AB129" i="19"/>
  <c r="M149" i="19" s="1"/>
  <c r="S130" i="19"/>
  <c r="D150" i="19" s="1"/>
  <c r="AE130" i="19"/>
  <c r="P150" i="19" s="1"/>
  <c r="AR130" i="19"/>
  <c r="AC150" i="19" s="1"/>
  <c r="AH132" i="19"/>
  <c r="A169" i="19"/>
  <c r="A181" i="19"/>
  <c r="A280" i="19"/>
  <c r="A292" i="19"/>
  <c r="W125" i="19"/>
  <c r="H145" i="19" s="1"/>
  <c r="AI125" i="19"/>
  <c r="T145" i="19" s="1"/>
  <c r="W126" i="19"/>
  <c r="H146" i="19" s="1"/>
  <c r="AI126" i="19"/>
  <c r="T146" i="19" s="1"/>
  <c r="Y128" i="19"/>
  <c r="J148" i="19" s="1"/>
  <c r="AL128" i="19"/>
  <c r="W148" i="19" s="1"/>
  <c r="AL129" i="19"/>
  <c r="W149" i="19" s="1"/>
  <c r="AD129" i="19"/>
  <c r="O149" i="19" s="1"/>
  <c r="V129" i="19"/>
  <c r="G149" i="19" s="1"/>
  <c r="AQ129" i="19"/>
  <c r="AB149" i="19" s="1"/>
  <c r="AI129" i="19"/>
  <c r="T149" i="19" s="1"/>
  <c r="AA129" i="19"/>
  <c r="L149" i="19" s="1"/>
  <c r="S129" i="19"/>
  <c r="D149" i="19" s="1"/>
  <c r="AP129" i="19"/>
  <c r="AA149" i="19" s="1"/>
  <c r="AH129" i="19"/>
  <c r="S149" i="19" s="1"/>
  <c r="Z129" i="19"/>
  <c r="K149" i="19" s="1"/>
  <c r="R129" i="19"/>
  <c r="C149" i="19" s="1"/>
  <c r="AC129" i="19"/>
  <c r="N149" i="19" s="1"/>
  <c r="AO129" i="19"/>
  <c r="Z149" i="19" s="1"/>
  <c r="T130" i="19"/>
  <c r="E150" i="19" s="1"/>
  <c r="AF130" i="19"/>
  <c r="Q150" i="19" s="1"/>
  <c r="A171" i="19"/>
  <c r="A183" i="19"/>
  <c r="A172" i="19"/>
  <c r="A184" i="19"/>
  <c r="Y126" i="19"/>
  <c r="J146" i="19" s="1"/>
  <c r="AL126" i="19"/>
  <c r="W146" i="19" s="1"/>
  <c r="A174" i="19"/>
  <c r="A186" i="19"/>
  <c r="T117" i="19"/>
  <c r="E137" i="19" s="1"/>
  <c r="AD117" i="19"/>
  <c r="O137" i="19" s="1"/>
  <c r="AM117" i="19"/>
  <c r="X137" i="19" s="1"/>
  <c r="W118" i="19"/>
  <c r="H138" i="19" s="1"/>
  <c r="AF118" i="19"/>
  <c r="Q138" i="19" s="1"/>
  <c r="AO118" i="19"/>
  <c r="Z138" i="19" s="1"/>
  <c r="U120" i="19"/>
  <c r="F140" i="19" s="1"/>
  <c r="AD120" i="19"/>
  <c r="O140" i="19" s="1"/>
  <c r="AM120" i="19"/>
  <c r="X140" i="19" s="1"/>
  <c r="S122" i="19"/>
  <c r="D142" i="19" s="1"/>
  <c r="AE122" i="19"/>
  <c r="P142" i="19" s="1"/>
  <c r="U123" i="19"/>
  <c r="F143" i="19" s="1"/>
  <c r="AH123" i="19"/>
  <c r="S143" i="19" s="1"/>
  <c r="X124" i="19"/>
  <c r="I144" i="19" s="1"/>
  <c r="AJ124" i="19"/>
  <c r="U144" i="19" s="1"/>
  <c r="Z125" i="19"/>
  <c r="K145" i="19" s="1"/>
  <c r="AM125" i="19"/>
  <c r="X145" i="19" s="1"/>
  <c r="Z126" i="19"/>
  <c r="K146" i="19" s="1"/>
  <c r="AM126" i="19"/>
  <c r="X146" i="19" s="1"/>
  <c r="AM128" i="19"/>
  <c r="X148" i="19" s="1"/>
  <c r="AE128" i="19"/>
  <c r="P148" i="19" s="1"/>
  <c r="W128" i="19"/>
  <c r="H148" i="19" s="1"/>
  <c r="AR128" i="19"/>
  <c r="AC148" i="19" s="1"/>
  <c r="AJ128" i="19"/>
  <c r="U148" i="19" s="1"/>
  <c r="AB128" i="19"/>
  <c r="M148" i="19" s="1"/>
  <c r="T128" i="19"/>
  <c r="E148" i="19" s="1"/>
  <c r="AQ128" i="19"/>
  <c r="AB148" i="19" s="1"/>
  <c r="AI128" i="19"/>
  <c r="T148" i="19" s="1"/>
  <c r="AA128" i="19"/>
  <c r="L148" i="19" s="1"/>
  <c r="S128" i="19"/>
  <c r="D148" i="19" s="1"/>
  <c r="AC128" i="19"/>
  <c r="N148" i="19" s="1"/>
  <c r="AO128" i="19"/>
  <c r="Z148" i="19" s="1"/>
  <c r="T129" i="19"/>
  <c r="E149" i="19" s="1"/>
  <c r="AF129" i="19"/>
  <c r="Q149" i="19" s="1"/>
  <c r="W130" i="19"/>
  <c r="H150" i="19" s="1"/>
  <c r="AJ130" i="19"/>
  <c r="U150" i="19" s="1"/>
  <c r="AL131" i="19"/>
  <c r="AD131" i="19"/>
  <c r="AR131" i="19"/>
  <c r="AJ131" i="19"/>
  <c r="AB131" i="19"/>
  <c r="T131" i="19"/>
  <c r="AO131" i="19"/>
  <c r="AG131" i="19"/>
  <c r="Y131" i="19"/>
  <c r="Q131" i="19"/>
  <c r="Z131" i="19"/>
  <c r="AP131" i="19"/>
  <c r="T132" i="19"/>
  <c r="AP132" i="19"/>
  <c r="V117" i="19"/>
  <c r="G137" i="19" s="1"/>
  <c r="AE117" i="19"/>
  <c r="P137" i="19" s="1"/>
  <c r="AN117" i="19"/>
  <c r="Y137" i="19" s="1"/>
  <c r="X118" i="19"/>
  <c r="I138" i="19" s="1"/>
  <c r="AG118" i="19"/>
  <c r="R138" i="19" s="1"/>
  <c r="V120" i="19"/>
  <c r="G140" i="19" s="1"/>
  <c r="AE120" i="19"/>
  <c r="P140" i="19" s="1"/>
  <c r="AN120" i="19"/>
  <c r="Y140" i="19" s="1"/>
  <c r="AO121" i="19"/>
  <c r="Z141" i="19" s="1"/>
  <c r="AG121" i="19"/>
  <c r="R141" i="19" s="1"/>
  <c r="Y121" i="19"/>
  <c r="J141" i="19" s="1"/>
  <c r="Q121" i="19"/>
  <c r="B141" i="19" s="1"/>
  <c r="Z121" i="19"/>
  <c r="K141" i="19" s="1"/>
  <c r="AI121" i="19"/>
  <c r="T141" i="19" s="1"/>
  <c r="AR121" i="19"/>
  <c r="AC141" i="19" s="1"/>
  <c r="U122" i="19"/>
  <c r="F142" i="19" s="1"/>
  <c r="AH122" i="19"/>
  <c r="S142" i="19" s="1"/>
  <c r="V123" i="19"/>
  <c r="G143" i="19" s="1"/>
  <c r="AJ123" i="19"/>
  <c r="U143" i="19" s="1"/>
  <c r="Y124" i="19"/>
  <c r="J144" i="19" s="1"/>
  <c r="AK124" i="19"/>
  <c r="V144" i="19" s="1"/>
  <c r="AA125" i="19"/>
  <c r="L145" i="19" s="1"/>
  <c r="AN126" i="19"/>
  <c r="Y146" i="19" s="1"/>
  <c r="AA126" i="19"/>
  <c r="L146" i="19" s="1"/>
  <c r="AO126" i="19"/>
  <c r="Z146" i="19" s="1"/>
  <c r="Q128" i="19"/>
  <c r="B148" i="19" s="1"/>
  <c r="AD128" i="19"/>
  <c r="O148" i="19" s="1"/>
  <c r="AP128" i="19"/>
  <c r="AA148" i="19" s="1"/>
  <c r="U129" i="19"/>
  <c r="F149" i="19" s="1"/>
  <c r="AG129" i="19"/>
  <c r="R149" i="19" s="1"/>
  <c r="X130" i="19"/>
  <c r="I150" i="19" s="1"/>
  <c r="AL130" i="19"/>
  <c r="W150" i="19" s="1"/>
  <c r="AA131" i="19"/>
  <c r="AQ131" i="19"/>
  <c r="V132" i="19"/>
  <c r="AR132" i="19"/>
  <c r="A182" i="19"/>
  <c r="A170" i="19"/>
  <c r="W117" i="19"/>
  <c r="H137" i="19" s="1"/>
  <c r="AF117" i="19"/>
  <c r="Q137" i="19" s="1"/>
  <c r="AO117" i="19"/>
  <c r="Z137" i="19" s="1"/>
  <c r="AR118" i="19"/>
  <c r="AC138" i="19" s="1"/>
  <c r="AJ118" i="19"/>
  <c r="U138" i="19" s="1"/>
  <c r="AB118" i="19"/>
  <c r="M138" i="19" s="1"/>
  <c r="T118" i="19"/>
  <c r="E138" i="19" s="1"/>
  <c r="Y118" i="19"/>
  <c r="J138" i="19" s="1"/>
  <c r="AH118" i="19"/>
  <c r="S138" i="19" s="1"/>
  <c r="AQ118" i="19"/>
  <c r="AB138" i="19" s="1"/>
  <c r="W120" i="19"/>
  <c r="H140" i="19" s="1"/>
  <c r="AF120" i="19"/>
  <c r="Q140" i="19" s="1"/>
  <c r="AO120" i="19"/>
  <c r="Z140" i="19" s="1"/>
  <c r="Y123" i="19"/>
  <c r="J143" i="19" s="1"/>
  <c r="AK123" i="19"/>
  <c r="V143" i="19" s="1"/>
  <c r="AO125" i="19"/>
  <c r="Z145" i="19" s="1"/>
  <c r="AG125" i="19"/>
  <c r="R145" i="19" s="1"/>
  <c r="Y125" i="19"/>
  <c r="J145" i="19" s="1"/>
  <c r="Q125" i="19"/>
  <c r="B145" i="19" s="1"/>
  <c r="AL125" i="19"/>
  <c r="W145" i="19" s="1"/>
  <c r="AD125" i="19"/>
  <c r="O145" i="19" s="1"/>
  <c r="V125" i="19"/>
  <c r="G145" i="19" s="1"/>
  <c r="AK125" i="19"/>
  <c r="V145" i="19" s="1"/>
  <c r="AC125" i="19"/>
  <c r="N145" i="19" s="1"/>
  <c r="U125" i="19"/>
  <c r="F145" i="19" s="1"/>
  <c r="AB125" i="19"/>
  <c r="M145" i="19" s="1"/>
  <c r="AP125" i="19"/>
  <c r="AA145" i="19" s="1"/>
  <c r="Q126" i="19"/>
  <c r="B146" i="19" s="1"/>
  <c r="AD126" i="19"/>
  <c r="O146" i="19" s="1"/>
  <c r="AP126" i="19"/>
  <c r="AA146" i="19" s="1"/>
  <c r="R128" i="19"/>
  <c r="C148" i="19" s="1"/>
  <c r="AF128" i="19"/>
  <c r="Q148" i="19" s="1"/>
  <c r="W129" i="19"/>
  <c r="H149" i="19" s="1"/>
  <c r="AJ129" i="19"/>
  <c r="U149" i="19" s="1"/>
  <c r="AA130" i="19"/>
  <c r="L150" i="19" s="1"/>
  <c r="AM130" i="19"/>
  <c r="X150" i="19" s="1"/>
  <c r="X117" i="19"/>
  <c r="I137" i="19" s="1"/>
  <c r="AG117" i="19"/>
  <c r="R137" i="19" s="1"/>
  <c r="Q118" i="19"/>
  <c r="B138" i="19" s="1"/>
  <c r="Z118" i="19"/>
  <c r="K138" i="19" s="1"/>
  <c r="AI118" i="19"/>
  <c r="T138" i="19" s="1"/>
  <c r="X120" i="19"/>
  <c r="I140" i="19" s="1"/>
  <c r="AG120" i="19"/>
  <c r="R140" i="19" s="1"/>
  <c r="Z123" i="19"/>
  <c r="K143" i="19" s="1"/>
  <c r="AP124" i="19"/>
  <c r="AA144" i="19" s="1"/>
  <c r="AH124" i="19"/>
  <c r="S144" i="19" s="1"/>
  <c r="Z124" i="19"/>
  <c r="K144" i="19" s="1"/>
  <c r="R124" i="19"/>
  <c r="C144" i="19" s="1"/>
  <c r="AM124" i="19"/>
  <c r="X144" i="19" s="1"/>
  <c r="AE124" i="19"/>
  <c r="P144" i="19" s="1"/>
  <c r="W124" i="19"/>
  <c r="H144" i="19" s="1"/>
  <c r="AL124" i="19"/>
  <c r="W144" i="19" s="1"/>
  <c r="AD124" i="19"/>
  <c r="O144" i="19" s="1"/>
  <c r="V124" i="19"/>
  <c r="G144" i="19" s="1"/>
  <c r="AB124" i="19"/>
  <c r="M144" i="19" s="1"/>
  <c r="AO124" i="19"/>
  <c r="Z144" i="19" s="1"/>
  <c r="R125" i="19"/>
  <c r="C145" i="19" s="1"/>
  <c r="AE125" i="19"/>
  <c r="P145" i="19" s="1"/>
  <c r="AQ125" i="19"/>
  <c r="AB145" i="19" s="1"/>
  <c r="R126" i="19"/>
  <c r="C146" i="19" s="1"/>
  <c r="AE126" i="19"/>
  <c r="P146" i="19" s="1"/>
  <c r="U128" i="19"/>
  <c r="F148" i="19" s="1"/>
  <c r="X129" i="19"/>
  <c r="I149" i="19" s="1"/>
  <c r="AK129" i="19"/>
  <c r="V149" i="19" s="1"/>
  <c r="AB130" i="19"/>
  <c r="M150" i="19" s="1"/>
  <c r="A185" i="19"/>
  <c r="A173" i="19"/>
  <c r="X122" i="19"/>
  <c r="I142" i="19" s="1"/>
  <c r="AF122" i="19"/>
  <c r="Q142" i="19" s="1"/>
  <c r="W123" i="19"/>
  <c r="H143" i="19" s="1"/>
  <c r="AE123" i="19"/>
  <c r="P143" i="19" s="1"/>
  <c r="AM123" i="19"/>
  <c r="X143" i="19" s="1"/>
  <c r="T126" i="19"/>
  <c r="E146" i="19" s="1"/>
  <c r="AB126" i="19"/>
  <c r="M146" i="19" s="1"/>
  <c r="AJ126" i="19"/>
  <c r="U146" i="19" s="1"/>
  <c r="AR126" i="19"/>
  <c r="AC146" i="19" s="1"/>
  <c r="X131" i="19"/>
  <c r="AF131" i="19"/>
  <c r="W132" i="19"/>
  <c r="AE132" i="19"/>
  <c r="AM132" i="19"/>
  <c r="V133" i="19"/>
  <c r="G153" i="19" s="1"/>
  <c r="AD133" i="19"/>
  <c r="O153" i="19" s="1"/>
  <c r="AL133" i="19"/>
  <c r="W153" i="19" s="1"/>
  <c r="A175" i="19"/>
  <c r="AD225" i="19"/>
  <c r="O245" i="19" s="1"/>
  <c r="AJ227" i="19"/>
  <c r="U247" i="19" s="1"/>
  <c r="W227" i="19"/>
  <c r="H247" i="19" s="1"/>
  <c r="AD241" i="19"/>
  <c r="O261" i="19" s="1"/>
  <c r="X123" i="19"/>
  <c r="I143" i="19" s="1"/>
  <c r="AF123" i="19"/>
  <c r="Q143" i="19" s="1"/>
  <c r="AN123" i="19"/>
  <c r="Y143" i="19" s="1"/>
  <c r="U126" i="19"/>
  <c r="F146" i="19" s="1"/>
  <c r="AC126" i="19"/>
  <c r="N146" i="19" s="1"/>
  <c r="AK126" i="19"/>
  <c r="V146" i="19" s="1"/>
  <c r="X132" i="19"/>
  <c r="AF132" i="19"/>
  <c r="AN132" i="19"/>
  <c r="W133" i="19"/>
  <c r="H153" i="19" s="1"/>
  <c r="AE133" i="19"/>
  <c r="P153" i="19" s="1"/>
  <c r="AM133" i="19"/>
  <c r="X153" i="19" s="1"/>
  <c r="AK225" i="19"/>
  <c r="V245" i="19" s="1"/>
  <c r="AL241" i="19"/>
  <c r="W261" i="19" s="1"/>
  <c r="AE241" i="19"/>
  <c r="P261" i="19" s="1"/>
  <c r="V241" i="19"/>
  <c r="G261" i="19" s="1"/>
  <c r="X133" i="19"/>
  <c r="I153" i="19" s="1"/>
  <c r="AF133" i="19"/>
  <c r="Q153" i="19" s="1"/>
  <c r="AN133" i="19"/>
  <c r="Y153" i="19" s="1"/>
  <c r="A168" i="19"/>
  <c r="AO233" i="19"/>
  <c r="Z253" i="19" s="1"/>
  <c r="AG233" i="19"/>
  <c r="R253" i="19" s="1"/>
  <c r="Y233" i="19"/>
  <c r="J253" i="19" s="1"/>
  <c r="Q233" i="19"/>
  <c r="B253" i="19" s="1"/>
  <c r="AR233" i="19"/>
  <c r="AC253" i="19" s="1"/>
  <c r="AJ233" i="19"/>
  <c r="U253" i="19" s="1"/>
  <c r="AB233" i="19"/>
  <c r="M253" i="19" s="1"/>
  <c r="T233" i="19"/>
  <c r="E253" i="19" s="1"/>
  <c r="AK233" i="19"/>
  <c r="V253" i="19" s="1"/>
  <c r="AD233" i="19"/>
  <c r="O253" i="19" s="1"/>
  <c r="AC233" i="19"/>
  <c r="N253" i="19" s="1"/>
  <c r="V233" i="19"/>
  <c r="G253" i="19" s="1"/>
  <c r="S123" i="19"/>
  <c r="D143" i="19" s="1"/>
  <c r="AA123" i="19"/>
  <c r="L143" i="19" s="1"/>
  <c r="AI123" i="19"/>
  <c r="T143" i="19" s="1"/>
  <c r="X126" i="19"/>
  <c r="I146" i="19" s="1"/>
  <c r="AF126" i="19"/>
  <c r="Q146" i="19" s="1"/>
  <c r="S132" i="19"/>
  <c r="AA132" i="19"/>
  <c r="AI132" i="19"/>
  <c r="R133" i="19"/>
  <c r="C153" i="19" s="1"/>
  <c r="Z133" i="19"/>
  <c r="K153" i="19" s="1"/>
  <c r="AH133" i="19"/>
  <c r="S153" i="19" s="1"/>
  <c r="AP133" i="19"/>
  <c r="AA153" i="19" s="1"/>
  <c r="A279" i="19"/>
  <c r="A291" i="19"/>
  <c r="AI133" i="19"/>
  <c r="T153" i="19" s="1"/>
  <c r="AQ133" i="19"/>
  <c r="AB153" i="19" s="1"/>
  <c r="AQ225" i="19"/>
  <c r="AB245" i="19" s="1"/>
  <c r="AI225" i="19"/>
  <c r="T245" i="19" s="1"/>
  <c r="AA225" i="19"/>
  <c r="L245" i="19" s="1"/>
  <c r="S225" i="19"/>
  <c r="D245" i="19" s="1"/>
  <c r="AM225" i="19"/>
  <c r="X245" i="19" s="1"/>
  <c r="AE225" i="19"/>
  <c r="P245" i="19" s="1"/>
  <c r="W225" i="19"/>
  <c r="H245" i="19" s="1"/>
  <c r="AJ225" i="19"/>
  <c r="U245" i="19" s="1"/>
  <c r="Y225" i="19"/>
  <c r="J245" i="19" s="1"/>
  <c r="AH225" i="19"/>
  <c r="S245" i="19" s="1"/>
  <c r="X225" i="19"/>
  <c r="I245" i="19" s="1"/>
  <c r="AR225" i="19"/>
  <c r="AC245" i="19" s="1"/>
  <c r="AG225" i="19"/>
  <c r="R245" i="19" s="1"/>
  <c r="V225" i="19"/>
  <c r="G245" i="19" s="1"/>
  <c r="AP225" i="19"/>
  <c r="AA245" i="19" s="1"/>
  <c r="AF225" i="19"/>
  <c r="Q245" i="19" s="1"/>
  <c r="U225" i="19"/>
  <c r="F245" i="19" s="1"/>
  <c r="AN225" i="19"/>
  <c r="Y245" i="19" s="1"/>
  <c r="AC225" i="19"/>
  <c r="N245" i="19" s="1"/>
  <c r="R225" i="19"/>
  <c r="C245" i="19" s="1"/>
  <c r="AL225" i="19"/>
  <c r="W245" i="19" s="1"/>
  <c r="AB225" i="19"/>
  <c r="M245" i="19" s="1"/>
  <c r="Q225" i="19"/>
  <c r="B245" i="19" s="1"/>
  <c r="T133" i="19"/>
  <c r="E153" i="19" s="1"/>
  <c r="AB133" i="19"/>
  <c r="M153" i="19" s="1"/>
  <c r="AJ133" i="19"/>
  <c r="U153" i="19" s="1"/>
  <c r="T225" i="19"/>
  <c r="E245" i="19" s="1"/>
  <c r="U233" i="19"/>
  <c r="F253" i="19" s="1"/>
  <c r="AL233" i="19"/>
  <c r="W253" i="19" s="1"/>
  <c r="Y226" i="19"/>
  <c r="J246" i="19" s="1"/>
  <c r="AM228" i="19"/>
  <c r="X248" i="19" s="1"/>
  <c r="AE228" i="19"/>
  <c r="P248" i="19" s="1"/>
  <c r="W228" i="19"/>
  <c r="H248" i="19" s="1"/>
  <c r="AK228" i="19"/>
  <c r="V248" i="19" s="1"/>
  <c r="AC228" i="19"/>
  <c r="N248" i="19" s="1"/>
  <c r="U228" i="19"/>
  <c r="F248" i="19" s="1"/>
  <c r="AR228" i="19"/>
  <c r="AC248" i="19" s="1"/>
  <c r="AJ228" i="19"/>
  <c r="U248" i="19" s="1"/>
  <c r="AB228" i="19"/>
  <c r="M248" i="19" s="1"/>
  <c r="T228" i="19"/>
  <c r="E248" i="19" s="1"/>
  <c r="Z228" i="19"/>
  <c r="K248" i="19" s="1"/>
  <c r="AP228" i="19"/>
  <c r="AA248" i="19" s="1"/>
  <c r="AR241" i="19"/>
  <c r="AC261" i="19" s="1"/>
  <c r="A278" i="19"/>
  <c r="A290" i="19"/>
  <c r="A390" i="19"/>
  <c r="A402" i="19"/>
  <c r="AP226" i="19"/>
  <c r="AA246" i="19" s="1"/>
  <c r="AH226" i="19"/>
  <c r="S246" i="19" s="1"/>
  <c r="Z226" i="19"/>
  <c r="K246" i="19" s="1"/>
  <c r="R226" i="19"/>
  <c r="C246" i="19" s="1"/>
  <c r="AL226" i="19"/>
  <c r="W246" i="19" s="1"/>
  <c r="AD226" i="19"/>
  <c r="O246" i="19" s="1"/>
  <c r="V226" i="19"/>
  <c r="G246" i="19" s="1"/>
  <c r="AA226" i="19"/>
  <c r="L246" i="19" s="1"/>
  <c r="AK226" i="19"/>
  <c r="V246" i="19" s="1"/>
  <c r="Z227" i="19"/>
  <c r="K247" i="19" s="1"/>
  <c r="AL227" i="19"/>
  <c r="W247" i="19" s="1"/>
  <c r="AA228" i="19"/>
  <c r="L248" i="19" s="1"/>
  <c r="AQ228" i="19"/>
  <c r="AB248" i="19" s="1"/>
  <c r="AQ233" i="19"/>
  <c r="AB253" i="19" s="1"/>
  <c r="AL239" i="19"/>
  <c r="AD239" i="19"/>
  <c r="V239" i="19"/>
  <c r="AK239" i="19"/>
  <c r="AC239" i="19"/>
  <c r="U239" i="19"/>
  <c r="AR239" i="19"/>
  <c r="AJ239" i="19"/>
  <c r="AB239" i="19"/>
  <c r="T239" i="19"/>
  <c r="AQ239" i="19"/>
  <c r="AI239" i="19"/>
  <c r="AA239" i="19"/>
  <c r="S239" i="19"/>
  <c r="AP239" i="19"/>
  <c r="AH239" i="19"/>
  <c r="Z239" i="19"/>
  <c r="R239" i="19"/>
  <c r="AM239" i="19"/>
  <c r="AE239" i="19"/>
  <c r="W239" i="19"/>
  <c r="A277" i="19"/>
  <c r="A289" i="19"/>
  <c r="AR334" i="19"/>
  <c r="AC354" i="19" s="1"/>
  <c r="AJ334" i="19"/>
  <c r="U354" i="19" s="1"/>
  <c r="AB334" i="19"/>
  <c r="M354" i="19" s="1"/>
  <c r="T334" i="19"/>
  <c r="E354" i="19" s="1"/>
  <c r="S334" i="19"/>
  <c r="D354" i="19" s="1"/>
  <c r="AP334" i="19"/>
  <c r="AA354" i="19" s="1"/>
  <c r="AH334" i="19"/>
  <c r="S354" i="19" s="1"/>
  <c r="Z334" i="19"/>
  <c r="K354" i="19" s="1"/>
  <c r="R334" i="19"/>
  <c r="C354" i="19" s="1"/>
  <c r="AE334" i="19"/>
  <c r="P354" i="19" s="1"/>
  <c r="Y334" i="19"/>
  <c r="J354" i="19" s="1"/>
  <c r="W334" i="19"/>
  <c r="H354" i="19" s="1"/>
  <c r="Q334" i="19"/>
  <c r="B354" i="19" s="1"/>
  <c r="AG334" i="19"/>
  <c r="R354" i="19" s="1"/>
  <c r="AP336" i="19"/>
  <c r="AA356" i="19" s="1"/>
  <c r="AH336" i="19"/>
  <c r="S356" i="19" s="1"/>
  <c r="Z336" i="19"/>
  <c r="K356" i="19" s="1"/>
  <c r="R336" i="19"/>
  <c r="C356" i="19" s="1"/>
  <c r="AK336" i="19"/>
  <c r="V356" i="19" s="1"/>
  <c r="AE336" i="19"/>
  <c r="P356" i="19" s="1"/>
  <c r="AC336" i="19"/>
  <c r="N356" i="19" s="1"/>
  <c r="W336" i="19"/>
  <c r="H356" i="19" s="1"/>
  <c r="U336" i="19"/>
  <c r="F356" i="19" s="1"/>
  <c r="AM336" i="19"/>
  <c r="X356" i="19" s="1"/>
  <c r="S226" i="19"/>
  <c r="D246" i="19" s="1"/>
  <c r="AC226" i="19"/>
  <c r="N246" i="19" s="1"/>
  <c r="AN226" i="19"/>
  <c r="Y246" i="19" s="1"/>
  <c r="AO227" i="19"/>
  <c r="Z247" i="19" s="1"/>
  <c r="AB227" i="19"/>
  <c r="M247" i="19" s="1"/>
  <c r="AP227" i="19"/>
  <c r="AA247" i="19" s="1"/>
  <c r="Q228" i="19"/>
  <c r="B248" i="19" s="1"/>
  <c r="AG228" i="19"/>
  <c r="R248" i="19" s="1"/>
  <c r="AE231" i="19"/>
  <c r="P251" i="19" s="1"/>
  <c r="AQ232" i="19"/>
  <c r="AB252" i="19" s="1"/>
  <c r="AI232" i="19"/>
  <c r="T252" i="19" s="1"/>
  <c r="AA232" i="19"/>
  <c r="L252" i="19" s="1"/>
  <c r="S232" i="19"/>
  <c r="D252" i="19" s="1"/>
  <c r="AP232" i="19"/>
  <c r="AA252" i="19" s="1"/>
  <c r="AH232" i="19"/>
  <c r="S252" i="19" s="1"/>
  <c r="Z232" i="19"/>
  <c r="K252" i="19" s="1"/>
  <c r="AO232" i="19"/>
  <c r="Z252" i="19" s="1"/>
  <c r="AG232" i="19"/>
  <c r="R252" i="19" s="1"/>
  <c r="Y232" i="19"/>
  <c r="J252" i="19" s="1"/>
  <c r="Q232" i="19"/>
  <c r="B252" i="19" s="1"/>
  <c r="AK232" i="19"/>
  <c r="V252" i="19" s="1"/>
  <c r="AC232" i="19"/>
  <c r="N252" i="19" s="1"/>
  <c r="U232" i="19"/>
  <c r="F252" i="19" s="1"/>
  <c r="AL232" i="19"/>
  <c r="W252" i="19" s="1"/>
  <c r="X239" i="19"/>
  <c r="AR336" i="19"/>
  <c r="AC356" i="19" s="1"/>
  <c r="T226" i="19"/>
  <c r="E246" i="19" s="1"/>
  <c r="AE226" i="19"/>
  <c r="P246" i="19" s="1"/>
  <c r="AO226" i="19"/>
  <c r="Z246" i="19" s="1"/>
  <c r="R227" i="19"/>
  <c r="C247" i="19" s="1"/>
  <c r="AD227" i="19"/>
  <c r="O247" i="19" s="1"/>
  <c r="AQ227" i="19"/>
  <c r="AB247" i="19" s="1"/>
  <c r="R228" i="19"/>
  <c r="C248" i="19" s="1"/>
  <c r="AH228" i="19"/>
  <c r="S248" i="19" s="1"/>
  <c r="Y239" i="19"/>
  <c r="AM334" i="19"/>
  <c r="X354" i="19" s="1"/>
  <c r="U226" i="19"/>
  <c r="F246" i="19" s="1"/>
  <c r="AF226" i="19"/>
  <c r="Q246" i="19" s="1"/>
  <c r="AQ226" i="19"/>
  <c r="AB246" i="19" s="1"/>
  <c r="S227" i="19"/>
  <c r="D247" i="19" s="1"/>
  <c r="AE227" i="19"/>
  <c r="P247" i="19" s="1"/>
  <c r="AR227" i="19"/>
  <c r="AC247" i="19" s="1"/>
  <c r="S228" i="19"/>
  <c r="D248" i="19" s="1"/>
  <c r="AI228" i="19"/>
  <c r="T248" i="19" s="1"/>
  <c r="AR232" i="19"/>
  <c r="AC252" i="19" s="1"/>
  <c r="AF239" i="19"/>
  <c r="AK240" i="19"/>
  <c r="AC240" i="19"/>
  <c r="U240" i="19"/>
  <c r="AR240" i="19"/>
  <c r="AJ240" i="19"/>
  <c r="AB240" i="19"/>
  <c r="T240" i="19"/>
  <c r="AQ240" i="19"/>
  <c r="AI240" i="19"/>
  <c r="AA240" i="19"/>
  <c r="S240" i="19"/>
  <c r="AP240" i="19"/>
  <c r="AH240" i="19"/>
  <c r="Z240" i="19"/>
  <c r="R240" i="19"/>
  <c r="AO240" i="19"/>
  <c r="AG240" i="19"/>
  <c r="Y240" i="19"/>
  <c r="Q240" i="19"/>
  <c r="AL240" i="19"/>
  <c r="AD240" i="19"/>
  <c r="V240" i="19"/>
  <c r="AO334" i="19"/>
  <c r="Z354" i="19" s="1"/>
  <c r="W226" i="19"/>
  <c r="H246" i="19" s="1"/>
  <c r="AG226" i="19"/>
  <c r="R246" i="19" s="1"/>
  <c r="AR226" i="19"/>
  <c r="AC246" i="19" s="1"/>
  <c r="T227" i="19"/>
  <c r="E247" i="19" s="1"/>
  <c r="V228" i="19"/>
  <c r="G248" i="19" s="1"/>
  <c r="AL228" i="19"/>
  <c r="W248" i="19" s="1"/>
  <c r="AM229" i="19"/>
  <c r="X249" i="19" s="1"/>
  <c r="AE229" i="19"/>
  <c r="P249" i="19" s="1"/>
  <c r="W229" i="19"/>
  <c r="H249" i="19" s="1"/>
  <c r="AL229" i="19"/>
  <c r="W249" i="19" s="1"/>
  <c r="AD229" i="19"/>
  <c r="O249" i="19" s="1"/>
  <c r="V229" i="19"/>
  <c r="G249" i="19" s="1"/>
  <c r="AR229" i="19"/>
  <c r="AC249" i="19" s="1"/>
  <c r="AJ229" i="19"/>
  <c r="U249" i="19" s="1"/>
  <c r="AB229" i="19"/>
  <c r="M249" i="19" s="1"/>
  <c r="T229" i="19"/>
  <c r="E249" i="19" s="1"/>
  <c r="AQ229" i="19"/>
  <c r="AB249" i="19" s="1"/>
  <c r="AI229" i="19"/>
  <c r="T249" i="19" s="1"/>
  <c r="AA229" i="19"/>
  <c r="L249" i="19" s="1"/>
  <c r="S229" i="19"/>
  <c r="D249" i="19" s="1"/>
  <c r="AN229" i="19"/>
  <c r="Y249" i="19" s="1"/>
  <c r="AF229" i="19"/>
  <c r="Q249" i="19" s="1"/>
  <c r="X229" i="19"/>
  <c r="I249" i="19" s="1"/>
  <c r="AH229" i="19"/>
  <c r="S249" i="19" s="1"/>
  <c r="AL230" i="19"/>
  <c r="W250" i="19" s="1"/>
  <c r="AD230" i="19"/>
  <c r="O250" i="19" s="1"/>
  <c r="V230" i="19"/>
  <c r="G250" i="19" s="1"/>
  <c r="AK230" i="19"/>
  <c r="V250" i="19" s="1"/>
  <c r="AC230" i="19"/>
  <c r="N250" i="19" s="1"/>
  <c r="U230" i="19"/>
  <c r="F250" i="19" s="1"/>
  <c r="AQ230" i="19"/>
  <c r="AB250" i="19" s="1"/>
  <c r="AI230" i="19"/>
  <c r="T250" i="19" s="1"/>
  <c r="AA230" i="19"/>
  <c r="L250" i="19" s="1"/>
  <c r="S230" i="19"/>
  <c r="D250" i="19" s="1"/>
  <c r="AP230" i="19"/>
  <c r="AA250" i="19" s="1"/>
  <c r="AH230" i="19"/>
  <c r="S250" i="19" s="1"/>
  <c r="Z230" i="19"/>
  <c r="K250" i="19" s="1"/>
  <c r="R230" i="19"/>
  <c r="C250" i="19" s="1"/>
  <c r="AM230" i="19"/>
  <c r="X250" i="19" s="1"/>
  <c r="AE230" i="19"/>
  <c r="P250" i="19" s="1"/>
  <c r="W230" i="19"/>
  <c r="H250" i="19" s="1"/>
  <c r="AJ230" i="19"/>
  <c r="U250" i="19" s="1"/>
  <c r="AK231" i="19"/>
  <c r="V251" i="19" s="1"/>
  <c r="AC231" i="19"/>
  <c r="N251" i="19" s="1"/>
  <c r="U231" i="19"/>
  <c r="F251" i="19" s="1"/>
  <c r="AR231" i="19"/>
  <c r="AC251" i="19" s="1"/>
  <c r="AJ231" i="19"/>
  <c r="U251" i="19" s="1"/>
  <c r="AB231" i="19"/>
  <c r="M251" i="19" s="1"/>
  <c r="T231" i="19"/>
  <c r="E251" i="19" s="1"/>
  <c r="AP231" i="19"/>
  <c r="AA251" i="19" s="1"/>
  <c r="AH231" i="19"/>
  <c r="S251" i="19" s="1"/>
  <c r="Z231" i="19"/>
  <c r="K251" i="19" s="1"/>
  <c r="R231" i="19"/>
  <c r="C251" i="19" s="1"/>
  <c r="AO231" i="19"/>
  <c r="Z251" i="19" s="1"/>
  <c r="AG231" i="19"/>
  <c r="R251" i="19" s="1"/>
  <c r="Y231" i="19"/>
  <c r="J251" i="19" s="1"/>
  <c r="Q231" i="19"/>
  <c r="B251" i="19" s="1"/>
  <c r="AL231" i="19"/>
  <c r="W251" i="19" s="1"/>
  <c r="AD231" i="19"/>
  <c r="O251" i="19" s="1"/>
  <c r="V231" i="19"/>
  <c r="G251" i="19" s="1"/>
  <c r="AM231" i="19"/>
  <c r="X251" i="19" s="1"/>
  <c r="R232" i="19"/>
  <c r="C252" i="19" s="1"/>
  <c r="AG239" i="19"/>
  <c r="W240" i="19"/>
  <c r="AP241" i="19"/>
  <c r="AA261" i="19" s="1"/>
  <c r="AH241" i="19"/>
  <c r="S261" i="19" s="1"/>
  <c r="Z241" i="19"/>
  <c r="K261" i="19" s="1"/>
  <c r="R241" i="19"/>
  <c r="C261" i="19" s="1"/>
  <c r="AO241" i="19"/>
  <c r="Z261" i="19" s="1"/>
  <c r="AG241" i="19"/>
  <c r="R261" i="19" s="1"/>
  <c r="Y241" i="19"/>
  <c r="J261" i="19" s="1"/>
  <c r="Q241" i="19"/>
  <c r="B261" i="19" s="1"/>
  <c r="AK241" i="19"/>
  <c r="V261" i="19" s="1"/>
  <c r="AC241" i="19"/>
  <c r="N261" i="19" s="1"/>
  <c r="U241" i="19"/>
  <c r="F261" i="19" s="1"/>
  <c r="AM241" i="19"/>
  <c r="X261" i="19" s="1"/>
  <c r="S234" i="19"/>
  <c r="D254" i="19" s="1"/>
  <c r="AA234" i="19"/>
  <c r="L254" i="19" s="1"/>
  <c r="AI234" i="19"/>
  <c r="T254" i="19" s="1"/>
  <c r="AQ234" i="19"/>
  <c r="AB254" i="19" s="1"/>
  <c r="R236" i="19"/>
  <c r="C256" i="19" s="1"/>
  <c r="Z236" i="19"/>
  <c r="K256" i="19" s="1"/>
  <c r="AH236" i="19"/>
  <c r="S256" i="19" s="1"/>
  <c r="AP236" i="19"/>
  <c r="AA256" i="19" s="1"/>
  <c r="Q237" i="19"/>
  <c r="B257" i="19" s="1"/>
  <c r="Y237" i="19"/>
  <c r="J257" i="19" s="1"/>
  <c r="AG237" i="19"/>
  <c r="R257" i="19" s="1"/>
  <c r="AO237" i="19"/>
  <c r="Z257" i="19" s="1"/>
  <c r="X238" i="19"/>
  <c r="I258" i="19" s="1"/>
  <c r="AF238" i="19"/>
  <c r="Q258" i="19" s="1"/>
  <c r="AN238" i="19"/>
  <c r="Y258" i="19" s="1"/>
  <c r="U227" i="19"/>
  <c r="F247" i="19" s="1"/>
  <c r="AC227" i="19"/>
  <c r="N247" i="19" s="1"/>
  <c r="AK227" i="19"/>
  <c r="V247" i="19" s="1"/>
  <c r="X232" i="19"/>
  <c r="I252" i="19" s="1"/>
  <c r="AF232" i="19"/>
  <c r="Q252" i="19" s="1"/>
  <c r="AN232" i="19"/>
  <c r="Y252" i="19" s="1"/>
  <c r="W233" i="19"/>
  <c r="H253" i="19" s="1"/>
  <c r="AE233" i="19"/>
  <c r="P253" i="19" s="1"/>
  <c r="AM233" i="19"/>
  <c r="X253" i="19" s="1"/>
  <c r="V234" i="19"/>
  <c r="G254" i="19" s="1"/>
  <c r="AD234" i="19"/>
  <c r="O254" i="19" s="1"/>
  <c r="AL234" i="19"/>
  <c r="W254" i="19" s="1"/>
  <c r="U236" i="19"/>
  <c r="F256" i="19" s="1"/>
  <c r="AC236" i="19"/>
  <c r="N256" i="19" s="1"/>
  <c r="AK236" i="19"/>
  <c r="V256" i="19" s="1"/>
  <c r="T237" i="19"/>
  <c r="E257" i="19" s="1"/>
  <c r="AB237" i="19"/>
  <c r="M257" i="19" s="1"/>
  <c r="AJ237" i="19"/>
  <c r="U257" i="19" s="1"/>
  <c r="AR237" i="19"/>
  <c r="AC257" i="19" s="1"/>
  <c r="S238" i="19"/>
  <c r="D258" i="19" s="1"/>
  <c r="AA238" i="19"/>
  <c r="L258" i="19" s="1"/>
  <c r="AI238" i="19"/>
  <c r="T258" i="19" s="1"/>
  <c r="AQ238" i="19"/>
  <c r="AB258" i="19" s="1"/>
  <c r="X241" i="19"/>
  <c r="I261" i="19" s="1"/>
  <c r="AF241" i="19"/>
  <c r="Q261" i="19" s="1"/>
  <c r="AN241" i="19"/>
  <c r="Y261" i="19" s="1"/>
  <c r="A276" i="19"/>
  <c r="AL334" i="19"/>
  <c r="W354" i="19" s="1"/>
  <c r="AF335" i="19"/>
  <c r="Q355" i="19" s="1"/>
  <c r="AO337" i="19"/>
  <c r="Z357" i="19" s="1"/>
  <c r="AG337" i="19"/>
  <c r="R357" i="19" s="1"/>
  <c r="Y337" i="19"/>
  <c r="J357" i="19" s="1"/>
  <c r="Q337" i="19"/>
  <c r="B357" i="19" s="1"/>
  <c r="AM337" i="19"/>
  <c r="X357" i="19" s="1"/>
  <c r="AE337" i="19"/>
  <c r="P357" i="19" s="1"/>
  <c r="W337" i="19"/>
  <c r="H357" i="19" s="1"/>
  <c r="AL337" i="19"/>
  <c r="W357" i="19" s="1"/>
  <c r="AI345" i="19"/>
  <c r="T365" i="19" s="1"/>
  <c r="W345" i="19"/>
  <c r="H365" i="19" s="1"/>
  <c r="AQ345" i="19"/>
  <c r="AB365" i="19" s="1"/>
  <c r="AE345" i="19"/>
  <c r="P365" i="19" s="1"/>
  <c r="Q345" i="19"/>
  <c r="B365" i="19" s="1"/>
  <c r="AN345" i="19"/>
  <c r="Y365" i="19" s="1"/>
  <c r="AA345" i="19"/>
  <c r="L365" i="19" s="1"/>
  <c r="X233" i="19"/>
  <c r="I253" i="19" s="1"/>
  <c r="AF233" i="19"/>
  <c r="Q253" i="19" s="1"/>
  <c r="AN233" i="19"/>
  <c r="Y253" i="19" s="1"/>
  <c r="W234" i="19"/>
  <c r="H254" i="19" s="1"/>
  <c r="AE234" i="19"/>
  <c r="P254" i="19" s="1"/>
  <c r="AM234" i="19"/>
  <c r="X254" i="19" s="1"/>
  <c r="V236" i="19"/>
  <c r="G256" i="19" s="1"/>
  <c r="AD236" i="19"/>
  <c r="O256" i="19" s="1"/>
  <c r="U237" i="19"/>
  <c r="F257" i="19" s="1"/>
  <c r="AC237" i="19"/>
  <c r="N257" i="19" s="1"/>
  <c r="AK237" i="19"/>
  <c r="V257" i="19" s="1"/>
  <c r="T238" i="19"/>
  <c r="E258" i="19" s="1"/>
  <c r="AB238" i="19"/>
  <c r="M258" i="19" s="1"/>
  <c r="AJ238" i="19"/>
  <c r="U258" i="19" s="1"/>
  <c r="AR238" i="19"/>
  <c r="AC258" i="19" s="1"/>
  <c r="A281" i="19"/>
  <c r="AR346" i="19"/>
  <c r="AC366" i="19" s="1"/>
  <c r="AJ346" i="19"/>
  <c r="U366" i="19" s="1"/>
  <c r="AB346" i="19"/>
  <c r="M366" i="19" s="1"/>
  <c r="T346" i="19"/>
  <c r="E366" i="19" s="1"/>
  <c r="AQ346" i="19"/>
  <c r="AB366" i="19" s="1"/>
  <c r="AI346" i="19"/>
  <c r="T366" i="19" s="1"/>
  <c r="AA346" i="19"/>
  <c r="L366" i="19" s="1"/>
  <c r="S346" i="19"/>
  <c r="D366" i="19" s="1"/>
  <c r="AO346" i="19"/>
  <c r="Z366" i="19" s="1"/>
  <c r="AG346" i="19"/>
  <c r="R366" i="19" s="1"/>
  <c r="Y346" i="19"/>
  <c r="J366" i="19" s="1"/>
  <c r="Q346" i="19"/>
  <c r="B366" i="19" s="1"/>
  <c r="AM346" i="19"/>
  <c r="X366" i="19" s="1"/>
  <c r="Z346" i="19"/>
  <c r="K366" i="19" s="1"/>
  <c r="AL346" i="19"/>
  <c r="W366" i="19" s="1"/>
  <c r="X346" i="19"/>
  <c r="I366" i="19" s="1"/>
  <c r="AK346" i="19"/>
  <c r="V366" i="19" s="1"/>
  <c r="W346" i="19"/>
  <c r="H366" i="19" s="1"/>
  <c r="AH346" i="19"/>
  <c r="S366" i="19" s="1"/>
  <c r="V346" i="19"/>
  <c r="G366" i="19" s="1"/>
  <c r="AF346" i="19"/>
  <c r="Q366" i="19" s="1"/>
  <c r="U346" i="19"/>
  <c r="F366" i="19" s="1"/>
  <c r="AE346" i="19"/>
  <c r="P366" i="19" s="1"/>
  <c r="R346" i="19"/>
  <c r="C366" i="19" s="1"/>
  <c r="AN346" i="19"/>
  <c r="Y366" i="19" s="1"/>
  <c r="AC346" i="19"/>
  <c r="N366" i="19" s="1"/>
  <c r="A389" i="19"/>
  <c r="A401" i="19"/>
  <c r="X234" i="19"/>
  <c r="I254" i="19" s="1"/>
  <c r="AF234" i="19"/>
  <c r="Q254" i="19" s="1"/>
  <c r="AN234" i="19"/>
  <c r="Y254" i="19" s="1"/>
  <c r="W236" i="19"/>
  <c r="H256" i="19" s="1"/>
  <c r="AE236" i="19"/>
  <c r="P256" i="19" s="1"/>
  <c r="V237" i="19"/>
  <c r="G257" i="19" s="1"/>
  <c r="AD237" i="19"/>
  <c r="O257" i="19" s="1"/>
  <c r="AL237" i="19"/>
  <c r="W257" i="19" s="1"/>
  <c r="AK238" i="19"/>
  <c r="V258" i="19" s="1"/>
  <c r="AJ349" i="19"/>
  <c r="W349" i="19"/>
  <c r="AI349" i="19"/>
  <c r="U349" i="19"/>
  <c r="AH349" i="19"/>
  <c r="T349" i="19"/>
  <c r="AR349" i="19"/>
  <c r="AE349" i="19"/>
  <c r="S349" i="19"/>
  <c r="AQ349" i="19"/>
  <c r="AC349" i="19"/>
  <c r="R349" i="19"/>
  <c r="AP349" i="19"/>
  <c r="AB349" i="19"/>
  <c r="AK349" i="19"/>
  <c r="Z349" i="19"/>
  <c r="X227" i="19"/>
  <c r="I247" i="19" s="1"/>
  <c r="AF227" i="19"/>
  <c r="Q247" i="19" s="1"/>
  <c r="AN227" i="19"/>
  <c r="Y247" i="19" s="1"/>
  <c r="R233" i="19"/>
  <c r="C253" i="19" s="1"/>
  <c r="Z233" i="19"/>
  <c r="K253" i="19" s="1"/>
  <c r="AH233" i="19"/>
  <c r="S253" i="19" s="1"/>
  <c r="AP233" i="19"/>
  <c r="AA253" i="19" s="1"/>
  <c r="Q234" i="19"/>
  <c r="B254" i="19" s="1"/>
  <c r="Y234" i="19"/>
  <c r="J254" i="19" s="1"/>
  <c r="AG234" i="19"/>
  <c r="R254" i="19" s="1"/>
  <c r="AO234" i="19"/>
  <c r="Z254" i="19" s="1"/>
  <c r="X236" i="19"/>
  <c r="I256" i="19" s="1"/>
  <c r="AF236" i="19"/>
  <c r="Q256" i="19" s="1"/>
  <c r="AN236" i="19"/>
  <c r="Y256" i="19" s="1"/>
  <c r="W237" i="19"/>
  <c r="H257" i="19" s="1"/>
  <c r="AE237" i="19"/>
  <c r="P257" i="19" s="1"/>
  <c r="V238" i="19"/>
  <c r="G258" i="19" s="1"/>
  <c r="AD238" i="19"/>
  <c r="O258" i="19" s="1"/>
  <c r="AL238" i="19"/>
  <c r="W258" i="19" s="1"/>
  <c r="S241" i="19"/>
  <c r="D261" i="19" s="1"/>
  <c r="AA241" i="19"/>
  <c r="L261" i="19" s="1"/>
  <c r="AI241" i="19"/>
  <c r="T261" i="19" s="1"/>
  <c r="AQ241" i="19"/>
  <c r="AB261" i="19" s="1"/>
  <c r="T337" i="19"/>
  <c r="E357" i="19" s="1"/>
  <c r="Y345" i="19"/>
  <c r="J365" i="19" s="1"/>
  <c r="AP346" i="19"/>
  <c r="AA366" i="19" s="1"/>
  <c r="Q227" i="19"/>
  <c r="B247" i="19" s="1"/>
  <c r="Y227" i="19"/>
  <c r="J247" i="19" s="1"/>
  <c r="AG227" i="19"/>
  <c r="R247" i="19" s="1"/>
  <c r="X228" i="19"/>
  <c r="I248" i="19" s="1"/>
  <c r="AF228" i="19"/>
  <c r="Q248" i="19" s="1"/>
  <c r="T232" i="19"/>
  <c r="E252" i="19" s="1"/>
  <c r="AB232" i="19"/>
  <c r="M252" i="19" s="1"/>
  <c r="AJ232" i="19"/>
  <c r="U252" i="19" s="1"/>
  <c r="S233" i="19"/>
  <c r="D253" i="19" s="1"/>
  <c r="AA233" i="19"/>
  <c r="L253" i="19" s="1"/>
  <c r="AI233" i="19"/>
  <c r="T253" i="19" s="1"/>
  <c r="R234" i="19"/>
  <c r="C254" i="19" s="1"/>
  <c r="Z234" i="19"/>
  <c r="K254" i="19" s="1"/>
  <c r="AH234" i="19"/>
  <c r="S254" i="19" s="1"/>
  <c r="Q236" i="19"/>
  <c r="B256" i="19" s="1"/>
  <c r="Y236" i="19"/>
  <c r="J256" i="19" s="1"/>
  <c r="AG236" i="19"/>
  <c r="R256" i="19" s="1"/>
  <c r="X237" i="19"/>
  <c r="I257" i="19" s="1"/>
  <c r="AF237" i="19"/>
  <c r="Q257" i="19" s="1"/>
  <c r="W238" i="19"/>
  <c r="H258" i="19" s="1"/>
  <c r="AE238" i="19"/>
  <c r="P258" i="19" s="1"/>
  <c r="T241" i="19"/>
  <c r="E261" i="19" s="1"/>
  <c r="AB241" i="19"/>
  <c r="M261" i="19" s="1"/>
  <c r="AJ241" i="19"/>
  <c r="U261" i="19" s="1"/>
  <c r="AK335" i="19"/>
  <c r="V355" i="19" s="1"/>
  <c r="AC335" i="19"/>
  <c r="N355" i="19" s="1"/>
  <c r="U335" i="19"/>
  <c r="F355" i="19" s="1"/>
  <c r="AR335" i="19"/>
  <c r="AC355" i="19" s="1"/>
  <c r="AJ335" i="19"/>
  <c r="U355" i="19" s="1"/>
  <c r="AB335" i="19"/>
  <c r="M355" i="19" s="1"/>
  <c r="T335" i="19"/>
  <c r="E355" i="19" s="1"/>
  <c r="AQ335" i="19"/>
  <c r="AB355" i="19" s="1"/>
  <c r="AI335" i="19"/>
  <c r="T355" i="19" s="1"/>
  <c r="AA335" i="19"/>
  <c r="L355" i="19" s="1"/>
  <c r="S335" i="19"/>
  <c r="D355" i="19" s="1"/>
  <c r="AP335" i="19"/>
  <c r="AA355" i="19" s="1"/>
  <c r="AH335" i="19"/>
  <c r="S355" i="19" s="1"/>
  <c r="Z335" i="19"/>
  <c r="K355" i="19" s="1"/>
  <c r="R335" i="19"/>
  <c r="C355" i="19" s="1"/>
  <c r="AO335" i="19"/>
  <c r="Z355" i="19" s="1"/>
  <c r="AG335" i="19"/>
  <c r="R355" i="19" s="1"/>
  <c r="Y335" i="19"/>
  <c r="J355" i="19" s="1"/>
  <c r="Q335" i="19"/>
  <c r="B355" i="19" s="1"/>
  <c r="AM335" i="19"/>
  <c r="X355" i="19" s="1"/>
  <c r="AE335" i="19"/>
  <c r="P355" i="19" s="1"/>
  <c r="W335" i="19"/>
  <c r="H355" i="19" s="1"/>
  <c r="V337" i="19"/>
  <c r="G357" i="19" s="1"/>
  <c r="AM345" i="19"/>
  <c r="X365" i="19" s="1"/>
  <c r="AA349" i="19"/>
  <c r="X334" i="19"/>
  <c r="I354" i="19" s="1"/>
  <c r="AF334" i="19"/>
  <c r="Q354" i="19" s="1"/>
  <c r="AN334" i="19"/>
  <c r="Y354" i="19" s="1"/>
  <c r="V336" i="19"/>
  <c r="G356" i="19" s="1"/>
  <c r="AD336" i="19"/>
  <c r="O356" i="19" s="1"/>
  <c r="AL336" i="19"/>
  <c r="W356" i="19" s="1"/>
  <c r="U337" i="19"/>
  <c r="F357" i="19" s="1"/>
  <c r="AC337" i="19"/>
  <c r="N357" i="19" s="1"/>
  <c r="AK337" i="19"/>
  <c r="V357" i="19" s="1"/>
  <c r="T338" i="19"/>
  <c r="E358" i="19" s="1"/>
  <c r="AB338" i="19"/>
  <c r="M358" i="19" s="1"/>
  <c r="AJ338" i="19"/>
  <c r="U358" i="19" s="1"/>
  <c r="AR338" i="19"/>
  <c r="AC358" i="19" s="1"/>
  <c r="S339" i="19"/>
  <c r="D359" i="19" s="1"/>
  <c r="AA339" i="19"/>
  <c r="L359" i="19" s="1"/>
  <c r="AI339" i="19"/>
  <c r="T359" i="19" s="1"/>
  <c r="AQ339" i="19"/>
  <c r="AB359" i="19" s="1"/>
  <c r="R340" i="19"/>
  <c r="C360" i="19" s="1"/>
  <c r="Z340" i="19"/>
  <c r="K360" i="19" s="1"/>
  <c r="AH340" i="19"/>
  <c r="S360" i="19" s="1"/>
  <c r="AP340" i="19"/>
  <c r="AA360" i="19" s="1"/>
  <c r="Q341" i="19"/>
  <c r="B361" i="19" s="1"/>
  <c r="Y341" i="19"/>
  <c r="J361" i="19" s="1"/>
  <c r="AH341" i="19"/>
  <c r="S361" i="19" s="1"/>
  <c r="AQ341" i="19"/>
  <c r="AB361" i="19" s="1"/>
  <c r="R342" i="19"/>
  <c r="C362" i="19" s="1"/>
  <c r="AA342" i="19"/>
  <c r="L362" i="19" s="1"/>
  <c r="AJ342" i="19"/>
  <c r="U362" i="19" s="1"/>
  <c r="W343" i="19"/>
  <c r="H363" i="19" s="1"/>
  <c r="AH343" i="19"/>
  <c r="S363" i="19" s="1"/>
  <c r="X345" i="19"/>
  <c r="I365" i="19" s="1"/>
  <c r="T347" i="19"/>
  <c r="E367" i="19" s="1"/>
  <c r="AE347" i="19"/>
  <c r="P367" i="19" s="1"/>
  <c r="V348" i="19"/>
  <c r="AJ348" i="19"/>
  <c r="AL349" i="19"/>
  <c r="Z350" i="19"/>
  <c r="K370" i="19" s="1"/>
  <c r="AL350" i="19"/>
  <c r="W370" i="19" s="1"/>
  <c r="X336" i="19"/>
  <c r="I356" i="19" s="1"/>
  <c r="AF336" i="19"/>
  <c r="Q356" i="19" s="1"/>
  <c r="AN336" i="19"/>
  <c r="Y356" i="19" s="1"/>
  <c r="V338" i="19"/>
  <c r="G358" i="19" s="1"/>
  <c r="AD338" i="19"/>
  <c r="O358" i="19" s="1"/>
  <c r="AL338" i="19"/>
  <c r="W358" i="19" s="1"/>
  <c r="U339" i="19"/>
  <c r="F359" i="19" s="1"/>
  <c r="AC339" i="19"/>
  <c r="N359" i="19" s="1"/>
  <c r="AK339" i="19"/>
  <c r="V359" i="19" s="1"/>
  <c r="T340" i="19"/>
  <c r="E360" i="19" s="1"/>
  <c r="AB340" i="19"/>
  <c r="M360" i="19" s="1"/>
  <c r="AJ340" i="19"/>
  <c r="U360" i="19" s="1"/>
  <c r="AR340" i="19"/>
  <c r="AC360" i="19" s="1"/>
  <c r="S341" i="19"/>
  <c r="D361" i="19" s="1"/>
  <c r="AA341" i="19"/>
  <c r="L361" i="19" s="1"/>
  <c r="AJ341" i="19"/>
  <c r="U361" i="19" s="1"/>
  <c r="T342" i="19"/>
  <c r="E362" i="19" s="1"/>
  <c r="AC342" i="19"/>
  <c r="N362" i="19" s="1"/>
  <c r="AL342" i="19"/>
  <c r="W362" i="19" s="1"/>
  <c r="Y343" i="19"/>
  <c r="J363" i="19" s="1"/>
  <c r="AM343" i="19"/>
  <c r="X363" i="19" s="1"/>
  <c r="V347" i="19"/>
  <c r="G367" i="19" s="1"/>
  <c r="AJ347" i="19"/>
  <c r="U367" i="19" s="1"/>
  <c r="AA348" i="19"/>
  <c r="AL348" i="19"/>
  <c r="AO349" i="19"/>
  <c r="Q350" i="19"/>
  <c r="B370" i="19" s="1"/>
  <c r="AB350" i="19"/>
  <c r="M370" i="19" s="1"/>
  <c r="AP350" i="19"/>
  <c r="AA370" i="19" s="1"/>
  <c r="AA334" i="19"/>
  <c r="L354" i="19" s="1"/>
  <c r="AI334" i="19"/>
  <c r="T354" i="19" s="1"/>
  <c r="AQ334" i="19"/>
  <c r="AB354" i="19" s="1"/>
  <c r="Q336" i="19"/>
  <c r="B356" i="19" s="1"/>
  <c r="Y336" i="19"/>
  <c r="J356" i="19" s="1"/>
  <c r="AG336" i="19"/>
  <c r="R356" i="19" s="1"/>
  <c r="AO336" i="19"/>
  <c r="Z356" i="19" s="1"/>
  <c r="X337" i="19"/>
  <c r="I357" i="19" s="1"/>
  <c r="AF337" i="19"/>
  <c r="Q357" i="19" s="1"/>
  <c r="AN337" i="19"/>
  <c r="Y357" i="19" s="1"/>
  <c r="W338" i="19"/>
  <c r="H358" i="19" s="1"/>
  <c r="AE338" i="19"/>
  <c r="P358" i="19" s="1"/>
  <c r="AM338" i="19"/>
  <c r="X358" i="19" s="1"/>
  <c r="V339" i="19"/>
  <c r="G359" i="19" s="1"/>
  <c r="AD339" i="19"/>
  <c r="O359" i="19" s="1"/>
  <c r="U340" i="19"/>
  <c r="F360" i="19" s="1"/>
  <c r="AC340" i="19"/>
  <c r="N360" i="19" s="1"/>
  <c r="AK340" i="19"/>
  <c r="V360" i="19" s="1"/>
  <c r="T341" i="19"/>
  <c r="E361" i="19" s="1"/>
  <c r="AB341" i="19"/>
  <c r="M361" i="19" s="1"/>
  <c r="AK341" i="19"/>
  <c r="V361" i="19" s="1"/>
  <c r="U342" i="19"/>
  <c r="F362" i="19" s="1"/>
  <c r="AD342" i="19"/>
  <c r="O362" i="19" s="1"/>
  <c r="AN342" i="19"/>
  <c r="Y362" i="19" s="1"/>
  <c r="Z343" i="19"/>
  <c r="K363" i="19" s="1"/>
  <c r="AK345" i="19"/>
  <c r="V365" i="19" s="1"/>
  <c r="AC345" i="19"/>
  <c r="N365" i="19" s="1"/>
  <c r="U345" i="19"/>
  <c r="F365" i="19" s="1"/>
  <c r="AR345" i="19"/>
  <c r="AC365" i="19" s="1"/>
  <c r="AJ345" i="19"/>
  <c r="U365" i="19" s="1"/>
  <c r="AB345" i="19"/>
  <c r="M365" i="19" s="1"/>
  <c r="T345" i="19"/>
  <c r="E365" i="19" s="1"/>
  <c r="AP345" i="19"/>
  <c r="AA365" i="19" s="1"/>
  <c r="AH345" i="19"/>
  <c r="S365" i="19" s="1"/>
  <c r="Z345" i="19"/>
  <c r="K365" i="19" s="1"/>
  <c r="R345" i="19"/>
  <c r="C365" i="19" s="1"/>
  <c r="AD345" i="19"/>
  <c r="O365" i="19" s="1"/>
  <c r="AO345" i="19"/>
  <c r="Z365" i="19" s="1"/>
  <c r="W347" i="19"/>
  <c r="H367" i="19" s="1"/>
  <c r="AK347" i="19"/>
  <c r="V367" i="19" s="1"/>
  <c r="AB348" i="19"/>
  <c r="R350" i="19"/>
  <c r="C370" i="19" s="1"/>
  <c r="AD350" i="19"/>
  <c r="O370" i="19" s="1"/>
  <c r="AQ350" i="19"/>
  <c r="AB370" i="19" s="1"/>
  <c r="A399" i="19"/>
  <c r="A387" i="19"/>
  <c r="X338" i="19"/>
  <c r="I358" i="19" s="1"/>
  <c r="AF338" i="19"/>
  <c r="Q358" i="19" s="1"/>
  <c r="AN338" i="19"/>
  <c r="Y358" i="19" s="1"/>
  <c r="W339" i="19"/>
  <c r="H359" i="19" s="1"/>
  <c r="AE339" i="19"/>
  <c r="P359" i="19" s="1"/>
  <c r="V340" i="19"/>
  <c r="G360" i="19" s="1"/>
  <c r="AD340" i="19"/>
  <c r="O360" i="19" s="1"/>
  <c r="AL340" i="19"/>
  <c r="W360" i="19" s="1"/>
  <c r="U341" i="19"/>
  <c r="F361" i="19" s="1"/>
  <c r="AC341" i="19"/>
  <c r="N361" i="19" s="1"/>
  <c r="AL341" i="19"/>
  <c r="W361" i="19" s="1"/>
  <c r="V342" i="19"/>
  <c r="G362" i="19" s="1"/>
  <c r="AF342" i="19"/>
  <c r="Q362" i="19" s="1"/>
  <c r="AO342" i="19"/>
  <c r="Z362" i="19" s="1"/>
  <c r="AL343" i="19"/>
  <c r="W363" i="19" s="1"/>
  <c r="AD343" i="19"/>
  <c r="O363" i="19" s="1"/>
  <c r="V343" i="19"/>
  <c r="G363" i="19" s="1"/>
  <c r="AK343" i="19"/>
  <c r="V363" i="19" s="1"/>
  <c r="AC343" i="19"/>
  <c r="N363" i="19" s="1"/>
  <c r="U343" i="19"/>
  <c r="F363" i="19" s="1"/>
  <c r="AQ343" i="19"/>
  <c r="AB363" i="19" s="1"/>
  <c r="AI343" i="19"/>
  <c r="T363" i="19" s="1"/>
  <c r="AA343" i="19"/>
  <c r="L363" i="19" s="1"/>
  <c r="S343" i="19"/>
  <c r="D363" i="19" s="1"/>
  <c r="AB343" i="19"/>
  <c r="M363" i="19" s="1"/>
  <c r="AO343" i="19"/>
  <c r="Z363" i="19" s="1"/>
  <c r="Y347" i="19"/>
  <c r="J367" i="19" s="1"/>
  <c r="AL347" i="19"/>
  <c r="W367" i="19" s="1"/>
  <c r="AP348" i="19"/>
  <c r="AH348" i="19"/>
  <c r="Z348" i="19"/>
  <c r="R348" i="19"/>
  <c r="AO348" i="19"/>
  <c r="AG348" i="19"/>
  <c r="Y348" i="19"/>
  <c r="Q348" i="19"/>
  <c r="AM348" i="19"/>
  <c r="AE348" i="19"/>
  <c r="W348" i="19"/>
  <c r="AC348" i="19"/>
  <c r="AQ348" i="19"/>
  <c r="S350" i="19"/>
  <c r="D370" i="19" s="1"/>
  <c r="AG350" i="19"/>
  <c r="R370" i="19" s="1"/>
  <c r="AR350" i="19"/>
  <c r="AC370" i="19" s="1"/>
  <c r="U334" i="19"/>
  <c r="F354" i="19" s="1"/>
  <c r="AC334" i="19"/>
  <c r="N354" i="19" s="1"/>
  <c r="AK334" i="19"/>
  <c r="V354" i="19" s="1"/>
  <c r="S336" i="19"/>
  <c r="D356" i="19" s="1"/>
  <c r="AA336" i="19"/>
  <c r="L356" i="19" s="1"/>
  <c r="AI336" i="19"/>
  <c r="T356" i="19" s="1"/>
  <c r="AQ336" i="19"/>
  <c r="AB356" i="19" s="1"/>
  <c r="R337" i="19"/>
  <c r="C357" i="19" s="1"/>
  <c r="Z337" i="19"/>
  <c r="K357" i="19" s="1"/>
  <c r="AH337" i="19"/>
  <c r="S357" i="19" s="1"/>
  <c r="AP337" i="19"/>
  <c r="AA357" i="19" s="1"/>
  <c r="Q338" i="19"/>
  <c r="B358" i="19" s="1"/>
  <c r="Y338" i="19"/>
  <c r="J358" i="19" s="1"/>
  <c r="AG338" i="19"/>
  <c r="R358" i="19" s="1"/>
  <c r="AO338" i="19"/>
  <c r="Z358" i="19" s="1"/>
  <c r="X339" i="19"/>
  <c r="I359" i="19" s="1"/>
  <c r="AF339" i="19"/>
  <c r="Q359" i="19" s="1"/>
  <c r="AN339" i="19"/>
  <c r="Y359" i="19" s="1"/>
  <c r="W340" i="19"/>
  <c r="H360" i="19" s="1"/>
  <c r="AE340" i="19"/>
  <c r="P360" i="19" s="1"/>
  <c r="V341" i="19"/>
  <c r="G361" i="19" s="1"/>
  <c r="AD341" i="19"/>
  <c r="O361" i="19" s="1"/>
  <c r="AM341" i="19"/>
  <c r="X361" i="19" s="1"/>
  <c r="X342" i="19"/>
  <c r="I362" i="19" s="1"/>
  <c r="AG342" i="19"/>
  <c r="R362" i="19" s="1"/>
  <c r="Q343" i="19"/>
  <c r="B363" i="19" s="1"/>
  <c r="AE343" i="19"/>
  <c r="P363" i="19" s="1"/>
  <c r="AP343" i="19"/>
  <c r="AA363" i="19" s="1"/>
  <c r="S345" i="19"/>
  <c r="D365" i="19" s="1"/>
  <c r="AF345" i="19"/>
  <c r="Q365" i="19" s="1"/>
  <c r="AB347" i="19"/>
  <c r="M367" i="19" s="1"/>
  <c r="AM347" i="19"/>
  <c r="X367" i="19" s="1"/>
  <c r="S348" i="19"/>
  <c r="AD348" i="19"/>
  <c r="AR348" i="19"/>
  <c r="T350" i="19"/>
  <c r="E370" i="19" s="1"/>
  <c r="AH350" i="19"/>
  <c r="S370" i="19" s="1"/>
  <c r="V334" i="19"/>
  <c r="G354" i="19" s="1"/>
  <c r="AD334" i="19"/>
  <c r="O354" i="19" s="1"/>
  <c r="T336" i="19"/>
  <c r="E356" i="19" s="1"/>
  <c r="AB336" i="19"/>
  <c r="M356" i="19" s="1"/>
  <c r="AJ336" i="19"/>
  <c r="U356" i="19" s="1"/>
  <c r="S337" i="19"/>
  <c r="D357" i="19" s="1"/>
  <c r="AA337" i="19"/>
  <c r="L357" i="19" s="1"/>
  <c r="AI337" i="19"/>
  <c r="T357" i="19" s="1"/>
  <c r="R338" i="19"/>
  <c r="C358" i="19" s="1"/>
  <c r="Z338" i="19"/>
  <c r="K358" i="19" s="1"/>
  <c r="AH338" i="19"/>
  <c r="S358" i="19" s="1"/>
  <c r="Q339" i="19"/>
  <c r="B359" i="19" s="1"/>
  <c r="Y339" i="19"/>
  <c r="J359" i="19" s="1"/>
  <c r="AG339" i="19"/>
  <c r="R359" i="19" s="1"/>
  <c r="X340" i="19"/>
  <c r="I360" i="19" s="1"/>
  <c r="AF340" i="19"/>
  <c r="Q360" i="19" s="1"/>
  <c r="W341" i="19"/>
  <c r="H361" i="19" s="1"/>
  <c r="AE341" i="19"/>
  <c r="P361" i="19" s="1"/>
  <c r="AM342" i="19"/>
  <c r="X362" i="19" s="1"/>
  <c r="AE342" i="19"/>
  <c r="P362" i="19" s="1"/>
  <c r="W342" i="19"/>
  <c r="H362" i="19" s="1"/>
  <c r="Y342" i="19"/>
  <c r="J362" i="19" s="1"/>
  <c r="AH342" i="19"/>
  <c r="S362" i="19" s="1"/>
  <c r="AQ342" i="19"/>
  <c r="AB362" i="19" s="1"/>
  <c r="R343" i="19"/>
  <c r="C363" i="19" s="1"/>
  <c r="AF343" i="19"/>
  <c r="Q363" i="19" s="1"/>
  <c r="AR343" i="19"/>
  <c r="AC363" i="19" s="1"/>
  <c r="V345" i="19"/>
  <c r="G365" i="19" s="1"/>
  <c r="AG345" i="19"/>
  <c r="R365" i="19" s="1"/>
  <c r="AQ347" i="19"/>
  <c r="AB367" i="19" s="1"/>
  <c r="AC347" i="19"/>
  <c r="N367" i="19" s="1"/>
  <c r="T348" i="19"/>
  <c r="AF348" i="19"/>
  <c r="V350" i="19"/>
  <c r="G370" i="19" s="1"/>
  <c r="AN341" i="19"/>
  <c r="Y361" i="19" s="1"/>
  <c r="AF341" i="19"/>
  <c r="Q361" i="19" s="1"/>
  <c r="X341" i="19"/>
  <c r="I361" i="19" s="1"/>
  <c r="AG341" i="19"/>
  <c r="R361" i="19" s="1"/>
  <c r="AP341" i="19"/>
  <c r="AA361" i="19" s="1"/>
  <c r="AM350" i="19"/>
  <c r="X370" i="19" s="1"/>
  <c r="AE350" i="19"/>
  <c r="P370" i="19" s="1"/>
  <c r="W350" i="19"/>
  <c r="H370" i="19" s="1"/>
  <c r="AK350" i="19"/>
  <c r="V370" i="19" s="1"/>
  <c r="AC350" i="19"/>
  <c r="N370" i="19" s="1"/>
  <c r="U350" i="19"/>
  <c r="F370" i="19" s="1"/>
  <c r="Y350" i="19"/>
  <c r="J370" i="19" s="1"/>
  <c r="AJ350" i="19"/>
  <c r="U370" i="19" s="1"/>
  <c r="A398" i="19"/>
  <c r="A386" i="19"/>
  <c r="X347" i="19"/>
  <c r="I367" i="19" s="1"/>
  <c r="AF347" i="19"/>
  <c r="Q367" i="19" s="1"/>
  <c r="AN347" i="19"/>
  <c r="Y367" i="19" s="1"/>
  <c r="V349" i="19"/>
  <c r="AD349" i="19"/>
  <c r="R347" i="19"/>
  <c r="C367" i="19" s="1"/>
  <c r="Z347" i="19"/>
  <c r="K367" i="19" s="1"/>
  <c r="AH347" i="19"/>
  <c r="S367" i="19" s="1"/>
  <c r="AP347" i="19"/>
  <c r="AA367" i="19" s="1"/>
  <c r="X349" i="19"/>
  <c r="AF349" i="19"/>
  <c r="AN349" i="19"/>
  <c r="A385" i="19"/>
  <c r="AQ446" i="19"/>
  <c r="AB466" i="19" s="1"/>
  <c r="AH446" i="19"/>
  <c r="S466" i="19" s="1"/>
  <c r="Y446" i="19"/>
  <c r="J466" i="19" s="1"/>
  <c r="Q446" i="19"/>
  <c r="B466" i="19" s="1"/>
  <c r="AK446" i="19"/>
  <c r="V466" i="19" s="1"/>
  <c r="T446" i="19"/>
  <c r="E466" i="19" s="1"/>
  <c r="AI446" i="19"/>
  <c r="T466" i="19" s="1"/>
  <c r="R446" i="19"/>
  <c r="C466" i="19" s="1"/>
  <c r="AE446" i="19"/>
  <c r="P466" i="19" s="1"/>
  <c r="AD446" i="19"/>
  <c r="O466" i="19" s="1"/>
  <c r="AR446" i="19"/>
  <c r="AC466" i="19" s="1"/>
  <c r="Z446" i="19"/>
  <c r="K466" i="19" s="1"/>
  <c r="AN446" i="19"/>
  <c r="Y466" i="19" s="1"/>
  <c r="W446" i="19"/>
  <c r="H466" i="19" s="1"/>
  <c r="AM446" i="19"/>
  <c r="X466" i="19" s="1"/>
  <c r="AB446" i="19"/>
  <c r="M466" i="19" s="1"/>
  <c r="V446" i="19"/>
  <c r="G466" i="19" s="1"/>
  <c r="S347" i="19"/>
  <c r="D367" i="19" s="1"/>
  <c r="AA347" i="19"/>
  <c r="L367" i="19" s="1"/>
  <c r="AI347" i="19"/>
  <c r="T367" i="19" s="1"/>
  <c r="Q349" i="19"/>
  <c r="Y349" i="19"/>
  <c r="AG349" i="19"/>
  <c r="X350" i="19"/>
  <c r="I370" i="19" s="1"/>
  <c r="AF350" i="19"/>
  <c r="Q370" i="19" s="1"/>
  <c r="A403" i="19"/>
  <c r="A391" i="19"/>
  <c r="A400" i="19"/>
  <c r="A388" i="19"/>
  <c r="W439" i="19"/>
  <c r="H459" i="19" s="1"/>
  <c r="AA439" i="19"/>
  <c r="L459" i="19" s="1"/>
  <c r="AN442" i="19"/>
  <c r="Y462" i="19" s="1"/>
  <c r="X442" i="19"/>
  <c r="I462" i="19" s="1"/>
  <c r="AM444" i="19"/>
  <c r="X464" i="19" s="1"/>
  <c r="AE444" i="19"/>
  <c r="P464" i="19" s="1"/>
  <c r="W444" i="19"/>
  <c r="H464" i="19" s="1"/>
  <c r="AK444" i="19"/>
  <c r="V464" i="19" s="1"/>
  <c r="AC444" i="19"/>
  <c r="N464" i="19" s="1"/>
  <c r="U444" i="19"/>
  <c r="F464" i="19" s="1"/>
  <c r="AQ444" i="19"/>
  <c r="AB464" i="19" s="1"/>
  <c r="AI444" i="19"/>
  <c r="T464" i="19" s="1"/>
  <c r="AA444" i="19"/>
  <c r="L464" i="19" s="1"/>
  <c r="S444" i="19"/>
  <c r="D464" i="19" s="1"/>
  <c r="AP444" i="19"/>
  <c r="AA464" i="19" s="1"/>
  <c r="AH444" i="19"/>
  <c r="S464" i="19" s="1"/>
  <c r="Z444" i="19"/>
  <c r="K464" i="19" s="1"/>
  <c r="R444" i="19"/>
  <c r="C464" i="19" s="1"/>
  <c r="AD444" i="19"/>
  <c r="O464" i="19" s="1"/>
  <c r="AR444" i="19"/>
  <c r="AC464" i="19" s="1"/>
  <c r="AB444" i="19"/>
  <c r="M464" i="19" s="1"/>
  <c r="AO444" i="19"/>
  <c r="Z464" i="19" s="1"/>
  <c r="Y444" i="19"/>
  <c r="J464" i="19" s="1"/>
  <c r="AN444" i="19"/>
  <c r="Y464" i="19" s="1"/>
  <c r="X444" i="19"/>
  <c r="I464" i="19" s="1"/>
  <c r="AJ444" i="19"/>
  <c r="U464" i="19" s="1"/>
  <c r="T444" i="19"/>
  <c r="E464" i="19" s="1"/>
  <c r="AG444" i="19"/>
  <c r="R464" i="19" s="1"/>
  <c r="Q444" i="19"/>
  <c r="B464" i="19" s="1"/>
  <c r="AL445" i="19"/>
  <c r="W465" i="19" s="1"/>
  <c r="AD445" i="19"/>
  <c r="O465" i="19" s="1"/>
  <c r="V445" i="19"/>
  <c r="G465" i="19" s="1"/>
  <c r="AR445" i="19"/>
  <c r="AC465" i="19" s="1"/>
  <c r="AJ445" i="19"/>
  <c r="U465" i="19" s="1"/>
  <c r="AB445" i="19"/>
  <c r="M465" i="19" s="1"/>
  <c r="T445" i="19"/>
  <c r="E465" i="19" s="1"/>
  <c r="AP445" i="19"/>
  <c r="AA465" i="19" s="1"/>
  <c r="AH445" i="19"/>
  <c r="S465" i="19" s="1"/>
  <c r="Z445" i="19"/>
  <c r="K465" i="19" s="1"/>
  <c r="R445" i="19"/>
  <c r="C465" i="19" s="1"/>
  <c r="AO445" i="19"/>
  <c r="Z465" i="19" s="1"/>
  <c r="AG445" i="19"/>
  <c r="R465" i="19" s="1"/>
  <c r="Y445" i="19"/>
  <c r="J465" i="19" s="1"/>
  <c r="Q445" i="19"/>
  <c r="B465" i="19" s="1"/>
  <c r="AN445" i="19"/>
  <c r="Y465" i="19" s="1"/>
  <c r="X445" i="19"/>
  <c r="I465" i="19" s="1"/>
  <c r="AM445" i="19"/>
  <c r="X465" i="19" s="1"/>
  <c r="W445" i="19"/>
  <c r="H465" i="19" s="1"/>
  <c r="AK445" i="19"/>
  <c r="V465" i="19" s="1"/>
  <c r="U445" i="19"/>
  <c r="F465" i="19" s="1"/>
  <c r="AI445" i="19"/>
  <c r="T465" i="19" s="1"/>
  <c r="S445" i="19"/>
  <c r="D465" i="19" s="1"/>
  <c r="AE445" i="19"/>
  <c r="P465" i="19" s="1"/>
  <c r="AC445" i="19"/>
  <c r="N465" i="19" s="1"/>
  <c r="AM448" i="19"/>
  <c r="X468" i="19" s="1"/>
  <c r="AE448" i="19"/>
  <c r="P468" i="19" s="1"/>
  <c r="W448" i="19"/>
  <c r="H468" i="19" s="1"/>
  <c r="AL448" i="19"/>
  <c r="W468" i="19" s="1"/>
  <c r="AD448" i="19"/>
  <c r="O468" i="19" s="1"/>
  <c r="V448" i="19"/>
  <c r="G468" i="19" s="1"/>
  <c r="AK448" i="19"/>
  <c r="V468" i="19" s="1"/>
  <c r="AA448" i="19"/>
  <c r="L468" i="19" s="1"/>
  <c r="Q448" i="19"/>
  <c r="B468" i="19" s="1"/>
  <c r="AI448" i="19"/>
  <c r="T468" i="19" s="1"/>
  <c r="Y448" i="19"/>
  <c r="J468" i="19" s="1"/>
  <c r="AQ448" i="19"/>
  <c r="AB468" i="19" s="1"/>
  <c r="AG448" i="19"/>
  <c r="R468" i="19" s="1"/>
  <c r="U448" i="19"/>
  <c r="F468" i="19" s="1"/>
  <c r="AP448" i="19"/>
  <c r="AA468" i="19" s="1"/>
  <c r="AF448" i="19"/>
  <c r="Q468" i="19" s="1"/>
  <c r="T448" i="19"/>
  <c r="E468" i="19" s="1"/>
  <c r="AH448" i="19"/>
  <c r="S468" i="19" s="1"/>
  <c r="AC448" i="19"/>
  <c r="N468" i="19" s="1"/>
  <c r="AB448" i="19"/>
  <c r="M468" i="19" s="1"/>
  <c r="Z448" i="19"/>
  <c r="K468" i="19" s="1"/>
  <c r="AO448" i="19"/>
  <c r="Z468" i="19" s="1"/>
  <c r="S448" i="19"/>
  <c r="D468" i="19" s="1"/>
  <c r="AN448" i="19"/>
  <c r="Y468" i="19" s="1"/>
  <c r="R448" i="19"/>
  <c r="C468" i="19" s="1"/>
  <c r="AL450" i="19"/>
  <c r="W470" i="19" s="1"/>
  <c r="AD450" i="19"/>
  <c r="O470" i="19" s="1"/>
  <c r="V450" i="19"/>
  <c r="G470" i="19" s="1"/>
  <c r="AK450" i="19"/>
  <c r="V470" i="19" s="1"/>
  <c r="AC450" i="19"/>
  <c r="N470" i="19" s="1"/>
  <c r="U450" i="19"/>
  <c r="F470" i="19" s="1"/>
  <c r="AR450" i="19"/>
  <c r="AC470" i="19" s="1"/>
  <c r="AH450" i="19"/>
  <c r="S470" i="19" s="1"/>
  <c r="X450" i="19"/>
  <c r="I470" i="19" s="1"/>
  <c r="AP450" i="19"/>
  <c r="AA470" i="19" s="1"/>
  <c r="AF450" i="19"/>
  <c r="Q470" i="19" s="1"/>
  <c r="T450" i="19"/>
  <c r="E470" i="19" s="1"/>
  <c r="AN450" i="19"/>
  <c r="Y470" i="19" s="1"/>
  <c r="AB450" i="19"/>
  <c r="M470" i="19" s="1"/>
  <c r="R450" i="19"/>
  <c r="C470" i="19" s="1"/>
  <c r="AM450" i="19"/>
  <c r="X470" i="19" s="1"/>
  <c r="AA450" i="19"/>
  <c r="L470" i="19" s="1"/>
  <c r="Q450" i="19"/>
  <c r="B470" i="19" s="1"/>
  <c r="AI450" i="19"/>
  <c r="T470" i="19" s="1"/>
  <c r="AG450" i="19"/>
  <c r="R470" i="19" s="1"/>
  <c r="AE450" i="19"/>
  <c r="P470" i="19" s="1"/>
  <c r="Z450" i="19"/>
  <c r="K470" i="19" s="1"/>
  <c r="AQ450" i="19"/>
  <c r="AB470" i="19" s="1"/>
  <c r="W450" i="19"/>
  <c r="H470" i="19" s="1"/>
  <c r="AO450" i="19"/>
  <c r="Z470" i="19" s="1"/>
  <c r="S450" i="19"/>
  <c r="D470" i="19" s="1"/>
  <c r="X448" i="19"/>
  <c r="I468" i="19" s="1"/>
  <c r="Y450" i="19"/>
  <c r="J470" i="19" s="1"/>
  <c r="AN439" i="19"/>
  <c r="Y459" i="19" s="1"/>
  <c r="R442" i="19"/>
  <c r="C462" i="19" s="1"/>
  <c r="AL444" i="19"/>
  <c r="W464" i="19" s="1"/>
  <c r="AQ445" i="19"/>
  <c r="AB465" i="19" s="1"/>
  <c r="AJ448" i="19"/>
  <c r="U468" i="19" s="1"/>
  <c r="AJ450" i="19"/>
  <c r="U470" i="19" s="1"/>
  <c r="AA442" i="19"/>
  <c r="L462" i="19" s="1"/>
  <c r="AR448" i="19"/>
  <c r="AC468" i="19" s="1"/>
  <c r="AR439" i="19"/>
  <c r="AC459" i="19" s="1"/>
  <c r="AJ439" i="19"/>
  <c r="U459" i="19" s="1"/>
  <c r="AB439" i="19"/>
  <c r="M459" i="19" s="1"/>
  <c r="T439" i="19"/>
  <c r="E459" i="19" s="1"/>
  <c r="AP439" i="19"/>
  <c r="AA459" i="19" s="1"/>
  <c r="AH439" i="19"/>
  <c r="S459" i="19" s="1"/>
  <c r="Z439" i="19"/>
  <c r="K459" i="19" s="1"/>
  <c r="R439" i="19"/>
  <c r="C459" i="19" s="1"/>
  <c r="AM439" i="19"/>
  <c r="X459" i="19" s="1"/>
  <c r="AE439" i="19"/>
  <c r="P459" i="19" s="1"/>
  <c r="AO439" i="19"/>
  <c r="Z459" i="19" s="1"/>
  <c r="AC439" i="19"/>
  <c r="N459" i="19" s="1"/>
  <c r="Q439" i="19"/>
  <c r="B459" i="19" s="1"/>
  <c r="AL439" i="19"/>
  <c r="W459" i="19" s="1"/>
  <c r="Y439" i="19"/>
  <c r="J459" i="19" s="1"/>
  <c r="AK439" i="19"/>
  <c r="V459" i="19" s="1"/>
  <c r="X439" i="19"/>
  <c r="I459" i="19" s="1"/>
  <c r="AG439" i="19"/>
  <c r="R459" i="19" s="1"/>
  <c r="V439" i="19"/>
  <c r="G459" i="19" s="1"/>
  <c r="AF439" i="19"/>
  <c r="Q459" i="19" s="1"/>
  <c r="U439" i="19"/>
  <c r="F459" i="19" s="1"/>
  <c r="W440" i="19"/>
  <c r="H460" i="19" s="1"/>
  <c r="AP441" i="19"/>
  <c r="AA461" i="19" s="1"/>
  <c r="AH441" i="19"/>
  <c r="S461" i="19" s="1"/>
  <c r="Z441" i="19"/>
  <c r="K461" i="19" s="1"/>
  <c r="R441" i="19"/>
  <c r="C461" i="19" s="1"/>
  <c r="AK441" i="19"/>
  <c r="V461" i="19" s="1"/>
  <c r="AC441" i="19"/>
  <c r="N461" i="19" s="1"/>
  <c r="U441" i="19"/>
  <c r="F461" i="19" s="1"/>
  <c r="Y441" i="19"/>
  <c r="J461" i="19" s="1"/>
  <c r="AL441" i="19"/>
  <c r="W461" i="19" s="1"/>
  <c r="W443" i="19"/>
  <c r="H463" i="19" s="1"/>
  <c r="U447" i="19"/>
  <c r="F467" i="19" s="1"/>
  <c r="AO447" i="19"/>
  <c r="Z467" i="19" s="1"/>
  <c r="AA441" i="19"/>
  <c r="L461" i="19" s="1"/>
  <c r="AM441" i="19"/>
  <c r="X461" i="19" s="1"/>
  <c r="AO442" i="19"/>
  <c r="Z462" i="19" s="1"/>
  <c r="AG442" i="19"/>
  <c r="R462" i="19" s="1"/>
  <c r="Y442" i="19"/>
  <c r="J462" i="19" s="1"/>
  <c r="Q442" i="19"/>
  <c r="B462" i="19" s="1"/>
  <c r="AM442" i="19"/>
  <c r="X462" i="19" s="1"/>
  <c r="AE442" i="19"/>
  <c r="P462" i="19" s="1"/>
  <c r="W442" i="19"/>
  <c r="H462" i="19" s="1"/>
  <c r="AK442" i="19"/>
  <c r="V462" i="19" s="1"/>
  <c r="AC442" i="19"/>
  <c r="N462" i="19" s="1"/>
  <c r="U442" i="19"/>
  <c r="F462" i="19" s="1"/>
  <c r="AR442" i="19"/>
  <c r="AC462" i="19" s="1"/>
  <c r="AJ442" i="19"/>
  <c r="U462" i="19" s="1"/>
  <c r="AB442" i="19"/>
  <c r="M462" i="19" s="1"/>
  <c r="T442" i="19"/>
  <c r="E462" i="19" s="1"/>
  <c r="AF442" i="19"/>
  <c r="Q462" i="19" s="1"/>
  <c r="W447" i="19"/>
  <c r="H467" i="19" s="1"/>
  <c r="AQ447" i="19"/>
  <c r="AB467" i="19" s="1"/>
  <c r="A491" i="19"/>
  <c r="A503" i="19"/>
  <c r="AB440" i="19"/>
  <c r="M460" i="19" s="1"/>
  <c r="Q441" i="19"/>
  <c r="B461" i="19" s="1"/>
  <c r="AD441" i="19"/>
  <c r="O461" i="19" s="1"/>
  <c r="AQ441" i="19"/>
  <c r="AB461" i="19" s="1"/>
  <c r="S442" i="19"/>
  <c r="D462" i="19" s="1"/>
  <c r="AI442" i="19"/>
  <c r="T462" i="19" s="1"/>
  <c r="AR443" i="19"/>
  <c r="AC463" i="19" s="1"/>
  <c r="AJ443" i="19"/>
  <c r="U463" i="19" s="1"/>
  <c r="AB443" i="19"/>
  <c r="M463" i="19" s="1"/>
  <c r="T443" i="19"/>
  <c r="E463" i="19" s="1"/>
  <c r="AQ443" i="19"/>
  <c r="AB463" i="19" s="1"/>
  <c r="AI443" i="19"/>
  <c r="T463" i="19" s="1"/>
  <c r="AA443" i="19"/>
  <c r="L463" i="19" s="1"/>
  <c r="S443" i="19"/>
  <c r="D463" i="19" s="1"/>
  <c r="AC443" i="19"/>
  <c r="N463" i="19" s="1"/>
  <c r="AB447" i="19"/>
  <c r="M467" i="19" s="1"/>
  <c r="AQ440" i="19"/>
  <c r="AB460" i="19" s="1"/>
  <c r="AI440" i="19"/>
  <c r="T460" i="19" s="1"/>
  <c r="AA440" i="19"/>
  <c r="L460" i="19" s="1"/>
  <c r="S440" i="19"/>
  <c r="D460" i="19" s="1"/>
  <c r="AO440" i="19"/>
  <c r="Z460" i="19" s="1"/>
  <c r="AG440" i="19"/>
  <c r="R460" i="19" s="1"/>
  <c r="Y440" i="19"/>
  <c r="J460" i="19" s="1"/>
  <c r="Q440" i="19"/>
  <c r="B460" i="19" s="1"/>
  <c r="AL440" i="19"/>
  <c r="W460" i="19" s="1"/>
  <c r="AD440" i="19"/>
  <c r="O460" i="19" s="1"/>
  <c r="V440" i="19"/>
  <c r="G460" i="19" s="1"/>
  <c r="AC440" i="19"/>
  <c r="N460" i="19" s="1"/>
  <c r="AP440" i="19"/>
  <c r="AA460" i="19" s="1"/>
  <c r="S441" i="19"/>
  <c r="D461" i="19" s="1"/>
  <c r="AE441" i="19"/>
  <c r="P461" i="19" s="1"/>
  <c r="V442" i="19"/>
  <c r="G462" i="19" s="1"/>
  <c r="AL442" i="19"/>
  <c r="W462" i="19" s="1"/>
  <c r="AN443" i="19"/>
  <c r="Y463" i="19" s="1"/>
  <c r="AE443" i="19"/>
  <c r="P463" i="19" s="1"/>
  <c r="AL447" i="19"/>
  <c r="W467" i="19" s="1"/>
  <c r="AJ447" i="19"/>
  <c r="U467" i="19" s="1"/>
  <c r="AA447" i="19"/>
  <c r="L467" i="19" s="1"/>
  <c r="R447" i="19"/>
  <c r="C467" i="19" s="1"/>
  <c r="AI447" i="19"/>
  <c r="T467" i="19" s="1"/>
  <c r="Z447" i="19"/>
  <c r="K467" i="19" s="1"/>
  <c r="Q447" i="19"/>
  <c r="B467" i="19" s="1"/>
  <c r="AG447" i="19"/>
  <c r="R467" i="19" s="1"/>
  <c r="T440" i="19"/>
  <c r="E460" i="19" s="1"/>
  <c r="AF440" i="19"/>
  <c r="Q460" i="19" s="1"/>
  <c r="V441" i="19"/>
  <c r="G461" i="19" s="1"/>
  <c r="AI441" i="19"/>
  <c r="T461" i="19" s="1"/>
  <c r="Z442" i="19"/>
  <c r="K462" i="19" s="1"/>
  <c r="AP442" i="19"/>
  <c r="AA462" i="19" s="1"/>
  <c r="R443" i="19"/>
  <c r="C463" i="19" s="1"/>
  <c r="AH443" i="19"/>
  <c r="S463" i="19" s="1"/>
  <c r="AN447" i="19"/>
  <c r="Y467" i="19" s="1"/>
  <c r="AH447" i="19"/>
  <c r="S467" i="19" s="1"/>
  <c r="AK451" i="19"/>
  <c r="V471" i="19" s="1"/>
  <c r="AC451" i="19"/>
  <c r="N471" i="19" s="1"/>
  <c r="U451" i="19"/>
  <c r="F471" i="19" s="1"/>
  <c r="AR451" i="19"/>
  <c r="AC471" i="19" s="1"/>
  <c r="AJ451" i="19"/>
  <c r="U471" i="19" s="1"/>
  <c r="AB451" i="19"/>
  <c r="M471" i="19" s="1"/>
  <c r="T451" i="19"/>
  <c r="E471" i="19" s="1"/>
  <c r="AP451" i="19"/>
  <c r="AA471" i="19" s="1"/>
  <c r="AH451" i="19"/>
  <c r="S471" i="19" s="1"/>
  <c r="AO451" i="19"/>
  <c r="Z471" i="19" s="1"/>
  <c r="AG451" i="19"/>
  <c r="R471" i="19" s="1"/>
  <c r="Y451" i="19"/>
  <c r="J471" i="19" s="1"/>
  <c r="AM451" i="19"/>
  <c r="X471" i="19" s="1"/>
  <c r="AE451" i="19"/>
  <c r="P471" i="19" s="1"/>
  <c r="W451" i="19"/>
  <c r="H471" i="19" s="1"/>
  <c r="AL451" i="19"/>
  <c r="W471" i="19" s="1"/>
  <c r="S451" i="19"/>
  <c r="D471" i="19" s="1"/>
  <c r="AF451" i="19"/>
  <c r="Q471" i="19" s="1"/>
  <c r="Q451" i="19"/>
  <c r="B471" i="19" s="1"/>
  <c r="AA451" i="19"/>
  <c r="L471" i="19" s="1"/>
  <c r="Z451" i="19"/>
  <c r="K471" i="19" s="1"/>
  <c r="AO446" i="19"/>
  <c r="Z466" i="19" s="1"/>
  <c r="AG446" i="19"/>
  <c r="R466" i="19" s="1"/>
  <c r="X446" i="19"/>
  <c r="I466" i="19" s="1"/>
  <c r="AF446" i="19"/>
  <c r="Q466" i="19" s="1"/>
  <c r="AP446" i="19"/>
  <c r="AA466" i="19" s="1"/>
  <c r="A506" i="19"/>
  <c r="A494" i="19"/>
  <c r="A496" i="19"/>
  <c r="A508" i="19"/>
  <c r="X441" i="19"/>
  <c r="I461" i="19" s="1"/>
  <c r="AF441" i="19"/>
  <c r="Q461" i="19" s="1"/>
  <c r="V443" i="19"/>
  <c r="G463" i="19" s="1"/>
  <c r="AD443" i="19"/>
  <c r="O463" i="19" s="1"/>
  <c r="AL443" i="19"/>
  <c r="W463" i="19" s="1"/>
  <c r="S446" i="19"/>
  <c r="D466" i="19" s="1"/>
  <c r="AA446" i="19"/>
  <c r="L466" i="19" s="1"/>
  <c r="AJ446" i="19"/>
  <c r="U466" i="19" s="1"/>
  <c r="T447" i="19"/>
  <c r="E467" i="19" s="1"/>
  <c r="AC447" i="19"/>
  <c r="N467" i="19" s="1"/>
  <c r="AH452" i="19"/>
  <c r="S472" i="19" s="1"/>
  <c r="X443" i="19"/>
  <c r="I463" i="19" s="1"/>
  <c r="AF443" i="19"/>
  <c r="Q463" i="19" s="1"/>
  <c r="U446" i="19"/>
  <c r="F466" i="19" s="1"/>
  <c r="AC446" i="19"/>
  <c r="N466" i="19" s="1"/>
  <c r="AL446" i="19"/>
  <c r="W466" i="19" s="1"/>
  <c r="AM447" i="19"/>
  <c r="X467" i="19" s="1"/>
  <c r="V447" i="19"/>
  <c r="G467" i="19" s="1"/>
  <c r="AE447" i="19"/>
  <c r="P467" i="19" s="1"/>
  <c r="AP447" i="19"/>
  <c r="AA467" i="19" s="1"/>
  <c r="V452" i="19"/>
  <c r="G472" i="19" s="1"/>
  <c r="AD452" i="19"/>
  <c r="O472" i="19" s="1"/>
  <c r="AL452" i="19"/>
  <c r="W472" i="19" s="1"/>
  <c r="U453" i="19"/>
  <c r="AC453" i="19"/>
  <c r="AK453" i="19"/>
  <c r="T454" i="19"/>
  <c r="AB454" i="19"/>
  <c r="AJ454" i="19"/>
  <c r="AR454" i="19"/>
  <c r="S455" i="19"/>
  <c r="D475" i="19" s="1"/>
  <c r="AA455" i="19"/>
  <c r="L475" i="19" s="1"/>
  <c r="AI455" i="19"/>
  <c r="T475" i="19" s="1"/>
  <c r="AQ455" i="19"/>
  <c r="AB475" i="19" s="1"/>
  <c r="V453" i="19"/>
  <c r="AD453" i="19"/>
  <c r="AL453" i="19"/>
  <c r="U454" i="19"/>
  <c r="AC454" i="19"/>
  <c r="AK454" i="19"/>
  <c r="T455" i="19"/>
  <c r="E475" i="19" s="1"/>
  <c r="AB455" i="19"/>
  <c r="M475" i="19" s="1"/>
  <c r="AJ455" i="19"/>
  <c r="U475" i="19" s="1"/>
  <c r="AR455" i="19"/>
  <c r="AC475" i="19" s="1"/>
  <c r="A505" i="19"/>
  <c r="A493" i="19"/>
  <c r="X452" i="19"/>
  <c r="I472" i="19" s="1"/>
  <c r="AF452" i="19"/>
  <c r="Q472" i="19" s="1"/>
  <c r="AN452" i="19"/>
  <c r="Y472" i="19" s="1"/>
  <c r="W453" i="19"/>
  <c r="AE453" i="19"/>
  <c r="AM453" i="19"/>
  <c r="V454" i="19"/>
  <c r="AD454" i="19"/>
  <c r="AL454" i="19"/>
  <c r="U455" i="19"/>
  <c r="F475" i="19" s="1"/>
  <c r="AC455" i="19"/>
  <c r="N475" i="19" s="1"/>
  <c r="AK455" i="19"/>
  <c r="V475" i="19" s="1"/>
  <c r="A502" i="19"/>
  <c r="A490" i="19"/>
  <c r="Y452" i="19"/>
  <c r="J472" i="19" s="1"/>
  <c r="AG452" i="19"/>
  <c r="R472" i="19" s="1"/>
  <c r="AO452" i="19"/>
  <c r="Z472" i="19" s="1"/>
  <c r="X453" i="19"/>
  <c r="AF453" i="19"/>
  <c r="AN453" i="19"/>
  <c r="W454" i="19"/>
  <c r="AE454" i="19"/>
  <c r="AM454" i="19"/>
  <c r="AD455" i="19"/>
  <c r="O475" i="19" s="1"/>
  <c r="AL455" i="19"/>
  <c r="W475" i="19" s="1"/>
  <c r="A509" i="19"/>
  <c r="A497" i="19"/>
  <c r="Y453" i="19"/>
  <c r="AG453" i="19"/>
  <c r="X454" i="19"/>
  <c r="AF454" i="19"/>
  <c r="AN454" i="19"/>
  <c r="W455" i="19"/>
  <c r="H475" i="19" s="1"/>
  <c r="AE455" i="19"/>
  <c r="P475" i="19" s="1"/>
  <c r="A504" i="19"/>
  <c r="A492" i="19"/>
  <c r="S452" i="19"/>
  <c r="D472" i="19" s="1"/>
  <c r="AA452" i="19"/>
  <c r="L472" i="19" s="1"/>
  <c r="AI452" i="19"/>
  <c r="T472" i="19" s="1"/>
  <c r="AQ452" i="19"/>
  <c r="AB472" i="19" s="1"/>
  <c r="R453" i="19"/>
  <c r="Z453" i="19"/>
  <c r="AH453" i="19"/>
  <c r="AP453" i="19"/>
  <c r="Q454" i="19"/>
  <c r="Y454" i="19"/>
  <c r="AG454" i="19"/>
  <c r="AO454" i="19"/>
  <c r="X455" i="19"/>
  <c r="I475" i="19" s="1"/>
  <c r="AF455" i="19"/>
  <c r="Q475" i="19" s="1"/>
  <c r="AN455" i="19"/>
  <c r="Y475" i="19" s="1"/>
  <c r="X447" i="19"/>
  <c r="I467" i="19" s="1"/>
  <c r="AF447" i="19"/>
  <c r="Q467" i="19" s="1"/>
  <c r="T452" i="19"/>
  <c r="E472" i="19" s="1"/>
  <c r="AB452" i="19"/>
  <c r="M472" i="19" s="1"/>
  <c r="AJ452" i="19"/>
  <c r="U472" i="19" s="1"/>
  <c r="S453" i="19"/>
  <c r="AA453" i="19"/>
  <c r="AI453" i="19"/>
  <c r="R454" i="19"/>
  <c r="Z454" i="19"/>
  <c r="AH454" i="19"/>
  <c r="Q455" i="19"/>
  <c r="B475" i="19" s="1"/>
  <c r="Y455" i="19"/>
  <c r="J475" i="19" s="1"/>
  <c r="AG455" i="19"/>
  <c r="R475" i="19" s="1"/>
  <c r="A507" i="19"/>
  <c r="A495" i="19"/>
  <c r="T46" i="21" l="1"/>
  <c r="T152" i="21"/>
  <c r="T259" i="21"/>
  <c r="T369" i="21"/>
  <c r="T473" i="21"/>
  <c r="T45" i="21"/>
  <c r="W473" i="20"/>
  <c r="D71" i="26"/>
  <c r="D83" i="26" s="1"/>
  <c r="Z165" i="26"/>
  <c r="AA177" i="26"/>
  <c r="Z394" i="26"/>
  <c r="J273" i="25"/>
  <c r="W394" i="25"/>
  <c r="W406" i="25" s="1"/>
  <c r="G71" i="25"/>
  <c r="G83" i="25" s="1"/>
  <c r="X59" i="24"/>
  <c r="N165" i="24"/>
  <c r="Y394" i="24"/>
  <c r="Y406" i="24" s="1"/>
  <c r="C285" i="24"/>
  <c r="L285" i="24"/>
  <c r="L297" i="24" s="1"/>
  <c r="Z394" i="24"/>
  <c r="AB285" i="24"/>
  <c r="U59" i="26"/>
  <c r="P394" i="25"/>
  <c r="P406" i="25" s="1"/>
  <c r="E285" i="25"/>
  <c r="E297" i="25" s="1"/>
  <c r="N382" i="26"/>
  <c r="X512" i="20"/>
  <c r="X486" i="20"/>
  <c r="S512" i="19"/>
  <c r="S486" i="19"/>
  <c r="G512" i="19"/>
  <c r="G486" i="19"/>
  <c r="B512" i="19"/>
  <c r="B486" i="19"/>
  <c r="C486" i="20"/>
  <c r="C512" i="20"/>
  <c r="N512" i="20"/>
  <c r="N486" i="20"/>
  <c r="AC512" i="19"/>
  <c r="AC486" i="19"/>
  <c r="R512" i="20"/>
  <c r="R486" i="20"/>
  <c r="O512" i="20"/>
  <c r="O486" i="20"/>
  <c r="M512" i="20"/>
  <c r="M486" i="20"/>
  <c r="W512" i="20"/>
  <c r="W486" i="20"/>
  <c r="U512" i="19"/>
  <c r="U486" i="19"/>
  <c r="J512" i="20"/>
  <c r="J486" i="20"/>
  <c r="G486" i="20"/>
  <c r="G512" i="20"/>
  <c r="Y512" i="19"/>
  <c r="Y486" i="19"/>
  <c r="V486" i="19"/>
  <c r="V512" i="19"/>
  <c r="M486" i="19"/>
  <c r="M512" i="19"/>
  <c r="AB512" i="19"/>
  <c r="AB486" i="19"/>
  <c r="B512" i="20"/>
  <c r="B486" i="20"/>
  <c r="F486" i="20"/>
  <c r="F512" i="20"/>
  <c r="V486" i="20"/>
  <c r="V512" i="20"/>
  <c r="K512" i="19"/>
  <c r="K486" i="19"/>
  <c r="AA512" i="19"/>
  <c r="AA486" i="19"/>
  <c r="X486" i="19"/>
  <c r="X512" i="19"/>
  <c r="O512" i="19"/>
  <c r="O486" i="19"/>
  <c r="D512" i="20"/>
  <c r="D486" i="20"/>
  <c r="C512" i="19"/>
  <c r="C486" i="19"/>
  <c r="Z512" i="20"/>
  <c r="Z486" i="20"/>
  <c r="Q512" i="19"/>
  <c r="Q486" i="19"/>
  <c r="N486" i="19"/>
  <c r="N512" i="19"/>
  <c r="E512" i="19"/>
  <c r="E486" i="19"/>
  <c r="T512" i="19"/>
  <c r="T486" i="19"/>
  <c r="AA512" i="20"/>
  <c r="AA486" i="20"/>
  <c r="Y512" i="20"/>
  <c r="Y486" i="20"/>
  <c r="U486" i="20"/>
  <c r="U512" i="20"/>
  <c r="P512" i="20"/>
  <c r="P486" i="20"/>
  <c r="Z486" i="19"/>
  <c r="Z512" i="19"/>
  <c r="AB512" i="20"/>
  <c r="AB486" i="20"/>
  <c r="R512" i="19"/>
  <c r="R486" i="19"/>
  <c r="I512" i="19"/>
  <c r="I486" i="19"/>
  <c r="P512" i="19"/>
  <c r="P486" i="19"/>
  <c r="F512" i="19"/>
  <c r="F486" i="19"/>
  <c r="L512" i="19"/>
  <c r="L486" i="19"/>
  <c r="T512" i="20"/>
  <c r="T486" i="20"/>
  <c r="S512" i="20"/>
  <c r="S486" i="20"/>
  <c r="Q486" i="20"/>
  <c r="Q512" i="20"/>
  <c r="H512" i="20"/>
  <c r="H486" i="20"/>
  <c r="AC512" i="20"/>
  <c r="AC486" i="20"/>
  <c r="J512" i="19"/>
  <c r="J486" i="19"/>
  <c r="H486" i="19"/>
  <c r="H512" i="19"/>
  <c r="W512" i="19"/>
  <c r="W486" i="19"/>
  <c r="D486" i="19"/>
  <c r="D512" i="19"/>
  <c r="L512" i="20"/>
  <c r="L486" i="20"/>
  <c r="K512" i="20"/>
  <c r="K486" i="20"/>
  <c r="I512" i="20"/>
  <c r="I486" i="20"/>
  <c r="E512" i="20"/>
  <c r="E486" i="20"/>
  <c r="I381" i="20"/>
  <c r="I407" i="20"/>
  <c r="Q407" i="19"/>
  <c r="Q381" i="19"/>
  <c r="U407" i="19"/>
  <c r="U381" i="19"/>
  <c r="E407" i="19"/>
  <c r="E381" i="19"/>
  <c r="M381" i="19"/>
  <c r="M407" i="19"/>
  <c r="M407" i="20"/>
  <c r="M381" i="20"/>
  <c r="N407" i="20"/>
  <c r="N381" i="20"/>
  <c r="F407" i="19"/>
  <c r="F381" i="19"/>
  <c r="AB407" i="19"/>
  <c r="AB381" i="19"/>
  <c r="Q381" i="20"/>
  <c r="Q407" i="20"/>
  <c r="G407" i="20"/>
  <c r="G381" i="20"/>
  <c r="X381" i="20"/>
  <c r="X407" i="20"/>
  <c r="K407" i="20"/>
  <c r="K381" i="20"/>
  <c r="V407" i="20"/>
  <c r="V381" i="20"/>
  <c r="N381" i="19"/>
  <c r="N407" i="19"/>
  <c r="O407" i="19"/>
  <c r="O381" i="19"/>
  <c r="AA381" i="20"/>
  <c r="AA407" i="20"/>
  <c r="O381" i="20"/>
  <c r="O407" i="20"/>
  <c r="J407" i="20"/>
  <c r="J381" i="20"/>
  <c r="U407" i="20"/>
  <c r="U381" i="20"/>
  <c r="E407" i="20"/>
  <c r="E381" i="20"/>
  <c r="V381" i="19"/>
  <c r="V407" i="19"/>
  <c r="AC407" i="19"/>
  <c r="AC381" i="19"/>
  <c r="C407" i="19"/>
  <c r="C381" i="19"/>
  <c r="H407" i="20"/>
  <c r="H381" i="20"/>
  <c r="W407" i="20"/>
  <c r="W381" i="20"/>
  <c r="L407" i="19"/>
  <c r="L381" i="19"/>
  <c r="Y381" i="20"/>
  <c r="Y407" i="20"/>
  <c r="T381" i="19"/>
  <c r="T407" i="19"/>
  <c r="Z407" i="19"/>
  <c r="Z381" i="19"/>
  <c r="H407" i="19"/>
  <c r="H381" i="19"/>
  <c r="G407" i="19"/>
  <c r="G381" i="19"/>
  <c r="R381" i="19"/>
  <c r="R407" i="19"/>
  <c r="W407" i="19"/>
  <c r="W381" i="19"/>
  <c r="R407" i="20"/>
  <c r="R381" i="20"/>
  <c r="Z381" i="20"/>
  <c r="Z407" i="20"/>
  <c r="J407" i="19"/>
  <c r="J381" i="19"/>
  <c r="B407" i="19"/>
  <c r="B381" i="19"/>
  <c r="Y381" i="19"/>
  <c r="Y407" i="19"/>
  <c r="P381" i="19"/>
  <c r="P407" i="19"/>
  <c r="D407" i="19"/>
  <c r="D381" i="19"/>
  <c r="K407" i="19"/>
  <c r="K381" i="19"/>
  <c r="T381" i="20"/>
  <c r="T407" i="20"/>
  <c r="S407" i="20"/>
  <c r="S381" i="20"/>
  <c r="P381" i="20"/>
  <c r="P407" i="20"/>
  <c r="AB407" i="20"/>
  <c r="AB381" i="20"/>
  <c r="L407" i="20"/>
  <c r="L381" i="20"/>
  <c r="I407" i="19"/>
  <c r="I381" i="19"/>
  <c r="X407" i="19"/>
  <c r="X381" i="19"/>
  <c r="S407" i="19"/>
  <c r="S381" i="19"/>
  <c r="AA381" i="19"/>
  <c r="AA407" i="19"/>
  <c r="D381" i="20"/>
  <c r="D407" i="20"/>
  <c r="C381" i="20"/>
  <c r="C407" i="20"/>
  <c r="B407" i="20"/>
  <c r="B381" i="20"/>
  <c r="AC381" i="20"/>
  <c r="AC407" i="20"/>
  <c r="F381" i="20"/>
  <c r="F407" i="20"/>
  <c r="T298" i="19"/>
  <c r="T272" i="19"/>
  <c r="N298" i="19"/>
  <c r="N272" i="19"/>
  <c r="S298" i="19"/>
  <c r="S272" i="19"/>
  <c r="AA298" i="20"/>
  <c r="AA272" i="20"/>
  <c r="R298" i="20"/>
  <c r="R272" i="20"/>
  <c r="L298" i="19"/>
  <c r="L272" i="19"/>
  <c r="V298" i="19"/>
  <c r="V272" i="19"/>
  <c r="AA298" i="19"/>
  <c r="AA272" i="19"/>
  <c r="AC298" i="19"/>
  <c r="AC272" i="19"/>
  <c r="S298" i="20"/>
  <c r="S272" i="20"/>
  <c r="J298" i="20"/>
  <c r="J272" i="20"/>
  <c r="X272" i="20"/>
  <c r="X298" i="20"/>
  <c r="W272" i="20"/>
  <c r="W298" i="20"/>
  <c r="D298" i="19"/>
  <c r="D272" i="19"/>
  <c r="B298" i="19"/>
  <c r="B272" i="19"/>
  <c r="K298" i="20"/>
  <c r="K272" i="20"/>
  <c r="B298" i="20"/>
  <c r="B272" i="20"/>
  <c r="Y272" i="20"/>
  <c r="Y298" i="20"/>
  <c r="AC298" i="20"/>
  <c r="AC272" i="20"/>
  <c r="E298" i="20"/>
  <c r="E272" i="20"/>
  <c r="H298" i="20"/>
  <c r="H272" i="20"/>
  <c r="J298" i="19"/>
  <c r="J272" i="19"/>
  <c r="C298" i="20"/>
  <c r="C272" i="20"/>
  <c r="Q298" i="20"/>
  <c r="Q272" i="20"/>
  <c r="V298" i="20"/>
  <c r="V272" i="20"/>
  <c r="AB272" i="20"/>
  <c r="AB298" i="20"/>
  <c r="G298" i="20"/>
  <c r="G272" i="20"/>
  <c r="U298" i="20"/>
  <c r="U272" i="20"/>
  <c r="O272" i="20"/>
  <c r="O298" i="20"/>
  <c r="U298" i="19"/>
  <c r="U272" i="19"/>
  <c r="R272" i="19"/>
  <c r="R298" i="19"/>
  <c r="G298" i="19"/>
  <c r="G272" i="19"/>
  <c r="O272" i="19"/>
  <c r="O298" i="19"/>
  <c r="I272" i="20"/>
  <c r="I298" i="20"/>
  <c r="N298" i="20"/>
  <c r="N272" i="20"/>
  <c r="P272" i="20"/>
  <c r="P298" i="20"/>
  <c r="M298" i="19"/>
  <c r="M272" i="19"/>
  <c r="Y298" i="19"/>
  <c r="Y272" i="19"/>
  <c r="Z298" i="19"/>
  <c r="Z272" i="19"/>
  <c r="P298" i="19"/>
  <c r="P272" i="19"/>
  <c r="T298" i="20"/>
  <c r="T272" i="20"/>
  <c r="F298" i="20"/>
  <c r="F272" i="20"/>
  <c r="M272" i="20"/>
  <c r="M298" i="20"/>
  <c r="H272" i="19"/>
  <c r="H298" i="19"/>
  <c r="E298" i="19"/>
  <c r="E272" i="19"/>
  <c r="Q298" i="19"/>
  <c r="Q272" i="19"/>
  <c r="X272" i="19"/>
  <c r="X298" i="19"/>
  <c r="C272" i="19"/>
  <c r="C298" i="19"/>
  <c r="W298" i="19"/>
  <c r="W272" i="19"/>
  <c r="L298" i="20"/>
  <c r="L272" i="20"/>
  <c r="AB272" i="19"/>
  <c r="AB298" i="19"/>
  <c r="I298" i="19"/>
  <c r="I272" i="19"/>
  <c r="F298" i="19"/>
  <c r="F272" i="19"/>
  <c r="K298" i="19"/>
  <c r="K272" i="19"/>
  <c r="D272" i="20"/>
  <c r="D298" i="20"/>
  <c r="Z298" i="20"/>
  <c r="Z272" i="20"/>
  <c r="AA190" i="19"/>
  <c r="AA164" i="19"/>
  <c r="X190" i="19"/>
  <c r="X164" i="19"/>
  <c r="G190" i="20"/>
  <c r="G164" i="20"/>
  <c r="B190" i="20"/>
  <c r="B164" i="20"/>
  <c r="Z164" i="20"/>
  <c r="Z190" i="20"/>
  <c r="L190" i="20"/>
  <c r="L164" i="20"/>
  <c r="T190" i="20"/>
  <c r="T164" i="20"/>
  <c r="J190" i="19"/>
  <c r="J164" i="19"/>
  <c r="D190" i="19"/>
  <c r="D164" i="19"/>
  <c r="P190" i="19"/>
  <c r="P164" i="19"/>
  <c r="U190" i="19"/>
  <c r="U164" i="19"/>
  <c r="K164" i="19"/>
  <c r="K190" i="19"/>
  <c r="Q164" i="19"/>
  <c r="Q190" i="19"/>
  <c r="H190" i="19"/>
  <c r="H164" i="19"/>
  <c r="O164" i="19"/>
  <c r="O190" i="19"/>
  <c r="X190" i="20"/>
  <c r="X164" i="20"/>
  <c r="R164" i="20"/>
  <c r="R190" i="20"/>
  <c r="AB164" i="20"/>
  <c r="AB190" i="20"/>
  <c r="W190" i="19"/>
  <c r="W164" i="19"/>
  <c r="F164" i="19"/>
  <c r="F190" i="19"/>
  <c r="M164" i="19"/>
  <c r="M190" i="19"/>
  <c r="C190" i="19"/>
  <c r="C164" i="19"/>
  <c r="I190" i="19"/>
  <c r="I164" i="19"/>
  <c r="G190" i="19"/>
  <c r="G164" i="19"/>
  <c r="E190" i="20"/>
  <c r="E164" i="20"/>
  <c r="C190" i="20"/>
  <c r="C164" i="20"/>
  <c r="R190" i="19"/>
  <c r="R164" i="19"/>
  <c r="H190" i="20"/>
  <c r="H164" i="20"/>
  <c r="E190" i="19"/>
  <c r="E164" i="19"/>
  <c r="AB190" i="19"/>
  <c r="AB164" i="19"/>
  <c r="I164" i="20"/>
  <c r="I190" i="20"/>
  <c r="O164" i="20"/>
  <c r="O190" i="20"/>
  <c r="K190" i="20"/>
  <c r="K164" i="20"/>
  <c r="Z190" i="19"/>
  <c r="Z164" i="19"/>
  <c r="N190" i="19"/>
  <c r="N164" i="19"/>
  <c r="AC190" i="19"/>
  <c r="AC164" i="19"/>
  <c r="N190" i="20"/>
  <c r="N164" i="20"/>
  <c r="T190" i="19"/>
  <c r="T164" i="19"/>
  <c r="AC190" i="20"/>
  <c r="AC164" i="20"/>
  <c r="U190" i="20"/>
  <c r="U164" i="20"/>
  <c r="Y190" i="20"/>
  <c r="Y164" i="20"/>
  <c r="S190" i="20"/>
  <c r="S164" i="20"/>
  <c r="B164" i="19"/>
  <c r="B190" i="19"/>
  <c r="L190" i="19"/>
  <c r="L164" i="19"/>
  <c r="M164" i="20"/>
  <c r="M190" i="20"/>
  <c r="S164" i="19"/>
  <c r="S190" i="19"/>
  <c r="J190" i="20"/>
  <c r="J164" i="20"/>
  <c r="F190" i="20"/>
  <c r="F164" i="20"/>
  <c r="AA190" i="20"/>
  <c r="AA164" i="20"/>
  <c r="V190" i="19"/>
  <c r="V164" i="19"/>
  <c r="Y190" i="19"/>
  <c r="Y164" i="19"/>
  <c r="W164" i="20"/>
  <c r="W190" i="20"/>
  <c r="V190" i="20"/>
  <c r="V164" i="20"/>
  <c r="P190" i="20"/>
  <c r="P164" i="20"/>
  <c r="D190" i="20"/>
  <c r="D164" i="20"/>
  <c r="Q190" i="20"/>
  <c r="Q164" i="20"/>
  <c r="Q84" i="19"/>
  <c r="Q58" i="19"/>
  <c r="AB84" i="19"/>
  <c r="AB58" i="19"/>
  <c r="AA84" i="20"/>
  <c r="AA58" i="20"/>
  <c r="Z58" i="20"/>
  <c r="Z84" i="20"/>
  <c r="F84" i="20"/>
  <c r="F58" i="20"/>
  <c r="AB84" i="20"/>
  <c r="AB58" i="20"/>
  <c r="I84" i="19"/>
  <c r="I58" i="19"/>
  <c r="O58" i="19"/>
  <c r="O84" i="19"/>
  <c r="T58" i="19"/>
  <c r="T84" i="19"/>
  <c r="S84" i="20"/>
  <c r="S58" i="20"/>
  <c r="R58" i="20"/>
  <c r="R84" i="20"/>
  <c r="AC58" i="20"/>
  <c r="AC84" i="20"/>
  <c r="AA84" i="19"/>
  <c r="AA58" i="19"/>
  <c r="L84" i="19"/>
  <c r="L58" i="19"/>
  <c r="K84" i="20"/>
  <c r="K58" i="20"/>
  <c r="J58" i="20"/>
  <c r="J84" i="20"/>
  <c r="H84" i="20"/>
  <c r="H58" i="20"/>
  <c r="L84" i="20"/>
  <c r="L58" i="20"/>
  <c r="D84" i="20"/>
  <c r="D58" i="20"/>
  <c r="V84" i="19"/>
  <c r="V58" i="19"/>
  <c r="D84" i="19"/>
  <c r="D58" i="19"/>
  <c r="U84" i="20"/>
  <c r="U58" i="20"/>
  <c r="C84" i="20"/>
  <c r="C58" i="20"/>
  <c r="B58" i="20"/>
  <c r="B84" i="20"/>
  <c r="U84" i="19"/>
  <c r="U58" i="19"/>
  <c r="Y84" i="19"/>
  <c r="Y58" i="19"/>
  <c r="Z58" i="19"/>
  <c r="Z84" i="19"/>
  <c r="X84" i="19"/>
  <c r="X58" i="19"/>
  <c r="N58" i="19"/>
  <c r="N84" i="19"/>
  <c r="M84" i="20"/>
  <c r="M58" i="20"/>
  <c r="Q84" i="20"/>
  <c r="Q58" i="20"/>
  <c r="Y84" i="20"/>
  <c r="Y58" i="20"/>
  <c r="S84" i="19"/>
  <c r="S58" i="19"/>
  <c r="R58" i="19"/>
  <c r="R84" i="19"/>
  <c r="P84" i="19"/>
  <c r="P58" i="19"/>
  <c r="F84" i="19"/>
  <c r="F58" i="19"/>
  <c r="E58" i="20"/>
  <c r="E84" i="20"/>
  <c r="I84" i="20"/>
  <c r="I58" i="20"/>
  <c r="X58" i="20"/>
  <c r="X84" i="20"/>
  <c r="W84" i="20"/>
  <c r="W58" i="20"/>
  <c r="P58" i="20"/>
  <c r="P84" i="20"/>
  <c r="T84" i="20"/>
  <c r="T58" i="20"/>
  <c r="K58" i="19"/>
  <c r="K84" i="19"/>
  <c r="J58" i="19"/>
  <c r="J84" i="19"/>
  <c r="H58" i="19"/>
  <c r="H84" i="19"/>
  <c r="W84" i="19"/>
  <c r="W58" i="19"/>
  <c r="O84" i="20"/>
  <c r="O58" i="20"/>
  <c r="V58" i="20"/>
  <c r="V84" i="20"/>
  <c r="M58" i="19"/>
  <c r="M84" i="19"/>
  <c r="G58" i="19"/>
  <c r="G84" i="19"/>
  <c r="C84" i="19"/>
  <c r="C58" i="19"/>
  <c r="B84" i="19"/>
  <c r="B58" i="19"/>
  <c r="G84" i="20"/>
  <c r="G58" i="20"/>
  <c r="N58" i="20"/>
  <c r="N84" i="20"/>
  <c r="AC84" i="19"/>
  <c r="AC58" i="19"/>
  <c r="E84" i="19"/>
  <c r="E58" i="19"/>
  <c r="AB512" i="21"/>
  <c r="AB486" i="21"/>
  <c r="M512" i="21"/>
  <c r="M486" i="21"/>
  <c r="Z486" i="22"/>
  <c r="Z512" i="22"/>
  <c r="C512" i="22"/>
  <c r="C486" i="22"/>
  <c r="AC512" i="22"/>
  <c r="AC486" i="22"/>
  <c r="R512" i="23"/>
  <c r="R486" i="23"/>
  <c r="Q512" i="23"/>
  <c r="Q486" i="23"/>
  <c r="L486" i="23"/>
  <c r="L512" i="23"/>
  <c r="G512" i="23"/>
  <c r="G486" i="23"/>
  <c r="K512" i="23"/>
  <c r="K486" i="23"/>
  <c r="K512" i="22"/>
  <c r="K486" i="22"/>
  <c r="E512" i="21"/>
  <c r="E486" i="21"/>
  <c r="S512" i="23"/>
  <c r="S486" i="23"/>
  <c r="H512" i="21"/>
  <c r="H486" i="21"/>
  <c r="X512" i="21"/>
  <c r="X486" i="21"/>
  <c r="N512" i="22"/>
  <c r="N486" i="22"/>
  <c r="D512" i="23"/>
  <c r="D486" i="23"/>
  <c r="C512" i="23"/>
  <c r="C486" i="23"/>
  <c r="AA512" i="23"/>
  <c r="AA486" i="23"/>
  <c r="E512" i="23"/>
  <c r="E486" i="23"/>
  <c r="O486" i="23"/>
  <c r="O512" i="23"/>
  <c r="Y486" i="23"/>
  <c r="Y512" i="23"/>
  <c r="J512" i="21"/>
  <c r="J486" i="21"/>
  <c r="S512" i="21"/>
  <c r="S486" i="21"/>
  <c r="W512" i="22"/>
  <c r="W486" i="22"/>
  <c r="T512" i="23"/>
  <c r="T486" i="23"/>
  <c r="P512" i="23"/>
  <c r="P486" i="23"/>
  <c r="M512" i="23"/>
  <c r="M486" i="23"/>
  <c r="W512" i="23"/>
  <c r="W486" i="23"/>
  <c r="F486" i="22"/>
  <c r="F512" i="22"/>
  <c r="AA512" i="21"/>
  <c r="AA486" i="21"/>
  <c r="N512" i="21"/>
  <c r="N486" i="21"/>
  <c r="AC512" i="21"/>
  <c r="AC486" i="21"/>
  <c r="T486" i="22"/>
  <c r="T512" i="22"/>
  <c r="V486" i="22"/>
  <c r="V512" i="22"/>
  <c r="I486" i="23"/>
  <c r="I512" i="23"/>
  <c r="B512" i="23"/>
  <c r="B486" i="23"/>
  <c r="U512" i="23"/>
  <c r="U486" i="23"/>
  <c r="AB486" i="22"/>
  <c r="AB512" i="22"/>
  <c r="U512" i="21"/>
  <c r="U486" i="21"/>
  <c r="P512" i="21"/>
  <c r="P486" i="21"/>
  <c r="W512" i="21"/>
  <c r="W486" i="21"/>
  <c r="B512" i="21"/>
  <c r="B486" i="21"/>
  <c r="K512" i="21"/>
  <c r="K486" i="21"/>
  <c r="H486" i="22"/>
  <c r="H512" i="22"/>
  <c r="L512" i="22"/>
  <c r="L486" i="22"/>
  <c r="AC512" i="23"/>
  <c r="AC486" i="23"/>
  <c r="P512" i="22"/>
  <c r="P486" i="22"/>
  <c r="Y512" i="21"/>
  <c r="Y486" i="21"/>
  <c r="Q512" i="21"/>
  <c r="Q486" i="21"/>
  <c r="O512" i="21"/>
  <c r="O486" i="21"/>
  <c r="T512" i="21"/>
  <c r="T486" i="21"/>
  <c r="L486" i="21"/>
  <c r="L512" i="21"/>
  <c r="D512" i="21"/>
  <c r="D486" i="21"/>
  <c r="B486" i="22"/>
  <c r="B512" i="22"/>
  <c r="Y486" i="22"/>
  <c r="Y512" i="22"/>
  <c r="AA512" i="22"/>
  <c r="AA486" i="22"/>
  <c r="F512" i="23"/>
  <c r="F486" i="23"/>
  <c r="X486" i="23"/>
  <c r="X512" i="23"/>
  <c r="S512" i="22"/>
  <c r="S486" i="22"/>
  <c r="H512" i="23"/>
  <c r="H486" i="23"/>
  <c r="E512" i="22"/>
  <c r="E486" i="22"/>
  <c r="Z512" i="21"/>
  <c r="Z486" i="21"/>
  <c r="I512" i="21"/>
  <c r="I486" i="21"/>
  <c r="G486" i="21"/>
  <c r="G512" i="21"/>
  <c r="F512" i="21"/>
  <c r="F486" i="21"/>
  <c r="V512" i="21"/>
  <c r="V486" i="21"/>
  <c r="Q512" i="22"/>
  <c r="Q486" i="22"/>
  <c r="J512" i="22"/>
  <c r="J486" i="22"/>
  <c r="N486" i="23"/>
  <c r="N512" i="23"/>
  <c r="D486" i="22"/>
  <c r="D512" i="22"/>
  <c r="G512" i="22"/>
  <c r="G486" i="22"/>
  <c r="J486" i="23"/>
  <c r="J512" i="23"/>
  <c r="R512" i="21"/>
  <c r="R486" i="21"/>
  <c r="C512" i="21"/>
  <c r="C486" i="21"/>
  <c r="I486" i="22"/>
  <c r="I512" i="22"/>
  <c r="R486" i="22"/>
  <c r="R512" i="22"/>
  <c r="M512" i="22"/>
  <c r="M486" i="22"/>
  <c r="AB512" i="23"/>
  <c r="AB486" i="23"/>
  <c r="Z486" i="23"/>
  <c r="Z512" i="23"/>
  <c r="V486" i="23"/>
  <c r="V512" i="23"/>
  <c r="O486" i="22"/>
  <c r="O512" i="22"/>
  <c r="X512" i="22"/>
  <c r="X486" i="22"/>
  <c r="U512" i="22"/>
  <c r="U486" i="22"/>
  <c r="AC407" i="21"/>
  <c r="AC381" i="21"/>
  <c r="AB407" i="21"/>
  <c r="AB381" i="21"/>
  <c r="Y407" i="21"/>
  <c r="Y381" i="21"/>
  <c r="I407" i="22"/>
  <c r="I381" i="22"/>
  <c r="X407" i="22"/>
  <c r="X381" i="22"/>
  <c r="B407" i="23"/>
  <c r="B381" i="23"/>
  <c r="T381" i="23"/>
  <c r="T407" i="23"/>
  <c r="AC381" i="23"/>
  <c r="AC407" i="23"/>
  <c r="L407" i="22"/>
  <c r="L381" i="22"/>
  <c r="E381" i="22"/>
  <c r="E407" i="22"/>
  <c r="F407" i="21"/>
  <c r="F381" i="21"/>
  <c r="R407" i="21"/>
  <c r="R381" i="21"/>
  <c r="O381" i="21"/>
  <c r="O407" i="21"/>
  <c r="S407" i="22"/>
  <c r="S381" i="22"/>
  <c r="Q407" i="23"/>
  <c r="Q381" i="23"/>
  <c r="AB381" i="23"/>
  <c r="AB407" i="23"/>
  <c r="J381" i="23"/>
  <c r="J407" i="23"/>
  <c r="D407" i="21"/>
  <c r="D381" i="21"/>
  <c r="N381" i="21"/>
  <c r="N407" i="21"/>
  <c r="H407" i="21"/>
  <c r="H381" i="21"/>
  <c r="C407" i="21"/>
  <c r="C381" i="21"/>
  <c r="Z381" i="21"/>
  <c r="Z407" i="21"/>
  <c r="AC381" i="22"/>
  <c r="AC407" i="22"/>
  <c r="C407" i="23"/>
  <c r="C381" i="23"/>
  <c r="G381" i="23"/>
  <c r="G407" i="23"/>
  <c r="Z407" i="23"/>
  <c r="Z381" i="23"/>
  <c r="M381" i="23"/>
  <c r="M407" i="23"/>
  <c r="Q381" i="22"/>
  <c r="Q407" i="22"/>
  <c r="V381" i="22"/>
  <c r="V407" i="22"/>
  <c r="W407" i="21"/>
  <c r="W381" i="21"/>
  <c r="V407" i="21"/>
  <c r="V381" i="21"/>
  <c r="I407" i="21"/>
  <c r="I381" i="21"/>
  <c r="AA381" i="21"/>
  <c r="AA407" i="21"/>
  <c r="J381" i="21"/>
  <c r="J407" i="21"/>
  <c r="AB407" i="22"/>
  <c r="AB381" i="22"/>
  <c r="G381" i="22"/>
  <c r="G407" i="22"/>
  <c r="K407" i="23"/>
  <c r="K381" i="23"/>
  <c r="O381" i="23"/>
  <c r="O407" i="23"/>
  <c r="F407" i="23"/>
  <c r="F381" i="23"/>
  <c r="Y381" i="23"/>
  <c r="Y407" i="23"/>
  <c r="V407" i="23"/>
  <c r="V381" i="23"/>
  <c r="Y407" i="22"/>
  <c r="Y381" i="22"/>
  <c r="K381" i="21"/>
  <c r="K407" i="21"/>
  <c r="Q381" i="21"/>
  <c r="Q407" i="21"/>
  <c r="X407" i="21"/>
  <c r="X381" i="21"/>
  <c r="T381" i="21"/>
  <c r="T407" i="21"/>
  <c r="U407" i="22"/>
  <c r="U381" i="22"/>
  <c r="M381" i="22"/>
  <c r="M407" i="22"/>
  <c r="O381" i="22"/>
  <c r="O407" i="22"/>
  <c r="S381" i="23"/>
  <c r="S407" i="23"/>
  <c r="W381" i="23"/>
  <c r="W407" i="23"/>
  <c r="E407" i="23"/>
  <c r="E381" i="23"/>
  <c r="N407" i="23"/>
  <c r="N381" i="23"/>
  <c r="K407" i="22"/>
  <c r="K381" i="22"/>
  <c r="E381" i="21"/>
  <c r="E407" i="21"/>
  <c r="G407" i="21"/>
  <c r="G381" i="21"/>
  <c r="L407" i="21"/>
  <c r="L381" i="21"/>
  <c r="F381" i="22"/>
  <c r="F407" i="22"/>
  <c r="D407" i="22"/>
  <c r="D381" i="22"/>
  <c r="W407" i="22"/>
  <c r="W381" i="22"/>
  <c r="AA407" i="23"/>
  <c r="AA381" i="23"/>
  <c r="H381" i="23"/>
  <c r="H407" i="23"/>
  <c r="B407" i="22"/>
  <c r="B381" i="22"/>
  <c r="P407" i="21"/>
  <c r="P381" i="21"/>
  <c r="M407" i="21"/>
  <c r="M381" i="21"/>
  <c r="B407" i="21"/>
  <c r="B381" i="21"/>
  <c r="N407" i="22"/>
  <c r="N381" i="22"/>
  <c r="H407" i="22"/>
  <c r="H381" i="22"/>
  <c r="D407" i="23"/>
  <c r="D381" i="23"/>
  <c r="P407" i="23"/>
  <c r="P381" i="23"/>
  <c r="AA381" i="22"/>
  <c r="AA407" i="22"/>
  <c r="T381" i="22"/>
  <c r="T407" i="22"/>
  <c r="U407" i="23"/>
  <c r="U381" i="23"/>
  <c r="U407" i="21"/>
  <c r="U381" i="21"/>
  <c r="S407" i="21"/>
  <c r="S381" i="21"/>
  <c r="Z381" i="22"/>
  <c r="Z407" i="22"/>
  <c r="P407" i="22"/>
  <c r="P381" i="22"/>
  <c r="R407" i="23"/>
  <c r="R381" i="23"/>
  <c r="L407" i="23"/>
  <c r="L381" i="23"/>
  <c r="X381" i="23"/>
  <c r="X407" i="23"/>
  <c r="I407" i="23"/>
  <c r="I381" i="23"/>
  <c r="J407" i="22"/>
  <c r="J381" i="22"/>
  <c r="C407" i="22"/>
  <c r="C381" i="22"/>
  <c r="R407" i="22"/>
  <c r="R381" i="22"/>
  <c r="I272" i="21"/>
  <c r="I298" i="21"/>
  <c r="H298" i="21"/>
  <c r="H272" i="21"/>
  <c r="U272" i="21"/>
  <c r="U298" i="21"/>
  <c r="D272" i="21"/>
  <c r="D298" i="21"/>
  <c r="J272" i="22"/>
  <c r="J298" i="22"/>
  <c r="U298" i="22"/>
  <c r="U272" i="22"/>
  <c r="R298" i="23"/>
  <c r="R272" i="23"/>
  <c r="H298" i="23"/>
  <c r="H272" i="23"/>
  <c r="H272" i="22"/>
  <c r="H298" i="22"/>
  <c r="J298" i="21"/>
  <c r="J272" i="21"/>
  <c r="Y298" i="21"/>
  <c r="Y272" i="21"/>
  <c r="L272" i="21"/>
  <c r="L298" i="21"/>
  <c r="N272" i="21"/>
  <c r="N298" i="21"/>
  <c r="R272" i="22"/>
  <c r="R298" i="22"/>
  <c r="I298" i="22"/>
  <c r="I272" i="22"/>
  <c r="Z272" i="23"/>
  <c r="Z298" i="23"/>
  <c r="G298" i="23"/>
  <c r="G272" i="23"/>
  <c r="Y298" i="23"/>
  <c r="Y272" i="23"/>
  <c r="P298" i="23"/>
  <c r="P272" i="23"/>
  <c r="L298" i="22"/>
  <c r="L272" i="22"/>
  <c r="AB298" i="21"/>
  <c r="AB272" i="21"/>
  <c r="Z272" i="21"/>
  <c r="Z298" i="21"/>
  <c r="K272" i="21"/>
  <c r="K298" i="21"/>
  <c r="Z298" i="22"/>
  <c r="Z272" i="22"/>
  <c r="P298" i="22"/>
  <c r="P272" i="22"/>
  <c r="D272" i="23"/>
  <c r="D298" i="23"/>
  <c r="I298" i="23"/>
  <c r="I272" i="23"/>
  <c r="S272" i="23"/>
  <c r="S298" i="23"/>
  <c r="Q298" i="22"/>
  <c r="Q272" i="22"/>
  <c r="Y298" i="22"/>
  <c r="Y272" i="22"/>
  <c r="O298" i="21"/>
  <c r="O272" i="21"/>
  <c r="C298" i="22"/>
  <c r="C272" i="22"/>
  <c r="D298" i="22"/>
  <c r="D272" i="22"/>
  <c r="X298" i="23"/>
  <c r="X272" i="23"/>
  <c r="L298" i="23"/>
  <c r="L272" i="23"/>
  <c r="AA298" i="23"/>
  <c r="AA272" i="23"/>
  <c r="U272" i="23"/>
  <c r="U298" i="23"/>
  <c r="AA272" i="21"/>
  <c r="AA298" i="21"/>
  <c r="V298" i="22"/>
  <c r="V272" i="22"/>
  <c r="E298" i="22"/>
  <c r="E272" i="22"/>
  <c r="S272" i="21"/>
  <c r="S298" i="21"/>
  <c r="AC298" i="21"/>
  <c r="AC272" i="21"/>
  <c r="K272" i="22"/>
  <c r="K298" i="22"/>
  <c r="N272" i="23"/>
  <c r="N298" i="23"/>
  <c r="W298" i="23"/>
  <c r="W272" i="23"/>
  <c r="T298" i="23"/>
  <c r="T272" i="23"/>
  <c r="Q272" i="23"/>
  <c r="Q298" i="23"/>
  <c r="K298" i="23"/>
  <c r="K272" i="23"/>
  <c r="T272" i="22"/>
  <c r="T298" i="22"/>
  <c r="R298" i="21"/>
  <c r="R272" i="21"/>
  <c r="F298" i="21"/>
  <c r="F272" i="21"/>
  <c r="C298" i="21"/>
  <c r="C272" i="21"/>
  <c r="E298" i="21"/>
  <c r="E272" i="21"/>
  <c r="W298" i="22"/>
  <c r="W272" i="22"/>
  <c r="S298" i="22"/>
  <c r="S272" i="22"/>
  <c r="C272" i="23"/>
  <c r="C298" i="23"/>
  <c r="M298" i="23"/>
  <c r="M272" i="23"/>
  <c r="AB272" i="23"/>
  <c r="AB298" i="23"/>
  <c r="E298" i="23"/>
  <c r="E272" i="23"/>
  <c r="AB298" i="22"/>
  <c r="AB272" i="22"/>
  <c r="F272" i="23"/>
  <c r="F298" i="23"/>
  <c r="F298" i="22"/>
  <c r="F272" i="22"/>
  <c r="X298" i="21"/>
  <c r="X272" i="21"/>
  <c r="T272" i="21"/>
  <c r="T298" i="21"/>
  <c r="M298" i="21"/>
  <c r="M272" i="21"/>
  <c r="M272" i="22"/>
  <c r="M298" i="22"/>
  <c r="AA298" i="22"/>
  <c r="AA272" i="22"/>
  <c r="AC298" i="22"/>
  <c r="AC272" i="22"/>
  <c r="B298" i="23"/>
  <c r="B272" i="23"/>
  <c r="AC272" i="23"/>
  <c r="AC298" i="23"/>
  <c r="G298" i="22"/>
  <c r="G272" i="22"/>
  <c r="X272" i="22"/>
  <c r="X298" i="22"/>
  <c r="Q272" i="21"/>
  <c r="Q298" i="21"/>
  <c r="P298" i="21"/>
  <c r="P272" i="21"/>
  <c r="V272" i="21"/>
  <c r="V298" i="21"/>
  <c r="G272" i="21"/>
  <c r="G298" i="21"/>
  <c r="W298" i="21"/>
  <c r="W272" i="21"/>
  <c r="B272" i="22"/>
  <c r="B298" i="22"/>
  <c r="N272" i="22"/>
  <c r="N298" i="22"/>
  <c r="O298" i="22"/>
  <c r="O272" i="22"/>
  <c r="J272" i="23"/>
  <c r="J298" i="23"/>
  <c r="O272" i="23"/>
  <c r="O298" i="23"/>
  <c r="V298" i="23"/>
  <c r="V272" i="23"/>
  <c r="B298" i="21"/>
  <c r="B272" i="21"/>
  <c r="T190" i="21"/>
  <c r="T164" i="21"/>
  <c r="W190" i="21"/>
  <c r="W164" i="21"/>
  <c r="E190" i="21"/>
  <c r="E164" i="21"/>
  <c r="I58" i="21"/>
  <c r="I84" i="21"/>
  <c r="D84" i="21"/>
  <c r="D58" i="21"/>
  <c r="R84" i="21"/>
  <c r="R58" i="21"/>
  <c r="U58" i="21"/>
  <c r="U84" i="21"/>
  <c r="I190" i="22"/>
  <c r="I164" i="22"/>
  <c r="H164" i="22"/>
  <c r="H190" i="22"/>
  <c r="AB190" i="22"/>
  <c r="AB164" i="22"/>
  <c r="G84" i="22"/>
  <c r="G58" i="22"/>
  <c r="X190" i="22"/>
  <c r="X164" i="22"/>
  <c r="S58" i="22"/>
  <c r="S84" i="22"/>
  <c r="V164" i="23"/>
  <c r="V190" i="23"/>
  <c r="B164" i="23"/>
  <c r="B190" i="23"/>
  <c r="AB164" i="23"/>
  <c r="AB190" i="23"/>
  <c r="S58" i="23"/>
  <c r="S84" i="23"/>
  <c r="V58" i="23"/>
  <c r="V84" i="23"/>
  <c r="W58" i="23"/>
  <c r="W84" i="23"/>
  <c r="B58" i="23"/>
  <c r="B84" i="23"/>
  <c r="X84" i="22"/>
  <c r="X58" i="22"/>
  <c r="N84" i="22"/>
  <c r="N58" i="22"/>
  <c r="J84" i="22"/>
  <c r="J58" i="22"/>
  <c r="Z190" i="21"/>
  <c r="Z164" i="21"/>
  <c r="X190" i="21"/>
  <c r="X164" i="21"/>
  <c r="J190" i="21"/>
  <c r="J164" i="21"/>
  <c r="O84" i="21"/>
  <c r="O58" i="21"/>
  <c r="AC190" i="21"/>
  <c r="AC164" i="21"/>
  <c r="L190" i="21"/>
  <c r="L164" i="21"/>
  <c r="O190" i="21"/>
  <c r="O164" i="21"/>
  <c r="Z58" i="21"/>
  <c r="Z84" i="21"/>
  <c r="AC84" i="21"/>
  <c r="AC58" i="21"/>
  <c r="P190" i="22"/>
  <c r="P164" i="22"/>
  <c r="K164" i="22"/>
  <c r="K190" i="22"/>
  <c r="E164" i="22"/>
  <c r="E190" i="22"/>
  <c r="K84" i="22"/>
  <c r="K58" i="22"/>
  <c r="Y164" i="23"/>
  <c r="Y190" i="23"/>
  <c r="G164" i="23"/>
  <c r="G190" i="23"/>
  <c r="L164" i="23"/>
  <c r="L190" i="23"/>
  <c r="P164" i="23"/>
  <c r="P190" i="23"/>
  <c r="I58" i="23"/>
  <c r="I84" i="23"/>
  <c r="H58" i="23"/>
  <c r="H84" i="23"/>
  <c r="G58" i="23"/>
  <c r="G84" i="23"/>
  <c r="Q58" i="23"/>
  <c r="Q84" i="23"/>
  <c r="U58" i="22"/>
  <c r="U84" i="22"/>
  <c r="O58" i="23"/>
  <c r="O84" i="23"/>
  <c r="W84" i="22"/>
  <c r="W58" i="22"/>
  <c r="U190" i="21"/>
  <c r="U164" i="21"/>
  <c r="M84" i="22"/>
  <c r="M58" i="22"/>
  <c r="E84" i="22"/>
  <c r="E58" i="22"/>
  <c r="D164" i="21"/>
  <c r="D190" i="21"/>
  <c r="Y190" i="21"/>
  <c r="Y164" i="21"/>
  <c r="G190" i="21"/>
  <c r="G164" i="21"/>
  <c r="R190" i="21"/>
  <c r="R164" i="21"/>
  <c r="W84" i="21"/>
  <c r="W58" i="21"/>
  <c r="C84" i="21"/>
  <c r="C58" i="21"/>
  <c r="H84" i="21"/>
  <c r="H58" i="21"/>
  <c r="AB84" i="21"/>
  <c r="AB58" i="21"/>
  <c r="F164" i="22"/>
  <c r="F190" i="22"/>
  <c r="W190" i="22"/>
  <c r="W164" i="22"/>
  <c r="P84" i="22"/>
  <c r="P58" i="22"/>
  <c r="O190" i="22"/>
  <c r="O164" i="22"/>
  <c r="C58" i="22"/>
  <c r="C84" i="22"/>
  <c r="M164" i="23"/>
  <c r="M190" i="23"/>
  <c r="O164" i="23"/>
  <c r="O190" i="23"/>
  <c r="X164" i="23"/>
  <c r="X190" i="23"/>
  <c r="T164" i="23"/>
  <c r="T190" i="23"/>
  <c r="P58" i="23"/>
  <c r="P84" i="23"/>
  <c r="Y58" i="23"/>
  <c r="Y84" i="23"/>
  <c r="C58" i="23"/>
  <c r="C84" i="23"/>
  <c r="AB58" i="23"/>
  <c r="AB84" i="23"/>
  <c r="AA58" i="22"/>
  <c r="AA84" i="22"/>
  <c r="H190" i="21"/>
  <c r="H164" i="21"/>
  <c r="AA190" i="21"/>
  <c r="AA164" i="21"/>
  <c r="Q190" i="21"/>
  <c r="Q164" i="21"/>
  <c r="B164" i="21"/>
  <c r="B190" i="21"/>
  <c r="G84" i="21"/>
  <c r="G58" i="21"/>
  <c r="K84" i="21"/>
  <c r="K58" i="21"/>
  <c r="P84" i="21"/>
  <c r="P58" i="21"/>
  <c r="N84" i="21"/>
  <c r="N58" i="21"/>
  <c r="L84" i="21"/>
  <c r="L58" i="21"/>
  <c r="M190" i="22"/>
  <c r="M164" i="22"/>
  <c r="Z164" i="22"/>
  <c r="Z190" i="22"/>
  <c r="H58" i="22"/>
  <c r="H84" i="22"/>
  <c r="AA190" i="22"/>
  <c r="AA164" i="22"/>
  <c r="C164" i="23"/>
  <c r="C190" i="23"/>
  <c r="W164" i="23"/>
  <c r="W190" i="23"/>
  <c r="S164" i="23"/>
  <c r="S190" i="23"/>
  <c r="E164" i="23"/>
  <c r="E190" i="23"/>
  <c r="X58" i="23"/>
  <c r="X84" i="23"/>
  <c r="J58" i="23"/>
  <c r="J84" i="23"/>
  <c r="E58" i="23"/>
  <c r="E84" i="23"/>
  <c r="V58" i="22"/>
  <c r="V84" i="22"/>
  <c r="B58" i="22"/>
  <c r="B84" i="22"/>
  <c r="S190" i="21"/>
  <c r="S164" i="21"/>
  <c r="I190" i="21"/>
  <c r="I164" i="21"/>
  <c r="S58" i="21"/>
  <c r="S84" i="21"/>
  <c r="X84" i="21"/>
  <c r="X58" i="21"/>
  <c r="R164" i="22"/>
  <c r="R190" i="22"/>
  <c r="C190" i="22"/>
  <c r="C164" i="22"/>
  <c r="L190" i="22"/>
  <c r="L164" i="22"/>
  <c r="G190" i="22"/>
  <c r="G164" i="22"/>
  <c r="AB84" i="22"/>
  <c r="AB58" i="22"/>
  <c r="Y84" i="22"/>
  <c r="Y58" i="22"/>
  <c r="U164" i="23"/>
  <c r="U190" i="23"/>
  <c r="I164" i="23"/>
  <c r="I190" i="23"/>
  <c r="Q164" i="23"/>
  <c r="Q190" i="23"/>
  <c r="U58" i="23"/>
  <c r="U84" i="23"/>
  <c r="T58" i="23"/>
  <c r="T84" i="23"/>
  <c r="AC84" i="22"/>
  <c r="AC58" i="22"/>
  <c r="AB190" i="21"/>
  <c r="AB164" i="21"/>
  <c r="K190" i="21"/>
  <c r="K164" i="21"/>
  <c r="N190" i="21"/>
  <c r="N164" i="21"/>
  <c r="V84" i="21"/>
  <c r="V58" i="21"/>
  <c r="Q84" i="21"/>
  <c r="Q58" i="21"/>
  <c r="AA84" i="21"/>
  <c r="AA58" i="21"/>
  <c r="J164" i="22"/>
  <c r="J190" i="22"/>
  <c r="V190" i="22"/>
  <c r="V164" i="22"/>
  <c r="S190" i="22"/>
  <c r="S164" i="22"/>
  <c r="T84" i="22"/>
  <c r="T58" i="22"/>
  <c r="Q58" i="22"/>
  <c r="Q84" i="22"/>
  <c r="K164" i="23"/>
  <c r="K190" i="23"/>
  <c r="AA164" i="23"/>
  <c r="AA190" i="23"/>
  <c r="K58" i="23"/>
  <c r="K84" i="23"/>
  <c r="U164" i="22"/>
  <c r="U190" i="22"/>
  <c r="T164" i="22"/>
  <c r="T190" i="22"/>
  <c r="F84" i="22"/>
  <c r="F58" i="22"/>
  <c r="M164" i="21"/>
  <c r="M190" i="21"/>
  <c r="AA58" i="23"/>
  <c r="AA84" i="23"/>
  <c r="C190" i="21"/>
  <c r="C164" i="21"/>
  <c r="F84" i="21"/>
  <c r="F58" i="21"/>
  <c r="B84" i="21"/>
  <c r="B58" i="21"/>
  <c r="E84" i="21"/>
  <c r="E58" i="21"/>
  <c r="B190" i="22"/>
  <c r="B164" i="22"/>
  <c r="Y190" i="22"/>
  <c r="Y164" i="22"/>
  <c r="D164" i="22"/>
  <c r="D190" i="22"/>
  <c r="AC164" i="22"/>
  <c r="AC190" i="22"/>
  <c r="L84" i="22"/>
  <c r="L58" i="22"/>
  <c r="I84" i="22"/>
  <c r="I58" i="22"/>
  <c r="F164" i="23"/>
  <c r="F190" i="23"/>
  <c r="AC164" i="23"/>
  <c r="AC190" i="23"/>
  <c r="H164" i="23"/>
  <c r="H190" i="23"/>
  <c r="D164" i="23"/>
  <c r="D190" i="23"/>
  <c r="F58" i="23"/>
  <c r="F84" i="23"/>
  <c r="L58" i="23"/>
  <c r="L84" i="23"/>
  <c r="R58" i="23"/>
  <c r="R84" i="23"/>
  <c r="D58" i="23"/>
  <c r="D84" i="23"/>
  <c r="V190" i="21"/>
  <c r="V164" i="21"/>
  <c r="Y58" i="21"/>
  <c r="Y84" i="21"/>
  <c r="T84" i="21"/>
  <c r="T58" i="21"/>
  <c r="J58" i="21"/>
  <c r="J84" i="21"/>
  <c r="M84" i="21"/>
  <c r="M58" i="21"/>
  <c r="Q190" i="22"/>
  <c r="Q164" i="22"/>
  <c r="O58" i="22"/>
  <c r="O84" i="22"/>
  <c r="N164" i="22"/>
  <c r="N190" i="22"/>
  <c r="D84" i="22"/>
  <c r="D58" i="22"/>
  <c r="N164" i="23"/>
  <c r="N190" i="23"/>
  <c r="R164" i="23"/>
  <c r="R190" i="23"/>
  <c r="AC58" i="23"/>
  <c r="AC84" i="23"/>
  <c r="N58" i="23"/>
  <c r="N84" i="23"/>
  <c r="M58" i="23"/>
  <c r="M84" i="23"/>
  <c r="Z58" i="23"/>
  <c r="Z84" i="23"/>
  <c r="R58" i="22"/>
  <c r="R84" i="22"/>
  <c r="Z164" i="23"/>
  <c r="Z190" i="23"/>
  <c r="P190" i="21"/>
  <c r="P164" i="21"/>
  <c r="F190" i="21"/>
  <c r="F164" i="21"/>
  <c r="J164" i="23"/>
  <c r="J190" i="23"/>
  <c r="Z58" i="22"/>
  <c r="Z84" i="22"/>
  <c r="G382" i="25"/>
  <c r="G394" i="26"/>
  <c r="G406" i="26" s="1"/>
  <c r="Y382" i="24"/>
  <c r="Y382" i="25"/>
  <c r="Z382" i="26"/>
  <c r="AC382" i="26"/>
  <c r="Q382" i="26"/>
  <c r="Z273" i="25"/>
  <c r="Q285" i="25"/>
  <c r="Q297" i="25" s="1"/>
  <c r="G273" i="24"/>
  <c r="U285" i="24"/>
  <c r="U297" i="24" s="1"/>
  <c r="I285" i="24"/>
  <c r="G285" i="24"/>
  <c r="O285" i="24"/>
  <c r="O297" i="24" s="1"/>
  <c r="F285" i="25"/>
  <c r="AB285" i="26"/>
  <c r="AB297" i="26" s="1"/>
  <c r="AB273" i="24"/>
  <c r="AA285" i="26"/>
  <c r="AA297" i="26" s="1"/>
  <c r="R285" i="26"/>
  <c r="R297" i="26" s="1"/>
  <c r="N177" i="24"/>
  <c r="Q165" i="24"/>
  <c r="I165" i="25"/>
  <c r="G165" i="25"/>
  <c r="E177" i="25"/>
  <c r="E189" i="25" s="1"/>
  <c r="V165" i="24"/>
  <c r="Q177" i="24"/>
  <c r="S177" i="25"/>
  <c r="S189" i="25" s="1"/>
  <c r="K177" i="25"/>
  <c r="C177" i="25"/>
  <c r="C189" i="25" s="1"/>
  <c r="R177" i="24"/>
  <c r="R189" i="24" s="1"/>
  <c r="J165" i="24"/>
  <c r="U165" i="26"/>
  <c r="V71" i="26"/>
  <c r="V83" i="26" s="1"/>
  <c r="N59" i="26"/>
  <c r="B59" i="26"/>
  <c r="E71" i="24"/>
  <c r="Q59" i="24"/>
  <c r="G59" i="25"/>
  <c r="M71" i="24"/>
  <c r="M83" i="24" s="1"/>
  <c r="AA59" i="26"/>
  <c r="L71" i="26"/>
  <c r="L83" i="26" s="1"/>
  <c r="C59" i="26"/>
  <c r="I273" i="26"/>
  <c r="O273" i="26"/>
  <c r="N394" i="26"/>
  <c r="N406" i="26" s="1"/>
  <c r="Q71" i="26"/>
  <c r="Q83" i="26" s="1"/>
  <c r="B165" i="26"/>
  <c r="R273" i="26"/>
  <c r="Q177" i="26"/>
  <c r="Q189" i="26" s="1"/>
  <c r="V59" i="26"/>
  <c r="T273" i="26"/>
  <c r="AB382" i="26"/>
  <c r="E382" i="26"/>
  <c r="AC285" i="26"/>
  <c r="AC297" i="26" s="1"/>
  <c r="M394" i="26"/>
  <c r="M406" i="26" s="1"/>
  <c r="AC71" i="26"/>
  <c r="AC83" i="26" s="1"/>
  <c r="W177" i="26"/>
  <c r="W189" i="26" s="1"/>
  <c r="P285" i="26"/>
  <c r="P297" i="26" s="1"/>
  <c r="E285" i="26"/>
  <c r="E297" i="26" s="1"/>
  <c r="U382" i="26"/>
  <c r="M177" i="26"/>
  <c r="M189" i="26" s="1"/>
  <c r="L165" i="26"/>
  <c r="G59" i="26"/>
  <c r="E165" i="26"/>
  <c r="W394" i="26"/>
  <c r="W406" i="26" s="1"/>
  <c r="V382" i="26"/>
  <c r="Z71" i="26"/>
  <c r="Z83" i="26" s="1"/>
  <c r="U71" i="26"/>
  <c r="U83" i="26" s="1"/>
  <c r="N177" i="26"/>
  <c r="N189" i="26" s="1"/>
  <c r="V285" i="26"/>
  <c r="V297" i="26" s="1"/>
  <c r="AC394" i="26"/>
  <c r="AC406" i="26" s="1"/>
  <c r="E59" i="26"/>
  <c r="Y59" i="26"/>
  <c r="B71" i="26"/>
  <c r="B83" i="26" s="1"/>
  <c r="J382" i="26"/>
  <c r="J59" i="26"/>
  <c r="I177" i="26"/>
  <c r="I189" i="26" s="1"/>
  <c r="J285" i="26"/>
  <c r="J297" i="26" s="1"/>
  <c r="H59" i="26"/>
  <c r="T71" i="26"/>
  <c r="T83" i="26" s="1"/>
  <c r="C165" i="26"/>
  <c r="Y177" i="26"/>
  <c r="Y189" i="26" s="1"/>
  <c r="AC177" i="26"/>
  <c r="AC189" i="26" s="1"/>
  <c r="S382" i="26"/>
  <c r="W71" i="26"/>
  <c r="W83" i="26" s="1"/>
  <c r="E273" i="26"/>
  <c r="W285" i="26"/>
  <c r="W297" i="26" s="1"/>
  <c r="M285" i="26"/>
  <c r="M297" i="26" s="1"/>
  <c r="F273" i="26"/>
  <c r="R394" i="26"/>
  <c r="R406" i="26" s="1"/>
  <c r="F71" i="26"/>
  <c r="F83" i="26" s="1"/>
  <c r="P394" i="26"/>
  <c r="P406" i="26" s="1"/>
  <c r="C394" i="26"/>
  <c r="C406" i="26" s="1"/>
  <c r="D285" i="26"/>
  <c r="D297" i="26" s="1"/>
  <c r="B273" i="26"/>
  <c r="S71" i="26"/>
  <c r="S83" i="26" s="1"/>
  <c r="AA71" i="26"/>
  <c r="AA83" i="26" s="1"/>
  <c r="I71" i="26"/>
  <c r="I83" i="26" s="1"/>
  <c r="I285" i="26"/>
  <c r="I297" i="26" s="1"/>
  <c r="L382" i="26"/>
  <c r="L394" i="26"/>
  <c r="L406" i="26" s="1"/>
  <c r="M71" i="26"/>
  <c r="M83" i="26" s="1"/>
  <c r="G177" i="26"/>
  <c r="G189" i="26" s="1"/>
  <c r="N165" i="26"/>
  <c r="V273" i="26"/>
  <c r="Z285" i="26"/>
  <c r="Z297" i="26" s="1"/>
  <c r="B177" i="26"/>
  <c r="B189" i="26" s="1"/>
  <c r="K59" i="26"/>
  <c r="V165" i="26"/>
  <c r="D59" i="26"/>
  <c r="Y273" i="26"/>
  <c r="D382" i="26"/>
  <c r="O71" i="26"/>
  <c r="O83" i="26" s="1"/>
  <c r="K177" i="26"/>
  <c r="K189" i="26" s="1"/>
  <c r="F165" i="26"/>
  <c r="O382" i="26"/>
  <c r="M165" i="26"/>
  <c r="I394" i="26"/>
  <c r="I406" i="26" s="1"/>
  <c r="C273" i="26"/>
  <c r="AA382" i="26"/>
  <c r="K382" i="26"/>
  <c r="V394" i="26"/>
  <c r="V406" i="26" s="1"/>
  <c r="B285" i="26"/>
  <c r="B297" i="26" s="1"/>
  <c r="Q59" i="26"/>
  <c r="Y71" i="26"/>
  <c r="Y83" i="26" s="1"/>
  <c r="S165" i="26"/>
  <c r="Z177" i="26"/>
  <c r="Z189" i="26" s="1"/>
  <c r="U273" i="26"/>
  <c r="H273" i="26"/>
  <c r="L59" i="26"/>
  <c r="J273" i="26"/>
  <c r="E394" i="26"/>
  <c r="E406" i="26" s="1"/>
  <c r="H71" i="26"/>
  <c r="H83" i="26" s="1"/>
  <c r="R71" i="26"/>
  <c r="R83" i="26" s="1"/>
  <c r="P165" i="26"/>
  <c r="P71" i="26"/>
  <c r="P83" i="26" s="1"/>
  <c r="H177" i="26"/>
  <c r="H189" i="26" s="1"/>
  <c r="S273" i="26"/>
  <c r="Q273" i="26"/>
  <c r="U394" i="26"/>
  <c r="U406" i="26" s="1"/>
  <c r="M273" i="26"/>
  <c r="I382" i="26"/>
  <c r="R382" i="26"/>
  <c r="K273" i="26"/>
  <c r="P382" i="26"/>
  <c r="G71" i="26"/>
  <c r="G83" i="26" s="1"/>
  <c r="X177" i="26"/>
  <c r="X189" i="26" s="1"/>
  <c r="G382" i="26"/>
  <c r="B394" i="26"/>
  <c r="B406" i="26" s="1"/>
  <c r="O177" i="26"/>
  <c r="O189" i="26" s="1"/>
  <c r="AA165" i="26"/>
  <c r="O285" i="26"/>
  <c r="O297" i="26" s="1"/>
  <c r="M59" i="26"/>
  <c r="G165" i="26"/>
  <c r="J165" i="26"/>
  <c r="N273" i="26"/>
  <c r="T285" i="26"/>
  <c r="T297" i="26" s="1"/>
  <c r="AB273" i="26"/>
  <c r="C71" i="26"/>
  <c r="C83" i="26" s="1"/>
  <c r="AC59" i="26"/>
  <c r="AB71" i="26"/>
  <c r="AB83" i="26" s="1"/>
  <c r="K285" i="26"/>
  <c r="K297" i="26" s="1"/>
  <c r="X165" i="26"/>
  <c r="B382" i="26"/>
  <c r="I59" i="26"/>
  <c r="U177" i="26"/>
  <c r="U189" i="26" s="1"/>
  <c r="AA273" i="26"/>
  <c r="S177" i="26"/>
  <c r="S189" i="26" s="1"/>
  <c r="Z273" i="26"/>
  <c r="N285" i="26"/>
  <c r="N297" i="26" s="1"/>
  <c r="Q394" i="26"/>
  <c r="Q406" i="26" s="1"/>
  <c r="U285" i="26"/>
  <c r="U297" i="26" s="1"/>
  <c r="J394" i="26"/>
  <c r="J406" i="26" s="1"/>
  <c r="K71" i="26"/>
  <c r="K83" i="26" s="1"/>
  <c r="Q165" i="26"/>
  <c r="J71" i="26"/>
  <c r="J83" i="26" s="1"/>
  <c r="I165" i="26"/>
  <c r="X59" i="26"/>
  <c r="X71" i="26"/>
  <c r="X83" i="26" s="1"/>
  <c r="R59" i="26"/>
  <c r="P177" i="26"/>
  <c r="P189" i="26" s="1"/>
  <c r="R177" i="26"/>
  <c r="R189" i="26" s="1"/>
  <c r="H165" i="26"/>
  <c r="AC165" i="26"/>
  <c r="S285" i="26"/>
  <c r="S297" i="26" s="1"/>
  <c r="S394" i="26"/>
  <c r="S406" i="26" s="1"/>
  <c r="F382" i="26"/>
  <c r="F394" i="26"/>
  <c r="F406" i="26" s="1"/>
  <c r="F177" i="26"/>
  <c r="F189" i="26" s="1"/>
  <c r="P273" i="26"/>
  <c r="AB177" i="26"/>
  <c r="AB189" i="26" s="1"/>
  <c r="T394" i="26"/>
  <c r="T406" i="26" s="1"/>
  <c r="F59" i="26"/>
  <c r="T165" i="26"/>
  <c r="E177" i="26"/>
  <c r="E189" i="26" s="1"/>
  <c r="X382" i="26"/>
  <c r="X394" i="26"/>
  <c r="X406" i="26" s="1"/>
  <c r="X273" i="26"/>
  <c r="O165" i="26"/>
  <c r="J177" i="26"/>
  <c r="J189" i="26" s="1"/>
  <c r="E71" i="26"/>
  <c r="N71" i="26"/>
  <c r="N83" i="26" s="1"/>
  <c r="H285" i="26"/>
  <c r="H297" i="26" s="1"/>
  <c r="AB394" i="26"/>
  <c r="S59" i="26"/>
  <c r="V177" i="26"/>
  <c r="V189" i="26" s="1"/>
  <c r="L285" i="26"/>
  <c r="L297" i="26" s="1"/>
  <c r="P59" i="26"/>
  <c r="C177" i="26"/>
  <c r="C189" i="26" s="1"/>
  <c r="Y165" i="26"/>
  <c r="M382" i="26"/>
  <c r="W59" i="26"/>
  <c r="Q285" i="26"/>
  <c r="Q297" i="26" s="1"/>
  <c r="O394" i="26"/>
  <c r="O406" i="26" s="1"/>
  <c r="AB165" i="26"/>
  <c r="F285" i="26"/>
  <c r="F297" i="26" s="1"/>
  <c r="T177" i="26"/>
  <c r="T189" i="26" s="1"/>
  <c r="G273" i="26"/>
  <c r="H382" i="26"/>
  <c r="H394" i="26"/>
  <c r="H406" i="26" s="1"/>
  <c r="L177" i="26"/>
  <c r="L189" i="26" s="1"/>
  <c r="Y394" i="26"/>
  <c r="Y406" i="26" s="1"/>
  <c r="X285" i="26"/>
  <c r="X297" i="26" s="1"/>
  <c r="AA394" i="26"/>
  <c r="AA406" i="26" s="1"/>
  <c r="D273" i="26"/>
  <c r="D177" i="26"/>
  <c r="D189" i="26" s="1"/>
  <c r="D165" i="26"/>
  <c r="R165" i="26"/>
  <c r="L273" i="26"/>
  <c r="T59" i="26"/>
  <c r="AC273" i="26"/>
  <c r="Y285" i="26"/>
  <c r="Y297" i="26" s="1"/>
  <c r="D394" i="26"/>
  <c r="D406" i="26" s="1"/>
  <c r="O59" i="26"/>
  <c r="AB59" i="26"/>
  <c r="W165" i="26"/>
  <c r="K165" i="26"/>
  <c r="W273" i="26"/>
  <c r="T382" i="26"/>
  <c r="G285" i="26"/>
  <c r="G297" i="26" s="1"/>
  <c r="C285" i="26"/>
  <c r="C297" i="26" s="1"/>
  <c r="Y382" i="26"/>
  <c r="C382" i="26"/>
  <c r="K394" i="26"/>
  <c r="K406" i="26" s="1"/>
  <c r="W382" i="26"/>
  <c r="Z59" i="26"/>
  <c r="I394" i="25"/>
  <c r="I406" i="25" s="1"/>
  <c r="AA273" i="25"/>
  <c r="Y273" i="25"/>
  <c r="D71" i="25"/>
  <c r="D83" i="25" s="1"/>
  <c r="V165" i="25"/>
  <c r="AB382" i="25"/>
  <c r="AA71" i="25"/>
  <c r="AA83" i="25" s="1"/>
  <c r="J165" i="25"/>
  <c r="O165" i="25"/>
  <c r="M382" i="25"/>
  <c r="P273" i="25"/>
  <c r="P285" i="25"/>
  <c r="P297" i="25" s="1"/>
  <c r="C59" i="25"/>
  <c r="U71" i="25"/>
  <c r="U83" i="25" s="1"/>
  <c r="C273" i="25"/>
  <c r="D285" i="25"/>
  <c r="D297" i="25" s="1"/>
  <c r="D273" i="25"/>
  <c r="AC394" i="25"/>
  <c r="AC406" i="25" s="1"/>
  <c r="N394" i="25"/>
  <c r="N406" i="25" s="1"/>
  <c r="R71" i="25"/>
  <c r="R83" i="25" s="1"/>
  <c r="Y165" i="25"/>
  <c r="S394" i="25"/>
  <c r="S406" i="25" s="1"/>
  <c r="E273" i="25"/>
  <c r="B285" i="25"/>
  <c r="B297" i="25" s="1"/>
  <c r="L59" i="25"/>
  <c r="W59" i="25"/>
  <c r="R177" i="25"/>
  <c r="R189" i="25" s="1"/>
  <c r="F273" i="25"/>
  <c r="W177" i="25"/>
  <c r="W189" i="25" s="1"/>
  <c r="W165" i="25"/>
  <c r="AB394" i="25"/>
  <c r="AB406" i="25" s="1"/>
  <c r="N285" i="25"/>
  <c r="N297" i="25" s="1"/>
  <c r="AA165" i="25"/>
  <c r="AA177" i="25"/>
  <c r="AA189" i="25" s="1"/>
  <c r="K273" i="25"/>
  <c r="O177" i="25"/>
  <c r="O189" i="25" s="1"/>
  <c r="S165" i="25"/>
  <c r="L382" i="25"/>
  <c r="I59" i="25"/>
  <c r="P165" i="25"/>
  <c r="P177" i="25"/>
  <c r="P189" i="25" s="1"/>
  <c r="T177" i="25"/>
  <c r="T189" i="25" s="1"/>
  <c r="E382" i="25"/>
  <c r="U59" i="25"/>
  <c r="H273" i="25"/>
  <c r="S71" i="25"/>
  <c r="S83" i="25" s="1"/>
  <c r="C285" i="25"/>
  <c r="C297" i="25" s="1"/>
  <c r="F394" i="25"/>
  <c r="F406" i="25" s="1"/>
  <c r="O382" i="25"/>
  <c r="H71" i="25"/>
  <c r="H83" i="25" s="1"/>
  <c r="V273" i="25"/>
  <c r="T59" i="25"/>
  <c r="Q165" i="25"/>
  <c r="D394" i="25"/>
  <c r="D406" i="25" s="1"/>
  <c r="AB165" i="25"/>
  <c r="AA394" i="25"/>
  <c r="AA406" i="25" s="1"/>
  <c r="AC59" i="25"/>
  <c r="AC71" i="25"/>
  <c r="AC83" i="25" s="1"/>
  <c r="Y59" i="25"/>
  <c r="T382" i="25"/>
  <c r="M394" i="25"/>
  <c r="M406" i="25" s="1"/>
  <c r="Q71" i="25"/>
  <c r="Q83" i="25" s="1"/>
  <c r="L394" i="25"/>
  <c r="L406" i="25" s="1"/>
  <c r="M71" i="25"/>
  <c r="M83" i="25" s="1"/>
  <c r="T165" i="25"/>
  <c r="E59" i="25"/>
  <c r="C71" i="25"/>
  <c r="C83" i="25" s="1"/>
  <c r="X59" i="25"/>
  <c r="U165" i="25"/>
  <c r="H285" i="25"/>
  <c r="H297" i="25" s="1"/>
  <c r="R285" i="25"/>
  <c r="R297" i="25" s="1"/>
  <c r="I285" i="25"/>
  <c r="I297" i="25" s="1"/>
  <c r="V382" i="25"/>
  <c r="O273" i="25"/>
  <c r="Y177" i="25"/>
  <c r="Y189" i="25" s="1"/>
  <c r="R382" i="25"/>
  <c r="AB71" i="25"/>
  <c r="AB83" i="25" s="1"/>
  <c r="Z71" i="25"/>
  <c r="Z83" i="25" s="1"/>
  <c r="M285" i="25"/>
  <c r="M297" i="25" s="1"/>
  <c r="P382" i="25"/>
  <c r="V59" i="25"/>
  <c r="V71" i="25"/>
  <c r="V83" i="25" s="1"/>
  <c r="N165" i="25"/>
  <c r="U382" i="25"/>
  <c r="I177" i="25"/>
  <c r="I189" i="25" s="1"/>
  <c r="AA285" i="25"/>
  <c r="AA297" i="25" s="1"/>
  <c r="Y285" i="25"/>
  <c r="Y297" i="25" s="1"/>
  <c r="C382" i="25"/>
  <c r="D59" i="25"/>
  <c r="B71" i="25"/>
  <c r="B83" i="25" s="1"/>
  <c r="Y71" i="25"/>
  <c r="Y83" i="25" s="1"/>
  <c r="J177" i="25"/>
  <c r="J189" i="25" s="1"/>
  <c r="X285" i="25"/>
  <c r="X297" i="25" s="1"/>
  <c r="B177" i="25"/>
  <c r="B189" i="25" s="1"/>
  <c r="K71" i="25"/>
  <c r="K83" i="25" s="1"/>
  <c r="Z285" i="25"/>
  <c r="Z297" i="25" s="1"/>
  <c r="H165" i="25"/>
  <c r="D177" i="25"/>
  <c r="D189" i="25" s="1"/>
  <c r="S285" i="25"/>
  <c r="S297" i="25" s="1"/>
  <c r="K382" i="25"/>
  <c r="O394" i="25"/>
  <c r="O406" i="25" s="1"/>
  <c r="AC382" i="25"/>
  <c r="W273" i="25"/>
  <c r="B382" i="25"/>
  <c r="Q177" i="25"/>
  <c r="Q189" i="25" s="1"/>
  <c r="Z59" i="25"/>
  <c r="J285" i="25"/>
  <c r="J297" i="25" s="1"/>
  <c r="I382" i="25"/>
  <c r="J59" i="25"/>
  <c r="W71" i="25"/>
  <c r="W83" i="25" s="1"/>
  <c r="AB285" i="25"/>
  <c r="AB297" i="25" s="1"/>
  <c r="G394" i="25"/>
  <c r="G406" i="25" s="1"/>
  <c r="H382" i="25"/>
  <c r="F59" i="25"/>
  <c r="O59" i="25"/>
  <c r="R165" i="25"/>
  <c r="Z394" i="25"/>
  <c r="Z406" i="25" s="1"/>
  <c r="K285" i="25"/>
  <c r="K297" i="25" s="1"/>
  <c r="B165" i="25"/>
  <c r="K165" i="25"/>
  <c r="E394" i="25"/>
  <c r="E406" i="25" s="1"/>
  <c r="X71" i="25"/>
  <c r="X83" i="25" s="1"/>
  <c r="M177" i="25"/>
  <c r="M189" i="25" s="1"/>
  <c r="U285" i="25"/>
  <c r="U297" i="25" s="1"/>
  <c r="AC165" i="25"/>
  <c r="S59" i="25"/>
  <c r="X165" i="25"/>
  <c r="AC285" i="25"/>
  <c r="AC297" i="25" s="1"/>
  <c r="V394" i="25"/>
  <c r="V406" i="25" s="1"/>
  <c r="J382" i="25"/>
  <c r="AA382" i="25"/>
  <c r="Q382" i="25"/>
  <c r="R394" i="25"/>
  <c r="R406" i="25" s="1"/>
  <c r="P59" i="25"/>
  <c r="Z165" i="25"/>
  <c r="N71" i="25"/>
  <c r="N83" i="25" s="1"/>
  <c r="AB273" i="25"/>
  <c r="B59" i="25"/>
  <c r="Y394" i="25"/>
  <c r="AA59" i="25"/>
  <c r="N273" i="25"/>
  <c r="X273" i="25"/>
  <c r="T394" i="25"/>
  <c r="T406" i="25" s="1"/>
  <c r="X394" i="25"/>
  <c r="X406" i="25" s="1"/>
  <c r="I71" i="25"/>
  <c r="E71" i="25"/>
  <c r="E83" i="25" s="1"/>
  <c r="D165" i="25"/>
  <c r="U177" i="25"/>
  <c r="U189" i="25" s="1"/>
  <c r="F177" i="25"/>
  <c r="F189" i="25" s="1"/>
  <c r="T273" i="25"/>
  <c r="K394" i="25"/>
  <c r="K406" i="25" s="1"/>
  <c r="F382" i="25"/>
  <c r="L165" i="25"/>
  <c r="V285" i="25"/>
  <c r="V297" i="25" s="1"/>
  <c r="G273" i="25"/>
  <c r="AB59" i="25"/>
  <c r="M273" i="25"/>
  <c r="Z177" i="25"/>
  <c r="Z189" i="25" s="1"/>
  <c r="L71" i="25"/>
  <c r="L83" i="25" s="1"/>
  <c r="F71" i="25"/>
  <c r="F83" i="25" s="1"/>
  <c r="Z382" i="25"/>
  <c r="X382" i="25"/>
  <c r="M59" i="25"/>
  <c r="R273" i="25"/>
  <c r="X177" i="25"/>
  <c r="X189" i="25" s="1"/>
  <c r="T285" i="25"/>
  <c r="T297" i="25" s="1"/>
  <c r="W285" i="25"/>
  <c r="W297" i="25" s="1"/>
  <c r="B394" i="25"/>
  <c r="B406" i="25" s="1"/>
  <c r="R59" i="25"/>
  <c r="O285" i="25"/>
  <c r="O297" i="25" s="1"/>
  <c r="J394" i="25"/>
  <c r="J406" i="25" s="1"/>
  <c r="AB177" i="25"/>
  <c r="AB189" i="25" s="1"/>
  <c r="P71" i="25"/>
  <c r="E165" i="25"/>
  <c r="W382" i="25"/>
  <c r="S382" i="25"/>
  <c r="B273" i="25"/>
  <c r="N177" i="25"/>
  <c r="N189" i="25" s="1"/>
  <c r="U394" i="25"/>
  <c r="U406" i="25" s="1"/>
  <c r="N59" i="25"/>
  <c r="J71" i="25"/>
  <c r="C394" i="25"/>
  <c r="C406" i="25" s="1"/>
  <c r="H394" i="25"/>
  <c r="H406" i="25" s="1"/>
  <c r="O71" i="25"/>
  <c r="O83" i="25" s="1"/>
  <c r="V177" i="25"/>
  <c r="V189" i="25" s="1"/>
  <c r="Q273" i="25"/>
  <c r="Q59" i="25"/>
  <c r="G177" i="25"/>
  <c r="G189" i="25" s="1"/>
  <c r="C165" i="25"/>
  <c r="K59" i="25"/>
  <c r="M165" i="25"/>
  <c r="H177" i="25"/>
  <c r="H189" i="25" s="1"/>
  <c r="U273" i="25"/>
  <c r="AC177" i="25"/>
  <c r="AC189" i="25" s="1"/>
  <c r="S273" i="25"/>
  <c r="F165" i="25"/>
  <c r="I273" i="25"/>
  <c r="AC273" i="25"/>
  <c r="L285" i="25"/>
  <c r="L297" i="25" s="1"/>
  <c r="L273" i="25"/>
  <c r="N382" i="25"/>
  <c r="H59" i="25"/>
  <c r="L177" i="25"/>
  <c r="L189" i="25" s="1"/>
  <c r="T71" i="25"/>
  <c r="T83" i="25" s="1"/>
  <c r="D382" i="25"/>
  <c r="G285" i="25"/>
  <c r="G297" i="25" s="1"/>
  <c r="Q394" i="25"/>
  <c r="Q406" i="25" s="1"/>
  <c r="D382" i="24"/>
  <c r="D59" i="24"/>
  <c r="E59" i="24"/>
  <c r="Q285" i="24"/>
  <c r="Q297" i="24" s="1"/>
  <c r="Z177" i="24"/>
  <c r="Z189" i="24" s="1"/>
  <c r="I394" i="24"/>
  <c r="I406" i="24" s="1"/>
  <c r="N382" i="24"/>
  <c r="S71" i="24"/>
  <c r="S83" i="24" s="1"/>
  <c r="AB394" i="24"/>
  <c r="AB406" i="24" s="1"/>
  <c r="P382" i="24"/>
  <c r="L59" i="24"/>
  <c r="B165" i="24"/>
  <c r="J382" i="24"/>
  <c r="G382" i="24"/>
  <c r="F382" i="24"/>
  <c r="M177" i="24"/>
  <c r="M189" i="24" s="1"/>
  <c r="W71" i="24"/>
  <c r="W83" i="24" s="1"/>
  <c r="Y71" i="24"/>
  <c r="Y83" i="24" s="1"/>
  <c r="U394" i="24"/>
  <c r="U406" i="24" s="1"/>
  <c r="M394" i="24"/>
  <c r="M406" i="24" s="1"/>
  <c r="K165" i="24"/>
  <c r="L382" i="24"/>
  <c r="X71" i="24"/>
  <c r="X83" i="24" s="1"/>
  <c r="Z382" i="24"/>
  <c r="AA71" i="24"/>
  <c r="AA83" i="24" s="1"/>
  <c r="R285" i="24"/>
  <c r="R297" i="24" s="1"/>
  <c r="W394" i="24"/>
  <c r="W406" i="24" s="1"/>
  <c r="B71" i="24"/>
  <c r="B83" i="24" s="1"/>
  <c r="Q273" i="24"/>
  <c r="T71" i="24"/>
  <c r="T83" i="24" s="1"/>
  <c r="Z165" i="24"/>
  <c r="I382" i="24"/>
  <c r="N394" i="24"/>
  <c r="N406" i="24" s="1"/>
  <c r="O165" i="24"/>
  <c r="O71" i="24"/>
  <c r="O83" i="24" s="1"/>
  <c r="AC71" i="24"/>
  <c r="AC83" i="24" s="1"/>
  <c r="B273" i="24"/>
  <c r="B285" i="24"/>
  <c r="B297" i="24" s="1"/>
  <c r="P394" i="24"/>
  <c r="P406" i="24" s="1"/>
  <c r="Y165" i="24"/>
  <c r="R71" i="24"/>
  <c r="R83" i="24" s="1"/>
  <c r="K59" i="24"/>
  <c r="F59" i="24"/>
  <c r="C177" i="24"/>
  <c r="C189" i="24" s="1"/>
  <c r="J285" i="24"/>
  <c r="J297" i="24" s="1"/>
  <c r="Z285" i="24"/>
  <c r="Z297" i="24" s="1"/>
  <c r="T177" i="24"/>
  <c r="T189" i="24" s="1"/>
  <c r="AA394" i="24"/>
  <c r="AA406" i="24" s="1"/>
  <c r="S285" i="24"/>
  <c r="S297" i="24" s="1"/>
  <c r="V177" i="24"/>
  <c r="V189" i="24" s="1"/>
  <c r="D71" i="24"/>
  <c r="D83" i="24" s="1"/>
  <c r="M273" i="24"/>
  <c r="W165" i="24"/>
  <c r="L177" i="24"/>
  <c r="L189" i="24" s="1"/>
  <c r="H59" i="24"/>
  <c r="R165" i="24"/>
  <c r="E177" i="24"/>
  <c r="E189" i="24" s="1"/>
  <c r="B394" i="24"/>
  <c r="B406" i="24" s="1"/>
  <c r="Z71" i="24"/>
  <c r="Z83" i="24" s="1"/>
  <c r="V71" i="24"/>
  <c r="V83" i="24" s="1"/>
  <c r="J273" i="24"/>
  <c r="T382" i="24"/>
  <c r="M165" i="24"/>
  <c r="T165" i="24"/>
  <c r="U382" i="24"/>
  <c r="O382" i="24"/>
  <c r="U59" i="24"/>
  <c r="AA165" i="24"/>
  <c r="AA285" i="24"/>
  <c r="AA297" i="24" s="1"/>
  <c r="AC394" i="24"/>
  <c r="AC406" i="24" s="1"/>
  <c r="P71" i="24"/>
  <c r="P83" i="24" s="1"/>
  <c r="V285" i="24"/>
  <c r="V297" i="24" s="1"/>
  <c r="N285" i="24"/>
  <c r="N297" i="24" s="1"/>
  <c r="M285" i="24"/>
  <c r="M297" i="24" s="1"/>
  <c r="S382" i="24"/>
  <c r="C382" i="24"/>
  <c r="J59" i="24"/>
  <c r="X273" i="24"/>
  <c r="AC273" i="24"/>
  <c r="AC285" i="24"/>
  <c r="AC297" i="24" s="1"/>
  <c r="H71" i="24"/>
  <c r="H83" i="24" s="1"/>
  <c r="L273" i="24"/>
  <c r="X382" i="24"/>
  <c r="X394" i="24"/>
  <c r="X406" i="24" s="1"/>
  <c r="S165" i="24"/>
  <c r="C59" i="24"/>
  <c r="W273" i="24"/>
  <c r="N71" i="24"/>
  <c r="N83" i="24" s="1"/>
  <c r="I165" i="24"/>
  <c r="AB71" i="24"/>
  <c r="AB83" i="24" s="1"/>
  <c r="K285" i="24"/>
  <c r="K297" i="24" s="1"/>
  <c r="T394" i="24"/>
  <c r="T406" i="24" s="1"/>
  <c r="I59" i="24"/>
  <c r="AC177" i="24"/>
  <c r="AC189" i="24" s="1"/>
  <c r="F285" i="24"/>
  <c r="F297" i="24" s="1"/>
  <c r="Q394" i="24"/>
  <c r="Q406" i="24" s="1"/>
  <c r="G165" i="24"/>
  <c r="H285" i="24"/>
  <c r="H297" i="24" s="1"/>
  <c r="H273" i="24"/>
  <c r="K177" i="24"/>
  <c r="K189" i="24" s="1"/>
  <c r="D273" i="24"/>
  <c r="R273" i="24"/>
  <c r="M59" i="24"/>
  <c r="K71" i="24"/>
  <c r="K83" i="24" s="1"/>
  <c r="B177" i="24"/>
  <c r="B189" i="24" s="1"/>
  <c r="J394" i="24"/>
  <c r="J406" i="24" s="1"/>
  <c r="V59" i="24"/>
  <c r="K273" i="24"/>
  <c r="G394" i="24"/>
  <c r="G406" i="24" s="1"/>
  <c r="AB177" i="24"/>
  <c r="AB189" i="24" s="1"/>
  <c r="T285" i="24"/>
  <c r="T297" i="24" s="1"/>
  <c r="P165" i="24"/>
  <c r="Y273" i="24"/>
  <c r="D165" i="24"/>
  <c r="U71" i="24"/>
  <c r="U83" i="24" s="1"/>
  <c r="AA177" i="24"/>
  <c r="AA189" i="24" s="1"/>
  <c r="V273" i="24"/>
  <c r="R394" i="24"/>
  <c r="I273" i="24"/>
  <c r="S394" i="24"/>
  <c r="C394" i="24"/>
  <c r="W382" i="24"/>
  <c r="J71" i="24"/>
  <c r="J83" i="24" s="1"/>
  <c r="C273" i="24"/>
  <c r="U273" i="24"/>
  <c r="X285" i="24"/>
  <c r="X297" i="24" s="1"/>
  <c r="E165" i="24"/>
  <c r="O177" i="24"/>
  <c r="O189" i="24" s="1"/>
  <c r="O59" i="24"/>
  <c r="S59" i="24"/>
  <c r="S177" i="24"/>
  <c r="S189" i="24" s="1"/>
  <c r="E394" i="24"/>
  <c r="E406" i="24" s="1"/>
  <c r="V394" i="24"/>
  <c r="V406" i="24" s="1"/>
  <c r="L71" i="24"/>
  <c r="L83" i="24" s="1"/>
  <c r="C71" i="24"/>
  <c r="C83" i="24" s="1"/>
  <c r="Y177" i="24"/>
  <c r="Y189" i="24" s="1"/>
  <c r="H382" i="24"/>
  <c r="N59" i="24"/>
  <c r="I177" i="24"/>
  <c r="I189" i="24" s="1"/>
  <c r="F177" i="24"/>
  <c r="F189" i="24" s="1"/>
  <c r="AB165" i="24"/>
  <c r="I71" i="24"/>
  <c r="I83" i="24" s="1"/>
  <c r="P285" i="24"/>
  <c r="P297" i="24" s="1"/>
  <c r="AA273" i="24"/>
  <c r="K382" i="24"/>
  <c r="H177" i="24"/>
  <c r="H189" i="24" s="1"/>
  <c r="E273" i="24"/>
  <c r="E285" i="24"/>
  <c r="E297" i="24" s="1"/>
  <c r="AA59" i="24"/>
  <c r="N273" i="24"/>
  <c r="B59" i="24"/>
  <c r="Q71" i="24"/>
  <c r="Q83" i="24" s="1"/>
  <c r="T59" i="24"/>
  <c r="L165" i="24"/>
  <c r="B382" i="24"/>
  <c r="G59" i="24"/>
  <c r="AC59" i="24"/>
  <c r="J177" i="24"/>
  <c r="J189" i="24" s="1"/>
  <c r="AB382" i="24"/>
  <c r="V382" i="24"/>
  <c r="Z59" i="24"/>
  <c r="R59" i="24"/>
  <c r="H394" i="24"/>
  <c r="H406" i="24" s="1"/>
  <c r="F71" i="24"/>
  <c r="F83" i="24" s="1"/>
  <c r="AB59" i="24"/>
  <c r="U165" i="24"/>
  <c r="U177" i="24"/>
  <c r="U189" i="24" s="1"/>
  <c r="T273" i="24"/>
  <c r="P177" i="24"/>
  <c r="P189" i="24" s="1"/>
  <c r="D177" i="24"/>
  <c r="D189" i="24" s="1"/>
  <c r="P273" i="24"/>
  <c r="G177" i="24"/>
  <c r="G189" i="24" s="1"/>
  <c r="S273" i="24"/>
  <c r="M382" i="24"/>
  <c r="L394" i="24"/>
  <c r="L406" i="24" s="1"/>
  <c r="P59" i="24"/>
  <c r="D394" i="24"/>
  <c r="D406" i="24" s="1"/>
  <c r="R382" i="24"/>
  <c r="W177" i="24"/>
  <c r="W189" i="24" s="1"/>
  <c r="G71" i="24"/>
  <c r="G83" i="24" s="1"/>
  <c r="E382" i="24"/>
  <c r="W285" i="24"/>
  <c r="W297" i="24" s="1"/>
  <c r="X177" i="24"/>
  <c r="X189" i="24" s="1"/>
  <c r="X165" i="24"/>
  <c r="F394" i="24"/>
  <c r="F406" i="24" s="1"/>
  <c r="C165" i="24"/>
  <c r="O273" i="24"/>
  <c r="F165" i="24"/>
  <c r="Z273" i="24"/>
  <c r="AA382" i="24"/>
  <c r="AC165" i="24"/>
  <c r="W59" i="24"/>
  <c r="F273" i="24"/>
  <c r="Y285" i="24"/>
  <c r="Y297" i="24" s="1"/>
  <c r="Y59" i="24"/>
  <c r="O394" i="24"/>
  <c r="O406" i="24" s="1"/>
  <c r="Q382" i="24"/>
  <c r="AC382" i="24"/>
  <c r="K394" i="24"/>
  <c r="K406" i="24" s="1"/>
  <c r="H165" i="24"/>
  <c r="D285" i="24"/>
  <c r="D297" i="24" s="1"/>
  <c r="B46" i="22"/>
  <c r="B45" i="19"/>
  <c r="B46" i="20"/>
  <c r="B369" i="19"/>
  <c r="O368" i="21"/>
  <c r="T260" i="21"/>
  <c r="F45" i="21"/>
  <c r="W151" i="21"/>
  <c r="W259" i="20"/>
  <c r="L368" i="21"/>
  <c r="K260" i="23"/>
  <c r="T474" i="21"/>
  <c r="V45" i="21"/>
  <c r="T151" i="21"/>
  <c r="W368" i="20"/>
  <c r="W474" i="20"/>
  <c r="W369" i="20"/>
  <c r="W260" i="20"/>
  <c r="W151" i="20"/>
  <c r="W152" i="20"/>
  <c r="W46" i="20"/>
  <c r="X260" i="19"/>
  <c r="N473" i="20"/>
  <c r="K151" i="20"/>
  <c r="W45" i="20"/>
  <c r="R368" i="21"/>
  <c r="K152" i="20"/>
  <c r="AA46" i="19"/>
  <c r="R369" i="21"/>
  <c r="Z151" i="22"/>
  <c r="N368" i="21"/>
  <c r="F46" i="19"/>
  <c r="T281" i="19"/>
  <c r="AC172" i="21"/>
  <c r="R474" i="21"/>
  <c r="M369" i="21"/>
  <c r="I474" i="21"/>
  <c r="V473" i="22"/>
  <c r="G270" i="19"/>
  <c r="Q260" i="19"/>
  <c r="P151" i="21"/>
  <c r="K369" i="20"/>
  <c r="K368" i="20"/>
  <c r="O368" i="20"/>
  <c r="K473" i="20"/>
  <c r="K259" i="20"/>
  <c r="G45" i="19"/>
  <c r="N474" i="20"/>
  <c r="K474" i="20"/>
  <c r="K260" i="20"/>
  <c r="Z473" i="19"/>
  <c r="Y474" i="19"/>
  <c r="O473" i="20"/>
  <c r="B260" i="21"/>
  <c r="Q369" i="19"/>
  <c r="Q152" i="19"/>
  <c r="W368" i="22"/>
  <c r="T473" i="20"/>
  <c r="M474" i="21"/>
  <c r="M473" i="21"/>
  <c r="I260" i="21"/>
  <c r="U151" i="23"/>
  <c r="U473" i="23"/>
  <c r="P369" i="22"/>
  <c r="S368" i="20"/>
  <c r="U474" i="19"/>
  <c r="O259" i="22"/>
  <c r="I152" i="23"/>
  <c r="U368" i="23"/>
  <c r="M260" i="21"/>
  <c r="AA46" i="23"/>
  <c r="I152" i="21"/>
  <c r="M151" i="21"/>
  <c r="M152" i="21"/>
  <c r="P368" i="22"/>
  <c r="I151" i="21"/>
  <c r="X484" i="22"/>
  <c r="U259" i="21"/>
  <c r="C473" i="22"/>
  <c r="G473" i="22"/>
  <c r="K151" i="23"/>
  <c r="C259" i="22"/>
  <c r="K474" i="23"/>
  <c r="U368" i="21"/>
  <c r="C474" i="22"/>
  <c r="C151" i="22"/>
  <c r="K152" i="23"/>
  <c r="R473" i="21"/>
  <c r="U369" i="21"/>
  <c r="G260" i="22"/>
  <c r="K369" i="23"/>
  <c r="K259" i="23"/>
  <c r="AB474" i="20"/>
  <c r="E369" i="21"/>
  <c r="U259" i="23"/>
  <c r="AA259" i="19"/>
  <c r="U260" i="23"/>
  <c r="X368" i="23"/>
  <c r="U369" i="23"/>
  <c r="U152" i="23"/>
  <c r="AA369" i="22"/>
  <c r="T152" i="19"/>
  <c r="Q369" i="22"/>
  <c r="Q368" i="22"/>
  <c r="T474" i="22"/>
  <c r="T473" i="19"/>
  <c r="H473" i="20"/>
  <c r="C368" i="20"/>
  <c r="B45" i="22"/>
  <c r="O369" i="19"/>
  <c r="C473" i="20"/>
  <c r="Y46" i="21"/>
  <c r="T473" i="22"/>
  <c r="P260" i="22"/>
  <c r="T368" i="21"/>
  <c r="H369" i="20"/>
  <c r="H368" i="20"/>
  <c r="T151" i="22"/>
  <c r="O473" i="19"/>
  <c r="C474" i="20"/>
  <c r="K189" i="25"/>
  <c r="AB297" i="24"/>
  <c r="N189" i="24"/>
  <c r="L68" i="20"/>
  <c r="AA473" i="22"/>
  <c r="V369" i="22"/>
  <c r="AA259" i="22"/>
  <c r="V260" i="22"/>
  <c r="AA151" i="22"/>
  <c r="X45" i="22"/>
  <c r="U474" i="23"/>
  <c r="AB45" i="20"/>
  <c r="S45" i="20"/>
  <c r="AA474" i="22"/>
  <c r="V368" i="22"/>
  <c r="D151" i="19"/>
  <c r="V474" i="22"/>
  <c r="V259" i="22"/>
  <c r="Y473" i="19"/>
  <c r="Y259" i="21"/>
  <c r="O46" i="21"/>
  <c r="Z494" i="21"/>
  <c r="V152" i="22"/>
  <c r="AA152" i="22"/>
  <c r="AA368" i="22"/>
  <c r="AA260" i="22"/>
  <c r="V260" i="23"/>
  <c r="N152" i="19"/>
  <c r="S369" i="20"/>
  <c r="F151" i="20"/>
  <c r="S151" i="20"/>
  <c r="K259" i="22"/>
  <c r="X260" i="22"/>
  <c r="N259" i="19"/>
  <c r="S259" i="20"/>
  <c r="V45" i="22"/>
  <c r="AB259" i="23"/>
  <c r="S260" i="20"/>
  <c r="X473" i="22"/>
  <c r="K260" i="22"/>
  <c r="N45" i="22"/>
  <c r="S473" i="20"/>
  <c r="S46" i="20"/>
  <c r="L473" i="21"/>
  <c r="F473" i="20"/>
  <c r="F46" i="20"/>
  <c r="X369" i="22"/>
  <c r="K368" i="22"/>
  <c r="K151" i="22"/>
  <c r="X152" i="22"/>
  <c r="C159" i="22"/>
  <c r="S474" i="20"/>
  <c r="K403" i="20"/>
  <c r="X474" i="22"/>
  <c r="T260" i="23"/>
  <c r="Y368" i="23"/>
  <c r="AA369" i="19"/>
  <c r="W151" i="19"/>
  <c r="Y474" i="21"/>
  <c r="B390" i="21"/>
  <c r="Y473" i="21"/>
  <c r="Y368" i="21"/>
  <c r="X474" i="19"/>
  <c r="Y260" i="21"/>
  <c r="Y151" i="21"/>
  <c r="AA474" i="19"/>
  <c r="AA152" i="19"/>
  <c r="Y152" i="21"/>
  <c r="U151" i="21"/>
  <c r="Y369" i="21"/>
  <c r="AA151" i="19"/>
  <c r="AA473" i="19"/>
  <c r="AA368" i="19"/>
  <c r="AA260" i="19"/>
  <c r="S151" i="19"/>
  <c r="AB473" i="20"/>
  <c r="N368" i="19"/>
  <c r="Q151" i="19"/>
  <c r="AB53" i="19"/>
  <c r="AB152" i="20"/>
  <c r="I369" i="22"/>
  <c r="I368" i="22"/>
  <c r="AB259" i="20"/>
  <c r="AB46" i="20"/>
  <c r="Q474" i="19"/>
  <c r="AB260" i="20"/>
  <c r="I474" i="22"/>
  <c r="D151" i="22"/>
  <c r="Q368" i="19"/>
  <c r="F368" i="19"/>
  <c r="N369" i="19"/>
  <c r="N260" i="19"/>
  <c r="O282" i="19"/>
  <c r="N473" i="19"/>
  <c r="Q259" i="19"/>
  <c r="Q473" i="19"/>
  <c r="N474" i="19"/>
  <c r="AB151" i="20"/>
  <c r="D369" i="22"/>
  <c r="Z174" i="23"/>
  <c r="X368" i="22"/>
  <c r="G151" i="21"/>
  <c r="D368" i="21"/>
  <c r="D369" i="21"/>
  <c r="D474" i="21"/>
  <c r="M45" i="22"/>
  <c r="M369" i="22"/>
  <c r="M152" i="22"/>
  <c r="M473" i="22"/>
  <c r="G46" i="21"/>
  <c r="G474" i="21"/>
  <c r="I369" i="19"/>
  <c r="E56" i="19"/>
  <c r="J45" i="20"/>
  <c r="M46" i="20"/>
  <c r="G473" i="21"/>
  <c r="H368" i="21"/>
  <c r="M474" i="22"/>
  <c r="E368" i="22"/>
  <c r="Z368" i="22"/>
  <c r="M259" i="22"/>
  <c r="L56" i="20"/>
  <c r="G369" i="21"/>
  <c r="AC151" i="21"/>
  <c r="M151" i="22"/>
  <c r="H474" i="23"/>
  <c r="I473" i="19"/>
  <c r="G260" i="21"/>
  <c r="M474" i="23"/>
  <c r="X56" i="20"/>
  <c r="D473" i="21"/>
  <c r="H152" i="21"/>
  <c r="C369" i="20"/>
  <c r="G368" i="21"/>
  <c r="S474" i="22"/>
  <c r="H369" i="23"/>
  <c r="H474" i="21"/>
  <c r="AC390" i="21"/>
  <c r="T259" i="23"/>
  <c r="F369" i="22"/>
  <c r="M260" i="22"/>
  <c r="N151" i="19"/>
  <c r="S152" i="20"/>
  <c r="M46" i="22"/>
  <c r="P270" i="19"/>
  <c r="AC152" i="23"/>
  <c r="AC473" i="23"/>
  <c r="J45" i="22"/>
  <c r="J46" i="22"/>
  <c r="Z390" i="19"/>
  <c r="F259" i="21"/>
  <c r="J368" i="22"/>
  <c r="J259" i="22"/>
  <c r="AC368" i="23"/>
  <c r="AA260" i="23"/>
  <c r="P259" i="21"/>
  <c r="P152" i="21"/>
  <c r="AC369" i="23"/>
  <c r="X260" i="23"/>
  <c r="X151" i="23"/>
  <c r="J45" i="19"/>
  <c r="W474" i="21"/>
  <c r="P473" i="21"/>
  <c r="W369" i="21"/>
  <c r="F260" i="21"/>
  <c r="J260" i="22"/>
  <c r="AC151" i="23"/>
  <c r="J473" i="22"/>
  <c r="J474" i="22"/>
  <c r="X473" i="23"/>
  <c r="M46" i="19"/>
  <c r="K369" i="21"/>
  <c r="K259" i="21"/>
  <c r="W259" i="21"/>
  <c r="L260" i="22"/>
  <c r="J152" i="22"/>
  <c r="W473" i="21"/>
  <c r="F369" i="21"/>
  <c r="W368" i="21"/>
  <c r="F151" i="21"/>
  <c r="X369" i="23"/>
  <c r="X259" i="23"/>
  <c r="P45" i="19"/>
  <c r="P474" i="21"/>
  <c r="W260" i="21"/>
  <c r="J369" i="22"/>
  <c r="X474" i="23"/>
  <c r="K368" i="23"/>
  <c r="J152" i="19"/>
  <c r="F474" i="21"/>
  <c r="F473" i="21"/>
  <c r="P368" i="21"/>
  <c r="F368" i="21"/>
  <c r="F152" i="21"/>
  <c r="J151" i="22"/>
  <c r="O473" i="23"/>
  <c r="X152" i="23"/>
  <c r="J474" i="20"/>
  <c r="J473" i="20"/>
  <c r="J369" i="20"/>
  <c r="V151" i="20"/>
  <c r="N474" i="22"/>
  <c r="AA368" i="23"/>
  <c r="AA368" i="20"/>
  <c r="G368" i="20"/>
  <c r="H151" i="22"/>
  <c r="AA369" i="23"/>
  <c r="AA152" i="23"/>
  <c r="I368" i="20"/>
  <c r="H369" i="22"/>
  <c r="N369" i="22"/>
  <c r="AA151" i="23"/>
  <c r="AA474" i="21"/>
  <c r="V474" i="21"/>
  <c r="AA474" i="23"/>
  <c r="J368" i="20"/>
  <c r="V473" i="21"/>
  <c r="V151" i="21"/>
  <c r="X496" i="22"/>
  <c r="N368" i="22"/>
  <c r="N259" i="22"/>
  <c r="N152" i="22"/>
  <c r="T474" i="23"/>
  <c r="C260" i="23"/>
  <c r="AA259" i="23"/>
  <c r="N260" i="22"/>
  <c r="N151" i="22"/>
  <c r="T369" i="23"/>
  <c r="R45" i="20"/>
  <c r="V369" i="21"/>
  <c r="N473" i="22"/>
  <c r="S152" i="23"/>
  <c r="V46" i="22"/>
  <c r="M259" i="21"/>
  <c r="X508" i="22"/>
  <c r="M368" i="21"/>
  <c r="E45" i="22"/>
  <c r="E473" i="22"/>
  <c r="W474" i="22"/>
  <c r="K391" i="20"/>
  <c r="K379" i="20"/>
  <c r="Y260" i="23"/>
  <c r="AB46" i="21"/>
  <c r="AB259" i="21"/>
  <c r="AB369" i="21"/>
  <c r="O151" i="21"/>
  <c r="O45" i="21"/>
  <c r="S473" i="23"/>
  <c r="S474" i="23"/>
  <c r="F45" i="22"/>
  <c r="F368" i="22"/>
  <c r="F259" i="22"/>
  <c r="F473" i="22"/>
  <c r="Z260" i="22"/>
  <c r="Z473" i="22"/>
  <c r="Z369" i="22"/>
  <c r="AB368" i="21"/>
  <c r="M474" i="20"/>
  <c r="L259" i="21"/>
  <c r="O260" i="21"/>
  <c r="O152" i="21"/>
  <c r="E474" i="22"/>
  <c r="Z259" i="22"/>
  <c r="E260" i="22"/>
  <c r="E151" i="22"/>
  <c r="B152" i="22"/>
  <c r="AB152" i="21"/>
  <c r="D46" i="21"/>
  <c r="B259" i="22"/>
  <c r="F260" i="22"/>
  <c r="W294" i="20"/>
  <c r="M152" i="20"/>
  <c r="E473" i="21"/>
  <c r="N369" i="21"/>
  <c r="F474" i="22"/>
  <c r="P389" i="22"/>
  <c r="F151" i="22"/>
  <c r="Z152" i="22"/>
  <c r="L45" i="23"/>
  <c r="D56" i="20"/>
  <c r="AB474" i="21"/>
  <c r="O474" i="21"/>
  <c r="L474" i="21"/>
  <c r="L369" i="21"/>
  <c r="B259" i="21"/>
  <c r="AB151" i="21"/>
  <c r="Z474" i="22"/>
  <c r="W151" i="22"/>
  <c r="F152" i="22"/>
  <c r="S151" i="23"/>
  <c r="M152" i="23"/>
  <c r="M473" i="20"/>
  <c r="B260" i="20"/>
  <c r="N473" i="21"/>
  <c r="L151" i="21"/>
  <c r="H151" i="21"/>
  <c r="W473" i="22"/>
  <c r="W369" i="22"/>
  <c r="E259" i="22"/>
  <c r="AB151" i="22"/>
  <c r="S260" i="23"/>
  <c r="G474" i="20"/>
  <c r="G473" i="20"/>
  <c r="AB473" i="21"/>
  <c r="O369" i="21"/>
  <c r="AB260" i="21"/>
  <c r="U172" i="21"/>
  <c r="E369" i="22"/>
  <c r="G270" i="22"/>
  <c r="P473" i="20"/>
  <c r="N474" i="21"/>
  <c r="O473" i="21"/>
  <c r="O259" i="21"/>
  <c r="N260" i="21"/>
  <c r="D45" i="21"/>
  <c r="W259" i="22"/>
  <c r="S259" i="23"/>
  <c r="E46" i="22"/>
  <c r="P369" i="21"/>
  <c r="T46" i="23"/>
  <c r="AA46" i="22"/>
  <c r="L46" i="21"/>
  <c r="N46" i="21"/>
  <c r="M46" i="21"/>
  <c r="F473" i="19"/>
  <c r="F474" i="19"/>
  <c r="P368" i="19"/>
  <c r="P369" i="19"/>
  <c r="F152" i="19"/>
  <c r="F259" i="19"/>
  <c r="AB259" i="19"/>
  <c r="P474" i="19"/>
  <c r="J368" i="23"/>
  <c r="P473" i="19"/>
  <c r="S369" i="23"/>
  <c r="E46" i="23"/>
  <c r="E259" i="23"/>
  <c r="E473" i="23"/>
  <c r="E45" i="23"/>
  <c r="E474" i="23"/>
  <c r="D45" i="23"/>
  <c r="D473" i="23"/>
  <c r="V369" i="19"/>
  <c r="V368" i="19"/>
  <c r="E152" i="23"/>
  <c r="E151" i="23"/>
  <c r="V260" i="19"/>
  <c r="G66" i="19"/>
  <c r="Z260" i="20"/>
  <c r="L260" i="21"/>
  <c r="B474" i="22"/>
  <c r="B369" i="22"/>
  <c r="D369" i="23"/>
  <c r="Y151" i="23"/>
  <c r="Y152" i="23"/>
  <c r="R473" i="19"/>
  <c r="O368" i="22"/>
  <c r="B260" i="22"/>
  <c r="E260" i="23"/>
  <c r="K46" i="20"/>
  <c r="Y474" i="23"/>
  <c r="P56" i="20"/>
  <c r="B368" i="22"/>
  <c r="Y473" i="23"/>
  <c r="D259" i="23"/>
  <c r="V474" i="19"/>
  <c r="V473" i="19"/>
  <c r="R481" i="19"/>
  <c r="W45" i="21"/>
  <c r="D474" i="23"/>
  <c r="N474" i="23"/>
  <c r="E369" i="23"/>
  <c r="Y369" i="23"/>
  <c r="E368" i="23"/>
  <c r="Y259" i="23"/>
  <c r="L152" i="21"/>
  <c r="B473" i="22"/>
  <c r="B151" i="22"/>
  <c r="C183" i="22"/>
  <c r="Q368" i="23"/>
  <c r="J368" i="21"/>
  <c r="Q473" i="23"/>
  <c r="Q260" i="23"/>
  <c r="S45" i="23"/>
  <c r="D46" i="23"/>
  <c r="K152" i="19"/>
  <c r="K259" i="19"/>
  <c r="K369" i="19"/>
  <c r="C45" i="23"/>
  <c r="C151" i="23"/>
  <c r="C473" i="23"/>
  <c r="S152" i="21"/>
  <c r="B259" i="19"/>
  <c r="B473" i="19"/>
  <c r="S45" i="21"/>
  <c r="S368" i="21"/>
  <c r="S369" i="21"/>
  <c r="K473" i="19"/>
  <c r="P260" i="19"/>
  <c r="C260" i="20"/>
  <c r="C46" i="20"/>
  <c r="K496" i="22"/>
  <c r="X151" i="22"/>
  <c r="C369" i="23"/>
  <c r="D152" i="23"/>
  <c r="B368" i="19"/>
  <c r="K260" i="19"/>
  <c r="S474" i="21"/>
  <c r="S473" i="21"/>
  <c r="S151" i="21"/>
  <c r="S260" i="21"/>
  <c r="C474" i="23"/>
  <c r="N45" i="19"/>
  <c r="J259" i="20"/>
  <c r="C259" i="20"/>
  <c r="X473" i="21"/>
  <c r="S259" i="21"/>
  <c r="X46" i="22"/>
  <c r="B260" i="19"/>
  <c r="F260" i="19"/>
  <c r="K151" i="19"/>
  <c r="R473" i="20"/>
  <c r="R368" i="20"/>
  <c r="V368" i="21"/>
  <c r="AA259" i="21"/>
  <c r="N259" i="21"/>
  <c r="G259" i="21"/>
  <c r="W152" i="21"/>
  <c r="D260" i="21"/>
  <c r="W46" i="21"/>
  <c r="X259" i="22"/>
  <c r="T152" i="23"/>
  <c r="AA45" i="23"/>
  <c r="B474" i="19"/>
  <c r="B151" i="19"/>
  <c r="V45" i="19"/>
  <c r="J260" i="20"/>
  <c r="G152" i="21"/>
  <c r="V260" i="21"/>
  <c r="D152" i="21"/>
  <c r="N152" i="21"/>
  <c r="C259" i="23"/>
  <c r="K474" i="19"/>
  <c r="K368" i="19"/>
  <c r="M369" i="20"/>
  <c r="R260" i="20"/>
  <c r="X474" i="21"/>
  <c r="D260" i="23"/>
  <c r="C369" i="19"/>
  <c r="F369" i="19"/>
  <c r="F151" i="19"/>
  <c r="M368" i="20"/>
  <c r="C152" i="20"/>
  <c r="C151" i="20"/>
  <c r="D259" i="21"/>
  <c r="N151" i="21"/>
  <c r="D151" i="21"/>
  <c r="T151" i="23"/>
  <c r="L474" i="19"/>
  <c r="L260" i="19"/>
  <c r="D45" i="22"/>
  <c r="L152" i="19"/>
  <c r="H46" i="22"/>
  <c r="S46" i="21"/>
  <c r="F46" i="21"/>
  <c r="Y46" i="23"/>
  <c r="B46" i="23"/>
  <c r="B369" i="23"/>
  <c r="B151" i="23"/>
  <c r="B259" i="23"/>
  <c r="B260" i="23"/>
  <c r="B368" i="23"/>
  <c r="B473" i="23"/>
  <c r="X473" i="20"/>
  <c r="X152" i="20"/>
  <c r="R491" i="19"/>
  <c r="S369" i="19"/>
  <c r="S152" i="19"/>
  <c r="X474" i="20"/>
  <c r="X45" i="20"/>
  <c r="B152" i="23"/>
  <c r="AC260" i="23"/>
  <c r="S474" i="19"/>
  <c r="X369" i="20"/>
  <c r="AB368" i="20"/>
  <c r="D151" i="23"/>
  <c r="C368" i="23"/>
  <c r="AA473" i="23"/>
  <c r="C152" i="23"/>
  <c r="S368" i="23"/>
  <c r="M368" i="22"/>
  <c r="AB369" i="20"/>
  <c r="K473" i="23"/>
  <c r="T473" i="23"/>
  <c r="T368" i="23"/>
  <c r="AC45" i="23"/>
  <c r="D368" i="23"/>
  <c r="X260" i="20"/>
  <c r="AC259" i="20"/>
  <c r="H46" i="21"/>
  <c r="AB45" i="21"/>
  <c r="J45" i="23"/>
  <c r="S473" i="19"/>
  <c r="M368" i="19"/>
  <c r="K508" i="22"/>
  <c r="S259" i="19"/>
  <c r="R152" i="19"/>
  <c r="X151" i="20"/>
  <c r="B474" i="23"/>
  <c r="Q46" i="23"/>
  <c r="S368" i="19"/>
  <c r="S260" i="19"/>
  <c r="X368" i="20"/>
  <c r="X259" i="20"/>
  <c r="AB45" i="22"/>
  <c r="AC45" i="19"/>
  <c r="AC369" i="19"/>
  <c r="AC473" i="19"/>
  <c r="L80" i="20"/>
  <c r="L369" i="20"/>
  <c r="L368" i="20"/>
  <c r="Z45" i="20"/>
  <c r="Z369" i="20"/>
  <c r="Z473" i="20"/>
  <c r="AC474" i="19"/>
  <c r="J369" i="19"/>
  <c r="Z368" i="19"/>
  <c r="L259" i="19"/>
  <c r="R259" i="19"/>
  <c r="Z151" i="19"/>
  <c r="R45" i="19"/>
  <c r="AB45" i="19"/>
  <c r="AC46" i="19"/>
  <c r="AC474" i="20"/>
  <c r="Z368" i="20"/>
  <c r="O152" i="20"/>
  <c r="J45" i="21"/>
  <c r="J152" i="21"/>
  <c r="L151" i="20"/>
  <c r="Z369" i="21"/>
  <c r="Z368" i="21"/>
  <c r="AC45" i="21"/>
  <c r="AC368" i="21"/>
  <c r="P45" i="23"/>
  <c r="P260" i="23"/>
  <c r="P368" i="23"/>
  <c r="W46" i="23"/>
  <c r="W45" i="23"/>
  <c r="W260" i="23"/>
  <c r="W368" i="23"/>
  <c r="L473" i="23"/>
  <c r="L46" i="23"/>
  <c r="L151" i="23"/>
  <c r="L259" i="23"/>
  <c r="V45" i="23"/>
  <c r="V259" i="23"/>
  <c r="V369" i="23"/>
  <c r="V151" i="23"/>
  <c r="V152" i="23"/>
  <c r="V473" i="23"/>
  <c r="V368" i="23"/>
  <c r="AC45" i="22"/>
  <c r="AC46" i="22"/>
  <c r="AC474" i="22"/>
  <c r="AC260" i="22"/>
  <c r="AC152" i="22"/>
  <c r="U45" i="22"/>
  <c r="U46" i="22"/>
  <c r="U152" i="22"/>
  <c r="U474" i="22"/>
  <c r="R45" i="22"/>
  <c r="R46" i="22"/>
  <c r="R151" i="22"/>
  <c r="R473" i="22"/>
  <c r="R259" i="22"/>
  <c r="L473" i="19"/>
  <c r="M474" i="19"/>
  <c r="L369" i="19"/>
  <c r="R260" i="19"/>
  <c r="Z259" i="19"/>
  <c r="M151" i="19"/>
  <c r="C259" i="19"/>
  <c r="L474" i="20"/>
  <c r="M151" i="20"/>
  <c r="O45" i="20"/>
  <c r="J473" i="21"/>
  <c r="Z260" i="21"/>
  <c r="I45" i="21"/>
  <c r="I368" i="21"/>
  <c r="I46" i="21"/>
  <c r="I369" i="21"/>
  <c r="Z260" i="19"/>
  <c r="R151" i="19"/>
  <c r="V151" i="19"/>
  <c r="V152" i="19"/>
  <c r="AC152" i="19"/>
  <c r="S45" i="19"/>
  <c r="Z474" i="20"/>
  <c r="M260" i="20"/>
  <c r="U151" i="20"/>
  <c r="Z259" i="20"/>
  <c r="Z152" i="20"/>
  <c r="AC473" i="21"/>
  <c r="AC369" i="21"/>
  <c r="AC259" i="21"/>
  <c r="R369" i="22"/>
  <c r="AC259" i="19"/>
  <c r="G474" i="19"/>
  <c r="G369" i="19"/>
  <c r="X368" i="19"/>
  <c r="Z369" i="19"/>
  <c r="P259" i="19"/>
  <c r="V259" i="19"/>
  <c r="L151" i="19"/>
  <c r="AC151" i="19"/>
  <c r="Z152" i="19"/>
  <c r="K45" i="19"/>
  <c r="O474" i="20"/>
  <c r="AC473" i="20"/>
  <c r="L473" i="20"/>
  <c r="O369" i="20"/>
  <c r="R369" i="20"/>
  <c r="O260" i="20"/>
  <c r="O151" i="20"/>
  <c r="D68" i="20"/>
  <c r="AC474" i="21"/>
  <c r="Z259" i="21"/>
  <c r="Z151" i="21"/>
  <c r="R260" i="22"/>
  <c r="Z474" i="19"/>
  <c r="X473" i="19"/>
  <c r="M369" i="19"/>
  <c r="G260" i="19"/>
  <c r="M260" i="19"/>
  <c r="AB151" i="19"/>
  <c r="L46" i="19"/>
  <c r="R474" i="20"/>
  <c r="O259" i="20"/>
  <c r="Z151" i="20"/>
  <c r="AC68" i="20"/>
  <c r="J151" i="21"/>
  <c r="Z46" i="21"/>
  <c r="U369" i="22"/>
  <c r="L474" i="23"/>
  <c r="P474" i="23"/>
  <c r="J260" i="19"/>
  <c r="R474" i="19"/>
  <c r="AC368" i="19"/>
  <c r="J368" i="19"/>
  <c r="L368" i="19"/>
  <c r="M259" i="19"/>
  <c r="P151" i="19"/>
  <c r="Z46" i="19"/>
  <c r="F45" i="19"/>
  <c r="R152" i="20"/>
  <c r="L259" i="20"/>
  <c r="Z473" i="21"/>
  <c r="M473" i="19"/>
  <c r="R369" i="19"/>
  <c r="R368" i="19"/>
  <c r="AC260" i="19"/>
  <c r="X152" i="19"/>
  <c r="M152" i="19"/>
  <c r="R46" i="19"/>
  <c r="Z45" i="19"/>
  <c r="Q45" i="19"/>
  <c r="M259" i="20"/>
  <c r="L260" i="20"/>
  <c r="R259" i="20"/>
  <c r="R151" i="20"/>
  <c r="X45" i="21"/>
  <c r="X259" i="21"/>
  <c r="X368" i="21"/>
  <c r="X260" i="21"/>
  <c r="W473" i="23"/>
  <c r="J259" i="21"/>
  <c r="H260" i="21"/>
  <c r="X151" i="21"/>
  <c r="U473" i="22"/>
  <c r="R368" i="22"/>
  <c r="X292" i="22"/>
  <c r="I260" i="22"/>
  <c r="R474" i="22"/>
  <c r="H45" i="23"/>
  <c r="H368" i="23"/>
  <c r="H260" i="23"/>
  <c r="W151" i="23"/>
  <c r="M46" i="23"/>
  <c r="M473" i="23"/>
  <c r="M151" i="23"/>
  <c r="M259" i="23"/>
  <c r="M260" i="23"/>
  <c r="M369" i="23"/>
  <c r="M45" i="23"/>
  <c r="V46" i="23"/>
  <c r="X369" i="21"/>
  <c r="J369" i="21"/>
  <c r="H259" i="21"/>
  <c r="C259" i="21"/>
  <c r="X152" i="21"/>
  <c r="AC473" i="22"/>
  <c r="AC369" i="22"/>
  <c r="AC368" i="22"/>
  <c r="W369" i="23"/>
  <c r="I473" i="21"/>
  <c r="H473" i="21"/>
  <c r="J474" i="21"/>
  <c r="H369" i="21"/>
  <c r="W260" i="22"/>
  <c r="I151" i="22"/>
  <c r="C158" i="22"/>
  <c r="V474" i="23"/>
  <c r="L152" i="23"/>
  <c r="Q45" i="23"/>
  <c r="Q259" i="23"/>
  <c r="C473" i="21"/>
  <c r="P402" i="21"/>
  <c r="I259" i="21"/>
  <c r="W45" i="22"/>
  <c r="W152" i="22"/>
  <c r="I45" i="23"/>
  <c r="I260" i="23"/>
  <c r="Z474" i="21"/>
  <c r="AC402" i="21"/>
  <c r="M45" i="21"/>
  <c r="U368" i="22"/>
  <c r="U259" i="22"/>
  <c r="U260" i="22"/>
  <c r="J260" i="21"/>
  <c r="AC260" i="21"/>
  <c r="C152" i="21"/>
  <c r="Z152" i="21"/>
  <c r="AC152" i="21"/>
  <c r="AC259" i="22"/>
  <c r="Z45" i="22"/>
  <c r="Z46" i="22"/>
  <c r="J151" i="23"/>
  <c r="J369" i="23"/>
  <c r="J473" i="23"/>
  <c r="J260" i="23"/>
  <c r="J474" i="23"/>
  <c r="Q152" i="23"/>
  <c r="V151" i="22"/>
  <c r="I473" i="23"/>
  <c r="G473" i="23"/>
  <c r="F474" i="23"/>
  <c r="Q369" i="23"/>
  <c r="I368" i="23"/>
  <c r="L260" i="23"/>
  <c r="AC259" i="23"/>
  <c r="O152" i="23"/>
  <c r="M185" i="23"/>
  <c r="Q474" i="23"/>
  <c r="I369" i="23"/>
  <c r="M368" i="23"/>
  <c r="J259" i="23"/>
  <c r="I259" i="23"/>
  <c r="W152" i="23"/>
  <c r="AA45" i="22"/>
  <c r="I474" i="23"/>
  <c r="Q151" i="23"/>
  <c r="P151" i="23"/>
  <c r="H152" i="23"/>
  <c r="AC46" i="23"/>
  <c r="P46" i="22"/>
  <c r="I45" i="22"/>
  <c r="H259" i="23"/>
  <c r="I151" i="23"/>
  <c r="W259" i="23"/>
  <c r="H151" i="23"/>
  <c r="P152" i="23"/>
  <c r="U45" i="23"/>
  <c r="AC151" i="22"/>
  <c r="E152" i="22"/>
  <c r="P473" i="23"/>
  <c r="O474" i="23"/>
  <c r="F152" i="23"/>
  <c r="O151" i="23"/>
  <c r="K45" i="23"/>
  <c r="X46" i="23"/>
  <c r="C46" i="23"/>
  <c r="R152" i="22"/>
  <c r="P45" i="22"/>
  <c r="K45" i="22"/>
  <c r="H473" i="23"/>
  <c r="AC474" i="23"/>
  <c r="W474" i="23"/>
  <c r="P369" i="23"/>
  <c r="L369" i="23"/>
  <c r="L368" i="23"/>
  <c r="P259" i="23"/>
  <c r="J152" i="23"/>
  <c r="H46" i="19"/>
  <c r="H259" i="19"/>
  <c r="H474" i="19"/>
  <c r="H151" i="19"/>
  <c r="B45" i="20"/>
  <c r="B152" i="20"/>
  <c r="B474" i="20"/>
  <c r="B368" i="20"/>
  <c r="B369" i="20"/>
  <c r="P151" i="20"/>
  <c r="P259" i="20"/>
  <c r="P260" i="20"/>
  <c r="E46" i="19"/>
  <c r="E151" i="19"/>
  <c r="E259" i="19"/>
  <c r="E473" i="19"/>
  <c r="E45" i="19"/>
  <c r="W45" i="19"/>
  <c r="W260" i="19"/>
  <c r="W152" i="19"/>
  <c r="W259" i="19"/>
  <c r="T45" i="20"/>
  <c r="T259" i="20"/>
  <c r="T369" i="20"/>
  <c r="T474" i="20"/>
  <c r="Y369" i="20"/>
  <c r="Y473" i="20"/>
  <c r="Y474" i="20"/>
  <c r="Y368" i="20"/>
  <c r="Y45" i="20"/>
  <c r="U46" i="20"/>
  <c r="U259" i="20"/>
  <c r="U474" i="20"/>
  <c r="U368" i="20"/>
  <c r="D474" i="20"/>
  <c r="Q260" i="20"/>
  <c r="Q473" i="20"/>
  <c r="Q474" i="20"/>
  <c r="Q369" i="20"/>
  <c r="D80" i="20"/>
  <c r="D259" i="20"/>
  <c r="D369" i="20"/>
  <c r="D473" i="20"/>
  <c r="Q259" i="20"/>
  <c r="P152" i="20"/>
  <c r="H473" i="19"/>
  <c r="C368" i="19"/>
  <c r="D369" i="19"/>
  <c r="G151" i="19"/>
  <c r="P152" i="19"/>
  <c r="C152" i="19"/>
  <c r="C46" i="19"/>
  <c r="B46" i="19"/>
  <c r="T293" i="20"/>
  <c r="Y259" i="20"/>
  <c r="D152" i="20"/>
  <c r="Y151" i="20"/>
  <c r="M45" i="20"/>
  <c r="AB80" i="20"/>
  <c r="Z506" i="21"/>
  <c r="R45" i="21"/>
  <c r="Y260" i="22"/>
  <c r="Q260" i="22"/>
  <c r="Y151" i="22"/>
  <c r="Z46" i="23"/>
  <c r="Z151" i="23"/>
  <c r="Z369" i="23"/>
  <c r="Z260" i="23"/>
  <c r="Z473" i="23"/>
  <c r="Q152" i="20"/>
  <c r="AC80" i="20"/>
  <c r="AC56" i="20"/>
  <c r="D474" i="19"/>
  <c r="AB473" i="19"/>
  <c r="H368" i="19"/>
  <c r="W368" i="19"/>
  <c r="W369" i="19"/>
  <c r="G259" i="19"/>
  <c r="X294" i="19"/>
  <c r="H152" i="19"/>
  <c r="B152" i="19"/>
  <c r="Q46" i="19"/>
  <c r="E260" i="20"/>
  <c r="G259" i="20"/>
  <c r="L152" i="20"/>
  <c r="E45" i="20"/>
  <c r="X46" i="20"/>
  <c r="R46" i="21"/>
  <c r="R151" i="21"/>
  <c r="R152" i="21"/>
  <c r="R45" i="23"/>
  <c r="R46" i="23"/>
  <c r="R368" i="23"/>
  <c r="R473" i="23"/>
  <c r="R151" i="23"/>
  <c r="R369" i="23"/>
  <c r="R474" i="23"/>
  <c r="R260" i="23"/>
  <c r="J473" i="19"/>
  <c r="W473" i="19"/>
  <c r="U368" i="19"/>
  <c r="AB260" i="19"/>
  <c r="J259" i="19"/>
  <c r="C151" i="19"/>
  <c r="G152" i="19"/>
  <c r="E152" i="19"/>
  <c r="C45" i="19"/>
  <c r="G46" i="19"/>
  <c r="P474" i="20"/>
  <c r="D368" i="20"/>
  <c r="G260" i="20"/>
  <c r="Y152" i="20"/>
  <c r="T152" i="20"/>
  <c r="G46" i="20"/>
  <c r="U369" i="20"/>
  <c r="C473" i="19"/>
  <c r="W474" i="19"/>
  <c r="AB474" i="19"/>
  <c r="G368" i="19"/>
  <c r="E369" i="19"/>
  <c r="C260" i="19"/>
  <c r="E260" i="19"/>
  <c r="J151" i="19"/>
  <c r="AB152" i="19"/>
  <c r="L45" i="19"/>
  <c r="AB46" i="19"/>
  <c r="Y45" i="19"/>
  <c r="P369" i="20"/>
  <c r="T368" i="20"/>
  <c r="U260" i="20"/>
  <c r="AC151" i="20"/>
  <c r="K45" i="20"/>
  <c r="J402" i="21"/>
  <c r="J390" i="21"/>
  <c r="Y369" i="22"/>
  <c r="Y152" i="22"/>
  <c r="Y473" i="22"/>
  <c r="Y46" i="22"/>
  <c r="D260" i="20"/>
  <c r="C474" i="19"/>
  <c r="G473" i="19"/>
  <c r="D368" i="19"/>
  <c r="U45" i="19"/>
  <c r="AC369" i="20"/>
  <c r="AC260" i="20"/>
  <c r="E152" i="20"/>
  <c r="Q151" i="22"/>
  <c r="Q474" i="22"/>
  <c r="Q152" i="22"/>
  <c r="Q259" i="22"/>
  <c r="Q46" i="22"/>
  <c r="AB46" i="23"/>
  <c r="AB151" i="23"/>
  <c r="AB473" i="23"/>
  <c r="AB45" i="23"/>
  <c r="AB260" i="23"/>
  <c r="H260" i="19"/>
  <c r="J474" i="19"/>
  <c r="E368" i="19"/>
  <c r="S46" i="19"/>
  <c r="Q368" i="20"/>
  <c r="P368" i="20"/>
  <c r="AC368" i="20"/>
  <c r="G152" i="20"/>
  <c r="Q151" i="20"/>
  <c r="U152" i="20"/>
  <c r="B473" i="20"/>
  <c r="D473" i="19"/>
  <c r="E474" i="19"/>
  <c r="AB368" i="19"/>
  <c r="AB369" i="19"/>
  <c r="H369" i="19"/>
  <c r="D260" i="19"/>
  <c r="D152" i="19"/>
  <c r="J46" i="19"/>
  <c r="U473" i="20"/>
  <c r="G369" i="20"/>
  <c r="T260" i="20"/>
  <c r="B259" i="20"/>
  <c r="G151" i="20"/>
  <c r="B151" i="20"/>
  <c r="G45" i="20"/>
  <c r="U45" i="20"/>
  <c r="V152" i="21"/>
  <c r="AA46" i="21"/>
  <c r="G45" i="21"/>
  <c r="V294" i="22"/>
  <c r="T283" i="22"/>
  <c r="W182" i="22"/>
  <c r="O45" i="22"/>
  <c r="T45" i="22"/>
  <c r="X45" i="23"/>
  <c r="P46" i="23"/>
  <c r="V259" i="21"/>
  <c r="N45" i="21"/>
  <c r="Q473" i="22"/>
  <c r="K484" i="22"/>
  <c r="F46" i="22"/>
  <c r="AB369" i="23"/>
  <c r="Z152" i="23"/>
  <c r="B45" i="23"/>
  <c r="R260" i="21"/>
  <c r="J46" i="21"/>
  <c r="X401" i="22"/>
  <c r="N46" i="22"/>
  <c r="O45" i="23"/>
  <c r="Y45" i="22"/>
  <c r="AB368" i="23"/>
  <c r="Z368" i="23"/>
  <c r="AB152" i="23"/>
  <c r="R259" i="21"/>
  <c r="AC184" i="21"/>
  <c r="V46" i="21"/>
  <c r="C45" i="21"/>
  <c r="Y368" i="22"/>
  <c r="Q45" i="22"/>
  <c r="AB474" i="23"/>
  <c r="R152" i="23"/>
  <c r="AB77" i="23"/>
  <c r="J46" i="23"/>
  <c r="H45" i="21"/>
  <c r="P45" i="21"/>
  <c r="H45" i="22"/>
  <c r="Z474" i="23"/>
  <c r="Y45" i="23"/>
  <c r="P46" i="21"/>
  <c r="P401" i="22"/>
  <c r="O46" i="22"/>
  <c r="H46" i="23"/>
  <c r="X46" i="21"/>
  <c r="Y474" i="22"/>
  <c r="Y259" i="22"/>
  <c r="R259" i="23"/>
  <c r="Z259" i="23"/>
  <c r="AB172" i="23"/>
  <c r="O46" i="23"/>
  <c r="Z45" i="23"/>
  <c r="AB50" i="23"/>
  <c r="N506" i="23"/>
  <c r="N482" i="23"/>
  <c r="N494" i="23"/>
  <c r="S494" i="23"/>
  <c r="S506" i="23"/>
  <c r="S482" i="23"/>
  <c r="M508" i="23"/>
  <c r="M496" i="23"/>
  <c r="M484" i="23"/>
  <c r="W508" i="23"/>
  <c r="W496" i="23"/>
  <c r="W484" i="23"/>
  <c r="E508" i="23"/>
  <c r="E496" i="23"/>
  <c r="E484" i="23"/>
  <c r="U377" i="23"/>
  <c r="U401" i="23"/>
  <c r="U389" i="23"/>
  <c r="R403" i="23"/>
  <c r="R391" i="23"/>
  <c r="R379" i="23"/>
  <c r="L403" i="23"/>
  <c r="L391" i="23"/>
  <c r="L379" i="23"/>
  <c r="X391" i="23"/>
  <c r="X403" i="23"/>
  <c r="X379" i="23"/>
  <c r="AC392" i="23"/>
  <c r="AC404" i="23"/>
  <c r="AC380" i="23"/>
  <c r="AA392" i="23"/>
  <c r="AA404" i="23"/>
  <c r="AA380" i="23"/>
  <c r="B390" i="23"/>
  <c r="B402" i="23"/>
  <c r="B378" i="23"/>
  <c r="P404" i="23"/>
  <c r="P392" i="23"/>
  <c r="P380" i="23"/>
  <c r="K283" i="23"/>
  <c r="K271" i="23"/>
  <c r="K295" i="23"/>
  <c r="D295" i="23"/>
  <c r="D271" i="23"/>
  <c r="D283" i="23"/>
  <c r="T295" i="23"/>
  <c r="T271" i="23"/>
  <c r="T283" i="23"/>
  <c r="R182" i="23"/>
  <c r="R158" i="23"/>
  <c r="R169" i="23"/>
  <c r="R183" i="23"/>
  <c r="R180" i="23"/>
  <c r="R181" i="23"/>
  <c r="R171" i="23"/>
  <c r="R159" i="23"/>
  <c r="R156" i="23"/>
  <c r="R157" i="23"/>
  <c r="R168" i="23"/>
  <c r="R170" i="23"/>
  <c r="P184" i="23"/>
  <c r="P160" i="23"/>
  <c r="P172" i="23"/>
  <c r="G152" i="23"/>
  <c r="K175" i="23"/>
  <c r="K187" i="23"/>
  <c r="K163" i="23"/>
  <c r="Z182" i="23"/>
  <c r="Z158" i="23"/>
  <c r="Z169" i="23"/>
  <c r="Z159" i="23"/>
  <c r="Z183" i="23"/>
  <c r="Z157" i="23"/>
  <c r="Z181" i="23"/>
  <c r="Z171" i="23"/>
  <c r="Z168" i="23"/>
  <c r="Z156" i="23"/>
  <c r="Z170" i="23"/>
  <c r="Z180" i="23"/>
  <c r="X186" i="23"/>
  <c r="X162" i="23"/>
  <c r="X174" i="23"/>
  <c r="N170" i="23"/>
  <c r="N181" i="23"/>
  <c r="N157" i="23"/>
  <c r="N182" i="23"/>
  <c r="N183" i="23"/>
  <c r="N171" i="23"/>
  <c r="N168" i="23"/>
  <c r="N158" i="23"/>
  <c r="N180" i="23"/>
  <c r="N169" i="23"/>
  <c r="N156" i="23"/>
  <c r="N159" i="23"/>
  <c r="T77" i="23"/>
  <c r="T75" i="23"/>
  <c r="T65" i="23"/>
  <c r="T74" i="23"/>
  <c r="T64" i="23"/>
  <c r="T62" i="23"/>
  <c r="T76" i="23"/>
  <c r="T63" i="23"/>
  <c r="T51" i="23"/>
  <c r="T50" i="23"/>
  <c r="T52" i="23"/>
  <c r="T53" i="23"/>
  <c r="N46" i="23"/>
  <c r="B69" i="23"/>
  <c r="B57" i="23"/>
  <c r="B81" i="23"/>
  <c r="C74" i="23"/>
  <c r="C76" i="23"/>
  <c r="C63" i="23"/>
  <c r="C75" i="23"/>
  <c r="C51" i="23"/>
  <c r="C62" i="23"/>
  <c r="C52" i="23"/>
  <c r="C77" i="23"/>
  <c r="C64" i="23"/>
  <c r="C65" i="23"/>
  <c r="C53" i="23"/>
  <c r="C50" i="23"/>
  <c r="J79" i="23"/>
  <c r="J67" i="23"/>
  <c r="J55" i="23"/>
  <c r="J77" i="23"/>
  <c r="J75" i="23"/>
  <c r="J74" i="23"/>
  <c r="J52" i="23"/>
  <c r="J76" i="23"/>
  <c r="J64" i="23"/>
  <c r="J51" i="23"/>
  <c r="J65" i="23"/>
  <c r="J50" i="23"/>
  <c r="J53" i="23"/>
  <c r="J63" i="23"/>
  <c r="J62" i="23"/>
  <c r="Q68" i="23"/>
  <c r="Q80" i="23"/>
  <c r="Q56" i="23"/>
  <c r="Y76" i="23"/>
  <c r="Y74" i="23"/>
  <c r="Y77" i="23"/>
  <c r="Y63" i="23"/>
  <c r="Y75" i="23"/>
  <c r="Y53" i="23"/>
  <c r="Y64" i="23"/>
  <c r="Y62" i="23"/>
  <c r="Y65" i="23"/>
  <c r="Y51" i="23"/>
  <c r="Y52" i="23"/>
  <c r="Y50" i="23"/>
  <c r="X79" i="23"/>
  <c r="X67" i="23"/>
  <c r="X55" i="23"/>
  <c r="H77" i="23"/>
  <c r="H62" i="23"/>
  <c r="H74" i="23"/>
  <c r="H65" i="23"/>
  <c r="H50" i="23"/>
  <c r="H76" i="23"/>
  <c r="H53" i="23"/>
  <c r="H75" i="23"/>
  <c r="H51" i="23"/>
  <c r="H52" i="23"/>
  <c r="H64" i="23"/>
  <c r="H63" i="23"/>
  <c r="N81" i="23"/>
  <c r="N69" i="23"/>
  <c r="N57" i="23"/>
  <c r="G67" i="23"/>
  <c r="G55" i="23"/>
  <c r="G79" i="23"/>
  <c r="M69" i="23"/>
  <c r="M57" i="23"/>
  <c r="M81" i="23"/>
  <c r="F506" i="23"/>
  <c r="F482" i="23"/>
  <c r="F494" i="23"/>
  <c r="H506" i="23"/>
  <c r="H482" i="23"/>
  <c r="H494" i="23"/>
  <c r="R493" i="23"/>
  <c r="R504" i="23"/>
  <c r="R502" i="23"/>
  <c r="R503" i="23"/>
  <c r="R505" i="23"/>
  <c r="R480" i="23"/>
  <c r="R478" i="23"/>
  <c r="R490" i="23"/>
  <c r="R479" i="23"/>
  <c r="R491" i="23"/>
  <c r="R481" i="23"/>
  <c r="R492" i="23"/>
  <c r="P509" i="23"/>
  <c r="P497" i="23"/>
  <c r="P485" i="23"/>
  <c r="F497" i="23"/>
  <c r="F485" i="23"/>
  <c r="F509" i="23"/>
  <c r="Q402" i="23"/>
  <c r="Q378" i="23"/>
  <c r="Q390" i="23"/>
  <c r="AC390" i="23"/>
  <c r="AC402" i="23"/>
  <c r="AC378" i="23"/>
  <c r="M377" i="23"/>
  <c r="M401" i="23"/>
  <c r="M389" i="23"/>
  <c r="B403" i="23"/>
  <c r="B391" i="23"/>
  <c r="B379" i="23"/>
  <c r="W389" i="23"/>
  <c r="W401" i="23"/>
  <c r="T403" i="23"/>
  <c r="T391" i="23"/>
  <c r="T379" i="23"/>
  <c r="Z389" i="23"/>
  <c r="Z401" i="23"/>
  <c r="Z377" i="23"/>
  <c r="B404" i="23"/>
  <c r="B392" i="23"/>
  <c r="B380" i="23"/>
  <c r="F392" i="23"/>
  <c r="F380" i="23"/>
  <c r="F404" i="23"/>
  <c r="Z402" i="23"/>
  <c r="Z390" i="23"/>
  <c r="Z378" i="23"/>
  <c r="Q392" i="23"/>
  <c r="Q404" i="23"/>
  <c r="Q380" i="23"/>
  <c r="I294" i="23"/>
  <c r="I270" i="23"/>
  <c r="I282" i="23"/>
  <c r="I281" i="23"/>
  <c r="I269" i="23"/>
  <c r="I293" i="23"/>
  <c r="J295" i="23"/>
  <c r="J271" i="23"/>
  <c r="J283" i="23"/>
  <c r="J182" i="23"/>
  <c r="J158" i="23"/>
  <c r="J169" i="23"/>
  <c r="J157" i="23"/>
  <c r="J159" i="23"/>
  <c r="J183" i="23"/>
  <c r="J180" i="23"/>
  <c r="J170" i="23"/>
  <c r="J156" i="23"/>
  <c r="J181" i="23"/>
  <c r="J168" i="23"/>
  <c r="J171" i="23"/>
  <c r="AA295" i="23"/>
  <c r="AA283" i="23"/>
  <c r="AA271" i="23"/>
  <c r="N290" i="23"/>
  <c r="N266" i="23"/>
  <c r="N277" i="23"/>
  <c r="N289" i="23"/>
  <c r="N279" i="23"/>
  <c r="N267" i="23"/>
  <c r="N264" i="23"/>
  <c r="N265" i="23"/>
  <c r="N291" i="23"/>
  <c r="N288" i="23"/>
  <c r="N278" i="23"/>
  <c r="N276" i="23"/>
  <c r="H184" i="23"/>
  <c r="H160" i="23"/>
  <c r="H172" i="23"/>
  <c r="U161" i="23"/>
  <c r="U185" i="23"/>
  <c r="U173" i="23"/>
  <c r="E172" i="23"/>
  <c r="E184" i="23"/>
  <c r="E160" i="23"/>
  <c r="AB180" i="23"/>
  <c r="AB156" i="23"/>
  <c r="AB183" i="23"/>
  <c r="AB159" i="23"/>
  <c r="AB169" i="23"/>
  <c r="AB181" i="23"/>
  <c r="AB171" i="23"/>
  <c r="AB182" i="23"/>
  <c r="AB168" i="23"/>
  <c r="AB170" i="23"/>
  <c r="AB158" i="23"/>
  <c r="AB157" i="23"/>
  <c r="G45" i="23"/>
  <c r="T67" i="23"/>
  <c r="T79" i="23"/>
  <c r="T55" i="23"/>
  <c r="L77" i="23"/>
  <c r="L75" i="23"/>
  <c r="L76" i="23"/>
  <c r="L64" i="23"/>
  <c r="L62" i="23"/>
  <c r="L65" i="23"/>
  <c r="L74" i="23"/>
  <c r="L63" i="23"/>
  <c r="L51" i="23"/>
  <c r="L52" i="23"/>
  <c r="L50" i="23"/>
  <c r="L53" i="23"/>
  <c r="AA80" i="23"/>
  <c r="AA68" i="23"/>
  <c r="AA56" i="23"/>
  <c r="AA66" i="23"/>
  <c r="AA78" i="23"/>
  <c r="AA54" i="23"/>
  <c r="B77" i="23"/>
  <c r="B75" i="23"/>
  <c r="B52" i="23"/>
  <c r="B76" i="23"/>
  <c r="B64" i="23"/>
  <c r="B74" i="23"/>
  <c r="B51" i="23"/>
  <c r="B65" i="23"/>
  <c r="B62" i="23"/>
  <c r="B63" i="23"/>
  <c r="B53" i="23"/>
  <c r="B50" i="23"/>
  <c r="I68" i="23"/>
  <c r="I80" i="23"/>
  <c r="I56" i="23"/>
  <c r="P79" i="23"/>
  <c r="P67" i="23"/>
  <c r="P55" i="23"/>
  <c r="F81" i="23"/>
  <c r="F57" i="23"/>
  <c r="F69" i="23"/>
  <c r="V67" i="23"/>
  <c r="V79" i="23"/>
  <c r="V55" i="23"/>
  <c r="V505" i="23"/>
  <c r="V492" i="23"/>
  <c r="V503" i="23"/>
  <c r="V491" i="23"/>
  <c r="V502" i="23"/>
  <c r="V504" i="23"/>
  <c r="V480" i="23"/>
  <c r="V478" i="23"/>
  <c r="V479" i="23"/>
  <c r="V481" i="23"/>
  <c r="V493" i="23"/>
  <c r="V490" i="23"/>
  <c r="Z493" i="23"/>
  <c r="Z504" i="23"/>
  <c r="Z502" i="23"/>
  <c r="Z503" i="23"/>
  <c r="Z491" i="23"/>
  <c r="Z480" i="23"/>
  <c r="Z478" i="23"/>
  <c r="Z505" i="23"/>
  <c r="Z479" i="23"/>
  <c r="Z490" i="23"/>
  <c r="Z481" i="23"/>
  <c r="Z492" i="23"/>
  <c r="Z509" i="23"/>
  <c r="Z497" i="23"/>
  <c r="Z485" i="23"/>
  <c r="I402" i="23"/>
  <c r="I390" i="23"/>
  <c r="I378" i="23"/>
  <c r="AA401" i="23"/>
  <c r="AA389" i="23"/>
  <c r="H401" i="23"/>
  <c r="H389" i="23"/>
  <c r="Q391" i="23"/>
  <c r="Q379" i="23"/>
  <c r="Q403" i="23"/>
  <c r="AB403" i="23"/>
  <c r="AB391" i="23"/>
  <c r="AB379" i="23"/>
  <c r="J392" i="23"/>
  <c r="J404" i="23"/>
  <c r="J380" i="23"/>
  <c r="N404" i="23"/>
  <c r="N392" i="23"/>
  <c r="N380" i="23"/>
  <c r="K390" i="23"/>
  <c r="K378" i="23"/>
  <c r="K402" i="23"/>
  <c r="J280" i="23"/>
  <c r="J268" i="23"/>
  <c r="J292" i="23"/>
  <c r="U268" i="23"/>
  <c r="U292" i="23"/>
  <c r="U280" i="23"/>
  <c r="R292" i="23"/>
  <c r="R280" i="23"/>
  <c r="R268" i="23"/>
  <c r="AA281" i="23"/>
  <c r="AA269" i="23"/>
  <c r="AA293" i="23"/>
  <c r="B182" i="23"/>
  <c r="B158" i="23"/>
  <c r="B169" i="23"/>
  <c r="B181" i="23"/>
  <c r="B171" i="23"/>
  <c r="B183" i="23"/>
  <c r="B157" i="23"/>
  <c r="B168" i="23"/>
  <c r="B159" i="23"/>
  <c r="B156" i="23"/>
  <c r="B180" i="23"/>
  <c r="B170" i="23"/>
  <c r="O295" i="23"/>
  <c r="O283" i="23"/>
  <c r="O271" i="23"/>
  <c r="B278" i="23"/>
  <c r="B289" i="23"/>
  <c r="B265" i="23"/>
  <c r="B279" i="23"/>
  <c r="B264" i="23"/>
  <c r="B290" i="23"/>
  <c r="B291" i="23"/>
  <c r="B288" i="23"/>
  <c r="B277" i="23"/>
  <c r="B276" i="23"/>
  <c r="B267" i="23"/>
  <c r="B266" i="23"/>
  <c r="Y171" i="23"/>
  <c r="Y182" i="23"/>
  <c r="Y158" i="23"/>
  <c r="Y168" i="23"/>
  <c r="Y180" i="23"/>
  <c r="Y170" i="23"/>
  <c r="Y181" i="23"/>
  <c r="Y157" i="23"/>
  <c r="Y183" i="23"/>
  <c r="Y159" i="23"/>
  <c r="Y156" i="23"/>
  <c r="Y169" i="23"/>
  <c r="K185" i="23"/>
  <c r="K161" i="23"/>
  <c r="K173" i="23"/>
  <c r="R185" i="23"/>
  <c r="R161" i="23"/>
  <c r="R173" i="23"/>
  <c r="AA187" i="23"/>
  <c r="AA175" i="23"/>
  <c r="AA163" i="23"/>
  <c r="G151" i="23"/>
  <c r="D77" i="23"/>
  <c r="D75" i="23"/>
  <c r="D64" i="23"/>
  <c r="D74" i="23"/>
  <c r="D62" i="23"/>
  <c r="D65" i="23"/>
  <c r="D76" i="23"/>
  <c r="D63" i="23"/>
  <c r="D52" i="23"/>
  <c r="D51" i="23"/>
  <c r="D53" i="23"/>
  <c r="D50" i="23"/>
  <c r="S80" i="23"/>
  <c r="S68" i="23"/>
  <c r="S56" i="23"/>
  <c r="S66" i="23"/>
  <c r="S78" i="23"/>
  <c r="S54" i="23"/>
  <c r="Z66" i="23"/>
  <c r="Z78" i="23"/>
  <c r="Z54" i="23"/>
  <c r="W81" i="23"/>
  <c r="W69" i="23"/>
  <c r="W57" i="23"/>
  <c r="H79" i="23"/>
  <c r="H67" i="23"/>
  <c r="H55" i="23"/>
  <c r="AA81" i="23"/>
  <c r="AA69" i="23"/>
  <c r="AA57" i="23"/>
  <c r="N67" i="23"/>
  <c r="N79" i="23"/>
  <c r="N55" i="23"/>
  <c r="M78" i="23"/>
  <c r="M66" i="23"/>
  <c r="M54" i="23"/>
  <c r="W509" i="23"/>
  <c r="W497" i="23"/>
  <c r="W485" i="23"/>
  <c r="L508" i="23"/>
  <c r="L496" i="23"/>
  <c r="L484" i="23"/>
  <c r="X390" i="23"/>
  <c r="X402" i="23"/>
  <c r="X378" i="23"/>
  <c r="D401" i="23"/>
  <c r="D389" i="23"/>
  <c r="P389" i="23"/>
  <c r="P401" i="23"/>
  <c r="C391" i="23"/>
  <c r="C403" i="23"/>
  <c r="C379" i="23"/>
  <c r="G403" i="23"/>
  <c r="G391" i="23"/>
  <c r="G379" i="23"/>
  <c r="R392" i="23"/>
  <c r="R404" i="23"/>
  <c r="R380" i="23"/>
  <c r="V392" i="23"/>
  <c r="V380" i="23"/>
  <c r="V404" i="23"/>
  <c r="V390" i="23"/>
  <c r="V402" i="23"/>
  <c r="V378" i="23"/>
  <c r="Q283" i="23"/>
  <c r="Q295" i="23"/>
  <c r="Q271" i="23"/>
  <c r="W277" i="23"/>
  <c r="W288" i="23"/>
  <c r="W264" i="23"/>
  <c r="W276" i="23"/>
  <c r="W266" i="23"/>
  <c r="W279" i="23"/>
  <c r="W278" i="23"/>
  <c r="W267" i="23"/>
  <c r="W265" i="23"/>
  <c r="W291" i="23"/>
  <c r="W290" i="23"/>
  <c r="W289" i="23"/>
  <c r="U279" i="23"/>
  <c r="U290" i="23"/>
  <c r="U266" i="23"/>
  <c r="U288" i="23"/>
  <c r="U278" i="23"/>
  <c r="U291" i="23"/>
  <c r="U289" i="23"/>
  <c r="U277" i="23"/>
  <c r="U276" i="23"/>
  <c r="U267" i="23"/>
  <c r="U265" i="23"/>
  <c r="U264" i="23"/>
  <c r="I268" i="23"/>
  <c r="I292" i="23"/>
  <c r="I280" i="23"/>
  <c r="O270" i="23"/>
  <c r="O294" i="23"/>
  <c r="O282" i="23"/>
  <c r="P280" i="23"/>
  <c r="P292" i="23"/>
  <c r="P268" i="23"/>
  <c r="B281" i="23"/>
  <c r="B269" i="23"/>
  <c r="B293" i="23"/>
  <c r="E295" i="23"/>
  <c r="E271" i="23"/>
  <c r="E283" i="23"/>
  <c r="Q171" i="23"/>
  <c r="Q182" i="23"/>
  <c r="Q158" i="23"/>
  <c r="Q156" i="23"/>
  <c r="Q183" i="23"/>
  <c r="Q168" i="23"/>
  <c r="Q169" i="23"/>
  <c r="Q159" i="23"/>
  <c r="Q181" i="23"/>
  <c r="Q157" i="23"/>
  <c r="Q180" i="23"/>
  <c r="Q170" i="23"/>
  <c r="G173" i="23"/>
  <c r="G185" i="23"/>
  <c r="G161" i="23"/>
  <c r="G181" i="23"/>
  <c r="G157" i="23"/>
  <c r="G168" i="23"/>
  <c r="G156" i="23"/>
  <c r="G183" i="23"/>
  <c r="G158" i="23"/>
  <c r="G182" i="23"/>
  <c r="G169" i="23"/>
  <c r="G159" i="23"/>
  <c r="G180" i="23"/>
  <c r="G170" i="23"/>
  <c r="G171" i="23"/>
  <c r="O369" i="23"/>
  <c r="O259" i="23"/>
  <c r="O260" i="23"/>
  <c r="D67" i="23"/>
  <c r="D79" i="23"/>
  <c r="D55" i="23"/>
  <c r="F45" i="23"/>
  <c r="K80" i="23"/>
  <c r="K68" i="23"/>
  <c r="K56" i="23"/>
  <c r="K66" i="23"/>
  <c r="K78" i="23"/>
  <c r="K54" i="23"/>
  <c r="O69" i="23"/>
  <c r="O57" i="23"/>
  <c r="O81" i="23"/>
  <c r="O78" i="23"/>
  <c r="O66" i="23"/>
  <c r="O54" i="23"/>
  <c r="F67" i="23"/>
  <c r="F79" i="23"/>
  <c r="F55" i="23"/>
  <c r="E78" i="23"/>
  <c r="E66" i="23"/>
  <c r="E54" i="23"/>
  <c r="Q506" i="23"/>
  <c r="Q494" i="23"/>
  <c r="Q482" i="23"/>
  <c r="H508" i="23"/>
  <c r="H496" i="23"/>
  <c r="H484" i="23"/>
  <c r="T508" i="23"/>
  <c r="T496" i="23"/>
  <c r="T484" i="23"/>
  <c r="P390" i="23"/>
  <c r="P378" i="23"/>
  <c r="P402" i="23"/>
  <c r="X389" i="23"/>
  <c r="X401" i="23"/>
  <c r="K403" i="23"/>
  <c r="K391" i="23"/>
  <c r="K379" i="23"/>
  <c r="O403" i="23"/>
  <c r="O391" i="23"/>
  <c r="O379" i="23"/>
  <c r="U404" i="23"/>
  <c r="U380" i="23"/>
  <c r="U392" i="23"/>
  <c r="Z404" i="23"/>
  <c r="Z392" i="23"/>
  <c r="Z380" i="23"/>
  <c r="G404" i="23"/>
  <c r="G380" i="23"/>
  <c r="G392" i="23"/>
  <c r="G402" i="23"/>
  <c r="G390" i="23"/>
  <c r="G378" i="23"/>
  <c r="AC279" i="23"/>
  <c r="AC290" i="23"/>
  <c r="AC266" i="23"/>
  <c r="AC264" i="23"/>
  <c r="AC288" i="23"/>
  <c r="AC278" i="23"/>
  <c r="AC267" i="23"/>
  <c r="AC265" i="23"/>
  <c r="AC291" i="23"/>
  <c r="AC289" i="23"/>
  <c r="AC277" i="23"/>
  <c r="AC276" i="23"/>
  <c r="J278" i="23"/>
  <c r="J289" i="23"/>
  <c r="J265" i="23"/>
  <c r="J291" i="23"/>
  <c r="J279" i="23"/>
  <c r="J276" i="23"/>
  <c r="J277" i="23"/>
  <c r="J266" i="23"/>
  <c r="J267" i="23"/>
  <c r="J264" i="23"/>
  <c r="J290" i="23"/>
  <c r="J288" i="23"/>
  <c r="B283" i="23"/>
  <c r="F292" i="23"/>
  <c r="F280" i="23"/>
  <c r="F268" i="23"/>
  <c r="I171" i="23"/>
  <c r="I182" i="23"/>
  <c r="I158" i="23"/>
  <c r="I180" i="23"/>
  <c r="I170" i="23"/>
  <c r="I168" i="23"/>
  <c r="I156" i="23"/>
  <c r="I183" i="23"/>
  <c r="I159" i="23"/>
  <c r="I181" i="23"/>
  <c r="I169" i="23"/>
  <c r="I157" i="23"/>
  <c r="O173" i="23"/>
  <c r="O185" i="23"/>
  <c r="O161" i="23"/>
  <c r="J185" i="23"/>
  <c r="J161" i="23"/>
  <c r="J173" i="23"/>
  <c r="K172" i="23"/>
  <c r="K184" i="23"/>
  <c r="K160" i="23"/>
  <c r="D185" i="23"/>
  <c r="D161" i="23"/>
  <c r="D173" i="23"/>
  <c r="T180" i="23"/>
  <c r="T156" i="23"/>
  <c r="T183" i="23"/>
  <c r="T159" i="23"/>
  <c r="T157" i="23"/>
  <c r="T169" i="23"/>
  <c r="T170" i="23"/>
  <c r="T182" i="23"/>
  <c r="T171" i="23"/>
  <c r="T168" i="23"/>
  <c r="T158" i="23"/>
  <c r="T181" i="23"/>
  <c r="G474" i="23"/>
  <c r="G369" i="23"/>
  <c r="G260" i="23"/>
  <c r="G259" i="23"/>
  <c r="G368" i="23"/>
  <c r="K81" i="23"/>
  <c r="K69" i="23"/>
  <c r="K57" i="23"/>
  <c r="N45" i="23"/>
  <c r="N151" i="23"/>
  <c r="N259" i="23"/>
  <c r="N260" i="23"/>
  <c r="N152" i="23"/>
  <c r="N368" i="23"/>
  <c r="N369" i="23"/>
  <c r="N473" i="23"/>
  <c r="C80" i="23"/>
  <c r="C68" i="23"/>
  <c r="C56" i="23"/>
  <c r="C66" i="23"/>
  <c r="C78" i="23"/>
  <c r="C54" i="23"/>
  <c r="J80" i="23"/>
  <c r="J56" i="23"/>
  <c r="J68" i="23"/>
  <c r="X81" i="23"/>
  <c r="X69" i="23"/>
  <c r="X57" i="23"/>
  <c r="I67" i="23"/>
  <c r="I79" i="23"/>
  <c r="I55" i="23"/>
  <c r="P54" i="23"/>
  <c r="P78" i="23"/>
  <c r="P66" i="23"/>
  <c r="AB69" i="23"/>
  <c r="AB57" i="23"/>
  <c r="AB81" i="23"/>
  <c r="I506" i="23"/>
  <c r="I494" i="23"/>
  <c r="I482" i="23"/>
  <c r="O503" i="23"/>
  <c r="O502" i="23"/>
  <c r="O479" i="23"/>
  <c r="O505" i="23"/>
  <c r="O504" i="23"/>
  <c r="O493" i="23"/>
  <c r="O478" i="23"/>
  <c r="O490" i="23"/>
  <c r="O481" i="23"/>
  <c r="O480" i="23"/>
  <c r="O492" i="23"/>
  <c r="O491" i="23"/>
  <c r="R496" i="23"/>
  <c r="R508" i="23"/>
  <c r="R484" i="23"/>
  <c r="AB508" i="23"/>
  <c r="AB484" i="23"/>
  <c r="AB496" i="23"/>
  <c r="Y506" i="23"/>
  <c r="Y482" i="23"/>
  <c r="Y494" i="23"/>
  <c r="C509" i="23"/>
  <c r="C497" i="23"/>
  <c r="C485" i="23"/>
  <c r="T389" i="23"/>
  <c r="T401" i="23"/>
  <c r="S391" i="23"/>
  <c r="S379" i="23"/>
  <c r="S403" i="23"/>
  <c r="W403" i="23"/>
  <c r="W391" i="23"/>
  <c r="W379" i="23"/>
  <c r="L380" i="23"/>
  <c r="L392" i="23"/>
  <c r="L404" i="23"/>
  <c r="C392" i="23"/>
  <c r="C404" i="23"/>
  <c r="C380" i="23"/>
  <c r="O404" i="23"/>
  <c r="O392" i="23"/>
  <c r="O380" i="23"/>
  <c r="W390" i="23"/>
  <c r="W402" i="23"/>
  <c r="W378" i="23"/>
  <c r="R294" i="23"/>
  <c r="R270" i="23"/>
  <c r="R282" i="23"/>
  <c r="P283" i="23"/>
  <c r="P271" i="23"/>
  <c r="P295" i="23"/>
  <c r="D276" i="23"/>
  <c r="D279" i="23"/>
  <c r="D289" i="23"/>
  <c r="D277" i="23"/>
  <c r="D267" i="23"/>
  <c r="D291" i="23"/>
  <c r="D290" i="23"/>
  <c r="D288" i="23"/>
  <c r="D278" i="23"/>
  <c r="D266" i="23"/>
  <c r="D264" i="23"/>
  <c r="D265" i="23"/>
  <c r="AC295" i="23"/>
  <c r="AC271" i="23"/>
  <c r="AC283" i="23"/>
  <c r="R281" i="23"/>
  <c r="R293" i="23"/>
  <c r="R269" i="23"/>
  <c r="B292" i="23"/>
  <c r="B280" i="23"/>
  <c r="B268" i="23"/>
  <c r="W173" i="23"/>
  <c r="W185" i="23"/>
  <c r="W161" i="23"/>
  <c r="Y172" i="23"/>
  <c r="Y160" i="23"/>
  <c r="Y184" i="23"/>
  <c r="AA185" i="23"/>
  <c r="AA161" i="23"/>
  <c r="AA173" i="23"/>
  <c r="AC160" i="23"/>
  <c r="AC184" i="23"/>
  <c r="AC172" i="23"/>
  <c r="H168" i="23"/>
  <c r="H171" i="23"/>
  <c r="H183" i="23"/>
  <c r="H180" i="23"/>
  <c r="H181" i="23"/>
  <c r="H169" i="23"/>
  <c r="H159" i="23"/>
  <c r="H156" i="23"/>
  <c r="H170" i="23"/>
  <c r="H182" i="23"/>
  <c r="H158" i="23"/>
  <c r="H157" i="23"/>
  <c r="Z187" i="23"/>
  <c r="Z175" i="23"/>
  <c r="Z163" i="23"/>
  <c r="L180" i="23"/>
  <c r="L156" i="23"/>
  <c r="L183" i="23"/>
  <c r="L159" i="23"/>
  <c r="L181" i="23"/>
  <c r="L171" i="23"/>
  <c r="L169" i="23"/>
  <c r="L157" i="23"/>
  <c r="L170" i="23"/>
  <c r="L182" i="23"/>
  <c r="L158" i="23"/>
  <c r="L168" i="23"/>
  <c r="C69" i="23"/>
  <c r="C81" i="23"/>
  <c r="C57" i="23"/>
  <c r="L66" i="23"/>
  <c r="L54" i="23"/>
  <c r="L78" i="23"/>
  <c r="F473" i="23"/>
  <c r="F151" i="23"/>
  <c r="F260" i="23"/>
  <c r="F46" i="23"/>
  <c r="F259" i="23"/>
  <c r="F368" i="23"/>
  <c r="F369" i="23"/>
  <c r="Y66" i="23"/>
  <c r="Y54" i="23"/>
  <c r="Y78" i="23"/>
  <c r="W503" i="23"/>
  <c r="W502" i="23"/>
  <c r="W493" i="23"/>
  <c r="W490" i="23"/>
  <c r="W479" i="23"/>
  <c r="W492" i="23"/>
  <c r="W478" i="23"/>
  <c r="W481" i="23"/>
  <c r="W504" i="23"/>
  <c r="W505" i="23"/>
  <c r="W491" i="23"/>
  <c r="W480" i="23"/>
  <c r="AC497" i="23"/>
  <c r="AC509" i="23"/>
  <c r="AC485" i="23"/>
  <c r="Q401" i="23"/>
  <c r="Q389" i="23"/>
  <c r="Q377" i="23"/>
  <c r="AA403" i="23"/>
  <c r="AA379" i="23"/>
  <c r="AA391" i="23"/>
  <c r="H391" i="23"/>
  <c r="H403" i="23"/>
  <c r="H379" i="23"/>
  <c r="Y404" i="23"/>
  <c r="Y392" i="23"/>
  <c r="Y380" i="23"/>
  <c r="AB392" i="23"/>
  <c r="AB404" i="23"/>
  <c r="AB380" i="23"/>
  <c r="K392" i="23"/>
  <c r="K404" i="23"/>
  <c r="K380" i="23"/>
  <c r="W404" i="23"/>
  <c r="W380" i="23"/>
  <c r="W392" i="23"/>
  <c r="J294" i="23"/>
  <c r="J270" i="23"/>
  <c r="J282" i="23"/>
  <c r="Q184" i="23"/>
  <c r="Q172" i="23"/>
  <c r="Q160" i="23"/>
  <c r="W280" i="23"/>
  <c r="W292" i="23"/>
  <c r="W268" i="23"/>
  <c r="H173" i="23"/>
  <c r="H185" i="23"/>
  <c r="H161" i="23"/>
  <c r="S172" i="23"/>
  <c r="S160" i="23"/>
  <c r="S184" i="23"/>
  <c r="V170" i="23"/>
  <c r="V181" i="23"/>
  <c r="V157" i="23"/>
  <c r="V171" i="23"/>
  <c r="V169" i="23"/>
  <c r="V159" i="23"/>
  <c r="V183" i="23"/>
  <c r="V180" i="23"/>
  <c r="V168" i="23"/>
  <c r="V156" i="23"/>
  <c r="V158" i="23"/>
  <c r="V182" i="23"/>
  <c r="X168" i="23"/>
  <c r="X171" i="23"/>
  <c r="X181" i="23"/>
  <c r="X182" i="23"/>
  <c r="X183" i="23"/>
  <c r="X157" i="23"/>
  <c r="X158" i="23"/>
  <c r="X159" i="23"/>
  <c r="X156" i="23"/>
  <c r="X170" i="23"/>
  <c r="X180" i="23"/>
  <c r="X169" i="23"/>
  <c r="G46" i="23"/>
  <c r="T80" i="23"/>
  <c r="T68" i="23"/>
  <c r="T56" i="23"/>
  <c r="D78" i="23"/>
  <c r="D54" i="23"/>
  <c r="D66" i="23"/>
  <c r="S79" i="23"/>
  <c r="S55" i="23"/>
  <c r="S67" i="23"/>
  <c r="Z77" i="23"/>
  <c r="Z75" i="23"/>
  <c r="Z52" i="23"/>
  <c r="Z76" i="23"/>
  <c r="Z65" i="23"/>
  <c r="Z64" i="23"/>
  <c r="Z51" i="23"/>
  <c r="Z53" i="23"/>
  <c r="Z63" i="23"/>
  <c r="Z74" i="23"/>
  <c r="Z50" i="23"/>
  <c r="Z62" i="23"/>
  <c r="Q66" i="23"/>
  <c r="Q78" i="23"/>
  <c r="Q54" i="23"/>
  <c r="X65" i="23"/>
  <c r="X77" i="23"/>
  <c r="X62" i="23"/>
  <c r="X76" i="23"/>
  <c r="X50" i="23"/>
  <c r="X75" i="23"/>
  <c r="X53" i="23"/>
  <c r="X74" i="23"/>
  <c r="X51" i="23"/>
  <c r="X52" i="23"/>
  <c r="X64" i="23"/>
  <c r="X63" i="23"/>
  <c r="V506" i="23"/>
  <c r="V482" i="23"/>
  <c r="V494" i="23"/>
  <c r="B504" i="23"/>
  <c r="B502" i="23"/>
  <c r="B503" i="23"/>
  <c r="B490" i="23"/>
  <c r="B480" i="23"/>
  <c r="B491" i="23"/>
  <c r="B478" i="23"/>
  <c r="B492" i="23"/>
  <c r="B479" i="23"/>
  <c r="B505" i="23"/>
  <c r="B493" i="23"/>
  <c r="B481" i="23"/>
  <c r="B496" i="23"/>
  <c r="B508" i="23"/>
  <c r="B484" i="23"/>
  <c r="O508" i="23"/>
  <c r="O496" i="23"/>
  <c r="O484" i="23"/>
  <c r="I401" i="23"/>
  <c r="I389" i="23"/>
  <c r="I377" i="23"/>
  <c r="G401" i="23"/>
  <c r="G389" i="23"/>
  <c r="D403" i="23"/>
  <c r="D379" i="23"/>
  <c r="D391" i="23"/>
  <c r="P391" i="23"/>
  <c r="P403" i="23"/>
  <c r="P379" i="23"/>
  <c r="E404" i="23"/>
  <c r="E392" i="23"/>
  <c r="E380" i="23"/>
  <c r="M404" i="23"/>
  <c r="M392" i="23"/>
  <c r="M380" i="23"/>
  <c r="S392" i="23"/>
  <c r="S404" i="23"/>
  <c r="S380" i="23"/>
  <c r="R402" i="23"/>
  <c r="R390" i="23"/>
  <c r="R378" i="23"/>
  <c r="B294" i="23"/>
  <c r="B270" i="23"/>
  <c r="B282" i="23"/>
  <c r="Y294" i="23"/>
  <c r="Y270" i="23"/>
  <c r="Y282" i="23"/>
  <c r="N283" i="23"/>
  <c r="N295" i="23"/>
  <c r="N271" i="23"/>
  <c r="T276" i="23"/>
  <c r="T279" i="23"/>
  <c r="T291" i="23"/>
  <c r="T265" i="23"/>
  <c r="T290" i="23"/>
  <c r="T289" i="23"/>
  <c r="T288" i="23"/>
  <c r="T278" i="23"/>
  <c r="T277" i="23"/>
  <c r="T266" i="23"/>
  <c r="T264" i="23"/>
  <c r="T267" i="23"/>
  <c r="G277" i="23"/>
  <c r="G288" i="23"/>
  <c r="G264" i="23"/>
  <c r="G290" i="23"/>
  <c r="G278" i="23"/>
  <c r="G289" i="23"/>
  <c r="G279" i="23"/>
  <c r="G276" i="23"/>
  <c r="G267" i="23"/>
  <c r="G265" i="23"/>
  <c r="G291" i="23"/>
  <c r="G266" i="23"/>
  <c r="G283" i="23"/>
  <c r="G271" i="23"/>
  <c r="G295" i="23"/>
  <c r="F271" i="23"/>
  <c r="F283" i="23"/>
  <c r="F295" i="23"/>
  <c r="I160" i="23"/>
  <c r="I184" i="23"/>
  <c r="I172" i="23"/>
  <c r="X184" i="23"/>
  <c r="X160" i="23"/>
  <c r="X172" i="23"/>
  <c r="W175" i="23"/>
  <c r="W187" i="23"/>
  <c r="W163" i="23"/>
  <c r="P161" i="23"/>
  <c r="P185" i="23"/>
  <c r="P173" i="23"/>
  <c r="M186" i="23"/>
  <c r="M162" i="23"/>
  <c r="M174" i="23"/>
  <c r="G184" i="23"/>
  <c r="G160" i="23"/>
  <c r="G172" i="23"/>
  <c r="D180" i="23"/>
  <c r="D156" i="23"/>
  <c r="D183" i="23"/>
  <c r="D159" i="23"/>
  <c r="D182" i="23"/>
  <c r="D157" i="23"/>
  <c r="D181" i="23"/>
  <c r="D171" i="23"/>
  <c r="D168" i="23"/>
  <c r="D158" i="23"/>
  <c r="D170" i="23"/>
  <c r="D169" i="23"/>
  <c r="L80" i="23"/>
  <c r="L68" i="23"/>
  <c r="L56" i="23"/>
  <c r="Y57" i="23"/>
  <c r="Y81" i="23"/>
  <c r="Y69" i="23"/>
  <c r="R79" i="23"/>
  <c r="R67" i="23"/>
  <c r="R55" i="23"/>
  <c r="R77" i="23"/>
  <c r="R75" i="23"/>
  <c r="R65" i="23"/>
  <c r="R52" i="23"/>
  <c r="R74" i="23"/>
  <c r="R64" i="23"/>
  <c r="R51" i="23"/>
  <c r="R76" i="23"/>
  <c r="R62" i="23"/>
  <c r="R50" i="23"/>
  <c r="R53" i="23"/>
  <c r="R63" i="23"/>
  <c r="Y68" i="23"/>
  <c r="Y80" i="23"/>
  <c r="Y56" i="23"/>
  <c r="H80" i="23"/>
  <c r="H68" i="23"/>
  <c r="H56" i="23"/>
  <c r="P65" i="23"/>
  <c r="P77" i="23"/>
  <c r="P76" i="23"/>
  <c r="P62" i="23"/>
  <c r="P75" i="23"/>
  <c r="P74" i="23"/>
  <c r="P50" i="23"/>
  <c r="P53" i="23"/>
  <c r="P51" i="23"/>
  <c r="P63" i="23"/>
  <c r="P52" i="23"/>
  <c r="P64" i="23"/>
  <c r="V81" i="23"/>
  <c r="V69" i="23"/>
  <c r="V57" i="23"/>
  <c r="V75" i="23"/>
  <c r="V74" i="23"/>
  <c r="V64" i="23"/>
  <c r="V77" i="23"/>
  <c r="V62" i="23"/>
  <c r="V76" i="23"/>
  <c r="V52" i="23"/>
  <c r="V65" i="23"/>
  <c r="V63" i="23"/>
  <c r="V53" i="23"/>
  <c r="V50" i="23"/>
  <c r="V51" i="23"/>
  <c r="H495" i="23"/>
  <c r="H507" i="23"/>
  <c r="H483" i="23"/>
  <c r="B507" i="23"/>
  <c r="B495" i="23"/>
  <c r="B483" i="23"/>
  <c r="D507" i="23"/>
  <c r="D495" i="23"/>
  <c r="D483" i="23"/>
  <c r="H503" i="23"/>
  <c r="H490" i="23"/>
  <c r="H504" i="23"/>
  <c r="H505" i="23"/>
  <c r="H492" i="23"/>
  <c r="H493" i="23"/>
  <c r="H480" i="23"/>
  <c r="H478" i="23"/>
  <c r="H502" i="23"/>
  <c r="H481" i="23"/>
  <c r="H491" i="23"/>
  <c r="H479" i="23"/>
  <c r="U502" i="23"/>
  <c r="U505" i="23"/>
  <c r="U503" i="23"/>
  <c r="U504" i="23"/>
  <c r="U481" i="23"/>
  <c r="U493" i="23"/>
  <c r="U490" i="23"/>
  <c r="U479" i="23"/>
  <c r="U491" i="23"/>
  <c r="U480" i="23"/>
  <c r="U492" i="23"/>
  <c r="U478" i="23"/>
  <c r="K494" i="23"/>
  <c r="K506" i="23"/>
  <c r="K482" i="23"/>
  <c r="AA509" i="23"/>
  <c r="AA497" i="23"/>
  <c r="AA485" i="23"/>
  <c r="Y507" i="23"/>
  <c r="Y483" i="23"/>
  <c r="Y495" i="23"/>
  <c r="Z496" i="23"/>
  <c r="Z508" i="23"/>
  <c r="Z484" i="23"/>
  <c r="T402" i="23"/>
  <c r="T390" i="23"/>
  <c r="T378" i="23"/>
  <c r="O389" i="23"/>
  <c r="O401" i="23"/>
  <c r="O377" i="23"/>
  <c r="L401" i="23"/>
  <c r="L389" i="23"/>
  <c r="L377" i="23"/>
  <c r="B397" i="23"/>
  <c r="B387" i="23"/>
  <c r="B400" i="23"/>
  <c r="B385" i="23"/>
  <c r="B399" i="23"/>
  <c r="B398" i="23"/>
  <c r="B375" i="23"/>
  <c r="B373" i="23"/>
  <c r="B388" i="23"/>
  <c r="B386" i="23"/>
  <c r="B376" i="23"/>
  <c r="B374" i="23"/>
  <c r="F398" i="23"/>
  <c r="F397" i="23"/>
  <c r="F399" i="23"/>
  <c r="F400" i="23"/>
  <c r="F385" i="23"/>
  <c r="F373" i="23"/>
  <c r="F387" i="23"/>
  <c r="F375" i="23"/>
  <c r="F386" i="23"/>
  <c r="F376" i="23"/>
  <c r="F374" i="23"/>
  <c r="F388" i="23"/>
  <c r="X399" i="23"/>
  <c r="X400" i="23"/>
  <c r="X397" i="23"/>
  <c r="X387" i="23"/>
  <c r="X398" i="23"/>
  <c r="X375" i="23"/>
  <c r="X386" i="23"/>
  <c r="X374" i="23"/>
  <c r="X385" i="23"/>
  <c r="X388" i="23"/>
  <c r="X376" i="23"/>
  <c r="X373" i="23"/>
  <c r="AA390" i="23"/>
  <c r="AA378" i="23"/>
  <c r="AA402" i="23"/>
  <c r="F290" i="23"/>
  <c r="F266" i="23"/>
  <c r="F277" i="23"/>
  <c r="F267" i="23"/>
  <c r="F291" i="23"/>
  <c r="F288" i="23"/>
  <c r="F289" i="23"/>
  <c r="F278" i="23"/>
  <c r="F279" i="23"/>
  <c r="F276" i="23"/>
  <c r="F264" i="23"/>
  <c r="F265" i="23"/>
  <c r="AA289" i="23"/>
  <c r="AA265" i="23"/>
  <c r="AA276" i="23"/>
  <c r="AA290" i="23"/>
  <c r="AA264" i="23"/>
  <c r="AA267" i="23"/>
  <c r="AA266" i="23"/>
  <c r="AA291" i="23"/>
  <c r="AA288" i="23"/>
  <c r="AA279" i="23"/>
  <c r="AA278" i="23"/>
  <c r="AA277" i="23"/>
  <c r="V403" i="23"/>
  <c r="V391" i="23"/>
  <c r="V379" i="23"/>
  <c r="J403" i="23"/>
  <c r="J391" i="23"/>
  <c r="J379" i="23"/>
  <c r="AA292" i="23"/>
  <c r="AA268" i="23"/>
  <c r="AA280" i="23"/>
  <c r="X282" i="23"/>
  <c r="X270" i="23"/>
  <c r="X294" i="23"/>
  <c r="Z294" i="23"/>
  <c r="Z270" i="23"/>
  <c r="Z282" i="23"/>
  <c r="Z281" i="23"/>
  <c r="Z293" i="23"/>
  <c r="Z269" i="23"/>
  <c r="AB292" i="23"/>
  <c r="AB268" i="23"/>
  <c r="AB280" i="23"/>
  <c r="G280" i="23"/>
  <c r="G268" i="23"/>
  <c r="G292" i="23"/>
  <c r="C281" i="23"/>
  <c r="C293" i="23"/>
  <c r="C269" i="23"/>
  <c r="L295" i="23"/>
  <c r="L271" i="23"/>
  <c r="L283" i="23"/>
  <c r="I187" i="23"/>
  <c r="I163" i="23"/>
  <c r="I175" i="23"/>
  <c r="I174" i="23"/>
  <c r="I162" i="23"/>
  <c r="I186" i="23"/>
  <c r="H174" i="23"/>
  <c r="H186" i="23"/>
  <c r="H162" i="23"/>
  <c r="F172" i="23"/>
  <c r="F160" i="23"/>
  <c r="F184" i="23"/>
  <c r="D175" i="23"/>
  <c r="D187" i="23"/>
  <c r="D163" i="23"/>
  <c r="E175" i="23"/>
  <c r="E163" i="23"/>
  <c r="E187" i="23"/>
  <c r="J184" i="23"/>
  <c r="J160" i="23"/>
  <c r="J172" i="23"/>
  <c r="R172" i="23"/>
  <c r="R160" i="23"/>
  <c r="R184" i="23"/>
  <c r="F170" i="23"/>
  <c r="F181" i="23"/>
  <c r="F157" i="23"/>
  <c r="F169" i="23"/>
  <c r="F159" i="23"/>
  <c r="F183" i="23"/>
  <c r="F171" i="23"/>
  <c r="F182" i="23"/>
  <c r="F168" i="23"/>
  <c r="F156" i="23"/>
  <c r="F180" i="23"/>
  <c r="F158" i="23"/>
  <c r="AB80" i="23"/>
  <c r="AB68" i="23"/>
  <c r="AB56" i="23"/>
  <c r="J69" i="23"/>
  <c r="J81" i="23"/>
  <c r="J57" i="23"/>
  <c r="K55" i="23"/>
  <c r="K79" i="23"/>
  <c r="K67" i="23"/>
  <c r="K74" i="23"/>
  <c r="K63" i="23"/>
  <c r="K77" i="23"/>
  <c r="K76" i="23"/>
  <c r="K51" i="23"/>
  <c r="K75" i="23"/>
  <c r="K62" i="23"/>
  <c r="K52" i="23"/>
  <c r="K64" i="23"/>
  <c r="K53" i="23"/>
  <c r="K65" i="23"/>
  <c r="K50" i="23"/>
  <c r="I46" i="23"/>
  <c r="R68" i="23"/>
  <c r="R56" i="23"/>
  <c r="R80" i="23"/>
  <c r="R78" i="23"/>
  <c r="R66" i="23"/>
  <c r="R54" i="23"/>
  <c r="P81" i="23"/>
  <c r="P69" i="23"/>
  <c r="P57" i="23"/>
  <c r="G81" i="23"/>
  <c r="G69" i="23"/>
  <c r="G57" i="23"/>
  <c r="U46" i="23"/>
  <c r="G68" i="23"/>
  <c r="G80" i="23"/>
  <c r="G56" i="23"/>
  <c r="Z162" i="23"/>
  <c r="E81" i="23"/>
  <c r="E57" i="23"/>
  <c r="E69" i="23"/>
  <c r="N78" i="23"/>
  <c r="N66" i="23"/>
  <c r="N54" i="23"/>
  <c r="AC76" i="23"/>
  <c r="AC65" i="23"/>
  <c r="AC53" i="23"/>
  <c r="AC64" i="23"/>
  <c r="AC75" i="23"/>
  <c r="AC74" i="23"/>
  <c r="AC52" i="23"/>
  <c r="AC50" i="23"/>
  <c r="AC63" i="23"/>
  <c r="AC51" i="23"/>
  <c r="AC62" i="23"/>
  <c r="AC77" i="23"/>
  <c r="AB63" i="23"/>
  <c r="J507" i="23"/>
  <c r="J495" i="23"/>
  <c r="J483" i="23"/>
  <c r="L507" i="23"/>
  <c r="L483" i="23"/>
  <c r="L495" i="23"/>
  <c r="X503" i="23"/>
  <c r="X490" i="23"/>
  <c r="X493" i="23"/>
  <c r="X504" i="23"/>
  <c r="X505" i="23"/>
  <c r="X491" i="23"/>
  <c r="X480" i="23"/>
  <c r="X492" i="23"/>
  <c r="X478" i="23"/>
  <c r="X481" i="23"/>
  <c r="X502" i="23"/>
  <c r="X479" i="23"/>
  <c r="AC502" i="23"/>
  <c r="AC505" i="23"/>
  <c r="AC503" i="23"/>
  <c r="AC504" i="23"/>
  <c r="AC492" i="23"/>
  <c r="AC481" i="23"/>
  <c r="AC479" i="23"/>
  <c r="AC490" i="23"/>
  <c r="AC480" i="23"/>
  <c r="AC493" i="23"/>
  <c r="AC491" i="23"/>
  <c r="AC478" i="23"/>
  <c r="AA494" i="23"/>
  <c r="AA506" i="23"/>
  <c r="AA482" i="23"/>
  <c r="G506" i="23"/>
  <c r="G494" i="23"/>
  <c r="G482" i="23"/>
  <c r="G509" i="23"/>
  <c r="G485" i="23"/>
  <c r="G497" i="23"/>
  <c r="X509" i="23"/>
  <c r="X497" i="23"/>
  <c r="X485" i="23"/>
  <c r="D497" i="23"/>
  <c r="D509" i="23"/>
  <c r="D485" i="23"/>
  <c r="E507" i="23"/>
  <c r="E495" i="23"/>
  <c r="E483" i="23"/>
  <c r="C496" i="23"/>
  <c r="C484" i="23"/>
  <c r="C508" i="23"/>
  <c r="U390" i="23"/>
  <c r="U402" i="23"/>
  <c r="U378" i="23"/>
  <c r="L390" i="23"/>
  <c r="L402" i="23"/>
  <c r="L378" i="23"/>
  <c r="J397" i="23"/>
  <c r="J387" i="23"/>
  <c r="J399" i="23"/>
  <c r="J385" i="23"/>
  <c r="J376" i="23"/>
  <c r="J386" i="23"/>
  <c r="J388" i="23"/>
  <c r="J373" i="23"/>
  <c r="J400" i="23"/>
  <c r="J375" i="23"/>
  <c r="J398" i="23"/>
  <c r="J374" i="23"/>
  <c r="N400" i="23"/>
  <c r="N398" i="23"/>
  <c r="N399" i="23"/>
  <c r="N385" i="23"/>
  <c r="N373" i="23"/>
  <c r="N388" i="23"/>
  <c r="N375" i="23"/>
  <c r="N374" i="23"/>
  <c r="N387" i="23"/>
  <c r="N376" i="23"/>
  <c r="N397" i="23"/>
  <c r="N386" i="23"/>
  <c r="H392" i="23"/>
  <c r="H404" i="23"/>
  <c r="H380" i="23"/>
  <c r="T392" i="23"/>
  <c r="T380" i="23"/>
  <c r="T404" i="23"/>
  <c r="N391" i="23"/>
  <c r="N379" i="23"/>
  <c r="N403" i="23"/>
  <c r="M292" i="23"/>
  <c r="M280" i="23"/>
  <c r="M268" i="23"/>
  <c r="G294" i="23"/>
  <c r="G282" i="23"/>
  <c r="G270" i="23"/>
  <c r="D294" i="23"/>
  <c r="D282" i="23"/>
  <c r="D270" i="23"/>
  <c r="G293" i="23"/>
  <c r="G269" i="23"/>
  <c r="G281" i="23"/>
  <c r="AC268" i="23"/>
  <c r="AC292" i="23"/>
  <c r="AC280" i="23"/>
  <c r="V290" i="23"/>
  <c r="V266" i="23"/>
  <c r="V277" i="23"/>
  <c r="V265" i="23"/>
  <c r="V289" i="23"/>
  <c r="V279" i="23"/>
  <c r="V288" i="23"/>
  <c r="V278" i="23"/>
  <c r="V276" i="23"/>
  <c r="V267" i="23"/>
  <c r="V264" i="23"/>
  <c r="V291" i="23"/>
  <c r="S283" i="23"/>
  <c r="S271" i="23"/>
  <c r="S295" i="23"/>
  <c r="Q280" i="23"/>
  <c r="Q268" i="23"/>
  <c r="Q292" i="23"/>
  <c r="U282" i="23"/>
  <c r="U270" i="23"/>
  <c r="U294" i="23"/>
  <c r="M295" i="23"/>
  <c r="M271" i="23"/>
  <c r="M283" i="23"/>
  <c r="AA186" i="23"/>
  <c r="AA174" i="23"/>
  <c r="AA162" i="23"/>
  <c r="Q174" i="23"/>
  <c r="Q186" i="23"/>
  <c r="Q162" i="23"/>
  <c r="T174" i="23"/>
  <c r="T186" i="23"/>
  <c r="T162" i="23"/>
  <c r="L161" i="23"/>
  <c r="L185" i="23"/>
  <c r="L173" i="23"/>
  <c r="S162" i="23"/>
  <c r="S186" i="23"/>
  <c r="S174" i="23"/>
  <c r="P187" i="23"/>
  <c r="P163" i="23"/>
  <c r="P175" i="23"/>
  <c r="T175" i="23"/>
  <c r="T187" i="23"/>
  <c r="T163" i="23"/>
  <c r="M175" i="23"/>
  <c r="M163" i="23"/>
  <c r="M187" i="23"/>
  <c r="C169" i="23"/>
  <c r="C180" i="23"/>
  <c r="C156" i="23"/>
  <c r="C168" i="23"/>
  <c r="C158" i="23"/>
  <c r="C170" i="23"/>
  <c r="C181" i="23"/>
  <c r="C171" i="23"/>
  <c r="C157" i="23"/>
  <c r="C159" i="23"/>
  <c r="C182" i="23"/>
  <c r="C183" i="23"/>
  <c r="W181" i="23"/>
  <c r="W157" i="23"/>
  <c r="W168" i="23"/>
  <c r="W158" i="23"/>
  <c r="W182" i="23"/>
  <c r="W156" i="23"/>
  <c r="W180" i="23"/>
  <c r="W170" i="23"/>
  <c r="W171" i="23"/>
  <c r="W183" i="23"/>
  <c r="W159" i="23"/>
  <c r="W169" i="23"/>
  <c r="P68" i="23"/>
  <c r="P80" i="23"/>
  <c r="P56" i="23"/>
  <c r="C55" i="23"/>
  <c r="C79" i="23"/>
  <c r="C67" i="23"/>
  <c r="J66" i="23"/>
  <c r="J78" i="23"/>
  <c r="J54" i="23"/>
  <c r="H81" i="23"/>
  <c r="H69" i="23"/>
  <c r="H57" i="23"/>
  <c r="X80" i="23"/>
  <c r="X68" i="23"/>
  <c r="X56" i="23"/>
  <c r="H54" i="23"/>
  <c r="H78" i="23"/>
  <c r="H66" i="23"/>
  <c r="K46" i="23"/>
  <c r="V56" i="23"/>
  <c r="V80" i="23"/>
  <c r="V68" i="23"/>
  <c r="G78" i="23"/>
  <c r="G66" i="23"/>
  <c r="G54" i="23"/>
  <c r="Z186" i="23"/>
  <c r="F78" i="23"/>
  <c r="F66" i="23"/>
  <c r="F54" i="23"/>
  <c r="D69" i="23"/>
  <c r="D81" i="23"/>
  <c r="D57" i="23"/>
  <c r="M80" i="23"/>
  <c r="M68" i="23"/>
  <c r="M56" i="23"/>
  <c r="U76" i="23"/>
  <c r="U53" i="23"/>
  <c r="U74" i="23"/>
  <c r="U64" i="23"/>
  <c r="U77" i="23"/>
  <c r="U52" i="23"/>
  <c r="U75" i="23"/>
  <c r="U50" i="23"/>
  <c r="U51" i="23"/>
  <c r="U62" i="23"/>
  <c r="U63" i="23"/>
  <c r="U65" i="23"/>
  <c r="T45" i="23"/>
  <c r="AB74" i="23"/>
  <c r="R507" i="23"/>
  <c r="R495" i="23"/>
  <c r="R483" i="23"/>
  <c r="T507" i="23"/>
  <c r="T495" i="23"/>
  <c r="T483" i="23"/>
  <c r="J504" i="23"/>
  <c r="J502" i="23"/>
  <c r="J503" i="23"/>
  <c r="J480" i="23"/>
  <c r="J490" i="23"/>
  <c r="J478" i="23"/>
  <c r="J491" i="23"/>
  <c r="J479" i="23"/>
  <c r="J493" i="23"/>
  <c r="J492" i="23"/>
  <c r="J481" i="23"/>
  <c r="J505" i="23"/>
  <c r="D502" i="23"/>
  <c r="D505" i="23"/>
  <c r="D493" i="23"/>
  <c r="D478" i="23"/>
  <c r="D480" i="23"/>
  <c r="D503" i="23"/>
  <c r="D481" i="23"/>
  <c r="D492" i="23"/>
  <c r="D491" i="23"/>
  <c r="D490" i="23"/>
  <c r="D504" i="23"/>
  <c r="D479" i="23"/>
  <c r="F505" i="23"/>
  <c r="F492" i="23"/>
  <c r="F503" i="23"/>
  <c r="F491" i="23"/>
  <c r="F504" i="23"/>
  <c r="F493" i="23"/>
  <c r="F480" i="23"/>
  <c r="F490" i="23"/>
  <c r="F502" i="23"/>
  <c r="F478" i="23"/>
  <c r="F481" i="23"/>
  <c r="F479" i="23"/>
  <c r="E494" i="23"/>
  <c r="E506" i="23"/>
  <c r="E482" i="23"/>
  <c r="M494" i="23"/>
  <c r="M506" i="23"/>
  <c r="M482" i="23"/>
  <c r="O506" i="23"/>
  <c r="O494" i="23"/>
  <c r="O482" i="23"/>
  <c r="D494" i="23"/>
  <c r="D482" i="23"/>
  <c r="D506" i="23"/>
  <c r="K509" i="23"/>
  <c r="K497" i="23"/>
  <c r="K485" i="23"/>
  <c r="I509" i="23"/>
  <c r="I485" i="23"/>
  <c r="I497" i="23"/>
  <c r="L497" i="23"/>
  <c r="L509" i="23"/>
  <c r="L485" i="23"/>
  <c r="U507" i="23"/>
  <c r="U483" i="23"/>
  <c r="U495" i="23"/>
  <c r="X508" i="23"/>
  <c r="X496" i="23"/>
  <c r="X484" i="23"/>
  <c r="U508" i="23"/>
  <c r="U496" i="23"/>
  <c r="U484" i="23"/>
  <c r="I496" i="23"/>
  <c r="I508" i="23"/>
  <c r="I484" i="23"/>
  <c r="M390" i="23"/>
  <c r="M402" i="23"/>
  <c r="M378" i="23"/>
  <c r="D390" i="23"/>
  <c r="D402" i="23"/>
  <c r="D378" i="23"/>
  <c r="Y402" i="23"/>
  <c r="Y390" i="23"/>
  <c r="Y378" i="23"/>
  <c r="H402" i="23"/>
  <c r="H390" i="23"/>
  <c r="H378" i="23"/>
  <c r="Q398" i="23"/>
  <c r="Q397" i="23"/>
  <c r="Q387" i="23"/>
  <c r="Q399" i="23"/>
  <c r="Q388" i="23"/>
  <c r="Q400" i="23"/>
  <c r="Q386" i="23"/>
  <c r="Q374" i="23"/>
  <c r="Q375" i="23"/>
  <c r="Q376" i="23"/>
  <c r="Q373" i="23"/>
  <c r="Q385" i="23"/>
  <c r="R397" i="23"/>
  <c r="R387" i="23"/>
  <c r="R398" i="23"/>
  <c r="R385" i="23"/>
  <c r="R375" i="23"/>
  <c r="R376" i="23"/>
  <c r="R400" i="23"/>
  <c r="R399" i="23"/>
  <c r="R386" i="23"/>
  <c r="R373" i="23"/>
  <c r="R388" i="23"/>
  <c r="R374" i="23"/>
  <c r="V399" i="23"/>
  <c r="V400" i="23"/>
  <c r="V397" i="23"/>
  <c r="V387" i="23"/>
  <c r="V398" i="23"/>
  <c r="V385" i="23"/>
  <c r="V373" i="23"/>
  <c r="V386" i="23"/>
  <c r="V374" i="23"/>
  <c r="V375" i="23"/>
  <c r="V388" i="23"/>
  <c r="V376" i="23"/>
  <c r="S402" i="23"/>
  <c r="S390" i="23"/>
  <c r="S378" i="23"/>
  <c r="AC398" i="23"/>
  <c r="AC388" i="23"/>
  <c r="AC386" i="23"/>
  <c r="AC397" i="23"/>
  <c r="AC374" i="23"/>
  <c r="AC375" i="23"/>
  <c r="AC400" i="23"/>
  <c r="AC399" i="23"/>
  <c r="AC373" i="23"/>
  <c r="AC376" i="23"/>
  <c r="AC387" i="23"/>
  <c r="AC385" i="23"/>
  <c r="E398" i="23"/>
  <c r="E388" i="23"/>
  <c r="E386" i="23"/>
  <c r="E400" i="23"/>
  <c r="E399" i="23"/>
  <c r="E397" i="23"/>
  <c r="E373" i="23"/>
  <c r="E387" i="23"/>
  <c r="E375" i="23"/>
  <c r="E376" i="23"/>
  <c r="E374" i="23"/>
  <c r="E385" i="23"/>
  <c r="I291" i="23"/>
  <c r="I267" i="23"/>
  <c r="I278" i="23"/>
  <c r="I264" i="23"/>
  <c r="I288" i="23"/>
  <c r="I279" i="23"/>
  <c r="I276" i="23"/>
  <c r="I277" i="23"/>
  <c r="I266" i="23"/>
  <c r="I265" i="23"/>
  <c r="I289" i="23"/>
  <c r="I290" i="23"/>
  <c r="E403" i="23"/>
  <c r="E391" i="23"/>
  <c r="E379" i="23"/>
  <c r="Z391" i="23"/>
  <c r="Z403" i="23"/>
  <c r="Z379" i="23"/>
  <c r="O277" i="23"/>
  <c r="O288" i="23"/>
  <c r="O264" i="23"/>
  <c r="O276" i="23"/>
  <c r="O266" i="23"/>
  <c r="O290" i="23"/>
  <c r="O265" i="23"/>
  <c r="O291" i="23"/>
  <c r="O289" i="23"/>
  <c r="O278" i="23"/>
  <c r="O279" i="23"/>
  <c r="O267" i="23"/>
  <c r="Q294" i="23"/>
  <c r="Q270" i="23"/>
  <c r="Q282" i="23"/>
  <c r="L270" i="23"/>
  <c r="L294" i="23"/>
  <c r="L282" i="23"/>
  <c r="AB281" i="23"/>
  <c r="AB293" i="23"/>
  <c r="AB269" i="23"/>
  <c r="J281" i="23"/>
  <c r="J269" i="23"/>
  <c r="J293" i="23"/>
  <c r="O293" i="23"/>
  <c r="O269" i="23"/>
  <c r="O281" i="23"/>
  <c r="N268" i="23"/>
  <c r="N292" i="23"/>
  <c r="N280" i="23"/>
  <c r="H288" i="23"/>
  <c r="H264" i="23"/>
  <c r="H291" i="23"/>
  <c r="H267" i="23"/>
  <c r="H277" i="23"/>
  <c r="H265" i="23"/>
  <c r="H290" i="23"/>
  <c r="H279" i="23"/>
  <c r="H278" i="23"/>
  <c r="H276" i="23"/>
  <c r="H266" i="23"/>
  <c r="H289" i="23"/>
  <c r="AA270" i="23"/>
  <c r="AA294" i="23"/>
  <c r="AA282" i="23"/>
  <c r="C292" i="23"/>
  <c r="C268" i="23"/>
  <c r="C280" i="23"/>
  <c r="R163" i="23"/>
  <c r="R187" i="23"/>
  <c r="R175" i="23"/>
  <c r="E282" i="23"/>
  <c r="E270" i="23"/>
  <c r="E294" i="23"/>
  <c r="U295" i="23"/>
  <c r="U271" i="23"/>
  <c r="U283" i="23"/>
  <c r="K174" i="23"/>
  <c r="K186" i="23"/>
  <c r="K162" i="23"/>
  <c r="F186" i="23"/>
  <c r="F162" i="23"/>
  <c r="F174" i="23"/>
  <c r="Y174" i="23"/>
  <c r="Y162" i="23"/>
  <c r="Y186" i="23"/>
  <c r="I173" i="23"/>
  <c r="I185" i="23"/>
  <c r="I161" i="23"/>
  <c r="D186" i="23"/>
  <c r="D162" i="23"/>
  <c r="D174" i="23"/>
  <c r="T185" i="23"/>
  <c r="T173" i="23"/>
  <c r="T161" i="23"/>
  <c r="C162" i="23"/>
  <c r="C186" i="23"/>
  <c r="C174" i="23"/>
  <c r="U175" i="23"/>
  <c r="U187" i="23"/>
  <c r="U163" i="23"/>
  <c r="S169" i="23"/>
  <c r="S180" i="23"/>
  <c r="S156" i="23"/>
  <c r="S170" i="23"/>
  <c r="S168" i="23"/>
  <c r="S158" i="23"/>
  <c r="S182" i="23"/>
  <c r="S183" i="23"/>
  <c r="S157" i="23"/>
  <c r="S171" i="23"/>
  <c r="S159" i="23"/>
  <c r="S181" i="23"/>
  <c r="P168" i="23"/>
  <c r="P171" i="23"/>
  <c r="P169" i="23"/>
  <c r="P159" i="23"/>
  <c r="P183" i="23"/>
  <c r="P157" i="23"/>
  <c r="P181" i="23"/>
  <c r="P182" i="23"/>
  <c r="P180" i="23"/>
  <c r="P158" i="23"/>
  <c r="P156" i="23"/>
  <c r="P170" i="23"/>
  <c r="D68" i="23"/>
  <c r="D80" i="23"/>
  <c r="D56" i="23"/>
  <c r="F68" i="23"/>
  <c r="F56" i="23"/>
  <c r="F80" i="23"/>
  <c r="B80" i="23"/>
  <c r="B68" i="23"/>
  <c r="B56" i="23"/>
  <c r="B78" i="23"/>
  <c r="B66" i="23"/>
  <c r="B54" i="23"/>
  <c r="I66" i="23"/>
  <c r="I78" i="23"/>
  <c r="I54" i="23"/>
  <c r="M173" i="23"/>
  <c r="W67" i="23"/>
  <c r="W55" i="23"/>
  <c r="W79" i="23"/>
  <c r="O76" i="23"/>
  <c r="O74" i="23"/>
  <c r="O51" i="23"/>
  <c r="O65" i="23"/>
  <c r="O75" i="23"/>
  <c r="O63" i="23"/>
  <c r="O50" i="23"/>
  <c r="O64" i="23"/>
  <c r="O77" i="23"/>
  <c r="O62" i="23"/>
  <c r="O52" i="23"/>
  <c r="O53" i="23"/>
  <c r="U80" i="23"/>
  <c r="U68" i="23"/>
  <c r="U56" i="23"/>
  <c r="W76" i="23"/>
  <c r="W74" i="23"/>
  <c r="W51" i="23"/>
  <c r="W77" i="23"/>
  <c r="W65" i="23"/>
  <c r="W63" i="23"/>
  <c r="W50" i="23"/>
  <c r="W64" i="23"/>
  <c r="W62" i="23"/>
  <c r="W52" i="23"/>
  <c r="W53" i="23"/>
  <c r="W75" i="23"/>
  <c r="L69" i="23"/>
  <c r="L81" i="23"/>
  <c r="L57" i="23"/>
  <c r="N56" i="23"/>
  <c r="N80" i="23"/>
  <c r="N68" i="23"/>
  <c r="S46" i="23"/>
  <c r="E80" i="23"/>
  <c r="E68" i="23"/>
  <c r="E56" i="23"/>
  <c r="AB62" i="23"/>
  <c r="P495" i="23"/>
  <c r="P483" i="23"/>
  <c r="P507" i="23"/>
  <c r="Z507" i="23"/>
  <c r="Z495" i="23"/>
  <c r="Z483" i="23"/>
  <c r="AB507" i="23"/>
  <c r="AB495" i="23"/>
  <c r="AB483" i="23"/>
  <c r="L502" i="23"/>
  <c r="L505" i="23"/>
  <c r="L493" i="23"/>
  <c r="L503" i="23"/>
  <c r="L478" i="23"/>
  <c r="L492" i="23"/>
  <c r="L504" i="23"/>
  <c r="L480" i="23"/>
  <c r="L491" i="23"/>
  <c r="L490" i="23"/>
  <c r="L479" i="23"/>
  <c r="L481" i="23"/>
  <c r="N505" i="23"/>
  <c r="N492" i="23"/>
  <c r="N503" i="23"/>
  <c r="N491" i="23"/>
  <c r="N480" i="23"/>
  <c r="N504" i="23"/>
  <c r="N493" i="23"/>
  <c r="N478" i="23"/>
  <c r="N502" i="23"/>
  <c r="N479" i="23"/>
  <c r="N481" i="23"/>
  <c r="N490" i="23"/>
  <c r="U494" i="23"/>
  <c r="U506" i="23"/>
  <c r="U482" i="23"/>
  <c r="AC494" i="23"/>
  <c r="AC506" i="23"/>
  <c r="AC482" i="23"/>
  <c r="W506" i="23"/>
  <c r="W494" i="23"/>
  <c r="W482" i="23"/>
  <c r="L494" i="23"/>
  <c r="L506" i="23"/>
  <c r="L482" i="23"/>
  <c r="N497" i="23"/>
  <c r="N485" i="23"/>
  <c r="N509" i="23"/>
  <c r="Q509" i="23"/>
  <c r="Q485" i="23"/>
  <c r="Q497" i="23"/>
  <c r="T497" i="23"/>
  <c r="T509" i="23"/>
  <c r="T485" i="23"/>
  <c r="F495" i="23"/>
  <c r="F507" i="23"/>
  <c r="F483" i="23"/>
  <c r="D508" i="23"/>
  <c r="D496" i="23"/>
  <c r="D484" i="23"/>
  <c r="AC508" i="23"/>
  <c r="AC496" i="23"/>
  <c r="AC484" i="23"/>
  <c r="Q496" i="23"/>
  <c r="Q508" i="23"/>
  <c r="Q484" i="23"/>
  <c r="E390" i="23"/>
  <c r="E402" i="23"/>
  <c r="E378" i="23"/>
  <c r="Y401" i="23"/>
  <c r="Y389" i="23"/>
  <c r="Y377" i="23"/>
  <c r="AC389" i="23"/>
  <c r="AC401" i="23"/>
  <c r="AC377" i="23"/>
  <c r="O368" i="23"/>
  <c r="Z397" i="23"/>
  <c r="Z387" i="23"/>
  <c r="Z385" i="23"/>
  <c r="Z374" i="23"/>
  <c r="Z400" i="23"/>
  <c r="Z399" i="23"/>
  <c r="Z398" i="23"/>
  <c r="Z375" i="23"/>
  <c r="Z388" i="23"/>
  <c r="Z376" i="23"/>
  <c r="Z373" i="23"/>
  <c r="Z386" i="23"/>
  <c r="G400" i="23"/>
  <c r="G386" i="23"/>
  <c r="G398" i="23"/>
  <c r="G397" i="23"/>
  <c r="G376" i="23"/>
  <c r="G388" i="23"/>
  <c r="G387" i="23"/>
  <c r="G375" i="23"/>
  <c r="G374" i="23"/>
  <c r="G385" i="23"/>
  <c r="G399" i="23"/>
  <c r="G373" i="23"/>
  <c r="C390" i="23"/>
  <c r="C402" i="23"/>
  <c r="C378" i="23"/>
  <c r="J402" i="23"/>
  <c r="J390" i="23"/>
  <c r="J378" i="23"/>
  <c r="I398" i="23"/>
  <c r="I399" i="23"/>
  <c r="I400" i="23"/>
  <c r="I388" i="23"/>
  <c r="I386" i="23"/>
  <c r="I397" i="23"/>
  <c r="I374" i="23"/>
  <c r="I376" i="23"/>
  <c r="I385" i="23"/>
  <c r="I373" i="23"/>
  <c r="I387" i="23"/>
  <c r="I375" i="23"/>
  <c r="D399" i="23"/>
  <c r="D400" i="23"/>
  <c r="D385" i="23"/>
  <c r="D388" i="23"/>
  <c r="D375" i="23"/>
  <c r="D397" i="23"/>
  <c r="D387" i="23"/>
  <c r="D398" i="23"/>
  <c r="D373" i="23"/>
  <c r="D386" i="23"/>
  <c r="D376" i="23"/>
  <c r="D374" i="23"/>
  <c r="Y398" i="23"/>
  <c r="Y400" i="23"/>
  <c r="Y397" i="23"/>
  <c r="Y387" i="23"/>
  <c r="Y374" i="23"/>
  <c r="Y388" i="23"/>
  <c r="Y399" i="23"/>
  <c r="Y386" i="23"/>
  <c r="Y385" i="23"/>
  <c r="Y375" i="23"/>
  <c r="Y376" i="23"/>
  <c r="Y373" i="23"/>
  <c r="Q291" i="23"/>
  <c r="Q267" i="23"/>
  <c r="Q278" i="23"/>
  <c r="Q290" i="23"/>
  <c r="Q264" i="23"/>
  <c r="Q289" i="23"/>
  <c r="Q288" i="23"/>
  <c r="Q279" i="23"/>
  <c r="Q277" i="23"/>
  <c r="Q276" i="23"/>
  <c r="Q265" i="23"/>
  <c r="Q266" i="23"/>
  <c r="X404" i="23"/>
  <c r="X392" i="23"/>
  <c r="X380" i="23"/>
  <c r="M403" i="23"/>
  <c r="M391" i="23"/>
  <c r="M379" i="23"/>
  <c r="E279" i="23"/>
  <c r="E290" i="23"/>
  <c r="E266" i="23"/>
  <c r="E276" i="23"/>
  <c r="E264" i="23"/>
  <c r="E291" i="23"/>
  <c r="E288" i="23"/>
  <c r="E289" i="23"/>
  <c r="E278" i="23"/>
  <c r="E277" i="23"/>
  <c r="E265" i="23"/>
  <c r="E267" i="23"/>
  <c r="M279" i="23"/>
  <c r="M290" i="23"/>
  <c r="M266" i="23"/>
  <c r="M276" i="23"/>
  <c r="M267" i="23"/>
  <c r="M264" i="23"/>
  <c r="M265" i="23"/>
  <c r="M291" i="23"/>
  <c r="M289" i="23"/>
  <c r="M288" i="23"/>
  <c r="M277" i="23"/>
  <c r="M278" i="23"/>
  <c r="AC282" i="23"/>
  <c r="AC294" i="23"/>
  <c r="AC270" i="23"/>
  <c r="T294" i="23"/>
  <c r="T282" i="23"/>
  <c r="T270" i="23"/>
  <c r="L269" i="23"/>
  <c r="L293" i="23"/>
  <c r="L281" i="23"/>
  <c r="T281" i="23"/>
  <c r="T269" i="23"/>
  <c r="T293" i="23"/>
  <c r="W293" i="23"/>
  <c r="W269" i="23"/>
  <c r="W281" i="23"/>
  <c r="S292" i="23"/>
  <c r="S268" i="23"/>
  <c r="S280" i="23"/>
  <c r="V280" i="23"/>
  <c r="V268" i="23"/>
  <c r="V292" i="23"/>
  <c r="Z278" i="23"/>
  <c r="Z289" i="23"/>
  <c r="Z265" i="23"/>
  <c r="Z277" i="23"/>
  <c r="Z267" i="23"/>
  <c r="Z276" i="23"/>
  <c r="Z266" i="23"/>
  <c r="Z264" i="23"/>
  <c r="Z291" i="23"/>
  <c r="Z290" i="23"/>
  <c r="Z288" i="23"/>
  <c r="Z279" i="23"/>
  <c r="H282" i="23"/>
  <c r="H270" i="23"/>
  <c r="H294" i="23"/>
  <c r="J187" i="23"/>
  <c r="J163" i="23"/>
  <c r="J175" i="23"/>
  <c r="X185" i="23"/>
  <c r="X173" i="23"/>
  <c r="X161" i="23"/>
  <c r="Y185" i="23"/>
  <c r="Y161" i="23"/>
  <c r="Y173" i="23"/>
  <c r="N186" i="23"/>
  <c r="N162" i="23"/>
  <c r="N174" i="23"/>
  <c r="E186" i="23"/>
  <c r="E162" i="23"/>
  <c r="E174" i="23"/>
  <c r="AA172" i="23"/>
  <c r="AA184" i="23"/>
  <c r="AA160" i="23"/>
  <c r="F173" i="23"/>
  <c r="F161" i="23"/>
  <c r="F185" i="23"/>
  <c r="V173" i="23"/>
  <c r="V161" i="23"/>
  <c r="V185" i="23"/>
  <c r="Q173" i="23"/>
  <c r="Q185" i="23"/>
  <c r="Q161" i="23"/>
  <c r="AB173" i="23"/>
  <c r="AB161" i="23"/>
  <c r="AB185" i="23"/>
  <c r="N172" i="23"/>
  <c r="N160" i="23"/>
  <c r="N184" i="23"/>
  <c r="H187" i="23"/>
  <c r="H163" i="23"/>
  <c r="H175" i="23"/>
  <c r="L175" i="23"/>
  <c r="L163" i="23"/>
  <c r="L187" i="23"/>
  <c r="AC175" i="23"/>
  <c r="AC187" i="23"/>
  <c r="AC163" i="23"/>
  <c r="O181" i="23"/>
  <c r="O157" i="23"/>
  <c r="O168" i="23"/>
  <c r="O182" i="23"/>
  <c r="O180" i="23"/>
  <c r="O170" i="23"/>
  <c r="O158" i="23"/>
  <c r="O169" i="23"/>
  <c r="O183" i="23"/>
  <c r="O171" i="23"/>
  <c r="O159" i="23"/>
  <c r="O156" i="23"/>
  <c r="G187" i="23"/>
  <c r="G163" i="23"/>
  <c r="G175" i="23"/>
  <c r="AA169" i="23"/>
  <c r="AA180" i="23"/>
  <c r="AA156" i="23"/>
  <c r="AA182" i="23"/>
  <c r="AA183" i="23"/>
  <c r="AA168" i="23"/>
  <c r="AA158" i="23"/>
  <c r="AA159" i="23"/>
  <c r="AA171" i="23"/>
  <c r="AA170" i="23"/>
  <c r="AA181" i="23"/>
  <c r="AA157" i="23"/>
  <c r="Z79" i="23"/>
  <c r="Z67" i="23"/>
  <c r="Z55" i="23"/>
  <c r="I76" i="23"/>
  <c r="I74" i="23"/>
  <c r="I65" i="23"/>
  <c r="I77" i="23"/>
  <c r="I63" i="23"/>
  <c r="I53" i="23"/>
  <c r="I64" i="23"/>
  <c r="I62" i="23"/>
  <c r="I50" i="23"/>
  <c r="I75" i="23"/>
  <c r="I51" i="23"/>
  <c r="I52" i="23"/>
  <c r="N75" i="23"/>
  <c r="N64" i="23"/>
  <c r="N76" i="23"/>
  <c r="N62" i="23"/>
  <c r="N52" i="23"/>
  <c r="N74" i="23"/>
  <c r="N63" i="23"/>
  <c r="N77" i="23"/>
  <c r="N53" i="23"/>
  <c r="N65" i="23"/>
  <c r="N51" i="23"/>
  <c r="N50" i="23"/>
  <c r="G76" i="23"/>
  <c r="G74" i="23"/>
  <c r="G75" i="23"/>
  <c r="G65" i="23"/>
  <c r="G77" i="23"/>
  <c r="G63" i="23"/>
  <c r="G50" i="23"/>
  <c r="G64" i="23"/>
  <c r="G52" i="23"/>
  <c r="G53" i="23"/>
  <c r="G62" i="23"/>
  <c r="G51" i="23"/>
  <c r="M76" i="23"/>
  <c r="M77" i="23"/>
  <c r="M53" i="23"/>
  <c r="M64" i="23"/>
  <c r="M75" i="23"/>
  <c r="M65" i="23"/>
  <c r="M52" i="23"/>
  <c r="M50" i="23"/>
  <c r="M63" i="23"/>
  <c r="M62" i="23"/>
  <c r="M51" i="23"/>
  <c r="M74" i="23"/>
  <c r="T69" i="23"/>
  <c r="T81" i="23"/>
  <c r="T57" i="23"/>
  <c r="U67" i="23"/>
  <c r="U79" i="23"/>
  <c r="U55" i="23"/>
  <c r="E76" i="23"/>
  <c r="E53" i="23"/>
  <c r="E75" i="23"/>
  <c r="E64" i="23"/>
  <c r="E74" i="23"/>
  <c r="E65" i="23"/>
  <c r="E77" i="23"/>
  <c r="E52" i="23"/>
  <c r="E50" i="23"/>
  <c r="E51" i="23"/>
  <c r="E63" i="23"/>
  <c r="E62" i="23"/>
  <c r="AB64" i="23"/>
  <c r="C507" i="23"/>
  <c r="C483" i="23"/>
  <c r="C495" i="23"/>
  <c r="G495" i="23"/>
  <c r="G507" i="23"/>
  <c r="G483" i="23"/>
  <c r="C504" i="23"/>
  <c r="C491" i="23"/>
  <c r="C502" i="23"/>
  <c r="C505" i="23"/>
  <c r="C490" i="23"/>
  <c r="C481" i="23"/>
  <c r="C503" i="23"/>
  <c r="C492" i="23"/>
  <c r="C479" i="23"/>
  <c r="C493" i="23"/>
  <c r="C478" i="23"/>
  <c r="C480" i="23"/>
  <c r="K504" i="23"/>
  <c r="K491" i="23"/>
  <c r="K502" i="23"/>
  <c r="K505" i="23"/>
  <c r="K490" i="23"/>
  <c r="K493" i="23"/>
  <c r="K481" i="23"/>
  <c r="K479" i="23"/>
  <c r="K492" i="23"/>
  <c r="K480" i="23"/>
  <c r="K503" i="23"/>
  <c r="K478" i="23"/>
  <c r="T502" i="23"/>
  <c r="T505" i="23"/>
  <c r="T493" i="23"/>
  <c r="T478" i="23"/>
  <c r="T503" i="23"/>
  <c r="T491" i="23"/>
  <c r="T480" i="23"/>
  <c r="T479" i="23"/>
  <c r="T504" i="23"/>
  <c r="T481" i="23"/>
  <c r="T492" i="23"/>
  <c r="T490" i="23"/>
  <c r="T494" i="23"/>
  <c r="T482" i="23"/>
  <c r="T506" i="23"/>
  <c r="O509" i="23"/>
  <c r="O497" i="23"/>
  <c r="O485" i="23"/>
  <c r="Y509" i="23"/>
  <c r="Y485" i="23"/>
  <c r="Y497" i="23"/>
  <c r="AB497" i="23"/>
  <c r="AB509" i="23"/>
  <c r="AB485" i="23"/>
  <c r="V495" i="23"/>
  <c r="V507" i="23"/>
  <c r="V483" i="23"/>
  <c r="AA496" i="23"/>
  <c r="AA508" i="23"/>
  <c r="AA484" i="23"/>
  <c r="F508" i="23"/>
  <c r="F484" i="23"/>
  <c r="F496" i="23"/>
  <c r="Y496" i="23"/>
  <c r="Y508" i="23"/>
  <c r="Y484" i="23"/>
  <c r="R401" i="23"/>
  <c r="R377" i="23"/>
  <c r="R389" i="23"/>
  <c r="C400" i="23"/>
  <c r="C388" i="23"/>
  <c r="C398" i="23"/>
  <c r="C399" i="23"/>
  <c r="C376" i="23"/>
  <c r="C397" i="23"/>
  <c r="C387" i="23"/>
  <c r="C375" i="23"/>
  <c r="C373" i="23"/>
  <c r="C386" i="23"/>
  <c r="C374" i="23"/>
  <c r="C385" i="23"/>
  <c r="O400" i="23"/>
  <c r="O386" i="23"/>
  <c r="O397" i="23"/>
  <c r="O376" i="23"/>
  <c r="O388" i="23"/>
  <c r="O385" i="23"/>
  <c r="O375" i="23"/>
  <c r="O374" i="23"/>
  <c r="O387" i="23"/>
  <c r="O399" i="23"/>
  <c r="O398" i="23"/>
  <c r="O373" i="23"/>
  <c r="Y291" i="23"/>
  <c r="Y267" i="23"/>
  <c r="Y278" i="23"/>
  <c r="Y276" i="23"/>
  <c r="Y266" i="23"/>
  <c r="Y290" i="23"/>
  <c r="Y279" i="23"/>
  <c r="Y277" i="23"/>
  <c r="Y265" i="23"/>
  <c r="Y264" i="23"/>
  <c r="Y289" i="23"/>
  <c r="Y288" i="23"/>
  <c r="I392" i="23"/>
  <c r="I380" i="23"/>
  <c r="I404" i="23"/>
  <c r="U391" i="23"/>
  <c r="U403" i="23"/>
  <c r="U379" i="23"/>
  <c r="I379" i="23"/>
  <c r="I391" i="23"/>
  <c r="I403" i="23"/>
  <c r="X283" i="23"/>
  <c r="X271" i="23"/>
  <c r="X295" i="23"/>
  <c r="M282" i="23"/>
  <c r="M270" i="23"/>
  <c r="M294" i="23"/>
  <c r="V282" i="23"/>
  <c r="V270" i="23"/>
  <c r="V294" i="23"/>
  <c r="AB270" i="23"/>
  <c r="AB294" i="23"/>
  <c r="AB282" i="23"/>
  <c r="Z268" i="23"/>
  <c r="Z292" i="23"/>
  <c r="Z280" i="23"/>
  <c r="K281" i="23"/>
  <c r="K269" i="23"/>
  <c r="K293" i="23"/>
  <c r="K282" i="23"/>
  <c r="K270" i="23"/>
  <c r="K294" i="23"/>
  <c r="X280" i="23"/>
  <c r="X268" i="23"/>
  <c r="X292" i="23"/>
  <c r="V293" i="23"/>
  <c r="V269" i="23"/>
  <c r="V281" i="23"/>
  <c r="R271" i="23"/>
  <c r="R295" i="23"/>
  <c r="R283" i="23"/>
  <c r="B175" i="23"/>
  <c r="B163" i="23"/>
  <c r="B187" i="23"/>
  <c r="V295" i="23"/>
  <c r="V283" i="23"/>
  <c r="V271" i="23"/>
  <c r="B271" i="23"/>
  <c r="N173" i="23"/>
  <c r="N185" i="23"/>
  <c r="N161" i="23"/>
  <c r="V186" i="23"/>
  <c r="V162" i="23"/>
  <c r="V174" i="23"/>
  <c r="M160" i="23"/>
  <c r="M184" i="23"/>
  <c r="M172" i="23"/>
  <c r="C185" i="23"/>
  <c r="C161" i="23"/>
  <c r="C173" i="23"/>
  <c r="B185" i="23"/>
  <c r="B161" i="23"/>
  <c r="B173" i="23"/>
  <c r="V184" i="23"/>
  <c r="V160" i="23"/>
  <c r="V172" i="23"/>
  <c r="P186" i="23"/>
  <c r="P162" i="23"/>
  <c r="P174" i="23"/>
  <c r="X187" i="23"/>
  <c r="X163" i="23"/>
  <c r="X175" i="23"/>
  <c r="F163" i="23"/>
  <c r="F187" i="23"/>
  <c r="F175" i="23"/>
  <c r="E183" i="23"/>
  <c r="E159" i="23"/>
  <c r="E170" i="23"/>
  <c r="E182" i="23"/>
  <c r="E180" i="23"/>
  <c r="E168" i="23"/>
  <c r="E158" i="23"/>
  <c r="E171" i="23"/>
  <c r="E156" i="23"/>
  <c r="E181" i="23"/>
  <c r="E169" i="23"/>
  <c r="E157" i="23"/>
  <c r="L67" i="23"/>
  <c r="L79" i="23"/>
  <c r="L55" i="23"/>
  <c r="O79" i="23"/>
  <c r="O55" i="23"/>
  <c r="O67" i="23"/>
  <c r="Q76" i="23"/>
  <c r="Q74" i="23"/>
  <c r="Q75" i="23"/>
  <c r="Q65" i="23"/>
  <c r="Q63" i="23"/>
  <c r="Q53" i="23"/>
  <c r="Q77" i="23"/>
  <c r="Q64" i="23"/>
  <c r="Q62" i="23"/>
  <c r="Q51" i="23"/>
  <c r="Q52" i="23"/>
  <c r="Q50" i="23"/>
  <c r="AC79" i="23"/>
  <c r="AC67" i="23"/>
  <c r="AC55" i="23"/>
  <c r="F75" i="23"/>
  <c r="F64" i="23"/>
  <c r="F74" i="23"/>
  <c r="F62" i="23"/>
  <c r="F77" i="23"/>
  <c r="F52" i="23"/>
  <c r="F63" i="23"/>
  <c r="F53" i="23"/>
  <c r="F51" i="23"/>
  <c r="F65" i="23"/>
  <c r="F50" i="23"/>
  <c r="F76" i="23"/>
  <c r="AB67" i="23"/>
  <c r="AB79" i="23"/>
  <c r="AB55" i="23"/>
  <c r="M79" i="23"/>
  <c r="M67" i="23"/>
  <c r="M55" i="23"/>
  <c r="AB53" i="23"/>
  <c r="AB76" i="23"/>
  <c r="AC507" i="23"/>
  <c r="AC495" i="23"/>
  <c r="AC483" i="23"/>
  <c r="K507" i="23"/>
  <c r="K483" i="23"/>
  <c r="K495" i="23"/>
  <c r="O495" i="23"/>
  <c r="O507" i="23"/>
  <c r="O483" i="23"/>
  <c r="S504" i="23"/>
  <c r="S491" i="23"/>
  <c r="S502" i="23"/>
  <c r="S505" i="23"/>
  <c r="S490" i="23"/>
  <c r="S492" i="23"/>
  <c r="S481" i="23"/>
  <c r="S479" i="23"/>
  <c r="S503" i="23"/>
  <c r="S478" i="23"/>
  <c r="S493" i="23"/>
  <c r="S480" i="23"/>
  <c r="AA504" i="23"/>
  <c r="AA491" i="23"/>
  <c r="AA502" i="23"/>
  <c r="AA505" i="23"/>
  <c r="AA490" i="23"/>
  <c r="AA492" i="23"/>
  <c r="AA481" i="23"/>
  <c r="AA479" i="23"/>
  <c r="AA478" i="23"/>
  <c r="AA480" i="23"/>
  <c r="AA493" i="23"/>
  <c r="AA503" i="23"/>
  <c r="AB502" i="23"/>
  <c r="AB505" i="23"/>
  <c r="AB493" i="23"/>
  <c r="AB504" i="23"/>
  <c r="AB478" i="23"/>
  <c r="AB503" i="23"/>
  <c r="AB490" i="23"/>
  <c r="AB480" i="23"/>
  <c r="AB481" i="23"/>
  <c r="AB492" i="23"/>
  <c r="AB491" i="23"/>
  <c r="AB479" i="23"/>
  <c r="I493" i="23"/>
  <c r="I504" i="23"/>
  <c r="I492" i="23"/>
  <c r="I503" i="23"/>
  <c r="I505" i="23"/>
  <c r="I502" i="23"/>
  <c r="I481" i="23"/>
  <c r="I491" i="23"/>
  <c r="I479" i="23"/>
  <c r="I478" i="23"/>
  <c r="I490" i="23"/>
  <c r="I480" i="23"/>
  <c r="B506" i="23"/>
  <c r="B494" i="23"/>
  <c r="B482" i="23"/>
  <c r="P506" i="23"/>
  <c r="P482" i="23"/>
  <c r="P494" i="23"/>
  <c r="AB494" i="23"/>
  <c r="AB506" i="23"/>
  <c r="AB482" i="23"/>
  <c r="S509" i="23"/>
  <c r="S497" i="23"/>
  <c r="S485" i="23"/>
  <c r="B509" i="23"/>
  <c r="B497" i="23"/>
  <c r="B485" i="23"/>
  <c r="E497" i="23"/>
  <c r="E509" i="23"/>
  <c r="E485" i="23"/>
  <c r="N508" i="23"/>
  <c r="N484" i="23"/>
  <c r="N496" i="23"/>
  <c r="S401" i="23"/>
  <c r="S389" i="23"/>
  <c r="S377" i="23"/>
  <c r="J401" i="23"/>
  <c r="J377" i="23"/>
  <c r="J389" i="23"/>
  <c r="V401" i="23"/>
  <c r="V389" i="23"/>
  <c r="V377" i="23"/>
  <c r="T399" i="23"/>
  <c r="T385" i="23"/>
  <c r="T388" i="23"/>
  <c r="T375" i="23"/>
  <c r="T400" i="23"/>
  <c r="T397" i="23"/>
  <c r="T387" i="23"/>
  <c r="T376" i="23"/>
  <c r="T386" i="23"/>
  <c r="T373" i="23"/>
  <c r="T398" i="23"/>
  <c r="T374" i="23"/>
  <c r="K400" i="23"/>
  <c r="K399" i="23"/>
  <c r="K388" i="23"/>
  <c r="K398" i="23"/>
  <c r="K397" i="23"/>
  <c r="K376" i="23"/>
  <c r="K386" i="23"/>
  <c r="K385" i="23"/>
  <c r="K373" i="23"/>
  <c r="K375" i="23"/>
  <c r="K387" i="23"/>
  <c r="K374" i="23"/>
  <c r="W400" i="23"/>
  <c r="W386" i="23"/>
  <c r="W376" i="23"/>
  <c r="W388" i="23"/>
  <c r="W387" i="23"/>
  <c r="W374" i="23"/>
  <c r="W399" i="23"/>
  <c r="W398" i="23"/>
  <c r="W397" i="23"/>
  <c r="W385" i="23"/>
  <c r="W375" i="23"/>
  <c r="W373" i="23"/>
  <c r="O402" i="23"/>
  <c r="O378" i="23"/>
  <c r="O390" i="23"/>
  <c r="C289" i="23"/>
  <c r="C265" i="23"/>
  <c r="C276" i="23"/>
  <c r="C266" i="23"/>
  <c r="C290" i="23"/>
  <c r="C291" i="23"/>
  <c r="C288" i="23"/>
  <c r="C279" i="23"/>
  <c r="C277" i="23"/>
  <c r="C278" i="23"/>
  <c r="C267" i="23"/>
  <c r="C264" i="23"/>
  <c r="AC391" i="23"/>
  <c r="AC403" i="23"/>
  <c r="AC379" i="23"/>
  <c r="S294" i="23"/>
  <c r="S282" i="23"/>
  <c r="S270" i="23"/>
  <c r="P294" i="23"/>
  <c r="P282" i="23"/>
  <c r="P270" i="23"/>
  <c r="W282" i="23"/>
  <c r="W270" i="23"/>
  <c r="W294" i="23"/>
  <c r="K292" i="23"/>
  <c r="K268" i="23"/>
  <c r="K280" i="23"/>
  <c r="U281" i="23"/>
  <c r="U269" i="23"/>
  <c r="U293" i="23"/>
  <c r="Q293" i="23"/>
  <c r="Q281" i="23"/>
  <c r="Q269" i="23"/>
  <c r="H281" i="23"/>
  <c r="H269" i="23"/>
  <c r="H293" i="23"/>
  <c r="D292" i="23"/>
  <c r="D268" i="23"/>
  <c r="D280" i="23"/>
  <c r="E293" i="23"/>
  <c r="E281" i="23"/>
  <c r="E269" i="23"/>
  <c r="C295" i="23"/>
  <c r="C283" i="23"/>
  <c r="C271" i="23"/>
  <c r="B295" i="23"/>
  <c r="AB186" i="23"/>
  <c r="AB162" i="23"/>
  <c r="AB174" i="23"/>
  <c r="G186" i="23"/>
  <c r="G162" i="23"/>
  <c r="G174" i="23"/>
  <c r="U186" i="23"/>
  <c r="U162" i="23"/>
  <c r="U174" i="23"/>
  <c r="B184" i="23"/>
  <c r="B160" i="23"/>
  <c r="B172" i="23"/>
  <c r="O184" i="23"/>
  <c r="O160" i="23"/>
  <c r="O172" i="23"/>
  <c r="AB175" i="23"/>
  <c r="AB163" i="23"/>
  <c r="AB187" i="23"/>
  <c r="C175" i="23"/>
  <c r="C187" i="23"/>
  <c r="C163" i="23"/>
  <c r="N175" i="23"/>
  <c r="N187" i="23"/>
  <c r="N163" i="23"/>
  <c r="R174" i="23"/>
  <c r="R186" i="23"/>
  <c r="R162" i="23"/>
  <c r="L172" i="23"/>
  <c r="L184" i="23"/>
  <c r="L160" i="23"/>
  <c r="M183" i="23"/>
  <c r="M159" i="23"/>
  <c r="M170" i="23"/>
  <c r="M168" i="23"/>
  <c r="M158" i="23"/>
  <c r="M182" i="23"/>
  <c r="M156" i="23"/>
  <c r="M180" i="23"/>
  <c r="M181" i="23"/>
  <c r="M171" i="23"/>
  <c r="M169" i="23"/>
  <c r="M157" i="23"/>
  <c r="Q57" i="23"/>
  <c r="Q81" i="23"/>
  <c r="Q69" i="23"/>
  <c r="Y79" i="23"/>
  <c r="Y67" i="23"/>
  <c r="Y55" i="23"/>
  <c r="AC81" i="23"/>
  <c r="AC69" i="23"/>
  <c r="AC57" i="23"/>
  <c r="AB184" i="23"/>
  <c r="E79" i="23"/>
  <c r="E67" i="23"/>
  <c r="E55" i="23"/>
  <c r="AB52" i="23"/>
  <c r="AB65" i="23"/>
  <c r="Q507" i="23"/>
  <c r="Q495" i="23"/>
  <c r="Q483" i="23"/>
  <c r="N495" i="23"/>
  <c r="N507" i="23"/>
  <c r="N483" i="23"/>
  <c r="M507" i="23"/>
  <c r="M495" i="23"/>
  <c r="M483" i="23"/>
  <c r="S507" i="23"/>
  <c r="S483" i="23"/>
  <c r="S495" i="23"/>
  <c r="W495" i="23"/>
  <c r="W507" i="23"/>
  <c r="W483" i="23"/>
  <c r="G503" i="23"/>
  <c r="G502" i="23"/>
  <c r="G479" i="23"/>
  <c r="G490" i="23"/>
  <c r="G505" i="23"/>
  <c r="G478" i="23"/>
  <c r="G481" i="23"/>
  <c r="G493" i="23"/>
  <c r="G492" i="23"/>
  <c r="G491" i="23"/>
  <c r="G504" i="23"/>
  <c r="G480" i="23"/>
  <c r="E502" i="23"/>
  <c r="E505" i="23"/>
  <c r="E503" i="23"/>
  <c r="E504" i="23"/>
  <c r="E491" i="23"/>
  <c r="E481" i="23"/>
  <c r="E492" i="23"/>
  <c r="E479" i="23"/>
  <c r="E493" i="23"/>
  <c r="E480" i="23"/>
  <c r="E490" i="23"/>
  <c r="E478" i="23"/>
  <c r="Q493" i="23"/>
  <c r="Q504" i="23"/>
  <c r="Q492" i="23"/>
  <c r="Q481" i="23"/>
  <c r="Q490" i="23"/>
  <c r="Q479" i="23"/>
  <c r="Q502" i="23"/>
  <c r="Q478" i="23"/>
  <c r="Q505" i="23"/>
  <c r="Q503" i="23"/>
  <c r="Q491" i="23"/>
  <c r="Q480" i="23"/>
  <c r="J494" i="23"/>
  <c r="J482" i="23"/>
  <c r="J506" i="23"/>
  <c r="R506" i="23"/>
  <c r="R494" i="23"/>
  <c r="R482" i="23"/>
  <c r="X506" i="23"/>
  <c r="X482" i="23"/>
  <c r="X494" i="23"/>
  <c r="V497" i="23"/>
  <c r="V485" i="23"/>
  <c r="V509" i="23"/>
  <c r="J509" i="23"/>
  <c r="J485" i="23"/>
  <c r="J497" i="23"/>
  <c r="M497" i="23"/>
  <c r="M509" i="23"/>
  <c r="M485" i="23"/>
  <c r="P508" i="23"/>
  <c r="P496" i="23"/>
  <c r="P484" i="23"/>
  <c r="V508" i="23"/>
  <c r="V484" i="23"/>
  <c r="V496" i="23"/>
  <c r="J496" i="23"/>
  <c r="J508" i="23"/>
  <c r="J484" i="23"/>
  <c r="K377" i="23"/>
  <c r="K401" i="23"/>
  <c r="K389" i="23"/>
  <c r="B401" i="23"/>
  <c r="B377" i="23"/>
  <c r="B389" i="23"/>
  <c r="N401" i="23"/>
  <c r="N389" i="23"/>
  <c r="N377" i="23"/>
  <c r="E401" i="23"/>
  <c r="E389" i="23"/>
  <c r="E377" i="23"/>
  <c r="S400" i="23"/>
  <c r="S398" i="23"/>
  <c r="S399" i="23"/>
  <c r="S388" i="23"/>
  <c r="S376" i="23"/>
  <c r="S387" i="23"/>
  <c r="S386" i="23"/>
  <c r="S373" i="23"/>
  <c r="S397" i="23"/>
  <c r="S385" i="23"/>
  <c r="S374" i="23"/>
  <c r="S375" i="23"/>
  <c r="H399" i="23"/>
  <c r="H398" i="23"/>
  <c r="H397" i="23"/>
  <c r="H387" i="23"/>
  <c r="H375" i="23"/>
  <c r="H374" i="23"/>
  <c r="H386" i="23"/>
  <c r="H376" i="23"/>
  <c r="H388" i="23"/>
  <c r="H385" i="23"/>
  <c r="H373" i="23"/>
  <c r="H400" i="23"/>
  <c r="F378" i="23"/>
  <c r="F402" i="23"/>
  <c r="F390" i="23"/>
  <c r="AB276" i="23"/>
  <c r="AB279" i="23"/>
  <c r="AB277" i="23"/>
  <c r="AB267" i="23"/>
  <c r="AB291" i="23"/>
  <c r="AB266" i="23"/>
  <c r="AB265" i="23"/>
  <c r="AB264" i="23"/>
  <c r="AB290" i="23"/>
  <c r="AB288" i="23"/>
  <c r="AB289" i="23"/>
  <c r="AB278" i="23"/>
  <c r="I283" i="23"/>
  <c r="I271" i="23"/>
  <c r="I295" i="23"/>
  <c r="K289" i="23"/>
  <c r="K265" i="23"/>
  <c r="K276" i="23"/>
  <c r="K288" i="23"/>
  <c r="K278" i="23"/>
  <c r="K266" i="23"/>
  <c r="K277" i="23"/>
  <c r="K267" i="23"/>
  <c r="K264" i="23"/>
  <c r="K290" i="23"/>
  <c r="K291" i="23"/>
  <c r="K279" i="23"/>
  <c r="Y403" i="23"/>
  <c r="Y379" i="23"/>
  <c r="Y391" i="23"/>
  <c r="H283" i="23"/>
  <c r="H271" i="23"/>
  <c r="H295" i="23"/>
  <c r="P293" i="23"/>
  <c r="P281" i="23"/>
  <c r="P269" i="23"/>
  <c r="AC293" i="23"/>
  <c r="AC281" i="23"/>
  <c r="AC269" i="23"/>
  <c r="C270" i="23"/>
  <c r="C294" i="23"/>
  <c r="C282" i="23"/>
  <c r="X288" i="23"/>
  <c r="X264" i="23"/>
  <c r="X291" i="23"/>
  <c r="X267" i="23"/>
  <c r="X289" i="23"/>
  <c r="X279" i="23"/>
  <c r="X278" i="23"/>
  <c r="X277" i="23"/>
  <c r="X276" i="23"/>
  <c r="X266" i="23"/>
  <c r="X265" i="23"/>
  <c r="X290" i="23"/>
  <c r="D293" i="23"/>
  <c r="D281" i="23"/>
  <c r="D269" i="23"/>
  <c r="Y269" i="23"/>
  <c r="Y293" i="23"/>
  <c r="Y281" i="23"/>
  <c r="Y280" i="23"/>
  <c r="Y268" i="23"/>
  <c r="Y292" i="23"/>
  <c r="L292" i="23"/>
  <c r="L268" i="23"/>
  <c r="L280" i="23"/>
  <c r="X269" i="23"/>
  <c r="X293" i="23"/>
  <c r="X281" i="23"/>
  <c r="F282" i="23"/>
  <c r="F270" i="23"/>
  <c r="F294" i="23"/>
  <c r="Z283" i="23"/>
  <c r="Z271" i="23"/>
  <c r="Z295" i="23"/>
  <c r="W271" i="23"/>
  <c r="W295" i="23"/>
  <c r="W283" i="23"/>
  <c r="Y187" i="23"/>
  <c r="Y163" i="23"/>
  <c r="Y175" i="23"/>
  <c r="L174" i="23"/>
  <c r="L186" i="23"/>
  <c r="L162" i="23"/>
  <c r="O162" i="23"/>
  <c r="O186" i="23"/>
  <c r="O174" i="23"/>
  <c r="AC186" i="23"/>
  <c r="AC162" i="23"/>
  <c r="AC174" i="23"/>
  <c r="S185" i="23"/>
  <c r="S161" i="23"/>
  <c r="S173" i="23"/>
  <c r="E173" i="23"/>
  <c r="E185" i="23"/>
  <c r="E161" i="23"/>
  <c r="W184" i="23"/>
  <c r="W160" i="23"/>
  <c r="W172" i="23"/>
  <c r="O175" i="23"/>
  <c r="O163" i="23"/>
  <c r="O187" i="23"/>
  <c r="V163" i="23"/>
  <c r="V187" i="23"/>
  <c r="V175" i="23"/>
  <c r="B174" i="23"/>
  <c r="B162" i="23"/>
  <c r="B186" i="23"/>
  <c r="Z172" i="23"/>
  <c r="Z184" i="23"/>
  <c r="Z160" i="23"/>
  <c r="U183" i="23"/>
  <c r="U159" i="23"/>
  <c r="U170" i="23"/>
  <c r="U180" i="23"/>
  <c r="U181" i="23"/>
  <c r="U182" i="23"/>
  <c r="U156" i="23"/>
  <c r="U157" i="23"/>
  <c r="U169" i="23"/>
  <c r="U171" i="23"/>
  <c r="U168" i="23"/>
  <c r="U158" i="23"/>
  <c r="T78" i="23"/>
  <c r="T66" i="23"/>
  <c r="T54" i="23"/>
  <c r="S81" i="23"/>
  <c r="S57" i="23"/>
  <c r="S69" i="23"/>
  <c r="W78" i="23"/>
  <c r="W66" i="23"/>
  <c r="W54" i="23"/>
  <c r="Z81" i="23"/>
  <c r="Z69" i="23"/>
  <c r="Z57" i="23"/>
  <c r="AA55" i="23"/>
  <c r="AA79" i="23"/>
  <c r="AA67" i="23"/>
  <c r="AA74" i="23"/>
  <c r="AA63" i="23"/>
  <c r="AA76" i="23"/>
  <c r="AA65" i="23"/>
  <c r="AA75" i="23"/>
  <c r="AA51" i="23"/>
  <c r="AA62" i="23"/>
  <c r="AA77" i="23"/>
  <c r="AA52" i="23"/>
  <c r="AA53" i="23"/>
  <c r="AA64" i="23"/>
  <c r="AA50" i="23"/>
  <c r="B79" i="23"/>
  <c r="B67" i="23"/>
  <c r="B55" i="23"/>
  <c r="Q79" i="23"/>
  <c r="Q67" i="23"/>
  <c r="Q55" i="23"/>
  <c r="W68" i="23"/>
  <c r="W80" i="23"/>
  <c r="W56" i="23"/>
  <c r="U81" i="23"/>
  <c r="U57" i="23"/>
  <c r="U69" i="23"/>
  <c r="U78" i="23"/>
  <c r="U66" i="23"/>
  <c r="U54" i="23"/>
  <c r="AB51" i="23"/>
  <c r="AB75" i="23"/>
  <c r="X495" i="23"/>
  <c r="X507" i="23"/>
  <c r="X483" i="23"/>
  <c r="AA507" i="23"/>
  <c r="AA483" i="23"/>
  <c r="AA495" i="23"/>
  <c r="P503" i="23"/>
  <c r="P490" i="23"/>
  <c r="P504" i="23"/>
  <c r="P505" i="23"/>
  <c r="P491" i="23"/>
  <c r="P502" i="23"/>
  <c r="P492" i="23"/>
  <c r="P480" i="23"/>
  <c r="P493" i="23"/>
  <c r="P478" i="23"/>
  <c r="P481" i="23"/>
  <c r="P479" i="23"/>
  <c r="M502" i="23"/>
  <c r="M505" i="23"/>
  <c r="M503" i="23"/>
  <c r="M504" i="23"/>
  <c r="M490" i="23"/>
  <c r="M481" i="23"/>
  <c r="M491" i="23"/>
  <c r="M479" i="23"/>
  <c r="M492" i="23"/>
  <c r="M480" i="23"/>
  <c r="M478" i="23"/>
  <c r="M493" i="23"/>
  <c r="Y493" i="23"/>
  <c r="Y504" i="23"/>
  <c r="Y492" i="23"/>
  <c r="Y503" i="23"/>
  <c r="Y481" i="23"/>
  <c r="Y505" i="23"/>
  <c r="Y502" i="23"/>
  <c r="Y479" i="23"/>
  <c r="Y478" i="23"/>
  <c r="Y491" i="23"/>
  <c r="Y490" i="23"/>
  <c r="Y480" i="23"/>
  <c r="Z506" i="23"/>
  <c r="Z494" i="23"/>
  <c r="Z482" i="23"/>
  <c r="C494" i="23"/>
  <c r="C506" i="23"/>
  <c r="C482" i="23"/>
  <c r="H509" i="23"/>
  <c r="H497" i="23"/>
  <c r="H485" i="23"/>
  <c r="R509" i="23"/>
  <c r="R497" i="23"/>
  <c r="R485" i="23"/>
  <c r="U497" i="23"/>
  <c r="U509" i="23"/>
  <c r="U485" i="23"/>
  <c r="I507" i="23"/>
  <c r="I483" i="23"/>
  <c r="I495" i="23"/>
  <c r="S496" i="23"/>
  <c r="S484" i="23"/>
  <c r="S508" i="23"/>
  <c r="K496" i="23"/>
  <c r="K484" i="23"/>
  <c r="K508" i="23"/>
  <c r="G508" i="23"/>
  <c r="G496" i="23"/>
  <c r="G484" i="23"/>
  <c r="C401" i="23"/>
  <c r="C377" i="23"/>
  <c r="C389" i="23"/>
  <c r="AB402" i="23"/>
  <c r="AB390" i="23"/>
  <c r="AB378" i="23"/>
  <c r="F401" i="23"/>
  <c r="F389" i="23"/>
  <c r="F377" i="23"/>
  <c r="AB401" i="23"/>
  <c r="AB389" i="23"/>
  <c r="AB377" i="23"/>
  <c r="AA400" i="23"/>
  <c r="AA397" i="23"/>
  <c r="AA398" i="23"/>
  <c r="AA388" i="23"/>
  <c r="AA399" i="23"/>
  <c r="AA376" i="23"/>
  <c r="AA385" i="23"/>
  <c r="AA375" i="23"/>
  <c r="AA373" i="23"/>
  <c r="AA386" i="23"/>
  <c r="AA387" i="23"/>
  <c r="AA374" i="23"/>
  <c r="P399" i="23"/>
  <c r="P397" i="23"/>
  <c r="P398" i="23"/>
  <c r="P387" i="23"/>
  <c r="P375" i="23"/>
  <c r="P388" i="23"/>
  <c r="P374" i="23"/>
  <c r="P376" i="23"/>
  <c r="P400" i="23"/>
  <c r="P386" i="23"/>
  <c r="P373" i="23"/>
  <c r="P385" i="23"/>
  <c r="M398" i="23"/>
  <c r="M388" i="23"/>
  <c r="M400" i="23"/>
  <c r="M386" i="23"/>
  <c r="M397" i="23"/>
  <c r="M385" i="23"/>
  <c r="M373" i="23"/>
  <c r="M375" i="23"/>
  <c r="M374" i="23"/>
  <c r="M387" i="23"/>
  <c r="M399" i="23"/>
  <c r="M376" i="23"/>
  <c r="L399" i="23"/>
  <c r="L385" i="23"/>
  <c r="L388" i="23"/>
  <c r="L400" i="23"/>
  <c r="L375" i="23"/>
  <c r="L387" i="23"/>
  <c r="L373" i="23"/>
  <c r="L374" i="23"/>
  <c r="L398" i="23"/>
  <c r="L397" i="23"/>
  <c r="L386" i="23"/>
  <c r="L376" i="23"/>
  <c r="N390" i="23"/>
  <c r="N378" i="23"/>
  <c r="N402" i="23"/>
  <c r="AB399" i="23"/>
  <c r="AB385" i="23"/>
  <c r="AB398" i="23"/>
  <c r="AB388" i="23"/>
  <c r="AB375" i="23"/>
  <c r="AB400" i="23"/>
  <c r="AB387" i="23"/>
  <c r="AB397" i="23"/>
  <c r="AB373" i="23"/>
  <c r="AB376" i="23"/>
  <c r="AB386" i="23"/>
  <c r="AB374" i="23"/>
  <c r="U398" i="23"/>
  <c r="U388" i="23"/>
  <c r="U399" i="23"/>
  <c r="U386" i="23"/>
  <c r="U376" i="23"/>
  <c r="U387" i="23"/>
  <c r="U373" i="23"/>
  <c r="U400" i="23"/>
  <c r="U397" i="23"/>
  <c r="U385" i="23"/>
  <c r="U374" i="23"/>
  <c r="U375" i="23"/>
  <c r="P288" i="23"/>
  <c r="P264" i="23"/>
  <c r="P291" i="23"/>
  <c r="P267" i="23"/>
  <c r="P277" i="23"/>
  <c r="P266" i="23"/>
  <c r="P290" i="23"/>
  <c r="P289" i="23"/>
  <c r="P278" i="23"/>
  <c r="P279" i="23"/>
  <c r="P276" i="23"/>
  <c r="P265" i="23"/>
  <c r="S289" i="23"/>
  <c r="S265" i="23"/>
  <c r="S276" i="23"/>
  <c r="S264" i="23"/>
  <c r="S288" i="23"/>
  <c r="S278" i="23"/>
  <c r="S291" i="23"/>
  <c r="S290" i="23"/>
  <c r="S279" i="23"/>
  <c r="S277" i="23"/>
  <c r="S267" i="23"/>
  <c r="S266" i="23"/>
  <c r="D404" i="23"/>
  <c r="D392" i="23"/>
  <c r="D380" i="23"/>
  <c r="F379" i="23"/>
  <c r="F391" i="23"/>
  <c r="F403" i="23"/>
  <c r="O280" i="23"/>
  <c r="O292" i="23"/>
  <c r="O268" i="23"/>
  <c r="M269" i="23"/>
  <c r="M293" i="23"/>
  <c r="M281" i="23"/>
  <c r="N282" i="23"/>
  <c r="N294" i="23"/>
  <c r="N270" i="23"/>
  <c r="L276" i="23"/>
  <c r="L279" i="23"/>
  <c r="L265" i="23"/>
  <c r="L289" i="23"/>
  <c r="L278" i="23"/>
  <c r="L267" i="23"/>
  <c r="L266" i="23"/>
  <c r="L264" i="23"/>
  <c r="L290" i="23"/>
  <c r="L291" i="23"/>
  <c r="L288" i="23"/>
  <c r="L277" i="23"/>
  <c r="N293" i="23"/>
  <c r="N269" i="23"/>
  <c r="N281" i="23"/>
  <c r="H280" i="23"/>
  <c r="H268" i="23"/>
  <c r="H292" i="23"/>
  <c r="T292" i="23"/>
  <c r="T268" i="23"/>
  <c r="T280" i="23"/>
  <c r="F293" i="23"/>
  <c r="F269" i="23"/>
  <c r="F281" i="23"/>
  <c r="E280" i="23"/>
  <c r="E292" i="23"/>
  <c r="E268" i="23"/>
  <c r="S281" i="23"/>
  <c r="S293" i="23"/>
  <c r="S269" i="23"/>
  <c r="AB295" i="23"/>
  <c r="AB271" i="23"/>
  <c r="AB283" i="23"/>
  <c r="R278" i="23"/>
  <c r="R289" i="23"/>
  <c r="R265" i="23"/>
  <c r="R277" i="23"/>
  <c r="R267" i="23"/>
  <c r="R291" i="23"/>
  <c r="R290" i="23"/>
  <c r="R288" i="23"/>
  <c r="R279" i="23"/>
  <c r="R276" i="23"/>
  <c r="R266" i="23"/>
  <c r="R264" i="23"/>
  <c r="Y283" i="23"/>
  <c r="Y271" i="23"/>
  <c r="Y295" i="23"/>
  <c r="Q187" i="23"/>
  <c r="Q163" i="23"/>
  <c r="Q175" i="23"/>
  <c r="AC173" i="23"/>
  <c r="AC161" i="23"/>
  <c r="AC185" i="23"/>
  <c r="W186" i="23"/>
  <c r="W174" i="23"/>
  <c r="W162" i="23"/>
  <c r="Z185" i="23"/>
  <c r="Z161" i="23"/>
  <c r="Z173" i="23"/>
  <c r="T172" i="23"/>
  <c r="T184" i="23"/>
  <c r="T160" i="23"/>
  <c r="S187" i="23"/>
  <c r="S163" i="23"/>
  <c r="S175" i="23"/>
  <c r="J174" i="23"/>
  <c r="J186" i="23"/>
  <c r="J162" i="23"/>
  <c r="C172" i="23"/>
  <c r="C160" i="23"/>
  <c r="C184" i="23"/>
  <c r="D172" i="23"/>
  <c r="D184" i="23"/>
  <c r="D160" i="23"/>
  <c r="U184" i="23"/>
  <c r="U172" i="23"/>
  <c r="U160" i="23"/>
  <c r="K169" i="23"/>
  <c r="K180" i="23"/>
  <c r="K156" i="23"/>
  <c r="K181" i="23"/>
  <c r="K182" i="23"/>
  <c r="K170" i="23"/>
  <c r="K157" i="23"/>
  <c r="K158" i="23"/>
  <c r="K183" i="23"/>
  <c r="K171" i="23"/>
  <c r="K159" i="23"/>
  <c r="K168" i="23"/>
  <c r="AC183" i="23"/>
  <c r="AC159" i="23"/>
  <c r="AC170" i="23"/>
  <c r="AC156" i="23"/>
  <c r="AC168" i="23"/>
  <c r="AC158" i="23"/>
  <c r="AC182" i="23"/>
  <c r="AC169" i="23"/>
  <c r="AC181" i="23"/>
  <c r="AC180" i="23"/>
  <c r="AC157" i="23"/>
  <c r="AC171" i="23"/>
  <c r="I57" i="23"/>
  <c r="I81" i="23"/>
  <c r="I69" i="23"/>
  <c r="R69" i="23"/>
  <c r="R81" i="23"/>
  <c r="R57" i="23"/>
  <c r="S74" i="23"/>
  <c r="S75" i="23"/>
  <c r="S63" i="23"/>
  <c r="S77" i="23"/>
  <c r="S51" i="23"/>
  <c r="S62" i="23"/>
  <c r="S65" i="23"/>
  <c r="S52" i="23"/>
  <c r="S76" i="23"/>
  <c r="S50" i="23"/>
  <c r="S53" i="23"/>
  <c r="S64" i="23"/>
  <c r="Z80" i="23"/>
  <c r="Z68" i="23"/>
  <c r="Z56" i="23"/>
  <c r="X54" i="23"/>
  <c r="X66" i="23"/>
  <c r="X78" i="23"/>
  <c r="AB78" i="23"/>
  <c r="AB54" i="23"/>
  <c r="AB66" i="23"/>
  <c r="O68" i="23"/>
  <c r="O80" i="23"/>
  <c r="O56" i="23"/>
  <c r="V78" i="23"/>
  <c r="V66" i="23"/>
  <c r="V54" i="23"/>
  <c r="AC80" i="23"/>
  <c r="AC68" i="23"/>
  <c r="AC56" i="23"/>
  <c r="AC78" i="23"/>
  <c r="AC54" i="23"/>
  <c r="AC66" i="23"/>
  <c r="X478" i="22"/>
  <c r="X502" i="22"/>
  <c r="C169" i="22"/>
  <c r="W181" i="22"/>
  <c r="M507" i="22"/>
  <c r="M495" i="22"/>
  <c r="Q506" i="22"/>
  <c r="Q494" i="22"/>
  <c r="Q482" i="22"/>
  <c r="H506" i="22"/>
  <c r="H494" i="22"/>
  <c r="H482" i="22"/>
  <c r="W495" i="22"/>
  <c r="W483" i="22"/>
  <c r="W507" i="22"/>
  <c r="J507" i="22"/>
  <c r="J483" i="22"/>
  <c r="J495" i="22"/>
  <c r="O506" i="22"/>
  <c r="O482" i="22"/>
  <c r="O494" i="22"/>
  <c r="D494" i="22"/>
  <c r="D482" i="22"/>
  <c r="D506" i="22"/>
  <c r="F502" i="22"/>
  <c r="F505" i="22"/>
  <c r="F492" i="22"/>
  <c r="F503" i="22"/>
  <c r="F493" i="22"/>
  <c r="F479" i="22"/>
  <c r="F480" i="22"/>
  <c r="F478" i="22"/>
  <c r="F491" i="22"/>
  <c r="F490" i="22"/>
  <c r="F504" i="22"/>
  <c r="F481" i="22"/>
  <c r="O379" i="22"/>
  <c r="O403" i="22"/>
  <c r="O391" i="22"/>
  <c r="B398" i="22"/>
  <c r="B374" i="22"/>
  <c r="B388" i="22"/>
  <c r="B375" i="22"/>
  <c r="B385" i="22"/>
  <c r="B399" i="22"/>
  <c r="B400" i="22"/>
  <c r="B397" i="22"/>
  <c r="B376" i="22"/>
  <c r="B373" i="22"/>
  <c r="B387" i="22"/>
  <c r="B386" i="22"/>
  <c r="X379" i="22"/>
  <c r="X391" i="22"/>
  <c r="X403" i="22"/>
  <c r="L401" i="22"/>
  <c r="L377" i="22"/>
  <c r="L389" i="22"/>
  <c r="I377" i="22"/>
  <c r="I401" i="22"/>
  <c r="I389" i="22"/>
  <c r="J282" i="22"/>
  <c r="J294" i="22"/>
  <c r="J270" i="22"/>
  <c r="T282" i="22"/>
  <c r="T294" i="22"/>
  <c r="T270" i="22"/>
  <c r="Q282" i="22"/>
  <c r="Q294" i="22"/>
  <c r="Q270" i="22"/>
  <c r="H175" i="22"/>
  <c r="H163" i="22"/>
  <c r="H187" i="22"/>
  <c r="O187" i="22"/>
  <c r="O175" i="22"/>
  <c r="O163" i="22"/>
  <c r="D172" i="22"/>
  <c r="D160" i="22"/>
  <c r="D184" i="22"/>
  <c r="C174" i="22"/>
  <c r="C162" i="22"/>
  <c r="C186" i="22"/>
  <c r="L79" i="22"/>
  <c r="L67" i="22"/>
  <c r="L55" i="22"/>
  <c r="D174" i="22"/>
  <c r="D186" i="22"/>
  <c r="D162" i="22"/>
  <c r="L368" i="22"/>
  <c r="L474" i="22"/>
  <c r="L46" i="22"/>
  <c r="L152" i="22"/>
  <c r="Y79" i="22"/>
  <c r="Y67" i="22"/>
  <c r="Y55" i="22"/>
  <c r="I76" i="22"/>
  <c r="I77" i="22"/>
  <c r="I65" i="22"/>
  <c r="I50" i="22"/>
  <c r="I75" i="22"/>
  <c r="I53" i="22"/>
  <c r="I63" i="22"/>
  <c r="I74" i="22"/>
  <c r="I51" i="22"/>
  <c r="I64" i="22"/>
  <c r="I52" i="22"/>
  <c r="I62" i="22"/>
  <c r="S152" i="22"/>
  <c r="S259" i="22"/>
  <c r="S369" i="22"/>
  <c r="S46" i="22"/>
  <c r="S368" i="22"/>
  <c r="X78" i="22"/>
  <c r="X54" i="22"/>
  <c r="X66" i="22"/>
  <c r="E79" i="22"/>
  <c r="E55" i="22"/>
  <c r="E67" i="22"/>
  <c r="C496" i="22"/>
  <c r="C508" i="22"/>
  <c r="C484" i="22"/>
  <c r="I506" i="22"/>
  <c r="I494" i="22"/>
  <c r="I482" i="22"/>
  <c r="H495" i="22"/>
  <c r="H507" i="22"/>
  <c r="H483" i="22"/>
  <c r="M502" i="22"/>
  <c r="J506" i="22"/>
  <c r="J494" i="22"/>
  <c r="J482" i="22"/>
  <c r="N494" i="22"/>
  <c r="N506" i="22"/>
  <c r="N482" i="22"/>
  <c r="P492" i="22"/>
  <c r="P503" i="22"/>
  <c r="P490" i="22"/>
  <c r="P493" i="22"/>
  <c r="P504" i="22"/>
  <c r="P491" i="22"/>
  <c r="P505" i="22"/>
  <c r="P479" i="22"/>
  <c r="P502" i="22"/>
  <c r="P481" i="22"/>
  <c r="P480" i="22"/>
  <c r="P478" i="22"/>
  <c r="Q496" i="22"/>
  <c r="Q508" i="22"/>
  <c r="Q484" i="22"/>
  <c r="G508" i="22"/>
  <c r="G484" i="22"/>
  <c r="G496" i="22"/>
  <c r="Q380" i="22"/>
  <c r="Q404" i="22"/>
  <c r="Q392" i="22"/>
  <c r="D380" i="22"/>
  <c r="D404" i="22"/>
  <c r="D392" i="22"/>
  <c r="Y379" i="22"/>
  <c r="Y403" i="22"/>
  <c r="Y391" i="22"/>
  <c r="X376" i="22"/>
  <c r="X398" i="22"/>
  <c r="X374" i="22"/>
  <c r="X400" i="22"/>
  <c r="X385" i="22"/>
  <c r="X375" i="22"/>
  <c r="X397" i="22"/>
  <c r="X373" i="22"/>
  <c r="X399" i="22"/>
  <c r="X388" i="22"/>
  <c r="X387" i="22"/>
  <c r="X386" i="22"/>
  <c r="AC399" i="22"/>
  <c r="AC375" i="22"/>
  <c r="AC400" i="22"/>
  <c r="AC397" i="22"/>
  <c r="AC373" i="22"/>
  <c r="AC387" i="22"/>
  <c r="AC398" i="22"/>
  <c r="AC376" i="22"/>
  <c r="AC388" i="22"/>
  <c r="AC374" i="22"/>
  <c r="AC386" i="22"/>
  <c r="AC385" i="22"/>
  <c r="J380" i="22"/>
  <c r="J404" i="22"/>
  <c r="J392" i="22"/>
  <c r="B403" i="22"/>
  <c r="B379" i="22"/>
  <c r="B391" i="22"/>
  <c r="O389" i="22"/>
  <c r="O401" i="22"/>
  <c r="O377" i="22"/>
  <c r="T401" i="22"/>
  <c r="T377" i="22"/>
  <c r="T389" i="22"/>
  <c r="V378" i="22"/>
  <c r="V402" i="22"/>
  <c r="V390" i="22"/>
  <c r="S390" i="22"/>
  <c r="S402" i="22"/>
  <c r="S378" i="22"/>
  <c r="R282" i="22"/>
  <c r="R294" i="22"/>
  <c r="R270" i="22"/>
  <c r="AB292" i="22"/>
  <c r="AB268" i="22"/>
  <c r="AB280" i="22"/>
  <c r="D282" i="22"/>
  <c r="D294" i="22"/>
  <c r="D270" i="22"/>
  <c r="AB282" i="22"/>
  <c r="AB294" i="22"/>
  <c r="AB270" i="22"/>
  <c r="F294" i="22"/>
  <c r="F282" i="22"/>
  <c r="F270" i="22"/>
  <c r="E294" i="22"/>
  <c r="E282" i="22"/>
  <c r="E270" i="22"/>
  <c r="Y186" i="22"/>
  <c r="Y174" i="22"/>
  <c r="Y162" i="22"/>
  <c r="L151" i="22"/>
  <c r="E175" i="22"/>
  <c r="E187" i="22"/>
  <c r="E163" i="22"/>
  <c r="H186" i="22"/>
  <c r="H162" i="22"/>
  <c r="H174" i="22"/>
  <c r="L172" i="22"/>
  <c r="L160" i="22"/>
  <c r="L184" i="22"/>
  <c r="G186" i="22"/>
  <c r="G162" i="22"/>
  <c r="G174" i="22"/>
  <c r="D67" i="22"/>
  <c r="D55" i="22"/>
  <c r="D79" i="22"/>
  <c r="X173" i="22"/>
  <c r="X161" i="22"/>
  <c r="X185" i="22"/>
  <c r="D152" i="22"/>
  <c r="D46" i="22"/>
  <c r="D368" i="22"/>
  <c r="D473" i="22"/>
  <c r="D259" i="22"/>
  <c r="Q67" i="22"/>
  <c r="Q79" i="22"/>
  <c r="Q55" i="22"/>
  <c r="K46" i="22"/>
  <c r="K152" i="22"/>
  <c r="K473" i="22"/>
  <c r="K474" i="22"/>
  <c r="K369" i="22"/>
  <c r="P78" i="22"/>
  <c r="P54" i="22"/>
  <c r="P66" i="22"/>
  <c r="S174" i="22"/>
  <c r="S186" i="22"/>
  <c r="S162" i="22"/>
  <c r="V75" i="22"/>
  <c r="V74" i="22"/>
  <c r="V64" i="22"/>
  <c r="V65" i="22"/>
  <c r="V76" i="22"/>
  <c r="V63" i="22"/>
  <c r="V50" i="22"/>
  <c r="V51" i="22"/>
  <c r="V52" i="22"/>
  <c r="V62" i="22"/>
  <c r="V77" i="22"/>
  <c r="V53" i="22"/>
  <c r="M79" i="22"/>
  <c r="M55" i="22"/>
  <c r="M67" i="22"/>
  <c r="J508" i="22"/>
  <c r="J496" i="22"/>
  <c r="J484" i="22"/>
  <c r="L473" i="22"/>
  <c r="R490" i="22"/>
  <c r="R493" i="22"/>
  <c r="R504" i="22"/>
  <c r="R491" i="22"/>
  <c r="R502" i="22"/>
  <c r="R505" i="22"/>
  <c r="R481" i="22"/>
  <c r="R492" i="22"/>
  <c r="R480" i="22"/>
  <c r="R503" i="22"/>
  <c r="R478" i="22"/>
  <c r="R479" i="22"/>
  <c r="K502" i="22"/>
  <c r="K479" i="22"/>
  <c r="K478" i="22"/>
  <c r="K503" i="22"/>
  <c r="K491" i="22"/>
  <c r="K490" i="22"/>
  <c r="Q503" i="22"/>
  <c r="Q490" i="22"/>
  <c r="Q493" i="22"/>
  <c r="Q504" i="22"/>
  <c r="Q502" i="22"/>
  <c r="Q492" i="22"/>
  <c r="Q491" i="22"/>
  <c r="Q480" i="22"/>
  <c r="Q478" i="22"/>
  <c r="Q481" i="22"/>
  <c r="Q505" i="22"/>
  <c r="Q479" i="22"/>
  <c r="P495" i="22"/>
  <c r="P507" i="22"/>
  <c r="P483" i="22"/>
  <c r="K505" i="22"/>
  <c r="K492" i="22"/>
  <c r="K481" i="22"/>
  <c r="K493" i="22"/>
  <c r="K504" i="22"/>
  <c r="K480" i="22"/>
  <c r="R506" i="22"/>
  <c r="R494" i="22"/>
  <c r="R482" i="22"/>
  <c r="V494" i="22"/>
  <c r="V506" i="22"/>
  <c r="V482" i="22"/>
  <c r="Z506" i="22"/>
  <c r="Z494" i="22"/>
  <c r="Z482" i="22"/>
  <c r="I404" i="22"/>
  <c r="I392" i="22"/>
  <c r="I380" i="22"/>
  <c r="X392" i="22"/>
  <c r="X404" i="22"/>
  <c r="X380" i="22"/>
  <c r="AC391" i="22"/>
  <c r="AC403" i="22"/>
  <c r="AC379" i="22"/>
  <c r="U402" i="22"/>
  <c r="U378" i="22"/>
  <c r="U390" i="22"/>
  <c r="D388" i="22"/>
  <c r="D386" i="22"/>
  <c r="D385" i="22"/>
  <c r="D399" i="22"/>
  <c r="D376" i="22"/>
  <c r="D400" i="22"/>
  <c r="D397" i="22"/>
  <c r="D398" i="22"/>
  <c r="D375" i="22"/>
  <c r="D387" i="22"/>
  <c r="D374" i="22"/>
  <c r="D373" i="22"/>
  <c r="K403" i="22"/>
  <c r="K391" i="22"/>
  <c r="K379" i="22"/>
  <c r="W389" i="22"/>
  <c r="W401" i="22"/>
  <c r="W377" i="22"/>
  <c r="R283" i="22"/>
  <c r="R295" i="22"/>
  <c r="R271" i="22"/>
  <c r="Z282" i="22"/>
  <c r="Z294" i="22"/>
  <c r="Z270" i="22"/>
  <c r="Q292" i="22"/>
  <c r="Q268" i="22"/>
  <c r="Q280" i="22"/>
  <c r="N294" i="22"/>
  <c r="N282" i="22"/>
  <c r="N270" i="22"/>
  <c r="Y282" i="22"/>
  <c r="Y294" i="22"/>
  <c r="Y270" i="22"/>
  <c r="Q187" i="22"/>
  <c r="Q163" i="22"/>
  <c r="Q175" i="22"/>
  <c r="Q162" i="22"/>
  <c r="Q186" i="22"/>
  <c r="Q174" i="22"/>
  <c r="W184" i="22"/>
  <c r="W160" i="22"/>
  <c r="W172" i="22"/>
  <c r="T172" i="22"/>
  <c r="T184" i="22"/>
  <c r="T160" i="22"/>
  <c r="Y187" i="22"/>
  <c r="Y163" i="22"/>
  <c r="Y175" i="22"/>
  <c r="T78" i="22"/>
  <c r="T66" i="22"/>
  <c r="T54" i="22"/>
  <c r="X186" i="22"/>
  <c r="X174" i="22"/>
  <c r="X162" i="22"/>
  <c r="AB80" i="22"/>
  <c r="AB68" i="22"/>
  <c r="AB56" i="22"/>
  <c r="I67" i="22"/>
  <c r="I79" i="22"/>
  <c r="I55" i="22"/>
  <c r="C46" i="22"/>
  <c r="C368" i="22"/>
  <c r="C369" i="22"/>
  <c r="C152" i="22"/>
  <c r="H78" i="22"/>
  <c r="H54" i="22"/>
  <c r="H66" i="22"/>
  <c r="N75" i="22"/>
  <c r="N76" i="22"/>
  <c r="N64" i="22"/>
  <c r="N77" i="22"/>
  <c r="N65" i="22"/>
  <c r="N51" i="22"/>
  <c r="N74" i="22"/>
  <c r="N52" i="22"/>
  <c r="N62" i="22"/>
  <c r="N63" i="22"/>
  <c r="N53" i="22"/>
  <c r="N50" i="22"/>
  <c r="S79" i="22"/>
  <c r="S55" i="22"/>
  <c r="S67" i="22"/>
  <c r="V57" i="22"/>
  <c r="V81" i="22"/>
  <c r="V69" i="22"/>
  <c r="D69" i="22"/>
  <c r="D81" i="22"/>
  <c r="D57" i="22"/>
  <c r="U79" i="22"/>
  <c r="U67" i="22"/>
  <c r="U55" i="22"/>
  <c r="Z509" i="22"/>
  <c r="Z485" i="22"/>
  <c r="Z497" i="22"/>
  <c r="S509" i="22"/>
  <c r="S485" i="22"/>
  <c r="S497" i="22"/>
  <c r="L369" i="22"/>
  <c r="P392" i="22"/>
  <c r="P380" i="22"/>
  <c r="P404" i="22"/>
  <c r="W404" i="22"/>
  <c r="W392" i="22"/>
  <c r="W380" i="22"/>
  <c r="I402" i="22"/>
  <c r="I378" i="22"/>
  <c r="I390" i="22"/>
  <c r="H402" i="22"/>
  <c r="H390" i="22"/>
  <c r="H378" i="22"/>
  <c r="L388" i="22"/>
  <c r="L386" i="22"/>
  <c r="L400" i="22"/>
  <c r="L398" i="22"/>
  <c r="L375" i="22"/>
  <c r="L387" i="22"/>
  <c r="L385" i="22"/>
  <c r="L373" i="22"/>
  <c r="L399" i="22"/>
  <c r="L397" i="22"/>
  <c r="L374" i="22"/>
  <c r="L376" i="22"/>
  <c r="C377" i="22"/>
  <c r="C389" i="22"/>
  <c r="C401" i="22"/>
  <c r="J400" i="22"/>
  <c r="J398" i="22"/>
  <c r="J374" i="22"/>
  <c r="J388" i="22"/>
  <c r="J397" i="22"/>
  <c r="J387" i="22"/>
  <c r="J375" i="22"/>
  <c r="J385" i="22"/>
  <c r="J386" i="22"/>
  <c r="J399" i="22"/>
  <c r="J376" i="22"/>
  <c r="J373" i="22"/>
  <c r="W379" i="22"/>
  <c r="W403" i="22"/>
  <c r="W391" i="22"/>
  <c r="J295" i="22"/>
  <c r="J283" i="22"/>
  <c r="J271" i="22"/>
  <c r="C294" i="22"/>
  <c r="C282" i="22"/>
  <c r="C270" i="22"/>
  <c r="I282" i="22"/>
  <c r="I294" i="22"/>
  <c r="I270" i="22"/>
  <c r="B268" i="22"/>
  <c r="B280" i="22"/>
  <c r="B292" i="22"/>
  <c r="Z292" i="22"/>
  <c r="Z268" i="22"/>
  <c r="Z280" i="22"/>
  <c r="G283" i="22"/>
  <c r="G295" i="22"/>
  <c r="G271" i="22"/>
  <c r="I187" i="22"/>
  <c r="I163" i="22"/>
  <c r="I175" i="22"/>
  <c r="I186" i="22"/>
  <c r="I174" i="22"/>
  <c r="I162" i="22"/>
  <c r="M172" i="22"/>
  <c r="M184" i="22"/>
  <c r="M160" i="22"/>
  <c r="AB172" i="22"/>
  <c r="AB160" i="22"/>
  <c r="AB184" i="22"/>
  <c r="I184" i="22"/>
  <c r="I160" i="22"/>
  <c r="I172" i="22"/>
  <c r="G45" i="22"/>
  <c r="L78" i="22"/>
  <c r="L66" i="22"/>
  <c r="L54" i="22"/>
  <c r="E162" i="22"/>
  <c r="E186" i="22"/>
  <c r="E174" i="22"/>
  <c r="Y66" i="22"/>
  <c r="Y78" i="22"/>
  <c r="Y54" i="22"/>
  <c r="V79" i="22"/>
  <c r="V55" i="22"/>
  <c r="V67" i="22"/>
  <c r="F75" i="22"/>
  <c r="F76" i="22"/>
  <c r="F64" i="22"/>
  <c r="F77" i="22"/>
  <c r="F65" i="22"/>
  <c r="F52" i="22"/>
  <c r="F62" i="22"/>
  <c r="F63" i="22"/>
  <c r="F53" i="22"/>
  <c r="F74" i="22"/>
  <c r="F50" i="22"/>
  <c r="F51" i="22"/>
  <c r="AB67" i="22"/>
  <c r="AB79" i="22"/>
  <c r="AB55" i="22"/>
  <c r="L69" i="22"/>
  <c r="L81" i="22"/>
  <c r="L57" i="22"/>
  <c r="AC67" i="22"/>
  <c r="AC79" i="22"/>
  <c r="AC55" i="22"/>
  <c r="Z508" i="22"/>
  <c r="Z484" i="22"/>
  <c r="Z496" i="22"/>
  <c r="B490" i="22"/>
  <c r="B493" i="22"/>
  <c r="B504" i="22"/>
  <c r="B491" i="22"/>
  <c r="B502" i="22"/>
  <c r="B505" i="22"/>
  <c r="B503" i="22"/>
  <c r="B481" i="22"/>
  <c r="B478" i="22"/>
  <c r="B492" i="22"/>
  <c r="B480" i="22"/>
  <c r="B479" i="22"/>
  <c r="U507" i="22"/>
  <c r="U483" i="22"/>
  <c r="U495" i="22"/>
  <c r="AB494" i="22"/>
  <c r="AB506" i="22"/>
  <c r="AB482" i="22"/>
  <c r="C493" i="22"/>
  <c r="C504" i="22"/>
  <c r="C491" i="22"/>
  <c r="C502" i="22"/>
  <c r="C505" i="22"/>
  <c r="C492" i="22"/>
  <c r="C478" i="22"/>
  <c r="C503" i="22"/>
  <c r="C479" i="22"/>
  <c r="C490" i="22"/>
  <c r="C480" i="22"/>
  <c r="C481" i="22"/>
  <c r="S493" i="22"/>
  <c r="S504" i="22"/>
  <c r="S491" i="22"/>
  <c r="S502" i="22"/>
  <c r="S505" i="22"/>
  <c r="S492" i="22"/>
  <c r="S478" i="22"/>
  <c r="S480" i="22"/>
  <c r="S479" i="22"/>
  <c r="S503" i="22"/>
  <c r="S490" i="22"/>
  <c r="S481" i="22"/>
  <c r="H392" i="22"/>
  <c r="H404" i="22"/>
  <c r="H380" i="22"/>
  <c r="R377" i="22"/>
  <c r="R401" i="22"/>
  <c r="R389" i="22"/>
  <c r="AB403" i="22"/>
  <c r="AB379" i="22"/>
  <c r="AB391" i="22"/>
  <c r="B283" i="22"/>
  <c r="B271" i="22"/>
  <c r="B295" i="22"/>
  <c r="I295" i="22"/>
  <c r="I283" i="22"/>
  <c r="I271" i="22"/>
  <c r="K294" i="22"/>
  <c r="K270" i="22"/>
  <c r="K282" i="22"/>
  <c r="L259" i="22"/>
  <c r="W292" i="22"/>
  <c r="W280" i="22"/>
  <c r="W268" i="22"/>
  <c r="U292" i="22"/>
  <c r="U280" i="22"/>
  <c r="U268" i="22"/>
  <c r="N280" i="22"/>
  <c r="N292" i="22"/>
  <c r="N268" i="22"/>
  <c r="R174" i="22"/>
  <c r="R186" i="22"/>
  <c r="R162" i="22"/>
  <c r="C184" i="22"/>
  <c r="C172" i="22"/>
  <c r="C160" i="22"/>
  <c r="V175" i="22"/>
  <c r="V187" i="22"/>
  <c r="V163" i="22"/>
  <c r="O369" i="22"/>
  <c r="O152" i="22"/>
  <c r="O151" i="22"/>
  <c r="O473" i="22"/>
  <c r="T68" i="22"/>
  <c r="T80" i="22"/>
  <c r="T56" i="22"/>
  <c r="D66" i="22"/>
  <c r="D78" i="22"/>
  <c r="D54" i="22"/>
  <c r="O186" i="22"/>
  <c r="O162" i="22"/>
  <c r="O174" i="22"/>
  <c r="L45" i="22"/>
  <c r="Q78" i="22"/>
  <c r="Q66" i="22"/>
  <c r="Q54" i="22"/>
  <c r="S45" i="22"/>
  <c r="P76" i="22"/>
  <c r="P64" i="22"/>
  <c r="P62" i="22"/>
  <c r="P77" i="22"/>
  <c r="P63" i="22"/>
  <c r="P74" i="22"/>
  <c r="P52" i="22"/>
  <c r="P53" i="22"/>
  <c r="P50" i="22"/>
  <c r="P75" i="22"/>
  <c r="P65" i="22"/>
  <c r="P51" i="22"/>
  <c r="N79" i="22"/>
  <c r="N55" i="22"/>
  <c r="N67" i="22"/>
  <c r="T69" i="22"/>
  <c r="T57" i="22"/>
  <c r="T81" i="22"/>
  <c r="K507" i="22"/>
  <c r="K495" i="22"/>
  <c r="K483" i="22"/>
  <c r="C494" i="22"/>
  <c r="C506" i="22"/>
  <c r="C482" i="22"/>
  <c r="AC491" i="22"/>
  <c r="AC502" i="22"/>
  <c r="AC505" i="22"/>
  <c r="AC492" i="22"/>
  <c r="AC503" i="22"/>
  <c r="AC490" i="22"/>
  <c r="AC480" i="22"/>
  <c r="AC493" i="22"/>
  <c r="AC479" i="22"/>
  <c r="AC504" i="22"/>
  <c r="AC478" i="22"/>
  <c r="AC481" i="22"/>
  <c r="P508" i="22"/>
  <c r="P484" i="22"/>
  <c r="P496" i="22"/>
  <c r="AB496" i="22"/>
  <c r="AB508" i="22"/>
  <c r="AB484" i="22"/>
  <c r="G380" i="22"/>
  <c r="G404" i="22"/>
  <c r="G392" i="22"/>
  <c r="E391" i="22"/>
  <c r="E403" i="22"/>
  <c r="E379" i="22"/>
  <c r="F401" i="22"/>
  <c r="F377" i="22"/>
  <c r="F389" i="22"/>
  <c r="Z400" i="22"/>
  <c r="Z398" i="22"/>
  <c r="Z374" i="22"/>
  <c r="Z388" i="22"/>
  <c r="Z399" i="22"/>
  <c r="Z386" i="22"/>
  <c r="Z376" i="22"/>
  <c r="Z387" i="22"/>
  <c r="Z375" i="22"/>
  <c r="Z373" i="22"/>
  <c r="Z397" i="22"/>
  <c r="Z385" i="22"/>
  <c r="T378" i="22"/>
  <c r="T402" i="22"/>
  <c r="T390" i="22"/>
  <c r="AC390" i="22"/>
  <c r="AC378" i="22"/>
  <c r="AC402" i="22"/>
  <c r="R390" i="22"/>
  <c r="R402" i="22"/>
  <c r="R378" i="22"/>
  <c r="W294" i="22"/>
  <c r="W270" i="22"/>
  <c r="W282" i="22"/>
  <c r="S270" i="22"/>
  <c r="S294" i="22"/>
  <c r="S282" i="22"/>
  <c r="K280" i="22"/>
  <c r="K292" i="22"/>
  <c r="K268" i="22"/>
  <c r="AC292" i="22"/>
  <c r="AC268" i="22"/>
  <c r="AC280" i="22"/>
  <c r="AB271" i="22"/>
  <c r="AB283" i="22"/>
  <c r="AB295" i="22"/>
  <c r="S260" i="22"/>
  <c r="J174" i="22"/>
  <c r="J162" i="22"/>
  <c r="J186" i="22"/>
  <c r="K160" i="22"/>
  <c r="K172" i="22"/>
  <c r="K184" i="22"/>
  <c r="J187" i="22"/>
  <c r="J163" i="22"/>
  <c r="J175" i="22"/>
  <c r="V183" i="22"/>
  <c r="V159" i="22"/>
  <c r="V170" i="22"/>
  <c r="V156" i="22"/>
  <c r="V182" i="22"/>
  <c r="V180" i="22"/>
  <c r="V158" i="22"/>
  <c r="V169" i="22"/>
  <c r="V157" i="22"/>
  <c r="V168" i="22"/>
  <c r="V171" i="22"/>
  <c r="V181" i="22"/>
  <c r="G369" i="22"/>
  <c r="G474" i="22"/>
  <c r="G152" i="22"/>
  <c r="G46" i="22"/>
  <c r="G259" i="22"/>
  <c r="G368" i="22"/>
  <c r="L68" i="22"/>
  <c r="L80" i="22"/>
  <c r="L56" i="22"/>
  <c r="T74" i="22"/>
  <c r="T77" i="22"/>
  <c r="T50" i="22"/>
  <c r="T75" i="22"/>
  <c r="T51" i="22"/>
  <c r="T53" i="22"/>
  <c r="T76" i="22"/>
  <c r="T63" i="22"/>
  <c r="T65" i="22"/>
  <c r="T62" i="22"/>
  <c r="T52" i="22"/>
  <c r="T64" i="22"/>
  <c r="Y80" i="22"/>
  <c r="Y68" i="22"/>
  <c r="Y56" i="22"/>
  <c r="I78" i="22"/>
  <c r="I66" i="22"/>
  <c r="I54" i="22"/>
  <c r="X55" i="22"/>
  <c r="X79" i="22"/>
  <c r="X67" i="22"/>
  <c r="H64" i="22"/>
  <c r="H74" i="22"/>
  <c r="H62" i="22"/>
  <c r="H75" i="22"/>
  <c r="H63" i="22"/>
  <c r="H53" i="22"/>
  <c r="H50" i="22"/>
  <c r="H77" i="22"/>
  <c r="H65" i="22"/>
  <c r="H76" i="22"/>
  <c r="H51" i="22"/>
  <c r="H52" i="22"/>
  <c r="F67" i="22"/>
  <c r="F79" i="22"/>
  <c r="F55" i="22"/>
  <c r="G75" i="22"/>
  <c r="G77" i="22"/>
  <c r="G51" i="22"/>
  <c r="G74" i="22"/>
  <c r="G52" i="22"/>
  <c r="G62" i="22"/>
  <c r="G63" i="22"/>
  <c r="G53" i="22"/>
  <c r="G50" i="22"/>
  <c r="G65" i="22"/>
  <c r="G76" i="22"/>
  <c r="G64" i="22"/>
  <c r="U81" i="22"/>
  <c r="U69" i="22"/>
  <c r="U57" i="22"/>
  <c r="AB81" i="22"/>
  <c r="AB69" i="22"/>
  <c r="AB57" i="22"/>
  <c r="Q81" i="22"/>
  <c r="Q57" i="22"/>
  <c r="Q69" i="22"/>
  <c r="X506" i="22"/>
  <c r="X482" i="22"/>
  <c r="X494" i="22"/>
  <c r="G495" i="22"/>
  <c r="G507" i="22"/>
  <c r="G483" i="22"/>
  <c r="M494" i="22"/>
  <c r="M506" i="22"/>
  <c r="M482" i="22"/>
  <c r="M481" i="22"/>
  <c r="I379" i="22"/>
  <c r="I403" i="22"/>
  <c r="I391" i="22"/>
  <c r="AA385" i="22"/>
  <c r="AA399" i="22"/>
  <c r="AA375" i="22"/>
  <c r="AA386" i="22"/>
  <c r="AA376" i="22"/>
  <c r="AA373" i="22"/>
  <c r="AA374" i="22"/>
  <c r="AA397" i="22"/>
  <c r="AA388" i="22"/>
  <c r="AA387" i="22"/>
  <c r="AA400" i="22"/>
  <c r="AA398" i="22"/>
  <c r="Z389" i="22"/>
  <c r="Z401" i="22"/>
  <c r="Z377" i="22"/>
  <c r="AA377" i="22"/>
  <c r="AA401" i="22"/>
  <c r="AA389" i="22"/>
  <c r="O402" i="22"/>
  <c r="O378" i="22"/>
  <c r="O390" i="22"/>
  <c r="L378" i="22"/>
  <c r="L402" i="22"/>
  <c r="L390" i="22"/>
  <c r="M294" i="22"/>
  <c r="M282" i="22"/>
  <c r="M270" i="22"/>
  <c r="AA294" i="22"/>
  <c r="AA282" i="22"/>
  <c r="AA270" i="22"/>
  <c r="O292" i="22"/>
  <c r="O280" i="22"/>
  <c r="O268" i="22"/>
  <c r="B174" i="22"/>
  <c r="B162" i="22"/>
  <c r="B186" i="22"/>
  <c r="X187" i="22"/>
  <c r="X163" i="22"/>
  <c r="X175" i="22"/>
  <c r="S151" i="22"/>
  <c r="S184" i="22"/>
  <c r="S172" i="22"/>
  <c r="S160" i="22"/>
  <c r="C163" i="22"/>
  <c r="C187" i="22"/>
  <c r="C175" i="22"/>
  <c r="B187" i="22"/>
  <c r="B163" i="22"/>
  <c r="B175" i="22"/>
  <c r="W186" i="22"/>
  <c r="W162" i="22"/>
  <c r="W174" i="22"/>
  <c r="P474" i="22"/>
  <c r="P151" i="22"/>
  <c r="P259" i="22"/>
  <c r="P152" i="22"/>
  <c r="L74" i="22"/>
  <c r="L77" i="22"/>
  <c r="L50" i="22"/>
  <c r="L51" i="22"/>
  <c r="L65" i="22"/>
  <c r="L76" i="22"/>
  <c r="L64" i="22"/>
  <c r="L62" i="22"/>
  <c r="L52" i="22"/>
  <c r="L53" i="22"/>
  <c r="L75" i="22"/>
  <c r="L63" i="22"/>
  <c r="L174" i="22"/>
  <c r="L186" i="22"/>
  <c r="L162" i="22"/>
  <c r="AC186" i="22"/>
  <c r="AC174" i="22"/>
  <c r="AC162" i="22"/>
  <c r="AB152" i="22"/>
  <c r="AB259" i="22"/>
  <c r="AB368" i="22"/>
  <c r="AB46" i="22"/>
  <c r="AB473" i="22"/>
  <c r="AB369" i="22"/>
  <c r="AB474" i="22"/>
  <c r="Y76" i="22"/>
  <c r="Y75" i="22"/>
  <c r="Y65" i="22"/>
  <c r="Y77" i="22"/>
  <c r="Y74" i="22"/>
  <c r="Y50" i="22"/>
  <c r="Y51" i="22"/>
  <c r="Y52" i="22"/>
  <c r="Y62" i="22"/>
  <c r="Y64" i="22"/>
  <c r="Y53" i="22"/>
  <c r="Y63" i="22"/>
  <c r="C45" i="22"/>
  <c r="P55" i="22"/>
  <c r="P79" i="22"/>
  <c r="P67" i="22"/>
  <c r="I259" i="22"/>
  <c r="I473" i="22"/>
  <c r="I46" i="22"/>
  <c r="I152" i="22"/>
  <c r="V78" i="22"/>
  <c r="V66" i="22"/>
  <c r="V54" i="22"/>
  <c r="AC81" i="22"/>
  <c r="AC69" i="22"/>
  <c r="AC57" i="22"/>
  <c r="O79" i="22"/>
  <c r="O67" i="22"/>
  <c r="O55" i="22"/>
  <c r="P506" i="22"/>
  <c r="P482" i="22"/>
  <c r="P494" i="22"/>
  <c r="O495" i="22"/>
  <c r="O507" i="22"/>
  <c r="O483" i="22"/>
  <c r="X505" i="22"/>
  <c r="X492" i="22"/>
  <c r="X481" i="22"/>
  <c r="X480" i="22"/>
  <c r="X493" i="22"/>
  <c r="X504" i="22"/>
  <c r="I497" i="22"/>
  <c r="AB497" i="22"/>
  <c r="AB509" i="22"/>
  <c r="AB485" i="22"/>
  <c r="N497" i="22"/>
  <c r="N509" i="22"/>
  <c r="N485" i="22"/>
  <c r="T380" i="22"/>
  <c r="T404" i="22"/>
  <c r="T392" i="22"/>
  <c r="N401" i="22"/>
  <c r="N389" i="22"/>
  <c r="N377" i="22"/>
  <c r="D401" i="22"/>
  <c r="D389" i="22"/>
  <c r="D377" i="22"/>
  <c r="U401" i="22"/>
  <c r="U389" i="22"/>
  <c r="U377" i="22"/>
  <c r="B294" i="22"/>
  <c r="B270" i="22"/>
  <c r="B282" i="22"/>
  <c r="Y280" i="22"/>
  <c r="Y268" i="22"/>
  <c r="Y292" i="22"/>
  <c r="P175" i="22"/>
  <c r="P187" i="22"/>
  <c r="P163" i="22"/>
  <c r="AA184" i="22"/>
  <c r="AA172" i="22"/>
  <c r="AA160" i="22"/>
  <c r="AB174" i="22"/>
  <c r="AB162" i="22"/>
  <c r="AB186" i="22"/>
  <c r="M174" i="22"/>
  <c r="M162" i="22"/>
  <c r="M186" i="22"/>
  <c r="H368" i="22"/>
  <c r="H474" i="22"/>
  <c r="H260" i="22"/>
  <c r="H259" i="22"/>
  <c r="H473" i="22"/>
  <c r="H152" i="22"/>
  <c r="T79" i="22"/>
  <c r="T67" i="22"/>
  <c r="T55" i="22"/>
  <c r="D74" i="22"/>
  <c r="D77" i="22"/>
  <c r="D76" i="22"/>
  <c r="D50" i="22"/>
  <c r="D51" i="22"/>
  <c r="D64" i="22"/>
  <c r="D75" i="22"/>
  <c r="D62" i="22"/>
  <c r="D52" i="22"/>
  <c r="D53" i="22"/>
  <c r="D63" i="22"/>
  <c r="D65" i="22"/>
  <c r="V186" i="22"/>
  <c r="V162" i="22"/>
  <c r="V174" i="22"/>
  <c r="T369" i="22"/>
  <c r="T259" i="22"/>
  <c r="T152" i="22"/>
  <c r="T368" i="22"/>
  <c r="Q76" i="22"/>
  <c r="Q77" i="22"/>
  <c r="Q65" i="22"/>
  <c r="Q74" i="22"/>
  <c r="Q50" i="22"/>
  <c r="Q52" i="22"/>
  <c r="Q64" i="22"/>
  <c r="Q62" i="22"/>
  <c r="Q53" i="22"/>
  <c r="Q63" i="22"/>
  <c r="Q75" i="22"/>
  <c r="Q51" i="22"/>
  <c r="H79" i="22"/>
  <c r="H55" i="22"/>
  <c r="H67" i="22"/>
  <c r="N66" i="22"/>
  <c r="N78" i="22"/>
  <c r="N54" i="22"/>
  <c r="F81" i="22"/>
  <c r="F57" i="22"/>
  <c r="F69" i="22"/>
  <c r="G69" i="22"/>
  <c r="G81" i="22"/>
  <c r="G57" i="22"/>
  <c r="N81" i="22"/>
  <c r="N57" i="22"/>
  <c r="N69" i="22"/>
  <c r="Q509" i="22"/>
  <c r="Q485" i="22"/>
  <c r="Q497" i="22"/>
  <c r="B509" i="22"/>
  <c r="B485" i="22"/>
  <c r="B497" i="22"/>
  <c r="D496" i="22"/>
  <c r="D508" i="22"/>
  <c r="D484" i="22"/>
  <c r="O508" i="22"/>
  <c r="O484" i="22"/>
  <c r="O496" i="22"/>
  <c r="T497" i="22"/>
  <c r="T509" i="22"/>
  <c r="T485" i="22"/>
  <c r="C509" i="22"/>
  <c r="C485" i="22"/>
  <c r="C497" i="22"/>
  <c r="Y506" i="22"/>
  <c r="Y494" i="22"/>
  <c r="Y482" i="22"/>
  <c r="S507" i="22"/>
  <c r="S483" i="22"/>
  <c r="S495" i="22"/>
  <c r="E507" i="22"/>
  <c r="E495" i="22"/>
  <c r="E483" i="22"/>
  <c r="R507" i="22"/>
  <c r="R495" i="22"/>
  <c r="R483" i="22"/>
  <c r="X491" i="22"/>
  <c r="I509" i="22"/>
  <c r="F386" i="22"/>
  <c r="F376" i="22"/>
  <c r="F399" i="22"/>
  <c r="F373" i="22"/>
  <c r="F400" i="22"/>
  <c r="F387" i="22"/>
  <c r="F398" i="22"/>
  <c r="F388" i="22"/>
  <c r="F375" i="22"/>
  <c r="F374" i="22"/>
  <c r="F385" i="22"/>
  <c r="F397" i="22"/>
  <c r="M493" i="22"/>
  <c r="M491" i="22"/>
  <c r="G379" i="22"/>
  <c r="G403" i="22"/>
  <c r="G391" i="22"/>
  <c r="AC404" i="22"/>
  <c r="AC380" i="22"/>
  <c r="AC392" i="22"/>
  <c r="U404" i="22"/>
  <c r="U392" i="22"/>
  <c r="U380" i="22"/>
  <c r="N404" i="22"/>
  <c r="N392" i="22"/>
  <c r="N380" i="22"/>
  <c r="S404" i="22"/>
  <c r="S392" i="22"/>
  <c r="S380" i="22"/>
  <c r="L380" i="22"/>
  <c r="L392" i="22"/>
  <c r="L404" i="22"/>
  <c r="Q402" i="22"/>
  <c r="Q390" i="22"/>
  <c r="Q378" i="22"/>
  <c r="K377" i="22"/>
  <c r="K401" i="22"/>
  <c r="K389" i="22"/>
  <c r="B380" i="22"/>
  <c r="B392" i="22"/>
  <c r="B404" i="22"/>
  <c r="B289" i="22"/>
  <c r="B291" i="22"/>
  <c r="B290" i="22"/>
  <c r="B265" i="22"/>
  <c r="B276" i="22"/>
  <c r="B288" i="22"/>
  <c r="B279" i="22"/>
  <c r="B267" i="22"/>
  <c r="B266" i="22"/>
  <c r="B264" i="22"/>
  <c r="B278" i="22"/>
  <c r="B277" i="22"/>
  <c r="J401" i="22"/>
  <c r="J389" i="22"/>
  <c r="J377" i="22"/>
  <c r="D280" i="22"/>
  <c r="D268" i="22"/>
  <c r="D292" i="22"/>
  <c r="L283" i="22"/>
  <c r="L295" i="22"/>
  <c r="L271" i="22"/>
  <c r="AC283" i="22"/>
  <c r="AC271" i="22"/>
  <c r="AC295" i="22"/>
  <c r="R292" i="22"/>
  <c r="R268" i="22"/>
  <c r="R280" i="22"/>
  <c r="R293" i="22"/>
  <c r="R281" i="22"/>
  <c r="R269" i="22"/>
  <c r="P281" i="22"/>
  <c r="P269" i="22"/>
  <c r="P293" i="22"/>
  <c r="B293" i="22"/>
  <c r="B281" i="22"/>
  <c r="B269" i="22"/>
  <c r="J292" i="22"/>
  <c r="J280" i="22"/>
  <c r="J268" i="22"/>
  <c r="V280" i="22"/>
  <c r="V292" i="22"/>
  <c r="V268" i="22"/>
  <c r="H295" i="22"/>
  <c r="H283" i="22"/>
  <c r="H271" i="22"/>
  <c r="H173" i="22"/>
  <c r="H185" i="22"/>
  <c r="H161" i="22"/>
  <c r="AC175" i="22"/>
  <c r="AC187" i="22"/>
  <c r="AC163" i="22"/>
  <c r="N172" i="22"/>
  <c r="N184" i="22"/>
  <c r="N160" i="22"/>
  <c r="G170" i="22"/>
  <c r="G181" i="22"/>
  <c r="G182" i="22"/>
  <c r="G183" i="22"/>
  <c r="G180" i="22"/>
  <c r="G157" i="22"/>
  <c r="G171" i="22"/>
  <c r="G168" i="22"/>
  <c r="G156" i="22"/>
  <c r="G169" i="22"/>
  <c r="G158" i="22"/>
  <c r="G159" i="22"/>
  <c r="G173" i="22"/>
  <c r="G161" i="22"/>
  <c r="G185" i="22"/>
  <c r="L294" i="22"/>
  <c r="L282" i="22"/>
  <c r="L270" i="22"/>
  <c r="F183" i="22"/>
  <c r="F159" i="22"/>
  <c r="F170" i="22"/>
  <c r="F181" i="22"/>
  <c r="F168" i="22"/>
  <c r="F182" i="22"/>
  <c r="F156" i="22"/>
  <c r="F171" i="22"/>
  <c r="F169" i="22"/>
  <c r="F180" i="22"/>
  <c r="F158" i="22"/>
  <c r="F157" i="22"/>
  <c r="G151" i="22"/>
  <c r="H184" i="22"/>
  <c r="H160" i="22"/>
  <c r="H172" i="22"/>
  <c r="Z160" i="22"/>
  <c r="Z172" i="22"/>
  <c r="Z184" i="22"/>
  <c r="X279" i="22"/>
  <c r="X291" i="22"/>
  <c r="X278" i="22"/>
  <c r="X277" i="22"/>
  <c r="X267" i="22"/>
  <c r="X289" i="22"/>
  <c r="X288" i="22"/>
  <c r="X276" i="22"/>
  <c r="X265" i="22"/>
  <c r="X290" i="22"/>
  <c r="X266" i="22"/>
  <c r="X264" i="22"/>
  <c r="M278" i="22"/>
  <c r="M290" i="22"/>
  <c r="M291" i="22"/>
  <c r="M276" i="22"/>
  <c r="M266" i="22"/>
  <c r="M277" i="22"/>
  <c r="M289" i="22"/>
  <c r="M264" i="22"/>
  <c r="M288" i="22"/>
  <c r="M279" i="22"/>
  <c r="M267" i="22"/>
  <c r="M265" i="22"/>
  <c r="AC172" i="22"/>
  <c r="AC160" i="22"/>
  <c r="AC184" i="22"/>
  <c r="G294" i="22"/>
  <c r="H80" i="22"/>
  <c r="H56" i="22"/>
  <c r="H68" i="22"/>
  <c r="K174" i="22"/>
  <c r="K186" i="22"/>
  <c r="K162" i="22"/>
  <c r="J68" i="22"/>
  <c r="J80" i="22"/>
  <c r="J56" i="22"/>
  <c r="W158" i="22"/>
  <c r="W170" i="22"/>
  <c r="C74" i="22"/>
  <c r="C75" i="22"/>
  <c r="C65" i="22"/>
  <c r="C63" i="22"/>
  <c r="C76" i="22"/>
  <c r="C64" i="22"/>
  <c r="C51" i="22"/>
  <c r="C62" i="22"/>
  <c r="C52" i="22"/>
  <c r="C77" i="22"/>
  <c r="C53" i="22"/>
  <c r="C50" i="22"/>
  <c r="AA74" i="22"/>
  <c r="AA65" i="22"/>
  <c r="AA77" i="22"/>
  <c r="AA63" i="22"/>
  <c r="AA64" i="22"/>
  <c r="AA75" i="22"/>
  <c r="AA62" i="22"/>
  <c r="AA52" i="22"/>
  <c r="AA53" i="22"/>
  <c r="AA50" i="22"/>
  <c r="AA51" i="22"/>
  <c r="AA76" i="22"/>
  <c r="C156" i="22"/>
  <c r="C182" i="22"/>
  <c r="R79" i="22"/>
  <c r="R67" i="22"/>
  <c r="R55" i="22"/>
  <c r="J69" i="22"/>
  <c r="J57" i="22"/>
  <c r="J81" i="22"/>
  <c r="D497" i="22"/>
  <c r="D509" i="22"/>
  <c r="D485" i="22"/>
  <c r="K509" i="22"/>
  <c r="K485" i="22"/>
  <c r="K497" i="22"/>
  <c r="J509" i="22"/>
  <c r="J485" i="22"/>
  <c r="J497" i="22"/>
  <c r="T496" i="22"/>
  <c r="T508" i="22"/>
  <c r="T484" i="22"/>
  <c r="I496" i="22"/>
  <c r="I484" i="22"/>
  <c r="I508" i="22"/>
  <c r="W508" i="22"/>
  <c r="W484" i="22"/>
  <c r="W496" i="22"/>
  <c r="Z490" i="22"/>
  <c r="Z493" i="22"/>
  <c r="Z504" i="22"/>
  <c r="Z491" i="22"/>
  <c r="Z502" i="22"/>
  <c r="Z505" i="22"/>
  <c r="Z481" i="22"/>
  <c r="Z479" i="22"/>
  <c r="Z503" i="22"/>
  <c r="Z478" i="22"/>
  <c r="Z492" i="22"/>
  <c r="Z480" i="22"/>
  <c r="P473" i="22"/>
  <c r="G506" i="22"/>
  <c r="G482" i="22"/>
  <c r="G494" i="22"/>
  <c r="Z507" i="22"/>
  <c r="Z495" i="22"/>
  <c r="Z483" i="22"/>
  <c r="N386" i="22"/>
  <c r="N376" i="22"/>
  <c r="N385" i="22"/>
  <c r="N375" i="22"/>
  <c r="N399" i="22"/>
  <c r="N398" i="22"/>
  <c r="N397" i="22"/>
  <c r="N388" i="22"/>
  <c r="N387" i="22"/>
  <c r="N374" i="22"/>
  <c r="N373" i="22"/>
  <c r="N400" i="22"/>
  <c r="M478" i="22"/>
  <c r="P403" i="22"/>
  <c r="P379" i="22"/>
  <c r="P391" i="22"/>
  <c r="N379" i="22"/>
  <c r="N403" i="22"/>
  <c r="N391" i="22"/>
  <c r="F403" i="22"/>
  <c r="F391" i="22"/>
  <c r="F379" i="22"/>
  <c r="R380" i="22"/>
  <c r="R404" i="22"/>
  <c r="R392" i="22"/>
  <c r="F404" i="22"/>
  <c r="F392" i="22"/>
  <c r="F380" i="22"/>
  <c r="K378" i="22"/>
  <c r="K390" i="22"/>
  <c r="K402" i="22"/>
  <c r="AB378" i="22"/>
  <c r="AB390" i="22"/>
  <c r="AB402" i="22"/>
  <c r="Y290" i="22"/>
  <c r="Y278" i="22"/>
  <c r="Y288" i="22"/>
  <c r="Y276" i="22"/>
  <c r="Y291" i="22"/>
  <c r="Y265" i="22"/>
  <c r="Y264" i="22"/>
  <c r="Y289" i="22"/>
  <c r="Y279" i="22"/>
  <c r="Y267" i="22"/>
  <c r="Y266" i="22"/>
  <c r="Y277" i="22"/>
  <c r="X295" i="22"/>
  <c r="X283" i="22"/>
  <c r="X271" i="22"/>
  <c r="F295" i="22"/>
  <c r="F271" i="22"/>
  <c r="F283" i="22"/>
  <c r="AB281" i="22"/>
  <c r="AB293" i="22"/>
  <c r="AB269" i="22"/>
  <c r="X293" i="22"/>
  <c r="X281" i="22"/>
  <c r="X269" i="22"/>
  <c r="P292" i="22"/>
  <c r="P280" i="22"/>
  <c r="P268" i="22"/>
  <c r="D260" i="22"/>
  <c r="G292" i="22"/>
  <c r="G280" i="22"/>
  <c r="G268" i="22"/>
  <c r="V281" i="22"/>
  <c r="V293" i="22"/>
  <c r="V269" i="22"/>
  <c r="H292" i="22"/>
  <c r="H280" i="22"/>
  <c r="H268" i="22"/>
  <c r="Y184" i="22"/>
  <c r="Y160" i="22"/>
  <c r="Y172" i="22"/>
  <c r="D187" i="22"/>
  <c r="D175" i="22"/>
  <c r="D163" i="22"/>
  <c r="B160" i="22"/>
  <c r="B172" i="22"/>
  <c r="B184" i="22"/>
  <c r="Y185" i="22"/>
  <c r="Y161" i="22"/>
  <c r="Y173" i="22"/>
  <c r="O173" i="22"/>
  <c r="O185" i="22"/>
  <c r="O161" i="22"/>
  <c r="U294" i="22"/>
  <c r="U282" i="22"/>
  <c r="U270" i="22"/>
  <c r="G187" i="22"/>
  <c r="G175" i="22"/>
  <c r="G163" i="22"/>
  <c r="Z187" i="22"/>
  <c r="Z163" i="22"/>
  <c r="Z175" i="22"/>
  <c r="AA182" i="22"/>
  <c r="AA158" i="22"/>
  <c r="AA169" i="22"/>
  <c r="AA168" i="22"/>
  <c r="AA171" i="22"/>
  <c r="AA157" i="22"/>
  <c r="AA159" i="22"/>
  <c r="AA156" i="22"/>
  <c r="AA183" i="22"/>
  <c r="AA181" i="22"/>
  <c r="AA180" i="22"/>
  <c r="AA170" i="22"/>
  <c r="P184" i="22"/>
  <c r="P160" i="22"/>
  <c r="P172" i="22"/>
  <c r="D291" i="22"/>
  <c r="D279" i="22"/>
  <c r="D288" i="22"/>
  <c r="D277" i="22"/>
  <c r="D290" i="22"/>
  <c r="D278" i="22"/>
  <c r="D266" i="22"/>
  <c r="D267" i="22"/>
  <c r="D276" i="22"/>
  <c r="D265" i="22"/>
  <c r="D264" i="22"/>
  <c r="D289" i="22"/>
  <c r="C288" i="22"/>
  <c r="C278" i="22"/>
  <c r="C276" i="22"/>
  <c r="C291" i="22"/>
  <c r="C277" i="22"/>
  <c r="C264" i="22"/>
  <c r="C267" i="22"/>
  <c r="C266" i="22"/>
  <c r="C265" i="22"/>
  <c r="C290" i="22"/>
  <c r="C289" i="22"/>
  <c r="C279" i="22"/>
  <c r="U278" i="22"/>
  <c r="U290" i="22"/>
  <c r="U277" i="22"/>
  <c r="U276" i="22"/>
  <c r="U266" i="22"/>
  <c r="U288" i="22"/>
  <c r="U264" i="22"/>
  <c r="U291" i="22"/>
  <c r="U265" i="22"/>
  <c r="U289" i="22"/>
  <c r="U279" i="22"/>
  <c r="U267" i="22"/>
  <c r="Q184" i="22"/>
  <c r="Q160" i="22"/>
  <c r="Q172" i="22"/>
  <c r="G282" i="22"/>
  <c r="R160" i="22"/>
  <c r="R184" i="22"/>
  <c r="R172" i="22"/>
  <c r="P80" i="22"/>
  <c r="P68" i="22"/>
  <c r="P56" i="22"/>
  <c r="S185" i="22"/>
  <c r="S161" i="22"/>
  <c r="S173" i="22"/>
  <c r="N80" i="22"/>
  <c r="N56" i="22"/>
  <c r="N68" i="22"/>
  <c r="Z81" i="22"/>
  <c r="Z69" i="22"/>
  <c r="Z57" i="22"/>
  <c r="H81" i="22"/>
  <c r="H57" i="22"/>
  <c r="H69" i="22"/>
  <c r="W183" i="22"/>
  <c r="AA78" i="22"/>
  <c r="AA54" i="22"/>
  <c r="AA66" i="22"/>
  <c r="G78" i="22"/>
  <c r="G66" i="22"/>
  <c r="G54" i="22"/>
  <c r="C181" i="22"/>
  <c r="G67" i="22"/>
  <c r="G79" i="22"/>
  <c r="G55" i="22"/>
  <c r="K79" i="22"/>
  <c r="K55" i="22"/>
  <c r="K67" i="22"/>
  <c r="Z79" i="22"/>
  <c r="Z55" i="22"/>
  <c r="Z67" i="22"/>
  <c r="E497" i="22"/>
  <c r="E509" i="22"/>
  <c r="E485" i="22"/>
  <c r="U497" i="22"/>
  <c r="U485" i="22"/>
  <c r="U509" i="22"/>
  <c r="R509" i="22"/>
  <c r="R485" i="22"/>
  <c r="R497" i="22"/>
  <c r="N508" i="22"/>
  <c r="N484" i="22"/>
  <c r="N496" i="22"/>
  <c r="F508" i="22"/>
  <c r="F484" i="22"/>
  <c r="F496" i="22"/>
  <c r="S496" i="22"/>
  <c r="S508" i="22"/>
  <c r="S484" i="22"/>
  <c r="L504" i="22"/>
  <c r="L491" i="22"/>
  <c r="L502" i="22"/>
  <c r="L505" i="22"/>
  <c r="L492" i="22"/>
  <c r="L503" i="22"/>
  <c r="L481" i="22"/>
  <c r="L493" i="22"/>
  <c r="L479" i="22"/>
  <c r="L490" i="22"/>
  <c r="L478" i="22"/>
  <c r="L480" i="22"/>
  <c r="T504" i="22"/>
  <c r="T491" i="22"/>
  <c r="T502" i="22"/>
  <c r="T505" i="22"/>
  <c r="T492" i="22"/>
  <c r="T503" i="22"/>
  <c r="T493" i="22"/>
  <c r="T481" i="22"/>
  <c r="T490" i="22"/>
  <c r="T479" i="22"/>
  <c r="T480" i="22"/>
  <c r="T478" i="22"/>
  <c r="M497" i="22"/>
  <c r="M509" i="22"/>
  <c r="M485" i="22"/>
  <c r="Y509" i="22"/>
  <c r="Y485" i="22"/>
  <c r="Y497" i="22"/>
  <c r="L494" i="22"/>
  <c r="L482" i="22"/>
  <c r="L506" i="22"/>
  <c r="S494" i="22"/>
  <c r="S506" i="22"/>
  <c r="S482" i="22"/>
  <c r="X495" i="22"/>
  <c r="X507" i="22"/>
  <c r="X483" i="22"/>
  <c r="Y495" i="22"/>
  <c r="Y507" i="22"/>
  <c r="Y483" i="22"/>
  <c r="D507" i="22"/>
  <c r="D495" i="22"/>
  <c r="D483" i="22"/>
  <c r="V386" i="22"/>
  <c r="V376" i="22"/>
  <c r="V398" i="22"/>
  <c r="V388" i="22"/>
  <c r="V399" i="22"/>
  <c r="V400" i="22"/>
  <c r="V387" i="22"/>
  <c r="V385" i="22"/>
  <c r="V374" i="22"/>
  <c r="V373" i="22"/>
  <c r="V375" i="22"/>
  <c r="V397" i="22"/>
  <c r="M504" i="22"/>
  <c r="Z403" i="22"/>
  <c r="Z379" i="22"/>
  <c r="Z391" i="22"/>
  <c r="G402" i="22"/>
  <c r="G390" i="22"/>
  <c r="G378" i="22"/>
  <c r="E404" i="22"/>
  <c r="E392" i="22"/>
  <c r="E380" i="22"/>
  <c r="O404" i="22"/>
  <c r="O392" i="22"/>
  <c r="O380" i="22"/>
  <c r="AB404" i="22"/>
  <c r="AB380" i="22"/>
  <c r="AB392" i="22"/>
  <c r="X402" i="22"/>
  <c r="X390" i="22"/>
  <c r="X378" i="22"/>
  <c r="W402" i="22"/>
  <c r="W378" i="22"/>
  <c r="W390" i="22"/>
  <c r="E402" i="22"/>
  <c r="E390" i="22"/>
  <c r="E378" i="22"/>
  <c r="G389" i="22"/>
  <c r="G377" i="22"/>
  <c r="G401" i="22"/>
  <c r="AB401" i="22"/>
  <c r="AB377" i="22"/>
  <c r="AB389" i="22"/>
  <c r="M401" i="22"/>
  <c r="M389" i="22"/>
  <c r="M377" i="22"/>
  <c r="Q290" i="22"/>
  <c r="Q278" i="22"/>
  <c r="Q289" i="22"/>
  <c r="Q279" i="22"/>
  <c r="Q276" i="22"/>
  <c r="Q277" i="22"/>
  <c r="Q288" i="22"/>
  <c r="Q265" i="22"/>
  <c r="Q264" i="22"/>
  <c r="Q291" i="22"/>
  <c r="Q266" i="22"/>
  <c r="Q267" i="22"/>
  <c r="Q295" i="22"/>
  <c r="Q283" i="22"/>
  <c r="Q271" i="22"/>
  <c r="D283" i="22"/>
  <c r="D295" i="22"/>
  <c r="D271" i="22"/>
  <c r="N295" i="22"/>
  <c r="N283" i="22"/>
  <c r="N271" i="22"/>
  <c r="J293" i="22"/>
  <c r="J281" i="22"/>
  <c r="J269" i="22"/>
  <c r="Y295" i="22"/>
  <c r="Y271" i="22"/>
  <c r="Y283" i="22"/>
  <c r="I293" i="22"/>
  <c r="I281" i="22"/>
  <c r="I269" i="22"/>
  <c r="O184" i="22"/>
  <c r="O160" i="22"/>
  <c r="O172" i="22"/>
  <c r="L187" i="22"/>
  <c r="L163" i="22"/>
  <c r="L175" i="22"/>
  <c r="U180" i="22"/>
  <c r="U183" i="22"/>
  <c r="U159" i="22"/>
  <c r="U182" i="22"/>
  <c r="U170" i="22"/>
  <c r="U156" i="22"/>
  <c r="U181" i="22"/>
  <c r="U158" i="22"/>
  <c r="U168" i="22"/>
  <c r="U157" i="22"/>
  <c r="U169" i="22"/>
  <c r="U171" i="22"/>
  <c r="P162" i="22"/>
  <c r="P186" i="22"/>
  <c r="P174" i="22"/>
  <c r="T271" i="22"/>
  <c r="M185" i="22"/>
  <c r="M161" i="22"/>
  <c r="M173" i="22"/>
  <c r="W173" i="22"/>
  <c r="W185" i="22"/>
  <c r="W161" i="22"/>
  <c r="L185" i="22"/>
  <c r="L161" i="22"/>
  <c r="L173" i="22"/>
  <c r="O170" i="22"/>
  <c r="O181" i="22"/>
  <c r="O180" i="22"/>
  <c r="O168" i="22"/>
  <c r="O158" i="22"/>
  <c r="O183" i="22"/>
  <c r="O156" i="22"/>
  <c r="O169" i="22"/>
  <c r="O182" i="22"/>
  <c r="O157" i="22"/>
  <c r="O171" i="22"/>
  <c r="O159" i="22"/>
  <c r="F184" i="22"/>
  <c r="F160" i="22"/>
  <c r="F172" i="22"/>
  <c r="S288" i="22"/>
  <c r="S278" i="22"/>
  <c r="S279" i="22"/>
  <c r="S276" i="22"/>
  <c r="S289" i="22"/>
  <c r="S291" i="22"/>
  <c r="S266" i="22"/>
  <c r="S290" i="22"/>
  <c r="S277" i="22"/>
  <c r="S267" i="22"/>
  <c r="S265" i="22"/>
  <c r="S264" i="22"/>
  <c r="O288" i="22"/>
  <c r="O290" i="22"/>
  <c r="O291" i="22"/>
  <c r="O277" i="22"/>
  <c r="O264" i="22"/>
  <c r="O278" i="22"/>
  <c r="O267" i="22"/>
  <c r="O289" i="22"/>
  <c r="O279" i="22"/>
  <c r="O265" i="22"/>
  <c r="O276" i="22"/>
  <c r="O266" i="22"/>
  <c r="AC278" i="22"/>
  <c r="AC290" i="22"/>
  <c r="AC291" i="22"/>
  <c r="AC276" i="22"/>
  <c r="AC266" i="22"/>
  <c r="AC289" i="22"/>
  <c r="AC279" i="22"/>
  <c r="AC267" i="22"/>
  <c r="AC265" i="22"/>
  <c r="AC264" i="22"/>
  <c r="AC288" i="22"/>
  <c r="AC277" i="22"/>
  <c r="G172" i="22"/>
  <c r="G184" i="22"/>
  <c r="G160" i="22"/>
  <c r="X80" i="22"/>
  <c r="X68" i="22"/>
  <c r="X56" i="22"/>
  <c r="AA174" i="22"/>
  <c r="AA162" i="22"/>
  <c r="AA186" i="22"/>
  <c r="C80" i="22"/>
  <c r="C56" i="22"/>
  <c r="C68" i="22"/>
  <c r="O69" i="22"/>
  <c r="O81" i="22"/>
  <c r="O57" i="22"/>
  <c r="V80" i="22"/>
  <c r="V56" i="22"/>
  <c r="V68" i="22"/>
  <c r="P81" i="22"/>
  <c r="P69" i="22"/>
  <c r="P57" i="22"/>
  <c r="W156" i="22"/>
  <c r="R76" i="22"/>
  <c r="R74" i="22"/>
  <c r="R52" i="22"/>
  <c r="R75" i="22"/>
  <c r="R53" i="22"/>
  <c r="R77" i="22"/>
  <c r="R64" i="22"/>
  <c r="R62" i="22"/>
  <c r="R63" i="22"/>
  <c r="R50" i="22"/>
  <c r="R51" i="22"/>
  <c r="R65" i="22"/>
  <c r="F66" i="22"/>
  <c r="F78" i="22"/>
  <c r="F54" i="22"/>
  <c r="K66" i="22"/>
  <c r="K54" i="22"/>
  <c r="K78" i="22"/>
  <c r="O78" i="22"/>
  <c r="O66" i="22"/>
  <c r="O54" i="22"/>
  <c r="C157" i="22"/>
  <c r="L497" i="22"/>
  <c r="L485" i="22"/>
  <c r="L509" i="22"/>
  <c r="U491" i="22"/>
  <c r="U502" i="22"/>
  <c r="U505" i="22"/>
  <c r="U492" i="22"/>
  <c r="U503" i="22"/>
  <c r="U490" i="22"/>
  <c r="U504" i="22"/>
  <c r="U481" i="22"/>
  <c r="U480" i="22"/>
  <c r="U479" i="22"/>
  <c r="U478" i="22"/>
  <c r="U493" i="22"/>
  <c r="L496" i="22"/>
  <c r="L508" i="22"/>
  <c r="L484" i="22"/>
  <c r="V508" i="22"/>
  <c r="V484" i="22"/>
  <c r="V496" i="22"/>
  <c r="E508" i="22"/>
  <c r="E496" i="22"/>
  <c r="E484" i="22"/>
  <c r="D504" i="22"/>
  <c r="D491" i="22"/>
  <c r="D502" i="22"/>
  <c r="D505" i="22"/>
  <c r="D492" i="22"/>
  <c r="D503" i="22"/>
  <c r="D490" i="22"/>
  <c r="D481" i="22"/>
  <c r="D479" i="22"/>
  <c r="D480" i="22"/>
  <c r="D493" i="22"/>
  <c r="D478" i="22"/>
  <c r="W505" i="22"/>
  <c r="W492" i="22"/>
  <c r="W503" i="22"/>
  <c r="W490" i="22"/>
  <c r="W493" i="22"/>
  <c r="W504" i="22"/>
  <c r="W480" i="22"/>
  <c r="W478" i="22"/>
  <c r="W481" i="22"/>
  <c r="W479" i="22"/>
  <c r="W502" i="22"/>
  <c r="W491" i="22"/>
  <c r="AB504" i="22"/>
  <c r="AB491" i="22"/>
  <c r="AB502" i="22"/>
  <c r="AB505" i="22"/>
  <c r="AB492" i="22"/>
  <c r="AB503" i="22"/>
  <c r="AB481" i="22"/>
  <c r="AB479" i="22"/>
  <c r="AB480" i="22"/>
  <c r="AB490" i="22"/>
  <c r="AB493" i="22"/>
  <c r="AB478" i="22"/>
  <c r="O497" i="22"/>
  <c r="O509" i="22"/>
  <c r="O485" i="22"/>
  <c r="AA509" i="22"/>
  <c r="AA485" i="22"/>
  <c r="AA497" i="22"/>
  <c r="AC494" i="22"/>
  <c r="AC506" i="22"/>
  <c r="AC482" i="22"/>
  <c r="E494" i="22"/>
  <c r="E506" i="22"/>
  <c r="E482" i="22"/>
  <c r="W506" i="22"/>
  <c r="W494" i="22"/>
  <c r="W482" i="22"/>
  <c r="F495" i="22"/>
  <c r="F483" i="22"/>
  <c r="F507" i="22"/>
  <c r="L507" i="22"/>
  <c r="L495" i="22"/>
  <c r="L483" i="22"/>
  <c r="B506" i="22"/>
  <c r="B494" i="22"/>
  <c r="B482" i="22"/>
  <c r="X479" i="22"/>
  <c r="X490" i="22"/>
  <c r="H376" i="22"/>
  <c r="H398" i="22"/>
  <c r="H374" i="22"/>
  <c r="H373" i="22"/>
  <c r="H400" i="22"/>
  <c r="H387" i="22"/>
  <c r="H399" i="22"/>
  <c r="H397" i="22"/>
  <c r="H385" i="22"/>
  <c r="H375" i="22"/>
  <c r="H388" i="22"/>
  <c r="H386" i="22"/>
  <c r="G397" i="22"/>
  <c r="G373" i="22"/>
  <c r="G400" i="22"/>
  <c r="G387" i="22"/>
  <c r="G386" i="22"/>
  <c r="G398" i="22"/>
  <c r="G388" i="22"/>
  <c r="G375" i="22"/>
  <c r="G374" i="22"/>
  <c r="G385" i="22"/>
  <c r="G399" i="22"/>
  <c r="G376" i="22"/>
  <c r="M490" i="22"/>
  <c r="D379" i="22"/>
  <c r="D403" i="22"/>
  <c r="D391" i="22"/>
  <c r="H403" i="22"/>
  <c r="H391" i="22"/>
  <c r="H379" i="22"/>
  <c r="Y392" i="22"/>
  <c r="Y380" i="22"/>
  <c r="Y404" i="22"/>
  <c r="V404" i="22"/>
  <c r="V392" i="22"/>
  <c r="V380" i="22"/>
  <c r="J390" i="22"/>
  <c r="J402" i="22"/>
  <c r="J378" i="22"/>
  <c r="F378" i="22"/>
  <c r="F390" i="22"/>
  <c r="F402" i="22"/>
  <c r="M402" i="22"/>
  <c r="M378" i="22"/>
  <c r="M390" i="22"/>
  <c r="S385" i="22"/>
  <c r="S400" i="22"/>
  <c r="S399" i="22"/>
  <c r="S375" i="22"/>
  <c r="S397" i="22"/>
  <c r="S387" i="22"/>
  <c r="S398" i="22"/>
  <c r="S386" i="22"/>
  <c r="S376" i="22"/>
  <c r="S373" i="22"/>
  <c r="S388" i="22"/>
  <c r="S374" i="22"/>
  <c r="I290" i="22"/>
  <c r="I278" i="22"/>
  <c r="I276" i="22"/>
  <c r="I288" i="22"/>
  <c r="I289" i="22"/>
  <c r="I279" i="22"/>
  <c r="I265" i="22"/>
  <c r="I291" i="22"/>
  <c r="I266" i="22"/>
  <c r="I264" i="22"/>
  <c r="I277" i="22"/>
  <c r="I267" i="22"/>
  <c r="S293" i="22"/>
  <c r="S281" i="22"/>
  <c r="S269" i="22"/>
  <c r="P295" i="22"/>
  <c r="P283" i="22"/>
  <c r="P271" i="22"/>
  <c r="V295" i="22"/>
  <c r="V271" i="22"/>
  <c r="V283" i="22"/>
  <c r="T293" i="22"/>
  <c r="T269" i="22"/>
  <c r="T281" i="22"/>
  <c r="T260" i="22"/>
  <c r="AA280" i="22"/>
  <c r="AA292" i="22"/>
  <c r="AA268" i="22"/>
  <c r="I280" i="22"/>
  <c r="I292" i="22"/>
  <c r="I268" i="22"/>
  <c r="E172" i="22"/>
  <c r="E184" i="22"/>
  <c r="E160" i="22"/>
  <c r="T163" i="22"/>
  <c r="T187" i="22"/>
  <c r="T175" i="22"/>
  <c r="K182" i="22"/>
  <c r="K158" i="22"/>
  <c r="K169" i="22"/>
  <c r="K180" i="22"/>
  <c r="K170" i="22"/>
  <c r="K181" i="22"/>
  <c r="K157" i="22"/>
  <c r="K159" i="22"/>
  <c r="K183" i="22"/>
  <c r="K168" i="22"/>
  <c r="K171" i="22"/>
  <c r="K156" i="22"/>
  <c r="F186" i="22"/>
  <c r="F162" i="22"/>
  <c r="F174" i="22"/>
  <c r="T169" i="22"/>
  <c r="T180" i="22"/>
  <c r="T183" i="22"/>
  <c r="T170" i="22"/>
  <c r="T159" i="22"/>
  <c r="T157" i="22"/>
  <c r="T182" i="22"/>
  <c r="T181" i="22"/>
  <c r="T171" i="22"/>
  <c r="T168" i="22"/>
  <c r="T158" i="22"/>
  <c r="T156" i="22"/>
  <c r="T295" i="22"/>
  <c r="C185" i="22"/>
  <c r="C161" i="22"/>
  <c r="C173" i="22"/>
  <c r="B161" i="22"/>
  <c r="B185" i="22"/>
  <c r="B173" i="22"/>
  <c r="F175" i="22"/>
  <c r="F187" i="22"/>
  <c r="F163" i="22"/>
  <c r="E180" i="22"/>
  <c r="E183" i="22"/>
  <c r="E159" i="22"/>
  <c r="E168" i="22"/>
  <c r="E158" i="22"/>
  <c r="E171" i="22"/>
  <c r="E170" i="22"/>
  <c r="E182" i="22"/>
  <c r="E181" i="22"/>
  <c r="E169" i="22"/>
  <c r="E156" i="22"/>
  <c r="E157" i="22"/>
  <c r="Y168" i="22"/>
  <c r="Y171" i="22"/>
  <c r="Y180" i="22"/>
  <c r="Y158" i="22"/>
  <c r="Y183" i="22"/>
  <c r="Y181" i="22"/>
  <c r="Y169" i="22"/>
  <c r="Y170" i="22"/>
  <c r="Y182" i="22"/>
  <c r="Y157" i="22"/>
  <c r="Y159" i="22"/>
  <c r="Y156" i="22"/>
  <c r="K288" i="22"/>
  <c r="K279" i="22"/>
  <c r="K276" i="22"/>
  <c r="K290" i="22"/>
  <c r="K266" i="22"/>
  <c r="K289" i="22"/>
  <c r="K278" i="22"/>
  <c r="K277" i="22"/>
  <c r="K291" i="22"/>
  <c r="K264" i="22"/>
  <c r="K265" i="22"/>
  <c r="K267" i="22"/>
  <c r="H279" i="22"/>
  <c r="H291" i="22"/>
  <c r="H278" i="22"/>
  <c r="H277" i="22"/>
  <c r="H267" i="22"/>
  <c r="H289" i="22"/>
  <c r="H290" i="22"/>
  <c r="H265" i="22"/>
  <c r="H264" i="22"/>
  <c r="H288" i="22"/>
  <c r="H276" i="22"/>
  <c r="H266" i="22"/>
  <c r="F289" i="22"/>
  <c r="F279" i="22"/>
  <c r="F288" i="22"/>
  <c r="F278" i="22"/>
  <c r="F277" i="22"/>
  <c r="F264" i="22"/>
  <c r="F290" i="22"/>
  <c r="F265" i="22"/>
  <c r="F276" i="22"/>
  <c r="F267" i="22"/>
  <c r="F266" i="22"/>
  <c r="F291" i="22"/>
  <c r="Z171" i="22"/>
  <c r="Z182" i="22"/>
  <c r="Z158" i="22"/>
  <c r="Z181" i="22"/>
  <c r="Z180" i="22"/>
  <c r="Z168" i="22"/>
  <c r="Z157" i="22"/>
  <c r="Z183" i="22"/>
  <c r="Z169" i="22"/>
  <c r="Z170" i="22"/>
  <c r="Z159" i="22"/>
  <c r="Z156" i="22"/>
  <c r="U186" i="22"/>
  <c r="U162" i="22"/>
  <c r="U174" i="22"/>
  <c r="E69" i="22"/>
  <c r="E81" i="22"/>
  <c r="E57" i="22"/>
  <c r="K80" i="22"/>
  <c r="K56" i="22"/>
  <c r="K68" i="22"/>
  <c r="X81" i="22"/>
  <c r="X69" i="22"/>
  <c r="X57" i="22"/>
  <c r="W159" i="22"/>
  <c r="K74" i="22"/>
  <c r="K65" i="22"/>
  <c r="K75" i="22"/>
  <c r="K63" i="22"/>
  <c r="K76" i="22"/>
  <c r="K64" i="22"/>
  <c r="K50" i="22"/>
  <c r="K77" i="22"/>
  <c r="K51" i="22"/>
  <c r="K62" i="22"/>
  <c r="K52" i="22"/>
  <c r="K53" i="22"/>
  <c r="E77" i="22"/>
  <c r="E53" i="22"/>
  <c r="E74" i="22"/>
  <c r="E62" i="22"/>
  <c r="E64" i="22"/>
  <c r="E75" i="22"/>
  <c r="E52" i="22"/>
  <c r="E63" i="22"/>
  <c r="E50" i="22"/>
  <c r="E65" i="22"/>
  <c r="E76" i="22"/>
  <c r="E51" i="22"/>
  <c r="AC77" i="22"/>
  <c r="AC63" i="22"/>
  <c r="AC53" i="22"/>
  <c r="AC74" i="22"/>
  <c r="AC62" i="22"/>
  <c r="AC75" i="22"/>
  <c r="AC64" i="22"/>
  <c r="AC50" i="22"/>
  <c r="AC51" i="22"/>
  <c r="AC76" i="22"/>
  <c r="AC65" i="22"/>
  <c r="AC52" i="22"/>
  <c r="AB74" i="22"/>
  <c r="AB77" i="22"/>
  <c r="AB76" i="22"/>
  <c r="AB50" i="22"/>
  <c r="AB75" i="22"/>
  <c r="AB51" i="22"/>
  <c r="AB65" i="22"/>
  <c r="AB62" i="22"/>
  <c r="AB52" i="22"/>
  <c r="AB64" i="22"/>
  <c r="AB53" i="22"/>
  <c r="AB63" i="22"/>
  <c r="U54" i="22"/>
  <c r="U66" i="22"/>
  <c r="U78" i="22"/>
  <c r="W78" i="22"/>
  <c r="W54" i="22"/>
  <c r="W66" i="22"/>
  <c r="W46" i="22"/>
  <c r="V497" i="22"/>
  <c r="V509" i="22"/>
  <c r="V485" i="22"/>
  <c r="V502" i="22"/>
  <c r="V505" i="22"/>
  <c r="V492" i="22"/>
  <c r="V503" i="22"/>
  <c r="V493" i="22"/>
  <c r="V479" i="22"/>
  <c r="V481" i="22"/>
  <c r="V478" i="22"/>
  <c r="V480" i="22"/>
  <c r="V490" i="22"/>
  <c r="V504" i="22"/>
  <c r="V491" i="22"/>
  <c r="B496" i="22"/>
  <c r="B484" i="22"/>
  <c r="B508" i="22"/>
  <c r="M508" i="22"/>
  <c r="M496" i="22"/>
  <c r="M484" i="22"/>
  <c r="N502" i="22"/>
  <c r="N505" i="22"/>
  <c r="N492" i="22"/>
  <c r="N503" i="22"/>
  <c r="N493" i="22"/>
  <c r="N479" i="22"/>
  <c r="N491" i="22"/>
  <c r="N490" i="22"/>
  <c r="N504" i="22"/>
  <c r="N478" i="22"/>
  <c r="N481" i="22"/>
  <c r="N480" i="22"/>
  <c r="H492" i="22"/>
  <c r="H503" i="22"/>
  <c r="H490" i="22"/>
  <c r="H493" i="22"/>
  <c r="H504" i="22"/>
  <c r="H491" i="22"/>
  <c r="H505" i="22"/>
  <c r="H480" i="22"/>
  <c r="H481" i="22"/>
  <c r="H478" i="22"/>
  <c r="H479" i="22"/>
  <c r="H502" i="22"/>
  <c r="AC497" i="22"/>
  <c r="AC485" i="22"/>
  <c r="AC509" i="22"/>
  <c r="I495" i="22"/>
  <c r="I507" i="22"/>
  <c r="I483" i="22"/>
  <c r="T507" i="22"/>
  <c r="T483" i="22"/>
  <c r="T495" i="22"/>
  <c r="X503" i="22"/>
  <c r="T388" i="22"/>
  <c r="T386" i="22"/>
  <c r="T397" i="22"/>
  <c r="T387" i="22"/>
  <c r="T374" i="22"/>
  <c r="T400" i="22"/>
  <c r="T399" i="22"/>
  <c r="T385" i="22"/>
  <c r="T376" i="22"/>
  <c r="T373" i="22"/>
  <c r="T375" i="22"/>
  <c r="T398" i="22"/>
  <c r="R400" i="22"/>
  <c r="R398" i="22"/>
  <c r="R374" i="22"/>
  <c r="R388" i="22"/>
  <c r="R373" i="22"/>
  <c r="R399" i="22"/>
  <c r="R397" i="22"/>
  <c r="R386" i="22"/>
  <c r="R385" i="22"/>
  <c r="R376" i="22"/>
  <c r="R375" i="22"/>
  <c r="R387" i="22"/>
  <c r="O397" i="22"/>
  <c r="O373" i="22"/>
  <c r="O387" i="22"/>
  <c r="O399" i="22"/>
  <c r="O376" i="22"/>
  <c r="O398" i="22"/>
  <c r="O400" i="22"/>
  <c r="O374" i="22"/>
  <c r="O386" i="22"/>
  <c r="O385" i="22"/>
  <c r="O388" i="22"/>
  <c r="O375" i="22"/>
  <c r="M503" i="22"/>
  <c r="T403" i="22"/>
  <c r="T391" i="22"/>
  <c r="T379" i="22"/>
  <c r="R403" i="22"/>
  <c r="R391" i="22"/>
  <c r="R379" i="22"/>
  <c r="K404" i="22"/>
  <c r="K380" i="22"/>
  <c r="K392" i="22"/>
  <c r="Y402" i="22"/>
  <c r="Y378" i="22"/>
  <c r="Y390" i="22"/>
  <c r="P402" i="22"/>
  <c r="P390" i="22"/>
  <c r="P378" i="22"/>
  <c r="M280" i="22"/>
  <c r="M292" i="22"/>
  <c r="M268" i="22"/>
  <c r="V391" i="22"/>
  <c r="V403" i="22"/>
  <c r="V379" i="22"/>
  <c r="AC401" i="22"/>
  <c r="AC389" i="22"/>
  <c r="AC377" i="22"/>
  <c r="D281" i="22"/>
  <c r="D293" i="22"/>
  <c r="D269" i="22"/>
  <c r="Z295" i="22"/>
  <c r="Z271" i="22"/>
  <c r="Z283" i="22"/>
  <c r="G281" i="22"/>
  <c r="G293" i="22"/>
  <c r="G269" i="22"/>
  <c r="AA269" i="22"/>
  <c r="AA293" i="22"/>
  <c r="AA281" i="22"/>
  <c r="AB260" i="22"/>
  <c r="W283" i="22"/>
  <c r="W295" i="22"/>
  <c r="W271" i="22"/>
  <c r="W175" i="22"/>
  <c r="W163" i="22"/>
  <c r="W187" i="22"/>
  <c r="L169" i="22"/>
  <c r="L180" i="22"/>
  <c r="L183" i="22"/>
  <c r="L182" i="22"/>
  <c r="L156" i="22"/>
  <c r="L171" i="22"/>
  <c r="L170" i="22"/>
  <c r="L181" i="22"/>
  <c r="L157" i="22"/>
  <c r="L168" i="22"/>
  <c r="L158" i="22"/>
  <c r="L159" i="22"/>
  <c r="AB175" i="22"/>
  <c r="AB163" i="22"/>
  <c r="AB187" i="22"/>
  <c r="AA185" i="22"/>
  <c r="AA161" i="22"/>
  <c r="AA173" i="22"/>
  <c r="AC293" i="22"/>
  <c r="AC269" i="22"/>
  <c r="AC281" i="22"/>
  <c r="Z185" i="22"/>
  <c r="Z161" i="22"/>
  <c r="Z173" i="22"/>
  <c r="J171" i="22"/>
  <c r="J182" i="22"/>
  <c r="J158" i="22"/>
  <c r="J183" i="22"/>
  <c r="J180" i="22"/>
  <c r="J169" i="22"/>
  <c r="J156" i="22"/>
  <c r="J168" i="22"/>
  <c r="J170" i="22"/>
  <c r="J159" i="22"/>
  <c r="J157" i="22"/>
  <c r="J181" i="22"/>
  <c r="Z174" i="22"/>
  <c r="Z162" i="22"/>
  <c r="Z186" i="22"/>
  <c r="V184" i="22"/>
  <c r="V172" i="22"/>
  <c r="V160" i="22"/>
  <c r="X280" i="22"/>
  <c r="O282" i="22"/>
  <c r="O294" i="22"/>
  <c r="O270" i="22"/>
  <c r="U172" i="22"/>
  <c r="U160" i="22"/>
  <c r="U184" i="22"/>
  <c r="K293" i="22"/>
  <c r="K281" i="22"/>
  <c r="K269" i="22"/>
  <c r="T291" i="22"/>
  <c r="T279" i="22"/>
  <c r="T290" i="22"/>
  <c r="T288" i="22"/>
  <c r="T289" i="22"/>
  <c r="T266" i="22"/>
  <c r="T277" i="22"/>
  <c r="T265" i="22"/>
  <c r="T278" i="22"/>
  <c r="T267" i="22"/>
  <c r="T264" i="22"/>
  <c r="T276" i="22"/>
  <c r="G288" i="22"/>
  <c r="G289" i="22"/>
  <c r="G291" i="22"/>
  <c r="G264" i="22"/>
  <c r="G279" i="22"/>
  <c r="G267" i="22"/>
  <c r="G266" i="22"/>
  <c r="G265" i="22"/>
  <c r="G290" i="22"/>
  <c r="G278" i="22"/>
  <c r="G277" i="22"/>
  <c r="G276" i="22"/>
  <c r="N289" i="22"/>
  <c r="N277" i="22"/>
  <c r="N288" i="22"/>
  <c r="N278" i="22"/>
  <c r="N291" i="22"/>
  <c r="N264" i="22"/>
  <c r="N267" i="22"/>
  <c r="N276" i="22"/>
  <c r="N279" i="22"/>
  <c r="N290" i="22"/>
  <c r="N265" i="22"/>
  <c r="N266" i="22"/>
  <c r="N183" i="22"/>
  <c r="N159" i="22"/>
  <c r="N170" i="22"/>
  <c r="N181" i="22"/>
  <c r="N171" i="22"/>
  <c r="N169" i="22"/>
  <c r="N168" i="22"/>
  <c r="N182" i="22"/>
  <c r="N180" i="22"/>
  <c r="N158" i="22"/>
  <c r="N156" i="22"/>
  <c r="N157" i="22"/>
  <c r="E80" i="22"/>
  <c r="E68" i="22"/>
  <c r="E56" i="22"/>
  <c r="I185" i="22"/>
  <c r="I173" i="22"/>
  <c r="I161" i="22"/>
  <c r="Z80" i="22"/>
  <c r="Z68" i="22"/>
  <c r="Z56" i="22"/>
  <c r="W80" i="22"/>
  <c r="W68" i="22"/>
  <c r="W56" i="22"/>
  <c r="N175" i="22"/>
  <c r="N187" i="22"/>
  <c r="N163" i="22"/>
  <c r="W69" i="22"/>
  <c r="W81" i="22"/>
  <c r="W57" i="22"/>
  <c r="C69" i="22"/>
  <c r="C81" i="22"/>
  <c r="C57" i="22"/>
  <c r="U151" i="22"/>
  <c r="W171" i="22"/>
  <c r="AB66" i="22"/>
  <c r="AB78" i="22"/>
  <c r="AB54" i="22"/>
  <c r="B78" i="22"/>
  <c r="B54" i="22"/>
  <c r="B66" i="22"/>
  <c r="C168" i="22"/>
  <c r="W79" i="22"/>
  <c r="W67" i="22"/>
  <c r="W55" i="22"/>
  <c r="R81" i="22"/>
  <c r="R69" i="22"/>
  <c r="R57" i="22"/>
  <c r="J490" i="22"/>
  <c r="J493" i="22"/>
  <c r="J504" i="22"/>
  <c r="J491" i="22"/>
  <c r="J502" i="22"/>
  <c r="J505" i="22"/>
  <c r="J503" i="22"/>
  <c r="J481" i="22"/>
  <c r="J479" i="22"/>
  <c r="J478" i="22"/>
  <c r="J480" i="22"/>
  <c r="J492" i="22"/>
  <c r="H509" i="22"/>
  <c r="H497" i="22"/>
  <c r="H485" i="22"/>
  <c r="O474" i="22"/>
  <c r="U508" i="22"/>
  <c r="U496" i="22"/>
  <c r="U484" i="22"/>
  <c r="AA493" i="22"/>
  <c r="AA504" i="22"/>
  <c r="AA491" i="22"/>
  <c r="AA502" i="22"/>
  <c r="AA505" i="22"/>
  <c r="AA492" i="22"/>
  <c r="AA490" i="22"/>
  <c r="AA478" i="22"/>
  <c r="AA479" i="22"/>
  <c r="AA480" i="22"/>
  <c r="AA481" i="22"/>
  <c r="AA503" i="22"/>
  <c r="G505" i="22"/>
  <c r="G492" i="22"/>
  <c r="G503" i="22"/>
  <c r="G490" i="22"/>
  <c r="G493" i="22"/>
  <c r="G504" i="22"/>
  <c r="G502" i="22"/>
  <c r="G480" i="22"/>
  <c r="G479" i="22"/>
  <c r="G491" i="22"/>
  <c r="G481" i="22"/>
  <c r="G478" i="22"/>
  <c r="D474" i="22"/>
  <c r="G497" i="22"/>
  <c r="G509" i="22"/>
  <c r="G485" i="22"/>
  <c r="F497" i="22"/>
  <c r="F509" i="22"/>
  <c r="F485" i="22"/>
  <c r="AC507" i="22"/>
  <c r="AC483" i="22"/>
  <c r="AC495" i="22"/>
  <c r="AA507" i="22"/>
  <c r="AA483" i="22"/>
  <c r="AA495" i="22"/>
  <c r="AB507" i="22"/>
  <c r="AB483" i="22"/>
  <c r="AB495" i="22"/>
  <c r="E399" i="22"/>
  <c r="E375" i="22"/>
  <c r="E397" i="22"/>
  <c r="E373" i="22"/>
  <c r="E376" i="22"/>
  <c r="E386" i="22"/>
  <c r="E398" i="22"/>
  <c r="E400" i="22"/>
  <c r="E385" i="22"/>
  <c r="E374" i="22"/>
  <c r="E388" i="22"/>
  <c r="E387" i="22"/>
  <c r="M391" i="22"/>
  <c r="M379" i="22"/>
  <c r="M403" i="22"/>
  <c r="AB388" i="22"/>
  <c r="AB386" i="22"/>
  <c r="AB373" i="22"/>
  <c r="AB400" i="22"/>
  <c r="AB385" i="22"/>
  <c r="AB397" i="22"/>
  <c r="AB399" i="22"/>
  <c r="AB398" i="22"/>
  <c r="AB387" i="22"/>
  <c r="AB374" i="22"/>
  <c r="AB375" i="22"/>
  <c r="AB376" i="22"/>
  <c r="W397" i="22"/>
  <c r="W373" i="22"/>
  <c r="W387" i="22"/>
  <c r="W398" i="22"/>
  <c r="W388" i="22"/>
  <c r="W400" i="22"/>
  <c r="W385" i="22"/>
  <c r="W375" i="22"/>
  <c r="W386" i="22"/>
  <c r="W399" i="22"/>
  <c r="W374" i="22"/>
  <c r="W376" i="22"/>
  <c r="L379" i="22"/>
  <c r="L403" i="22"/>
  <c r="L391" i="22"/>
  <c r="M480" i="22"/>
  <c r="M492" i="22"/>
  <c r="C403" i="22"/>
  <c r="C391" i="22"/>
  <c r="C379" i="22"/>
  <c r="AA403" i="22"/>
  <c r="AA391" i="22"/>
  <c r="AA379" i="22"/>
  <c r="AA380" i="22"/>
  <c r="AA404" i="22"/>
  <c r="AA392" i="22"/>
  <c r="N378" i="22"/>
  <c r="N402" i="22"/>
  <c r="N390" i="22"/>
  <c r="Z390" i="22"/>
  <c r="Z402" i="22"/>
  <c r="Z378" i="22"/>
  <c r="E292" i="22"/>
  <c r="E268" i="22"/>
  <c r="E280" i="22"/>
  <c r="E401" i="22"/>
  <c r="E389" i="22"/>
  <c r="E377" i="22"/>
  <c r="Q377" i="22"/>
  <c r="Q401" i="22"/>
  <c r="Q389" i="22"/>
  <c r="Z277" i="22"/>
  <c r="Z289" i="22"/>
  <c r="Z290" i="22"/>
  <c r="Z291" i="22"/>
  <c r="Z265" i="22"/>
  <c r="Z288" i="22"/>
  <c r="Z278" i="22"/>
  <c r="Z276" i="22"/>
  <c r="Z279" i="22"/>
  <c r="Z267" i="22"/>
  <c r="Z264" i="22"/>
  <c r="Z266" i="22"/>
  <c r="S280" i="22"/>
  <c r="S292" i="22"/>
  <c r="S268" i="22"/>
  <c r="E295" i="22"/>
  <c r="E271" i="22"/>
  <c r="E283" i="22"/>
  <c r="O295" i="22"/>
  <c r="O283" i="22"/>
  <c r="O271" i="22"/>
  <c r="O281" i="22"/>
  <c r="O293" i="22"/>
  <c r="O269" i="22"/>
  <c r="X389" i="22"/>
  <c r="AA295" i="22"/>
  <c r="AA271" i="22"/>
  <c r="AA283" i="22"/>
  <c r="M293" i="22"/>
  <c r="M281" i="22"/>
  <c r="M269" i="22"/>
  <c r="C260" i="22"/>
  <c r="C295" i="22"/>
  <c r="C271" i="22"/>
  <c r="C283" i="22"/>
  <c r="X181" i="22"/>
  <c r="X168" i="22"/>
  <c r="X183" i="22"/>
  <c r="X171" i="22"/>
  <c r="X157" i="22"/>
  <c r="X182" i="22"/>
  <c r="X158" i="22"/>
  <c r="X159" i="22"/>
  <c r="X156" i="22"/>
  <c r="X170" i="22"/>
  <c r="X169" i="22"/>
  <c r="X180" i="22"/>
  <c r="K175" i="22"/>
  <c r="K163" i="22"/>
  <c r="K187" i="22"/>
  <c r="B171" i="22"/>
  <c r="B182" i="22"/>
  <c r="B158" i="22"/>
  <c r="B183" i="22"/>
  <c r="B157" i="22"/>
  <c r="B156" i="22"/>
  <c r="B168" i="22"/>
  <c r="B169" i="22"/>
  <c r="B181" i="22"/>
  <c r="B170" i="22"/>
  <c r="B159" i="22"/>
  <c r="B180" i="22"/>
  <c r="Q173" i="22"/>
  <c r="Q185" i="22"/>
  <c r="Q161" i="22"/>
  <c r="P173" i="22"/>
  <c r="P185" i="22"/>
  <c r="P161" i="22"/>
  <c r="J184" i="22"/>
  <c r="J172" i="22"/>
  <c r="J160" i="22"/>
  <c r="F185" i="22"/>
  <c r="F173" i="22"/>
  <c r="F161" i="22"/>
  <c r="AC294" i="22"/>
  <c r="AC282" i="22"/>
  <c r="AC270" i="22"/>
  <c r="V270" i="22"/>
  <c r="Y281" i="22"/>
  <c r="Y293" i="22"/>
  <c r="Y269" i="22"/>
  <c r="L291" i="22"/>
  <c r="L279" i="22"/>
  <c r="L277" i="22"/>
  <c r="L289" i="22"/>
  <c r="L290" i="22"/>
  <c r="L266" i="22"/>
  <c r="L278" i="22"/>
  <c r="L267" i="22"/>
  <c r="L288" i="22"/>
  <c r="L276" i="22"/>
  <c r="L265" i="22"/>
  <c r="L264" i="22"/>
  <c r="V289" i="22"/>
  <c r="V277" i="22"/>
  <c r="V279" i="22"/>
  <c r="V290" i="22"/>
  <c r="V264" i="22"/>
  <c r="V291" i="22"/>
  <c r="V267" i="22"/>
  <c r="V266" i="22"/>
  <c r="V265" i="22"/>
  <c r="V276" i="22"/>
  <c r="V288" i="22"/>
  <c r="V278" i="22"/>
  <c r="D169" i="22"/>
  <c r="D180" i="22"/>
  <c r="D181" i="22"/>
  <c r="D171" i="22"/>
  <c r="D156" i="22"/>
  <c r="D159" i="22"/>
  <c r="D183" i="22"/>
  <c r="D170" i="22"/>
  <c r="D158" i="22"/>
  <c r="D157" i="22"/>
  <c r="D182" i="22"/>
  <c r="D168" i="22"/>
  <c r="M80" i="22"/>
  <c r="M68" i="22"/>
  <c r="M56" i="22"/>
  <c r="R80" i="22"/>
  <c r="R68" i="22"/>
  <c r="R56" i="22"/>
  <c r="AA56" i="22"/>
  <c r="AA68" i="22"/>
  <c r="AA80" i="22"/>
  <c r="O80" i="22"/>
  <c r="O68" i="22"/>
  <c r="O56" i="22"/>
  <c r="M69" i="22"/>
  <c r="M81" i="22"/>
  <c r="M57" i="22"/>
  <c r="K81" i="22"/>
  <c r="K57" i="22"/>
  <c r="K69" i="22"/>
  <c r="W168" i="22"/>
  <c r="W169" i="22"/>
  <c r="B76" i="22"/>
  <c r="B52" i="22"/>
  <c r="B77" i="22"/>
  <c r="B53" i="22"/>
  <c r="B65" i="22"/>
  <c r="B51" i="22"/>
  <c r="B64" i="22"/>
  <c r="B75" i="22"/>
  <c r="B62" i="22"/>
  <c r="B74" i="22"/>
  <c r="B63" i="22"/>
  <c r="B50" i="22"/>
  <c r="Z76" i="22"/>
  <c r="Z52" i="22"/>
  <c r="Z77" i="22"/>
  <c r="Z53" i="22"/>
  <c r="Z65" i="22"/>
  <c r="Z75" i="22"/>
  <c r="Z62" i="22"/>
  <c r="Z64" i="22"/>
  <c r="Z74" i="22"/>
  <c r="Z63" i="22"/>
  <c r="Z50" i="22"/>
  <c r="Z51" i="22"/>
  <c r="S74" i="22"/>
  <c r="S77" i="22"/>
  <c r="S65" i="22"/>
  <c r="S63" i="22"/>
  <c r="S64" i="22"/>
  <c r="S53" i="22"/>
  <c r="S76" i="22"/>
  <c r="S50" i="22"/>
  <c r="S75" i="22"/>
  <c r="S51" i="22"/>
  <c r="S62" i="22"/>
  <c r="S52" i="22"/>
  <c r="O75" i="22"/>
  <c r="O51" i="22"/>
  <c r="O77" i="22"/>
  <c r="O74" i="22"/>
  <c r="O52" i="22"/>
  <c r="O65" i="22"/>
  <c r="O64" i="22"/>
  <c r="O62" i="22"/>
  <c r="O76" i="22"/>
  <c r="O63" i="22"/>
  <c r="O53" i="22"/>
  <c r="O50" i="22"/>
  <c r="J78" i="22"/>
  <c r="J66" i="22"/>
  <c r="J54" i="22"/>
  <c r="C171" i="22"/>
  <c r="C180" i="22"/>
  <c r="C79" i="22"/>
  <c r="C55" i="22"/>
  <c r="C67" i="22"/>
  <c r="AA79" i="22"/>
  <c r="AA55" i="22"/>
  <c r="AA67" i="22"/>
  <c r="P509" i="22"/>
  <c r="P485" i="22"/>
  <c r="P497" i="22"/>
  <c r="H508" i="22"/>
  <c r="H484" i="22"/>
  <c r="H496" i="22"/>
  <c r="AC508" i="22"/>
  <c r="AC496" i="22"/>
  <c r="AC484" i="22"/>
  <c r="E491" i="22"/>
  <c r="E502" i="22"/>
  <c r="E505" i="22"/>
  <c r="E492" i="22"/>
  <c r="E503" i="22"/>
  <c r="E490" i="22"/>
  <c r="E504" i="22"/>
  <c r="E479" i="22"/>
  <c r="E481" i="22"/>
  <c r="E493" i="22"/>
  <c r="E478" i="22"/>
  <c r="E480" i="22"/>
  <c r="Y503" i="22"/>
  <c r="Y490" i="22"/>
  <c r="Y493" i="22"/>
  <c r="Y504" i="22"/>
  <c r="Y502" i="22"/>
  <c r="Y480" i="22"/>
  <c r="Y478" i="22"/>
  <c r="Y492" i="22"/>
  <c r="Y505" i="22"/>
  <c r="Y479" i="22"/>
  <c r="Y491" i="22"/>
  <c r="Y481" i="22"/>
  <c r="Y496" i="22"/>
  <c r="Y508" i="22"/>
  <c r="Y484" i="22"/>
  <c r="U494" i="22"/>
  <c r="U506" i="22"/>
  <c r="U482" i="22"/>
  <c r="F494" i="22"/>
  <c r="F506" i="22"/>
  <c r="F482" i="22"/>
  <c r="C507" i="22"/>
  <c r="C483" i="22"/>
  <c r="C495" i="22"/>
  <c r="V495" i="22"/>
  <c r="V507" i="22"/>
  <c r="V483" i="22"/>
  <c r="B507" i="22"/>
  <c r="B483" i="22"/>
  <c r="B495" i="22"/>
  <c r="W497" i="22"/>
  <c r="W509" i="22"/>
  <c r="W485" i="22"/>
  <c r="Q400" i="22"/>
  <c r="Q387" i="22"/>
  <c r="Q385" i="22"/>
  <c r="Q386" i="22"/>
  <c r="Q376" i="22"/>
  <c r="Q373" i="22"/>
  <c r="Q399" i="22"/>
  <c r="Q398" i="22"/>
  <c r="Q397" i="22"/>
  <c r="Q388" i="22"/>
  <c r="Q375" i="22"/>
  <c r="Q374" i="22"/>
  <c r="K400" i="22"/>
  <c r="K385" i="22"/>
  <c r="K399" i="22"/>
  <c r="K375" i="22"/>
  <c r="K374" i="22"/>
  <c r="K388" i="22"/>
  <c r="K386" i="22"/>
  <c r="K376" i="22"/>
  <c r="K387" i="22"/>
  <c r="K398" i="22"/>
  <c r="K373" i="22"/>
  <c r="K397" i="22"/>
  <c r="P376" i="22"/>
  <c r="P398" i="22"/>
  <c r="P374" i="22"/>
  <c r="P399" i="22"/>
  <c r="P386" i="22"/>
  <c r="P400" i="22"/>
  <c r="P397" i="22"/>
  <c r="P375" i="22"/>
  <c r="P385" i="22"/>
  <c r="P373" i="22"/>
  <c r="P387" i="22"/>
  <c r="P388" i="22"/>
  <c r="M479" i="22"/>
  <c r="M505" i="22"/>
  <c r="M399" i="22"/>
  <c r="M375" i="22"/>
  <c r="M397" i="22"/>
  <c r="M373" i="22"/>
  <c r="M398" i="22"/>
  <c r="M388" i="22"/>
  <c r="M385" i="22"/>
  <c r="M374" i="22"/>
  <c r="M386" i="22"/>
  <c r="M400" i="22"/>
  <c r="M387" i="22"/>
  <c r="M376" i="22"/>
  <c r="J403" i="22"/>
  <c r="J391" i="22"/>
  <c r="J379" i="22"/>
  <c r="C392" i="22"/>
  <c r="C380" i="22"/>
  <c r="C404" i="22"/>
  <c r="Z380" i="22"/>
  <c r="Z404" i="22"/>
  <c r="Z392" i="22"/>
  <c r="AA402" i="22"/>
  <c r="AA378" i="22"/>
  <c r="AA390" i="22"/>
  <c r="D378" i="22"/>
  <c r="D402" i="22"/>
  <c r="D390" i="22"/>
  <c r="Y400" i="22"/>
  <c r="Y387" i="22"/>
  <c r="Y385" i="22"/>
  <c r="Y399" i="22"/>
  <c r="Y388" i="22"/>
  <c r="Y386" i="22"/>
  <c r="Y376" i="22"/>
  <c r="Y398" i="22"/>
  <c r="Y375" i="22"/>
  <c r="Y397" i="22"/>
  <c r="Y374" i="22"/>
  <c r="Y373" i="22"/>
  <c r="V401" i="22"/>
  <c r="V377" i="22"/>
  <c r="V389" i="22"/>
  <c r="R289" i="22"/>
  <c r="R291" i="22"/>
  <c r="R265" i="22"/>
  <c r="R279" i="22"/>
  <c r="R276" i="22"/>
  <c r="R277" i="22"/>
  <c r="R290" i="22"/>
  <c r="R278" i="22"/>
  <c r="R266" i="22"/>
  <c r="R267" i="22"/>
  <c r="R264" i="22"/>
  <c r="R288" i="22"/>
  <c r="S377" i="22"/>
  <c r="S401" i="22"/>
  <c r="S389" i="22"/>
  <c r="Y377" i="22"/>
  <c r="Y401" i="22"/>
  <c r="Y389" i="22"/>
  <c r="T280" i="22"/>
  <c r="T268" i="22"/>
  <c r="T292" i="22"/>
  <c r="F292" i="22"/>
  <c r="F268" i="22"/>
  <c r="F280" i="22"/>
  <c r="M283" i="22"/>
  <c r="M271" i="22"/>
  <c r="M295" i="22"/>
  <c r="Q281" i="22"/>
  <c r="Q269" i="22"/>
  <c r="Q293" i="22"/>
  <c r="W281" i="22"/>
  <c r="W293" i="22"/>
  <c r="W269" i="22"/>
  <c r="K271" i="22"/>
  <c r="K295" i="22"/>
  <c r="K283" i="22"/>
  <c r="Z293" i="22"/>
  <c r="Z281" i="22"/>
  <c r="Z269" i="22"/>
  <c r="O260" i="22"/>
  <c r="C280" i="22"/>
  <c r="C292" i="22"/>
  <c r="C268" i="22"/>
  <c r="Q168" i="22"/>
  <c r="Q171" i="22"/>
  <c r="Q182" i="22"/>
  <c r="Q159" i="22"/>
  <c r="Q170" i="22"/>
  <c r="Q157" i="22"/>
  <c r="Q183" i="22"/>
  <c r="Q169" i="22"/>
  <c r="Q158" i="22"/>
  <c r="Q180" i="22"/>
  <c r="Q156" i="22"/>
  <c r="Q181" i="22"/>
  <c r="U293" i="22"/>
  <c r="U269" i="22"/>
  <c r="U281" i="22"/>
  <c r="P181" i="22"/>
  <c r="P168" i="22"/>
  <c r="P157" i="22"/>
  <c r="P171" i="22"/>
  <c r="P159" i="22"/>
  <c r="P180" i="22"/>
  <c r="P169" i="22"/>
  <c r="P158" i="22"/>
  <c r="P183" i="22"/>
  <c r="P170" i="22"/>
  <c r="P156" i="22"/>
  <c r="P182" i="22"/>
  <c r="AB185" i="22"/>
  <c r="AB161" i="22"/>
  <c r="AB173" i="22"/>
  <c r="M175" i="22"/>
  <c r="M163" i="22"/>
  <c r="M187" i="22"/>
  <c r="E185" i="22"/>
  <c r="E173" i="22"/>
  <c r="E161" i="22"/>
  <c r="D185" i="22"/>
  <c r="D161" i="22"/>
  <c r="D173" i="22"/>
  <c r="AC180" i="22"/>
  <c r="AC183" i="22"/>
  <c r="AC159" i="22"/>
  <c r="AC182" i="22"/>
  <c r="AC156" i="22"/>
  <c r="AC171" i="22"/>
  <c r="AC157" i="22"/>
  <c r="AC170" i="22"/>
  <c r="AC181" i="22"/>
  <c r="AC169" i="22"/>
  <c r="AC158" i="22"/>
  <c r="AC168" i="22"/>
  <c r="N161" i="22"/>
  <c r="N173" i="22"/>
  <c r="N185" i="22"/>
  <c r="H270" i="22"/>
  <c r="H294" i="22"/>
  <c r="H282" i="22"/>
  <c r="AB169" i="22"/>
  <c r="AB180" i="22"/>
  <c r="AB181" i="22"/>
  <c r="AB159" i="22"/>
  <c r="AB168" i="22"/>
  <c r="AB156" i="22"/>
  <c r="AB170" i="22"/>
  <c r="AB182" i="22"/>
  <c r="AB158" i="22"/>
  <c r="AB171" i="22"/>
  <c r="AB183" i="22"/>
  <c r="AB157" i="22"/>
  <c r="P279" i="22"/>
  <c r="P291" i="22"/>
  <c r="P278" i="22"/>
  <c r="P267" i="22"/>
  <c r="P288" i="22"/>
  <c r="P290" i="22"/>
  <c r="P289" i="22"/>
  <c r="P276" i="22"/>
  <c r="P265" i="22"/>
  <c r="P277" i="22"/>
  <c r="P266" i="22"/>
  <c r="P264" i="22"/>
  <c r="U185" i="22"/>
  <c r="U161" i="22"/>
  <c r="U173" i="22"/>
  <c r="V282" i="22"/>
  <c r="AB291" i="22"/>
  <c r="AB279" i="22"/>
  <c r="AB289" i="22"/>
  <c r="AB288" i="22"/>
  <c r="AB266" i="22"/>
  <c r="AB265" i="22"/>
  <c r="AB267" i="22"/>
  <c r="AB278" i="22"/>
  <c r="AB290" i="22"/>
  <c r="AB277" i="22"/>
  <c r="AB276" i="22"/>
  <c r="AB264" i="22"/>
  <c r="W288" i="22"/>
  <c r="W291" i="22"/>
  <c r="W289" i="22"/>
  <c r="W290" i="22"/>
  <c r="W264" i="22"/>
  <c r="W277" i="22"/>
  <c r="W267" i="22"/>
  <c r="W266" i="22"/>
  <c r="W279" i="22"/>
  <c r="W276" i="22"/>
  <c r="W278" i="22"/>
  <c r="W265" i="22"/>
  <c r="AA288" i="22"/>
  <c r="AA279" i="22"/>
  <c r="AA277" i="22"/>
  <c r="AA278" i="22"/>
  <c r="AA276" i="22"/>
  <c r="AA264" i="22"/>
  <c r="AA290" i="22"/>
  <c r="AA291" i="22"/>
  <c r="AA266" i="22"/>
  <c r="AA289" i="22"/>
  <c r="AA267" i="22"/>
  <c r="AA265" i="22"/>
  <c r="T185" i="22"/>
  <c r="T161" i="22"/>
  <c r="T173" i="22"/>
  <c r="S56" i="22"/>
  <c r="S80" i="22"/>
  <c r="S68" i="22"/>
  <c r="U80" i="22"/>
  <c r="U68" i="22"/>
  <c r="U56" i="22"/>
  <c r="G68" i="22"/>
  <c r="G56" i="22"/>
  <c r="G80" i="22"/>
  <c r="AC173" i="22"/>
  <c r="AC161" i="22"/>
  <c r="AC185" i="22"/>
  <c r="Q80" i="22"/>
  <c r="Q68" i="22"/>
  <c r="Q56" i="22"/>
  <c r="D68" i="22"/>
  <c r="D80" i="22"/>
  <c r="D56" i="22"/>
  <c r="N186" i="22"/>
  <c r="N162" i="22"/>
  <c r="N174" i="22"/>
  <c r="B68" i="22"/>
  <c r="B80" i="22"/>
  <c r="B56" i="22"/>
  <c r="B69" i="22"/>
  <c r="B81" i="22"/>
  <c r="B57" i="22"/>
  <c r="S81" i="22"/>
  <c r="S69" i="22"/>
  <c r="S57" i="22"/>
  <c r="W180" i="22"/>
  <c r="M77" i="22"/>
  <c r="M75" i="22"/>
  <c r="M53" i="22"/>
  <c r="M76" i="22"/>
  <c r="M62" i="22"/>
  <c r="M65" i="22"/>
  <c r="M51" i="22"/>
  <c r="M74" i="22"/>
  <c r="M64" i="22"/>
  <c r="M52" i="22"/>
  <c r="M63" i="22"/>
  <c r="M50" i="22"/>
  <c r="J76" i="22"/>
  <c r="J74" i="22"/>
  <c r="J52" i="22"/>
  <c r="J75" i="22"/>
  <c r="J53" i="22"/>
  <c r="J63" i="22"/>
  <c r="J50" i="22"/>
  <c r="J77" i="22"/>
  <c r="J65" i="22"/>
  <c r="J51" i="22"/>
  <c r="J64" i="22"/>
  <c r="J62" i="22"/>
  <c r="W75" i="22"/>
  <c r="W51" i="22"/>
  <c r="W76" i="22"/>
  <c r="W52" i="22"/>
  <c r="W65" i="22"/>
  <c r="W62" i="22"/>
  <c r="W64" i="22"/>
  <c r="W77" i="22"/>
  <c r="W74" i="22"/>
  <c r="W53" i="22"/>
  <c r="W63" i="22"/>
  <c r="W50" i="22"/>
  <c r="S78" i="22"/>
  <c r="S66" i="22"/>
  <c r="S54" i="22"/>
  <c r="C78" i="22"/>
  <c r="C66" i="22"/>
  <c r="C54" i="22"/>
  <c r="R78" i="22"/>
  <c r="R66" i="22"/>
  <c r="R54" i="22"/>
  <c r="C170" i="22"/>
  <c r="B79" i="22"/>
  <c r="B55" i="22"/>
  <c r="B67" i="22"/>
  <c r="I81" i="22"/>
  <c r="I57" i="22"/>
  <c r="I69" i="22"/>
  <c r="S473" i="22"/>
  <c r="X509" i="22"/>
  <c r="X497" i="22"/>
  <c r="X485" i="22"/>
  <c r="R496" i="22"/>
  <c r="R484" i="22"/>
  <c r="R508" i="22"/>
  <c r="O505" i="22"/>
  <c r="O492" i="22"/>
  <c r="O503" i="22"/>
  <c r="O490" i="22"/>
  <c r="O493" i="22"/>
  <c r="O504" i="22"/>
  <c r="O480" i="22"/>
  <c r="O491" i="22"/>
  <c r="O479" i="22"/>
  <c r="O478" i="22"/>
  <c r="O502" i="22"/>
  <c r="O481" i="22"/>
  <c r="I503" i="22"/>
  <c r="I490" i="22"/>
  <c r="I493" i="22"/>
  <c r="I504" i="22"/>
  <c r="I502" i="22"/>
  <c r="I480" i="22"/>
  <c r="I492" i="22"/>
  <c r="I478" i="22"/>
  <c r="I491" i="22"/>
  <c r="I481" i="22"/>
  <c r="I479" i="22"/>
  <c r="I505" i="22"/>
  <c r="AA496" i="22"/>
  <c r="AA508" i="22"/>
  <c r="AA484" i="22"/>
  <c r="T494" i="22"/>
  <c r="T482" i="22"/>
  <c r="T506" i="22"/>
  <c r="AA494" i="22"/>
  <c r="AA482" i="22"/>
  <c r="AA506" i="22"/>
  <c r="K494" i="22"/>
  <c r="K506" i="22"/>
  <c r="K482" i="22"/>
  <c r="N495" i="22"/>
  <c r="N507" i="22"/>
  <c r="N483" i="22"/>
  <c r="Q495" i="22"/>
  <c r="Q507" i="22"/>
  <c r="Q483" i="22"/>
  <c r="I485" i="22"/>
  <c r="C385" i="22"/>
  <c r="C399" i="22"/>
  <c r="C375" i="22"/>
  <c r="C398" i="22"/>
  <c r="C400" i="22"/>
  <c r="C397" i="22"/>
  <c r="C387" i="22"/>
  <c r="C388" i="22"/>
  <c r="C386" i="22"/>
  <c r="C374" i="22"/>
  <c r="C376" i="22"/>
  <c r="C373" i="22"/>
  <c r="U400" i="22"/>
  <c r="U399" i="22"/>
  <c r="U375" i="22"/>
  <c r="U397" i="22"/>
  <c r="U373" i="22"/>
  <c r="U374" i="22"/>
  <c r="U398" i="22"/>
  <c r="U388" i="22"/>
  <c r="U387" i="22"/>
  <c r="U385" i="22"/>
  <c r="U376" i="22"/>
  <c r="U386" i="22"/>
  <c r="I400" i="22"/>
  <c r="I387" i="22"/>
  <c r="I385" i="22"/>
  <c r="I397" i="22"/>
  <c r="I374" i="22"/>
  <c r="I388" i="22"/>
  <c r="I386" i="22"/>
  <c r="I373" i="22"/>
  <c r="I398" i="22"/>
  <c r="I399" i="22"/>
  <c r="I376" i="22"/>
  <c r="I375" i="22"/>
  <c r="U391" i="22"/>
  <c r="U403" i="22"/>
  <c r="U379" i="22"/>
  <c r="Q379" i="22"/>
  <c r="Q391" i="22"/>
  <c r="Q403" i="22"/>
  <c r="M404" i="22"/>
  <c r="M392" i="22"/>
  <c r="M380" i="22"/>
  <c r="C402" i="22"/>
  <c r="C378" i="22"/>
  <c r="C390" i="22"/>
  <c r="B390" i="22"/>
  <c r="B402" i="22"/>
  <c r="B378" i="22"/>
  <c r="S403" i="22"/>
  <c r="S391" i="22"/>
  <c r="S379" i="22"/>
  <c r="J289" i="22"/>
  <c r="J290" i="22"/>
  <c r="J265" i="22"/>
  <c r="J276" i="22"/>
  <c r="J278" i="22"/>
  <c r="J288" i="22"/>
  <c r="J279" i="22"/>
  <c r="J277" i="22"/>
  <c r="J291" i="22"/>
  <c r="J267" i="22"/>
  <c r="J266" i="22"/>
  <c r="J264" i="22"/>
  <c r="H377" i="22"/>
  <c r="H401" i="22"/>
  <c r="H389" i="22"/>
  <c r="B401" i="22"/>
  <c r="B389" i="22"/>
  <c r="B377" i="22"/>
  <c r="L280" i="22"/>
  <c r="L292" i="22"/>
  <c r="L268" i="22"/>
  <c r="U295" i="22"/>
  <c r="U283" i="22"/>
  <c r="U271" i="22"/>
  <c r="C293" i="22"/>
  <c r="C281" i="22"/>
  <c r="C269" i="22"/>
  <c r="F281" i="22"/>
  <c r="F293" i="22"/>
  <c r="F269" i="22"/>
  <c r="H293" i="22"/>
  <c r="H281" i="22"/>
  <c r="H269" i="22"/>
  <c r="N281" i="22"/>
  <c r="N293" i="22"/>
  <c r="N269" i="22"/>
  <c r="L281" i="22"/>
  <c r="L293" i="22"/>
  <c r="L269" i="22"/>
  <c r="S295" i="22"/>
  <c r="S283" i="22"/>
  <c r="S271" i="22"/>
  <c r="I168" i="22"/>
  <c r="I171" i="22"/>
  <c r="I182" i="22"/>
  <c r="I183" i="22"/>
  <c r="I170" i="22"/>
  <c r="I159" i="22"/>
  <c r="I181" i="22"/>
  <c r="I158" i="22"/>
  <c r="I157" i="22"/>
  <c r="I169" i="22"/>
  <c r="I156" i="22"/>
  <c r="I180" i="22"/>
  <c r="E269" i="22"/>
  <c r="E281" i="22"/>
  <c r="E293" i="22"/>
  <c r="H181" i="22"/>
  <c r="H168" i="22"/>
  <c r="H169" i="22"/>
  <c r="H159" i="22"/>
  <c r="H157" i="22"/>
  <c r="H180" i="22"/>
  <c r="H158" i="22"/>
  <c r="H182" i="22"/>
  <c r="H183" i="22"/>
  <c r="H170" i="22"/>
  <c r="H171" i="22"/>
  <c r="H156" i="22"/>
  <c r="R185" i="22"/>
  <c r="R161" i="22"/>
  <c r="R173" i="22"/>
  <c r="U175" i="22"/>
  <c r="U187" i="22"/>
  <c r="U163" i="22"/>
  <c r="X184" i="22"/>
  <c r="X160" i="22"/>
  <c r="X172" i="22"/>
  <c r="S187" i="22"/>
  <c r="S175" i="22"/>
  <c r="S163" i="22"/>
  <c r="R187" i="22"/>
  <c r="R163" i="22"/>
  <c r="R175" i="22"/>
  <c r="S182" i="22"/>
  <c r="S158" i="22"/>
  <c r="S169" i="22"/>
  <c r="S168" i="22"/>
  <c r="S183" i="22"/>
  <c r="S156" i="22"/>
  <c r="S180" i="22"/>
  <c r="S171" i="22"/>
  <c r="S170" i="22"/>
  <c r="S157" i="22"/>
  <c r="S159" i="22"/>
  <c r="S181" i="22"/>
  <c r="V173" i="22"/>
  <c r="V161" i="22"/>
  <c r="V185" i="22"/>
  <c r="X294" i="22"/>
  <c r="X270" i="22"/>
  <c r="X282" i="22"/>
  <c r="P294" i="22"/>
  <c r="P282" i="22"/>
  <c r="P270" i="22"/>
  <c r="AA163" i="22"/>
  <c r="AA187" i="22"/>
  <c r="AA175" i="22"/>
  <c r="R171" i="22"/>
  <c r="R182" i="22"/>
  <c r="R158" i="22"/>
  <c r="R181" i="22"/>
  <c r="R169" i="22"/>
  <c r="R159" i="22"/>
  <c r="R170" i="22"/>
  <c r="R157" i="22"/>
  <c r="R183" i="22"/>
  <c r="R156" i="22"/>
  <c r="R168" i="22"/>
  <c r="R180" i="22"/>
  <c r="K185" i="22"/>
  <c r="K161" i="22"/>
  <c r="K173" i="22"/>
  <c r="E278" i="22"/>
  <c r="E290" i="22"/>
  <c r="E276" i="22"/>
  <c r="E291" i="22"/>
  <c r="E266" i="22"/>
  <c r="E288" i="22"/>
  <c r="E277" i="22"/>
  <c r="E279" i="22"/>
  <c r="E264" i="22"/>
  <c r="E267" i="22"/>
  <c r="E265" i="22"/>
  <c r="E289" i="22"/>
  <c r="J173" i="22"/>
  <c r="J161" i="22"/>
  <c r="J185" i="22"/>
  <c r="I80" i="22"/>
  <c r="I68" i="22"/>
  <c r="I56" i="22"/>
  <c r="AC80" i="22"/>
  <c r="AC56" i="22"/>
  <c r="AC68" i="22"/>
  <c r="M180" i="22"/>
  <c r="M183" i="22"/>
  <c r="M159" i="22"/>
  <c r="M156" i="22"/>
  <c r="M158" i="22"/>
  <c r="M171" i="22"/>
  <c r="M168" i="22"/>
  <c r="M181" i="22"/>
  <c r="M157" i="22"/>
  <c r="M182" i="22"/>
  <c r="M169" i="22"/>
  <c r="M170" i="22"/>
  <c r="F80" i="22"/>
  <c r="F56" i="22"/>
  <c r="F68" i="22"/>
  <c r="T186" i="22"/>
  <c r="T162" i="22"/>
  <c r="T174" i="22"/>
  <c r="AA81" i="22"/>
  <c r="AA69" i="22"/>
  <c r="AA57" i="22"/>
  <c r="W157" i="22"/>
  <c r="X64" i="22"/>
  <c r="X76" i="22"/>
  <c r="X62" i="22"/>
  <c r="X77" i="22"/>
  <c r="X63" i="22"/>
  <c r="X51" i="22"/>
  <c r="X65" i="22"/>
  <c r="X75" i="22"/>
  <c r="X52" i="22"/>
  <c r="X74" i="22"/>
  <c r="X53" i="22"/>
  <c r="X50" i="22"/>
  <c r="U77" i="22"/>
  <c r="U63" i="22"/>
  <c r="U75" i="22"/>
  <c r="U53" i="22"/>
  <c r="U76" i="22"/>
  <c r="U62" i="22"/>
  <c r="U50" i="22"/>
  <c r="U51" i="22"/>
  <c r="U65" i="22"/>
  <c r="U52" i="22"/>
  <c r="U64" i="22"/>
  <c r="U74" i="22"/>
  <c r="E78" i="22"/>
  <c r="E54" i="22"/>
  <c r="E66" i="22"/>
  <c r="AC78" i="22"/>
  <c r="AC54" i="22"/>
  <c r="AC66" i="22"/>
  <c r="M54" i="22"/>
  <c r="M78" i="22"/>
  <c r="M66" i="22"/>
  <c r="Z78" i="22"/>
  <c r="Z54" i="22"/>
  <c r="Z66" i="22"/>
  <c r="J79" i="22"/>
  <c r="J55" i="22"/>
  <c r="J67" i="22"/>
  <c r="Y81" i="22"/>
  <c r="Y57" i="22"/>
  <c r="Y69" i="22"/>
  <c r="J271" i="21"/>
  <c r="R295" i="21"/>
  <c r="R283" i="21"/>
  <c r="M390" i="21"/>
  <c r="M265" i="21"/>
  <c r="M264" i="21"/>
  <c r="I485" i="21"/>
  <c r="I509" i="21"/>
  <c r="I497" i="21"/>
  <c r="H497" i="21"/>
  <c r="H509" i="21"/>
  <c r="H485" i="21"/>
  <c r="AC503" i="21"/>
  <c r="AC504" i="21"/>
  <c r="AC479" i="21"/>
  <c r="AC490" i="21"/>
  <c r="AC491" i="21"/>
  <c r="AC493" i="21"/>
  <c r="AC481" i="21"/>
  <c r="AC480" i="21"/>
  <c r="AC478" i="21"/>
  <c r="AC505" i="21"/>
  <c r="AC502" i="21"/>
  <c r="AC492" i="21"/>
  <c r="G493" i="21"/>
  <c r="G502" i="21"/>
  <c r="G503" i="21"/>
  <c r="G504" i="21"/>
  <c r="G481" i="21"/>
  <c r="G505" i="21"/>
  <c r="G492" i="21"/>
  <c r="G480" i="21"/>
  <c r="G479" i="21"/>
  <c r="G490" i="21"/>
  <c r="G478" i="21"/>
  <c r="G491" i="21"/>
  <c r="K505" i="21"/>
  <c r="K490" i="21"/>
  <c r="K481" i="21"/>
  <c r="K491" i="21"/>
  <c r="K479" i="21"/>
  <c r="K492" i="21"/>
  <c r="K493" i="21"/>
  <c r="K503" i="21"/>
  <c r="K478" i="21"/>
  <c r="K504" i="21"/>
  <c r="K480" i="21"/>
  <c r="K502" i="21"/>
  <c r="O402" i="21"/>
  <c r="O378" i="21"/>
  <c r="O390" i="21"/>
  <c r="T392" i="21"/>
  <c r="T404" i="21"/>
  <c r="T380" i="21"/>
  <c r="U401" i="21"/>
  <c r="U389" i="21"/>
  <c r="U377" i="21"/>
  <c r="B293" i="21"/>
  <c r="B269" i="21"/>
  <c r="B281" i="21"/>
  <c r="C392" i="21"/>
  <c r="C380" i="21"/>
  <c r="C404" i="21"/>
  <c r="AA392" i="21"/>
  <c r="AA380" i="21"/>
  <c r="AA404" i="21"/>
  <c r="W399" i="21"/>
  <c r="W385" i="21"/>
  <c r="W388" i="21"/>
  <c r="W376" i="21"/>
  <c r="W398" i="21"/>
  <c r="W397" i="21"/>
  <c r="W386" i="21"/>
  <c r="W375" i="21"/>
  <c r="W400" i="21"/>
  <c r="W387" i="21"/>
  <c r="W373" i="21"/>
  <c r="W374" i="21"/>
  <c r="M266" i="21"/>
  <c r="M278" i="21"/>
  <c r="M291" i="21"/>
  <c r="M290" i="21"/>
  <c r="M267" i="21"/>
  <c r="M279" i="21"/>
  <c r="H295" i="21"/>
  <c r="H271" i="21"/>
  <c r="H283" i="21"/>
  <c r="R175" i="21"/>
  <c r="R187" i="21"/>
  <c r="R163" i="21"/>
  <c r="AA160" i="21"/>
  <c r="AA184" i="21"/>
  <c r="AA172" i="21"/>
  <c r="D184" i="21"/>
  <c r="D160" i="21"/>
  <c r="D172" i="21"/>
  <c r="I69" i="21"/>
  <c r="I81" i="21"/>
  <c r="I57" i="21"/>
  <c r="C260" i="21"/>
  <c r="C474" i="21"/>
  <c r="C369" i="21"/>
  <c r="C368" i="21"/>
  <c r="C151" i="21"/>
  <c r="F68" i="21"/>
  <c r="F80" i="21"/>
  <c r="F56" i="21"/>
  <c r="Z66" i="21"/>
  <c r="Z78" i="21"/>
  <c r="Z54" i="21"/>
  <c r="B494" i="21"/>
  <c r="B506" i="21"/>
  <c r="B482" i="21"/>
  <c r="AB509" i="21"/>
  <c r="AB485" i="21"/>
  <c r="AB497" i="21"/>
  <c r="P497" i="21"/>
  <c r="P485" i="21"/>
  <c r="P509" i="21"/>
  <c r="D492" i="21"/>
  <c r="D493" i="21"/>
  <c r="D502" i="21"/>
  <c r="D503" i="21"/>
  <c r="D480" i="21"/>
  <c r="D481" i="21"/>
  <c r="D505" i="21"/>
  <c r="D490" i="21"/>
  <c r="D479" i="21"/>
  <c r="D491" i="21"/>
  <c r="D478" i="21"/>
  <c r="D504" i="21"/>
  <c r="O493" i="21"/>
  <c r="O502" i="21"/>
  <c r="O505" i="21"/>
  <c r="O503" i="21"/>
  <c r="O481" i="21"/>
  <c r="O504" i="21"/>
  <c r="O491" i="21"/>
  <c r="O480" i="21"/>
  <c r="O492" i="21"/>
  <c r="O479" i="21"/>
  <c r="O478" i="21"/>
  <c r="O490" i="21"/>
  <c r="S505" i="21"/>
  <c r="S490" i="21"/>
  <c r="S493" i="21"/>
  <c r="S481" i="21"/>
  <c r="S479" i="21"/>
  <c r="S491" i="21"/>
  <c r="S504" i="21"/>
  <c r="S480" i="21"/>
  <c r="S492" i="21"/>
  <c r="S502" i="21"/>
  <c r="S478" i="21"/>
  <c r="S503" i="21"/>
  <c r="W402" i="21"/>
  <c r="W390" i="21"/>
  <c r="W378" i="21"/>
  <c r="AB392" i="21"/>
  <c r="AB380" i="21"/>
  <c r="AB404" i="21"/>
  <c r="X294" i="21"/>
  <c r="X270" i="21"/>
  <c r="X282" i="21"/>
  <c r="D376" i="21"/>
  <c r="D387" i="21"/>
  <c r="D400" i="21"/>
  <c r="D375" i="21"/>
  <c r="D388" i="21"/>
  <c r="D399" i="21"/>
  <c r="D374" i="21"/>
  <c r="D397" i="21"/>
  <c r="D398" i="21"/>
  <c r="D385" i="21"/>
  <c r="D373" i="21"/>
  <c r="D386" i="21"/>
  <c r="C282" i="21"/>
  <c r="C270" i="21"/>
  <c r="C294" i="21"/>
  <c r="Z175" i="21"/>
  <c r="Z163" i="21"/>
  <c r="Z187" i="21"/>
  <c r="R184" i="21"/>
  <c r="R172" i="21"/>
  <c r="R160" i="21"/>
  <c r="X185" i="21"/>
  <c r="X161" i="21"/>
  <c r="X173" i="21"/>
  <c r="L173" i="21"/>
  <c r="L185" i="21"/>
  <c r="L161" i="21"/>
  <c r="K473" i="21"/>
  <c r="K368" i="21"/>
  <c r="K45" i="21"/>
  <c r="K152" i="21"/>
  <c r="K474" i="21"/>
  <c r="AB80" i="21"/>
  <c r="AB56" i="21"/>
  <c r="AB68" i="21"/>
  <c r="W79" i="21"/>
  <c r="W55" i="21"/>
  <c r="W67" i="21"/>
  <c r="U67" i="21"/>
  <c r="U55" i="21"/>
  <c r="U79" i="21"/>
  <c r="M81" i="21"/>
  <c r="M57" i="21"/>
  <c r="M69" i="21"/>
  <c r="O57" i="21"/>
  <c r="O69" i="21"/>
  <c r="O81" i="21"/>
  <c r="H67" i="21"/>
  <c r="H79" i="21"/>
  <c r="H55" i="21"/>
  <c r="C497" i="21"/>
  <c r="C485" i="21"/>
  <c r="C509" i="21"/>
  <c r="AC497" i="21"/>
  <c r="AC509" i="21"/>
  <c r="AC485" i="21"/>
  <c r="X497" i="21"/>
  <c r="X509" i="21"/>
  <c r="X485" i="21"/>
  <c r="W493" i="21"/>
  <c r="W502" i="21"/>
  <c r="W504" i="21"/>
  <c r="W505" i="21"/>
  <c r="W481" i="21"/>
  <c r="W492" i="21"/>
  <c r="W479" i="21"/>
  <c r="W478" i="21"/>
  <c r="W503" i="21"/>
  <c r="W490" i="21"/>
  <c r="W480" i="21"/>
  <c r="W491" i="21"/>
  <c r="AA505" i="21"/>
  <c r="AA490" i="21"/>
  <c r="AA492" i="21"/>
  <c r="AA481" i="21"/>
  <c r="AA493" i="21"/>
  <c r="AA479" i="21"/>
  <c r="AA502" i="21"/>
  <c r="AA478" i="21"/>
  <c r="AA503" i="21"/>
  <c r="AA480" i="21"/>
  <c r="AA504" i="21"/>
  <c r="AA491" i="21"/>
  <c r="D508" i="21"/>
  <c r="D484" i="21"/>
  <c r="D496" i="21"/>
  <c r="S484" i="21"/>
  <c r="S508" i="21"/>
  <c r="S496" i="21"/>
  <c r="G377" i="21"/>
  <c r="G401" i="21"/>
  <c r="G389" i="21"/>
  <c r="P270" i="21"/>
  <c r="P282" i="21"/>
  <c r="P294" i="21"/>
  <c r="N374" i="21"/>
  <c r="N398" i="21"/>
  <c r="N385" i="21"/>
  <c r="N400" i="21"/>
  <c r="N397" i="21"/>
  <c r="N373" i="21"/>
  <c r="N376" i="21"/>
  <c r="N386" i="21"/>
  <c r="N387" i="21"/>
  <c r="N399" i="21"/>
  <c r="N388" i="21"/>
  <c r="N375" i="21"/>
  <c r="X283" i="21"/>
  <c r="X295" i="21"/>
  <c r="X271" i="21"/>
  <c r="I295" i="21"/>
  <c r="I271" i="21"/>
  <c r="I283" i="21"/>
  <c r="V291" i="21"/>
  <c r="V267" i="21"/>
  <c r="V278" i="21"/>
  <c r="V288" i="21"/>
  <c r="V289" i="21"/>
  <c r="V279" i="21"/>
  <c r="V264" i="21"/>
  <c r="V277" i="21"/>
  <c r="V266" i="21"/>
  <c r="V265" i="21"/>
  <c r="V276" i="21"/>
  <c r="V290" i="21"/>
  <c r="AB277" i="21"/>
  <c r="AB288" i="21"/>
  <c r="AB264" i="21"/>
  <c r="AB290" i="21"/>
  <c r="AB291" i="21"/>
  <c r="AB279" i="21"/>
  <c r="AB289" i="21"/>
  <c r="AB276" i="21"/>
  <c r="AB266" i="21"/>
  <c r="AB265" i="21"/>
  <c r="AB278" i="21"/>
  <c r="AB267" i="21"/>
  <c r="M270" i="21"/>
  <c r="M282" i="21"/>
  <c r="M294" i="21"/>
  <c r="O187" i="21"/>
  <c r="O175" i="21"/>
  <c r="O163" i="21"/>
  <c r="I172" i="21"/>
  <c r="I184" i="21"/>
  <c r="I160" i="21"/>
  <c r="M187" i="21"/>
  <c r="M163" i="21"/>
  <c r="M175" i="21"/>
  <c r="E173" i="21"/>
  <c r="E161" i="21"/>
  <c r="E185" i="21"/>
  <c r="H169" i="21"/>
  <c r="H180" i="21"/>
  <c r="H156" i="21"/>
  <c r="H157" i="21"/>
  <c r="H159" i="21"/>
  <c r="H171" i="21"/>
  <c r="H170" i="21"/>
  <c r="H168" i="21"/>
  <c r="H181" i="21"/>
  <c r="H158" i="21"/>
  <c r="H183" i="21"/>
  <c r="H182" i="21"/>
  <c r="L181" i="21"/>
  <c r="L157" i="21"/>
  <c r="L168" i="21"/>
  <c r="L183" i="21"/>
  <c r="L159" i="21"/>
  <c r="L158" i="21"/>
  <c r="L156" i="21"/>
  <c r="L180" i="21"/>
  <c r="L169" i="21"/>
  <c r="L182" i="21"/>
  <c r="L171" i="21"/>
  <c r="L170" i="21"/>
  <c r="C46" i="21"/>
  <c r="C67" i="21"/>
  <c r="C79" i="21"/>
  <c r="C55" i="21"/>
  <c r="M66" i="21"/>
  <c r="M78" i="21"/>
  <c r="M54" i="21"/>
  <c r="U68" i="21"/>
  <c r="U80" i="21"/>
  <c r="U56" i="21"/>
  <c r="I507" i="21"/>
  <c r="I483" i="21"/>
  <c r="I495" i="21"/>
  <c r="M497" i="21"/>
  <c r="M485" i="21"/>
  <c r="M509" i="21"/>
  <c r="J497" i="21"/>
  <c r="J509" i="21"/>
  <c r="J485" i="21"/>
  <c r="B502" i="21"/>
  <c r="B503" i="21"/>
  <c r="B504" i="21"/>
  <c r="B478" i="21"/>
  <c r="B505" i="21"/>
  <c r="B491" i="21"/>
  <c r="B481" i="21"/>
  <c r="B492" i="21"/>
  <c r="B480" i="21"/>
  <c r="B493" i="21"/>
  <c r="B490" i="21"/>
  <c r="B479" i="21"/>
  <c r="N507" i="21"/>
  <c r="N483" i="21"/>
  <c r="N495" i="21"/>
  <c r="U495" i="21"/>
  <c r="U507" i="21"/>
  <c r="U483" i="21"/>
  <c r="M392" i="21"/>
  <c r="M404" i="21"/>
  <c r="M380" i="21"/>
  <c r="O377" i="21"/>
  <c r="O389" i="21"/>
  <c r="O401" i="21"/>
  <c r="H294" i="21"/>
  <c r="H270" i="21"/>
  <c r="H282" i="21"/>
  <c r="F404" i="21"/>
  <c r="F380" i="21"/>
  <c r="F392" i="21"/>
  <c r="D402" i="21"/>
  <c r="D378" i="21"/>
  <c r="D390" i="21"/>
  <c r="Z400" i="21"/>
  <c r="Z386" i="21"/>
  <c r="Z397" i="21"/>
  <c r="Z373" i="21"/>
  <c r="Z385" i="21"/>
  <c r="Z375" i="21"/>
  <c r="Z399" i="21"/>
  <c r="Z388" i="21"/>
  <c r="Z376" i="21"/>
  <c r="Z398" i="21"/>
  <c r="Z374" i="21"/>
  <c r="Z387" i="21"/>
  <c r="W294" i="21"/>
  <c r="W270" i="21"/>
  <c r="W282" i="21"/>
  <c r="AB294" i="21"/>
  <c r="AB270" i="21"/>
  <c r="AB282" i="21"/>
  <c r="K184" i="21"/>
  <c r="K172" i="21"/>
  <c r="Q163" i="21"/>
  <c r="Q175" i="21"/>
  <c r="Q187" i="21"/>
  <c r="F187" i="21"/>
  <c r="F163" i="21"/>
  <c r="F175" i="21"/>
  <c r="K163" i="21"/>
  <c r="K187" i="21"/>
  <c r="K175" i="21"/>
  <c r="V174" i="21"/>
  <c r="V162" i="21"/>
  <c r="V186" i="21"/>
  <c r="E184" i="21"/>
  <c r="E160" i="21"/>
  <c r="E172" i="21"/>
  <c r="W292" i="21"/>
  <c r="W268" i="21"/>
  <c r="W280" i="21"/>
  <c r="F280" i="21"/>
  <c r="F268" i="21"/>
  <c r="F292" i="21"/>
  <c r="R280" i="21"/>
  <c r="R292" i="21"/>
  <c r="R268" i="21"/>
  <c r="X69" i="21"/>
  <c r="X57" i="21"/>
  <c r="X81" i="21"/>
  <c r="Q259" i="21"/>
  <c r="Q46" i="21"/>
  <c r="Q368" i="21"/>
  <c r="Q474" i="21"/>
  <c r="Q151" i="21"/>
  <c r="Q152" i="21"/>
  <c r="Q473" i="21"/>
  <c r="AA152" i="21"/>
  <c r="AA151" i="21"/>
  <c r="AA368" i="21"/>
  <c r="AA369" i="21"/>
  <c r="AA473" i="21"/>
  <c r="D78" i="21"/>
  <c r="D66" i="21"/>
  <c r="D54" i="21"/>
  <c r="O79" i="21"/>
  <c r="O55" i="21"/>
  <c r="O67" i="21"/>
  <c r="K46" i="21"/>
  <c r="P483" i="21"/>
  <c r="P507" i="21"/>
  <c r="P495" i="21"/>
  <c r="Y485" i="21"/>
  <c r="Y509" i="21"/>
  <c r="Y497" i="21"/>
  <c r="T509" i="21"/>
  <c r="T485" i="21"/>
  <c r="T497" i="21"/>
  <c r="U503" i="21"/>
  <c r="U504" i="21"/>
  <c r="U490" i="21"/>
  <c r="U479" i="21"/>
  <c r="U491" i="21"/>
  <c r="U505" i="21"/>
  <c r="U492" i="21"/>
  <c r="U502" i="21"/>
  <c r="U478" i="21"/>
  <c r="U493" i="21"/>
  <c r="U481" i="21"/>
  <c r="U480" i="21"/>
  <c r="J502" i="21"/>
  <c r="J503" i="21"/>
  <c r="J490" i="21"/>
  <c r="J478" i="21"/>
  <c r="J504" i="21"/>
  <c r="J505" i="21"/>
  <c r="J479" i="21"/>
  <c r="J493" i="21"/>
  <c r="J491" i="21"/>
  <c r="J481" i="21"/>
  <c r="J492" i="21"/>
  <c r="J480" i="21"/>
  <c r="L402" i="21"/>
  <c r="L390" i="21"/>
  <c r="L378" i="21"/>
  <c r="F390" i="21"/>
  <c r="F402" i="21"/>
  <c r="F378" i="21"/>
  <c r="U404" i="21"/>
  <c r="U380" i="21"/>
  <c r="U392" i="21"/>
  <c r="W377" i="21"/>
  <c r="W401" i="21"/>
  <c r="W389" i="21"/>
  <c r="Q294" i="21"/>
  <c r="Q270" i="21"/>
  <c r="Q282" i="21"/>
  <c r="AA403" i="21"/>
  <c r="AA379" i="21"/>
  <c r="AA391" i="21"/>
  <c r="P380" i="21"/>
  <c r="P404" i="21"/>
  <c r="P392" i="21"/>
  <c r="AA400" i="21"/>
  <c r="AA397" i="21"/>
  <c r="AA373" i="21"/>
  <c r="AA399" i="21"/>
  <c r="AA376" i="21"/>
  <c r="AA388" i="21"/>
  <c r="AA385" i="21"/>
  <c r="AA374" i="21"/>
  <c r="AA375" i="21"/>
  <c r="AA398" i="21"/>
  <c r="AA386" i="21"/>
  <c r="AA387" i="21"/>
  <c r="K295" i="21"/>
  <c r="K283" i="21"/>
  <c r="K271" i="21"/>
  <c r="Y295" i="21"/>
  <c r="Y271" i="21"/>
  <c r="Y283" i="21"/>
  <c r="E294" i="21"/>
  <c r="E282" i="21"/>
  <c r="E270" i="21"/>
  <c r="I174" i="21"/>
  <c r="I186" i="21"/>
  <c r="I162" i="21"/>
  <c r="W163" i="21"/>
  <c r="W187" i="21"/>
  <c r="W175" i="21"/>
  <c r="M162" i="21"/>
  <c r="M174" i="21"/>
  <c r="M186" i="21"/>
  <c r="L162" i="21"/>
  <c r="L174" i="21"/>
  <c r="L186" i="21"/>
  <c r="V172" i="21"/>
  <c r="V160" i="21"/>
  <c r="V184" i="21"/>
  <c r="H187" i="21"/>
  <c r="H163" i="21"/>
  <c r="H175" i="21"/>
  <c r="H68" i="21"/>
  <c r="H56" i="21"/>
  <c r="H80" i="21"/>
  <c r="B46" i="21"/>
  <c r="B368" i="21"/>
  <c r="B45" i="21"/>
  <c r="B152" i="21"/>
  <c r="B474" i="21"/>
  <c r="B473" i="21"/>
  <c r="B151" i="21"/>
  <c r="E474" i="21"/>
  <c r="E152" i="21"/>
  <c r="E151" i="21"/>
  <c r="E45" i="21"/>
  <c r="E368" i="21"/>
  <c r="S81" i="21"/>
  <c r="S57" i="21"/>
  <c r="S69" i="21"/>
  <c r="D79" i="21"/>
  <c r="D55" i="21"/>
  <c r="D67" i="21"/>
  <c r="L78" i="21"/>
  <c r="L54" i="21"/>
  <c r="L66" i="21"/>
  <c r="B80" i="21"/>
  <c r="B56" i="21"/>
  <c r="B68" i="21"/>
  <c r="K67" i="21"/>
  <c r="K79" i="21"/>
  <c r="K55" i="21"/>
  <c r="R495" i="21"/>
  <c r="R507" i="21"/>
  <c r="R483" i="21"/>
  <c r="D509" i="21"/>
  <c r="D485" i="21"/>
  <c r="D497" i="21"/>
  <c r="F509" i="21"/>
  <c r="F497" i="21"/>
  <c r="F485" i="21"/>
  <c r="L492" i="21"/>
  <c r="L493" i="21"/>
  <c r="L504" i="21"/>
  <c r="L502" i="21"/>
  <c r="L480" i="21"/>
  <c r="L503" i="21"/>
  <c r="L490" i="21"/>
  <c r="L478" i="21"/>
  <c r="L491" i="21"/>
  <c r="L481" i="21"/>
  <c r="L479" i="21"/>
  <c r="L505" i="21"/>
  <c r="F490" i="21"/>
  <c r="F491" i="21"/>
  <c r="F502" i="21"/>
  <c r="F492" i="21"/>
  <c r="F493" i="21"/>
  <c r="F480" i="21"/>
  <c r="F478" i="21"/>
  <c r="F505" i="21"/>
  <c r="F479" i="21"/>
  <c r="F503" i="21"/>
  <c r="F504" i="21"/>
  <c r="F481" i="21"/>
  <c r="AA484" i="21"/>
  <c r="AA496" i="21"/>
  <c r="AA508" i="21"/>
  <c r="L508" i="21"/>
  <c r="L484" i="21"/>
  <c r="L496" i="21"/>
  <c r="Q375" i="21"/>
  <c r="Q399" i="21"/>
  <c r="Q386" i="21"/>
  <c r="Q374" i="21"/>
  <c r="Q388" i="21"/>
  <c r="Q373" i="21"/>
  <c r="Q400" i="21"/>
  <c r="Q387" i="21"/>
  <c r="Q397" i="21"/>
  <c r="Q398" i="21"/>
  <c r="Q385" i="21"/>
  <c r="Q376" i="21"/>
  <c r="H389" i="21"/>
  <c r="H401" i="21"/>
  <c r="H377" i="21"/>
  <c r="I282" i="21"/>
  <c r="I294" i="21"/>
  <c r="I270" i="21"/>
  <c r="K400" i="21"/>
  <c r="K397" i="21"/>
  <c r="K373" i="21"/>
  <c r="K376" i="21"/>
  <c r="K399" i="21"/>
  <c r="K388" i="21"/>
  <c r="K386" i="21"/>
  <c r="K375" i="21"/>
  <c r="K385" i="21"/>
  <c r="K398" i="21"/>
  <c r="K374" i="21"/>
  <c r="K387" i="21"/>
  <c r="G271" i="21"/>
  <c r="G295" i="21"/>
  <c r="G283" i="21"/>
  <c r="AC288" i="21"/>
  <c r="AC264" i="21"/>
  <c r="AC291" i="21"/>
  <c r="AC267" i="21"/>
  <c r="AC277" i="21"/>
  <c r="AC278" i="21"/>
  <c r="AC276" i="21"/>
  <c r="AC289" i="21"/>
  <c r="AC290" i="21"/>
  <c r="AC265" i="21"/>
  <c r="AC266" i="21"/>
  <c r="AC279" i="21"/>
  <c r="S290" i="21"/>
  <c r="S266" i="21"/>
  <c r="S277" i="21"/>
  <c r="S291" i="21"/>
  <c r="S288" i="21"/>
  <c r="S278" i="21"/>
  <c r="S265" i="21"/>
  <c r="S279" i="21"/>
  <c r="S276" i="21"/>
  <c r="S289" i="21"/>
  <c r="S267" i="21"/>
  <c r="S264" i="21"/>
  <c r="N294" i="21"/>
  <c r="N270" i="21"/>
  <c r="N282" i="21"/>
  <c r="V187" i="21"/>
  <c r="V163" i="21"/>
  <c r="V175" i="21"/>
  <c r="AA187" i="21"/>
  <c r="AA175" i="21"/>
  <c r="AA163" i="21"/>
  <c r="AA67" i="21"/>
  <c r="AA79" i="21"/>
  <c r="AA55" i="21"/>
  <c r="Z64" i="21"/>
  <c r="Z75" i="21"/>
  <c r="Z51" i="21"/>
  <c r="Z65" i="21"/>
  <c r="Z76" i="21"/>
  <c r="Z77" i="21"/>
  <c r="Z62" i="21"/>
  <c r="Z52" i="21"/>
  <c r="Z53" i="21"/>
  <c r="Z50" i="21"/>
  <c r="Z74" i="21"/>
  <c r="Z63" i="21"/>
  <c r="O496" i="21"/>
  <c r="O508" i="21"/>
  <c r="O484" i="21"/>
  <c r="Z495" i="21"/>
  <c r="Z483" i="21"/>
  <c r="Z507" i="21"/>
  <c r="E497" i="21"/>
  <c r="E509" i="21"/>
  <c r="E485" i="21"/>
  <c r="O509" i="21"/>
  <c r="O485" i="21"/>
  <c r="O497" i="21"/>
  <c r="N485" i="21"/>
  <c r="N509" i="21"/>
  <c r="N497" i="21"/>
  <c r="AB492" i="21"/>
  <c r="AB493" i="21"/>
  <c r="AB502" i="21"/>
  <c r="AB503" i="21"/>
  <c r="AB504" i="21"/>
  <c r="AB480" i="21"/>
  <c r="AB490" i="21"/>
  <c r="AB481" i="21"/>
  <c r="AB491" i="21"/>
  <c r="AB479" i="21"/>
  <c r="AB478" i="21"/>
  <c r="AB505" i="21"/>
  <c r="N490" i="21"/>
  <c r="N491" i="21"/>
  <c r="N502" i="21"/>
  <c r="N492" i="21"/>
  <c r="N480" i="21"/>
  <c r="N493" i="21"/>
  <c r="N478" i="21"/>
  <c r="N503" i="21"/>
  <c r="N481" i="21"/>
  <c r="N504" i="21"/>
  <c r="N505" i="21"/>
  <c r="N479" i="21"/>
  <c r="Z502" i="21"/>
  <c r="Z503" i="21"/>
  <c r="Z505" i="21"/>
  <c r="Z478" i="21"/>
  <c r="Z490" i="21"/>
  <c r="Z493" i="21"/>
  <c r="Z481" i="21"/>
  <c r="Z480" i="21"/>
  <c r="Z504" i="21"/>
  <c r="Z491" i="21"/>
  <c r="Z492" i="21"/>
  <c r="Z479" i="21"/>
  <c r="U496" i="21"/>
  <c r="U508" i="21"/>
  <c r="U484" i="21"/>
  <c r="F484" i="21"/>
  <c r="F508" i="21"/>
  <c r="F496" i="21"/>
  <c r="V484" i="21"/>
  <c r="V508" i="21"/>
  <c r="V496" i="21"/>
  <c r="I400" i="21"/>
  <c r="I375" i="21"/>
  <c r="I386" i="21"/>
  <c r="I398" i="21"/>
  <c r="I374" i="21"/>
  <c r="I387" i="21"/>
  <c r="I376" i="21"/>
  <c r="I397" i="21"/>
  <c r="I388" i="21"/>
  <c r="I385" i="21"/>
  <c r="I373" i="21"/>
  <c r="I399" i="21"/>
  <c r="X399" i="21"/>
  <c r="X388" i="21"/>
  <c r="X398" i="21"/>
  <c r="X375" i="21"/>
  <c r="X400" i="21"/>
  <c r="X387" i="21"/>
  <c r="X397" i="21"/>
  <c r="X386" i="21"/>
  <c r="X385" i="21"/>
  <c r="X376" i="21"/>
  <c r="X373" i="21"/>
  <c r="X374" i="21"/>
  <c r="R378" i="21"/>
  <c r="R390" i="21"/>
  <c r="R402" i="21"/>
  <c r="J404" i="21"/>
  <c r="J392" i="21"/>
  <c r="J380" i="21"/>
  <c r="C400" i="21"/>
  <c r="C397" i="21"/>
  <c r="C373" i="21"/>
  <c r="C376" i="21"/>
  <c r="C388" i="21"/>
  <c r="C385" i="21"/>
  <c r="C374" i="21"/>
  <c r="C387" i="21"/>
  <c r="C399" i="21"/>
  <c r="C375" i="21"/>
  <c r="C398" i="21"/>
  <c r="C386" i="21"/>
  <c r="O283" i="21"/>
  <c r="O295" i="21"/>
  <c r="O271" i="21"/>
  <c r="L293" i="21"/>
  <c r="L269" i="21"/>
  <c r="L281" i="21"/>
  <c r="O278" i="21"/>
  <c r="O289" i="21"/>
  <c r="O265" i="21"/>
  <c r="O290" i="21"/>
  <c r="O276" i="21"/>
  <c r="O291" i="21"/>
  <c r="O288" i="21"/>
  <c r="O264" i="21"/>
  <c r="O277" i="21"/>
  <c r="O267" i="21"/>
  <c r="O279" i="21"/>
  <c r="O266" i="21"/>
  <c r="AA290" i="21"/>
  <c r="AA266" i="21"/>
  <c r="AA277" i="21"/>
  <c r="AA267" i="21"/>
  <c r="AA264" i="21"/>
  <c r="AA278" i="21"/>
  <c r="AA265" i="21"/>
  <c r="AA291" i="21"/>
  <c r="AA288" i="21"/>
  <c r="AA279" i="21"/>
  <c r="AA276" i="21"/>
  <c r="AA289" i="21"/>
  <c r="Z282" i="21"/>
  <c r="Z270" i="21"/>
  <c r="Z294" i="21"/>
  <c r="M276" i="21"/>
  <c r="B175" i="21"/>
  <c r="B187" i="21"/>
  <c r="B163" i="21"/>
  <c r="X162" i="21"/>
  <c r="X186" i="21"/>
  <c r="X174" i="21"/>
  <c r="Y292" i="21"/>
  <c r="Y268" i="21"/>
  <c r="Y280" i="21"/>
  <c r="T280" i="21"/>
  <c r="T268" i="21"/>
  <c r="T292" i="21"/>
  <c r="K292" i="21"/>
  <c r="K280" i="21"/>
  <c r="K268" i="21"/>
  <c r="L81" i="21"/>
  <c r="L57" i="21"/>
  <c r="L69" i="21"/>
  <c r="V171" i="21"/>
  <c r="V182" i="21"/>
  <c r="V158" i="21"/>
  <c r="V181" i="21"/>
  <c r="V183" i="21"/>
  <c r="V170" i="21"/>
  <c r="V169" i="21"/>
  <c r="V168" i="21"/>
  <c r="V159" i="21"/>
  <c r="V156" i="21"/>
  <c r="V180" i="21"/>
  <c r="V157" i="21"/>
  <c r="Y69" i="21"/>
  <c r="Y81" i="21"/>
  <c r="Y57" i="21"/>
  <c r="U45" i="21"/>
  <c r="U473" i="21"/>
  <c r="U474" i="21"/>
  <c r="U152" i="21"/>
  <c r="U46" i="21"/>
  <c r="N76" i="21"/>
  <c r="N63" i="21"/>
  <c r="N77" i="21"/>
  <c r="N53" i="21"/>
  <c r="N64" i="21"/>
  <c r="N62" i="21"/>
  <c r="N50" i="21"/>
  <c r="N75" i="21"/>
  <c r="N52" i="21"/>
  <c r="N74" i="21"/>
  <c r="N51" i="21"/>
  <c r="N65" i="21"/>
  <c r="N78" i="21"/>
  <c r="N54" i="21"/>
  <c r="N66" i="21"/>
  <c r="E46" i="21"/>
  <c r="X68" i="21"/>
  <c r="X80" i="21"/>
  <c r="X56" i="21"/>
  <c r="Q508" i="21"/>
  <c r="Q484" i="21"/>
  <c r="Q496" i="21"/>
  <c r="R494" i="21"/>
  <c r="R506" i="21"/>
  <c r="R482" i="21"/>
  <c r="AA497" i="21"/>
  <c r="AA509" i="21"/>
  <c r="AA485" i="21"/>
  <c r="M503" i="21"/>
  <c r="M504" i="21"/>
  <c r="M491" i="21"/>
  <c r="M479" i="21"/>
  <c r="M505" i="21"/>
  <c r="M490" i="21"/>
  <c r="M478" i="21"/>
  <c r="M481" i="21"/>
  <c r="M480" i="21"/>
  <c r="M492" i="21"/>
  <c r="M502" i="21"/>
  <c r="M493" i="21"/>
  <c r="C505" i="21"/>
  <c r="C490" i="21"/>
  <c r="C491" i="21"/>
  <c r="C481" i="21"/>
  <c r="C492" i="21"/>
  <c r="C479" i="21"/>
  <c r="C493" i="21"/>
  <c r="C504" i="21"/>
  <c r="C480" i="21"/>
  <c r="C502" i="21"/>
  <c r="C503" i="21"/>
  <c r="C478" i="21"/>
  <c r="J496" i="21"/>
  <c r="J484" i="21"/>
  <c r="J508" i="21"/>
  <c r="C508" i="21"/>
  <c r="C496" i="21"/>
  <c r="C484" i="21"/>
  <c r="P506" i="21"/>
  <c r="C495" i="21"/>
  <c r="C483" i="21"/>
  <c r="C507" i="21"/>
  <c r="G483" i="21"/>
  <c r="G507" i="21"/>
  <c r="G495" i="21"/>
  <c r="L392" i="21"/>
  <c r="L404" i="21"/>
  <c r="L380" i="21"/>
  <c r="H402" i="21"/>
  <c r="H390" i="21"/>
  <c r="H378" i="21"/>
  <c r="S392" i="21"/>
  <c r="S380" i="21"/>
  <c r="S404" i="21"/>
  <c r="M387" i="21"/>
  <c r="M374" i="21"/>
  <c r="M386" i="21"/>
  <c r="M375" i="21"/>
  <c r="M385" i="21"/>
  <c r="M398" i="21"/>
  <c r="M376" i="21"/>
  <c r="M373" i="21"/>
  <c r="M400" i="21"/>
  <c r="M399" i="21"/>
  <c r="M397" i="21"/>
  <c r="M388" i="21"/>
  <c r="D277" i="21"/>
  <c r="D288" i="21"/>
  <c r="D264" i="21"/>
  <c r="D276" i="21"/>
  <c r="D266" i="21"/>
  <c r="D267" i="21"/>
  <c r="D289" i="21"/>
  <c r="D278" i="21"/>
  <c r="D279" i="21"/>
  <c r="D290" i="21"/>
  <c r="D291" i="21"/>
  <c r="D265" i="21"/>
  <c r="T294" i="21"/>
  <c r="T270" i="21"/>
  <c r="T282" i="21"/>
  <c r="M288" i="21"/>
  <c r="J175" i="21"/>
  <c r="J163" i="21"/>
  <c r="J187" i="21"/>
  <c r="Q172" i="21"/>
  <c r="Q160" i="21"/>
  <c r="Q184" i="21"/>
  <c r="F174" i="21"/>
  <c r="F162" i="21"/>
  <c r="F186" i="21"/>
  <c r="AC280" i="21"/>
  <c r="AC268" i="21"/>
  <c r="AC292" i="21"/>
  <c r="W174" i="21"/>
  <c r="W162" i="21"/>
  <c r="W186" i="21"/>
  <c r="T181" i="21"/>
  <c r="T157" i="21"/>
  <c r="T168" i="21"/>
  <c r="T171" i="21"/>
  <c r="T169" i="21"/>
  <c r="T159" i="21"/>
  <c r="T183" i="21"/>
  <c r="T182" i="21"/>
  <c r="T180" i="21"/>
  <c r="T170" i="21"/>
  <c r="T156" i="21"/>
  <c r="T158" i="21"/>
  <c r="F171" i="21"/>
  <c r="F182" i="21"/>
  <c r="F158" i="21"/>
  <c r="F183" i="21"/>
  <c r="F181" i="21"/>
  <c r="F180" i="21"/>
  <c r="F170" i="21"/>
  <c r="F169" i="21"/>
  <c r="F168" i="21"/>
  <c r="F157" i="21"/>
  <c r="F156" i="21"/>
  <c r="F159" i="21"/>
  <c r="D81" i="21"/>
  <c r="D57" i="21"/>
  <c r="D69" i="21"/>
  <c r="Q69" i="21"/>
  <c r="Q81" i="21"/>
  <c r="Q57" i="21"/>
  <c r="U81" i="21"/>
  <c r="U57" i="21"/>
  <c r="U69" i="21"/>
  <c r="Q45" i="21"/>
  <c r="AA45" i="21"/>
  <c r="P80" i="21"/>
  <c r="P68" i="21"/>
  <c r="P56" i="21"/>
  <c r="C78" i="21"/>
  <c r="C54" i="21"/>
  <c r="C66" i="21"/>
  <c r="M65" i="21"/>
  <c r="M76" i="21"/>
  <c r="M52" i="21"/>
  <c r="M74" i="21"/>
  <c r="M50" i="21"/>
  <c r="M77" i="21"/>
  <c r="M51" i="21"/>
  <c r="M75" i="21"/>
  <c r="M63" i="21"/>
  <c r="M64" i="21"/>
  <c r="M62" i="21"/>
  <c r="M53" i="21"/>
  <c r="D56" i="21"/>
  <c r="D80" i="21"/>
  <c r="D68" i="21"/>
  <c r="W495" i="21"/>
  <c r="W483" i="21"/>
  <c r="W507" i="21"/>
  <c r="AB507" i="21"/>
  <c r="AB495" i="21"/>
  <c r="AB483" i="21"/>
  <c r="L495" i="21"/>
  <c r="L507" i="21"/>
  <c r="L483" i="21"/>
  <c r="E495" i="21"/>
  <c r="E507" i="21"/>
  <c r="E483" i="21"/>
  <c r="I494" i="21"/>
  <c r="I506" i="21"/>
  <c r="I482" i="21"/>
  <c r="U482" i="21"/>
  <c r="U506" i="21"/>
  <c r="U494" i="21"/>
  <c r="W496" i="21"/>
  <c r="W508" i="21"/>
  <c r="W484" i="21"/>
  <c r="I508" i="21"/>
  <c r="I484" i="21"/>
  <c r="I496" i="21"/>
  <c r="T508" i="21"/>
  <c r="T484" i="21"/>
  <c r="T496" i="21"/>
  <c r="P391" i="21"/>
  <c r="P379" i="21"/>
  <c r="P403" i="21"/>
  <c r="Y392" i="21"/>
  <c r="Y380" i="21"/>
  <c r="Y404" i="21"/>
  <c r="B403" i="21"/>
  <c r="B391" i="21"/>
  <c r="B379" i="21"/>
  <c r="O403" i="21"/>
  <c r="O391" i="21"/>
  <c r="O379" i="21"/>
  <c r="L509" i="21"/>
  <c r="L485" i="21"/>
  <c r="L497" i="21"/>
  <c r="U497" i="21"/>
  <c r="U509" i="21"/>
  <c r="U485" i="21"/>
  <c r="X504" i="21"/>
  <c r="X505" i="21"/>
  <c r="X491" i="21"/>
  <c r="X480" i="21"/>
  <c r="X492" i="21"/>
  <c r="X478" i="21"/>
  <c r="X502" i="21"/>
  <c r="X493" i="21"/>
  <c r="X503" i="21"/>
  <c r="X490" i="21"/>
  <c r="X481" i="21"/>
  <c r="X479" i="21"/>
  <c r="C378" i="21"/>
  <c r="C390" i="21"/>
  <c r="C402" i="21"/>
  <c r="U379" i="21"/>
  <c r="U391" i="21"/>
  <c r="U403" i="21"/>
  <c r="B402" i="21"/>
  <c r="T403" i="21"/>
  <c r="T379" i="21"/>
  <c r="T391" i="21"/>
  <c r="N404" i="21"/>
  <c r="N380" i="21"/>
  <c r="N392" i="21"/>
  <c r="X380" i="21"/>
  <c r="X404" i="21"/>
  <c r="X392" i="21"/>
  <c r="K293" i="21"/>
  <c r="K269" i="21"/>
  <c r="K281" i="21"/>
  <c r="V269" i="21"/>
  <c r="V293" i="21"/>
  <c r="V281" i="21"/>
  <c r="Z389" i="21"/>
  <c r="Z377" i="21"/>
  <c r="Z401" i="21"/>
  <c r="P401" i="21"/>
  <c r="P389" i="21"/>
  <c r="P377" i="21"/>
  <c r="J279" i="21"/>
  <c r="J290" i="21"/>
  <c r="J266" i="21"/>
  <c r="J288" i="21"/>
  <c r="J278" i="21"/>
  <c r="J265" i="21"/>
  <c r="J291" i="21"/>
  <c r="J289" i="21"/>
  <c r="J267" i="21"/>
  <c r="J264" i="21"/>
  <c r="J276" i="21"/>
  <c r="J277" i="21"/>
  <c r="AB293" i="21"/>
  <c r="AB269" i="21"/>
  <c r="AB281" i="21"/>
  <c r="T277" i="21"/>
  <c r="T288" i="21"/>
  <c r="T264" i="21"/>
  <c r="T278" i="21"/>
  <c r="T265" i="21"/>
  <c r="T279" i="21"/>
  <c r="T276" i="21"/>
  <c r="T267" i="21"/>
  <c r="T290" i="21"/>
  <c r="T289" i="21"/>
  <c r="T266" i="21"/>
  <c r="T291" i="21"/>
  <c r="U288" i="21"/>
  <c r="U264" i="21"/>
  <c r="U291" i="21"/>
  <c r="U267" i="21"/>
  <c r="U265" i="21"/>
  <c r="U278" i="21"/>
  <c r="U276" i="21"/>
  <c r="U277" i="21"/>
  <c r="U266" i="21"/>
  <c r="U279" i="21"/>
  <c r="U289" i="21"/>
  <c r="U290" i="21"/>
  <c r="F283" i="21"/>
  <c r="F271" i="21"/>
  <c r="F295" i="21"/>
  <c r="S271" i="21"/>
  <c r="S283" i="21"/>
  <c r="S295" i="21"/>
  <c r="E283" i="21"/>
  <c r="E271" i="21"/>
  <c r="E295" i="21"/>
  <c r="AC185" i="21"/>
  <c r="AC173" i="21"/>
  <c r="AC161" i="21"/>
  <c r="Z173" i="21"/>
  <c r="Z161" i="21"/>
  <c r="Z185" i="21"/>
  <c r="J282" i="21"/>
  <c r="J294" i="21"/>
  <c r="J270" i="21"/>
  <c r="J295" i="21"/>
  <c r="L282" i="21"/>
  <c r="L294" i="21"/>
  <c r="L270" i="21"/>
  <c r="O294" i="21"/>
  <c r="O270" i="21"/>
  <c r="O282" i="21"/>
  <c r="P399" i="21"/>
  <c r="P388" i="21"/>
  <c r="P375" i="21"/>
  <c r="P387" i="21"/>
  <c r="P400" i="21"/>
  <c r="P385" i="21"/>
  <c r="P374" i="21"/>
  <c r="P386" i="21"/>
  <c r="P397" i="21"/>
  <c r="P398" i="21"/>
  <c r="P376" i="21"/>
  <c r="P373" i="21"/>
  <c r="H399" i="21"/>
  <c r="H388" i="21"/>
  <c r="H400" i="21"/>
  <c r="H375" i="21"/>
  <c r="H387" i="21"/>
  <c r="H398" i="21"/>
  <c r="H376" i="21"/>
  <c r="H385" i="21"/>
  <c r="H386" i="21"/>
  <c r="H373" i="21"/>
  <c r="H374" i="21"/>
  <c r="H397" i="21"/>
  <c r="O399" i="21"/>
  <c r="O398" i="21"/>
  <c r="O385" i="21"/>
  <c r="O388" i="21"/>
  <c r="O376" i="21"/>
  <c r="O400" i="21"/>
  <c r="O374" i="21"/>
  <c r="O373" i="21"/>
  <c r="O386" i="21"/>
  <c r="O387" i="21"/>
  <c r="O397" i="21"/>
  <c r="O375" i="21"/>
  <c r="AC398" i="21"/>
  <c r="AC387" i="21"/>
  <c r="AC374" i="21"/>
  <c r="AC386" i="21"/>
  <c r="AC399" i="21"/>
  <c r="AC388" i="21"/>
  <c r="AC385" i="21"/>
  <c r="AC376" i="21"/>
  <c r="AC373" i="21"/>
  <c r="AC400" i="21"/>
  <c r="AC397" i="21"/>
  <c r="AC375" i="21"/>
  <c r="V292" i="21"/>
  <c r="V268" i="21"/>
  <c r="V280" i="21"/>
  <c r="E280" i="21"/>
  <c r="E268" i="21"/>
  <c r="E292" i="21"/>
  <c r="N174" i="21"/>
  <c r="N186" i="21"/>
  <c r="N162" i="21"/>
  <c r="K151" i="21"/>
  <c r="U173" i="21"/>
  <c r="U161" i="21"/>
  <c r="U185" i="21"/>
  <c r="I180" i="21"/>
  <c r="I156" i="21"/>
  <c r="I183" i="21"/>
  <c r="I159" i="21"/>
  <c r="I182" i="21"/>
  <c r="I171" i="21"/>
  <c r="I170" i="21"/>
  <c r="I169" i="21"/>
  <c r="I168" i="21"/>
  <c r="I158" i="21"/>
  <c r="I157" i="21"/>
  <c r="I181" i="21"/>
  <c r="X169" i="21"/>
  <c r="X180" i="21"/>
  <c r="X156" i="21"/>
  <c r="X159" i="21"/>
  <c r="X157" i="21"/>
  <c r="X171" i="21"/>
  <c r="X170" i="21"/>
  <c r="X168" i="21"/>
  <c r="X158" i="21"/>
  <c r="X183" i="21"/>
  <c r="X181" i="21"/>
  <c r="X182" i="21"/>
  <c r="AB181" i="21"/>
  <c r="AB157" i="21"/>
  <c r="AB168" i="21"/>
  <c r="AB183" i="21"/>
  <c r="AB159" i="21"/>
  <c r="AB158" i="21"/>
  <c r="AB156" i="21"/>
  <c r="AB182" i="21"/>
  <c r="AB171" i="21"/>
  <c r="AB170" i="21"/>
  <c r="AB180" i="21"/>
  <c r="AB169" i="21"/>
  <c r="Y186" i="21"/>
  <c r="Y174" i="21"/>
  <c r="Y162" i="21"/>
  <c r="J186" i="21"/>
  <c r="J162" i="21"/>
  <c r="J174" i="21"/>
  <c r="U186" i="21"/>
  <c r="U174" i="21"/>
  <c r="U162" i="21"/>
  <c r="B184" i="21"/>
  <c r="B172" i="21"/>
  <c r="B160" i="21"/>
  <c r="Z160" i="21"/>
  <c r="Z184" i="21"/>
  <c r="Z172" i="21"/>
  <c r="O184" i="21"/>
  <c r="O160" i="21"/>
  <c r="O172" i="21"/>
  <c r="G175" i="21"/>
  <c r="G163" i="21"/>
  <c r="G187" i="21"/>
  <c r="D173" i="21"/>
  <c r="D161" i="21"/>
  <c r="D185" i="21"/>
  <c r="AB184" i="21"/>
  <c r="AB160" i="21"/>
  <c r="AB172" i="21"/>
  <c r="AB79" i="21"/>
  <c r="AB55" i="21"/>
  <c r="AB67" i="21"/>
  <c r="B64" i="21"/>
  <c r="B75" i="21"/>
  <c r="B51" i="21"/>
  <c r="B65" i="21"/>
  <c r="B76" i="21"/>
  <c r="B77" i="21"/>
  <c r="B53" i="21"/>
  <c r="B74" i="21"/>
  <c r="B63" i="21"/>
  <c r="B52" i="21"/>
  <c r="B50" i="21"/>
  <c r="B62" i="21"/>
  <c r="K68" i="21"/>
  <c r="K80" i="21"/>
  <c r="K56" i="21"/>
  <c r="X67" i="21"/>
  <c r="X79" i="21"/>
  <c r="X55" i="21"/>
  <c r="U184" i="21"/>
  <c r="E68" i="21"/>
  <c r="E80" i="21"/>
  <c r="E56" i="21"/>
  <c r="N187" i="21"/>
  <c r="N163" i="21"/>
  <c r="N175" i="21"/>
  <c r="AC65" i="21"/>
  <c r="AC76" i="21"/>
  <c r="AC52" i="21"/>
  <c r="AC74" i="21"/>
  <c r="AC50" i="21"/>
  <c r="AC77" i="21"/>
  <c r="AC53" i="21"/>
  <c r="AC75" i="21"/>
  <c r="AC63" i="21"/>
  <c r="AC51" i="21"/>
  <c r="AC64" i="21"/>
  <c r="AC62" i="21"/>
  <c r="T79" i="21"/>
  <c r="T55" i="21"/>
  <c r="T67" i="21"/>
  <c r="D62" i="21"/>
  <c r="D65" i="21"/>
  <c r="D63" i="21"/>
  <c r="D74" i="21"/>
  <c r="D75" i="21"/>
  <c r="D76" i="21"/>
  <c r="D53" i="21"/>
  <c r="D50" i="21"/>
  <c r="D77" i="21"/>
  <c r="D52" i="21"/>
  <c r="D64" i="21"/>
  <c r="D51" i="21"/>
  <c r="H69" i="21"/>
  <c r="H81" i="21"/>
  <c r="H57" i="21"/>
  <c r="T81" i="21"/>
  <c r="T57" i="21"/>
  <c r="T69" i="21"/>
  <c r="Y79" i="21"/>
  <c r="Y67" i="21"/>
  <c r="Y55" i="21"/>
  <c r="Z80" i="21"/>
  <c r="Z56" i="21"/>
  <c r="Z68" i="21"/>
  <c r="P66" i="21"/>
  <c r="P78" i="21"/>
  <c r="P54" i="21"/>
  <c r="I77" i="21"/>
  <c r="I64" i="21"/>
  <c r="I62" i="21"/>
  <c r="I65" i="21"/>
  <c r="I74" i="21"/>
  <c r="I52" i="21"/>
  <c r="I53" i="21"/>
  <c r="I75" i="21"/>
  <c r="I51" i="21"/>
  <c r="I63" i="21"/>
  <c r="I76" i="21"/>
  <c r="I50" i="21"/>
  <c r="X74" i="21"/>
  <c r="X77" i="21"/>
  <c r="X53" i="21"/>
  <c r="X75" i="21"/>
  <c r="X51" i="21"/>
  <c r="X65" i="21"/>
  <c r="X76" i="21"/>
  <c r="X52" i="21"/>
  <c r="X63" i="21"/>
  <c r="X62" i="21"/>
  <c r="X64" i="21"/>
  <c r="X50" i="21"/>
  <c r="G80" i="21"/>
  <c r="G56" i="21"/>
  <c r="G68" i="21"/>
  <c r="F78" i="21"/>
  <c r="F66" i="21"/>
  <c r="F54" i="21"/>
  <c r="X66" i="21"/>
  <c r="X78" i="21"/>
  <c r="X54" i="21"/>
  <c r="W66" i="21"/>
  <c r="W78" i="21"/>
  <c r="W54" i="21"/>
  <c r="Q494" i="21"/>
  <c r="Q482" i="21"/>
  <c r="Q506" i="21"/>
  <c r="J379" i="21"/>
  <c r="J391" i="21"/>
  <c r="J403" i="21"/>
  <c r="W403" i="21"/>
  <c r="W379" i="21"/>
  <c r="W391" i="21"/>
  <c r="V485" i="21"/>
  <c r="V509" i="21"/>
  <c r="V497" i="21"/>
  <c r="Z497" i="21"/>
  <c r="Z509" i="21"/>
  <c r="Z485" i="21"/>
  <c r="G509" i="21"/>
  <c r="G485" i="21"/>
  <c r="G497" i="21"/>
  <c r="T492" i="21"/>
  <c r="T493" i="21"/>
  <c r="T503" i="21"/>
  <c r="T504" i="21"/>
  <c r="T480" i="21"/>
  <c r="T505" i="21"/>
  <c r="T479" i="21"/>
  <c r="T502" i="21"/>
  <c r="T478" i="21"/>
  <c r="T490" i="21"/>
  <c r="T481" i="21"/>
  <c r="T491" i="21"/>
  <c r="R502" i="21"/>
  <c r="R503" i="21"/>
  <c r="R478" i="21"/>
  <c r="R490" i="21"/>
  <c r="R504" i="21"/>
  <c r="R491" i="21"/>
  <c r="R480" i="21"/>
  <c r="R505" i="21"/>
  <c r="R492" i="21"/>
  <c r="R479" i="21"/>
  <c r="R493" i="21"/>
  <c r="R481" i="21"/>
  <c r="E402" i="21"/>
  <c r="E390" i="21"/>
  <c r="E378" i="21"/>
  <c r="K402" i="21"/>
  <c r="K390" i="21"/>
  <c r="K378" i="21"/>
  <c r="Y293" i="21"/>
  <c r="Y281" i="21"/>
  <c r="Y269" i="21"/>
  <c r="L403" i="21"/>
  <c r="L379" i="21"/>
  <c r="L391" i="21"/>
  <c r="H403" i="21"/>
  <c r="H391" i="21"/>
  <c r="H379" i="21"/>
  <c r="AC379" i="21"/>
  <c r="AC403" i="21"/>
  <c r="AC391" i="21"/>
  <c r="O404" i="21"/>
  <c r="O380" i="21"/>
  <c r="O392" i="21"/>
  <c r="G404" i="21"/>
  <c r="G380" i="21"/>
  <c r="G392" i="21"/>
  <c r="B401" i="21"/>
  <c r="B389" i="21"/>
  <c r="B377" i="21"/>
  <c r="K389" i="21"/>
  <c r="K401" i="21"/>
  <c r="K377" i="21"/>
  <c r="J389" i="21"/>
  <c r="J377" i="21"/>
  <c r="J401" i="21"/>
  <c r="X401" i="21"/>
  <c r="X389" i="21"/>
  <c r="X377" i="21"/>
  <c r="G281" i="21"/>
  <c r="G269" i="21"/>
  <c r="G293" i="21"/>
  <c r="I276" i="21"/>
  <c r="I279" i="21"/>
  <c r="I291" i="21"/>
  <c r="I288" i="21"/>
  <c r="I278" i="21"/>
  <c r="I290" i="21"/>
  <c r="I266" i="21"/>
  <c r="I267" i="21"/>
  <c r="I265" i="21"/>
  <c r="I264" i="21"/>
  <c r="I289" i="21"/>
  <c r="I277" i="21"/>
  <c r="P271" i="21"/>
  <c r="P283" i="21"/>
  <c r="P295" i="21"/>
  <c r="AA295" i="21"/>
  <c r="AA271" i="21"/>
  <c r="AA283" i="21"/>
  <c r="N291" i="21"/>
  <c r="N267" i="21"/>
  <c r="N278" i="21"/>
  <c r="N276" i="21"/>
  <c r="N266" i="21"/>
  <c r="N279" i="21"/>
  <c r="N277" i="21"/>
  <c r="N264" i="21"/>
  <c r="N290" i="21"/>
  <c r="N289" i="21"/>
  <c r="N265" i="21"/>
  <c r="N288" i="21"/>
  <c r="G278" i="21"/>
  <c r="G289" i="21"/>
  <c r="G265" i="21"/>
  <c r="G277" i="21"/>
  <c r="G267" i="21"/>
  <c r="G264" i="21"/>
  <c r="G276" i="21"/>
  <c r="G266" i="21"/>
  <c r="G291" i="21"/>
  <c r="G288" i="21"/>
  <c r="G290" i="21"/>
  <c r="G279" i="21"/>
  <c r="W295" i="21"/>
  <c r="W283" i="21"/>
  <c r="W271" i="21"/>
  <c r="E259" i="21"/>
  <c r="S173" i="21"/>
  <c r="S185" i="21"/>
  <c r="S161" i="21"/>
  <c r="C290" i="21"/>
  <c r="C266" i="21"/>
  <c r="C277" i="21"/>
  <c r="C289" i="21"/>
  <c r="C279" i="21"/>
  <c r="C276" i="21"/>
  <c r="C288" i="21"/>
  <c r="C278" i="21"/>
  <c r="C267" i="21"/>
  <c r="C291" i="21"/>
  <c r="C265" i="21"/>
  <c r="C264" i="21"/>
  <c r="P185" i="21"/>
  <c r="P161" i="21"/>
  <c r="P173" i="21"/>
  <c r="B282" i="21"/>
  <c r="B270" i="21"/>
  <c r="B294" i="21"/>
  <c r="R282" i="21"/>
  <c r="R294" i="21"/>
  <c r="R270" i="21"/>
  <c r="AC270" i="21"/>
  <c r="AC294" i="21"/>
  <c r="AC282" i="21"/>
  <c r="R400" i="21"/>
  <c r="R399" i="21"/>
  <c r="R386" i="21"/>
  <c r="R397" i="21"/>
  <c r="R373" i="21"/>
  <c r="R398" i="21"/>
  <c r="R385" i="21"/>
  <c r="R388" i="21"/>
  <c r="R387" i="21"/>
  <c r="R374" i="21"/>
  <c r="R375" i="21"/>
  <c r="R376" i="21"/>
  <c r="F399" i="21"/>
  <c r="F398" i="21"/>
  <c r="F374" i="21"/>
  <c r="F385" i="21"/>
  <c r="F397" i="21"/>
  <c r="F373" i="21"/>
  <c r="F375" i="21"/>
  <c r="F388" i="21"/>
  <c r="F376" i="21"/>
  <c r="F386" i="21"/>
  <c r="F400" i="21"/>
  <c r="F387" i="21"/>
  <c r="AA293" i="21"/>
  <c r="AA269" i="21"/>
  <c r="AA281" i="21"/>
  <c r="D280" i="21"/>
  <c r="D268" i="21"/>
  <c r="D292" i="21"/>
  <c r="Q292" i="21"/>
  <c r="Q268" i="21"/>
  <c r="Q280" i="21"/>
  <c r="Z280" i="21"/>
  <c r="Z268" i="21"/>
  <c r="Z292" i="21"/>
  <c r="V185" i="21"/>
  <c r="V173" i="21"/>
  <c r="V161" i="21"/>
  <c r="M185" i="21"/>
  <c r="M173" i="21"/>
  <c r="M161" i="21"/>
  <c r="E187" i="21"/>
  <c r="E163" i="21"/>
  <c r="E175" i="21"/>
  <c r="U168" i="21"/>
  <c r="U171" i="21"/>
  <c r="U158" i="21"/>
  <c r="U156" i="21"/>
  <c r="U181" i="21"/>
  <c r="U180" i="21"/>
  <c r="U170" i="21"/>
  <c r="U169" i="21"/>
  <c r="U157" i="21"/>
  <c r="U182" i="21"/>
  <c r="U159" i="21"/>
  <c r="U183" i="21"/>
  <c r="C170" i="21"/>
  <c r="C181" i="21"/>
  <c r="C157" i="21"/>
  <c r="C182" i="21"/>
  <c r="C180" i="21"/>
  <c r="C183" i="21"/>
  <c r="C171" i="21"/>
  <c r="C168" i="21"/>
  <c r="C156" i="21"/>
  <c r="C169" i="21"/>
  <c r="C158" i="21"/>
  <c r="C159" i="21"/>
  <c r="K260" i="21"/>
  <c r="G174" i="21"/>
  <c r="G162" i="21"/>
  <c r="G186" i="21"/>
  <c r="AC174" i="21"/>
  <c r="AC162" i="21"/>
  <c r="AC186" i="21"/>
  <c r="L184" i="21"/>
  <c r="L160" i="21"/>
  <c r="L172" i="21"/>
  <c r="W172" i="21"/>
  <c r="W160" i="21"/>
  <c r="W184" i="21"/>
  <c r="U187" i="21"/>
  <c r="U163" i="21"/>
  <c r="U175" i="21"/>
  <c r="N161" i="21"/>
  <c r="N185" i="21"/>
  <c r="N173" i="21"/>
  <c r="O182" i="21"/>
  <c r="O158" i="21"/>
  <c r="O169" i="21"/>
  <c r="O156" i="21"/>
  <c r="O157" i="21"/>
  <c r="O183" i="21"/>
  <c r="O181" i="21"/>
  <c r="O180" i="21"/>
  <c r="O171" i="21"/>
  <c r="O170" i="21"/>
  <c r="O168" i="21"/>
  <c r="O159" i="21"/>
  <c r="Y45" i="21"/>
  <c r="R67" i="21"/>
  <c r="R55" i="21"/>
  <c r="R79" i="21"/>
  <c r="S68" i="21"/>
  <c r="S80" i="21"/>
  <c r="S56" i="21"/>
  <c r="K78" i="21"/>
  <c r="K54" i="21"/>
  <c r="K66" i="21"/>
  <c r="M79" i="21"/>
  <c r="M55" i="21"/>
  <c r="M67" i="21"/>
  <c r="W185" i="21"/>
  <c r="W161" i="21"/>
  <c r="W173" i="21"/>
  <c r="W80" i="21"/>
  <c r="W56" i="21"/>
  <c r="W68" i="21"/>
  <c r="U65" i="21"/>
  <c r="U76" i="21"/>
  <c r="U52" i="21"/>
  <c r="U74" i="21"/>
  <c r="U50" i="21"/>
  <c r="U77" i="21"/>
  <c r="U64" i="21"/>
  <c r="U51" i="21"/>
  <c r="U75" i="21"/>
  <c r="U63" i="21"/>
  <c r="U53" i="21"/>
  <c r="U62" i="21"/>
  <c r="J67" i="21"/>
  <c r="J79" i="21"/>
  <c r="J55" i="21"/>
  <c r="R81" i="21"/>
  <c r="R57" i="21"/>
  <c r="R69" i="21"/>
  <c r="AB81" i="21"/>
  <c r="AB57" i="21"/>
  <c r="AB69" i="21"/>
  <c r="AA75" i="21"/>
  <c r="AA62" i="21"/>
  <c r="AA76" i="21"/>
  <c r="AA52" i="21"/>
  <c r="AA63" i="21"/>
  <c r="AA53" i="21"/>
  <c r="AA50" i="21"/>
  <c r="AA64" i="21"/>
  <c r="AA65" i="21"/>
  <c r="AA74" i="21"/>
  <c r="AA51" i="21"/>
  <c r="AA77" i="21"/>
  <c r="H74" i="21"/>
  <c r="H77" i="21"/>
  <c r="H53" i="21"/>
  <c r="H75" i="21"/>
  <c r="H51" i="21"/>
  <c r="H76" i="21"/>
  <c r="H65" i="21"/>
  <c r="H62" i="21"/>
  <c r="H50" i="21"/>
  <c r="H52" i="21"/>
  <c r="H64" i="21"/>
  <c r="H63" i="21"/>
  <c r="L79" i="21"/>
  <c r="L55" i="21"/>
  <c r="L67" i="21"/>
  <c r="S67" i="21"/>
  <c r="S79" i="21"/>
  <c r="S55" i="21"/>
  <c r="Q507" i="21"/>
  <c r="Q483" i="21"/>
  <c r="Q495" i="21"/>
  <c r="T495" i="21"/>
  <c r="T483" i="21"/>
  <c r="T507" i="21"/>
  <c r="R496" i="21"/>
  <c r="R508" i="21"/>
  <c r="R484" i="21"/>
  <c r="J494" i="21"/>
  <c r="J482" i="21"/>
  <c r="J506" i="21"/>
  <c r="AC495" i="21"/>
  <c r="AC483" i="21"/>
  <c r="AC507" i="21"/>
  <c r="M506" i="21"/>
  <c r="M482" i="21"/>
  <c r="M494" i="21"/>
  <c r="Y482" i="21"/>
  <c r="Y506" i="21"/>
  <c r="Y494" i="21"/>
  <c r="AA483" i="21"/>
  <c r="AA507" i="21"/>
  <c r="AA495" i="21"/>
  <c r="F506" i="21"/>
  <c r="F482" i="21"/>
  <c r="F494" i="21"/>
  <c r="H507" i="21"/>
  <c r="H483" i="21"/>
  <c r="H495" i="21"/>
  <c r="Y508" i="21"/>
  <c r="Y484" i="21"/>
  <c r="Y496" i="21"/>
  <c r="X496" i="21"/>
  <c r="X508" i="21"/>
  <c r="X484" i="21"/>
  <c r="E392" i="21"/>
  <c r="E380" i="21"/>
  <c r="E404" i="21"/>
  <c r="R403" i="21"/>
  <c r="R391" i="21"/>
  <c r="R379" i="21"/>
  <c r="P494" i="21"/>
  <c r="Q402" i="21"/>
  <c r="Q378" i="21"/>
  <c r="Q390" i="21"/>
  <c r="S390" i="21"/>
  <c r="S378" i="21"/>
  <c r="S402" i="21"/>
  <c r="Q281" i="21"/>
  <c r="Q293" i="21"/>
  <c r="Q269" i="21"/>
  <c r="X391" i="21"/>
  <c r="X379" i="21"/>
  <c r="X403" i="21"/>
  <c r="X281" i="21"/>
  <c r="X293" i="21"/>
  <c r="X269" i="21"/>
  <c r="E293" i="21"/>
  <c r="E269" i="21"/>
  <c r="E281" i="21"/>
  <c r="R389" i="21"/>
  <c r="R377" i="21"/>
  <c r="R401" i="21"/>
  <c r="AA389" i="21"/>
  <c r="AA401" i="21"/>
  <c r="AA377" i="21"/>
  <c r="V401" i="21"/>
  <c r="V377" i="21"/>
  <c r="V389" i="21"/>
  <c r="I389" i="21"/>
  <c r="I401" i="21"/>
  <c r="I377" i="21"/>
  <c r="S282" i="21"/>
  <c r="S270" i="21"/>
  <c r="S294" i="21"/>
  <c r="S293" i="21"/>
  <c r="S269" i="21"/>
  <c r="S281" i="21"/>
  <c r="Z295" i="21"/>
  <c r="Z271" i="21"/>
  <c r="Z283" i="21"/>
  <c r="D283" i="21"/>
  <c r="D271" i="21"/>
  <c r="D295" i="21"/>
  <c r="B279" i="21"/>
  <c r="B290" i="21"/>
  <c r="B266" i="21"/>
  <c r="B289" i="21"/>
  <c r="B267" i="21"/>
  <c r="B291" i="21"/>
  <c r="B288" i="21"/>
  <c r="B277" i="21"/>
  <c r="B276" i="21"/>
  <c r="B265" i="21"/>
  <c r="B264" i="21"/>
  <c r="B278" i="21"/>
  <c r="Z279" i="21"/>
  <c r="Z290" i="21"/>
  <c r="Z266" i="21"/>
  <c r="Z276" i="21"/>
  <c r="Z277" i="21"/>
  <c r="Z267" i="21"/>
  <c r="Z289" i="21"/>
  <c r="Z264" i="21"/>
  <c r="Z265" i="21"/>
  <c r="Z291" i="21"/>
  <c r="Z278" i="21"/>
  <c r="Z288" i="21"/>
  <c r="B295" i="21"/>
  <c r="B271" i="21"/>
  <c r="B283" i="21"/>
  <c r="H281" i="21"/>
  <c r="H293" i="21"/>
  <c r="H269" i="21"/>
  <c r="G185" i="21"/>
  <c r="G161" i="21"/>
  <c r="G173" i="21"/>
  <c r="I161" i="21"/>
  <c r="I173" i="21"/>
  <c r="I185" i="21"/>
  <c r="F173" i="21"/>
  <c r="F185" i="21"/>
  <c r="F161" i="21"/>
  <c r="J400" i="21"/>
  <c r="J386" i="21"/>
  <c r="J397" i="21"/>
  <c r="J373" i="21"/>
  <c r="J385" i="21"/>
  <c r="J399" i="21"/>
  <c r="J388" i="21"/>
  <c r="J398" i="21"/>
  <c r="J376" i="21"/>
  <c r="J374" i="21"/>
  <c r="J387" i="21"/>
  <c r="J375" i="21"/>
  <c r="C293" i="21"/>
  <c r="C269" i="21"/>
  <c r="C281" i="21"/>
  <c r="H292" i="21"/>
  <c r="H268" i="21"/>
  <c r="H280" i="21"/>
  <c r="C280" i="21"/>
  <c r="C268" i="21"/>
  <c r="C292" i="21"/>
  <c r="S184" i="21"/>
  <c r="S172" i="21"/>
  <c r="S160" i="21"/>
  <c r="K186" i="21"/>
  <c r="K162" i="21"/>
  <c r="K174" i="21"/>
  <c r="J183" i="21"/>
  <c r="J159" i="21"/>
  <c r="J170" i="21"/>
  <c r="J181" i="21"/>
  <c r="J171" i="21"/>
  <c r="J169" i="21"/>
  <c r="J168" i="21"/>
  <c r="J158" i="21"/>
  <c r="J157" i="21"/>
  <c r="J156" i="21"/>
  <c r="J180" i="21"/>
  <c r="J182" i="21"/>
  <c r="K170" i="21"/>
  <c r="K181" i="21"/>
  <c r="K157" i="21"/>
  <c r="K168" i="21"/>
  <c r="K158" i="21"/>
  <c r="K156" i="21"/>
  <c r="K169" i="21"/>
  <c r="K159" i="21"/>
  <c r="K183" i="21"/>
  <c r="K182" i="21"/>
  <c r="K180" i="21"/>
  <c r="K171" i="21"/>
  <c r="Q162" i="21"/>
  <c r="Q186" i="21"/>
  <c r="Q174" i="21"/>
  <c r="D186" i="21"/>
  <c r="D174" i="21"/>
  <c r="D162" i="21"/>
  <c r="X172" i="21"/>
  <c r="X160" i="21"/>
  <c r="X184" i="21"/>
  <c r="G268" i="21"/>
  <c r="G292" i="21"/>
  <c r="G280" i="21"/>
  <c r="M289" i="21"/>
  <c r="AB173" i="21"/>
  <c r="AB185" i="21"/>
  <c r="AB161" i="21"/>
  <c r="Z183" i="21"/>
  <c r="Z159" i="21"/>
  <c r="Z170" i="21"/>
  <c r="Z169" i="21"/>
  <c r="Z181" i="21"/>
  <c r="Z171" i="21"/>
  <c r="Z158" i="21"/>
  <c r="Z157" i="21"/>
  <c r="Z156" i="21"/>
  <c r="Z182" i="21"/>
  <c r="Z180" i="21"/>
  <c r="Z168" i="21"/>
  <c r="E168" i="21"/>
  <c r="E171" i="21"/>
  <c r="E156" i="21"/>
  <c r="E158" i="21"/>
  <c r="E183" i="21"/>
  <c r="E182" i="21"/>
  <c r="E181" i="21"/>
  <c r="E180" i="21"/>
  <c r="E170" i="21"/>
  <c r="E169" i="21"/>
  <c r="E159" i="21"/>
  <c r="E157" i="21"/>
  <c r="G79" i="21"/>
  <c r="G55" i="21"/>
  <c r="G67" i="21"/>
  <c r="AA68" i="21"/>
  <c r="AA80" i="21"/>
  <c r="AA56" i="21"/>
  <c r="S78" i="21"/>
  <c r="S54" i="21"/>
  <c r="S66" i="21"/>
  <c r="D163" i="21"/>
  <c r="D175" i="21"/>
  <c r="D187" i="21"/>
  <c r="M68" i="21"/>
  <c r="M80" i="21"/>
  <c r="M56" i="21"/>
  <c r="AB78" i="21"/>
  <c r="AB54" i="21"/>
  <c r="AB66" i="21"/>
  <c r="J81" i="21"/>
  <c r="J57" i="21"/>
  <c r="J69" i="21"/>
  <c r="C69" i="21"/>
  <c r="C81" i="21"/>
  <c r="C57" i="21"/>
  <c r="AC81" i="21"/>
  <c r="AC57" i="21"/>
  <c r="AC69" i="21"/>
  <c r="F69" i="21"/>
  <c r="F81" i="21"/>
  <c r="F57" i="21"/>
  <c r="R80" i="21"/>
  <c r="R56" i="21"/>
  <c r="R68" i="21"/>
  <c r="K75" i="21"/>
  <c r="K62" i="21"/>
  <c r="K76" i="21"/>
  <c r="K52" i="21"/>
  <c r="K51" i="21"/>
  <c r="K77" i="21"/>
  <c r="K63" i="21"/>
  <c r="K64" i="21"/>
  <c r="K74" i="21"/>
  <c r="K65" i="21"/>
  <c r="K53" i="21"/>
  <c r="K50" i="21"/>
  <c r="B81" i="21"/>
  <c r="B57" i="21"/>
  <c r="B69" i="21"/>
  <c r="I78" i="21"/>
  <c r="I54" i="21"/>
  <c r="I66" i="21"/>
  <c r="Q77" i="21"/>
  <c r="Q64" i="21"/>
  <c r="Q62" i="21"/>
  <c r="Q65" i="21"/>
  <c r="Q74" i="21"/>
  <c r="Q51" i="21"/>
  <c r="Q53" i="21"/>
  <c r="Q50" i="21"/>
  <c r="Q75" i="21"/>
  <c r="Q63" i="21"/>
  <c r="Q76" i="21"/>
  <c r="Q52" i="21"/>
  <c r="W494" i="21"/>
  <c r="W482" i="21"/>
  <c r="W506" i="21"/>
  <c r="M496" i="21"/>
  <c r="M484" i="21"/>
  <c r="M508" i="21"/>
  <c r="AB508" i="21"/>
  <c r="AB484" i="21"/>
  <c r="AB496" i="21"/>
  <c r="C403" i="21"/>
  <c r="C391" i="21"/>
  <c r="C379" i="21"/>
  <c r="B404" i="21"/>
  <c r="B392" i="21"/>
  <c r="B380" i="21"/>
  <c r="X506" i="21"/>
  <c r="X482" i="21"/>
  <c r="X494" i="21"/>
  <c r="F507" i="21"/>
  <c r="F495" i="21"/>
  <c r="F483" i="21"/>
  <c r="C506" i="21"/>
  <c r="C482" i="21"/>
  <c r="C494" i="21"/>
  <c r="O494" i="21"/>
  <c r="O506" i="21"/>
  <c r="O482" i="21"/>
  <c r="E496" i="21"/>
  <c r="E508" i="21"/>
  <c r="E484" i="21"/>
  <c r="B496" i="21"/>
  <c r="B508" i="21"/>
  <c r="B484" i="21"/>
  <c r="R404" i="21"/>
  <c r="R392" i="21"/>
  <c r="R380" i="21"/>
  <c r="H380" i="21"/>
  <c r="H392" i="21"/>
  <c r="H404" i="21"/>
  <c r="Z391" i="21"/>
  <c r="Z379" i="21"/>
  <c r="Z403" i="21"/>
  <c r="W509" i="21"/>
  <c r="W485" i="21"/>
  <c r="W497" i="21"/>
  <c r="V404" i="21"/>
  <c r="V392" i="21"/>
  <c r="V380" i="21"/>
  <c r="U390" i="21"/>
  <c r="U378" i="21"/>
  <c r="U402" i="21"/>
  <c r="AA402" i="21"/>
  <c r="AA378" i="21"/>
  <c r="AA390" i="21"/>
  <c r="I281" i="21"/>
  <c r="I269" i="21"/>
  <c r="I293" i="21"/>
  <c r="M269" i="21"/>
  <c r="M293" i="21"/>
  <c r="M281" i="21"/>
  <c r="C389" i="21"/>
  <c r="C401" i="21"/>
  <c r="C377" i="21"/>
  <c r="M401" i="21"/>
  <c r="M389" i="21"/>
  <c r="M377" i="21"/>
  <c r="D401" i="21"/>
  <c r="D377" i="21"/>
  <c r="D389" i="21"/>
  <c r="Q401" i="21"/>
  <c r="Q377" i="21"/>
  <c r="Q389" i="21"/>
  <c r="K290" i="21"/>
  <c r="K266" i="21"/>
  <c r="K277" i="21"/>
  <c r="K265" i="21"/>
  <c r="K288" i="21"/>
  <c r="K264" i="21"/>
  <c r="K267" i="21"/>
  <c r="K291" i="21"/>
  <c r="K289" i="21"/>
  <c r="K279" i="21"/>
  <c r="K278" i="21"/>
  <c r="K276" i="21"/>
  <c r="P390" i="21"/>
  <c r="L283" i="21"/>
  <c r="L295" i="21"/>
  <c r="L271" i="21"/>
  <c r="E288" i="21"/>
  <c r="E264" i="21"/>
  <c r="E291" i="21"/>
  <c r="E267" i="21"/>
  <c r="E290" i="21"/>
  <c r="E266" i="21"/>
  <c r="E265" i="21"/>
  <c r="E278" i="21"/>
  <c r="E279" i="21"/>
  <c r="E277" i="21"/>
  <c r="E276" i="21"/>
  <c r="E289" i="21"/>
  <c r="W278" i="21"/>
  <c r="W289" i="21"/>
  <c r="W265" i="21"/>
  <c r="W279" i="21"/>
  <c r="W276" i="21"/>
  <c r="W266" i="21"/>
  <c r="W290" i="21"/>
  <c r="W267" i="21"/>
  <c r="W288" i="21"/>
  <c r="W264" i="21"/>
  <c r="W291" i="21"/>
  <c r="W277" i="21"/>
  <c r="Q185" i="21"/>
  <c r="Q173" i="21"/>
  <c r="Q161" i="21"/>
  <c r="V294" i="21"/>
  <c r="V270" i="21"/>
  <c r="V282" i="21"/>
  <c r="S400" i="21"/>
  <c r="S397" i="21"/>
  <c r="S373" i="21"/>
  <c r="S376" i="21"/>
  <c r="S388" i="21"/>
  <c r="S387" i="21"/>
  <c r="S374" i="21"/>
  <c r="S375" i="21"/>
  <c r="S399" i="21"/>
  <c r="S398" i="21"/>
  <c r="S385" i="21"/>
  <c r="S386" i="21"/>
  <c r="AB398" i="21"/>
  <c r="AB399" i="21"/>
  <c r="AB376" i="21"/>
  <c r="AB387" i="21"/>
  <c r="AB375" i="21"/>
  <c r="AB385" i="21"/>
  <c r="AB374" i="21"/>
  <c r="AB373" i="21"/>
  <c r="AB386" i="21"/>
  <c r="AB400" i="21"/>
  <c r="AB397" i="21"/>
  <c r="AB388" i="21"/>
  <c r="V374" i="21"/>
  <c r="V385" i="21"/>
  <c r="V397" i="21"/>
  <c r="V373" i="21"/>
  <c r="V387" i="21"/>
  <c r="V376" i="21"/>
  <c r="V398" i="21"/>
  <c r="V400" i="21"/>
  <c r="V375" i="21"/>
  <c r="V399" i="21"/>
  <c r="V388" i="21"/>
  <c r="V386" i="21"/>
  <c r="O281" i="21"/>
  <c r="O293" i="21"/>
  <c r="O269" i="21"/>
  <c r="L280" i="21"/>
  <c r="L292" i="21"/>
  <c r="L268" i="21"/>
  <c r="R183" i="21"/>
  <c r="R159" i="21"/>
  <c r="R170" i="21"/>
  <c r="R157" i="21"/>
  <c r="R182" i="21"/>
  <c r="R181" i="21"/>
  <c r="R180" i="21"/>
  <c r="R171" i="21"/>
  <c r="R169" i="21"/>
  <c r="R158" i="21"/>
  <c r="R168" i="21"/>
  <c r="R156" i="21"/>
  <c r="K173" i="21"/>
  <c r="K161" i="21"/>
  <c r="K185" i="21"/>
  <c r="H185" i="21"/>
  <c r="H161" i="21"/>
  <c r="H173" i="21"/>
  <c r="S170" i="21"/>
  <c r="S181" i="21"/>
  <c r="S157" i="21"/>
  <c r="S180" i="21"/>
  <c r="S182" i="21"/>
  <c r="S183" i="21"/>
  <c r="S171" i="21"/>
  <c r="S169" i="21"/>
  <c r="S168" i="21"/>
  <c r="S159" i="21"/>
  <c r="S158" i="21"/>
  <c r="S156" i="21"/>
  <c r="P260" i="21"/>
  <c r="AA186" i="21"/>
  <c r="AA162" i="21"/>
  <c r="AA174" i="21"/>
  <c r="C172" i="21"/>
  <c r="C184" i="21"/>
  <c r="C160" i="21"/>
  <c r="L175" i="21"/>
  <c r="L187" i="21"/>
  <c r="L163" i="21"/>
  <c r="O280" i="21"/>
  <c r="O268" i="21"/>
  <c r="O292" i="21"/>
  <c r="M277" i="21"/>
  <c r="Y78" i="21"/>
  <c r="Y54" i="21"/>
  <c r="Y66" i="21"/>
  <c r="F79" i="21"/>
  <c r="F55" i="21"/>
  <c r="F67" i="21"/>
  <c r="AA78" i="21"/>
  <c r="AA54" i="21"/>
  <c r="AA66" i="21"/>
  <c r="J78" i="21"/>
  <c r="J66" i="21"/>
  <c r="J54" i="21"/>
  <c r="E65" i="21"/>
  <c r="E76" i="21"/>
  <c r="E52" i="21"/>
  <c r="E74" i="21"/>
  <c r="E50" i="21"/>
  <c r="E77" i="21"/>
  <c r="E64" i="21"/>
  <c r="E63" i="21"/>
  <c r="E53" i="21"/>
  <c r="E62" i="21"/>
  <c r="E75" i="21"/>
  <c r="E51" i="21"/>
  <c r="Q78" i="21"/>
  <c r="Q54" i="21"/>
  <c r="Q66" i="21"/>
  <c r="N69" i="21"/>
  <c r="N81" i="21"/>
  <c r="N57" i="21"/>
  <c r="AC67" i="21"/>
  <c r="AC55" i="21"/>
  <c r="AC79" i="21"/>
  <c r="C75" i="21"/>
  <c r="C62" i="21"/>
  <c r="C76" i="21"/>
  <c r="C52" i="21"/>
  <c r="C50" i="21"/>
  <c r="C51" i="21"/>
  <c r="C64" i="21"/>
  <c r="C65" i="21"/>
  <c r="C53" i="21"/>
  <c r="C77" i="21"/>
  <c r="C63" i="21"/>
  <c r="C74" i="21"/>
  <c r="AA69" i="21"/>
  <c r="AA57" i="21"/>
  <c r="AA81" i="21"/>
  <c r="N68" i="21"/>
  <c r="N80" i="21"/>
  <c r="N56" i="21"/>
  <c r="V76" i="21"/>
  <c r="V63" i="21"/>
  <c r="V77" i="21"/>
  <c r="V53" i="21"/>
  <c r="V64" i="21"/>
  <c r="V75" i="21"/>
  <c r="V74" i="21"/>
  <c r="V62" i="21"/>
  <c r="V65" i="21"/>
  <c r="V50" i="21"/>
  <c r="V52" i="21"/>
  <c r="V51" i="21"/>
  <c r="S75" i="21"/>
  <c r="S62" i="21"/>
  <c r="S76" i="21"/>
  <c r="S52" i="21"/>
  <c r="S63" i="21"/>
  <c r="S53" i="21"/>
  <c r="S77" i="21"/>
  <c r="S74" i="21"/>
  <c r="S64" i="21"/>
  <c r="S65" i="21"/>
  <c r="S51" i="21"/>
  <c r="S50" i="21"/>
  <c r="K507" i="21"/>
  <c r="K495" i="21"/>
  <c r="K483" i="21"/>
  <c r="G496" i="21"/>
  <c r="G484" i="21"/>
  <c r="G508" i="21"/>
  <c r="T494" i="21"/>
  <c r="T482" i="21"/>
  <c r="T506" i="21"/>
  <c r="J495" i="21"/>
  <c r="J483" i="21"/>
  <c r="J507" i="21"/>
  <c r="N506" i="21"/>
  <c r="N482" i="21"/>
  <c r="N494" i="21"/>
  <c r="K506" i="21"/>
  <c r="K482" i="21"/>
  <c r="K494" i="21"/>
  <c r="AB482" i="21"/>
  <c r="AB494" i="21"/>
  <c r="AB506" i="21"/>
  <c r="V506" i="21"/>
  <c r="V494" i="21"/>
  <c r="V482" i="21"/>
  <c r="Z496" i="21"/>
  <c r="Z484" i="21"/>
  <c r="Z508" i="21"/>
  <c r="P496" i="21"/>
  <c r="P484" i="21"/>
  <c r="P508" i="21"/>
  <c r="K484" i="21"/>
  <c r="K508" i="21"/>
  <c r="K496" i="21"/>
  <c r="H496" i="21"/>
  <c r="H484" i="21"/>
  <c r="H508" i="21"/>
  <c r="Z404" i="21"/>
  <c r="Z392" i="21"/>
  <c r="Z380" i="21"/>
  <c r="F391" i="21"/>
  <c r="F379" i="21"/>
  <c r="F403" i="21"/>
  <c r="I491" i="21"/>
  <c r="I492" i="21"/>
  <c r="I503" i="21"/>
  <c r="I493" i="21"/>
  <c r="I481" i="21"/>
  <c r="I479" i="21"/>
  <c r="I502" i="21"/>
  <c r="I490" i="21"/>
  <c r="I478" i="21"/>
  <c r="I504" i="21"/>
  <c r="I505" i="21"/>
  <c r="I480" i="21"/>
  <c r="R281" i="21"/>
  <c r="R269" i="21"/>
  <c r="R293" i="21"/>
  <c r="Q260" i="21"/>
  <c r="I391" i="21"/>
  <c r="I379" i="21"/>
  <c r="I403" i="21"/>
  <c r="K403" i="21"/>
  <c r="K379" i="21"/>
  <c r="K391" i="21"/>
  <c r="U283" i="21"/>
  <c r="U295" i="21"/>
  <c r="U271" i="21"/>
  <c r="U269" i="21"/>
  <c r="U281" i="21"/>
  <c r="U293" i="21"/>
  <c r="S389" i="21"/>
  <c r="S377" i="21"/>
  <c r="S401" i="21"/>
  <c r="AC401" i="21"/>
  <c r="AC377" i="21"/>
  <c r="AC389" i="21"/>
  <c r="L401" i="21"/>
  <c r="L389" i="21"/>
  <c r="L377" i="21"/>
  <c r="Y389" i="21"/>
  <c r="Y377" i="21"/>
  <c r="Y401" i="21"/>
  <c r="Q295" i="21"/>
  <c r="Q271" i="21"/>
  <c r="Q283" i="21"/>
  <c r="T295" i="21"/>
  <c r="T271" i="21"/>
  <c r="T283" i="21"/>
  <c r="M402" i="21"/>
  <c r="Q276" i="21"/>
  <c r="Q279" i="21"/>
  <c r="Q277" i="21"/>
  <c r="Q267" i="21"/>
  <c r="Q264" i="21"/>
  <c r="Q266" i="21"/>
  <c r="Q290" i="21"/>
  <c r="Q288" i="21"/>
  <c r="Q289" i="21"/>
  <c r="Q278" i="21"/>
  <c r="Q291" i="21"/>
  <c r="Q265" i="21"/>
  <c r="H289" i="21"/>
  <c r="H265" i="21"/>
  <c r="H276" i="21"/>
  <c r="H264" i="21"/>
  <c r="H291" i="21"/>
  <c r="H277" i="21"/>
  <c r="H266" i="21"/>
  <c r="H267" i="21"/>
  <c r="H290" i="21"/>
  <c r="H279" i="21"/>
  <c r="H278" i="21"/>
  <c r="H288" i="21"/>
  <c r="Y161" i="21"/>
  <c r="Y185" i="21"/>
  <c r="Y173" i="21"/>
  <c r="F294" i="21"/>
  <c r="F270" i="21"/>
  <c r="F282" i="21"/>
  <c r="Y398" i="21"/>
  <c r="Y375" i="21"/>
  <c r="Y386" i="21"/>
  <c r="Y374" i="21"/>
  <c r="Y397" i="21"/>
  <c r="Y399" i="21"/>
  <c r="Y388" i="21"/>
  <c r="Y385" i="21"/>
  <c r="Y376" i="21"/>
  <c r="Y373" i="21"/>
  <c r="Y400" i="21"/>
  <c r="Y387" i="21"/>
  <c r="AB280" i="21"/>
  <c r="AB292" i="21"/>
  <c r="AB268" i="21"/>
  <c r="D293" i="21"/>
  <c r="D269" i="21"/>
  <c r="D281" i="21"/>
  <c r="I292" i="21"/>
  <c r="I268" i="21"/>
  <c r="I280" i="21"/>
  <c r="S268" i="21"/>
  <c r="S280" i="21"/>
  <c r="S292" i="21"/>
  <c r="H172" i="21"/>
  <c r="H160" i="21"/>
  <c r="H184" i="21"/>
  <c r="M168" i="21"/>
  <c r="M171" i="21"/>
  <c r="M182" i="21"/>
  <c r="M180" i="21"/>
  <c r="M170" i="21"/>
  <c r="M159" i="21"/>
  <c r="M158" i="21"/>
  <c r="M157" i="21"/>
  <c r="M156" i="21"/>
  <c r="M181" i="21"/>
  <c r="M169" i="21"/>
  <c r="M183" i="21"/>
  <c r="AA170" i="21"/>
  <c r="AA181" i="21"/>
  <c r="AA157" i="21"/>
  <c r="AA156" i="21"/>
  <c r="AA168" i="21"/>
  <c r="AA158" i="21"/>
  <c r="AA159" i="21"/>
  <c r="AA180" i="21"/>
  <c r="AA169" i="21"/>
  <c r="AA182" i="21"/>
  <c r="AA171" i="21"/>
  <c r="AA183" i="21"/>
  <c r="AA260" i="21"/>
  <c r="B186" i="21"/>
  <c r="B162" i="21"/>
  <c r="B174" i="21"/>
  <c r="H174" i="21"/>
  <c r="H162" i="21"/>
  <c r="H186" i="21"/>
  <c r="T174" i="21"/>
  <c r="T162" i="21"/>
  <c r="T186" i="21"/>
  <c r="M184" i="21"/>
  <c r="M160" i="21"/>
  <c r="M172" i="21"/>
  <c r="F184" i="21"/>
  <c r="F172" i="21"/>
  <c r="F160" i="21"/>
  <c r="P163" i="21"/>
  <c r="P175" i="21"/>
  <c r="P187" i="21"/>
  <c r="O185" i="21"/>
  <c r="O161" i="21"/>
  <c r="O173" i="21"/>
  <c r="O66" i="21"/>
  <c r="O54" i="21"/>
  <c r="O78" i="21"/>
  <c r="I80" i="21"/>
  <c r="I56" i="21"/>
  <c r="I68" i="21"/>
  <c r="N79" i="21"/>
  <c r="N55" i="21"/>
  <c r="N67" i="21"/>
  <c r="AC187" i="21"/>
  <c r="AC163" i="21"/>
  <c r="AC175" i="21"/>
  <c r="B66" i="21"/>
  <c r="B78" i="21"/>
  <c r="B54" i="21"/>
  <c r="G66" i="21"/>
  <c r="G78" i="21"/>
  <c r="G54" i="21"/>
  <c r="K69" i="21"/>
  <c r="K81" i="21"/>
  <c r="K57" i="21"/>
  <c r="V69" i="21"/>
  <c r="V81" i="21"/>
  <c r="V57" i="21"/>
  <c r="I55" i="21"/>
  <c r="I67" i="21"/>
  <c r="I79" i="21"/>
  <c r="G57" i="21"/>
  <c r="G81" i="21"/>
  <c r="G69" i="21"/>
  <c r="Z45" i="21"/>
  <c r="Z67" i="21"/>
  <c r="Z55" i="21"/>
  <c r="Z79" i="21"/>
  <c r="J80" i="21"/>
  <c r="J56" i="21"/>
  <c r="J68" i="21"/>
  <c r="F76" i="21"/>
  <c r="F63" i="21"/>
  <c r="F77" i="21"/>
  <c r="F53" i="21"/>
  <c r="F64" i="21"/>
  <c r="F51" i="21"/>
  <c r="F52" i="21"/>
  <c r="F65" i="21"/>
  <c r="F62" i="21"/>
  <c r="F75" i="21"/>
  <c r="F50" i="21"/>
  <c r="F74" i="21"/>
  <c r="V78" i="21"/>
  <c r="V54" i="21"/>
  <c r="V66" i="21"/>
  <c r="H506" i="21"/>
  <c r="H482" i="21"/>
  <c r="H494" i="21"/>
  <c r="AC506" i="21"/>
  <c r="AC494" i="21"/>
  <c r="AC482" i="21"/>
  <c r="L494" i="21"/>
  <c r="L482" i="21"/>
  <c r="L506" i="21"/>
  <c r="N508" i="21"/>
  <c r="N484" i="21"/>
  <c r="N496" i="21"/>
  <c r="W404" i="21"/>
  <c r="W380" i="21"/>
  <c r="W392" i="21"/>
  <c r="AC392" i="21"/>
  <c r="AC380" i="21"/>
  <c r="AC404" i="21"/>
  <c r="M379" i="21"/>
  <c r="M403" i="21"/>
  <c r="M391" i="21"/>
  <c r="N403" i="21"/>
  <c r="N379" i="21"/>
  <c r="N391" i="21"/>
  <c r="B485" i="21"/>
  <c r="B509" i="21"/>
  <c r="B497" i="21"/>
  <c r="R497" i="21"/>
  <c r="R485" i="21"/>
  <c r="R509" i="21"/>
  <c r="S497" i="21"/>
  <c r="S485" i="21"/>
  <c r="S509" i="21"/>
  <c r="Q509" i="21"/>
  <c r="Q485" i="21"/>
  <c r="Q497" i="21"/>
  <c r="B495" i="21"/>
  <c r="B507" i="21"/>
  <c r="B483" i="21"/>
  <c r="E503" i="21"/>
  <c r="E504" i="21"/>
  <c r="E505" i="21"/>
  <c r="E479" i="21"/>
  <c r="E490" i="21"/>
  <c r="E492" i="21"/>
  <c r="E480" i="21"/>
  <c r="E502" i="21"/>
  <c r="E493" i="21"/>
  <c r="E481" i="21"/>
  <c r="E478" i="21"/>
  <c r="E491" i="21"/>
  <c r="V490" i="21"/>
  <c r="V491" i="21"/>
  <c r="V480" i="21"/>
  <c r="V502" i="21"/>
  <c r="V492" i="21"/>
  <c r="V478" i="21"/>
  <c r="V505" i="21"/>
  <c r="V479" i="21"/>
  <c r="V493" i="21"/>
  <c r="V481" i="21"/>
  <c r="V503" i="21"/>
  <c r="V504" i="21"/>
  <c r="Y402" i="21"/>
  <c r="Y378" i="21"/>
  <c r="Y390" i="21"/>
  <c r="J269" i="21"/>
  <c r="J293" i="21"/>
  <c r="J281" i="21"/>
  <c r="X402" i="21"/>
  <c r="X390" i="21"/>
  <c r="X378" i="21"/>
  <c r="G402" i="21"/>
  <c r="G378" i="21"/>
  <c r="G390" i="21"/>
  <c r="Y391" i="21"/>
  <c r="Y379" i="21"/>
  <c r="Y403" i="21"/>
  <c r="S403" i="21"/>
  <c r="S391" i="21"/>
  <c r="S379" i="21"/>
  <c r="D392" i="21"/>
  <c r="D404" i="21"/>
  <c r="D380" i="21"/>
  <c r="D403" i="21"/>
  <c r="D379" i="21"/>
  <c r="D391" i="21"/>
  <c r="AC281" i="21"/>
  <c r="AC293" i="21"/>
  <c r="AC269" i="21"/>
  <c r="E401" i="21"/>
  <c r="E377" i="21"/>
  <c r="E389" i="21"/>
  <c r="N401" i="21"/>
  <c r="N377" i="21"/>
  <c r="N389" i="21"/>
  <c r="T401" i="21"/>
  <c r="T377" i="21"/>
  <c r="T389" i="21"/>
  <c r="AC283" i="21"/>
  <c r="AC271" i="21"/>
  <c r="AC295" i="21"/>
  <c r="AB271" i="21"/>
  <c r="AB295" i="21"/>
  <c r="AB283" i="21"/>
  <c r="P289" i="21"/>
  <c r="P265" i="21"/>
  <c r="P276" i="21"/>
  <c r="P290" i="21"/>
  <c r="P277" i="21"/>
  <c r="P267" i="21"/>
  <c r="P291" i="21"/>
  <c r="P288" i="21"/>
  <c r="P279" i="21"/>
  <c r="P278" i="21"/>
  <c r="P266" i="21"/>
  <c r="P264" i="21"/>
  <c r="K282" i="21"/>
  <c r="K294" i="21"/>
  <c r="K270" i="21"/>
  <c r="B185" i="21"/>
  <c r="B173" i="21"/>
  <c r="B161" i="21"/>
  <c r="AA282" i="21"/>
  <c r="AA294" i="21"/>
  <c r="AA270" i="21"/>
  <c r="D270" i="21"/>
  <c r="D282" i="21"/>
  <c r="D294" i="21"/>
  <c r="Y270" i="21"/>
  <c r="Y282" i="21"/>
  <c r="Y294" i="21"/>
  <c r="T398" i="21"/>
  <c r="T376" i="21"/>
  <c r="T400" i="21"/>
  <c r="T387" i="21"/>
  <c r="T375" i="21"/>
  <c r="T373" i="21"/>
  <c r="T374" i="21"/>
  <c r="T397" i="21"/>
  <c r="T399" i="21"/>
  <c r="T388" i="21"/>
  <c r="T385" i="21"/>
  <c r="T386" i="21"/>
  <c r="L398" i="21"/>
  <c r="L376" i="21"/>
  <c r="L387" i="21"/>
  <c r="L375" i="21"/>
  <c r="L399" i="21"/>
  <c r="L397" i="21"/>
  <c r="L386" i="21"/>
  <c r="L373" i="21"/>
  <c r="L374" i="21"/>
  <c r="L400" i="21"/>
  <c r="L388" i="21"/>
  <c r="L385" i="21"/>
  <c r="E387" i="21"/>
  <c r="E399" i="21"/>
  <c r="E398" i="21"/>
  <c r="E374" i="21"/>
  <c r="E386" i="21"/>
  <c r="E388" i="21"/>
  <c r="E373" i="21"/>
  <c r="E397" i="21"/>
  <c r="E375" i="21"/>
  <c r="E385" i="21"/>
  <c r="E376" i="21"/>
  <c r="E400" i="21"/>
  <c r="Y276" i="21"/>
  <c r="Y279" i="21"/>
  <c r="Y289" i="21"/>
  <c r="Y290" i="21"/>
  <c r="Y288" i="21"/>
  <c r="Y266" i="21"/>
  <c r="Y264" i="21"/>
  <c r="Y265" i="21"/>
  <c r="Y278" i="21"/>
  <c r="Y277" i="21"/>
  <c r="Y267" i="21"/>
  <c r="Y291" i="21"/>
  <c r="T293" i="21"/>
  <c r="T269" i="21"/>
  <c r="T281" i="21"/>
  <c r="N292" i="21"/>
  <c r="N280" i="21"/>
  <c r="N268" i="21"/>
  <c r="U280" i="21"/>
  <c r="U292" i="21"/>
  <c r="U268" i="21"/>
  <c r="AA280" i="21"/>
  <c r="AA292" i="21"/>
  <c r="AA268" i="21"/>
  <c r="P169" i="21"/>
  <c r="P180" i="21"/>
  <c r="P156" i="21"/>
  <c r="P183" i="21"/>
  <c r="P181" i="21"/>
  <c r="P171" i="21"/>
  <c r="P182" i="21"/>
  <c r="P168" i="21"/>
  <c r="P157" i="21"/>
  <c r="P170" i="21"/>
  <c r="P158" i="21"/>
  <c r="P159" i="21"/>
  <c r="G182" i="21"/>
  <c r="G158" i="21"/>
  <c r="G169" i="21"/>
  <c r="G180" i="21"/>
  <c r="G170" i="21"/>
  <c r="G168" i="21"/>
  <c r="G181" i="21"/>
  <c r="G171" i="21"/>
  <c r="G159" i="21"/>
  <c r="G183" i="21"/>
  <c r="G156" i="21"/>
  <c r="G157" i="21"/>
  <c r="W182" i="21"/>
  <c r="W158" i="21"/>
  <c r="W169" i="21"/>
  <c r="W168" i="21"/>
  <c r="W180" i="21"/>
  <c r="W170" i="21"/>
  <c r="W171" i="21"/>
  <c r="W159" i="21"/>
  <c r="W157" i="21"/>
  <c r="W156" i="21"/>
  <c r="W181" i="21"/>
  <c r="W183" i="21"/>
  <c r="D181" i="21"/>
  <c r="D157" i="21"/>
  <c r="D168" i="21"/>
  <c r="D169" i="21"/>
  <c r="D159" i="21"/>
  <c r="D171" i="21"/>
  <c r="D183" i="21"/>
  <c r="D182" i="21"/>
  <c r="D180" i="21"/>
  <c r="D158" i="21"/>
  <c r="D156" i="21"/>
  <c r="D170" i="21"/>
  <c r="P292" i="21"/>
  <c r="P268" i="21"/>
  <c r="P280" i="21"/>
  <c r="C173" i="21"/>
  <c r="C185" i="21"/>
  <c r="C161" i="21"/>
  <c r="R186" i="21"/>
  <c r="R162" i="21"/>
  <c r="R174" i="21"/>
  <c r="AB186" i="21"/>
  <c r="AB162" i="21"/>
  <c r="AB174" i="21"/>
  <c r="Y172" i="21"/>
  <c r="Y184" i="21"/>
  <c r="Y160" i="21"/>
  <c r="N160" i="21"/>
  <c r="N184" i="21"/>
  <c r="N172" i="21"/>
  <c r="AB187" i="21"/>
  <c r="AB175" i="21"/>
  <c r="AB163" i="21"/>
  <c r="C187" i="21"/>
  <c r="C175" i="21"/>
  <c r="C163" i="21"/>
  <c r="X187" i="21"/>
  <c r="X163" i="21"/>
  <c r="X175" i="21"/>
  <c r="AA173" i="21"/>
  <c r="AA161" i="21"/>
  <c r="AA185" i="21"/>
  <c r="E66" i="21"/>
  <c r="E78" i="21"/>
  <c r="E54" i="21"/>
  <c r="Q80" i="21"/>
  <c r="Q56" i="21"/>
  <c r="Q68" i="21"/>
  <c r="V79" i="21"/>
  <c r="V55" i="21"/>
  <c r="V67" i="21"/>
  <c r="U66" i="21"/>
  <c r="U78" i="21"/>
  <c r="U54" i="21"/>
  <c r="P186" i="21"/>
  <c r="P162" i="21"/>
  <c r="P174" i="21"/>
  <c r="Z186" i="21"/>
  <c r="Z162" i="21"/>
  <c r="Z174" i="21"/>
  <c r="W63" i="21"/>
  <c r="W74" i="21"/>
  <c r="W50" i="21"/>
  <c r="W64" i="21"/>
  <c r="W75" i="21"/>
  <c r="W76" i="21"/>
  <c r="W53" i="21"/>
  <c r="W51" i="21"/>
  <c r="W65" i="21"/>
  <c r="W52" i="21"/>
  <c r="W77" i="21"/>
  <c r="W62" i="21"/>
  <c r="T173" i="21"/>
  <c r="T161" i="21"/>
  <c r="T185" i="21"/>
  <c r="AB62" i="21"/>
  <c r="AB65" i="21"/>
  <c r="AB63" i="21"/>
  <c r="AB74" i="21"/>
  <c r="AB75" i="21"/>
  <c r="AB77" i="21"/>
  <c r="AB64" i="21"/>
  <c r="AB51" i="21"/>
  <c r="AB76" i="21"/>
  <c r="AB50" i="21"/>
  <c r="AB52" i="21"/>
  <c r="AB53" i="21"/>
  <c r="E81" i="21"/>
  <c r="E57" i="21"/>
  <c r="E69" i="21"/>
  <c r="W57" i="21"/>
  <c r="W69" i="21"/>
  <c r="W81" i="21"/>
  <c r="T78" i="21"/>
  <c r="T54" i="21"/>
  <c r="T66" i="21"/>
  <c r="X483" i="21"/>
  <c r="X507" i="21"/>
  <c r="X495" i="21"/>
  <c r="Y507" i="21"/>
  <c r="Y483" i="21"/>
  <c r="Y495" i="21"/>
  <c r="AA506" i="21"/>
  <c r="AA494" i="21"/>
  <c r="AA482" i="21"/>
  <c r="E506" i="21"/>
  <c r="E494" i="21"/>
  <c r="E482" i="21"/>
  <c r="K404" i="21"/>
  <c r="K392" i="21"/>
  <c r="K380" i="21"/>
  <c r="I380" i="21"/>
  <c r="I392" i="21"/>
  <c r="I404" i="21"/>
  <c r="V403" i="21"/>
  <c r="V391" i="21"/>
  <c r="V379" i="21"/>
  <c r="Q491" i="21"/>
  <c r="Q492" i="21"/>
  <c r="Q502" i="21"/>
  <c r="Q503" i="21"/>
  <c r="Q493" i="21"/>
  <c r="Q481" i="21"/>
  <c r="Q479" i="21"/>
  <c r="Q504" i="21"/>
  <c r="Q480" i="21"/>
  <c r="Q505" i="21"/>
  <c r="Q478" i="21"/>
  <c r="Q490" i="21"/>
  <c r="H504" i="21"/>
  <c r="H505" i="21"/>
  <c r="H480" i="21"/>
  <c r="H490" i="21"/>
  <c r="H478" i="21"/>
  <c r="H491" i="21"/>
  <c r="H502" i="21"/>
  <c r="H479" i="21"/>
  <c r="H493" i="21"/>
  <c r="H503" i="21"/>
  <c r="H481" i="21"/>
  <c r="H492" i="21"/>
  <c r="B369" i="21"/>
  <c r="N390" i="21"/>
  <c r="N402" i="21"/>
  <c r="N378" i="21"/>
  <c r="O495" i="21"/>
  <c r="O507" i="21"/>
  <c r="O483" i="21"/>
  <c r="I402" i="21"/>
  <c r="I378" i="21"/>
  <c r="I390" i="21"/>
  <c r="T402" i="21"/>
  <c r="T378" i="21"/>
  <c r="T390" i="21"/>
  <c r="E379" i="21"/>
  <c r="E403" i="21"/>
  <c r="E391" i="21"/>
  <c r="F281" i="21"/>
  <c r="F269" i="21"/>
  <c r="F293" i="21"/>
  <c r="AB389" i="21"/>
  <c r="AB377" i="21"/>
  <c r="AB401" i="21"/>
  <c r="V283" i="21"/>
  <c r="V295" i="21"/>
  <c r="V271" i="21"/>
  <c r="C283" i="21"/>
  <c r="C271" i="21"/>
  <c r="C295" i="21"/>
  <c r="F291" i="21"/>
  <c r="F267" i="21"/>
  <c r="F278" i="21"/>
  <c r="F290" i="21"/>
  <c r="F277" i="21"/>
  <c r="F264" i="21"/>
  <c r="F279" i="21"/>
  <c r="F276" i="21"/>
  <c r="F266" i="21"/>
  <c r="F265" i="21"/>
  <c r="F289" i="21"/>
  <c r="F288" i="21"/>
  <c r="X289" i="21"/>
  <c r="X265" i="21"/>
  <c r="X276" i="21"/>
  <c r="X266" i="21"/>
  <c r="X291" i="21"/>
  <c r="X267" i="21"/>
  <c r="X264" i="21"/>
  <c r="X279" i="21"/>
  <c r="X278" i="21"/>
  <c r="X277" i="21"/>
  <c r="X290" i="21"/>
  <c r="X288" i="21"/>
  <c r="J161" i="21"/>
  <c r="J173" i="21"/>
  <c r="J185" i="21"/>
  <c r="R271" i="21"/>
  <c r="J283" i="21"/>
  <c r="G294" i="21"/>
  <c r="G270" i="21"/>
  <c r="G282" i="21"/>
  <c r="Z281" i="21"/>
  <c r="Z293" i="21"/>
  <c r="Z269" i="21"/>
  <c r="G399" i="21"/>
  <c r="G385" i="21"/>
  <c r="G388" i="21"/>
  <c r="G376" i="21"/>
  <c r="G373" i="21"/>
  <c r="G398" i="21"/>
  <c r="G387" i="21"/>
  <c r="G397" i="21"/>
  <c r="G375" i="21"/>
  <c r="G386" i="21"/>
  <c r="G400" i="21"/>
  <c r="G374" i="21"/>
  <c r="M280" i="21"/>
  <c r="M292" i="21"/>
  <c r="M268" i="21"/>
  <c r="B292" i="21"/>
  <c r="B280" i="21"/>
  <c r="B268" i="21"/>
  <c r="S175" i="21"/>
  <c r="S163" i="21"/>
  <c r="S187" i="21"/>
  <c r="Q180" i="21"/>
  <c r="Q156" i="21"/>
  <c r="Q183" i="21"/>
  <c r="Q159" i="21"/>
  <c r="Q170" i="21"/>
  <c r="Q168" i="21"/>
  <c r="Q158" i="21"/>
  <c r="Q182" i="21"/>
  <c r="Q181" i="21"/>
  <c r="Q169" i="21"/>
  <c r="Q157" i="21"/>
  <c r="Q171" i="21"/>
  <c r="B183" i="21"/>
  <c r="B159" i="21"/>
  <c r="B170" i="21"/>
  <c r="B157" i="21"/>
  <c r="B156" i="21"/>
  <c r="B182" i="21"/>
  <c r="B181" i="21"/>
  <c r="B180" i="21"/>
  <c r="B169" i="21"/>
  <c r="B168" i="21"/>
  <c r="B171" i="21"/>
  <c r="B158" i="21"/>
  <c r="E260" i="21"/>
  <c r="C186" i="21"/>
  <c r="C162" i="21"/>
  <c r="C174" i="21"/>
  <c r="E186" i="21"/>
  <c r="E174" i="21"/>
  <c r="E162" i="21"/>
  <c r="J172" i="21"/>
  <c r="J160" i="21"/>
  <c r="J184" i="21"/>
  <c r="X292" i="21"/>
  <c r="X268" i="21"/>
  <c r="X280" i="21"/>
  <c r="Y180" i="21"/>
  <c r="Y156" i="21"/>
  <c r="Y183" i="21"/>
  <c r="Y159" i="21"/>
  <c r="Y182" i="21"/>
  <c r="Y169" i="21"/>
  <c r="Y168" i="21"/>
  <c r="Y158" i="21"/>
  <c r="Y157" i="21"/>
  <c r="Y181" i="21"/>
  <c r="Y170" i="21"/>
  <c r="Y171" i="21"/>
  <c r="AC46" i="21"/>
  <c r="T80" i="21"/>
  <c r="T68" i="21"/>
  <c r="T56" i="21"/>
  <c r="R64" i="21"/>
  <c r="R75" i="21"/>
  <c r="R51" i="21"/>
  <c r="R65" i="21"/>
  <c r="R76" i="21"/>
  <c r="R77" i="21"/>
  <c r="R63" i="21"/>
  <c r="R74" i="21"/>
  <c r="R62" i="21"/>
  <c r="R50" i="21"/>
  <c r="R53" i="21"/>
  <c r="R52" i="21"/>
  <c r="Y80" i="21"/>
  <c r="Y56" i="21"/>
  <c r="Y68" i="21"/>
  <c r="AC66" i="21"/>
  <c r="AC78" i="21"/>
  <c r="AC54" i="21"/>
  <c r="O63" i="21"/>
  <c r="O74" i="21"/>
  <c r="O50" i="21"/>
  <c r="O64" i="21"/>
  <c r="O75" i="21"/>
  <c r="O76" i="21"/>
  <c r="O65" i="21"/>
  <c r="O77" i="21"/>
  <c r="O53" i="21"/>
  <c r="O51" i="21"/>
  <c r="O62" i="21"/>
  <c r="O52" i="21"/>
  <c r="R66" i="21"/>
  <c r="R54" i="21"/>
  <c r="R78" i="21"/>
  <c r="V68" i="21"/>
  <c r="V80" i="21"/>
  <c r="V56" i="21"/>
  <c r="T62" i="21"/>
  <c r="T65" i="21"/>
  <c r="T63" i="21"/>
  <c r="T74" i="21"/>
  <c r="T75" i="21"/>
  <c r="T52" i="21"/>
  <c r="T77" i="21"/>
  <c r="T50" i="21"/>
  <c r="T76" i="21"/>
  <c r="T51" i="21"/>
  <c r="T64" i="21"/>
  <c r="T53" i="21"/>
  <c r="P69" i="21"/>
  <c r="P81" i="21"/>
  <c r="P57" i="21"/>
  <c r="Q55" i="21"/>
  <c r="Q79" i="21"/>
  <c r="Q67" i="21"/>
  <c r="B67" i="21"/>
  <c r="B79" i="21"/>
  <c r="B55" i="21"/>
  <c r="L45" i="21"/>
  <c r="P74" i="21"/>
  <c r="P77" i="21"/>
  <c r="P53" i="21"/>
  <c r="P75" i="21"/>
  <c r="P51" i="21"/>
  <c r="P76" i="21"/>
  <c r="P52" i="21"/>
  <c r="P63" i="21"/>
  <c r="P64" i="21"/>
  <c r="P62" i="21"/>
  <c r="P65" i="21"/>
  <c r="P50" i="21"/>
  <c r="D482" i="21"/>
  <c r="D506" i="21"/>
  <c r="D494" i="21"/>
  <c r="V507" i="21"/>
  <c r="V483" i="21"/>
  <c r="V495" i="21"/>
  <c r="S506" i="21"/>
  <c r="S482" i="21"/>
  <c r="S494" i="21"/>
  <c r="S483" i="21"/>
  <c r="S507" i="21"/>
  <c r="S495" i="21"/>
  <c r="AC496" i="21"/>
  <c r="AC484" i="21"/>
  <c r="AC508" i="21"/>
  <c r="G494" i="21"/>
  <c r="G506" i="21"/>
  <c r="G482" i="21"/>
  <c r="D495" i="21"/>
  <c r="D483" i="21"/>
  <c r="D507" i="21"/>
  <c r="M495" i="21"/>
  <c r="M483" i="21"/>
  <c r="M507" i="21"/>
  <c r="AB403" i="21"/>
  <c r="AB379" i="21"/>
  <c r="AB391" i="21"/>
  <c r="Q392" i="21"/>
  <c r="Q380" i="21"/>
  <c r="Q404" i="21"/>
  <c r="G403" i="21"/>
  <c r="G391" i="21"/>
  <c r="G379" i="21"/>
  <c r="K497" i="21"/>
  <c r="K485" i="21"/>
  <c r="K509" i="21"/>
  <c r="Y491" i="21"/>
  <c r="Y492" i="21"/>
  <c r="Y502" i="21"/>
  <c r="Y481" i="21"/>
  <c r="Y503" i="21"/>
  <c r="Y493" i="21"/>
  <c r="Y479" i="21"/>
  <c r="Y505" i="21"/>
  <c r="Y478" i="21"/>
  <c r="Y490" i="21"/>
  <c r="Y480" i="21"/>
  <c r="Y504" i="21"/>
  <c r="P504" i="21"/>
  <c r="P505" i="21"/>
  <c r="P492" i="21"/>
  <c r="P480" i="21"/>
  <c r="P478" i="21"/>
  <c r="P490" i="21"/>
  <c r="P481" i="21"/>
  <c r="P491" i="21"/>
  <c r="P479" i="21"/>
  <c r="P502" i="21"/>
  <c r="P503" i="21"/>
  <c r="P493" i="21"/>
  <c r="V390" i="21"/>
  <c r="V378" i="21"/>
  <c r="V402" i="21"/>
  <c r="Q369" i="21"/>
  <c r="AB402" i="21"/>
  <c r="AB378" i="21"/>
  <c r="AB390" i="21"/>
  <c r="Q391" i="21"/>
  <c r="Q403" i="21"/>
  <c r="Q379" i="21"/>
  <c r="Z378" i="21"/>
  <c r="Z402" i="21"/>
  <c r="Z390" i="21"/>
  <c r="W281" i="21"/>
  <c r="W269" i="21"/>
  <c r="W293" i="21"/>
  <c r="N293" i="21"/>
  <c r="N281" i="21"/>
  <c r="N269" i="21"/>
  <c r="F401" i="21"/>
  <c r="F377" i="21"/>
  <c r="F389" i="21"/>
  <c r="P281" i="21"/>
  <c r="P269" i="21"/>
  <c r="P293" i="21"/>
  <c r="L277" i="21"/>
  <c r="L288" i="21"/>
  <c r="L264" i="21"/>
  <c r="L289" i="21"/>
  <c r="L279" i="21"/>
  <c r="L265" i="21"/>
  <c r="L291" i="21"/>
  <c r="L266" i="21"/>
  <c r="L290" i="21"/>
  <c r="L278" i="21"/>
  <c r="L276" i="21"/>
  <c r="L267" i="21"/>
  <c r="M283" i="21"/>
  <c r="M295" i="21"/>
  <c r="M271" i="21"/>
  <c r="N283" i="21"/>
  <c r="N271" i="21"/>
  <c r="N295" i="21"/>
  <c r="R279" i="21"/>
  <c r="R290" i="21"/>
  <c r="R266" i="21"/>
  <c r="R264" i="21"/>
  <c r="R291" i="21"/>
  <c r="R267" i="21"/>
  <c r="R289" i="21"/>
  <c r="R278" i="21"/>
  <c r="R277" i="21"/>
  <c r="R288" i="21"/>
  <c r="R276" i="21"/>
  <c r="R265" i="21"/>
  <c r="R185" i="21"/>
  <c r="R173" i="21"/>
  <c r="R161" i="21"/>
  <c r="U282" i="21"/>
  <c r="U294" i="21"/>
  <c r="U270" i="21"/>
  <c r="B400" i="21"/>
  <c r="B386" i="21"/>
  <c r="B397" i="21"/>
  <c r="B373" i="21"/>
  <c r="B385" i="21"/>
  <c r="B374" i="21"/>
  <c r="B387" i="21"/>
  <c r="B399" i="21"/>
  <c r="B388" i="21"/>
  <c r="B375" i="21"/>
  <c r="B398" i="21"/>
  <c r="B376" i="21"/>
  <c r="U398" i="21"/>
  <c r="U400" i="21"/>
  <c r="U387" i="21"/>
  <c r="U374" i="21"/>
  <c r="U399" i="21"/>
  <c r="U386" i="21"/>
  <c r="U376" i="21"/>
  <c r="U397" i="21"/>
  <c r="U375" i="21"/>
  <c r="U388" i="21"/>
  <c r="U385" i="21"/>
  <c r="U373" i="21"/>
  <c r="J268" i="21"/>
  <c r="J292" i="21"/>
  <c r="J280" i="21"/>
  <c r="I175" i="21"/>
  <c r="I163" i="21"/>
  <c r="I187" i="21"/>
  <c r="AC168" i="21"/>
  <c r="AC171" i="21"/>
  <c r="AC180" i="21"/>
  <c r="AC170" i="21"/>
  <c r="AC182" i="21"/>
  <c r="AC157" i="21"/>
  <c r="AC156" i="21"/>
  <c r="AC183" i="21"/>
  <c r="AC169" i="21"/>
  <c r="AC158" i="21"/>
  <c r="AC159" i="21"/>
  <c r="AC181" i="21"/>
  <c r="N171" i="21"/>
  <c r="N182" i="21"/>
  <c r="N158" i="21"/>
  <c r="N169" i="21"/>
  <c r="N159" i="21"/>
  <c r="N157" i="21"/>
  <c r="N156" i="21"/>
  <c r="N183" i="21"/>
  <c r="N180" i="21"/>
  <c r="N168" i="21"/>
  <c r="N181" i="21"/>
  <c r="N170" i="21"/>
  <c r="U260" i="21"/>
  <c r="O174" i="21"/>
  <c r="O186" i="21"/>
  <c r="O162" i="21"/>
  <c r="S186" i="21"/>
  <c r="S162" i="21"/>
  <c r="S174" i="21"/>
  <c r="T184" i="21"/>
  <c r="T160" i="21"/>
  <c r="T172" i="21"/>
  <c r="P172" i="21"/>
  <c r="P184" i="21"/>
  <c r="P160" i="21"/>
  <c r="G160" i="21"/>
  <c r="G172" i="21"/>
  <c r="G184" i="21"/>
  <c r="T163" i="21"/>
  <c r="T175" i="21"/>
  <c r="T187" i="21"/>
  <c r="Y175" i="21"/>
  <c r="Y163" i="21"/>
  <c r="Y187" i="21"/>
  <c r="J64" i="21"/>
  <c r="J75" i="21"/>
  <c r="J51" i="21"/>
  <c r="J65" i="21"/>
  <c r="J76" i="21"/>
  <c r="J77" i="21"/>
  <c r="J74" i="21"/>
  <c r="J63" i="21"/>
  <c r="J50" i="21"/>
  <c r="J52" i="21"/>
  <c r="J62" i="21"/>
  <c r="J53" i="21"/>
  <c r="C68" i="21"/>
  <c r="C80" i="21"/>
  <c r="C56" i="21"/>
  <c r="P67" i="21"/>
  <c r="P79" i="21"/>
  <c r="P55" i="21"/>
  <c r="O80" i="21"/>
  <c r="O56" i="21"/>
  <c r="O68" i="21"/>
  <c r="G63" i="21"/>
  <c r="G74" i="21"/>
  <c r="G50" i="21"/>
  <c r="G64" i="21"/>
  <c r="G75" i="21"/>
  <c r="G76" i="21"/>
  <c r="G77" i="21"/>
  <c r="G52" i="21"/>
  <c r="G51" i="21"/>
  <c r="G65" i="21"/>
  <c r="G62" i="21"/>
  <c r="G53" i="21"/>
  <c r="H66" i="21"/>
  <c r="H78" i="21"/>
  <c r="H54" i="21"/>
  <c r="L80" i="21"/>
  <c r="L68" i="21"/>
  <c r="L56" i="21"/>
  <c r="L62" i="21"/>
  <c r="L65" i="21"/>
  <c r="L63" i="21"/>
  <c r="L74" i="21"/>
  <c r="L75" i="21"/>
  <c r="L64" i="21"/>
  <c r="L53" i="21"/>
  <c r="L77" i="21"/>
  <c r="L52" i="21"/>
  <c r="L51" i="21"/>
  <c r="L76" i="21"/>
  <c r="L50" i="21"/>
  <c r="Z81" i="21"/>
  <c r="Z57" i="21"/>
  <c r="Z69" i="21"/>
  <c r="E67" i="21"/>
  <c r="E79" i="21"/>
  <c r="E55" i="21"/>
  <c r="Y77" i="21"/>
  <c r="Y64" i="21"/>
  <c r="Y62" i="21"/>
  <c r="Y65" i="21"/>
  <c r="Y74" i="21"/>
  <c r="Y63" i="21"/>
  <c r="Y50" i="21"/>
  <c r="Y76" i="21"/>
  <c r="Y53" i="21"/>
  <c r="Y52" i="21"/>
  <c r="Y51" i="21"/>
  <c r="Y75" i="21"/>
  <c r="AC68" i="21"/>
  <c r="AC80" i="21"/>
  <c r="AC56" i="21"/>
  <c r="AA369" i="20"/>
  <c r="AA473" i="20"/>
  <c r="AA259" i="20"/>
  <c r="AA45" i="20"/>
  <c r="V260" i="20"/>
  <c r="V473" i="20"/>
  <c r="V369" i="20"/>
  <c r="V259" i="20"/>
  <c r="V368" i="20"/>
  <c r="P68" i="20"/>
  <c r="O506" i="20"/>
  <c r="O494" i="20"/>
  <c r="N45" i="20"/>
  <c r="N151" i="20"/>
  <c r="N259" i="20"/>
  <c r="N369" i="20"/>
  <c r="N152" i="20"/>
  <c r="N260" i="20"/>
  <c r="D46" i="19"/>
  <c r="X46" i="19"/>
  <c r="AA151" i="20"/>
  <c r="T46" i="20"/>
  <c r="R480" i="19"/>
  <c r="X282" i="19"/>
  <c r="K46" i="19"/>
  <c r="P46" i="19"/>
  <c r="V474" i="20"/>
  <c r="N46" i="20"/>
  <c r="L46" i="20"/>
  <c r="J46" i="20"/>
  <c r="M45" i="19"/>
  <c r="AA45" i="19"/>
  <c r="V387" i="20"/>
  <c r="AA260" i="20"/>
  <c r="D46" i="20"/>
  <c r="D45" i="20"/>
  <c r="Q45" i="20"/>
  <c r="H282" i="19"/>
  <c r="W46" i="19"/>
  <c r="N368" i="20"/>
  <c r="AC45" i="20"/>
  <c r="AA46" i="20"/>
  <c r="AA474" i="20"/>
  <c r="T80" i="20"/>
  <c r="AB68" i="20"/>
  <c r="Y260" i="20"/>
  <c r="X259" i="19"/>
  <c r="V152" i="20"/>
  <c r="I170" i="20"/>
  <c r="T184" i="20"/>
  <c r="AB56" i="20"/>
  <c r="D45" i="19"/>
  <c r="AA152" i="20"/>
  <c r="AC152" i="20"/>
  <c r="J152" i="20"/>
  <c r="Y46" i="20"/>
  <c r="Q46" i="20"/>
  <c r="X80" i="20"/>
  <c r="C45" i="20"/>
  <c r="V46" i="19"/>
  <c r="J151" i="20"/>
  <c r="S69" i="20"/>
  <c r="L45" i="20"/>
  <c r="Z46" i="20"/>
  <c r="P46" i="20"/>
  <c r="P45" i="20"/>
  <c r="X68" i="20"/>
  <c r="Y182" i="20"/>
  <c r="AB265" i="20"/>
  <c r="I180" i="20"/>
  <c r="V46" i="20"/>
  <c r="AA57" i="20"/>
  <c r="G77" i="20"/>
  <c r="G65" i="20"/>
  <c r="O46" i="20"/>
  <c r="C69" i="20"/>
  <c r="G81" i="20"/>
  <c r="K69" i="20"/>
  <c r="G63" i="20"/>
  <c r="G62" i="20"/>
  <c r="G50" i="20"/>
  <c r="Q494" i="20"/>
  <c r="Q506" i="20"/>
  <c r="Q482" i="20"/>
  <c r="H508" i="20"/>
  <c r="H496" i="20"/>
  <c r="H484" i="20"/>
  <c r="B509" i="20"/>
  <c r="B497" i="20"/>
  <c r="B485" i="20"/>
  <c r="F509" i="20"/>
  <c r="F497" i="20"/>
  <c r="F485" i="20"/>
  <c r="E505" i="20"/>
  <c r="E493" i="20"/>
  <c r="E492" i="20"/>
  <c r="E479" i="20"/>
  <c r="E490" i="20"/>
  <c r="E480" i="20"/>
  <c r="E503" i="20"/>
  <c r="E502" i="20"/>
  <c r="E481" i="20"/>
  <c r="E491" i="20"/>
  <c r="E504" i="20"/>
  <c r="E478" i="20"/>
  <c r="Y493" i="20"/>
  <c r="Y505" i="20"/>
  <c r="Y503" i="20"/>
  <c r="Y479" i="20"/>
  <c r="Y492" i="20"/>
  <c r="Y478" i="20"/>
  <c r="Y504" i="20"/>
  <c r="Y490" i="20"/>
  <c r="Y502" i="20"/>
  <c r="Y481" i="20"/>
  <c r="Y491" i="20"/>
  <c r="Y480" i="20"/>
  <c r="E497" i="20"/>
  <c r="E509" i="20"/>
  <c r="E485" i="20"/>
  <c r="B295" i="20"/>
  <c r="B271" i="20"/>
  <c r="B283" i="20"/>
  <c r="J294" i="20"/>
  <c r="J270" i="20"/>
  <c r="J282" i="20"/>
  <c r="Y282" i="20"/>
  <c r="Y270" i="20"/>
  <c r="Y294" i="20"/>
  <c r="J292" i="20"/>
  <c r="J268" i="20"/>
  <c r="J280" i="20"/>
  <c r="Y187" i="20"/>
  <c r="Y175" i="20"/>
  <c r="Y163" i="20"/>
  <c r="C187" i="20"/>
  <c r="C163" i="20"/>
  <c r="C175" i="20"/>
  <c r="F79" i="20"/>
  <c r="F67" i="20"/>
  <c r="F55" i="20"/>
  <c r="X57" i="20"/>
  <c r="X81" i="20"/>
  <c r="X69" i="20"/>
  <c r="B55" i="20"/>
  <c r="B79" i="20"/>
  <c r="B67" i="20"/>
  <c r="H46" i="20"/>
  <c r="O80" i="20"/>
  <c r="O56" i="20"/>
  <c r="O68" i="20"/>
  <c r="D496" i="20"/>
  <c r="D508" i="20"/>
  <c r="D484" i="20"/>
  <c r="P484" i="20"/>
  <c r="P508" i="20"/>
  <c r="P496" i="20"/>
  <c r="F482" i="20"/>
  <c r="F494" i="20"/>
  <c r="F506" i="20"/>
  <c r="K378" i="20"/>
  <c r="K402" i="20"/>
  <c r="K390" i="20"/>
  <c r="C401" i="20"/>
  <c r="C389" i="20"/>
  <c r="C377" i="20"/>
  <c r="AB398" i="20"/>
  <c r="AB386" i="20"/>
  <c r="AB400" i="20"/>
  <c r="AB373" i="20"/>
  <c r="AB399" i="20"/>
  <c r="AB387" i="20"/>
  <c r="AB397" i="20"/>
  <c r="AB388" i="20"/>
  <c r="AB385" i="20"/>
  <c r="AB376" i="20"/>
  <c r="AB375" i="20"/>
  <c r="AB374" i="20"/>
  <c r="B282" i="20"/>
  <c r="B270" i="20"/>
  <c r="B294" i="20"/>
  <c r="AA282" i="20"/>
  <c r="AA294" i="20"/>
  <c r="AA270" i="20"/>
  <c r="K290" i="20"/>
  <c r="K291" i="20"/>
  <c r="K279" i="20"/>
  <c r="K277" i="20"/>
  <c r="K265" i="20"/>
  <c r="K276" i="20"/>
  <c r="K288" i="20"/>
  <c r="K266" i="20"/>
  <c r="K289" i="20"/>
  <c r="K267" i="20"/>
  <c r="K278" i="20"/>
  <c r="K264" i="20"/>
  <c r="O293" i="20"/>
  <c r="O269" i="20"/>
  <c r="O281" i="20"/>
  <c r="G280" i="20"/>
  <c r="G268" i="20"/>
  <c r="G292" i="20"/>
  <c r="R292" i="20"/>
  <c r="R280" i="20"/>
  <c r="R268" i="20"/>
  <c r="T268" i="20"/>
  <c r="T292" i="20"/>
  <c r="T280" i="20"/>
  <c r="AC186" i="20"/>
  <c r="AC174" i="20"/>
  <c r="AC162" i="20"/>
  <c r="M186" i="20"/>
  <c r="M174" i="20"/>
  <c r="M162" i="20"/>
  <c r="C185" i="20"/>
  <c r="C173" i="20"/>
  <c r="C161" i="20"/>
  <c r="T174" i="20"/>
  <c r="T186" i="20"/>
  <c r="T162" i="20"/>
  <c r="T69" i="20"/>
  <c r="T81" i="20"/>
  <c r="T57" i="20"/>
  <c r="O54" i="20"/>
  <c r="O66" i="20"/>
  <c r="O78" i="20"/>
  <c r="AB79" i="20"/>
  <c r="AB55" i="20"/>
  <c r="AB67" i="20"/>
  <c r="R68" i="20"/>
  <c r="R80" i="20"/>
  <c r="R56" i="20"/>
  <c r="T66" i="20"/>
  <c r="T54" i="20"/>
  <c r="T78" i="20"/>
  <c r="G506" i="20"/>
  <c r="G494" i="20"/>
  <c r="Q507" i="20"/>
  <c r="Q495" i="20"/>
  <c r="Q483" i="20"/>
  <c r="U507" i="20"/>
  <c r="U495" i="20"/>
  <c r="U483" i="20"/>
  <c r="X401" i="20"/>
  <c r="X377" i="20"/>
  <c r="X389" i="20"/>
  <c r="F492" i="20"/>
  <c r="F504" i="20"/>
  <c r="F502" i="20"/>
  <c r="F478" i="20"/>
  <c r="F493" i="20"/>
  <c r="F491" i="20"/>
  <c r="F490" i="20"/>
  <c r="F503" i="20"/>
  <c r="F481" i="20"/>
  <c r="F505" i="20"/>
  <c r="F480" i="20"/>
  <c r="F479" i="20"/>
  <c r="R504" i="20"/>
  <c r="R492" i="20"/>
  <c r="R478" i="20"/>
  <c r="R491" i="20"/>
  <c r="R481" i="20"/>
  <c r="R505" i="20"/>
  <c r="R503" i="20"/>
  <c r="R502" i="20"/>
  <c r="R493" i="20"/>
  <c r="R479" i="20"/>
  <c r="R480" i="20"/>
  <c r="R490" i="20"/>
  <c r="K507" i="20"/>
  <c r="K495" i="20"/>
  <c r="K483" i="20"/>
  <c r="M401" i="20"/>
  <c r="M389" i="20"/>
  <c r="M377" i="20"/>
  <c r="F401" i="20"/>
  <c r="F389" i="20"/>
  <c r="F377" i="20"/>
  <c r="D282" i="20"/>
  <c r="D270" i="20"/>
  <c r="D294" i="20"/>
  <c r="L282" i="20"/>
  <c r="L294" i="20"/>
  <c r="L270" i="20"/>
  <c r="E292" i="20"/>
  <c r="E280" i="20"/>
  <c r="E268" i="20"/>
  <c r="E175" i="20"/>
  <c r="E187" i="20"/>
  <c r="E163" i="20"/>
  <c r="F180" i="20"/>
  <c r="F181" i="20"/>
  <c r="F168" i="20"/>
  <c r="F182" i="20"/>
  <c r="F158" i="20"/>
  <c r="F169" i="20"/>
  <c r="F157" i="20"/>
  <c r="F170" i="20"/>
  <c r="F159" i="20"/>
  <c r="F183" i="20"/>
  <c r="F171" i="20"/>
  <c r="F156" i="20"/>
  <c r="S187" i="20"/>
  <c r="S163" i="20"/>
  <c r="S175" i="20"/>
  <c r="W185" i="20"/>
  <c r="W161" i="20"/>
  <c r="W173" i="20"/>
  <c r="U185" i="20"/>
  <c r="U161" i="20"/>
  <c r="U173" i="20"/>
  <c r="G175" i="20"/>
  <c r="G187" i="20"/>
  <c r="G163" i="20"/>
  <c r="O185" i="20"/>
  <c r="O161" i="20"/>
  <c r="O173" i="20"/>
  <c r="L81" i="20"/>
  <c r="L69" i="20"/>
  <c r="L57" i="20"/>
  <c r="R81" i="20"/>
  <c r="R57" i="20"/>
  <c r="R69" i="20"/>
  <c r="T79" i="20"/>
  <c r="T67" i="20"/>
  <c r="T55" i="20"/>
  <c r="Y79" i="20"/>
  <c r="Y55" i="20"/>
  <c r="Y67" i="20"/>
  <c r="I260" i="20"/>
  <c r="I152" i="20"/>
  <c r="I473" i="20"/>
  <c r="I369" i="20"/>
  <c r="I45" i="20"/>
  <c r="I474" i="20"/>
  <c r="W55" i="20"/>
  <c r="W79" i="20"/>
  <c r="W67" i="20"/>
  <c r="I63" i="20"/>
  <c r="I75" i="20"/>
  <c r="I65" i="20"/>
  <c r="I51" i="20"/>
  <c r="I62" i="20"/>
  <c r="I76" i="20"/>
  <c r="I77" i="20"/>
  <c r="I50" i="20"/>
  <c r="I74" i="20"/>
  <c r="I53" i="20"/>
  <c r="I52" i="20"/>
  <c r="I64" i="20"/>
  <c r="H152" i="20"/>
  <c r="H45" i="20"/>
  <c r="H259" i="20"/>
  <c r="H474" i="20"/>
  <c r="H260" i="20"/>
  <c r="N62" i="20"/>
  <c r="N74" i="20"/>
  <c r="N63" i="20"/>
  <c r="N50" i="20"/>
  <c r="N53" i="20"/>
  <c r="N75" i="20"/>
  <c r="N65" i="20"/>
  <c r="N76" i="20"/>
  <c r="N64" i="20"/>
  <c r="N51" i="20"/>
  <c r="N52" i="20"/>
  <c r="N77" i="20"/>
  <c r="T508" i="20"/>
  <c r="T496" i="20"/>
  <c r="T484" i="20"/>
  <c r="AB494" i="20"/>
  <c r="AB506" i="20"/>
  <c r="AB482" i="20"/>
  <c r="V494" i="20"/>
  <c r="V482" i="20"/>
  <c r="V506" i="20"/>
  <c r="P377" i="20"/>
  <c r="P389" i="20"/>
  <c r="P401" i="20"/>
  <c r="O390" i="20"/>
  <c r="O378" i="20"/>
  <c r="O402" i="20"/>
  <c r="I493" i="20"/>
  <c r="I505" i="20"/>
  <c r="I503" i="20"/>
  <c r="I479" i="20"/>
  <c r="I502" i="20"/>
  <c r="I478" i="20"/>
  <c r="I491" i="20"/>
  <c r="I490" i="20"/>
  <c r="I492" i="20"/>
  <c r="I481" i="20"/>
  <c r="I504" i="20"/>
  <c r="I480" i="20"/>
  <c r="W401" i="20"/>
  <c r="W389" i="20"/>
  <c r="W377" i="20"/>
  <c r="Z400" i="20"/>
  <c r="Z388" i="20"/>
  <c r="Z375" i="20"/>
  <c r="Z385" i="20"/>
  <c r="Z386" i="20"/>
  <c r="Z376" i="20"/>
  <c r="Z387" i="20"/>
  <c r="Z398" i="20"/>
  <c r="Z397" i="20"/>
  <c r="Z373" i="20"/>
  <c r="Z399" i="20"/>
  <c r="Z374" i="20"/>
  <c r="Z295" i="20"/>
  <c r="Z283" i="20"/>
  <c r="Z271" i="20"/>
  <c r="U293" i="20"/>
  <c r="U281" i="20"/>
  <c r="U269" i="20"/>
  <c r="AB290" i="20"/>
  <c r="T295" i="20"/>
  <c r="T283" i="20"/>
  <c r="T271" i="20"/>
  <c r="T282" i="20"/>
  <c r="T294" i="20"/>
  <c r="T270" i="20"/>
  <c r="G282" i="20"/>
  <c r="G294" i="20"/>
  <c r="G270" i="20"/>
  <c r="W280" i="20"/>
  <c r="W292" i="20"/>
  <c r="W268" i="20"/>
  <c r="C292" i="20"/>
  <c r="C268" i="20"/>
  <c r="C280" i="20"/>
  <c r="F280" i="20"/>
  <c r="F292" i="20"/>
  <c r="F268" i="20"/>
  <c r="AA185" i="20"/>
  <c r="AA173" i="20"/>
  <c r="AA161" i="20"/>
  <c r="N180" i="20"/>
  <c r="N181" i="20"/>
  <c r="N168" i="20"/>
  <c r="N182" i="20"/>
  <c r="N158" i="20"/>
  <c r="N169" i="20"/>
  <c r="N170" i="20"/>
  <c r="N171" i="20"/>
  <c r="N157" i="20"/>
  <c r="N183" i="20"/>
  <c r="N159" i="20"/>
  <c r="N156" i="20"/>
  <c r="M175" i="20"/>
  <c r="M187" i="20"/>
  <c r="M163" i="20"/>
  <c r="AA187" i="20"/>
  <c r="AA163" i="20"/>
  <c r="AA175" i="20"/>
  <c r="AA171" i="20"/>
  <c r="AA180" i="20"/>
  <c r="AA183" i="20"/>
  <c r="AA181" i="20"/>
  <c r="AA157" i="20"/>
  <c r="AA168" i="20"/>
  <c r="AA169" i="20"/>
  <c r="AA170" i="20"/>
  <c r="AA158" i="20"/>
  <c r="AA156" i="20"/>
  <c r="AA182" i="20"/>
  <c r="AA159" i="20"/>
  <c r="N185" i="20"/>
  <c r="X186" i="20"/>
  <c r="X162" i="20"/>
  <c r="X174" i="20"/>
  <c r="C186" i="20"/>
  <c r="C162" i="20"/>
  <c r="C174" i="20"/>
  <c r="D57" i="20"/>
  <c r="D69" i="20"/>
  <c r="D81" i="20"/>
  <c r="L79" i="20"/>
  <c r="L55" i="20"/>
  <c r="L67" i="20"/>
  <c r="P79" i="20"/>
  <c r="P67" i="20"/>
  <c r="P55" i="20"/>
  <c r="E474" i="20"/>
  <c r="E369" i="20"/>
  <c r="E368" i="20"/>
  <c r="E259" i="20"/>
  <c r="E46" i="20"/>
  <c r="E473" i="20"/>
  <c r="E151" i="20"/>
  <c r="V62" i="20"/>
  <c r="V74" i="20"/>
  <c r="V50" i="20"/>
  <c r="V76" i="20"/>
  <c r="V53" i="20"/>
  <c r="V77" i="20"/>
  <c r="V64" i="20"/>
  <c r="V75" i="20"/>
  <c r="V63" i="20"/>
  <c r="V52" i="20"/>
  <c r="V65" i="20"/>
  <c r="V51" i="20"/>
  <c r="E507" i="20"/>
  <c r="E483" i="20"/>
  <c r="E495" i="20"/>
  <c r="Q496" i="20"/>
  <c r="Q484" i="20"/>
  <c r="Q508" i="20"/>
  <c r="AB496" i="20"/>
  <c r="AB484" i="20"/>
  <c r="AB508" i="20"/>
  <c r="Q377" i="20"/>
  <c r="Q389" i="20"/>
  <c r="Q401" i="20"/>
  <c r="H377" i="20"/>
  <c r="H401" i="20"/>
  <c r="H389" i="20"/>
  <c r="L485" i="20"/>
  <c r="L509" i="20"/>
  <c r="L497" i="20"/>
  <c r="C485" i="20"/>
  <c r="C497" i="20"/>
  <c r="C509" i="20"/>
  <c r="O497" i="20"/>
  <c r="O509" i="20"/>
  <c r="O485" i="20"/>
  <c r="V492" i="20"/>
  <c r="V504" i="20"/>
  <c r="V502" i="20"/>
  <c r="V478" i="20"/>
  <c r="V505" i="20"/>
  <c r="V503" i="20"/>
  <c r="V493" i="20"/>
  <c r="V491" i="20"/>
  <c r="V490" i="20"/>
  <c r="V479" i="20"/>
  <c r="V481" i="20"/>
  <c r="V480" i="20"/>
  <c r="U497" i="20"/>
  <c r="U509" i="20"/>
  <c r="U485" i="20"/>
  <c r="W390" i="20"/>
  <c r="W378" i="20"/>
  <c r="W402" i="20"/>
  <c r="J402" i="20"/>
  <c r="J378" i="20"/>
  <c r="J390" i="20"/>
  <c r="V374" i="20"/>
  <c r="V373" i="20"/>
  <c r="V398" i="20"/>
  <c r="V385" i="20"/>
  <c r="V397" i="20"/>
  <c r="V386" i="20"/>
  <c r="C295" i="20"/>
  <c r="C271" i="20"/>
  <c r="C283" i="20"/>
  <c r="M293" i="20"/>
  <c r="M269" i="20"/>
  <c r="M281" i="20"/>
  <c r="O291" i="20"/>
  <c r="O288" i="20"/>
  <c r="O289" i="20"/>
  <c r="O264" i="20"/>
  <c r="O279" i="20"/>
  <c r="O267" i="20"/>
  <c r="O278" i="20"/>
  <c r="O290" i="20"/>
  <c r="O276" i="20"/>
  <c r="O277" i="20"/>
  <c r="O265" i="20"/>
  <c r="O266" i="20"/>
  <c r="E397" i="20"/>
  <c r="E373" i="20"/>
  <c r="E376" i="20"/>
  <c r="E385" i="20"/>
  <c r="E399" i="20"/>
  <c r="E375" i="20"/>
  <c r="E374" i="20"/>
  <c r="E400" i="20"/>
  <c r="E387" i="20"/>
  <c r="E398" i="20"/>
  <c r="E388" i="20"/>
  <c r="E386" i="20"/>
  <c r="AC293" i="20"/>
  <c r="I289" i="20"/>
  <c r="I290" i="20"/>
  <c r="I291" i="20"/>
  <c r="I267" i="20"/>
  <c r="I278" i="20"/>
  <c r="I277" i="20"/>
  <c r="I265" i="20"/>
  <c r="I276" i="20"/>
  <c r="I279" i="20"/>
  <c r="I288" i="20"/>
  <c r="I266" i="20"/>
  <c r="I264" i="20"/>
  <c r="H280" i="20"/>
  <c r="H292" i="20"/>
  <c r="H268" i="20"/>
  <c r="K268" i="20"/>
  <c r="K280" i="20"/>
  <c r="K292" i="20"/>
  <c r="N292" i="20"/>
  <c r="N280" i="20"/>
  <c r="N268" i="20"/>
  <c r="V180" i="20"/>
  <c r="V181" i="20"/>
  <c r="V168" i="20"/>
  <c r="V182" i="20"/>
  <c r="V158" i="20"/>
  <c r="V169" i="20"/>
  <c r="V159" i="20"/>
  <c r="V183" i="20"/>
  <c r="V170" i="20"/>
  <c r="V157" i="20"/>
  <c r="V171" i="20"/>
  <c r="V156" i="20"/>
  <c r="B187" i="20"/>
  <c r="B175" i="20"/>
  <c r="B163" i="20"/>
  <c r="D173" i="20"/>
  <c r="D161" i="20"/>
  <c r="D185" i="20"/>
  <c r="R168" i="20"/>
  <c r="R182" i="20"/>
  <c r="R180" i="20"/>
  <c r="R170" i="20"/>
  <c r="R181" i="20"/>
  <c r="R157" i="20"/>
  <c r="R183" i="20"/>
  <c r="R159" i="20"/>
  <c r="R169" i="20"/>
  <c r="R171" i="20"/>
  <c r="R156" i="20"/>
  <c r="R158" i="20"/>
  <c r="E186" i="20"/>
  <c r="E174" i="20"/>
  <c r="E162" i="20"/>
  <c r="B81" i="20"/>
  <c r="B57" i="20"/>
  <c r="B69" i="20"/>
  <c r="D79" i="20"/>
  <c r="D67" i="20"/>
  <c r="D55" i="20"/>
  <c r="AA79" i="20"/>
  <c r="AA67" i="20"/>
  <c r="AA55" i="20"/>
  <c r="I80" i="20"/>
  <c r="I68" i="20"/>
  <c r="I56" i="20"/>
  <c r="V81" i="20"/>
  <c r="V69" i="20"/>
  <c r="V57" i="20"/>
  <c r="H79" i="20"/>
  <c r="H55" i="20"/>
  <c r="H67" i="20"/>
  <c r="U69" i="20"/>
  <c r="U81" i="20"/>
  <c r="U57" i="20"/>
  <c r="G55" i="20"/>
  <c r="G79" i="20"/>
  <c r="G67" i="20"/>
  <c r="E75" i="20"/>
  <c r="E63" i="20"/>
  <c r="E77" i="20"/>
  <c r="E74" i="20"/>
  <c r="E64" i="20"/>
  <c r="E50" i="20"/>
  <c r="E65" i="20"/>
  <c r="E62" i="20"/>
  <c r="E53" i="20"/>
  <c r="E76" i="20"/>
  <c r="E51" i="20"/>
  <c r="E52" i="20"/>
  <c r="C508" i="20"/>
  <c r="C496" i="20"/>
  <c r="C484" i="20"/>
  <c r="G496" i="20"/>
  <c r="G484" i="20"/>
  <c r="G508" i="20"/>
  <c r="E494" i="20"/>
  <c r="E482" i="20"/>
  <c r="E506" i="20"/>
  <c r="J482" i="20"/>
  <c r="J494" i="20"/>
  <c r="J506" i="20"/>
  <c r="I377" i="20"/>
  <c r="I401" i="20"/>
  <c r="I389" i="20"/>
  <c r="K491" i="20"/>
  <c r="K503" i="20"/>
  <c r="K481" i="20"/>
  <c r="K502" i="20"/>
  <c r="K492" i="20"/>
  <c r="K493" i="20"/>
  <c r="K505" i="20"/>
  <c r="K504" i="20"/>
  <c r="K478" i="20"/>
  <c r="K480" i="20"/>
  <c r="K490" i="20"/>
  <c r="K479" i="20"/>
  <c r="H402" i="20"/>
  <c r="H390" i="20"/>
  <c r="H378" i="20"/>
  <c r="K295" i="20"/>
  <c r="K271" i="20"/>
  <c r="K283" i="20"/>
  <c r="E293" i="20"/>
  <c r="E269" i="20"/>
  <c r="E281" i="20"/>
  <c r="G291" i="20"/>
  <c r="G289" i="20"/>
  <c r="G279" i="20"/>
  <c r="G264" i="20"/>
  <c r="G290" i="20"/>
  <c r="G278" i="20"/>
  <c r="G267" i="20"/>
  <c r="G288" i="20"/>
  <c r="G266" i="20"/>
  <c r="G265" i="20"/>
  <c r="G276" i="20"/>
  <c r="G277" i="20"/>
  <c r="F269" i="20"/>
  <c r="F293" i="20"/>
  <c r="F281" i="20"/>
  <c r="Y169" i="20"/>
  <c r="Y157" i="20"/>
  <c r="Y181" i="20"/>
  <c r="P280" i="20"/>
  <c r="P292" i="20"/>
  <c r="P268" i="20"/>
  <c r="S268" i="20"/>
  <c r="S292" i="20"/>
  <c r="S280" i="20"/>
  <c r="V280" i="20"/>
  <c r="V292" i="20"/>
  <c r="V268" i="20"/>
  <c r="G185" i="20"/>
  <c r="G161" i="20"/>
  <c r="G173" i="20"/>
  <c r="L161" i="20"/>
  <c r="L185" i="20"/>
  <c r="L173" i="20"/>
  <c r="S186" i="20"/>
  <c r="S174" i="20"/>
  <c r="S162" i="20"/>
  <c r="M68" i="20"/>
  <c r="M80" i="20"/>
  <c r="M56" i="20"/>
  <c r="Y57" i="20"/>
  <c r="Y81" i="20"/>
  <c r="Y69" i="20"/>
  <c r="S55" i="20"/>
  <c r="S79" i="20"/>
  <c r="S67" i="20"/>
  <c r="I79" i="20"/>
  <c r="I55" i="20"/>
  <c r="I67" i="20"/>
  <c r="P507" i="20"/>
  <c r="P483" i="20"/>
  <c r="P495" i="20"/>
  <c r="R400" i="20"/>
  <c r="R388" i="20"/>
  <c r="R375" i="20"/>
  <c r="R398" i="20"/>
  <c r="R373" i="20"/>
  <c r="R386" i="20"/>
  <c r="R385" i="20"/>
  <c r="R376" i="20"/>
  <c r="R399" i="20"/>
  <c r="R374" i="20"/>
  <c r="R397" i="20"/>
  <c r="R387" i="20"/>
  <c r="Q397" i="20"/>
  <c r="Q385" i="20"/>
  <c r="Q388" i="20"/>
  <c r="Q400" i="20"/>
  <c r="Q386" i="20"/>
  <c r="Q376" i="20"/>
  <c r="Q398" i="20"/>
  <c r="Q373" i="20"/>
  <c r="Q387" i="20"/>
  <c r="Q375" i="20"/>
  <c r="Q399" i="20"/>
  <c r="Q374" i="20"/>
  <c r="H490" i="20"/>
  <c r="H502" i="20"/>
  <c r="H493" i="20"/>
  <c r="H480" i="20"/>
  <c r="H491" i="20"/>
  <c r="H504" i="20"/>
  <c r="H503" i="20"/>
  <c r="H481" i="20"/>
  <c r="H492" i="20"/>
  <c r="H478" i="20"/>
  <c r="H505" i="20"/>
  <c r="H479" i="20"/>
  <c r="D502" i="20"/>
  <c r="D490" i="20"/>
  <c r="D505" i="20"/>
  <c r="D503" i="20"/>
  <c r="D480" i="20"/>
  <c r="D504" i="20"/>
  <c r="D493" i="20"/>
  <c r="D492" i="20"/>
  <c r="D478" i="20"/>
  <c r="D479" i="20"/>
  <c r="D481" i="20"/>
  <c r="D491" i="20"/>
  <c r="S491" i="20"/>
  <c r="S503" i="20"/>
  <c r="S493" i="20"/>
  <c r="S481" i="20"/>
  <c r="S504" i="20"/>
  <c r="S502" i="20"/>
  <c r="S492" i="20"/>
  <c r="S490" i="20"/>
  <c r="S505" i="20"/>
  <c r="S479" i="20"/>
  <c r="S478" i="20"/>
  <c r="S480" i="20"/>
  <c r="F507" i="20"/>
  <c r="F495" i="20"/>
  <c r="F483" i="20"/>
  <c r="P490" i="20"/>
  <c r="P502" i="20"/>
  <c r="P492" i="20"/>
  <c r="P480" i="20"/>
  <c r="P481" i="20"/>
  <c r="P505" i="20"/>
  <c r="P504" i="20"/>
  <c r="P503" i="20"/>
  <c r="P491" i="20"/>
  <c r="P493" i="20"/>
  <c r="P479" i="20"/>
  <c r="P478" i="20"/>
  <c r="P402" i="20"/>
  <c r="P390" i="20"/>
  <c r="P378" i="20"/>
  <c r="Z401" i="20"/>
  <c r="Z389" i="20"/>
  <c r="Z377" i="20"/>
  <c r="W283" i="20"/>
  <c r="W295" i="20"/>
  <c r="W271" i="20"/>
  <c r="Q283" i="20"/>
  <c r="Q295" i="20"/>
  <c r="Q271" i="20"/>
  <c r="P294" i="20"/>
  <c r="P282" i="20"/>
  <c r="P270" i="20"/>
  <c r="L293" i="20"/>
  <c r="L269" i="20"/>
  <c r="L281" i="20"/>
  <c r="Y292" i="20"/>
  <c r="Y280" i="20"/>
  <c r="Y268" i="20"/>
  <c r="N163" i="20"/>
  <c r="N187" i="20"/>
  <c r="N175" i="20"/>
  <c r="U292" i="20"/>
  <c r="U268" i="20"/>
  <c r="U280" i="20"/>
  <c r="T173" i="20"/>
  <c r="T185" i="20"/>
  <c r="T161" i="20"/>
  <c r="Y180" i="20"/>
  <c r="Y168" i="20"/>
  <c r="Y156" i="20"/>
  <c r="S171" i="20"/>
  <c r="S180" i="20"/>
  <c r="S183" i="20"/>
  <c r="S181" i="20"/>
  <c r="S157" i="20"/>
  <c r="S168" i="20"/>
  <c r="S158" i="20"/>
  <c r="S182" i="20"/>
  <c r="S159" i="20"/>
  <c r="S169" i="20"/>
  <c r="S156" i="20"/>
  <c r="S170" i="20"/>
  <c r="E56" i="20"/>
  <c r="E80" i="20"/>
  <c r="E68" i="20"/>
  <c r="S80" i="20"/>
  <c r="S68" i="20"/>
  <c r="S56" i="20"/>
  <c r="U78" i="20"/>
  <c r="U66" i="20"/>
  <c r="U54" i="20"/>
  <c r="K67" i="20"/>
  <c r="K79" i="20"/>
  <c r="K55" i="20"/>
  <c r="R55" i="20"/>
  <c r="R67" i="20"/>
  <c r="R79" i="20"/>
  <c r="I46" i="20"/>
  <c r="F81" i="20"/>
  <c r="F69" i="20"/>
  <c r="F57" i="20"/>
  <c r="Q78" i="20"/>
  <c r="Q54" i="20"/>
  <c r="Q66" i="20"/>
  <c r="P78" i="20"/>
  <c r="P66" i="20"/>
  <c r="P54" i="20"/>
  <c r="G52" i="20"/>
  <c r="G64" i="20"/>
  <c r="H483" i="20"/>
  <c r="H507" i="20"/>
  <c r="H495" i="20"/>
  <c r="R496" i="20"/>
  <c r="R508" i="20"/>
  <c r="R484" i="20"/>
  <c r="S508" i="20"/>
  <c r="S496" i="20"/>
  <c r="S484" i="20"/>
  <c r="W496" i="20"/>
  <c r="W508" i="20"/>
  <c r="W484" i="20"/>
  <c r="U506" i="20"/>
  <c r="U482" i="20"/>
  <c r="U494" i="20"/>
  <c r="AA509" i="20"/>
  <c r="AA485" i="20"/>
  <c r="AA497" i="20"/>
  <c r="X485" i="20"/>
  <c r="X509" i="20"/>
  <c r="X497" i="20"/>
  <c r="X402" i="20"/>
  <c r="X390" i="20"/>
  <c r="X378" i="20"/>
  <c r="F404" i="20"/>
  <c r="F392" i="20"/>
  <c r="F380" i="20"/>
  <c r="M295" i="20"/>
  <c r="M283" i="20"/>
  <c r="M271" i="20"/>
  <c r="AA295" i="20"/>
  <c r="AA283" i="20"/>
  <c r="AA271" i="20"/>
  <c r="V294" i="20"/>
  <c r="V270" i="20"/>
  <c r="V282" i="20"/>
  <c r="K282" i="20"/>
  <c r="K294" i="20"/>
  <c r="K270" i="20"/>
  <c r="G283" i="20"/>
  <c r="G295" i="20"/>
  <c r="G271" i="20"/>
  <c r="F294" i="20"/>
  <c r="F282" i="20"/>
  <c r="F270" i="20"/>
  <c r="D295" i="20"/>
  <c r="D271" i="20"/>
  <c r="D283" i="20"/>
  <c r="B292" i="20"/>
  <c r="B268" i="20"/>
  <c r="B280" i="20"/>
  <c r="D292" i="20"/>
  <c r="D268" i="20"/>
  <c r="D280" i="20"/>
  <c r="X170" i="20"/>
  <c r="X182" i="20"/>
  <c r="X180" i="20"/>
  <c r="X156" i="20"/>
  <c r="X183" i="20"/>
  <c r="X159" i="20"/>
  <c r="X168" i="20"/>
  <c r="X169" i="20"/>
  <c r="X157" i="20"/>
  <c r="X171" i="20"/>
  <c r="X181" i="20"/>
  <c r="X158" i="20"/>
  <c r="W183" i="20"/>
  <c r="W181" i="20"/>
  <c r="W171" i="20"/>
  <c r="W169" i="20"/>
  <c r="W180" i="20"/>
  <c r="W156" i="20"/>
  <c r="W182" i="20"/>
  <c r="W170" i="20"/>
  <c r="W157" i="20"/>
  <c r="W158" i="20"/>
  <c r="W159" i="20"/>
  <c r="W168" i="20"/>
  <c r="I292" i="20"/>
  <c r="I268" i="20"/>
  <c r="I280" i="20"/>
  <c r="Q174" i="20"/>
  <c r="Q186" i="20"/>
  <c r="Q162" i="20"/>
  <c r="N67" i="20"/>
  <c r="N79" i="20"/>
  <c r="N55" i="20"/>
  <c r="I81" i="20"/>
  <c r="I69" i="20"/>
  <c r="I57" i="20"/>
  <c r="C79" i="20"/>
  <c r="C67" i="20"/>
  <c r="C55" i="20"/>
  <c r="W80" i="20"/>
  <c r="W68" i="20"/>
  <c r="W56" i="20"/>
  <c r="F368" i="20"/>
  <c r="F369" i="20"/>
  <c r="F259" i="20"/>
  <c r="F474" i="20"/>
  <c r="F45" i="20"/>
  <c r="F152" i="20"/>
  <c r="F260" i="20"/>
  <c r="J496" i="20"/>
  <c r="J508" i="20"/>
  <c r="J484" i="20"/>
  <c r="AB483" i="20"/>
  <c r="AB507" i="20"/>
  <c r="AB495" i="20"/>
  <c r="Y494" i="20"/>
  <c r="Y506" i="20"/>
  <c r="Y482" i="20"/>
  <c r="Z482" i="20"/>
  <c r="Z494" i="20"/>
  <c r="Z506" i="20"/>
  <c r="O508" i="20"/>
  <c r="O484" i="20"/>
  <c r="O496" i="20"/>
  <c r="Z496" i="20"/>
  <c r="Z508" i="20"/>
  <c r="Z484" i="20"/>
  <c r="C507" i="20"/>
  <c r="C495" i="20"/>
  <c r="C483" i="20"/>
  <c r="U505" i="20"/>
  <c r="U493" i="20"/>
  <c r="U490" i="20"/>
  <c r="U479" i="20"/>
  <c r="U492" i="20"/>
  <c r="U504" i="20"/>
  <c r="U491" i="20"/>
  <c r="U480" i="20"/>
  <c r="U481" i="20"/>
  <c r="U502" i="20"/>
  <c r="U478" i="20"/>
  <c r="U503" i="20"/>
  <c r="N485" i="20"/>
  <c r="N509" i="20"/>
  <c r="N497" i="20"/>
  <c r="C404" i="20"/>
  <c r="C392" i="20"/>
  <c r="C380" i="20"/>
  <c r="H403" i="20"/>
  <c r="H391" i="20"/>
  <c r="H379" i="20"/>
  <c r="H374" i="20"/>
  <c r="H385" i="20"/>
  <c r="H373" i="20"/>
  <c r="H376" i="20"/>
  <c r="H400" i="20"/>
  <c r="H397" i="20"/>
  <c r="H388" i="20"/>
  <c r="H387" i="20"/>
  <c r="H398" i="20"/>
  <c r="H386" i="20"/>
  <c r="H399" i="20"/>
  <c r="H375" i="20"/>
  <c r="C378" i="20"/>
  <c r="C402" i="20"/>
  <c r="C390" i="20"/>
  <c r="B404" i="20"/>
  <c r="B380" i="20"/>
  <c r="B392" i="20"/>
  <c r="U392" i="20"/>
  <c r="U404" i="20"/>
  <c r="U380" i="20"/>
  <c r="Y402" i="20"/>
  <c r="Y390" i="20"/>
  <c r="Y378" i="20"/>
  <c r="F402" i="20"/>
  <c r="F390" i="20"/>
  <c r="F378" i="20"/>
  <c r="L403" i="20"/>
  <c r="L391" i="20"/>
  <c r="L379" i="20"/>
  <c r="AA403" i="20"/>
  <c r="AA391" i="20"/>
  <c r="AA379" i="20"/>
  <c r="O403" i="20"/>
  <c r="O379" i="20"/>
  <c r="O391" i="20"/>
  <c r="J295" i="20"/>
  <c r="J283" i="20"/>
  <c r="J271" i="20"/>
  <c r="AA293" i="20"/>
  <c r="AA281" i="20"/>
  <c r="AA269" i="20"/>
  <c r="P281" i="20"/>
  <c r="P293" i="20"/>
  <c r="P269" i="20"/>
  <c r="H289" i="20"/>
  <c r="H290" i="20"/>
  <c r="H278" i="20"/>
  <c r="H279" i="20"/>
  <c r="H264" i="20"/>
  <c r="H267" i="20"/>
  <c r="H277" i="20"/>
  <c r="H265" i="20"/>
  <c r="H266" i="20"/>
  <c r="H276" i="20"/>
  <c r="H291" i="20"/>
  <c r="H288" i="20"/>
  <c r="R289" i="20"/>
  <c r="R290" i="20"/>
  <c r="R276" i="20"/>
  <c r="R288" i="20"/>
  <c r="R278" i="20"/>
  <c r="R265" i="20"/>
  <c r="R277" i="20"/>
  <c r="R264" i="20"/>
  <c r="R266" i="20"/>
  <c r="R291" i="20"/>
  <c r="R279" i="20"/>
  <c r="R267" i="20"/>
  <c r="U294" i="20"/>
  <c r="U282" i="20"/>
  <c r="U270" i="20"/>
  <c r="Y283" i="20"/>
  <c r="Y295" i="20"/>
  <c r="Y271" i="20"/>
  <c r="AC283" i="20"/>
  <c r="AC271" i="20"/>
  <c r="AC295" i="20"/>
  <c r="D290" i="20"/>
  <c r="D276" i="20"/>
  <c r="D289" i="20"/>
  <c r="D266" i="20"/>
  <c r="D291" i="20"/>
  <c r="D277" i="20"/>
  <c r="D288" i="20"/>
  <c r="D279" i="20"/>
  <c r="D265" i="20"/>
  <c r="D267" i="20"/>
  <c r="D264" i="20"/>
  <c r="D278" i="20"/>
  <c r="E282" i="20"/>
  <c r="E294" i="20"/>
  <c r="E270" i="20"/>
  <c r="E160" i="20"/>
  <c r="E184" i="20"/>
  <c r="E172" i="20"/>
  <c r="K187" i="20"/>
  <c r="K163" i="20"/>
  <c r="K175" i="20"/>
  <c r="F187" i="20"/>
  <c r="F163" i="20"/>
  <c r="F175" i="20"/>
  <c r="I187" i="20"/>
  <c r="I175" i="20"/>
  <c r="I163" i="20"/>
  <c r="Y173" i="20"/>
  <c r="Y185" i="20"/>
  <c r="Y161" i="20"/>
  <c r="R187" i="20"/>
  <c r="R175" i="20"/>
  <c r="R163" i="20"/>
  <c r="M280" i="20"/>
  <c r="M268" i="20"/>
  <c r="M292" i="20"/>
  <c r="J281" i="20"/>
  <c r="J293" i="20"/>
  <c r="J269" i="20"/>
  <c r="M169" i="20"/>
  <c r="M183" i="20"/>
  <c r="M181" i="20"/>
  <c r="M171" i="20"/>
  <c r="M182" i="20"/>
  <c r="M158" i="20"/>
  <c r="M156" i="20"/>
  <c r="M180" i="20"/>
  <c r="M157" i="20"/>
  <c r="M168" i="20"/>
  <c r="M159" i="20"/>
  <c r="M170" i="20"/>
  <c r="T175" i="20"/>
  <c r="T187" i="20"/>
  <c r="T163" i="20"/>
  <c r="Z168" i="20"/>
  <c r="Z182" i="20"/>
  <c r="Z180" i="20"/>
  <c r="Z170" i="20"/>
  <c r="Z181" i="20"/>
  <c r="Z157" i="20"/>
  <c r="Z183" i="20"/>
  <c r="Z171" i="20"/>
  <c r="Z158" i="20"/>
  <c r="Z159" i="20"/>
  <c r="Z156" i="20"/>
  <c r="Z169" i="20"/>
  <c r="AC270" i="20"/>
  <c r="R174" i="20"/>
  <c r="R186" i="20"/>
  <c r="R162" i="20"/>
  <c r="AB174" i="20"/>
  <c r="AB186" i="20"/>
  <c r="AB162" i="20"/>
  <c r="F185" i="20"/>
  <c r="F161" i="20"/>
  <c r="F173" i="20"/>
  <c r="B185" i="20"/>
  <c r="B173" i="20"/>
  <c r="B161" i="20"/>
  <c r="I157" i="20"/>
  <c r="I159" i="20"/>
  <c r="AB276" i="20"/>
  <c r="P184" i="20"/>
  <c r="P172" i="20"/>
  <c r="P160" i="20"/>
  <c r="G184" i="20"/>
  <c r="G172" i="20"/>
  <c r="G160" i="20"/>
  <c r="N81" i="20"/>
  <c r="N57" i="20"/>
  <c r="N69" i="20"/>
  <c r="M78" i="20"/>
  <c r="M54" i="20"/>
  <c r="M66" i="20"/>
  <c r="J56" i="20"/>
  <c r="J68" i="20"/>
  <c r="J80" i="20"/>
  <c r="X76" i="20"/>
  <c r="X64" i="20"/>
  <c r="X63" i="20"/>
  <c r="X51" i="20"/>
  <c r="X74" i="20"/>
  <c r="X75" i="20"/>
  <c r="X65" i="20"/>
  <c r="X53" i="20"/>
  <c r="X52" i="20"/>
  <c r="X77" i="20"/>
  <c r="X62" i="20"/>
  <c r="X50" i="20"/>
  <c r="Y158" i="20"/>
  <c r="N68" i="20"/>
  <c r="N80" i="20"/>
  <c r="N56" i="20"/>
  <c r="AA81" i="20"/>
  <c r="G51" i="20"/>
  <c r="G53" i="20"/>
  <c r="C57" i="20"/>
  <c r="U67" i="20"/>
  <c r="U79" i="20"/>
  <c r="U55" i="20"/>
  <c r="V45" i="20"/>
  <c r="W506" i="20"/>
  <c r="W482" i="20"/>
  <c r="W494" i="20"/>
  <c r="P506" i="20"/>
  <c r="P494" i="20"/>
  <c r="P482" i="20"/>
  <c r="AA507" i="20"/>
  <c r="AA483" i="20"/>
  <c r="AA495" i="20"/>
  <c r="F508" i="20"/>
  <c r="F484" i="20"/>
  <c r="F496" i="20"/>
  <c r="M483" i="20"/>
  <c r="M507" i="20"/>
  <c r="M495" i="20"/>
  <c r="X483" i="20"/>
  <c r="X495" i="20"/>
  <c r="X507" i="20"/>
  <c r="R506" i="20"/>
  <c r="R482" i="20"/>
  <c r="R494" i="20"/>
  <c r="C506" i="20"/>
  <c r="C494" i="20"/>
  <c r="C482" i="20"/>
  <c r="E484" i="20"/>
  <c r="E508" i="20"/>
  <c r="E496" i="20"/>
  <c r="Z504" i="20"/>
  <c r="Z492" i="20"/>
  <c r="Z505" i="20"/>
  <c r="Z478" i="20"/>
  <c r="Z490" i="20"/>
  <c r="Z493" i="20"/>
  <c r="Z491" i="20"/>
  <c r="Z480" i="20"/>
  <c r="Z481" i="20"/>
  <c r="Z503" i="20"/>
  <c r="Z502" i="20"/>
  <c r="Z479" i="20"/>
  <c r="AC392" i="20"/>
  <c r="AC380" i="20"/>
  <c r="AC404" i="20"/>
  <c r="T497" i="20"/>
  <c r="T485" i="20"/>
  <c r="T509" i="20"/>
  <c r="V509" i="20"/>
  <c r="V497" i="20"/>
  <c r="V485" i="20"/>
  <c r="K404" i="20"/>
  <c r="K392" i="20"/>
  <c r="K380" i="20"/>
  <c r="U391" i="20"/>
  <c r="U403" i="20"/>
  <c r="U379" i="20"/>
  <c r="P403" i="20"/>
  <c r="P379" i="20"/>
  <c r="P391" i="20"/>
  <c r="AA400" i="20"/>
  <c r="AA375" i="20"/>
  <c r="AA386" i="20"/>
  <c r="AA376" i="20"/>
  <c r="AA399" i="20"/>
  <c r="AA373" i="20"/>
  <c r="AA387" i="20"/>
  <c r="AA398" i="20"/>
  <c r="AA397" i="20"/>
  <c r="AA388" i="20"/>
  <c r="AA385" i="20"/>
  <c r="AA374" i="20"/>
  <c r="P399" i="20"/>
  <c r="P400" i="20"/>
  <c r="P374" i="20"/>
  <c r="P385" i="20"/>
  <c r="P386" i="20"/>
  <c r="P376" i="20"/>
  <c r="P397" i="20"/>
  <c r="P388" i="20"/>
  <c r="P398" i="20"/>
  <c r="P387" i="20"/>
  <c r="P375" i="20"/>
  <c r="P373" i="20"/>
  <c r="Z402" i="20"/>
  <c r="Z390" i="20"/>
  <c r="Z378" i="20"/>
  <c r="B390" i="20"/>
  <c r="B402" i="20"/>
  <c r="B378" i="20"/>
  <c r="N390" i="20"/>
  <c r="N378" i="20"/>
  <c r="N402" i="20"/>
  <c r="X293" i="20"/>
  <c r="X281" i="20"/>
  <c r="X269" i="20"/>
  <c r="P289" i="20"/>
  <c r="P278" i="20"/>
  <c r="P290" i="20"/>
  <c r="P264" i="20"/>
  <c r="P291" i="20"/>
  <c r="P279" i="20"/>
  <c r="P267" i="20"/>
  <c r="P288" i="20"/>
  <c r="P265" i="20"/>
  <c r="P266" i="20"/>
  <c r="P277" i="20"/>
  <c r="P276" i="20"/>
  <c r="Z276" i="20"/>
  <c r="Z290" i="20"/>
  <c r="Z279" i="20"/>
  <c r="Z265" i="20"/>
  <c r="Z278" i="20"/>
  <c r="Z277" i="20"/>
  <c r="Z264" i="20"/>
  <c r="Z266" i="20"/>
  <c r="Z291" i="20"/>
  <c r="Z288" i="20"/>
  <c r="Z267" i="20"/>
  <c r="Z289" i="20"/>
  <c r="F283" i="20"/>
  <c r="F271" i="20"/>
  <c r="F295" i="20"/>
  <c r="N397" i="20"/>
  <c r="N376" i="20"/>
  <c r="N400" i="20"/>
  <c r="N387" i="20"/>
  <c r="N399" i="20"/>
  <c r="N385" i="20"/>
  <c r="N375" i="20"/>
  <c r="N388" i="20"/>
  <c r="N386" i="20"/>
  <c r="N398" i="20"/>
  <c r="N374" i="20"/>
  <c r="N373" i="20"/>
  <c r="R294" i="20"/>
  <c r="R270" i="20"/>
  <c r="R282" i="20"/>
  <c r="R293" i="20"/>
  <c r="R281" i="20"/>
  <c r="R269" i="20"/>
  <c r="T182" i="20"/>
  <c r="T180" i="20"/>
  <c r="T183" i="20"/>
  <c r="T170" i="20"/>
  <c r="T168" i="20"/>
  <c r="T171" i="20"/>
  <c r="T181" i="20"/>
  <c r="T159" i="20"/>
  <c r="T169" i="20"/>
  <c r="T156" i="20"/>
  <c r="T157" i="20"/>
  <c r="T158" i="20"/>
  <c r="H187" i="20"/>
  <c r="H175" i="20"/>
  <c r="H163" i="20"/>
  <c r="Z187" i="20"/>
  <c r="Z163" i="20"/>
  <c r="Z175" i="20"/>
  <c r="V400" i="20"/>
  <c r="V376" i="20"/>
  <c r="D182" i="20"/>
  <c r="D180" i="20"/>
  <c r="D183" i="20"/>
  <c r="D170" i="20"/>
  <c r="D168" i="20"/>
  <c r="D171" i="20"/>
  <c r="D157" i="20"/>
  <c r="D169" i="20"/>
  <c r="D158" i="20"/>
  <c r="D181" i="20"/>
  <c r="D159" i="20"/>
  <c r="D156" i="20"/>
  <c r="C171" i="20"/>
  <c r="C180" i="20"/>
  <c r="C183" i="20"/>
  <c r="C181" i="20"/>
  <c r="C157" i="20"/>
  <c r="C168" i="20"/>
  <c r="C156" i="20"/>
  <c r="C169" i="20"/>
  <c r="C158" i="20"/>
  <c r="C182" i="20"/>
  <c r="C170" i="20"/>
  <c r="C159" i="20"/>
  <c r="P187" i="20"/>
  <c r="P175" i="20"/>
  <c r="P163" i="20"/>
  <c r="AC282" i="20"/>
  <c r="D151" i="20"/>
  <c r="Z185" i="20"/>
  <c r="Z173" i="20"/>
  <c r="Z161" i="20"/>
  <c r="R185" i="20"/>
  <c r="R173" i="20"/>
  <c r="R161" i="20"/>
  <c r="I183" i="20"/>
  <c r="AB288" i="20"/>
  <c r="T151" i="20"/>
  <c r="W184" i="20"/>
  <c r="W172" i="20"/>
  <c r="W160" i="20"/>
  <c r="Q172" i="20"/>
  <c r="Q184" i="20"/>
  <c r="Q160" i="20"/>
  <c r="E78" i="20"/>
  <c r="E66" i="20"/>
  <c r="E54" i="20"/>
  <c r="B80" i="20"/>
  <c r="B68" i="20"/>
  <c r="B56" i="20"/>
  <c r="Y80" i="20"/>
  <c r="Y68" i="20"/>
  <c r="Y56" i="20"/>
  <c r="P76" i="20"/>
  <c r="P64" i="20"/>
  <c r="P77" i="20"/>
  <c r="P74" i="20"/>
  <c r="P51" i="20"/>
  <c r="P75" i="20"/>
  <c r="P65" i="20"/>
  <c r="P62" i="20"/>
  <c r="P52" i="20"/>
  <c r="P50" i="20"/>
  <c r="P63" i="20"/>
  <c r="P53" i="20"/>
  <c r="G80" i="20"/>
  <c r="G68" i="20"/>
  <c r="G56" i="20"/>
  <c r="F62" i="20"/>
  <c r="F74" i="20"/>
  <c r="F64" i="20"/>
  <c r="F50" i="20"/>
  <c r="F53" i="20"/>
  <c r="F75" i="20"/>
  <c r="F76" i="20"/>
  <c r="F51" i="20"/>
  <c r="F77" i="20"/>
  <c r="F65" i="20"/>
  <c r="F52" i="20"/>
  <c r="F63" i="20"/>
  <c r="N173" i="20"/>
  <c r="Y171" i="20"/>
  <c r="F80" i="20"/>
  <c r="F68" i="20"/>
  <c r="F56" i="20"/>
  <c r="AA69" i="20"/>
  <c r="G75" i="20"/>
  <c r="G74" i="20"/>
  <c r="C81" i="20"/>
  <c r="AC67" i="20"/>
  <c r="AC79" i="20"/>
  <c r="AC55" i="20"/>
  <c r="T172" i="20"/>
  <c r="N78" i="20"/>
  <c r="N66" i="20"/>
  <c r="N54" i="20"/>
  <c r="I496" i="20"/>
  <c r="I484" i="20"/>
  <c r="I508" i="20"/>
  <c r="X490" i="20"/>
  <c r="X502" i="20"/>
  <c r="X491" i="20"/>
  <c r="X480" i="20"/>
  <c r="X493" i="20"/>
  <c r="X481" i="20"/>
  <c r="X505" i="20"/>
  <c r="X479" i="20"/>
  <c r="X478" i="20"/>
  <c r="X503" i="20"/>
  <c r="X492" i="20"/>
  <c r="X504" i="20"/>
  <c r="AB509" i="20"/>
  <c r="AB485" i="20"/>
  <c r="AB497" i="20"/>
  <c r="S404" i="20"/>
  <c r="S380" i="20"/>
  <c r="S392" i="20"/>
  <c r="G403" i="20"/>
  <c r="G379" i="20"/>
  <c r="G391" i="20"/>
  <c r="X403" i="20"/>
  <c r="X391" i="20"/>
  <c r="X379" i="20"/>
  <c r="X399" i="20"/>
  <c r="X374" i="20"/>
  <c r="X385" i="20"/>
  <c r="X397" i="20"/>
  <c r="X375" i="20"/>
  <c r="X373" i="20"/>
  <c r="X388" i="20"/>
  <c r="X386" i="20"/>
  <c r="X400" i="20"/>
  <c r="X387" i="20"/>
  <c r="X398" i="20"/>
  <c r="X376" i="20"/>
  <c r="AA378" i="20"/>
  <c r="AA402" i="20"/>
  <c r="AA390" i="20"/>
  <c r="V402" i="20"/>
  <c r="V378" i="20"/>
  <c r="V390" i="20"/>
  <c r="B391" i="20"/>
  <c r="B379" i="20"/>
  <c r="B403" i="20"/>
  <c r="R391" i="20"/>
  <c r="R403" i="20"/>
  <c r="R379" i="20"/>
  <c r="E401" i="20"/>
  <c r="E389" i="20"/>
  <c r="E377" i="20"/>
  <c r="Y401" i="20"/>
  <c r="Y377" i="20"/>
  <c r="Y389" i="20"/>
  <c r="T389" i="20"/>
  <c r="T401" i="20"/>
  <c r="T377" i="20"/>
  <c r="K401" i="20"/>
  <c r="K389" i="20"/>
  <c r="K377" i="20"/>
  <c r="X295" i="20"/>
  <c r="X271" i="20"/>
  <c r="X283" i="20"/>
  <c r="N269" i="20"/>
  <c r="N293" i="20"/>
  <c r="N281" i="20"/>
  <c r="I281" i="20"/>
  <c r="I293" i="20"/>
  <c r="I269" i="20"/>
  <c r="M398" i="20"/>
  <c r="M373" i="20"/>
  <c r="M397" i="20"/>
  <c r="M376" i="20"/>
  <c r="M388" i="20"/>
  <c r="M400" i="20"/>
  <c r="M399" i="20"/>
  <c r="M385" i="20"/>
  <c r="M375" i="20"/>
  <c r="M387" i="20"/>
  <c r="M386" i="20"/>
  <c r="M374" i="20"/>
  <c r="X289" i="20"/>
  <c r="X291" i="20"/>
  <c r="X288" i="20"/>
  <c r="X278" i="20"/>
  <c r="X264" i="20"/>
  <c r="X267" i="20"/>
  <c r="X290" i="20"/>
  <c r="X279" i="20"/>
  <c r="X265" i="20"/>
  <c r="X276" i="20"/>
  <c r="X266" i="20"/>
  <c r="X277" i="20"/>
  <c r="C290" i="20"/>
  <c r="C288" i="20"/>
  <c r="C279" i="20"/>
  <c r="C289" i="20"/>
  <c r="C265" i="20"/>
  <c r="C276" i="20"/>
  <c r="C266" i="20"/>
  <c r="C278" i="20"/>
  <c r="C267" i="20"/>
  <c r="C291" i="20"/>
  <c r="C277" i="20"/>
  <c r="C264" i="20"/>
  <c r="P295" i="20"/>
  <c r="P283" i="20"/>
  <c r="P271" i="20"/>
  <c r="L283" i="20"/>
  <c r="L271" i="20"/>
  <c r="L295" i="20"/>
  <c r="N283" i="20"/>
  <c r="N295" i="20"/>
  <c r="N271" i="20"/>
  <c r="R404" i="20"/>
  <c r="R380" i="20"/>
  <c r="R392" i="20"/>
  <c r="N282" i="20"/>
  <c r="N294" i="20"/>
  <c r="N270" i="20"/>
  <c r="Z270" i="20"/>
  <c r="Z282" i="20"/>
  <c r="Z294" i="20"/>
  <c r="AB282" i="20"/>
  <c r="AB294" i="20"/>
  <c r="AB270" i="20"/>
  <c r="X185" i="20"/>
  <c r="X173" i="20"/>
  <c r="X161" i="20"/>
  <c r="L182" i="20"/>
  <c r="L180" i="20"/>
  <c r="L183" i="20"/>
  <c r="L170" i="20"/>
  <c r="L168" i="20"/>
  <c r="L171" i="20"/>
  <c r="L159" i="20"/>
  <c r="L181" i="20"/>
  <c r="L157" i="20"/>
  <c r="L169" i="20"/>
  <c r="L158" i="20"/>
  <c r="L156" i="20"/>
  <c r="V187" i="20"/>
  <c r="V175" i="20"/>
  <c r="V163" i="20"/>
  <c r="H170" i="20"/>
  <c r="H182" i="20"/>
  <c r="H180" i="20"/>
  <c r="H156" i="20"/>
  <c r="H183" i="20"/>
  <c r="H159" i="20"/>
  <c r="H168" i="20"/>
  <c r="H169" i="20"/>
  <c r="H181" i="20"/>
  <c r="H171" i="20"/>
  <c r="H157" i="20"/>
  <c r="H158" i="20"/>
  <c r="AC169" i="20"/>
  <c r="AC183" i="20"/>
  <c r="AC181" i="20"/>
  <c r="AC171" i="20"/>
  <c r="AC182" i="20"/>
  <c r="AC158" i="20"/>
  <c r="AC159" i="20"/>
  <c r="AC156" i="20"/>
  <c r="AC180" i="20"/>
  <c r="AC168" i="20"/>
  <c r="AC157" i="20"/>
  <c r="AC170" i="20"/>
  <c r="Z292" i="20"/>
  <c r="Z280" i="20"/>
  <c r="Z268" i="20"/>
  <c r="AA292" i="20"/>
  <c r="AA280" i="20"/>
  <c r="AA268" i="20"/>
  <c r="AC268" i="20"/>
  <c r="AC280" i="20"/>
  <c r="AC292" i="20"/>
  <c r="F288" i="20"/>
  <c r="F291" i="20"/>
  <c r="F289" i="20"/>
  <c r="F290" i="20"/>
  <c r="F266" i="20"/>
  <c r="F279" i="20"/>
  <c r="F264" i="20"/>
  <c r="F278" i="20"/>
  <c r="F267" i="20"/>
  <c r="F276" i="20"/>
  <c r="F265" i="20"/>
  <c r="F277" i="20"/>
  <c r="K171" i="20"/>
  <c r="K180" i="20"/>
  <c r="K183" i="20"/>
  <c r="K181" i="20"/>
  <c r="K157" i="20"/>
  <c r="K168" i="20"/>
  <c r="K169" i="20"/>
  <c r="K170" i="20"/>
  <c r="K156" i="20"/>
  <c r="K182" i="20"/>
  <c r="K158" i="20"/>
  <c r="K159" i="20"/>
  <c r="AC294" i="20"/>
  <c r="I186" i="20"/>
  <c r="I162" i="20"/>
  <c r="I174" i="20"/>
  <c r="O186" i="20"/>
  <c r="O174" i="20"/>
  <c r="O162" i="20"/>
  <c r="K162" i="20"/>
  <c r="K186" i="20"/>
  <c r="K174" i="20"/>
  <c r="J185" i="20"/>
  <c r="J173" i="20"/>
  <c r="J161" i="20"/>
  <c r="AB185" i="20"/>
  <c r="AB173" i="20"/>
  <c r="AB161" i="20"/>
  <c r="V185" i="20"/>
  <c r="V161" i="20"/>
  <c r="V173" i="20"/>
  <c r="I168" i="20"/>
  <c r="I169" i="20"/>
  <c r="AB266" i="20"/>
  <c r="AC175" i="20"/>
  <c r="AC187" i="20"/>
  <c r="AC163" i="20"/>
  <c r="B184" i="20"/>
  <c r="B172" i="20"/>
  <c r="B160" i="20"/>
  <c r="AA184" i="20"/>
  <c r="AA160" i="20"/>
  <c r="AA172" i="20"/>
  <c r="G54" i="20"/>
  <c r="G66" i="20"/>
  <c r="G78" i="20"/>
  <c r="AA80" i="20"/>
  <c r="AA68" i="20"/>
  <c r="AA56" i="20"/>
  <c r="Z74" i="20"/>
  <c r="Z77" i="20"/>
  <c r="Z62" i="20"/>
  <c r="Z64" i="20"/>
  <c r="Z65" i="20"/>
  <c r="Z53" i="20"/>
  <c r="Z75" i="20"/>
  <c r="Z63" i="20"/>
  <c r="Z51" i="20"/>
  <c r="Z76" i="20"/>
  <c r="Z50" i="20"/>
  <c r="Z52" i="20"/>
  <c r="AC57" i="20"/>
  <c r="AC81" i="20"/>
  <c r="AC69" i="20"/>
  <c r="AB78" i="20"/>
  <c r="AB66" i="20"/>
  <c r="AB54" i="20"/>
  <c r="Q68" i="20"/>
  <c r="Q80" i="20"/>
  <c r="Q56" i="20"/>
  <c r="H76" i="20"/>
  <c r="H64" i="20"/>
  <c r="H75" i="20"/>
  <c r="H65" i="20"/>
  <c r="H51" i="20"/>
  <c r="H63" i="20"/>
  <c r="H74" i="20"/>
  <c r="H62" i="20"/>
  <c r="H53" i="20"/>
  <c r="H52" i="20"/>
  <c r="H50" i="20"/>
  <c r="H77" i="20"/>
  <c r="Y78" i="20"/>
  <c r="Y54" i="20"/>
  <c r="Y66" i="20"/>
  <c r="X78" i="20"/>
  <c r="X66" i="20"/>
  <c r="X54" i="20"/>
  <c r="G69" i="20"/>
  <c r="S57" i="20"/>
  <c r="R46" i="20"/>
  <c r="X79" i="20"/>
  <c r="X67" i="20"/>
  <c r="X55" i="20"/>
  <c r="V78" i="20"/>
  <c r="V66" i="20"/>
  <c r="V54" i="20"/>
  <c r="C77" i="20"/>
  <c r="C65" i="20"/>
  <c r="C63" i="20"/>
  <c r="C52" i="20"/>
  <c r="C74" i="20"/>
  <c r="C75" i="20"/>
  <c r="C51" i="20"/>
  <c r="C50" i="20"/>
  <c r="C62" i="20"/>
  <c r="C76" i="20"/>
  <c r="C53" i="20"/>
  <c r="C64" i="20"/>
  <c r="B66" i="20"/>
  <c r="B78" i="20"/>
  <c r="B54" i="20"/>
  <c r="I483" i="20"/>
  <c r="I495" i="20"/>
  <c r="I507" i="20"/>
  <c r="M506" i="20"/>
  <c r="M482" i="20"/>
  <c r="M494" i="20"/>
  <c r="N508" i="20"/>
  <c r="N484" i="20"/>
  <c r="N496" i="20"/>
  <c r="M508" i="20"/>
  <c r="M484" i="20"/>
  <c r="M496" i="20"/>
  <c r="C491" i="20"/>
  <c r="C503" i="20"/>
  <c r="C481" i="20"/>
  <c r="C493" i="20"/>
  <c r="C505" i="20"/>
  <c r="C504" i="20"/>
  <c r="C502" i="20"/>
  <c r="C479" i="20"/>
  <c r="C492" i="20"/>
  <c r="C478" i="20"/>
  <c r="C490" i="20"/>
  <c r="C480" i="20"/>
  <c r="Z404" i="20"/>
  <c r="Z380" i="20"/>
  <c r="Z392" i="20"/>
  <c r="C403" i="20"/>
  <c r="C391" i="20"/>
  <c r="C379" i="20"/>
  <c r="F376" i="20"/>
  <c r="F387" i="20"/>
  <c r="F398" i="20"/>
  <c r="F386" i="20"/>
  <c r="F399" i="20"/>
  <c r="F375" i="20"/>
  <c r="F374" i="20"/>
  <c r="F373" i="20"/>
  <c r="F400" i="20"/>
  <c r="F397" i="20"/>
  <c r="F388" i="20"/>
  <c r="F385" i="20"/>
  <c r="J404" i="20"/>
  <c r="J380" i="20"/>
  <c r="J392" i="20"/>
  <c r="Q402" i="20"/>
  <c r="Q378" i="20"/>
  <c r="Q390" i="20"/>
  <c r="X392" i="20"/>
  <c r="X404" i="20"/>
  <c r="X380" i="20"/>
  <c r="L378" i="20"/>
  <c r="L390" i="20"/>
  <c r="L402" i="20"/>
  <c r="AB389" i="20"/>
  <c r="AB401" i="20"/>
  <c r="AB377" i="20"/>
  <c r="X506" i="20"/>
  <c r="X494" i="20"/>
  <c r="X482" i="20"/>
  <c r="V495" i="20"/>
  <c r="V507" i="20"/>
  <c r="V483" i="20"/>
  <c r="S482" i="20"/>
  <c r="S494" i="20"/>
  <c r="S506" i="20"/>
  <c r="U484" i="20"/>
  <c r="U496" i="20"/>
  <c r="U508" i="20"/>
  <c r="AC505" i="20"/>
  <c r="AC493" i="20"/>
  <c r="AC479" i="20"/>
  <c r="AC491" i="20"/>
  <c r="AC481" i="20"/>
  <c r="AC504" i="20"/>
  <c r="AC503" i="20"/>
  <c r="AC492" i="20"/>
  <c r="AC480" i="20"/>
  <c r="AC490" i="20"/>
  <c r="AC502" i="20"/>
  <c r="AC478" i="20"/>
  <c r="G404" i="20"/>
  <c r="G380" i="20"/>
  <c r="G392" i="20"/>
  <c r="B400" i="20"/>
  <c r="B399" i="20"/>
  <c r="B388" i="20"/>
  <c r="B398" i="20"/>
  <c r="B375" i="20"/>
  <c r="B386" i="20"/>
  <c r="B387" i="20"/>
  <c r="B385" i="20"/>
  <c r="B376" i="20"/>
  <c r="B373" i="20"/>
  <c r="B374" i="20"/>
  <c r="B397" i="20"/>
  <c r="P380" i="20"/>
  <c r="P392" i="20"/>
  <c r="P404" i="20"/>
  <c r="AA404" i="20"/>
  <c r="AA392" i="20"/>
  <c r="AA380" i="20"/>
  <c r="T403" i="20"/>
  <c r="T391" i="20"/>
  <c r="T379" i="20"/>
  <c r="M379" i="20"/>
  <c r="M391" i="20"/>
  <c r="M403" i="20"/>
  <c r="I403" i="20"/>
  <c r="I391" i="20"/>
  <c r="I379" i="20"/>
  <c r="R390" i="20"/>
  <c r="R378" i="20"/>
  <c r="R402" i="20"/>
  <c r="N404" i="20"/>
  <c r="N392" i="20"/>
  <c r="N380" i="20"/>
  <c r="AB403" i="20"/>
  <c r="AB391" i="20"/>
  <c r="AB379" i="20"/>
  <c r="O389" i="20"/>
  <c r="O377" i="20"/>
  <c r="O401" i="20"/>
  <c r="S401" i="20"/>
  <c r="S377" i="20"/>
  <c r="S389" i="20"/>
  <c r="V269" i="20"/>
  <c r="V293" i="20"/>
  <c r="V281" i="20"/>
  <c r="Q293" i="20"/>
  <c r="Q281" i="20"/>
  <c r="Q269" i="20"/>
  <c r="V283" i="20"/>
  <c r="V271" i="20"/>
  <c r="V295" i="20"/>
  <c r="C294" i="20"/>
  <c r="C282" i="20"/>
  <c r="C270" i="20"/>
  <c r="P161" i="20"/>
  <c r="P173" i="20"/>
  <c r="P185" i="20"/>
  <c r="Q181" i="20"/>
  <c r="Q182" i="20"/>
  <c r="Q169" i="20"/>
  <c r="Q183" i="20"/>
  <c r="Q159" i="20"/>
  <c r="Q170" i="20"/>
  <c r="Q180" i="20"/>
  <c r="Q171" i="20"/>
  <c r="Q158" i="20"/>
  <c r="Q168" i="20"/>
  <c r="Q156" i="20"/>
  <c r="Q157" i="20"/>
  <c r="U186" i="20"/>
  <c r="U174" i="20"/>
  <c r="U162" i="20"/>
  <c r="Y174" i="20"/>
  <c r="Y186" i="20"/>
  <c r="Y162" i="20"/>
  <c r="I156" i="20"/>
  <c r="I182" i="20"/>
  <c r="AB291" i="20"/>
  <c r="L184" i="20"/>
  <c r="L160" i="20"/>
  <c r="L172" i="20"/>
  <c r="H184" i="20"/>
  <c r="H172" i="20"/>
  <c r="H160" i="20"/>
  <c r="T64" i="20"/>
  <c r="T76" i="20"/>
  <c r="T75" i="20"/>
  <c r="T65" i="20"/>
  <c r="T52" i="20"/>
  <c r="T62" i="20"/>
  <c r="T63" i="20"/>
  <c r="T53" i="20"/>
  <c r="T51" i="20"/>
  <c r="T50" i="20"/>
  <c r="T74" i="20"/>
  <c r="T77" i="20"/>
  <c r="R74" i="20"/>
  <c r="R77" i="20"/>
  <c r="R62" i="20"/>
  <c r="R65" i="20"/>
  <c r="R63" i="20"/>
  <c r="R53" i="20"/>
  <c r="R76" i="20"/>
  <c r="R51" i="20"/>
  <c r="R64" i="20"/>
  <c r="R75" i="20"/>
  <c r="R50" i="20"/>
  <c r="R52" i="20"/>
  <c r="W81" i="20"/>
  <c r="W57" i="20"/>
  <c r="W69" i="20"/>
  <c r="Z81" i="20"/>
  <c r="Z69" i="20"/>
  <c r="Z57" i="20"/>
  <c r="Y170" i="20"/>
  <c r="F78" i="20"/>
  <c r="F66" i="20"/>
  <c r="F54" i="20"/>
  <c r="G57" i="20"/>
  <c r="G76" i="20"/>
  <c r="S81" i="20"/>
  <c r="AC46" i="20"/>
  <c r="K77" i="20"/>
  <c r="K65" i="20"/>
  <c r="K62" i="20"/>
  <c r="K76" i="20"/>
  <c r="K52" i="20"/>
  <c r="K74" i="20"/>
  <c r="K53" i="20"/>
  <c r="K64" i="20"/>
  <c r="K51" i="20"/>
  <c r="K75" i="20"/>
  <c r="K63" i="20"/>
  <c r="K50" i="20"/>
  <c r="J66" i="20"/>
  <c r="J78" i="20"/>
  <c r="J54" i="20"/>
  <c r="N495" i="20"/>
  <c r="N483" i="20"/>
  <c r="N507" i="20"/>
  <c r="K484" i="20"/>
  <c r="K508" i="20"/>
  <c r="K496" i="20"/>
  <c r="G503" i="20"/>
  <c r="G491" i="20"/>
  <c r="G504" i="20"/>
  <c r="G481" i="20"/>
  <c r="G505" i="20"/>
  <c r="G493" i="20"/>
  <c r="G478" i="20"/>
  <c r="G492" i="20"/>
  <c r="G490" i="20"/>
  <c r="G479" i="20"/>
  <c r="G480" i="20"/>
  <c r="G502" i="20"/>
  <c r="J400" i="20"/>
  <c r="J388" i="20"/>
  <c r="J399" i="20"/>
  <c r="J375" i="20"/>
  <c r="J387" i="20"/>
  <c r="J397" i="20"/>
  <c r="J374" i="20"/>
  <c r="J373" i="20"/>
  <c r="J398" i="20"/>
  <c r="J386" i="20"/>
  <c r="J385" i="20"/>
  <c r="J376" i="20"/>
  <c r="G497" i="20"/>
  <c r="G485" i="20"/>
  <c r="G509" i="20"/>
  <c r="B506" i="20"/>
  <c r="B482" i="20"/>
  <c r="B494" i="20"/>
  <c r="G495" i="20"/>
  <c r="G507" i="20"/>
  <c r="G483" i="20"/>
  <c r="Y495" i="20"/>
  <c r="Y483" i="20"/>
  <c r="Y507" i="20"/>
  <c r="AA494" i="20"/>
  <c r="AA506" i="20"/>
  <c r="AA482" i="20"/>
  <c r="AC506" i="20"/>
  <c r="AC482" i="20"/>
  <c r="AC494" i="20"/>
  <c r="V508" i="20"/>
  <c r="V484" i="20"/>
  <c r="V496" i="20"/>
  <c r="Y496" i="20"/>
  <c r="Y508" i="20"/>
  <c r="Y484" i="20"/>
  <c r="AA484" i="20"/>
  <c r="AA508" i="20"/>
  <c r="AA496" i="20"/>
  <c r="AC508" i="20"/>
  <c r="AC496" i="20"/>
  <c r="AC484" i="20"/>
  <c r="L502" i="20"/>
  <c r="L490" i="20"/>
  <c r="L504" i="20"/>
  <c r="L480" i="20"/>
  <c r="L492" i="20"/>
  <c r="L491" i="20"/>
  <c r="L479" i="20"/>
  <c r="L503" i="20"/>
  <c r="L478" i="20"/>
  <c r="L493" i="20"/>
  <c r="L505" i="20"/>
  <c r="L481" i="20"/>
  <c r="AB502" i="20"/>
  <c r="AB490" i="20"/>
  <c r="AB504" i="20"/>
  <c r="AB480" i="20"/>
  <c r="AB478" i="20"/>
  <c r="AB505" i="20"/>
  <c r="AB479" i="20"/>
  <c r="AB493" i="20"/>
  <c r="AB481" i="20"/>
  <c r="AB491" i="20"/>
  <c r="AB503" i="20"/>
  <c r="AB492" i="20"/>
  <c r="Q493" i="20"/>
  <c r="Q505" i="20"/>
  <c r="Q502" i="20"/>
  <c r="Q504" i="20"/>
  <c r="Q479" i="20"/>
  <c r="Q478" i="20"/>
  <c r="Q503" i="20"/>
  <c r="Q490" i="20"/>
  <c r="Q480" i="20"/>
  <c r="Q491" i="20"/>
  <c r="Q481" i="20"/>
  <c r="Q492" i="20"/>
  <c r="K509" i="20"/>
  <c r="K497" i="20"/>
  <c r="K485" i="20"/>
  <c r="J497" i="20"/>
  <c r="J485" i="20"/>
  <c r="J509" i="20"/>
  <c r="M497" i="20"/>
  <c r="M509" i="20"/>
  <c r="M485" i="20"/>
  <c r="W497" i="20"/>
  <c r="W485" i="20"/>
  <c r="W509" i="20"/>
  <c r="D380" i="20"/>
  <c r="D404" i="20"/>
  <c r="D392" i="20"/>
  <c r="L398" i="20"/>
  <c r="L386" i="20"/>
  <c r="L373" i="20"/>
  <c r="L388" i="20"/>
  <c r="L400" i="20"/>
  <c r="L397" i="20"/>
  <c r="L387" i="20"/>
  <c r="L385" i="20"/>
  <c r="L376" i="20"/>
  <c r="L399" i="20"/>
  <c r="L375" i="20"/>
  <c r="L374" i="20"/>
  <c r="F403" i="20"/>
  <c r="F379" i="20"/>
  <c r="F391" i="20"/>
  <c r="W403" i="20"/>
  <c r="W379" i="20"/>
  <c r="W391" i="20"/>
  <c r="Q403" i="20"/>
  <c r="Q379" i="20"/>
  <c r="Q391" i="20"/>
  <c r="D378" i="20"/>
  <c r="D390" i="20"/>
  <c r="D402" i="20"/>
  <c r="O404" i="20"/>
  <c r="O392" i="20"/>
  <c r="O380" i="20"/>
  <c r="V404" i="20"/>
  <c r="V392" i="20"/>
  <c r="V380" i="20"/>
  <c r="AB402" i="20"/>
  <c r="AB378" i="20"/>
  <c r="AB390" i="20"/>
  <c r="E402" i="20"/>
  <c r="E378" i="20"/>
  <c r="E390" i="20"/>
  <c r="N401" i="20"/>
  <c r="N389" i="20"/>
  <c r="N377" i="20"/>
  <c r="AC401" i="20"/>
  <c r="AC389" i="20"/>
  <c r="AC377" i="20"/>
  <c r="U401" i="20"/>
  <c r="U389" i="20"/>
  <c r="U377" i="20"/>
  <c r="AA389" i="20"/>
  <c r="AA401" i="20"/>
  <c r="AA377" i="20"/>
  <c r="G293" i="20"/>
  <c r="G269" i="20"/>
  <c r="G281" i="20"/>
  <c r="Y281" i="20"/>
  <c r="Y293" i="20"/>
  <c r="Y269" i="20"/>
  <c r="U399" i="20"/>
  <c r="U373" i="20"/>
  <c r="U398" i="20"/>
  <c r="U376" i="20"/>
  <c r="U374" i="20"/>
  <c r="U397" i="20"/>
  <c r="U375" i="20"/>
  <c r="U388" i="20"/>
  <c r="U387" i="20"/>
  <c r="U385" i="20"/>
  <c r="U400" i="20"/>
  <c r="U386" i="20"/>
  <c r="C400" i="20"/>
  <c r="C398" i="20"/>
  <c r="C375" i="20"/>
  <c r="C386" i="20"/>
  <c r="C399" i="20"/>
  <c r="C388" i="20"/>
  <c r="C385" i="20"/>
  <c r="C387" i="20"/>
  <c r="C376" i="20"/>
  <c r="C373" i="20"/>
  <c r="C374" i="20"/>
  <c r="C397" i="20"/>
  <c r="S400" i="20"/>
  <c r="S375" i="20"/>
  <c r="S386" i="20"/>
  <c r="S387" i="20"/>
  <c r="S398" i="20"/>
  <c r="S385" i="20"/>
  <c r="S376" i="20"/>
  <c r="S399" i="20"/>
  <c r="S374" i="20"/>
  <c r="S373" i="20"/>
  <c r="S397" i="20"/>
  <c r="S388" i="20"/>
  <c r="E288" i="20"/>
  <c r="E289" i="20"/>
  <c r="E277" i="20"/>
  <c r="E266" i="20"/>
  <c r="E290" i="20"/>
  <c r="E279" i="20"/>
  <c r="E264" i="20"/>
  <c r="E265" i="20"/>
  <c r="E291" i="20"/>
  <c r="E276" i="20"/>
  <c r="E278" i="20"/>
  <c r="E267" i="20"/>
  <c r="Q289" i="20"/>
  <c r="Q291" i="20"/>
  <c r="Q279" i="20"/>
  <c r="Q267" i="20"/>
  <c r="Q288" i="20"/>
  <c r="Q278" i="20"/>
  <c r="Q265" i="20"/>
  <c r="Q277" i="20"/>
  <c r="Q264" i="20"/>
  <c r="Q290" i="20"/>
  <c r="Q276" i="20"/>
  <c r="Q266" i="20"/>
  <c r="S290" i="20"/>
  <c r="S279" i="20"/>
  <c r="S291" i="20"/>
  <c r="S278" i="20"/>
  <c r="S265" i="20"/>
  <c r="S277" i="20"/>
  <c r="S289" i="20"/>
  <c r="S276" i="20"/>
  <c r="S266" i="20"/>
  <c r="S267" i="20"/>
  <c r="S288" i="20"/>
  <c r="S264" i="20"/>
  <c r="AB283" i="20"/>
  <c r="AB295" i="20"/>
  <c r="AB271" i="20"/>
  <c r="H283" i="20"/>
  <c r="H271" i="20"/>
  <c r="H295" i="20"/>
  <c r="Q173" i="20"/>
  <c r="Q185" i="20"/>
  <c r="Q161" i="20"/>
  <c r="O294" i="20"/>
  <c r="O282" i="20"/>
  <c r="O270" i="20"/>
  <c r="I270" i="20"/>
  <c r="I294" i="20"/>
  <c r="I282" i="20"/>
  <c r="H161" i="20"/>
  <c r="H185" i="20"/>
  <c r="H173" i="20"/>
  <c r="O175" i="20"/>
  <c r="O187" i="20"/>
  <c r="O163" i="20"/>
  <c r="I151" i="20"/>
  <c r="G183" i="20"/>
  <c r="G181" i="20"/>
  <c r="G171" i="20"/>
  <c r="G169" i="20"/>
  <c r="G180" i="20"/>
  <c r="G156" i="20"/>
  <c r="G158" i="20"/>
  <c r="G170" i="20"/>
  <c r="G159" i="20"/>
  <c r="G182" i="20"/>
  <c r="G157" i="20"/>
  <c r="G168" i="20"/>
  <c r="O183" i="20"/>
  <c r="O181" i="20"/>
  <c r="O171" i="20"/>
  <c r="O169" i="20"/>
  <c r="O180" i="20"/>
  <c r="O156" i="20"/>
  <c r="O182" i="20"/>
  <c r="O158" i="20"/>
  <c r="O168" i="20"/>
  <c r="O170" i="20"/>
  <c r="O159" i="20"/>
  <c r="O157" i="20"/>
  <c r="Q187" i="20"/>
  <c r="Q175" i="20"/>
  <c r="Q163" i="20"/>
  <c r="O292" i="20"/>
  <c r="O280" i="20"/>
  <c r="O268" i="20"/>
  <c r="L292" i="20"/>
  <c r="L268" i="20"/>
  <c r="L280" i="20"/>
  <c r="X187" i="20"/>
  <c r="X175" i="20"/>
  <c r="X163" i="20"/>
  <c r="E169" i="20"/>
  <c r="E183" i="20"/>
  <c r="E181" i="20"/>
  <c r="E171" i="20"/>
  <c r="E182" i="20"/>
  <c r="E158" i="20"/>
  <c r="E168" i="20"/>
  <c r="E180" i="20"/>
  <c r="E170" i="20"/>
  <c r="E156" i="20"/>
  <c r="E159" i="20"/>
  <c r="E157" i="20"/>
  <c r="AC281" i="20"/>
  <c r="J186" i="20"/>
  <c r="J162" i="20"/>
  <c r="J174" i="20"/>
  <c r="F186" i="20"/>
  <c r="F174" i="20"/>
  <c r="F162" i="20"/>
  <c r="AA186" i="20"/>
  <c r="AA162" i="20"/>
  <c r="AA174" i="20"/>
  <c r="S185" i="20"/>
  <c r="S173" i="20"/>
  <c r="S161" i="20"/>
  <c r="M185" i="20"/>
  <c r="M173" i="20"/>
  <c r="M161" i="20"/>
  <c r="I171" i="20"/>
  <c r="I181" i="20"/>
  <c r="AB264" i="20"/>
  <c r="AB277" i="20"/>
  <c r="X184" i="20"/>
  <c r="X172" i="20"/>
  <c r="X160" i="20"/>
  <c r="R184" i="20"/>
  <c r="R172" i="20"/>
  <c r="R160" i="20"/>
  <c r="P81" i="20"/>
  <c r="P69" i="20"/>
  <c r="P57" i="20"/>
  <c r="L64" i="20"/>
  <c r="L76" i="20"/>
  <c r="L52" i="20"/>
  <c r="L63" i="20"/>
  <c r="L51" i="20"/>
  <c r="L77" i="20"/>
  <c r="L74" i="20"/>
  <c r="L53" i="20"/>
  <c r="L65" i="20"/>
  <c r="L62" i="20"/>
  <c r="L75" i="20"/>
  <c r="L50" i="20"/>
  <c r="K80" i="20"/>
  <c r="K56" i="20"/>
  <c r="K68" i="20"/>
  <c r="J74" i="20"/>
  <c r="J77" i="20"/>
  <c r="J62" i="20"/>
  <c r="J75" i="20"/>
  <c r="J63" i="20"/>
  <c r="J64" i="20"/>
  <c r="J53" i="20"/>
  <c r="J50" i="20"/>
  <c r="J65" i="20"/>
  <c r="J76" i="20"/>
  <c r="J52" i="20"/>
  <c r="J51" i="20"/>
  <c r="M57" i="20"/>
  <c r="M81" i="20"/>
  <c r="M69" i="20"/>
  <c r="L66" i="20"/>
  <c r="L78" i="20"/>
  <c r="L54" i="20"/>
  <c r="AA54" i="20"/>
  <c r="AA66" i="20"/>
  <c r="AA78" i="20"/>
  <c r="O81" i="20"/>
  <c r="O57" i="20"/>
  <c r="O69" i="20"/>
  <c r="G174" i="20"/>
  <c r="G162" i="20"/>
  <c r="G186" i="20"/>
  <c r="I78" i="20"/>
  <c r="I54" i="20"/>
  <c r="I66" i="20"/>
  <c r="J184" i="20"/>
  <c r="J172" i="20"/>
  <c r="J160" i="20"/>
  <c r="Y159" i="20"/>
  <c r="H66" i="20"/>
  <c r="H78" i="20"/>
  <c r="H54" i="20"/>
  <c r="K57" i="20"/>
  <c r="P80" i="20"/>
  <c r="V79" i="20"/>
  <c r="V67" i="20"/>
  <c r="V55" i="20"/>
  <c r="J67" i="20"/>
  <c r="J55" i="20"/>
  <c r="J79" i="20"/>
  <c r="AA77" i="20"/>
  <c r="AA65" i="20"/>
  <c r="AA64" i="20"/>
  <c r="AA74" i="20"/>
  <c r="AA52" i="20"/>
  <c r="AA75" i="20"/>
  <c r="AA76" i="20"/>
  <c r="AA53" i="20"/>
  <c r="AA63" i="20"/>
  <c r="AA51" i="20"/>
  <c r="AA62" i="20"/>
  <c r="AA50" i="20"/>
  <c r="R66" i="20"/>
  <c r="R78" i="20"/>
  <c r="R54" i="20"/>
  <c r="K494" i="20"/>
  <c r="K482" i="20"/>
  <c r="K506" i="20"/>
  <c r="W503" i="20"/>
  <c r="W491" i="20"/>
  <c r="W504" i="20"/>
  <c r="W481" i="20"/>
  <c r="W502" i="20"/>
  <c r="W479" i="20"/>
  <c r="W492" i="20"/>
  <c r="W490" i="20"/>
  <c r="W480" i="20"/>
  <c r="W478" i="20"/>
  <c r="W505" i="20"/>
  <c r="W493" i="20"/>
  <c r="Q380" i="20"/>
  <c r="Q404" i="20"/>
  <c r="Q392" i="20"/>
  <c r="I509" i="20"/>
  <c r="I485" i="20"/>
  <c r="I497" i="20"/>
  <c r="D495" i="20"/>
  <c r="D507" i="20"/>
  <c r="D483" i="20"/>
  <c r="O495" i="20"/>
  <c r="O507" i="20"/>
  <c r="O483" i="20"/>
  <c r="J507" i="20"/>
  <c r="J495" i="20"/>
  <c r="J483" i="20"/>
  <c r="D494" i="20"/>
  <c r="D506" i="20"/>
  <c r="D482" i="20"/>
  <c r="X508" i="20"/>
  <c r="X496" i="20"/>
  <c r="X484" i="20"/>
  <c r="B496" i="20"/>
  <c r="B508" i="20"/>
  <c r="B484" i="20"/>
  <c r="M505" i="20"/>
  <c r="M493" i="20"/>
  <c r="M491" i="20"/>
  <c r="M479" i="20"/>
  <c r="M490" i="20"/>
  <c r="M480" i="20"/>
  <c r="M481" i="20"/>
  <c r="M502" i="20"/>
  <c r="M504" i="20"/>
  <c r="M492" i="20"/>
  <c r="M478" i="20"/>
  <c r="M503" i="20"/>
  <c r="AA491" i="20"/>
  <c r="AA503" i="20"/>
  <c r="AA502" i="20"/>
  <c r="AA492" i="20"/>
  <c r="AA481" i="20"/>
  <c r="AA490" i="20"/>
  <c r="AA478" i="20"/>
  <c r="AA480" i="20"/>
  <c r="AA504" i="20"/>
  <c r="AA505" i="20"/>
  <c r="AA479" i="20"/>
  <c r="AA493" i="20"/>
  <c r="Q509" i="20"/>
  <c r="Q485" i="20"/>
  <c r="Q497" i="20"/>
  <c r="R497" i="20"/>
  <c r="R509" i="20"/>
  <c r="R485" i="20"/>
  <c r="H485" i="20"/>
  <c r="H497" i="20"/>
  <c r="H509" i="20"/>
  <c r="L404" i="20"/>
  <c r="L392" i="20"/>
  <c r="L380" i="20"/>
  <c r="I397" i="20"/>
  <c r="I385" i="20"/>
  <c r="I388" i="20"/>
  <c r="I387" i="20"/>
  <c r="I374" i="20"/>
  <c r="I373" i="20"/>
  <c r="I400" i="20"/>
  <c r="I398" i="20"/>
  <c r="I386" i="20"/>
  <c r="I399" i="20"/>
  <c r="I375" i="20"/>
  <c r="I376" i="20"/>
  <c r="Y397" i="20"/>
  <c r="Y385" i="20"/>
  <c r="Y388" i="20"/>
  <c r="Y399" i="20"/>
  <c r="Y374" i="20"/>
  <c r="Y386" i="20"/>
  <c r="Y400" i="20"/>
  <c r="Y387" i="20"/>
  <c r="Y398" i="20"/>
  <c r="Y376" i="20"/>
  <c r="Y375" i="20"/>
  <c r="Y373" i="20"/>
  <c r="D403" i="20"/>
  <c r="D379" i="20"/>
  <c r="D391" i="20"/>
  <c r="Y403" i="20"/>
  <c r="Y379" i="20"/>
  <c r="Y391" i="20"/>
  <c r="G399" i="20"/>
  <c r="G400" i="20"/>
  <c r="G387" i="20"/>
  <c r="G374" i="20"/>
  <c r="G398" i="20"/>
  <c r="G386" i="20"/>
  <c r="G376" i="20"/>
  <c r="G373" i="20"/>
  <c r="G375" i="20"/>
  <c r="G397" i="20"/>
  <c r="G388" i="20"/>
  <c r="G385" i="20"/>
  <c r="W404" i="20"/>
  <c r="W392" i="20"/>
  <c r="W380" i="20"/>
  <c r="Y404" i="20"/>
  <c r="Y380" i="20"/>
  <c r="Y392" i="20"/>
  <c r="G402" i="20"/>
  <c r="G390" i="20"/>
  <c r="G378" i="20"/>
  <c r="M402" i="20"/>
  <c r="M378" i="20"/>
  <c r="M390" i="20"/>
  <c r="AC403" i="20"/>
  <c r="AC391" i="20"/>
  <c r="AC379" i="20"/>
  <c r="S403" i="20"/>
  <c r="S391" i="20"/>
  <c r="S379" i="20"/>
  <c r="D389" i="20"/>
  <c r="D401" i="20"/>
  <c r="D377" i="20"/>
  <c r="B401" i="20"/>
  <c r="B377" i="20"/>
  <c r="B389" i="20"/>
  <c r="B281" i="20"/>
  <c r="B293" i="20"/>
  <c r="B269" i="20"/>
  <c r="S295" i="20"/>
  <c r="S271" i="20"/>
  <c r="S283" i="20"/>
  <c r="C293" i="20"/>
  <c r="C281" i="20"/>
  <c r="C269" i="20"/>
  <c r="AC400" i="20"/>
  <c r="AC373" i="20"/>
  <c r="AC376" i="20"/>
  <c r="AC386" i="20"/>
  <c r="AC398" i="20"/>
  <c r="AC387" i="20"/>
  <c r="AC397" i="20"/>
  <c r="AC388" i="20"/>
  <c r="AC385" i="20"/>
  <c r="AC375" i="20"/>
  <c r="AC374" i="20"/>
  <c r="AC399" i="20"/>
  <c r="M288" i="20"/>
  <c r="M277" i="20"/>
  <c r="M289" i="20"/>
  <c r="M290" i="20"/>
  <c r="M276" i="20"/>
  <c r="M266" i="20"/>
  <c r="M291" i="20"/>
  <c r="M264" i="20"/>
  <c r="M265" i="20"/>
  <c r="M279" i="20"/>
  <c r="M278" i="20"/>
  <c r="M267" i="20"/>
  <c r="Y289" i="20"/>
  <c r="Y288" i="20"/>
  <c r="Y267" i="20"/>
  <c r="Y290" i="20"/>
  <c r="Y279" i="20"/>
  <c r="Y265" i="20"/>
  <c r="Y278" i="20"/>
  <c r="Y291" i="20"/>
  <c r="Y277" i="20"/>
  <c r="Y264" i="20"/>
  <c r="Y276" i="20"/>
  <c r="Y266" i="20"/>
  <c r="AA290" i="20"/>
  <c r="AA289" i="20"/>
  <c r="AA279" i="20"/>
  <c r="AA265" i="20"/>
  <c r="AA278" i="20"/>
  <c r="AA277" i="20"/>
  <c r="AA291" i="20"/>
  <c r="AA266" i="20"/>
  <c r="AA267" i="20"/>
  <c r="AA276" i="20"/>
  <c r="AA288" i="20"/>
  <c r="AA264" i="20"/>
  <c r="E283" i="20"/>
  <c r="E295" i="20"/>
  <c r="E271" i="20"/>
  <c r="O283" i="20"/>
  <c r="O271" i="20"/>
  <c r="O295" i="20"/>
  <c r="AB293" i="20"/>
  <c r="AB281" i="20"/>
  <c r="AB269" i="20"/>
  <c r="I173" i="20"/>
  <c r="I185" i="20"/>
  <c r="I161" i="20"/>
  <c r="Z281" i="20"/>
  <c r="Z293" i="20"/>
  <c r="Z269" i="20"/>
  <c r="Q270" i="20"/>
  <c r="Q294" i="20"/>
  <c r="Q282" i="20"/>
  <c r="S282" i="20"/>
  <c r="S294" i="20"/>
  <c r="S270" i="20"/>
  <c r="AC184" i="20"/>
  <c r="AC172" i="20"/>
  <c r="AC160" i="20"/>
  <c r="W175" i="20"/>
  <c r="W187" i="20"/>
  <c r="W163" i="20"/>
  <c r="D175" i="20"/>
  <c r="D187" i="20"/>
  <c r="D163" i="20"/>
  <c r="W270" i="20"/>
  <c r="V399" i="20"/>
  <c r="Q292" i="20"/>
  <c r="Q280" i="20"/>
  <c r="Q268" i="20"/>
  <c r="M294" i="20"/>
  <c r="M282" i="20"/>
  <c r="M270" i="20"/>
  <c r="L175" i="20"/>
  <c r="L187" i="20"/>
  <c r="L163" i="20"/>
  <c r="B168" i="20"/>
  <c r="B182" i="20"/>
  <c r="B180" i="20"/>
  <c r="B170" i="20"/>
  <c r="B181" i="20"/>
  <c r="B157" i="20"/>
  <c r="B159" i="20"/>
  <c r="B169" i="20"/>
  <c r="B183" i="20"/>
  <c r="B171" i="20"/>
  <c r="B158" i="20"/>
  <c r="B156" i="20"/>
  <c r="V186" i="20"/>
  <c r="V174" i="20"/>
  <c r="V162" i="20"/>
  <c r="P186" i="20"/>
  <c r="P162" i="20"/>
  <c r="P174" i="20"/>
  <c r="D174" i="20"/>
  <c r="D186" i="20"/>
  <c r="D162" i="20"/>
  <c r="AC185" i="20"/>
  <c r="AC161" i="20"/>
  <c r="AC173" i="20"/>
  <c r="AB267" i="20"/>
  <c r="AB278" i="20"/>
  <c r="Z184" i="20"/>
  <c r="Z172" i="20"/>
  <c r="Z160" i="20"/>
  <c r="C184" i="20"/>
  <c r="C160" i="20"/>
  <c r="C172" i="20"/>
  <c r="AB184" i="20"/>
  <c r="AB160" i="20"/>
  <c r="AB172" i="20"/>
  <c r="H57" i="20"/>
  <c r="H81" i="20"/>
  <c r="H69" i="20"/>
  <c r="D64" i="20"/>
  <c r="D76" i="20"/>
  <c r="D52" i="20"/>
  <c r="D77" i="20"/>
  <c r="D62" i="20"/>
  <c r="D51" i="20"/>
  <c r="D75" i="20"/>
  <c r="D63" i="20"/>
  <c r="D74" i="20"/>
  <c r="D50" i="20"/>
  <c r="D65" i="20"/>
  <c r="D53" i="20"/>
  <c r="C80" i="20"/>
  <c r="C68" i="20"/>
  <c r="C56" i="20"/>
  <c r="B74" i="20"/>
  <c r="B62" i="20"/>
  <c r="B76" i="20"/>
  <c r="B63" i="20"/>
  <c r="B64" i="20"/>
  <c r="B65" i="20"/>
  <c r="B53" i="20"/>
  <c r="B52" i="20"/>
  <c r="B75" i="20"/>
  <c r="B77" i="20"/>
  <c r="B51" i="20"/>
  <c r="B50" i="20"/>
  <c r="E81" i="20"/>
  <c r="E69" i="20"/>
  <c r="E57" i="20"/>
  <c r="D78" i="20"/>
  <c r="D54" i="20"/>
  <c r="D66" i="20"/>
  <c r="S78" i="20"/>
  <c r="S66" i="20"/>
  <c r="S54" i="20"/>
  <c r="H68" i="20"/>
  <c r="H80" i="20"/>
  <c r="H56" i="20"/>
  <c r="W186" i="20"/>
  <c r="W162" i="20"/>
  <c r="W174" i="20"/>
  <c r="J81" i="20"/>
  <c r="J69" i="20"/>
  <c r="J57" i="20"/>
  <c r="Y183" i="20"/>
  <c r="Q69" i="20"/>
  <c r="Q81" i="20"/>
  <c r="Q57" i="20"/>
  <c r="AC75" i="20"/>
  <c r="AC63" i="20"/>
  <c r="AC77" i="20"/>
  <c r="AC65" i="20"/>
  <c r="AC50" i="20"/>
  <c r="AC52" i="20"/>
  <c r="AC74" i="20"/>
  <c r="AC51" i="20"/>
  <c r="AC62" i="20"/>
  <c r="AC76" i="20"/>
  <c r="AC64" i="20"/>
  <c r="AC53" i="20"/>
  <c r="AB81" i="20"/>
  <c r="AB69" i="20"/>
  <c r="AB57" i="20"/>
  <c r="K81" i="20"/>
  <c r="S77" i="20"/>
  <c r="S65" i="20"/>
  <c r="S75" i="20"/>
  <c r="S52" i="20"/>
  <c r="S76" i="20"/>
  <c r="S51" i="20"/>
  <c r="S50" i="20"/>
  <c r="S63" i="20"/>
  <c r="S53" i="20"/>
  <c r="S74" i="20"/>
  <c r="S64" i="20"/>
  <c r="S62" i="20"/>
  <c r="Z66" i="20"/>
  <c r="Z78" i="20"/>
  <c r="Z54" i="20"/>
  <c r="T68" i="20"/>
  <c r="AC483" i="20"/>
  <c r="AC507" i="20"/>
  <c r="AC495" i="20"/>
  <c r="L483" i="20"/>
  <c r="L495" i="20"/>
  <c r="L507" i="20"/>
  <c r="W495" i="20"/>
  <c r="W507" i="20"/>
  <c r="W483" i="20"/>
  <c r="R483" i="20"/>
  <c r="R495" i="20"/>
  <c r="R507" i="20"/>
  <c r="I494" i="20"/>
  <c r="I506" i="20"/>
  <c r="I482" i="20"/>
  <c r="L494" i="20"/>
  <c r="L506" i="20"/>
  <c r="L482" i="20"/>
  <c r="N482" i="20"/>
  <c r="N506" i="20"/>
  <c r="N494" i="20"/>
  <c r="S507" i="20"/>
  <c r="S483" i="20"/>
  <c r="S495" i="20"/>
  <c r="O503" i="20"/>
  <c r="O491" i="20"/>
  <c r="O505" i="20"/>
  <c r="O490" i="20"/>
  <c r="O481" i="20"/>
  <c r="O480" i="20"/>
  <c r="O504" i="20"/>
  <c r="O502" i="20"/>
  <c r="O478" i="20"/>
  <c r="O493" i="20"/>
  <c r="O492" i="20"/>
  <c r="O479" i="20"/>
  <c r="N492" i="20"/>
  <c r="N504" i="20"/>
  <c r="N503" i="20"/>
  <c r="N493" i="20"/>
  <c r="N478" i="20"/>
  <c r="N505" i="20"/>
  <c r="N480" i="20"/>
  <c r="N490" i="20"/>
  <c r="N502" i="20"/>
  <c r="N479" i="20"/>
  <c r="N491" i="20"/>
  <c r="N481" i="20"/>
  <c r="B504" i="20"/>
  <c r="B492" i="20"/>
  <c r="B491" i="20"/>
  <c r="B478" i="20"/>
  <c r="B479" i="20"/>
  <c r="B480" i="20"/>
  <c r="B505" i="20"/>
  <c r="B503" i="20"/>
  <c r="B502" i="20"/>
  <c r="B481" i="20"/>
  <c r="B490" i="20"/>
  <c r="B493" i="20"/>
  <c r="S485" i="20"/>
  <c r="S509" i="20"/>
  <c r="S497" i="20"/>
  <c r="Z497" i="20"/>
  <c r="Z509" i="20"/>
  <c r="Z485" i="20"/>
  <c r="AC497" i="20"/>
  <c r="AC509" i="20"/>
  <c r="AC485" i="20"/>
  <c r="P509" i="20"/>
  <c r="P497" i="20"/>
  <c r="P485" i="20"/>
  <c r="T380" i="20"/>
  <c r="T404" i="20"/>
  <c r="T392" i="20"/>
  <c r="K400" i="20"/>
  <c r="K399" i="20"/>
  <c r="K375" i="20"/>
  <c r="K398" i="20"/>
  <c r="K386" i="20"/>
  <c r="K397" i="20"/>
  <c r="K374" i="20"/>
  <c r="K388" i="20"/>
  <c r="K387" i="20"/>
  <c r="K385" i="20"/>
  <c r="K376" i="20"/>
  <c r="K373" i="20"/>
  <c r="N379" i="20"/>
  <c r="N391" i="20"/>
  <c r="N403" i="20"/>
  <c r="O399" i="20"/>
  <c r="O400" i="20"/>
  <c r="O387" i="20"/>
  <c r="O374" i="20"/>
  <c r="O397" i="20"/>
  <c r="O388" i="20"/>
  <c r="O386" i="20"/>
  <c r="O398" i="20"/>
  <c r="O385" i="20"/>
  <c r="O376" i="20"/>
  <c r="O375" i="20"/>
  <c r="O373" i="20"/>
  <c r="I404" i="20"/>
  <c r="I380" i="20"/>
  <c r="I392" i="20"/>
  <c r="E392" i="20"/>
  <c r="E404" i="20"/>
  <c r="E380" i="20"/>
  <c r="T378" i="20"/>
  <c r="T402" i="20"/>
  <c r="T390" i="20"/>
  <c r="S378" i="20"/>
  <c r="S390" i="20"/>
  <c r="S402" i="20"/>
  <c r="U402" i="20"/>
  <c r="U390" i="20"/>
  <c r="U378" i="20"/>
  <c r="J391" i="20"/>
  <c r="J403" i="20"/>
  <c r="J379" i="20"/>
  <c r="E379" i="20"/>
  <c r="E403" i="20"/>
  <c r="E391" i="20"/>
  <c r="V403" i="20"/>
  <c r="V379" i="20"/>
  <c r="V391" i="20"/>
  <c r="H404" i="20"/>
  <c r="H392" i="20"/>
  <c r="H380" i="20"/>
  <c r="V401" i="20"/>
  <c r="V389" i="20"/>
  <c r="V377" i="20"/>
  <c r="J401" i="20"/>
  <c r="J377" i="20"/>
  <c r="J389" i="20"/>
  <c r="T290" i="20"/>
  <c r="T288" i="20"/>
  <c r="T277" i="20"/>
  <c r="T289" i="20"/>
  <c r="T276" i="20"/>
  <c r="T266" i="20"/>
  <c r="T291" i="20"/>
  <c r="T279" i="20"/>
  <c r="T278" i="20"/>
  <c r="T267" i="20"/>
  <c r="T264" i="20"/>
  <c r="T265" i="20"/>
  <c r="K281" i="20"/>
  <c r="K293" i="20"/>
  <c r="K269" i="20"/>
  <c r="W269" i="20"/>
  <c r="W293" i="20"/>
  <c r="W281" i="20"/>
  <c r="D398" i="20"/>
  <c r="D400" i="20"/>
  <c r="D386" i="20"/>
  <c r="D397" i="20"/>
  <c r="D373" i="20"/>
  <c r="D385" i="20"/>
  <c r="D375" i="20"/>
  <c r="D376" i="20"/>
  <c r="D388" i="20"/>
  <c r="D399" i="20"/>
  <c r="D374" i="20"/>
  <c r="D387" i="20"/>
  <c r="R295" i="20"/>
  <c r="R283" i="20"/>
  <c r="R271" i="20"/>
  <c r="U288" i="20"/>
  <c r="U290" i="20"/>
  <c r="U291" i="20"/>
  <c r="U277" i="20"/>
  <c r="U289" i="20"/>
  <c r="U276" i="20"/>
  <c r="U266" i="20"/>
  <c r="U264" i="20"/>
  <c r="U278" i="20"/>
  <c r="U265" i="20"/>
  <c r="U279" i="20"/>
  <c r="U267" i="20"/>
  <c r="B291" i="20"/>
  <c r="B288" i="20"/>
  <c r="B276" i="20"/>
  <c r="B277" i="20"/>
  <c r="B265" i="20"/>
  <c r="B289" i="20"/>
  <c r="B264" i="20"/>
  <c r="B279" i="20"/>
  <c r="B290" i="20"/>
  <c r="B278" i="20"/>
  <c r="B267" i="20"/>
  <c r="B266" i="20"/>
  <c r="I295" i="20"/>
  <c r="I283" i="20"/>
  <c r="I271" i="20"/>
  <c r="N172" i="20"/>
  <c r="N184" i="20"/>
  <c r="N160" i="20"/>
  <c r="D293" i="20"/>
  <c r="D269" i="20"/>
  <c r="D281" i="20"/>
  <c r="U184" i="20"/>
  <c r="U160" i="20"/>
  <c r="U172" i="20"/>
  <c r="I259" i="20"/>
  <c r="H151" i="20"/>
  <c r="U169" i="20"/>
  <c r="U183" i="20"/>
  <c r="U181" i="20"/>
  <c r="U171" i="20"/>
  <c r="U182" i="20"/>
  <c r="U158" i="20"/>
  <c r="U168" i="20"/>
  <c r="U156" i="20"/>
  <c r="U170" i="20"/>
  <c r="U180" i="20"/>
  <c r="U159" i="20"/>
  <c r="U157" i="20"/>
  <c r="W282" i="20"/>
  <c r="AB182" i="20"/>
  <c r="AB180" i="20"/>
  <c r="AB183" i="20"/>
  <c r="AB170" i="20"/>
  <c r="AB168" i="20"/>
  <c r="AB171" i="20"/>
  <c r="AB157" i="20"/>
  <c r="AB159" i="20"/>
  <c r="AB181" i="20"/>
  <c r="AB169" i="20"/>
  <c r="AB156" i="20"/>
  <c r="AB158" i="20"/>
  <c r="V172" i="20"/>
  <c r="V184" i="20"/>
  <c r="V160" i="20"/>
  <c r="V388" i="20"/>
  <c r="X292" i="20"/>
  <c r="X268" i="20"/>
  <c r="X280" i="20"/>
  <c r="AB280" i="20"/>
  <c r="AB268" i="20"/>
  <c r="AB292" i="20"/>
  <c r="J168" i="20"/>
  <c r="J182" i="20"/>
  <c r="J180" i="20"/>
  <c r="J170" i="20"/>
  <c r="J181" i="20"/>
  <c r="J157" i="20"/>
  <c r="J159" i="20"/>
  <c r="J171" i="20"/>
  <c r="J156" i="20"/>
  <c r="J183" i="20"/>
  <c r="J158" i="20"/>
  <c r="J169" i="20"/>
  <c r="B186" i="20"/>
  <c r="B162" i="20"/>
  <c r="B174" i="20"/>
  <c r="Z174" i="20"/>
  <c r="Z186" i="20"/>
  <c r="Z162" i="20"/>
  <c r="L174" i="20"/>
  <c r="L186" i="20"/>
  <c r="L162" i="20"/>
  <c r="K185" i="20"/>
  <c r="K173" i="20"/>
  <c r="K161" i="20"/>
  <c r="E185" i="20"/>
  <c r="E173" i="20"/>
  <c r="E161" i="20"/>
  <c r="T281" i="20"/>
  <c r="I158" i="20"/>
  <c r="AB279" i="20"/>
  <c r="AB289" i="20"/>
  <c r="D184" i="20"/>
  <c r="D160" i="20"/>
  <c r="D172" i="20"/>
  <c r="O184" i="20"/>
  <c r="O172" i="20"/>
  <c r="O160" i="20"/>
  <c r="I160" i="20"/>
  <c r="I184" i="20"/>
  <c r="I172" i="20"/>
  <c r="U56" i="20"/>
  <c r="U68" i="20"/>
  <c r="U80" i="20"/>
  <c r="AC78" i="20"/>
  <c r="AC66" i="20"/>
  <c r="AC54" i="20"/>
  <c r="Z56" i="20"/>
  <c r="Z68" i="20"/>
  <c r="Z80" i="20"/>
  <c r="Y63" i="20"/>
  <c r="Y75" i="20"/>
  <c r="Y51" i="20"/>
  <c r="Y77" i="20"/>
  <c r="Y62" i="20"/>
  <c r="Y50" i="20"/>
  <c r="Y52" i="20"/>
  <c r="Y74" i="20"/>
  <c r="Y65" i="20"/>
  <c r="Y76" i="20"/>
  <c r="Y64" i="20"/>
  <c r="Y53" i="20"/>
  <c r="K66" i="20"/>
  <c r="K78" i="20"/>
  <c r="K54" i="20"/>
  <c r="U75" i="20"/>
  <c r="U63" i="20"/>
  <c r="U62" i="20"/>
  <c r="U50" i="20"/>
  <c r="U74" i="20"/>
  <c r="U64" i="20"/>
  <c r="U53" i="20"/>
  <c r="U77" i="20"/>
  <c r="U52" i="20"/>
  <c r="U65" i="20"/>
  <c r="U76" i="20"/>
  <c r="U51" i="20"/>
  <c r="W66" i="20"/>
  <c r="W54" i="20"/>
  <c r="W78" i="20"/>
  <c r="W65" i="20"/>
  <c r="W77" i="20"/>
  <c r="W76" i="20"/>
  <c r="W53" i="20"/>
  <c r="W63" i="20"/>
  <c r="W64" i="20"/>
  <c r="W52" i="20"/>
  <c r="W50" i="20"/>
  <c r="W74" i="20"/>
  <c r="W51" i="20"/>
  <c r="W62" i="20"/>
  <c r="W75" i="20"/>
  <c r="E67" i="20"/>
  <c r="E79" i="20"/>
  <c r="E55" i="20"/>
  <c r="O67" i="20"/>
  <c r="O79" i="20"/>
  <c r="O55" i="20"/>
  <c r="Z67" i="20"/>
  <c r="Z55" i="20"/>
  <c r="Z79" i="20"/>
  <c r="T56" i="20"/>
  <c r="L496" i="20"/>
  <c r="L508" i="20"/>
  <c r="L484" i="20"/>
  <c r="B507" i="20"/>
  <c r="B495" i="20"/>
  <c r="B483" i="20"/>
  <c r="H506" i="20"/>
  <c r="H494" i="20"/>
  <c r="H482" i="20"/>
  <c r="T495" i="20"/>
  <c r="T507" i="20"/>
  <c r="T483" i="20"/>
  <c r="Z507" i="20"/>
  <c r="Z495" i="20"/>
  <c r="Z483" i="20"/>
  <c r="T494" i="20"/>
  <c r="T506" i="20"/>
  <c r="T482" i="20"/>
  <c r="T502" i="20"/>
  <c r="T490" i="20"/>
  <c r="T503" i="20"/>
  <c r="T505" i="20"/>
  <c r="T480" i="20"/>
  <c r="T478" i="20"/>
  <c r="T479" i="20"/>
  <c r="T493" i="20"/>
  <c r="T492" i="20"/>
  <c r="T491" i="20"/>
  <c r="T481" i="20"/>
  <c r="T504" i="20"/>
  <c r="J504" i="20"/>
  <c r="J492" i="20"/>
  <c r="J490" i="20"/>
  <c r="J478" i="20"/>
  <c r="J505" i="20"/>
  <c r="J479" i="20"/>
  <c r="J480" i="20"/>
  <c r="J481" i="20"/>
  <c r="J493" i="20"/>
  <c r="J502" i="20"/>
  <c r="J503" i="20"/>
  <c r="J491" i="20"/>
  <c r="Y509" i="20"/>
  <c r="Y485" i="20"/>
  <c r="Y497" i="20"/>
  <c r="D497" i="20"/>
  <c r="D509" i="20"/>
  <c r="D485" i="20"/>
  <c r="AB404" i="20"/>
  <c r="AB380" i="20"/>
  <c r="AB392" i="20"/>
  <c r="Z391" i="20"/>
  <c r="Z379" i="20"/>
  <c r="Z403" i="20"/>
  <c r="W399" i="20"/>
  <c r="W400" i="20"/>
  <c r="W397" i="20"/>
  <c r="W387" i="20"/>
  <c r="W374" i="20"/>
  <c r="W388" i="20"/>
  <c r="W385" i="20"/>
  <c r="W375" i="20"/>
  <c r="W373" i="20"/>
  <c r="W386" i="20"/>
  <c r="W398" i="20"/>
  <c r="W376" i="20"/>
  <c r="M392" i="20"/>
  <c r="M404" i="20"/>
  <c r="M380" i="20"/>
  <c r="I402" i="20"/>
  <c r="I390" i="20"/>
  <c r="I378" i="20"/>
  <c r="AC402" i="20"/>
  <c r="AC390" i="20"/>
  <c r="AC378" i="20"/>
  <c r="L401" i="20"/>
  <c r="L389" i="20"/>
  <c r="L377" i="20"/>
  <c r="G377" i="20"/>
  <c r="G401" i="20"/>
  <c r="G389" i="20"/>
  <c r="R401" i="20"/>
  <c r="R377" i="20"/>
  <c r="R389" i="20"/>
  <c r="X294" i="20"/>
  <c r="X282" i="20"/>
  <c r="X270" i="20"/>
  <c r="S281" i="20"/>
  <c r="S269" i="20"/>
  <c r="S293" i="20"/>
  <c r="H293" i="20"/>
  <c r="H281" i="20"/>
  <c r="H269" i="20"/>
  <c r="T398" i="20"/>
  <c r="T386" i="20"/>
  <c r="T399" i="20"/>
  <c r="T373" i="20"/>
  <c r="T387" i="20"/>
  <c r="T374" i="20"/>
  <c r="T400" i="20"/>
  <c r="T376" i="20"/>
  <c r="T375" i="20"/>
  <c r="T397" i="20"/>
  <c r="T388" i="20"/>
  <c r="T385" i="20"/>
  <c r="N288" i="20"/>
  <c r="N291" i="20"/>
  <c r="N266" i="20"/>
  <c r="N264" i="20"/>
  <c r="N279" i="20"/>
  <c r="N267" i="20"/>
  <c r="N277" i="20"/>
  <c r="N289" i="20"/>
  <c r="N265" i="20"/>
  <c r="N290" i="20"/>
  <c r="N278" i="20"/>
  <c r="N276" i="20"/>
  <c r="AC288" i="20"/>
  <c r="AC277" i="20"/>
  <c r="AC291" i="20"/>
  <c r="AC290" i="20"/>
  <c r="AC266" i="20"/>
  <c r="AC276" i="20"/>
  <c r="AC264" i="20"/>
  <c r="AC289" i="20"/>
  <c r="AC279" i="20"/>
  <c r="AC265" i="20"/>
  <c r="AC267" i="20"/>
  <c r="AC278" i="20"/>
  <c r="J276" i="20"/>
  <c r="J288" i="20"/>
  <c r="J278" i="20"/>
  <c r="J290" i="20"/>
  <c r="J277" i="20"/>
  <c r="J265" i="20"/>
  <c r="J291" i="20"/>
  <c r="J279" i="20"/>
  <c r="J264" i="20"/>
  <c r="J289" i="20"/>
  <c r="J267" i="20"/>
  <c r="J266" i="20"/>
  <c r="U295" i="20"/>
  <c r="U271" i="20"/>
  <c r="U283" i="20"/>
  <c r="H294" i="20"/>
  <c r="H270" i="20"/>
  <c r="H282" i="20"/>
  <c r="W291" i="20"/>
  <c r="W289" i="20"/>
  <c r="W264" i="20"/>
  <c r="W267" i="20"/>
  <c r="W290" i="20"/>
  <c r="W279" i="20"/>
  <c r="W288" i="20"/>
  <c r="W277" i="20"/>
  <c r="W276" i="20"/>
  <c r="W266" i="20"/>
  <c r="W265" i="20"/>
  <c r="W278" i="20"/>
  <c r="F172" i="20"/>
  <c r="F184" i="20"/>
  <c r="F160" i="20"/>
  <c r="V288" i="20"/>
  <c r="V291" i="20"/>
  <c r="V289" i="20"/>
  <c r="V276" i="20"/>
  <c r="V266" i="20"/>
  <c r="V264" i="20"/>
  <c r="V267" i="20"/>
  <c r="V290" i="20"/>
  <c r="V278" i="20"/>
  <c r="V277" i="20"/>
  <c r="V265" i="20"/>
  <c r="V279" i="20"/>
  <c r="M160" i="20"/>
  <c r="M172" i="20"/>
  <c r="M184" i="20"/>
  <c r="U175" i="20"/>
  <c r="U187" i="20"/>
  <c r="U163" i="20"/>
  <c r="L290" i="20"/>
  <c r="L291" i="20"/>
  <c r="L288" i="20"/>
  <c r="L276" i="20"/>
  <c r="L266" i="20"/>
  <c r="L278" i="20"/>
  <c r="L289" i="20"/>
  <c r="L279" i="20"/>
  <c r="L267" i="20"/>
  <c r="L264" i="20"/>
  <c r="L277" i="20"/>
  <c r="L265" i="20"/>
  <c r="AB175" i="20"/>
  <c r="AB187" i="20"/>
  <c r="AB163" i="20"/>
  <c r="P170" i="20"/>
  <c r="P182" i="20"/>
  <c r="P180" i="20"/>
  <c r="P156" i="20"/>
  <c r="P183" i="20"/>
  <c r="P159" i="20"/>
  <c r="P157" i="20"/>
  <c r="P181" i="20"/>
  <c r="P158" i="20"/>
  <c r="P168" i="20"/>
  <c r="P169" i="20"/>
  <c r="P171" i="20"/>
  <c r="J175" i="20"/>
  <c r="J163" i="20"/>
  <c r="J187" i="20"/>
  <c r="V375" i="20"/>
  <c r="N186" i="20"/>
  <c r="N174" i="20"/>
  <c r="N162" i="20"/>
  <c r="H186" i="20"/>
  <c r="H162" i="20"/>
  <c r="H174" i="20"/>
  <c r="K184" i="20"/>
  <c r="K160" i="20"/>
  <c r="K172" i="20"/>
  <c r="Y160" i="20"/>
  <c r="Y184" i="20"/>
  <c r="Y172" i="20"/>
  <c r="S184" i="20"/>
  <c r="S160" i="20"/>
  <c r="S172" i="20"/>
  <c r="Q63" i="20"/>
  <c r="Q75" i="20"/>
  <c r="Q77" i="20"/>
  <c r="Q74" i="20"/>
  <c r="Q64" i="20"/>
  <c r="Q51" i="20"/>
  <c r="Q62" i="20"/>
  <c r="Q76" i="20"/>
  <c r="Q50" i="20"/>
  <c r="Q53" i="20"/>
  <c r="Q65" i="20"/>
  <c r="Q52" i="20"/>
  <c r="C78" i="20"/>
  <c r="C66" i="20"/>
  <c r="C54" i="20"/>
  <c r="Q79" i="20"/>
  <c r="Q55" i="20"/>
  <c r="Q67" i="20"/>
  <c r="V56" i="20"/>
  <c r="V80" i="20"/>
  <c r="V68" i="20"/>
  <c r="M75" i="20"/>
  <c r="M63" i="20"/>
  <c r="M76" i="20"/>
  <c r="M50" i="20"/>
  <c r="M77" i="20"/>
  <c r="M74" i="20"/>
  <c r="M64" i="20"/>
  <c r="M65" i="20"/>
  <c r="M52" i="20"/>
  <c r="M51" i="20"/>
  <c r="M62" i="20"/>
  <c r="M53" i="20"/>
  <c r="AB64" i="20"/>
  <c r="AB76" i="20"/>
  <c r="AB74" i="20"/>
  <c r="AB52" i="20"/>
  <c r="AB62" i="20"/>
  <c r="AB53" i="20"/>
  <c r="AB63" i="20"/>
  <c r="AB51" i="20"/>
  <c r="AB77" i="20"/>
  <c r="AB65" i="20"/>
  <c r="AB50" i="20"/>
  <c r="AB75" i="20"/>
  <c r="O65" i="20"/>
  <c r="O77" i="20"/>
  <c r="O53" i="20"/>
  <c r="O64" i="20"/>
  <c r="O62" i="20"/>
  <c r="O52" i="20"/>
  <c r="O76" i="20"/>
  <c r="O51" i="20"/>
  <c r="O75" i="20"/>
  <c r="O50" i="20"/>
  <c r="O63" i="20"/>
  <c r="O74" i="20"/>
  <c r="M67" i="20"/>
  <c r="M79" i="20"/>
  <c r="M55" i="20"/>
  <c r="K497" i="19"/>
  <c r="K485" i="19"/>
  <c r="K509" i="19"/>
  <c r="J506" i="19"/>
  <c r="J494" i="19"/>
  <c r="J482" i="19"/>
  <c r="O404" i="19"/>
  <c r="O392" i="19"/>
  <c r="O380" i="19"/>
  <c r="G509" i="19"/>
  <c r="G497" i="19"/>
  <c r="G485" i="19"/>
  <c r="Q496" i="19"/>
  <c r="Q508" i="19"/>
  <c r="Q484" i="19"/>
  <c r="R509" i="19"/>
  <c r="R497" i="19"/>
  <c r="R485" i="19"/>
  <c r="Z507" i="19"/>
  <c r="Z483" i="19"/>
  <c r="Z495" i="19"/>
  <c r="AC495" i="19"/>
  <c r="AC507" i="19"/>
  <c r="AC483" i="19"/>
  <c r="H404" i="19"/>
  <c r="H392" i="19"/>
  <c r="H380" i="19"/>
  <c r="J401" i="19"/>
  <c r="J389" i="19"/>
  <c r="J377" i="19"/>
  <c r="Y389" i="19"/>
  <c r="Y401" i="19"/>
  <c r="Y377" i="19"/>
  <c r="W402" i="19"/>
  <c r="W390" i="19"/>
  <c r="W378" i="19"/>
  <c r="G401" i="19"/>
  <c r="G389" i="19"/>
  <c r="G377" i="19"/>
  <c r="W404" i="19"/>
  <c r="W392" i="19"/>
  <c r="W380" i="19"/>
  <c r="W400" i="19"/>
  <c r="W374" i="19"/>
  <c r="W399" i="19"/>
  <c r="W388" i="19"/>
  <c r="W397" i="19"/>
  <c r="W386" i="19"/>
  <c r="W398" i="19"/>
  <c r="W385" i="19"/>
  <c r="W387" i="19"/>
  <c r="W375" i="19"/>
  <c r="W373" i="19"/>
  <c r="W376" i="19"/>
  <c r="S403" i="19"/>
  <c r="S391" i="19"/>
  <c r="S379" i="19"/>
  <c r="T401" i="19"/>
  <c r="T389" i="19"/>
  <c r="T377" i="19"/>
  <c r="Q294" i="19"/>
  <c r="Q270" i="19"/>
  <c r="Q282" i="19"/>
  <c r="AA292" i="19"/>
  <c r="AA280" i="19"/>
  <c r="AA268" i="19"/>
  <c r="G280" i="19"/>
  <c r="G268" i="19"/>
  <c r="G292" i="19"/>
  <c r="O279" i="19"/>
  <c r="O290" i="19"/>
  <c r="O266" i="19"/>
  <c r="O288" i="19"/>
  <c r="O291" i="19"/>
  <c r="O289" i="19"/>
  <c r="O278" i="19"/>
  <c r="O264" i="19"/>
  <c r="O265" i="19"/>
  <c r="O267" i="19"/>
  <c r="O276" i="19"/>
  <c r="O277" i="19"/>
  <c r="F294" i="19"/>
  <c r="F270" i="19"/>
  <c r="F282" i="19"/>
  <c r="S294" i="19"/>
  <c r="S270" i="19"/>
  <c r="S282" i="19"/>
  <c r="X185" i="19"/>
  <c r="X161" i="19"/>
  <c r="X173" i="19"/>
  <c r="W174" i="19"/>
  <c r="W186" i="19"/>
  <c r="W162" i="19"/>
  <c r="K185" i="19"/>
  <c r="K161" i="19"/>
  <c r="K173" i="19"/>
  <c r="O187" i="19"/>
  <c r="O175" i="19"/>
  <c r="O163" i="19"/>
  <c r="AC183" i="19"/>
  <c r="AC159" i="19"/>
  <c r="AC170" i="19"/>
  <c r="AC181" i="19"/>
  <c r="AC168" i="19"/>
  <c r="AC182" i="19"/>
  <c r="AC156" i="19"/>
  <c r="AC169" i="19"/>
  <c r="AC157" i="19"/>
  <c r="AC171" i="19"/>
  <c r="AC158" i="19"/>
  <c r="AC180" i="19"/>
  <c r="U186" i="19"/>
  <c r="U162" i="19"/>
  <c r="U174" i="19"/>
  <c r="D172" i="19"/>
  <c r="D184" i="19"/>
  <c r="D160" i="19"/>
  <c r="R68" i="19"/>
  <c r="R80" i="19"/>
  <c r="R56" i="19"/>
  <c r="R67" i="19"/>
  <c r="R55" i="19"/>
  <c r="R79" i="19"/>
  <c r="Q55" i="19"/>
  <c r="Q79" i="19"/>
  <c r="Q67" i="19"/>
  <c r="K76" i="19"/>
  <c r="K52" i="19"/>
  <c r="K63" i="19"/>
  <c r="K64" i="19"/>
  <c r="K75" i="19"/>
  <c r="K53" i="19"/>
  <c r="K62" i="19"/>
  <c r="K50" i="19"/>
  <c r="K51" i="19"/>
  <c r="K77" i="19"/>
  <c r="K74" i="19"/>
  <c r="K65" i="19"/>
  <c r="W66" i="19"/>
  <c r="W78" i="19"/>
  <c r="D56" i="19"/>
  <c r="D80" i="19"/>
  <c r="D68" i="19"/>
  <c r="C68" i="19"/>
  <c r="C80" i="19"/>
  <c r="C56" i="19"/>
  <c r="X509" i="19"/>
  <c r="X485" i="19"/>
  <c r="X497" i="19"/>
  <c r="E497" i="19"/>
  <c r="E509" i="19"/>
  <c r="E485" i="19"/>
  <c r="I496" i="19"/>
  <c r="I508" i="19"/>
  <c r="I484" i="19"/>
  <c r="Y403" i="19"/>
  <c r="Y391" i="19"/>
  <c r="Y379" i="19"/>
  <c r="P404" i="19"/>
  <c r="P392" i="19"/>
  <c r="P380" i="19"/>
  <c r="B401" i="19"/>
  <c r="B389" i="19"/>
  <c r="B377" i="19"/>
  <c r="Q401" i="19"/>
  <c r="Q389" i="19"/>
  <c r="Q377" i="19"/>
  <c r="O402" i="19"/>
  <c r="O390" i="19"/>
  <c r="O378" i="19"/>
  <c r="Y380" i="19"/>
  <c r="Y404" i="19"/>
  <c r="Y392" i="19"/>
  <c r="J403" i="19"/>
  <c r="J391" i="19"/>
  <c r="J379" i="19"/>
  <c r="L401" i="19"/>
  <c r="L389" i="19"/>
  <c r="L377" i="19"/>
  <c r="AB293" i="19"/>
  <c r="U292" i="19"/>
  <c r="U268" i="19"/>
  <c r="U280" i="19"/>
  <c r="D280" i="19"/>
  <c r="D268" i="19"/>
  <c r="D292" i="19"/>
  <c r="O280" i="19"/>
  <c r="O292" i="19"/>
  <c r="O268" i="19"/>
  <c r="W279" i="19"/>
  <c r="W290" i="19"/>
  <c r="W266" i="19"/>
  <c r="W288" i="19"/>
  <c r="W291" i="19"/>
  <c r="W289" i="19"/>
  <c r="W265" i="19"/>
  <c r="W276" i="19"/>
  <c r="W277" i="19"/>
  <c r="W267" i="19"/>
  <c r="W264" i="19"/>
  <c r="W278" i="19"/>
  <c r="AB184" i="19"/>
  <c r="AB172" i="19"/>
  <c r="Y185" i="19"/>
  <c r="Y173" i="19"/>
  <c r="Y161" i="19"/>
  <c r="AB175" i="19"/>
  <c r="AB187" i="19"/>
  <c r="AB163" i="19"/>
  <c r="H174" i="19"/>
  <c r="H186" i="19"/>
  <c r="H162" i="19"/>
  <c r="W187" i="19"/>
  <c r="W163" i="19"/>
  <c r="W175" i="19"/>
  <c r="L175" i="19"/>
  <c r="L187" i="19"/>
  <c r="L163" i="19"/>
  <c r="U46" i="19"/>
  <c r="U152" i="19"/>
  <c r="U259" i="19"/>
  <c r="U473" i="19"/>
  <c r="U369" i="19"/>
  <c r="U151" i="19"/>
  <c r="J68" i="19"/>
  <c r="J80" i="19"/>
  <c r="J56" i="19"/>
  <c r="D66" i="19"/>
  <c r="D78" i="19"/>
  <c r="D54" i="19"/>
  <c r="W80" i="19"/>
  <c r="W56" i="19"/>
  <c r="W68" i="19"/>
  <c r="J79" i="19"/>
  <c r="J67" i="19"/>
  <c r="J55" i="19"/>
  <c r="I79" i="19"/>
  <c r="I67" i="19"/>
  <c r="I55" i="19"/>
  <c r="C76" i="19"/>
  <c r="C52" i="19"/>
  <c r="C63" i="19"/>
  <c r="C64" i="19"/>
  <c r="C75" i="19"/>
  <c r="C50" i="19"/>
  <c r="C77" i="19"/>
  <c r="C65" i="19"/>
  <c r="C74" i="19"/>
  <c r="C51" i="19"/>
  <c r="C62" i="19"/>
  <c r="C53" i="19"/>
  <c r="I45" i="19"/>
  <c r="T79" i="19"/>
  <c r="T55" i="19"/>
  <c r="T67" i="19"/>
  <c r="P174" i="19"/>
  <c r="P162" i="19"/>
  <c r="P186" i="19"/>
  <c r="AA175" i="19"/>
  <c r="AA187" i="19"/>
  <c r="AA163" i="19"/>
  <c r="B175" i="19"/>
  <c r="B163" i="19"/>
  <c r="B187" i="19"/>
  <c r="V186" i="19"/>
  <c r="V162" i="19"/>
  <c r="V174" i="19"/>
  <c r="K169" i="19"/>
  <c r="K180" i="19"/>
  <c r="K183" i="19"/>
  <c r="K170" i="19"/>
  <c r="K158" i="19"/>
  <c r="K159" i="19"/>
  <c r="K182" i="19"/>
  <c r="K171" i="19"/>
  <c r="K156" i="19"/>
  <c r="K168" i="19"/>
  <c r="K181" i="19"/>
  <c r="K157" i="19"/>
  <c r="S185" i="19"/>
  <c r="S161" i="19"/>
  <c r="S173" i="19"/>
  <c r="AA185" i="19"/>
  <c r="AA161" i="19"/>
  <c r="AA173" i="19"/>
  <c r="D175" i="19"/>
  <c r="D187" i="19"/>
  <c r="D163" i="19"/>
  <c r="K172" i="19"/>
  <c r="K184" i="19"/>
  <c r="K160" i="19"/>
  <c r="AC184" i="19"/>
  <c r="AC160" i="19"/>
  <c r="AC172" i="19"/>
  <c r="B68" i="19"/>
  <c r="B80" i="19"/>
  <c r="B56" i="19"/>
  <c r="G80" i="19"/>
  <c r="G56" i="19"/>
  <c r="G68" i="19"/>
  <c r="B55" i="19"/>
  <c r="B79" i="19"/>
  <c r="B67" i="19"/>
  <c r="Z66" i="19"/>
  <c r="Z54" i="19"/>
  <c r="Z78" i="19"/>
  <c r="O80" i="19"/>
  <c r="O56" i="19"/>
  <c r="O68" i="19"/>
  <c r="O151" i="19"/>
  <c r="O260" i="19"/>
  <c r="O45" i="19"/>
  <c r="O152" i="19"/>
  <c r="O259" i="19"/>
  <c r="O368" i="19"/>
  <c r="D79" i="19"/>
  <c r="D55" i="19"/>
  <c r="D67" i="19"/>
  <c r="O503" i="19"/>
  <c r="O490" i="19"/>
  <c r="O504" i="19"/>
  <c r="O502" i="19"/>
  <c r="O479" i="19"/>
  <c r="O492" i="19"/>
  <c r="O491" i="19"/>
  <c r="O505" i="19"/>
  <c r="O493" i="19"/>
  <c r="O480" i="19"/>
  <c r="O478" i="19"/>
  <c r="O481" i="19"/>
  <c r="K507" i="19"/>
  <c r="K495" i="19"/>
  <c r="K483" i="19"/>
  <c r="H506" i="19"/>
  <c r="H494" i="19"/>
  <c r="H482" i="19"/>
  <c r="X392" i="19"/>
  <c r="X404" i="19"/>
  <c r="X380" i="19"/>
  <c r="G402" i="19"/>
  <c r="G390" i="19"/>
  <c r="G378" i="19"/>
  <c r="G400" i="19"/>
  <c r="G374" i="19"/>
  <c r="G388" i="19"/>
  <c r="G398" i="19"/>
  <c r="G397" i="19"/>
  <c r="G399" i="19"/>
  <c r="G386" i="19"/>
  <c r="G373" i="19"/>
  <c r="G385" i="19"/>
  <c r="G376" i="19"/>
  <c r="G375" i="19"/>
  <c r="G387" i="19"/>
  <c r="T295" i="19"/>
  <c r="T271" i="19"/>
  <c r="T283" i="19"/>
  <c r="L292" i="19"/>
  <c r="L280" i="19"/>
  <c r="L268" i="19"/>
  <c r="AB278" i="19"/>
  <c r="AB289" i="19"/>
  <c r="AB265" i="19"/>
  <c r="AB279" i="19"/>
  <c r="AB290" i="19"/>
  <c r="AB288" i="19"/>
  <c r="AB277" i="19"/>
  <c r="AB264" i="19"/>
  <c r="AB266" i="19"/>
  <c r="AB291" i="19"/>
  <c r="AB267" i="19"/>
  <c r="AB276" i="19"/>
  <c r="L508" i="19"/>
  <c r="L496" i="19"/>
  <c r="L484" i="19"/>
  <c r="G503" i="19"/>
  <c r="G490" i="19"/>
  <c r="G504" i="19"/>
  <c r="G502" i="19"/>
  <c r="G479" i="19"/>
  <c r="G480" i="19"/>
  <c r="G505" i="19"/>
  <c r="G492" i="19"/>
  <c r="G478" i="19"/>
  <c r="G493" i="19"/>
  <c r="G491" i="19"/>
  <c r="G481" i="19"/>
  <c r="Z496" i="19"/>
  <c r="Z508" i="19"/>
  <c r="Z484" i="19"/>
  <c r="X496" i="19"/>
  <c r="X484" i="19"/>
  <c r="X508" i="19"/>
  <c r="T508" i="19"/>
  <c r="T496" i="19"/>
  <c r="T484" i="19"/>
  <c r="P403" i="19"/>
  <c r="P391" i="19"/>
  <c r="P379" i="19"/>
  <c r="X403" i="19"/>
  <c r="X391" i="19"/>
  <c r="X379" i="19"/>
  <c r="P377" i="19"/>
  <c r="P401" i="19"/>
  <c r="P389" i="19"/>
  <c r="L295" i="19"/>
  <c r="L271" i="19"/>
  <c r="L283" i="19"/>
  <c r="L281" i="19"/>
  <c r="L293" i="19"/>
  <c r="S283" i="19"/>
  <c r="S295" i="19"/>
  <c r="S271" i="19"/>
  <c r="Z283" i="19"/>
  <c r="Z295" i="19"/>
  <c r="Z271" i="19"/>
  <c r="I185" i="19"/>
  <c r="I173" i="19"/>
  <c r="I161" i="19"/>
  <c r="C175" i="19"/>
  <c r="C187" i="19"/>
  <c r="C163" i="19"/>
  <c r="X174" i="19"/>
  <c r="X186" i="19"/>
  <c r="X162" i="19"/>
  <c r="M175" i="19"/>
  <c r="M163" i="19"/>
  <c r="M187" i="19"/>
  <c r="J175" i="19"/>
  <c r="J163" i="19"/>
  <c r="J187" i="19"/>
  <c r="J174" i="19"/>
  <c r="J186" i="19"/>
  <c r="J162" i="19"/>
  <c r="B182" i="19"/>
  <c r="B158" i="19"/>
  <c r="B169" i="19"/>
  <c r="B180" i="19"/>
  <c r="B183" i="19"/>
  <c r="B159" i="19"/>
  <c r="B171" i="19"/>
  <c r="B181" i="19"/>
  <c r="B168" i="19"/>
  <c r="B156" i="19"/>
  <c r="B157" i="19"/>
  <c r="B170" i="19"/>
  <c r="S79" i="19"/>
  <c r="S55" i="19"/>
  <c r="S67" i="19"/>
  <c r="M74" i="19"/>
  <c r="M50" i="19"/>
  <c r="M77" i="19"/>
  <c r="M53" i="19"/>
  <c r="M62" i="19"/>
  <c r="M65" i="19"/>
  <c r="M75" i="19"/>
  <c r="M76" i="19"/>
  <c r="M52" i="19"/>
  <c r="M63" i="19"/>
  <c r="M64" i="19"/>
  <c r="M51" i="19"/>
  <c r="G57" i="19"/>
  <c r="G81" i="19"/>
  <c r="G69" i="19"/>
  <c r="R78" i="19"/>
  <c r="R54" i="19"/>
  <c r="R66" i="19"/>
  <c r="X67" i="19"/>
  <c r="X79" i="19"/>
  <c r="X55" i="19"/>
  <c r="V80" i="19"/>
  <c r="V56" i="19"/>
  <c r="V68" i="19"/>
  <c r="H78" i="19"/>
  <c r="H54" i="19"/>
  <c r="H66" i="19"/>
  <c r="Q509" i="19"/>
  <c r="Q497" i="19"/>
  <c r="Q485" i="19"/>
  <c r="U508" i="19"/>
  <c r="U484" i="19"/>
  <c r="U496" i="19"/>
  <c r="X507" i="19"/>
  <c r="X495" i="19"/>
  <c r="X483" i="19"/>
  <c r="AA494" i="19"/>
  <c r="AA506" i="19"/>
  <c r="AA482" i="19"/>
  <c r="I380" i="19"/>
  <c r="I404" i="19"/>
  <c r="I392" i="19"/>
  <c r="D401" i="19"/>
  <c r="D389" i="19"/>
  <c r="D377" i="19"/>
  <c r="H292" i="19"/>
  <c r="H268" i="19"/>
  <c r="H280" i="19"/>
  <c r="W280" i="19"/>
  <c r="W292" i="19"/>
  <c r="W268" i="19"/>
  <c r="Q185" i="19"/>
  <c r="Q161" i="19"/>
  <c r="Q173" i="19"/>
  <c r="P187" i="19"/>
  <c r="P163" i="19"/>
  <c r="P175" i="19"/>
  <c r="I509" i="19"/>
  <c r="I497" i="19"/>
  <c r="I485" i="19"/>
  <c r="F508" i="19"/>
  <c r="F496" i="19"/>
  <c r="F484" i="19"/>
  <c r="D508" i="19"/>
  <c r="D496" i="19"/>
  <c r="D484" i="19"/>
  <c r="C497" i="19"/>
  <c r="C485" i="19"/>
  <c r="C509" i="19"/>
  <c r="H403" i="19"/>
  <c r="H391" i="19"/>
  <c r="H379" i="19"/>
  <c r="C398" i="19"/>
  <c r="C399" i="19"/>
  <c r="C386" i="19"/>
  <c r="C400" i="19"/>
  <c r="C387" i="19"/>
  <c r="C388" i="19"/>
  <c r="C397" i="19"/>
  <c r="C385" i="19"/>
  <c r="C375" i="19"/>
  <c r="C374" i="19"/>
  <c r="C373" i="19"/>
  <c r="C376" i="19"/>
  <c r="O403" i="19"/>
  <c r="O391" i="19"/>
  <c r="O379" i="19"/>
  <c r="R400" i="19"/>
  <c r="R375" i="19"/>
  <c r="R397" i="19"/>
  <c r="R398" i="19"/>
  <c r="R399" i="19"/>
  <c r="R386" i="19"/>
  <c r="R388" i="19"/>
  <c r="R374" i="19"/>
  <c r="R385" i="19"/>
  <c r="R376" i="19"/>
  <c r="R387" i="19"/>
  <c r="R373" i="19"/>
  <c r="G392" i="19"/>
  <c r="G404" i="19"/>
  <c r="G380" i="19"/>
  <c r="H377" i="19"/>
  <c r="H401" i="19"/>
  <c r="H389" i="19"/>
  <c r="V402" i="19"/>
  <c r="V390" i="19"/>
  <c r="V378" i="19"/>
  <c r="AC402" i="19"/>
  <c r="AC390" i="19"/>
  <c r="AC378" i="19"/>
  <c r="S378" i="19"/>
  <c r="S402" i="19"/>
  <c r="S390" i="19"/>
  <c r="U376" i="19"/>
  <c r="U399" i="19"/>
  <c r="U385" i="19"/>
  <c r="U400" i="19"/>
  <c r="U386" i="19"/>
  <c r="U398" i="19"/>
  <c r="U397" i="19"/>
  <c r="U375" i="19"/>
  <c r="U373" i="19"/>
  <c r="U387" i="19"/>
  <c r="U374" i="19"/>
  <c r="U388" i="19"/>
  <c r="D295" i="19"/>
  <c r="D271" i="19"/>
  <c r="D283" i="19"/>
  <c r="D281" i="19"/>
  <c r="D293" i="19"/>
  <c r="K283" i="19"/>
  <c r="K295" i="19"/>
  <c r="K271" i="19"/>
  <c r="I295" i="19"/>
  <c r="I271" i="19"/>
  <c r="I283" i="19"/>
  <c r="X283" i="19"/>
  <c r="X295" i="19"/>
  <c r="X271" i="19"/>
  <c r="X292" i="19"/>
  <c r="X268" i="19"/>
  <c r="X280" i="19"/>
  <c r="AB292" i="19"/>
  <c r="AB280" i="19"/>
  <c r="AB268" i="19"/>
  <c r="T173" i="19"/>
  <c r="T185" i="19"/>
  <c r="T161" i="19"/>
  <c r="I152" i="19"/>
  <c r="W173" i="19"/>
  <c r="W185" i="19"/>
  <c r="C186" i="19"/>
  <c r="C162" i="19"/>
  <c r="C174" i="19"/>
  <c r="F187" i="19"/>
  <c r="F163" i="19"/>
  <c r="F175" i="19"/>
  <c r="U173" i="19"/>
  <c r="U185" i="19"/>
  <c r="U161" i="19"/>
  <c r="J182" i="19"/>
  <c r="J158" i="19"/>
  <c r="J169" i="19"/>
  <c r="J180" i="19"/>
  <c r="J183" i="19"/>
  <c r="J159" i="19"/>
  <c r="J181" i="19"/>
  <c r="J157" i="19"/>
  <c r="J170" i="19"/>
  <c r="J171" i="19"/>
  <c r="J156" i="19"/>
  <c r="J168" i="19"/>
  <c r="T46" i="19"/>
  <c r="K79" i="19"/>
  <c r="K55" i="19"/>
  <c r="K67" i="19"/>
  <c r="E74" i="19"/>
  <c r="E50" i="19"/>
  <c r="E77" i="19"/>
  <c r="E53" i="19"/>
  <c r="E62" i="19"/>
  <c r="E65" i="19"/>
  <c r="E51" i="19"/>
  <c r="E75" i="19"/>
  <c r="E76" i="19"/>
  <c r="E64" i="19"/>
  <c r="E63" i="19"/>
  <c r="E52" i="19"/>
  <c r="Y78" i="19"/>
  <c r="Y54" i="19"/>
  <c r="Y66" i="19"/>
  <c r="F170" i="19"/>
  <c r="F181" i="19"/>
  <c r="F171" i="19"/>
  <c r="F159" i="19"/>
  <c r="F180" i="19"/>
  <c r="F168" i="19"/>
  <c r="F156" i="19"/>
  <c r="F157" i="19"/>
  <c r="F183" i="19"/>
  <c r="F158" i="19"/>
  <c r="F182" i="19"/>
  <c r="F169" i="19"/>
  <c r="AB180" i="19"/>
  <c r="AB156" i="19"/>
  <c r="AB183" i="19"/>
  <c r="AB159" i="19"/>
  <c r="AB170" i="19"/>
  <c r="AB181" i="19"/>
  <c r="AB157" i="19"/>
  <c r="AB169" i="19"/>
  <c r="AB168" i="19"/>
  <c r="AB171" i="19"/>
  <c r="AB158" i="19"/>
  <c r="AB182" i="19"/>
  <c r="X80" i="19"/>
  <c r="X68" i="19"/>
  <c r="X56" i="19"/>
  <c r="Y46" i="19"/>
  <c r="Y368" i="19"/>
  <c r="Y259" i="19"/>
  <c r="Y260" i="19"/>
  <c r="Y152" i="19"/>
  <c r="Y151" i="19"/>
  <c r="Y369" i="19"/>
  <c r="N80" i="19"/>
  <c r="N56" i="19"/>
  <c r="N68" i="19"/>
  <c r="Y62" i="19"/>
  <c r="Y65" i="19"/>
  <c r="Y74" i="19"/>
  <c r="Y77" i="19"/>
  <c r="Y50" i="19"/>
  <c r="Y52" i="19"/>
  <c r="Y75" i="19"/>
  <c r="Y76" i="19"/>
  <c r="Y63" i="19"/>
  <c r="Y51" i="19"/>
  <c r="Y64" i="19"/>
  <c r="Y53" i="19"/>
  <c r="P503" i="19"/>
  <c r="P493" i="19"/>
  <c r="P504" i="19"/>
  <c r="P491" i="19"/>
  <c r="P502" i="19"/>
  <c r="P505" i="19"/>
  <c r="P492" i="19"/>
  <c r="P480" i="19"/>
  <c r="P478" i="19"/>
  <c r="P481" i="19"/>
  <c r="P490" i="19"/>
  <c r="P479" i="19"/>
  <c r="O495" i="19"/>
  <c r="O507" i="19"/>
  <c r="O483" i="19"/>
  <c r="S398" i="19"/>
  <c r="S386" i="19"/>
  <c r="S387" i="19"/>
  <c r="S388" i="19"/>
  <c r="S400" i="19"/>
  <c r="S399" i="19"/>
  <c r="S376" i="19"/>
  <c r="S397" i="19"/>
  <c r="S374" i="19"/>
  <c r="S373" i="19"/>
  <c r="S375" i="19"/>
  <c r="S385" i="19"/>
  <c r="I401" i="19"/>
  <c r="I389" i="19"/>
  <c r="I377" i="19"/>
  <c r="Z404" i="19"/>
  <c r="Z392" i="19"/>
  <c r="Z380" i="19"/>
  <c r="P385" i="19"/>
  <c r="P386" i="19"/>
  <c r="P387" i="19"/>
  <c r="P373" i="19"/>
  <c r="P400" i="19"/>
  <c r="P399" i="19"/>
  <c r="P398" i="19"/>
  <c r="P397" i="19"/>
  <c r="P388" i="19"/>
  <c r="P376" i="19"/>
  <c r="P375" i="19"/>
  <c r="P374" i="19"/>
  <c r="Y295" i="19"/>
  <c r="Y271" i="19"/>
  <c r="Y283" i="19"/>
  <c r="B281" i="19"/>
  <c r="B269" i="19"/>
  <c r="B293" i="19"/>
  <c r="H290" i="19"/>
  <c r="H266" i="19"/>
  <c r="H277" i="19"/>
  <c r="H291" i="19"/>
  <c r="H276" i="19"/>
  <c r="H265" i="19"/>
  <c r="H278" i="19"/>
  <c r="H267" i="19"/>
  <c r="H289" i="19"/>
  <c r="H288" i="19"/>
  <c r="H264" i="19"/>
  <c r="H279" i="19"/>
  <c r="H185" i="19"/>
  <c r="H161" i="19"/>
  <c r="H173" i="19"/>
  <c r="Q504" i="19"/>
  <c r="Q502" i="19"/>
  <c r="Q505" i="19"/>
  <c r="Q492" i="19"/>
  <c r="Q491" i="19"/>
  <c r="Q480" i="19"/>
  <c r="Q503" i="19"/>
  <c r="Q493" i="19"/>
  <c r="Q478" i="19"/>
  <c r="Q481" i="19"/>
  <c r="Q490" i="19"/>
  <c r="Q479" i="19"/>
  <c r="AA403" i="19"/>
  <c r="AA391" i="19"/>
  <c r="AA379" i="19"/>
  <c r="G391" i="19"/>
  <c r="G403" i="19"/>
  <c r="G379" i="19"/>
  <c r="J375" i="19"/>
  <c r="J397" i="19"/>
  <c r="J399" i="19"/>
  <c r="J400" i="19"/>
  <c r="J387" i="19"/>
  <c r="J376" i="19"/>
  <c r="J398" i="19"/>
  <c r="J374" i="19"/>
  <c r="J373" i="19"/>
  <c r="J388" i="19"/>
  <c r="J385" i="19"/>
  <c r="J386" i="19"/>
  <c r="Y400" i="19"/>
  <c r="Y398" i="19"/>
  <c r="Y399" i="19"/>
  <c r="Y388" i="19"/>
  <c r="Y386" i="19"/>
  <c r="Y387" i="19"/>
  <c r="Y385" i="19"/>
  <c r="Y397" i="19"/>
  <c r="Y373" i="19"/>
  <c r="Y376" i="19"/>
  <c r="Y375" i="19"/>
  <c r="Y374" i="19"/>
  <c r="M403" i="19"/>
  <c r="M391" i="19"/>
  <c r="M379" i="19"/>
  <c r="U402" i="19"/>
  <c r="U390" i="19"/>
  <c r="U378" i="19"/>
  <c r="V389" i="19"/>
  <c r="V401" i="19"/>
  <c r="V377" i="19"/>
  <c r="C283" i="19"/>
  <c r="C295" i="19"/>
  <c r="C271" i="19"/>
  <c r="Z281" i="19"/>
  <c r="Z293" i="19"/>
  <c r="Z269" i="19"/>
  <c r="C292" i="19"/>
  <c r="C280" i="19"/>
  <c r="C268" i="19"/>
  <c r="F292" i="19"/>
  <c r="F268" i="19"/>
  <c r="F280" i="19"/>
  <c r="W295" i="19"/>
  <c r="W271" i="19"/>
  <c r="W283" i="19"/>
  <c r="L173" i="19"/>
  <c r="L185" i="19"/>
  <c r="L161" i="19"/>
  <c r="M186" i="19"/>
  <c r="M162" i="19"/>
  <c r="M174" i="19"/>
  <c r="K186" i="19"/>
  <c r="K162" i="19"/>
  <c r="K174" i="19"/>
  <c r="N187" i="19"/>
  <c r="N163" i="19"/>
  <c r="N175" i="19"/>
  <c r="Z175" i="19"/>
  <c r="Z187" i="19"/>
  <c r="Z163" i="19"/>
  <c r="L79" i="19"/>
  <c r="L55" i="19"/>
  <c r="L67" i="19"/>
  <c r="Q81" i="19"/>
  <c r="Q57" i="19"/>
  <c r="Q69" i="19"/>
  <c r="C79" i="19"/>
  <c r="C55" i="19"/>
  <c r="C67" i="19"/>
  <c r="T259" i="19"/>
  <c r="T368" i="19"/>
  <c r="T369" i="19"/>
  <c r="T260" i="19"/>
  <c r="T151" i="19"/>
  <c r="T474" i="19"/>
  <c r="Q80" i="19"/>
  <c r="Q56" i="19"/>
  <c r="Q68" i="19"/>
  <c r="P68" i="19"/>
  <c r="P56" i="19"/>
  <c r="P80" i="19"/>
  <c r="F80" i="19"/>
  <c r="F56" i="19"/>
  <c r="F68" i="19"/>
  <c r="AB80" i="19"/>
  <c r="AB68" i="19"/>
  <c r="AB56" i="19"/>
  <c r="M495" i="19"/>
  <c r="M507" i="19"/>
  <c r="M483" i="19"/>
  <c r="R403" i="19"/>
  <c r="R391" i="19"/>
  <c r="R379" i="19"/>
  <c r="S404" i="19"/>
  <c r="S392" i="19"/>
  <c r="S380" i="19"/>
  <c r="I402" i="19"/>
  <c r="I390" i="19"/>
  <c r="I378" i="19"/>
  <c r="P402" i="19"/>
  <c r="P378" i="19"/>
  <c r="P390" i="19"/>
  <c r="B375" i="19"/>
  <c r="B397" i="19"/>
  <c r="B376" i="19"/>
  <c r="B388" i="19"/>
  <c r="B385" i="19"/>
  <c r="B387" i="19"/>
  <c r="B373" i="19"/>
  <c r="B374" i="19"/>
  <c r="B400" i="19"/>
  <c r="B386" i="19"/>
  <c r="B398" i="19"/>
  <c r="B399" i="19"/>
  <c r="N379" i="19"/>
  <c r="N403" i="19"/>
  <c r="N391" i="19"/>
  <c r="Q400" i="19"/>
  <c r="Q398" i="19"/>
  <c r="Q388" i="19"/>
  <c r="Q386" i="19"/>
  <c r="Q397" i="19"/>
  <c r="Q387" i="19"/>
  <c r="Q399" i="19"/>
  <c r="Q385" i="19"/>
  <c r="Q375" i="19"/>
  <c r="Q376" i="19"/>
  <c r="Q374" i="19"/>
  <c r="Q373" i="19"/>
  <c r="F402" i="19"/>
  <c r="F390" i="19"/>
  <c r="F378" i="19"/>
  <c r="M402" i="19"/>
  <c r="M390" i="19"/>
  <c r="M378" i="19"/>
  <c r="N401" i="19"/>
  <c r="N389" i="19"/>
  <c r="N377" i="19"/>
  <c r="C404" i="19"/>
  <c r="C392" i="19"/>
  <c r="C380" i="19"/>
  <c r="C378" i="19"/>
  <c r="C390" i="19"/>
  <c r="C402" i="19"/>
  <c r="E376" i="19"/>
  <c r="E398" i="19"/>
  <c r="E397" i="19"/>
  <c r="E388" i="19"/>
  <c r="E374" i="19"/>
  <c r="E386" i="19"/>
  <c r="E400" i="19"/>
  <c r="E399" i="19"/>
  <c r="E375" i="19"/>
  <c r="E385" i="19"/>
  <c r="E373" i="19"/>
  <c r="E387" i="19"/>
  <c r="F293" i="19"/>
  <c r="F269" i="19"/>
  <c r="F281" i="19"/>
  <c r="K292" i="19"/>
  <c r="K268" i="19"/>
  <c r="K280" i="19"/>
  <c r="N292" i="19"/>
  <c r="N268" i="19"/>
  <c r="N280" i="19"/>
  <c r="D173" i="19"/>
  <c r="D161" i="19"/>
  <c r="D185" i="19"/>
  <c r="U295" i="19"/>
  <c r="U283" i="19"/>
  <c r="U271" i="19"/>
  <c r="G174" i="19"/>
  <c r="G186" i="19"/>
  <c r="G162" i="19"/>
  <c r="S186" i="19"/>
  <c r="S162" i="19"/>
  <c r="S174" i="19"/>
  <c r="V187" i="19"/>
  <c r="V163" i="19"/>
  <c r="V175" i="19"/>
  <c r="V173" i="19"/>
  <c r="V185" i="19"/>
  <c r="V161" i="19"/>
  <c r="Z182" i="19"/>
  <c r="Z158" i="19"/>
  <c r="Z169" i="19"/>
  <c r="Z180" i="19"/>
  <c r="Z183" i="19"/>
  <c r="Z159" i="19"/>
  <c r="Z181" i="19"/>
  <c r="Z156" i="19"/>
  <c r="Z170" i="19"/>
  <c r="Z157" i="19"/>
  <c r="Z168" i="19"/>
  <c r="Z171" i="19"/>
  <c r="X187" i="19"/>
  <c r="X163" i="19"/>
  <c r="X175" i="19"/>
  <c r="E175" i="19"/>
  <c r="E187" i="19"/>
  <c r="E163" i="19"/>
  <c r="M66" i="19"/>
  <c r="M78" i="19"/>
  <c r="M54" i="19"/>
  <c r="I81" i="19"/>
  <c r="I57" i="19"/>
  <c r="I69" i="19"/>
  <c r="I80" i="19"/>
  <c r="I68" i="19"/>
  <c r="I56" i="19"/>
  <c r="C78" i="19"/>
  <c r="C66" i="19"/>
  <c r="C54" i="19"/>
  <c r="H68" i="19"/>
  <c r="H80" i="19"/>
  <c r="H56" i="19"/>
  <c r="I46" i="19"/>
  <c r="I368" i="19"/>
  <c r="I260" i="19"/>
  <c r="I474" i="19"/>
  <c r="I151" i="19"/>
  <c r="W67" i="19"/>
  <c r="W79" i="19"/>
  <c r="W55" i="19"/>
  <c r="I62" i="19"/>
  <c r="I65" i="19"/>
  <c r="I74" i="19"/>
  <c r="I77" i="19"/>
  <c r="I53" i="19"/>
  <c r="I75" i="19"/>
  <c r="I76" i="19"/>
  <c r="I52" i="19"/>
  <c r="I63" i="19"/>
  <c r="I50" i="19"/>
  <c r="I64" i="19"/>
  <c r="I51" i="19"/>
  <c r="T56" i="19"/>
  <c r="T80" i="19"/>
  <c r="T68" i="19"/>
  <c r="AA68" i="19"/>
  <c r="AA80" i="19"/>
  <c r="AA56" i="19"/>
  <c r="P509" i="19"/>
  <c r="P485" i="19"/>
  <c r="P497" i="19"/>
  <c r="AA496" i="19"/>
  <c r="AA508" i="19"/>
  <c r="AA484" i="19"/>
  <c r="C504" i="19"/>
  <c r="C502" i="19"/>
  <c r="C505" i="19"/>
  <c r="C492" i="19"/>
  <c r="C503" i="19"/>
  <c r="C490" i="19"/>
  <c r="C493" i="19"/>
  <c r="C478" i="19"/>
  <c r="C491" i="19"/>
  <c r="C481" i="19"/>
  <c r="C479" i="19"/>
  <c r="C480" i="19"/>
  <c r="N505" i="19"/>
  <c r="N503" i="19"/>
  <c r="N493" i="19"/>
  <c r="N504" i="19"/>
  <c r="N491" i="19"/>
  <c r="N479" i="19"/>
  <c r="N492" i="19"/>
  <c r="N480" i="19"/>
  <c r="N502" i="19"/>
  <c r="N490" i="19"/>
  <c r="N478" i="19"/>
  <c r="N481" i="19"/>
  <c r="AC502" i="19"/>
  <c r="AC505" i="19"/>
  <c r="AC492" i="19"/>
  <c r="AC503" i="19"/>
  <c r="AC493" i="19"/>
  <c r="AC504" i="19"/>
  <c r="AC491" i="19"/>
  <c r="AC481" i="19"/>
  <c r="AC479" i="19"/>
  <c r="AC490" i="19"/>
  <c r="AC480" i="19"/>
  <c r="AC478" i="19"/>
  <c r="J496" i="19"/>
  <c r="J508" i="19"/>
  <c r="J484" i="19"/>
  <c r="I403" i="19"/>
  <c r="I391" i="19"/>
  <c r="I379" i="19"/>
  <c r="J392" i="19"/>
  <c r="J404" i="19"/>
  <c r="J380" i="19"/>
  <c r="R401" i="19"/>
  <c r="R389" i="19"/>
  <c r="R377" i="19"/>
  <c r="H378" i="19"/>
  <c r="H390" i="19"/>
  <c r="H402" i="19"/>
  <c r="F379" i="19"/>
  <c r="F391" i="19"/>
  <c r="F403" i="19"/>
  <c r="O389" i="19"/>
  <c r="O401" i="19"/>
  <c r="O377" i="19"/>
  <c r="F401" i="19"/>
  <c r="F389" i="19"/>
  <c r="F377" i="19"/>
  <c r="AB401" i="19"/>
  <c r="AB389" i="19"/>
  <c r="AB377" i="19"/>
  <c r="E282" i="19"/>
  <c r="E270" i="19"/>
  <c r="E294" i="19"/>
  <c r="K293" i="19"/>
  <c r="K269" i="19"/>
  <c r="K281" i="19"/>
  <c r="S292" i="19"/>
  <c r="S280" i="19"/>
  <c r="S268" i="19"/>
  <c r="O174" i="19"/>
  <c r="O186" i="19"/>
  <c r="O162" i="19"/>
  <c r="AA186" i="19"/>
  <c r="AA162" i="19"/>
  <c r="AA174" i="19"/>
  <c r="G187" i="19"/>
  <c r="G163" i="19"/>
  <c r="G175" i="19"/>
  <c r="J185" i="19"/>
  <c r="J161" i="19"/>
  <c r="J173" i="19"/>
  <c r="K175" i="19"/>
  <c r="K163" i="19"/>
  <c r="K187" i="19"/>
  <c r="Z68" i="19"/>
  <c r="Z80" i="19"/>
  <c r="Z56" i="19"/>
  <c r="T66" i="19"/>
  <c r="T78" i="19"/>
  <c r="T54" i="19"/>
  <c r="Z67" i="19"/>
  <c r="Z79" i="19"/>
  <c r="Z55" i="19"/>
  <c r="V81" i="19"/>
  <c r="V57" i="19"/>
  <c r="V69" i="19"/>
  <c r="Y67" i="19"/>
  <c r="Y79" i="19"/>
  <c r="Y55" i="19"/>
  <c r="S76" i="19"/>
  <c r="S52" i="19"/>
  <c r="S63" i="19"/>
  <c r="S64" i="19"/>
  <c r="S75" i="19"/>
  <c r="S65" i="19"/>
  <c r="S74" i="19"/>
  <c r="S53" i="19"/>
  <c r="S77" i="19"/>
  <c r="S50" i="19"/>
  <c r="S62" i="19"/>
  <c r="S51" i="19"/>
  <c r="O46" i="19"/>
  <c r="AC69" i="19"/>
  <c r="AC81" i="19"/>
  <c r="AC57" i="19"/>
  <c r="AB75" i="19"/>
  <c r="L68" i="19"/>
  <c r="L56" i="19"/>
  <c r="L80" i="19"/>
  <c r="F54" i="19"/>
  <c r="F66" i="19"/>
  <c r="F78" i="19"/>
  <c r="S68" i="19"/>
  <c r="S80" i="19"/>
  <c r="S56" i="19"/>
  <c r="K504" i="19"/>
  <c r="K502" i="19"/>
  <c r="K505" i="19"/>
  <c r="K492" i="19"/>
  <c r="K503" i="19"/>
  <c r="K490" i="19"/>
  <c r="K478" i="19"/>
  <c r="K481" i="19"/>
  <c r="K493" i="19"/>
  <c r="K491" i="19"/>
  <c r="K479" i="19"/>
  <c r="K480" i="19"/>
  <c r="U404" i="19"/>
  <c r="U392" i="19"/>
  <c r="U380" i="19"/>
  <c r="R390" i="19"/>
  <c r="R402" i="19"/>
  <c r="R378" i="19"/>
  <c r="M376" i="19"/>
  <c r="M400" i="19"/>
  <c r="M385" i="19"/>
  <c r="M387" i="19"/>
  <c r="M375" i="19"/>
  <c r="M374" i="19"/>
  <c r="M399" i="19"/>
  <c r="M398" i="19"/>
  <c r="M397" i="19"/>
  <c r="M386" i="19"/>
  <c r="M388" i="19"/>
  <c r="M373" i="19"/>
  <c r="V497" i="19"/>
  <c r="V509" i="19"/>
  <c r="V485" i="19"/>
  <c r="D507" i="19"/>
  <c r="D495" i="19"/>
  <c r="D483" i="19"/>
  <c r="S507" i="19"/>
  <c r="S495" i="19"/>
  <c r="S483" i="19"/>
  <c r="AB502" i="19"/>
  <c r="AB505" i="19"/>
  <c r="AB503" i="19"/>
  <c r="AB493" i="19"/>
  <c r="AB478" i="19"/>
  <c r="AB491" i="19"/>
  <c r="AB481" i="19"/>
  <c r="AB492" i="19"/>
  <c r="AB479" i="19"/>
  <c r="AB504" i="19"/>
  <c r="AB490" i="19"/>
  <c r="AB480" i="19"/>
  <c r="Y504" i="19"/>
  <c r="Y502" i="19"/>
  <c r="Y505" i="19"/>
  <c r="Y492" i="19"/>
  <c r="Y503" i="19"/>
  <c r="Y480" i="19"/>
  <c r="Y491" i="19"/>
  <c r="Y478" i="19"/>
  <c r="Y481" i="19"/>
  <c r="Y479" i="19"/>
  <c r="Y493" i="19"/>
  <c r="Y490" i="19"/>
  <c r="W506" i="19"/>
  <c r="W494" i="19"/>
  <c r="W482" i="19"/>
  <c r="Q506" i="19"/>
  <c r="Q494" i="19"/>
  <c r="Q482" i="19"/>
  <c r="AB506" i="19"/>
  <c r="AB482" i="19"/>
  <c r="AB494" i="19"/>
  <c r="N506" i="19"/>
  <c r="N482" i="19"/>
  <c r="N494" i="19"/>
  <c r="W508" i="19"/>
  <c r="W496" i="19"/>
  <c r="W484" i="19"/>
  <c r="P496" i="19"/>
  <c r="P508" i="19"/>
  <c r="P484" i="19"/>
  <c r="S496" i="19"/>
  <c r="S508" i="19"/>
  <c r="S484" i="19"/>
  <c r="M508" i="19"/>
  <c r="M484" i="19"/>
  <c r="M496" i="19"/>
  <c r="R478" i="19"/>
  <c r="R504" i="19"/>
  <c r="N399" i="19"/>
  <c r="N387" i="19"/>
  <c r="N400" i="19"/>
  <c r="N388" i="19"/>
  <c r="N398" i="19"/>
  <c r="N397" i="19"/>
  <c r="N374" i="19"/>
  <c r="N373" i="19"/>
  <c r="N385" i="19"/>
  <c r="N386" i="19"/>
  <c r="N376" i="19"/>
  <c r="N375" i="19"/>
  <c r="E404" i="19"/>
  <c r="E392" i="19"/>
  <c r="E380" i="19"/>
  <c r="L403" i="19"/>
  <c r="L391" i="19"/>
  <c r="L379" i="19"/>
  <c r="E403" i="19"/>
  <c r="E391" i="19"/>
  <c r="E379" i="19"/>
  <c r="D391" i="19"/>
  <c r="D403" i="19"/>
  <c r="D379" i="19"/>
  <c r="V404" i="19"/>
  <c r="V380" i="19"/>
  <c r="V392" i="19"/>
  <c r="AB392" i="19"/>
  <c r="AB380" i="19"/>
  <c r="AB404" i="19"/>
  <c r="B392" i="19"/>
  <c r="B404" i="19"/>
  <c r="B380" i="19"/>
  <c r="Y390" i="19"/>
  <c r="Y402" i="19"/>
  <c r="Y378" i="19"/>
  <c r="T402" i="19"/>
  <c r="T390" i="19"/>
  <c r="T378" i="19"/>
  <c r="N390" i="19"/>
  <c r="N402" i="19"/>
  <c r="N378" i="19"/>
  <c r="H385" i="19"/>
  <c r="H398" i="19"/>
  <c r="H386" i="19"/>
  <c r="H399" i="19"/>
  <c r="H387" i="19"/>
  <c r="H388" i="19"/>
  <c r="H400" i="19"/>
  <c r="H375" i="19"/>
  <c r="H397" i="19"/>
  <c r="H373" i="19"/>
  <c r="H376" i="19"/>
  <c r="H374" i="19"/>
  <c r="Z375" i="19"/>
  <c r="Z400" i="19"/>
  <c r="Z397" i="19"/>
  <c r="Z398" i="19"/>
  <c r="Z399" i="19"/>
  <c r="Z388" i="19"/>
  <c r="Z386" i="19"/>
  <c r="Z373" i="19"/>
  <c r="Z387" i="19"/>
  <c r="Z376" i="19"/>
  <c r="Z385" i="19"/>
  <c r="Z374" i="19"/>
  <c r="P283" i="19"/>
  <c r="P271" i="19"/>
  <c r="P295" i="19"/>
  <c r="T278" i="19"/>
  <c r="T289" i="19"/>
  <c r="T265" i="19"/>
  <c r="T279" i="19"/>
  <c r="T290" i="19"/>
  <c r="T288" i="19"/>
  <c r="T291" i="19"/>
  <c r="T276" i="19"/>
  <c r="T277" i="19"/>
  <c r="T267" i="19"/>
  <c r="T266" i="19"/>
  <c r="T264" i="19"/>
  <c r="O295" i="19"/>
  <c r="O271" i="19"/>
  <c r="O283" i="19"/>
  <c r="I293" i="19"/>
  <c r="I269" i="19"/>
  <c r="I281" i="19"/>
  <c r="V295" i="19"/>
  <c r="V271" i="19"/>
  <c r="V283" i="19"/>
  <c r="P293" i="19"/>
  <c r="P269" i="19"/>
  <c r="P281" i="19"/>
  <c r="D259" i="19"/>
  <c r="O293" i="19"/>
  <c r="O281" i="19"/>
  <c r="O269" i="19"/>
  <c r="Y294" i="19"/>
  <c r="Y270" i="19"/>
  <c r="Y282" i="19"/>
  <c r="S293" i="19"/>
  <c r="S269" i="19"/>
  <c r="S281" i="19"/>
  <c r="V276" i="19"/>
  <c r="V279" i="19"/>
  <c r="V277" i="19"/>
  <c r="V288" i="19"/>
  <c r="V278" i="19"/>
  <c r="V291" i="19"/>
  <c r="V267" i="19"/>
  <c r="V290" i="19"/>
  <c r="V266" i="19"/>
  <c r="V264" i="19"/>
  <c r="V289" i="19"/>
  <c r="V265" i="19"/>
  <c r="I259" i="19"/>
  <c r="S389" i="19"/>
  <c r="S377" i="19"/>
  <c r="S401" i="19"/>
  <c r="E377" i="19"/>
  <c r="E401" i="19"/>
  <c r="E389" i="19"/>
  <c r="AB281" i="19"/>
  <c r="P184" i="19"/>
  <c r="P160" i="19"/>
  <c r="P172" i="19"/>
  <c r="O184" i="19"/>
  <c r="O160" i="19"/>
  <c r="O172" i="19"/>
  <c r="G294" i="19"/>
  <c r="Z280" i="19"/>
  <c r="Z292" i="19"/>
  <c r="Z268" i="19"/>
  <c r="X270" i="19"/>
  <c r="C172" i="19"/>
  <c r="C184" i="19"/>
  <c r="C160" i="19"/>
  <c r="P294" i="19"/>
  <c r="B174" i="19"/>
  <c r="B162" i="19"/>
  <c r="B186" i="19"/>
  <c r="AC186" i="19"/>
  <c r="AC162" i="19"/>
  <c r="AC174" i="19"/>
  <c r="N170" i="19"/>
  <c r="N181" i="19"/>
  <c r="N171" i="19"/>
  <c r="N183" i="19"/>
  <c r="N169" i="19"/>
  <c r="N159" i="19"/>
  <c r="N182" i="19"/>
  <c r="N156" i="19"/>
  <c r="N168" i="19"/>
  <c r="N180" i="19"/>
  <c r="N157" i="19"/>
  <c r="N158" i="19"/>
  <c r="D180" i="19"/>
  <c r="D156" i="19"/>
  <c r="D183" i="19"/>
  <c r="D170" i="19"/>
  <c r="D181" i="19"/>
  <c r="D157" i="19"/>
  <c r="D171" i="19"/>
  <c r="D169" i="19"/>
  <c r="D159" i="19"/>
  <c r="D168" i="19"/>
  <c r="D182" i="19"/>
  <c r="D158" i="19"/>
  <c r="F69" i="19"/>
  <c r="F81" i="19"/>
  <c r="F57" i="19"/>
  <c r="B65" i="19"/>
  <c r="B76" i="19"/>
  <c r="B52" i="19"/>
  <c r="B77" i="19"/>
  <c r="B53" i="19"/>
  <c r="B64" i="19"/>
  <c r="B50" i="19"/>
  <c r="B74" i="19"/>
  <c r="B51" i="19"/>
  <c r="B75" i="19"/>
  <c r="B63" i="19"/>
  <c r="B62" i="19"/>
  <c r="O67" i="19"/>
  <c r="O79" i="19"/>
  <c r="O55" i="19"/>
  <c r="N79" i="19"/>
  <c r="N55" i="19"/>
  <c r="N67" i="19"/>
  <c r="H77" i="19"/>
  <c r="H75" i="19"/>
  <c r="H51" i="19"/>
  <c r="H62" i="19"/>
  <c r="H63" i="19"/>
  <c r="H74" i="19"/>
  <c r="H53" i="19"/>
  <c r="H76" i="19"/>
  <c r="H52" i="19"/>
  <c r="H50" i="19"/>
  <c r="H65" i="19"/>
  <c r="H64" i="19"/>
  <c r="AA81" i="19"/>
  <c r="AA69" i="19"/>
  <c r="AA57" i="19"/>
  <c r="N78" i="19"/>
  <c r="N54" i="19"/>
  <c r="N66" i="19"/>
  <c r="O78" i="19"/>
  <c r="O54" i="19"/>
  <c r="O66" i="19"/>
  <c r="E68" i="19"/>
  <c r="AB65" i="19"/>
  <c r="AB50" i="19"/>
  <c r="P507" i="19"/>
  <c r="P483" i="19"/>
  <c r="P495" i="19"/>
  <c r="F404" i="19"/>
  <c r="F380" i="19"/>
  <c r="F392" i="19"/>
  <c r="S497" i="19"/>
  <c r="S509" i="19"/>
  <c r="S485" i="19"/>
  <c r="O474" i="19"/>
  <c r="AC497" i="19"/>
  <c r="AC509" i="19"/>
  <c r="AC485" i="19"/>
  <c r="G495" i="19"/>
  <c r="G507" i="19"/>
  <c r="G483" i="19"/>
  <c r="E502" i="19"/>
  <c r="E505" i="19"/>
  <c r="E492" i="19"/>
  <c r="E503" i="19"/>
  <c r="E493" i="19"/>
  <c r="E504" i="19"/>
  <c r="E491" i="19"/>
  <c r="E481" i="19"/>
  <c r="E479" i="19"/>
  <c r="E480" i="19"/>
  <c r="E490" i="19"/>
  <c r="E478" i="19"/>
  <c r="F506" i="19"/>
  <c r="F494" i="19"/>
  <c r="F482" i="19"/>
  <c r="Z482" i="19"/>
  <c r="Z506" i="19"/>
  <c r="Z494" i="19"/>
  <c r="C494" i="19"/>
  <c r="C506" i="19"/>
  <c r="C482" i="19"/>
  <c r="V506" i="19"/>
  <c r="V494" i="19"/>
  <c r="V482" i="19"/>
  <c r="B496" i="19"/>
  <c r="B508" i="19"/>
  <c r="B484" i="19"/>
  <c r="R493" i="19"/>
  <c r="K398" i="19"/>
  <c r="K386" i="19"/>
  <c r="K399" i="19"/>
  <c r="K387" i="19"/>
  <c r="K400" i="19"/>
  <c r="K388" i="19"/>
  <c r="K376" i="19"/>
  <c r="K385" i="19"/>
  <c r="K373" i="19"/>
  <c r="K397" i="19"/>
  <c r="K375" i="19"/>
  <c r="K374" i="19"/>
  <c r="I400" i="19"/>
  <c r="I398" i="19"/>
  <c r="I388" i="19"/>
  <c r="I386" i="19"/>
  <c r="I397" i="19"/>
  <c r="I387" i="19"/>
  <c r="I399" i="19"/>
  <c r="I374" i="19"/>
  <c r="I375" i="19"/>
  <c r="I373" i="19"/>
  <c r="I385" i="19"/>
  <c r="I376" i="19"/>
  <c r="L404" i="19"/>
  <c r="L392" i="19"/>
  <c r="L380" i="19"/>
  <c r="V399" i="19"/>
  <c r="V398" i="19"/>
  <c r="V387" i="19"/>
  <c r="V385" i="19"/>
  <c r="V388" i="19"/>
  <c r="V386" i="19"/>
  <c r="V397" i="19"/>
  <c r="V400" i="19"/>
  <c r="V375" i="19"/>
  <c r="V374" i="19"/>
  <c r="V373" i="19"/>
  <c r="V376" i="19"/>
  <c r="H283" i="19"/>
  <c r="H271" i="19"/>
  <c r="H295" i="19"/>
  <c r="L278" i="19"/>
  <c r="L289" i="19"/>
  <c r="L265" i="19"/>
  <c r="L279" i="19"/>
  <c r="L290" i="19"/>
  <c r="L288" i="19"/>
  <c r="L277" i="19"/>
  <c r="L267" i="19"/>
  <c r="L266" i="19"/>
  <c r="L264" i="19"/>
  <c r="L291" i="19"/>
  <c r="L276" i="19"/>
  <c r="G295" i="19"/>
  <c r="G271" i="19"/>
  <c r="G283" i="19"/>
  <c r="AA291" i="19"/>
  <c r="AA267" i="19"/>
  <c r="AA278" i="19"/>
  <c r="AA276" i="19"/>
  <c r="AA277" i="19"/>
  <c r="AA288" i="19"/>
  <c r="AA264" i="19"/>
  <c r="AA290" i="19"/>
  <c r="AA266" i="19"/>
  <c r="AA279" i="19"/>
  <c r="AA265" i="19"/>
  <c r="AA289" i="19"/>
  <c r="AA283" i="19"/>
  <c r="AA295" i="19"/>
  <c r="AA271" i="19"/>
  <c r="N295" i="19"/>
  <c r="N271" i="19"/>
  <c r="N283" i="19"/>
  <c r="H293" i="19"/>
  <c r="H269" i="19"/>
  <c r="H281" i="19"/>
  <c r="M295" i="19"/>
  <c r="M283" i="19"/>
  <c r="M271" i="19"/>
  <c r="G293" i="19"/>
  <c r="G281" i="19"/>
  <c r="G269" i="19"/>
  <c r="W282" i="19"/>
  <c r="W294" i="19"/>
  <c r="W270" i="19"/>
  <c r="M401" i="19"/>
  <c r="M377" i="19"/>
  <c r="M389" i="19"/>
  <c r="F276" i="19"/>
  <c r="F279" i="19"/>
  <c r="F277" i="19"/>
  <c r="F288" i="19"/>
  <c r="F278" i="19"/>
  <c r="F264" i="19"/>
  <c r="F290" i="19"/>
  <c r="F265" i="19"/>
  <c r="F291" i="19"/>
  <c r="F267" i="19"/>
  <c r="F289" i="19"/>
  <c r="F266" i="19"/>
  <c r="T293" i="19"/>
  <c r="H184" i="19"/>
  <c r="H160" i="19"/>
  <c r="H172" i="19"/>
  <c r="G184" i="19"/>
  <c r="G160" i="19"/>
  <c r="G172" i="19"/>
  <c r="G282" i="19"/>
  <c r="U184" i="19"/>
  <c r="U160" i="19"/>
  <c r="U172" i="19"/>
  <c r="P282" i="19"/>
  <c r="Y172" i="19"/>
  <c r="Y160" i="19"/>
  <c r="Y184" i="19"/>
  <c r="L172" i="19"/>
  <c r="L184" i="19"/>
  <c r="L160" i="19"/>
  <c r="AB173" i="19"/>
  <c r="AB161" i="19"/>
  <c r="AB185" i="19"/>
  <c r="R185" i="19"/>
  <c r="R161" i="19"/>
  <c r="R173" i="19"/>
  <c r="D186" i="19"/>
  <c r="D162" i="19"/>
  <c r="D174" i="19"/>
  <c r="F186" i="19"/>
  <c r="F162" i="19"/>
  <c r="F174" i="19"/>
  <c r="X151" i="19"/>
  <c r="V170" i="19"/>
  <c r="V181" i="19"/>
  <c r="V171" i="19"/>
  <c r="V182" i="19"/>
  <c r="V180" i="19"/>
  <c r="V158" i="19"/>
  <c r="V159" i="19"/>
  <c r="V169" i="19"/>
  <c r="V156" i="19"/>
  <c r="V183" i="19"/>
  <c r="V168" i="19"/>
  <c r="V157" i="19"/>
  <c r="L180" i="19"/>
  <c r="L156" i="19"/>
  <c r="L183" i="19"/>
  <c r="L170" i="19"/>
  <c r="L181" i="19"/>
  <c r="L157" i="19"/>
  <c r="L158" i="19"/>
  <c r="L159" i="19"/>
  <c r="L182" i="19"/>
  <c r="L171" i="19"/>
  <c r="L169" i="19"/>
  <c r="L168" i="19"/>
  <c r="P67" i="19"/>
  <c r="P79" i="19"/>
  <c r="P55" i="19"/>
  <c r="G67" i="19"/>
  <c r="G79" i="19"/>
  <c r="G55" i="19"/>
  <c r="T45" i="19"/>
  <c r="F79" i="19"/>
  <c r="F67" i="19"/>
  <c r="F55" i="19"/>
  <c r="T63" i="19"/>
  <c r="T74" i="19"/>
  <c r="T50" i="19"/>
  <c r="T75" i="19"/>
  <c r="T51" i="19"/>
  <c r="T62" i="19"/>
  <c r="T64" i="19"/>
  <c r="T65" i="19"/>
  <c r="T53" i="19"/>
  <c r="T77" i="19"/>
  <c r="T52" i="19"/>
  <c r="T76" i="19"/>
  <c r="S81" i="19"/>
  <c r="S69" i="19"/>
  <c r="S57" i="19"/>
  <c r="Q78" i="19"/>
  <c r="Q54" i="19"/>
  <c r="Q66" i="19"/>
  <c r="AC76" i="19"/>
  <c r="AC74" i="19"/>
  <c r="AC50" i="19"/>
  <c r="AC77" i="19"/>
  <c r="AC53" i="19"/>
  <c r="AC62" i="19"/>
  <c r="AC65" i="19"/>
  <c r="AC75" i="19"/>
  <c r="AC51" i="19"/>
  <c r="AC63" i="19"/>
  <c r="AC64" i="19"/>
  <c r="AC52" i="19"/>
  <c r="W57" i="19"/>
  <c r="W81" i="19"/>
  <c r="W69" i="19"/>
  <c r="N46" i="19"/>
  <c r="E80" i="19"/>
  <c r="AB64" i="19"/>
  <c r="AB74" i="19"/>
  <c r="V495" i="19"/>
  <c r="V507" i="19"/>
  <c r="V483" i="19"/>
  <c r="K496" i="19"/>
  <c r="K508" i="19"/>
  <c r="K484" i="19"/>
  <c r="I506" i="19"/>
  <c r="I494" i="19"/>
  <c r="I482" i="19"/>
  <c r="G508" i="19"/>
  <c r="G496" i="19"/>
  <c r="G484" i="19"/>
  <c r="L402" i="19"/>
  <c r="L390" i="19"/>
  <c r="L378" i="19"/>
  <c r="S291" i="19"/>
  <c r="S267" i="19"/>
  <c r="S278" i="19"/>
  <c r="S276" i="19"/>
  <c r="S277" i="19"/>
  <c r="S289" i="19"/>
  <c r="S265" i="19"/>
  <c r="S288" i="19"/>
  <c r="S279" i="19"/>
  <c r="S266" i="19"/>
  <c r="S264" i="19"/>
  <c r="S290" i="19"/>
  <c r="B280" i="19"/>
  <c r="B292" i="19"/>
  <c r="B268" i="19"/>
  <c r="M184" i="19"/>
  <c r="M160" i="19"/>
  <c r="M172" i="19"/>
  <c r="Z172" i="19"/>
  <c r="Z184" i="19"/>
  <c r="Z160" i="19"/>
  <c r="Q172" i="19"/>
  <c r="Q184" i="19"/>
  <c r="Q160" i="19"/>
  <c r="Z174" i="19"/>
  <c r="Z162" i="19"/>
  <c r="Z186" i="19"/>
  <c r="E173" i="19"/>
  <c r="E161" i="19"/>
  <c r="E185" i="19"/>
  <c r="P185" i="19"/>
  <c r="P161" i="19"/>
  <c r="P173" i="19"/>
  <c r="Z185" i="19"/>
  <c r="Z161" i="19"/>
  <c r="Z173" i="19"/>
  <c r="I174" i="19"/>
  <c r="I186" i="19"/>
  <c r="I162" i="19"/>
  <c r="L186" i="19"/>
  <c r="L174" i="19"/>
  <c r="L162" i="19"/>
  <c r="N186" i="19"/>
  <c r="N162" i="19"/>
  <c r="N174" i="19"/>
  <c r="R175" i="19"/>
  <c r="R187" i="19"/>
  <c r="R163" i="19"/>
  <c r="T175" i="19"/>
  <c r="T187" i="19"/>
  <c r="T163" i="19"/>
  <c r="H187" i="19"/>
  <c r="H163" i="19"/>
  <c r="H175" i="19"/>
  <c r="O173" i="19"/>
  <c r="O185" i="19"/>
  <c r="O161" i="19"/>
  <c r="G181" i="19"/>
  <c r="G157" i="19"/>
  <c r="G168" i="19"/>
  <c r="G171" i="19"/>
  <c r="G182" i="19"/>
  <c r="G158" i="19"/>
  <c r="G180" i="19"/>
  <c r="G156" i="19"/>
  <c r="G183" i="19"/>
  <c r="G170" i="19"/>
  <c r="G169" i="19"/>
  <c r="G159" i="19"/>
  <c r="R182" i="19"/>
  <c r="R158" i="19"/>
  <c r="R169" i="19"/>
  <c r="R180" i="19"/>
  <c r="R183" i="19"/>
  <c r="R159" i="19"/>
  <c r="R181" i="19"/>
  <c r="R156" i="19"/>
  <c r="R171" i="19"/>
  <c r="R168" i="19"/>
  <c r="R157" i="19"/>
  <c r="R170" i="19"/>
  <c r="T180" i="19"/>
  <c r="T156" i="19"/>
  <c r="T183" i="19"/>
  <c r="T170" i="19"/>
  <c r="T181" i="19"/>
  <c r="T157" i="19"/>
  <c r="T171" i="19"/>
  <c r="T168" i="19"/>
  <c r="T182" i="19"/>
  <c r="T158" i="19"/>
  <c r="T159" i="19"/>
  <c r="T169" i="19"/>
  <c r="G173" i="19"/>
  <c r="G161" i="19"/>
  <c r="G185" i="19"/>
  <c r="H67" i="19"/>
  <c r="H79" i="19"/>
  <c r="H55" i="19"/>
  <c r="AB66" i="19"/>
  <c r="AB78" i="19"/>
  <c r="AB54" i="19"/>
  <c r="AA78" i="19"/>
  <c r="AA54" i="19"/>
  <c r="AA66" i="19"/>
  <c r="L63" i="19"/>
  <c r="L74" i="19"/>
  <c r="L50" i="19"/>
  <c r="L75" i="19"/>
  <c r="L62" i="19"/>
  <c r="L76" i="19"/>
  <c r="L52" i="19"/>
  <c r="L64" i="19"/>
  <c r="L51" i="19"/>
  <c r="L65" i="19"/>
  <c r="L53" i="19"/>
  <c r="L77" i="19"/>
  <c r="K81" i="19"/>
  <c r="K69" i="19"/>
  <c r="K57" i="19"/>
  <c r="J66" i="19"/>
  <c r="J78" i="19"/>
  <c r="J54" i="19"/>
  <c r="I78" i="19"/>
  <c r="I54" i="19"/>
  <c r="I66" i="19"/>
  <c r="AA79" i="19"/>
  <c r="AA55" i="19"/>
  <c r="AA67" i="19"/>
  <c r="U76" i="19"/>
  <c r="U74" i="19"/>
  <c r="U50" i="19"/>
  <c r="U77" i="19"/>
  <c r="U53" i="19"/>
  <c r="U62" i="19"/>
  <c r="U65" i="19"/>
  <c r="U75" i="19"/>
  <c r="U52" i="19"/>
  <c r="U64" i="19"/>
  <c r="U63" i="19"/>
  <c r="U51" i="19"/>
  <c r="O69" i="19"/>
  <c r="O81" i="19"/>
  <c r="O57" i="19"/>
  <c r="AA76" i="19"/>
  <c r="AA52" i="19"/>
  <c r="AA63" i="19"/>
  <c r="AA64" i="19"/>
  <c r="AA75" i="19"/>
  <c r="AA77" i="19"/>
  <c r="AA62" i="19"/>
  <c r="AA51" i="19"/>
  <c r="AA74" i="19"/>
  <c r="AA65" i="19"/>
  <c r="AA53" i="19"/>
  <c r="AA50" i="19"/>
  <c r="AB79" i="19"/>
  <c r="AB55" i="19"/>
  <c r="AB67" i="19"/>
  <c r="AC68" i="19"/>
  <c r="AC56" i="19"/>
  <c r="AC80" i="19"/>
  <c r="AB76" i="19"/>
  <c r="AB63" i="19"/>
  <c r="J509" i="19"/>
  <c r="J497" i="19"/>
  <c r="J485" i="19"/>
  <c r="W503" i="19"/>
  <c r="W490" i="19"/>
  <c r="W504" i="19"/>
  <c r="W502" i="19"/>
  <c r="W479" i="19"/>
  <c r="W505" i="19"/>
  <c r="W480" i="19"/>
  <c r="W491" i="19"/>
  <c r="W492" i="19"/>
  <c r="W478" i="19"/>
  <c r="W481" i="19"/>
  <c r="W493" i="19"/>
  <c r="K494" i="19"/>
  <c r="K506" i="19"/>
  <c r="K482" i="19"/>
  <c r="N508" i="19"/>
  <c r="N496" i="19"/>
  <c r="N484" i="19"/>
  <c r="F295" i="19"/>
  <c r="F271" i="19"/>
  <c r="F283" i="19"/>
  <c r="Z288" i="19"/>
  <c r="Z264" i="19"/>
  <c r="Z291" i="19"/>
  <c r="Z267" i="19"/>
  <c r="Z289" i="19"/>
  <c r="Z290" i="19"/>
  <c r="Z266" i="19"/>
  <c r="Z277" i="19"/>
  <c r="Z278" i="19"/>
  <c r="Z279" i="19"/>
  <c r="Z265" i="19"/>
  <c r="Z276" i="19"/>
  <c r="Q295" i="19"/>
  <c r="Q271" i="19"/>
  <c r="Q283" i="19"/>
  <c r="W389" i="19"/>
  <c r="W401" i="19"/>
  <c r="W377" i="19"/>
  <c r="AC282" i="19"/>
  <c r="AC294" i="19"/>
  <c r="AC270" i="19"/>
  <c r="T292" i="19"/>
  <c r="T280" i="19"/>
  <c r="T268" i="19"/>
  <c r="AA497" i="19"/>
  <c r="AA485" i="19"/>
  <c r="AA509" i="19"/>
  <c r="T497" i="19"/>
  <c r="T509" i="19"/>
  <c r="T485" i="19"/>
  <c r="Y509" i="19"/>
  <c r="Y497" i="19"/>
  <c r="Y485" i="19"/>
  <c r="E495" i="19"/>
  <c r="E507" i="19"/>
  <c r="E483" i="19"/>
  <c r="AA507" i="19"/>
  <c r="AA495" i="19"/>
  <c r="AA483" i="19"/>
  <c r="Q507" i="19"/>
  <c r="Q483" i="19"/>
  <c r="Q495" i="19"/>
  <c r="S504" i="19"/>
  <c r="S502" i="19"/>
  <c r="S505" i="19"/>
  <c r="S492" i="19"/>
  <c r="S503" i="19"/>
  <c r="S490" i="19"/>
  <c r="S493" i="19"/>
  <c r="S478" i="19"/>
  <c r="S481" i="19"/>
  <c r="S479" i="19"/>
  <c r="S491" i="19"/>
  <c r="S480" i="19"/>
  <c r="U502" i="19"/>
  <c r="U505" i="19"/>
  <c r="U492" i="19"/>
  <c r="U503" i="19"/>
  <c r="U493" i="19"/>
  <c r="U504" i="19"/>
  <c r="U481" i="19"/>
  <c r="U490" i="19"/>
  <c r="U479" i="19"/>
  <c r="U491" i="19"/>
  <c r="U480" i="19"/>
  <c r="U478" i="19"/>
  <c r="H503" i="19"/>
  <c r="H493" i="19"/>
  <c r="H504" i="19"/>
  <c r="H502" i="19"/>
  <c r="H505" i="19"/>
  <c r="H480" i="19"/>
  <c r="H492" i="19"/>
  <c r="H490" i="19"/>
  <c r="H478" i="19"/>
  <c r="H481" i="19"/>
  <c r="H491" i="19"/>
  <c r="H479" i="19"/>
  <c r="X506" i="19"/>
  <c r="X494" i="19"/>
  <c r="X482" i="19"/>
  <c r="R494" i="19"/>
  <c r="R482" i="19"/>
  <c r="R506" i="19"/>
  <c r="T506" i="19"/>
  <c r="T494" i="19"/>
  <c r="T482" i="19"/>
  <c r="R503" i="19"/>
  <c r="U391" i="19"/>
  <c r="U403" i="19"/>
  <c r="U379" i="19"/>
  <c r="AB390" i="19"/>
  <c r="AB402" i="19"/>
  <c r="AB378" i="19"/>
  <c r="D399" i="19"/>
  <c r="D397" i="19"/>
  <c r="D373" i="19"/>
  <c r="D400" i="19"/>
  <c r="D387" i="19"/>
  <c r="D388" i="19"/>
  <c r="D398" i="19"/>
  <c r="D385" i="19"/>
  <c r="D375" i="19"/>
  <c r="D374" i="19"/>
  <c r="D386" i="19"/>
  <c r="D376" i="19"/>
  <c r="M282" i="19"/>
  <c r="M270" i="19"/>
  <c r="M294" i="19"/>
  <c r="Z402" i="19"/>
  <c r="T294" i="19"/>
  <c r="T270" i="19"/>
  <c r="T282" i="19"/>
  <c r="K291" i="19"/>
  <c r="K267" i="19"/>
  <c r="K278" i="19"/>
  <c r="K276" i="19"/>
  <c r="K277" i="19"/>
  <c r="K290" i="19"/>
  <c r="K289" i="19"/>
  <c r="K279" i="19"/>
  <c r="K266" i="19"/>
  <c r="K264" i="19"/>
  <c r="K288" i="19"/>
  <c r="K265" i="19"/>
  <c r="AA294" i="19"/>
  <c r="AA270" i="19"/>
  <c r="AA282" i="19"/>
  <c r="R288" i="19"/>
  <c r="R264" i="19"/>
  <c r="R291" i="19"/>
  <c r="R267" i="19"/>
  <c r="R289" i="19"/>
  <c r="R290" i="19"/>
  <c r="R266" i="19"/>
  <c r="R279" i="19"/>
  <c r="R265" i="19"/>
  <c r="R276" i="19"/>
  <c r="R278" i="19"/>
  <c r="R277" i="19"/>
  <c r="Z294" i="19"/>
  <c r="Z282" i="19"/>
  <c r="Z270" i="19"/>
  <c r="Q277" i="19"/>
  <c r="Q288" i="19"/>
  <c r="Q264" i="19"/>
  <c r="Q278" i="19"/>
  <c r="Q289" i="19"/>
  <c r="Q279" i="19"/>
  <c r="Q266" i="19"/>
  <c r="Q265" i="19"/>
  <c r="Q291" i="19"/>
  <c r="Q276" i="19"/>
  <c r="Q267" i="19"/>
  <c r="Q290" i="19"/>
  <c r="V293" i="19"/>
  <c r="V281" i="19"/>
  <c r="V269" i="19"/>
  <c r="AC289" i="19"/>
  <c r="AC265" i="19"/>
  <c r="AC276" i="19"/>
  <c r="AC290" i="19"/>
  <c r="AC291" i="19"/>
  <c r="AC267" i="19"/>
  <c r="AC266" i="19"/>
  <c r="AC278" i="19"/>
  <c r="AC279" i="19"/>
  <c r="AC288" i="19"/>
  <c r="AC277" i="19"/>
  <c r="AC264" i="19"/>
  <c r="M281" i="19"/>
  <c r="M293" i="19"/>
  <c r="M269" i="19"/>
  <c r="K401" i="19"/>
  <c r="K389" i="19"/>
  <c r="K377" i="19"/>
  <c r="AC401" i="19"/>
  <c r="AC389" i="19"/>
  <c r="AC377" i="19"/>
  <c r="B283" i="19"/>
  <c r="B271" i="19"/>
  <c r="B295" i="19"/>
  <c r="O294" i="19"/>
  <c r="I280" i="19"/>
  <c r="I268" i="19"/>
  <c r="I292" i="19"/>
  <c r="E184" i="19"/>
  <c r="E160" i="19"/>
  <c r="E172" i="19"/>
  <c r="R172" i="19"/>
  <c r="R184" i="19"/>
  <c r="R160" i="19"/>
  <c r="I172" i="19"/>
  <c r="I184" i="19"/>
  <c r="I160" i="19"/>
  <c r="M173" i="19"/>
  <c r="M185" i="19"/>
  <c r="M161" i="19"/>
  <c r="C185" i="19"/>
  <c r="C161" i="19"/>
  <c r="C173" i="19"/>
  <c r="U175" i="19"/>
  <c r="U187" i="19"/>
  <c r="U163" i="19"/>
  <c r="Q174" i="19"/>
  <c r="Q186" i="19"/>
  <c r="Q162" i="19"/>
  <c r="T186" i="19"/>
  <c r="T174" i="19"/>
  <c r="T162" i="19"/>
  <c r="Y171" i="19"/>
  <c r="Y182" i="19"/>
  <c r="Y180" i="19"/>
  <c r="Y156" i="19"/>
  <c r="Y159" i="19"/>
  <c r="Y181" i="19"/>
  <c r="Y169" i="19"/>
  <c r="Y183" i="19"/>
  <c r="Y170" i="19"/>
  <c r="Y157" i="19"/>
  <c r="Y168" i="19"/>
  <c r="Y158" i="19"/>
  <c r="O181" i="19"/>
  <c r="O157" i="19"/>
  <c r="O168" i="19"/>
  <c r="O171" i="19"/>
  <c r="O182" i="19"/>
  <c r="O158" i="19"/>
  <c r="O183" i="19"/>
  <c r="O169" i="19"/>
  <c r="O159" i="19"/>
  <c r="O170" i="19"/>
  <c r="O156" i="19"/>
  <c r="O180" i="19"/>
  <c r="U66" i="19"/>
  <c r="U78" i="19"/>
  <c r="U54" i="19"/>
  <c r="AB81" i="19"/>
  <c r="AB69" i="19"/>
  <c r="AB57" i="19"/>
  <c r="S78" i="19"/>
  <c r="S54" i="19"/>
  <c r="S66" i="19"/>
  <c r="D63" i="19"/>
  <c r="D74" i="19"/>
  <c r="D50" i="19"/>
  <c r="D75" i="19"/>
  <c r="D62" i="19"/>
  <c r="D64" i="19"/>
  <c r="D77" i="19"/>
  <c r="D65" i="19"/>
  <c r="D51" i="19"/>
  <c r="D53" i="19"/>
  <c r="D52" i="19"/>
  <c r="D76" i="19"/>
  <c r="C69" i="19"/>
  <c r="C57" i="19"/>
  <c r="C81" i="19"/>
  <c r="B66" i="19"/>
  <c r="B54" i="19"/>
  <c r="B78" i="19"/>
  <c r="Z65" i="19"/>
  <c r="Z76" i="19"/>
  <c r="Z52" i="19"/>
  <c r="Z77" i="19"/>
  <c r="Z53" i="19"/>
  <c r="Z64" i="19"/>
  <c r="Z74" i="19"/>
  <c r="Z75" i="19"/>
  <c r="Z62" i="19"/>
  <c r="Z63" i="19"/>
  <c r="Z51" i="19"/>
  <c r="Z50" i="19"/>
  <c r="AB52" i="19"/>
  <c r="I507" i="19"/>
  <c r="I495" i="19"/>
  <c r="I483" i="19"/>
  <c r="AC391" i="19"/>
  <c r="AC403" i="19"/>
  <c r="AC379" i="19"/>
  <c r="U282" i="19"/>
  <c r="U294" i="19"/>
  <c r="U270" i="19"/>
  <c r="E295" i="19"/>
  <c r="E283" i="19"/>
  <c r="E271" i="19"/>
  <c r="I294" i="19"/>
  <c r="I282" i="19"/>
  <c r="I270" i="19"/>
  <c r="C293" i="19"/>
  <c r="C269" i="19"/>
  <c r="C281" i="19"/>
  <c r="E281" i="19"/>
  <c r="E293" i="19"/>
  <c r="E269" i="19"/>
  <c r="AA401" i="19"/>
  <c r="AA377" i="19"/>
  <c r="AA389" i="19"/>
  <c r="U401" i="19"/>
  <c r="U389" i="19"/>
  <c r="U377" i="19"/>
  <c r="P292" i="19"/>
  <c r="P268" i="19"/>
  <c r="P280" i="19"/>
  <c r="J504" i="19"/>
  <c r="J491" i="19"/>
  <c r="J502" i="19"/>
  <c r="J505" i="19"/>
  <c r="J492" i="19"/>
  <c r="J503" i="19"/>
  <c r="J480" i="19"/>
  <c r="J490" i="19"/>
  <c r="J478" i="19"/>
  <c r="J481" i="19"/>
  <c r="J493" i="19"/>
  <c r="J479" i="19"/>
  <c r="F497" i="19"/>
  <c r="F509" i="19"/>
  <c r="F485" i="19"/>
  <c r="N495" i="19"/>
  <c r="N507" i="19"/>
  <c r="N483" i="19"/>
  <c r="H507" i="19"/>
  <c r="H495" i="19"/>
  <c r="H483" i="19"/>
  <c r="Y507" i="19"/>
  <c r="Y495" i="19"/>
  <c r="Y483" i="19"/>
  <c r="AA504" i="19"/>
  <c r="AA502" i="19"/>
  <c r="AA505" i="19"/>
  <c r="AA492" i="19"/>
  <c r="AA503" i="19"/>
  <c r="AA490" i="19"/>
  <c r="AA478" i="19"/>
  <c r="AA491" i="19"/>
  <c r="AA481" i="19"/>
  <c r="AA493" i="19"/>
  <c r="AA479" i="19"/>
  <c r="AA480" i="19"/>
  <c r="G506" i="19"/>
  <c r="G494" i="19"/>
  <c r="G482" i="19"/>
  <c r="AC506" i="19"/>
  <c r="AC482" i="19"/>
  <c r="AC494" i="19"/>
  <c r="C508" i="19"/>
  <c r="C484" i="19"/>
  <c r="C496" i="19"/>
  <c r="Z504" i="19"/>
  <c r="Z491" i="19"/>
  <c r="Z502" i="19"/>
  <c r="Z505" i="19"/>
  <c r="Z492" i="19"/>
  <c r="Z503" i="19"/>
  <c r="Z480" i="19"/>
  <c r="Z478" i="19"/>
  <c r="Z481" i="19"/>
  <c r="Z493" i="19"/>
  <c r="Z479" i="19"/>
  <c r="Z490" i="19"/>
  <c r="B507" i="19"/>
  <c r="B495" i="19"/>
  <c r="B483" i="19"/>
  <c r="R492" i="19"/>
  <c r="K404" i="19"/>
  <c r="K392" i="19"/>
  <c r="K380" i="19"/>
  <c r="J402" i="19"/>
  <c r="J390" i="19"/>
  <c r="J378" i="19"/>
  <c r="D390" i="19"/>
  <c r="D402" i="19"/>
  <c r="D378" i="19"/>
  <c r="AC397" i="19"/>
  <c r="AC376" i="19"/>
  <c r="AC398" i="19"/>
  <c r="AC385" i="19"/>
  <c r="AC399" i="19"/>
  <c r="AC386" i="19"/>
  <c r="AC388" i="19"/>
  <c r="AC373" i="19"/>
  <c r="AC375" i="19"/>
  <c r="AC387" i="19"/>
  <c r="AC400" i="19"/>
  <c r="AC374" i="19"/>
  <c r="L399" i="19"/>
  <c r="L398" i="19"/>
  <c r="L397" i="19"/>
  <c r="L373" i="19"/>
  <c r="L387" i="19"/>
  <c r="L388" i="19"/>
  <c r="L385" i="19"/>
  <c r="L375" i="19"/>
  <c r="L400" i="19"/>
  <c r="L386" i="19"/>
  <c r="L376" i="19"/>
  <c r="L374" i="19"/>
  <c r="L294" i="19"/>
  <c r="L270" i="19"/>
  <c r="L282" i="19"/>
  <c r="C291" i="19"/>
  <c r="C267" i="19"/>
  <c r="C278" i="19"/>
  <c r="C276" i="19"/>
  <c r="C277" i="19"/>
  <c r="C288" i="19"/>
  <c r="C266" i="19"/>
  <c r="C290" i="19"/>
  <c r="C264" i="19"/>
  <c r="C265" i="19"/>
  <c r="C279" i="19"/>
  <c r="C289" i="19"/>
  <c r="J288" i="19"/>
  <c r="J264" i="19"/>
  <c r="J291" i="19"/>
  <c r="J267" i="19"/>
  <c r="J289" i="19"/>
  <c r="J290" i="19"/>
  <c r="J266" i="19"/>
  <c r="J277" i="19"/>
  <c r="J278" i="19"/>
  <c r="J279" i="19"/>
  <c r="J276" i="19"/>
  <c r="J265" i="19"/>
  <c r="R294" i="19"/>
  <c r="R282" i="19"/>
  <c r="R270" i="19"/>
  <c r="I277" i="19"/>
  <c r="I288" i="19"/>
  <c r="I264" i="19"/>
  <c r="I278" i="19"/>
  <c r="I289" i="19"/>
  <c r="I279" i="19"/>
  <c r="I276" i="19"/>
  <c r="I265" i="19"/>
  <c r="I290" i="19"/>
  <c r="I267" i="19"/>
  <c r="I291" i="19"/>
  <c r="I266" i="19"/>
  <c r="AB295" i="19"/>
  <c r="AB271" i="19"/>
  <c r="AB283" i="19"/>
  <c r="N293" i="19"/>
  <c r="N269" i="19"/>
  <c r="N281" i="19"/>
  <c r="V294" i="19"/>
  <c r="V270" i="19"/>
  <c r="V282" i="19"/>
  <c r="U289" i="19"/>
  <c r="U265" i="19"/>
  <c r="U276" i="19"/>
  <c r="U290" i="19"/>
  <c r="U291" i="19"/>
  <c r="U267" i="19"/>
  <c r="U288" i="19"/>
  <c r="U277" i="19"/>
  <c r="U278" i="19"/>
  <c r="U266" i="19"/>
  <c r="U279" i="19"/>
  <c r="U264" i="19"/>
  <c r="U281" i="19"/>
  <c r="U293" i="19"/>
  <c r="U269" i="19"/>
  <c r="U260" i="19"/>
  <c r="O270" i="19"/>
  <c r="J280" i="19"/>
  <c r="J292" i="19"/>
  <c r="J268" i="19"/>
  <c r="E292" i="19"/>
  <c r="E268" i="19"/>
  <c r="E280" i="19"/>
  <c r="V184" i="19"/>
  <c r="V172" i="19"/>
  <c r="V160" i="19"/>
  <c r="J172" i="19"/>
  <c r="J160" i="19"/>
  <c r="J184" i="19"/>
  <c r="Y174" i="19"/>
  <c r="Y186" i="19"/>
  <c r="Y162" i="19"/>
  <c r="AB186" i="19"/>
  <c r="AB174" i="19"/>
  <c r="AB162" i="19"/>
  <c r="W181" i="19"/>
  <c r="W157" i="19"/>
  <c r="W168" i="19"/>
  <c r="W171" i="19"/>
  <c r="W182" i="19"/>
  <c r="W158" i="19"/>
  <c r="W180" i="19"/>
  <c r="W159" i="19"/>
  <c r="W169" i="19"/>
  <c r="W156" i="19"/>
  <c r="W183" i="19"/>
  <c r="W170" i="19"/>
  <c r="C169" i="19"/>
  <c r="C180" i="19"/>
  <c r="C183" i="19"/>
  <c r="C170" i="19"/>
  <c r="C182" i="19"/>
  <c r="C158" i="19"/>
  <c r="C171" i="19"/>
  <c r="C159" i="19"/>
  <c r="C181" i="19"/>
  <c r="C168" i="19"/>
  <c r="C156" i="19"/>
  <c r="C157" i="19"/>
  <c r="E183" i="19"/>
  <c r="E159" i="19"/>
  <c r="E170" i="19"/>
  <c r="E181" i="19"/>
  <c r="E168" i="19"/>
  <c r="E182" i="19"/>
  <c r="E169" i="19"/>
  <c r="E180" i="19"/>
  <c r="E156" i="19"/>
  <c r="E157" i="19"/>
  <c r="E158" i="19"/>
  <c r="E171" i="19"/>
  <c r="U69" i="19"/>
  <c r="U81" i="19"/>
  <c r="U57" i="19"/>
  <c r="L66" i="19"/>
  <c r="L78" i="19"/>
  <c r="L54" i="19"/>
  <c r="T81" i="19"/>
  <c r="T57" i="19"/>
  <c r="T69" i="19"/>
  <c r="K78" i="19"/>
  <c r="K66" i="19"/>
  <c r="K54" i="19"/>
  <c r="X81" i="19"/>
  <c r="X69" i="19"/>
  <c r="X57" i="19"/>
  <c r="AC67" i="19"/>
  <c r="AC79" i="19"/>
  <c r="AC55" i="19"/>
  <c r="W64" i="19"/>
  <c r="W75" i="19"/>
  <c r="W51" i="19"/>
  <c r="W76" i="19"/>
  <c r="W52" i="19"/>
  <c r="W63" i="19"/>
  <c r="W65" i="19"/>
  <c r="W74" i="19"/>
  <c r="W53" i="19"/>
  <c r="W77" i="19"/>
  <c r="W50" i="19"/>
  <c r="W62" i="19"/>
  <c r="Z81" i="19"/>
  <c r="Z57" i="19"/>
  <c r="Z69" i="19"/>
  <c r="K68" i="19"/>
  <c r="K80" i="19"/>
  <c r="K56" i="19"/>
  <c r="AC66" i="19"/>
  <c r="AC78" i="19"/>
  <c r="AC54" i="19"/>
  <c r="G78" i="19"/>
  <c r="AB77" i="19"/>
  <c r="T507" i="19"/>
  <c r="T495" i="19"/>
  <c r="T483" i="19"/>
  <c r="V508" i="19"/>
  <c r="V496" i="19"/>
  <c r="V484" i="19"/>
  <c r="Z509" i="19"/>
  <c r="Z497" i="19"/>
  <c r="Z485" i="19"/>
  <c r="V379" i="19"/>
  <c r="V403" i="19"/>
  <c r="V391" i="19"/>
  <c r="X397" i="19"/>
  <c r="X385" i="19"/>
  <c r="X400" i="19"/>
  <c r="X386" i="19"/>
  <c r="X398" i="19"/>
  <c r="X387" i="19"/>
  <c r="X399" i="19"/>
  <c r="X374" i="19"/>
  <c r="X388" i="19"/>
  <c r="X373" i="19"/>
  <c r="X376" i="19"/>
  <c r="X375" i="19"/>
  <c r="C401" i="19"/>
  <c r="C389" i="19"/>
  <c r="C377" i="19"/>
  <c r="V292" i="19"/>
  <c r="V268" i="19"/>
  <c r="V280" i="19"/>
  <c r="U497" i="19"/>
  <c r="U509" i="19"/>
  <c r="U485" i="19"/>
  <c r="O509" i="19"/>
  <c r="O485" i="19"/>
  <c r="O497" i="19"/>
  <c r="C507" i="19"/>
  <c r="C495" i="19"/>
  <c r="C483" i="19"/>
  <c r="W495" i="19"/>
  <c r="W507" i="19"/>
  <c r="W483" i="19"/>
  <c r="R507" i="19"/>
  <c r="R483" i="19"/>
  <c r="R495" i="19"/>
  <c r="D502" i="19"/>
  <c r="D505" i="19"/>
  <c r="D503" i="19"/>
  <c r="D493" i="19"/>
  <c r="D504" i="19"/>
  <c r="D491" i="19"/>
  <c r="D481" i="19"/>
  <c r="D479" i="19"/>
  <c r="D492" i="19"/>
  <c r="D490" i="19"/>
  <c r="D480" i="19"/>
  <c r="D478" i="19"/>
  <c r="F505" i="19"/>
  <c r="F503" i="19"/>
  <c r="F493" i="19"/>
  <c r="F504" i="19"/>
  <c r="F491" i="19"/>
  <c r="F479" i="19"/>
  <c r="F480" i="19"/>
  <c r="F490" i="19"/>
  <c r="F492" i="19"/>
  <c r="F502" i="19"/>
  <c r="F478" i="19"/>
  <c r="F481" i="19"/>
  <c r="X503" i="19"/>
  <c r="X493" i="19"/>
  <c r="X504" i="19"/>
  <c r="X491" i="19"/>
  <c r="X502" i="19"/>
  <c r="X505" i="19"/>
  <c r="X490" i="19"/>
  <c r="X480" i="19"/>
  <c r="X492" i="19"/>
  <c r="X478" i="19"/>
  <c r="X481" i="19"/>
  <c r="X479" i="19"/>
  <c r="P506" i="19"/>
  <c r="P494" i="19"/>
  <c r="P482" i="19"/>
  <c r="B506" i="19"/>
  <c r="B494" i="19"/>
  <c r="B482" i="19"/>
  <c r="D506" i="19"/>
  <c r="D494" i="19"/>
  <c r="D482" i="19"/>
  <c r="O508" i="19"/>
  <c r="O496" i="19"/>
  <c r="O484" i="19"/>
  <c r="H496" i="19"/>
  <c r="H508" i="19"/>
  <c r="H484" i="19"/>
  <c r="R479" i="19"/>
  <c r="R505" i="19"/>
  <c r="X369" i="19"/>
  <c r="T403" i="19"/>
  <c r="T391" i="19"/>
  <c r="T379" i="19"/>
  <c r="C403" i="19"/>
  <c r="C391" i="19"/>
  <c r="C379" i="19"/>
  <c r="D404" i="19"/>
  <c r="D380" i="19"/>
  <c r="D392" i="19"/>
  <c r="M404" i="19"/>
  <c r="M392" i="19"/>
  <c r="M380" i="19"/>
  <c r="X402" i="19"/>
  <c r="X390" i="19"/>
  <c r="X378" i="19"/>
  <c r="T399" i="19"/>
  <c r="T397" i="19"/>
  <c r="T373" i="19"/>
  <c r="T398" i="19"/>
  <c r="T387" i="19"/>
  <c r="T388" i="19"/>
  <c r="T400" i="19"/>
  <c r="T386" i="19"/>
  <c r="T376" i="19"/>
  <c r="T385" i="19"/>
  <c r="T374" i="19"/>
  <c r="T375" i="19"/>
  <c r="R281" i="19"/>
  <c r="R269" i="19"/>
  <c r="R293" i="19"/>
  <c r="D294" i="19"/>
  <c r="D270" i="19"/>
  <c r="D282" i="19"/>
  <c r="K294" i="19"/>
  <c r="K270" i="19"/>
  <c r="K282" i="19"/>
  <c r="B288" i="19"/>
  <c r="B291" i="19"/>
  <c r="B267" i="19"/>
  <c r="B289" i="19"/>
  <c r="B290" i="19"/>
  <c r="B266" i="19"/>
  <c r="B279" i="19"/>
  <c r="B276" i="19"/>
  <c r="B264" i="19"/>
  <c r="B278" i="19"/>
  <c r="B265" i="19"/>
  <c r="B277" i="19"/>
  <c r="J294" i="19"/>
  <c r="J282" i="19"/>
  <c r="J270" i="19"/>
  <c r="N294" i="19"/>
  <c r="N270" i="19"/>
  <c r="N282" i="19"/>
  <c r="M289" i="19"/>
  <c r="M265" i="19"/>
  <c r="M276" i="19"/>
  <c r="M290" i="19"/>
  <c r="M291" i="19"/>
  <c r="M267" i="19"/>
  <c r="M278" i="19"/>
  <c r="M279" i="19"/>
  <c r="M266" i="19"/>
  <c r="M264" i="19"/>
  <c r="M277" i="19"/>
  <c r="M288" i="19"/>
  <c r="AC281" i="19"/>
  <c r="AC293" i="19"/>
  <c r="AC269" i="19"/>
  <c r="N276" i="19"/>
  <c r="N279" i="19"/>
  <c r="N277" i="19"/>
  <c r="N288" i="19"/>
  <c r="N278" i="19"/>
  <c r="N267" i="19"/>
  <c r="N266" i="19"/>
  <c r="N289" i="19"/>
  <c r="N264" i="19"/>
  <c r="N291" i="19"/>
  <c r="N290" i="19"/>
  <c r="N265" i="19"/>
  <c r="H270" i="19"/>
  <c r="Z401" i="19"/>
  <c r="Z389" i="19"/>
  <c r="Z377" i="19"/>
  <c r="X377" i="19"/>
  <c r="X401" i="19"/>
  <c r="X389" i="19"/>
  <c r="Q280" i="19"/>
  <c r="Q292" i="19"/>
  <c r="Q268" i="19"/>
  <c r="M292" i="19"/>
  <c r="M268" i="19"/>
  <c r="M280" i="19"/>
  <c r="N184" i="19"/>
  <c r="N172" i="19"/>
  <c r="N160" i="19"/>
  <c r="J283" i="19"/>
  <c r="J271" i="19"/>
  <c r="J295" i="19"/>
  <c r="AA172" i="19"/>
  <c r="AA184" i="19"/>
  <c r="AA160" i="19"/>
  <c r="B172" i="19"/>
  <c r="B184" i="19"/>
  <c r="B160" i="19"/>
  <c r="I171" i="19"/>
  <c r="I182" i="19"/>
  <c r="I180" i="19"/>
  <c r="I156" i="19"/>
  <c r="I168" i="19"/>
  <c r="I181" i="19"/>
  <c r="I157" i="19"/>
  <c r="I183" i="19"/>
  <c r="I158" i="19"/>
  <c r="I170" i="19"/>
  <c r="I169" i="19"/>
  <c r="I159" i="19"/>
  <c r="R174" i="19"/>
  <c r="R186" i="19"/>
  <c r="R162" i="19"/>
  <c r="AC173" i="19"/>
  <c r="AC161" i="19"/>
  <c r="AC185" i="19"/>
  <c r="E186" i="19"/>
  <c r="E162" i="19"/>
  <c r="E174" i="19"/>
  <c r="I187" i="19"/>
  <c r="I163" i="19"/>
  <c r="I175" i="19"/>
  <c r="H168" i="19"/>
  <c r="H171" i="19"/>
  <c r="H182" i="19"/>
  <c r="H169" i="19"/>
  <c r="H183" i="19"/>
  <c r="H181" i="19"/>
  <c r="H157" i="19"/>
  <c r="H158" i="19"/>
  <c r="H170" i="19"/>
  <c r="H159" i="19"/>
  <c r="H180" i="19"/>
  <c r="H156" i="19"/>
  <c r="M183" i="19"/>
  <c r="M159" i="19"/>
  <c r="M170" i="19"/>
  <c r="M181" i="19"/>
  <c r="M168" i="19"/>
  <c r="M182" i="19"/>
  <c r="M158" i="19"/>
  <c r="M171" i="19"/>
  <c r="M169" i="19"/>
  <c r="M156" i="19"/>
  <c r="M180" i="19"/>
  <c r="M157" i="19"/>
  <c r="E66" i="19"/>
  <c r="E78" i="19"/>
  <c r="E54" i="19"/>
  <c r="M69" i="19"/>
  <c r="M81" i="19"/>
  <c r="M57" i="19"/>
  <c r="X45" i="19"/>
  <c r="L81" i="19"/>
  <c r="L69" i="19"/>
  <c r="L57" i="19"/>
  <c r="P69" i="19"/>
  <c r="P81" i="19"/>
  <c r="P57" i="19"/>
  <c r="U67" i="19"/>
  <c r="U79" i="19"/>
  <c r="U55" i="19"/>
  <c r="O64" i="19"/>
  <c r="O75" i="19"/>
  <c r="O51" i="19"/>
  <c r="O76" i="19"/>
  <c r="O52" i="19"/>
  <c r="O63" i="19"/>
  <c r="O50" i="19"/>
  <c r="O65" i="19"/>
  <c r="O77" i="19"/>
  <c r="O74" i="19"/>
  <c r="O62" i="19"/>
  <c r="O53" i="19"/>
  <c r="R81" i="19"/>
  <c r="R57" i="19"/>
  <c r="R69" i="19"/>
  <c r="V77" i="19"/>
  <c r="V53" i="19"/>
  <c r="V64" i="19"/>
  <c r="V65" i="19"/>
  <c r="V76" i="19"/>
  <c r="V74" i="19"/>
  <c r="V75" i="19"/>
  <c r="V52" i="19"/>
  <c r="V50" i="19"/>
  <c r="V62" i="19"/>
  <c r="V63" i="19"/>
  <c r="V51" i="19"/>
  <c r="Q171" i="19"/>
  <c r="Q182" i="19"/>
  <c r="Q180" i="19"/>
  <c r="Q156" i="19"/>
  <c r="Q170" i="19"/>
  <c r="Q169" i="19"/>
  <c r="Q168" i="19"/>
  <c r="Q157" i="19"/>
  <c r="Q181" i="19"/>
  <c r="Q158" i="19"/>
  <c r="Q183" i="19"/>
  <c r="Q159" i="19"/>
  <c r="U80" i="19"/>
  <c r="U68" i="19"/>
  <c r="U56" i="19"/>
  <c r="M68" i="19"/>
  <c r="M56" i="19"/>
  <c r="M80" i="19"/>
  <c r="AB62" i="19"/>
  <c r="O506" i="19"/>
  <c r="O494" i="19"/>
  <c r="O482" i="19"/>
  <c r="B403" i="19"/>
  <c r="B391" i="19"/>
  <c r="B379" i="19"/>
  <c r="AA378" i="19"/>
  <c r="AA402" i="19"/>
  <c r="AA390" i="19"/>
  <c r="D278" i="19"/>
  <c r="D289" i="19"/>
  <c r="D265" i="19"/>
  <c r="D279" i="19"/>
  <c r="D290" i="19"/>
  <c r="D288" i="19"/>
  <c r="D291" i="19"/>
  <c r="D266" i="19"/>
  <c r="D276" i="19"/>
  <c r="D264" i="19"/>
  <c r="D277" i="19"/>
  <c r="D267" i="19"/>
  <c r="AB497" i="19"/>
  <c r="AB509" i="19"/>
  <c r="AB485" i="19"/>
  <c r="B509" i="19"/>
  <c r="B497" i="19"/>
  <c r="B485" i="19"/>
  <c r="L507" i="19"/>
  <c r="L495" i="19"/>
  <c r="L483" i="19"/>
  <c r="F495" i="19"/>
  <c r="F507" i="19"/>
  <c r="F483" i="19"/>
  <c r="AB507" i="19"/>
  <c r="AB495" i="19"/>
  <c r="AB483" i="19"/>
  <c r="L502" i="19"/>
  <c r="L505" i="19"/>
  <c r="L503" i="19"/>
  <c r="L493" i="19"/>
  <c r="L478" i="19"/>
  <c r="L490" i="19"/>
  <c r="L481" i="19"/>
  <c r="L492" i="19"/>
  <c r="L491" i="19"/>
  <c r="L479" i="19"/>
  <c r="L480" i="19"/>
  <c r="L504" i="19"/>
  <c r="I504" i="19"/>
  <c r="I502" i="19"/>
  <c r="I505" i="19"/>
  <c r="I492" i="19"/>
  <c r="I480" i="19"/>
  <c r="I503" i="19"/>
  <c r="I490" i="19"/>
  <c r="I478" i="19"/>
  <c r="I481" i="19"/>
  <c r="I491" i="19"/>
  <c r="I493" i="19"/>
  <c r="I479" i="19"/>
  <c r="N497" i="19"/>
  <c r="N509" i="19"/>
  <c r="N485" i="19"/>
  <c r="Y506" i="19"/>
  <c r="Y494" i="19"/>
  <c r="Y482" i="19"/>
  <c r="L506" i="19"/>
  <c r="L482" i="19"/>
  <c r="L494" i="19"/>
  <c r="Y496" i="19"/>
  <c r="Y508" i="19"/>
  <c r="Y484" i="19"/>
  <c r="R496" i="19"/>
  <c r="R508" i="19"/>
  <c r="R484" i="19"/>
  <c r="AB508" i="19"/>
  <c r="AB484" i="19"/>
  <c r="AB496" i="19"/>
  <c r="E506" i="19"/>
  <c r="E494" i="19"/>
  <c r="E482" i="19"/>
  <c r="R490" i="19"/>
  <c r="R502" i="19"/>
  <c r="K403" i="19"/>
  <c r="K379" i="19"/>
  <c r="K391" i="19"/>
  <c r="Q379" i="19"/>
  <c r="Q403" i="19"/>
  <c r="Q391" i="19"/>
  <c r="Q380" i="19"/>
  <c r="Q392" i="19"/>
  <c r="Q404" i="19"/>
  <c r="T392" i="19"/>
  <c r="T404" i="19"/>
  <c r="T380" i="19"/>
  <c r="AA404" i="19"/>
  <c r="AA392" i="19"/>
  <c r="AA380" i="19"/>
  <c r="B402" i="19"/>
  <c r="B390" i="19"/>
  <c r="B378" i="19"/>
  <c r="O400" i="19"/>
  <c r="O399" i="19"/>
  <c r="O374" i="19"/>
  <c r="O388" i="19"/>
  <c r="O398" i="19"/>
  <c r="O397" i="19"/>
  <c r="O387" i="19"/>
  <c r="O373" i="19"/>
  <c r="O385" i="19"/>
  <c r="O376" i="19"/>
  <c r="O386" i="19"/>
  <c r="O375" i="19"/>
  <c r="AB399" i="19"/>
  <c r="AB400" i="19"/>
  <c r="AB373" i="19"/>
  <c r="AB387" i="19"/>
  <c r="AB388" i="19"/>
  <c r="AB398" i="19"/>
  <c r="AB397" i="19"/>
  <c r="AB376" i="19"/>
  <c r="AB385" i="19"/>
  <c r="AB374" i="19"/>
  <c r="AB386" i="19"/>
  <c r="AB375" i="19"/>
  <c r="J281" i="19"/>
  <c r="J293" i="19"/>
  <c r="J269" i="19"/>
  <c r="Y293" i="19"/>
  <c r="Y269" i="19"/>
  <c r="Y281" i="19"/>
  <c r="C294" i="19"/>
  <c r="C270" i="19"/>
  <c r="C282" i="19"/>
  <c r="B294" i="19"/>
  <c r="B282" i="19"/>
  <c r="B270" i="19"/>
  <c r="X290" i="19"/>
  <c r="X266" i="19"/>
  <c r="X277" i="19"/>
  <c r="X291" i="19"/>
  <c r="X276" i="19"/>
  <c r="X288" i="19"/>
  <c r="X267" i="19"/>
  <c r="X264" i="19"/>
  <c r="X278" i="19"/>
  <c r="X265" i="19"/>
  <c r="X279" i="19"/>
  <c r="X289" i="19"/>
  <c r="E289" i="19"/>
  <c r="E265" i="19"/>
  <c r="E276" i="19"/>
  <c r="E290" i="19"/>
  <c r="E291" i="19"/>
  <c r="E267" i="19"/>
  <c r="E288" i="19"/>
  <c r="E264" i="19"/>
  <c r="E277" i="19"/>
  <c r="E266" i="19"/>
  <c r="E278" i="19"/>
  <c r="E279" i="19"/>
  <c r="H294" i="19"/>
  <c r="R280" i="19"/>
  <c r="R292" i="19"/>
  <c r="R268" i="19"/>
  <c r="F184" i="19"/>
  <c r="F172" i="19"/>
  <c r="F160" i="19"/>
  <c r="S172" i="19"/>
  <c r="S184" i="19"/>
  <c r="S160" i="19"/>
  <c r="T172" i="19"/>
  <c r="T160" i="19"/>
  <c r="T184" i="19"/>
  <c r="F173" i="19"/>
  <c r="F185" i="19"/>
  <c r="F161" i="19"/>
  <c r="S175" i="19"/>
  <c r="S187" i="19"/>
  <c r="S163" i="19"/>
  <c r="Q187" i="19"/>
  <c r="Q163" i="19"/>
  <c r="Q175" i="19"/>
  <c r="P168" i="19"/>
  <c r="P171" i="19"/>
  <c r="P182" i="19"/>
  <c r="P169" i="19"/>
  <c r="P183" i="19"/>
  <c r="P159" i="19"/>
  <c r="P170" i="19"/>
  <c r="P156" i="19"/>
  <c r="P180" i="19"/>
  <c r="P157" i="19"/>
  <c r="P181" i="19"/>
  <c r="P158" i="19"/>
  <c r="S169" i="19"/>
  <c r="S180" i="19"/>
  <c r="S183" i="19"/>
  <c r="S170" i="19"/>
  <c r="S171" i="19"/>
  <c r="S168" i="19"/>
  <c r="S157" i="19"/>
  <c r="S182" i="19"/>
  <c r="S181" i="19"/>
  <c r="S158" i="19"/>
  <c r="S159" i="19"/>
  <c r="S156" i="19"/>
  <c r="U183" i="19"/>
  <c r="U159" i="19"/>
  <c r="U170" i="19"/>
  <c r="U181" i="19"/>
  <c r="U168" i="19"/>
  <c r="U182" i="19"/>
  <c r="U157" i="19"/>
  <c r="U180" i="19"/>
  <c r="U158" i="19"/>
  <c r="U169" i="19"/>
  <c r="U156" i="19"/>
  <c r="U171" i="19"/>
  <c r="R65" i="19"/>
  <c r="R76" i="19"/>
  <c r="R52" i="19"/>
  <c r="R77" i="19"/>
  <c r="R53" i="19"/>
  <c r="R64" i="19"/>
  <c r="R51" i="19"/>
  <c r="R74" i="19"/>
  <c r="R75" i="19"/>
  <c r="R50" i="19"/>
  <c r="R63" i="19"/>
  <c r="R62" i="19"/>
  <c r="E69" i="19"/>
  <c r="E81" i="19"/>
  <c r="E57" i="19"/>
  <c r="Q62" i="19"/>
  <c r="Q65" i="19"/>
  <c r="Q74" i="19"/>
  <c r="Q77" i="19"/>
  <c r="Q63" i="19"/>
  <c r="Q64" i="19"/>
  <c r="Q51" i="19"/>
  <c r="Q53" i="19"/>
  <c r="Q76" i="19"/>
  <c r="Q75" i="19"/>
  <c r="Q52" i="19"/>
  <c r="Q50" i="19"/>
  <c r="D81" i="19"/>
  <c r="D57" i="19"/>
  <c r="D69" i="19"/>
  <c r="X77" i="19"/>
  <c r="X75" i="19"/>
  <c r="X51" i="19"/>
  <c r="X62" i="19"/>
  <c r="X63" i="19"/>
  <c r="X74" i="19"/>
  <c r="X53" i="19"/>
  <c r="X50" i="19"/>
  <c r="X52" i="19"/>
  <c r="X76" i="19"/>
  <c r="X65" i="19"/>
  <c r="X64" i="19"/>
  <c r="H81" i="19"/>
  <c r="H69" i="19"/>
  <c r="H57" i="19"/>
  <c r="M79" i="19"/>
  <c r="M67" i="19"/>
  <c r="M55" i="19"/>
  <c r="G64" i="19"/>
  <c r="G75" i="19"/>
  <c r="G51" i="19"/>
  <c r="G76" i="19"/>
  <c r="G52" i="19"/>
  <c r="G63" i="19"/>
  <c r="G77" i="19"/>
  <c r="G65" i="19"/>
  <c r="G74" i="19"/>
  <c r="G62" i="19"/>
  <c r="G53" i="19"/>
  <c r="G50" i="19"/>
  <c r="J81" i="19"/>
  <c r="J57" i="19"/>
  <c r="J69" i="19"/>
  <c r="N77" i="19"/>
  <c r="N53" i="19"/>
  <c r="N64" i="19"/>
  <c r="N65" i="19"/>
  <c r="N76" i="19"/>
  <c r="N62" i="19"/>
  <c r="N52" i="19"/>
  <c r="N63" i="19"/>
  <c r="N50" i="19"/>
  <c r="N51" i="19"/>
  <c r="N75" i="19"/>
  <c r="N74" i="19"/>
  <c r="X78" i="19"/>
  <c r="X54" i="19"/>
  <c r="X66" i="19"/>
  <c r="Y80" i="19"/>
  <c r="Y68" i="19"/>
  <c r="Y56" i="19"/>
  <c r="AB51" i="19"/>
  <c r="M497" i="19"/>
  <c r="M509" i="19"/>
  <c r="M485" i="19"/>
  <c r="M502" i="19"/>
  <c r="M505" i="19"/>
  <c r="M492" i="19"/>
  <c r="M503" i="19"/>
  <c r="M493" i="19"/>
  <c r="M504" i="19"/>
  <c r="M490" i="19"/>
  <c r="M481" i="19"/>
  <c r="M491" i="19"/>
  <c r="M479" i="19"/>
  <c r="M480" i="19"/>
  <c r="M478" i="19"/>
  <c r="AC508" i="19"/>
  <c r="AC484" i="19"/>
  <c r="AC496" i="19"/>
  <c r="AA398" i="19"/>
  <c r="AA386" i="19"/>
  <c r="AA397" i="19"/>
  <c r="AA387" i="19"/>
  <c r="AA399" i="19"/>
  <c r="AA388" i="19"/>
  <c r="AA400" i="19"/>
  <c r="AA375" i="19"/>
  <c r="AA385" i="19"/>
  <c r="AA374" i="19"/>
  <c r="AA373" i="19"/>
  <c r="AA376" i="19"/>
  <c r="AB294" i="19"/>
  <c r="AB270" i="19"/>
  <c r="AB282" i="19"/>
  <c r="Y277" i="19"/>
  <c r="Y288" i="19"/>
  <c r="Y264" i="19"/>
  <c r="Y278" i="19"/>
  <c r="Y289" i="19"/>
  <c r="Y279" i="19"/>
  <c r="Y291" i="19"/>
  <c r="Y276" i="19"/>
  <c r="Y267" i="19"/>
  <c r="Y290" i="19"/>
  <c r="Y266" i="19"/>
  <c r="Y265" i="19"/>
  <c r="D497" i="19"/>
  <c r="D509" i="19"/>
  <c r="D485" i="19"/>
  <c r="W509" i="19"/>
  <c r="W485" i="19"/>
  <c r="W497" i="19"/>
  <c r="B504" i="19"/>
  <c r="B491" i="19"/>
  <c r="B502" i="19"/>
  <c r="B505" i="19"/>
  <c r="B492" i="19"/>
  <c r="B503" i="19"/>
  <c r="B490" i="19"/>
  <c r="B480" i="19"/>
  <c r="B493" i="19"/>
  <c r="B478" i="19"/>
  <c r="B481" i="19"/>
  <c r="B479" i="19"/>
  <c r="L497" i="19"/>
  <c r="L509" i="19"/>
  <c r="L485" i="19"/>
  <c r="H509" i="19"/>
  <c r="H485" i="19"/>
  <c r="H497" i="19"/>
  <c r="U495" i="19"/>
  <c r="U483" i="19"/>
  <c r="U507" i="19"/>
  <c r="J507" i="19"/>
  <c r="J495" i="19"/>
  <c r="J483" i="19"/>
  <c r="T502" i="19"/>
  <c r="T505" i="19"/>
  <c r="T503" i="19"/>
  <c r="T493" i="19"/>
  <c r="T478" i="19"/>
  <c r="T481" i="19"/>
  <c r="T490" i="19"/>
  <c r="T479" i="19"/>
  <c r="T491" i="19"/>
  <c r="T480" i="19"/>
  <c r="T504" i="19"/>
  <c r="T492" i="19"/>
  <c r="V505" i="19"/>
  <c r="V503" i="19"/>
  <c r="V493" i="19"/>
  <c r="V504" i="19"/>
  <c r="V491" i="19"/>
  <c r="V490" i="19"/>
  <c r="V479" i="19"/>
  <c r="V480" i="19"/>
  <c r="V502" i="19"/>
  <c r="V478" i="19"/>
  <c r="V481" i="19"/>
  <c r="V492" i="19"/>
  <c r="M506" i="19"/>
  <c r="M482" i="19"/>
  <c r="M494" i="19"/>
  <c r="S494" i="19"/>
  <c r="S506" i="19"/>
  <c r="S482" i="19"/>
  <c r="U506" i="19"/>
  <c r="U494" i="19"/>
  <c r="U482" i="19"/>
  <c r="E508" i="19"/>
  <c r="E484" i="19"/>
  <c r="E496" i="19"/>
  <c r="Q402" i="19"/>
  <c r="Q390" i="19"/>
  <c r="Q378" i="19"/>
  <c r="R404" i="19"/>
  <c r="R392" i="19"/>
  <c r="R380" i="19"/>
  <c r="F399" i="19"/>
  <c r="F400" i="19"/>
  <c r="F387" i="19"/>
  <c r="F388" i="19"/>
  <c r="F397" i="19"/>
  <c r="F386" i="19"/>
  <c r="F373" i="19"/>
  <c r="F398" i="19"/>
  <c r="F385" i="19"/>
  <c r="F376" i="19"/>
  <c r="F375" i="19"/>
  <c r="F374" i="19"/>
  <c r="W403" i="19"/>
  <c r="W391" i="19"/>
  <c r="W379" i="19"/>
  <c r="AB391" i="19"/>
  <c r="AB379" i="19"/>
  <c r="AB403" i="19"/>
  <c r="Z403" i="19"/>
  <c r="Z391" i="19"/>
  <c r="Z379" i="19"/>
  <c r="N380" i="19"/>
  <c r="N392" i="19"/>
  <c r="N404" i="19"/>
  <c r="AC404" i="19"/>
  <c r="AC392" i="19"/>
  <c r="AC380" i="19"/>
  <c r="K378" i="19"/>
  <c r="K390" i="19"/>
  <c r="K402" i="19"/>
  <c r="E402" i="19"/>
  <c r="E390" i="19"/>
  <c r="E378" i="19"/>
  <c r="Q293" i="19"/>
  <c r="Q269" i="19"/>
  <c r="Q281" i="19"/>
  <c r="X293" i="19"/>
  <c r="X269" i="19"/>
  <c r="X281" i="19"/>
  <c r="AC295" i="19"/>
  <c r="AC283" i="19"/>
  <c r="AC271" i="19"/>
  <c r="W293" i="19"/>
  <c r="W281" i="19"/>
  <c r="W269" i="19"/>
  <c r="P290" i="19"/>
  <c r="P266" i="19"/>
  <c r="P277" i="19"/>
  <c r="P291" i="19"/>
  <c r="P276" i="19"/>
  <c r="P264" i="19"/>
  <c r="P289" i="19"/>
  <c r="P279" i="19"/>
  <c r="P265" i="19"/>
  <c r="P288" i="19"/>
  <c r="P278" i="19"/>
  <c r="P267" i="19"/>
  <c r="AA293" i="19"/>
  <c r="AA269" i="19"/>
  <c r="AA281" i="19"/>
  <c r="G279" i="19"/>
  <c r="G290" i="19"/>
  <c r="G266" i="19"/>
  <c r="G288" i="19"/>
  <c r="G291" i="19"/>
  <c r="G289" i="19"/>
  <c r="G276" i="19"/>
  <c r="G277" i="19"/>
  <c r="G265" i="19"/>
  <c r="G278" i="19"/>
  <c r="G267" i="19"/>
  <c r="G264" i="19"/>
  <c r="R283" i="19"/>
  <c r="R271" i="19"/>
  <c r="R295" i="19"/>
  <c r="W184" i="19"/>
  <c r="W160" i="19"/>
  <c r="W172" i="19"/>
  <c r="Y280" i="19"/>
  <c r="Y292" i="19"/>
  <c r="Y268" i="19"/>
  <c r="AC292" i="19"/>
  <c r="AC268" i="19"/>
  <c r="AC280" i="19"/>
  <c r="X184" i="19"/>
  <c r="X160" i="19"/>
  <c r="X172" i="19"/>
  <c r="AC175" i="19"/>
  <c r="AC163" i="19"/>
  <c r="AC187" i="19"/>
  <c r="N173" i="19"/>
  <c r="N185" i="19"/>
  <c r="N161" i="19"/>
  <c r="B185" i="19"/>
  <c r="B161" i="19"/>
  <c r="B173" i="19"/>
  <c r="Y187" i="19"/>
  <c r="Y163" i="19"/>
  <c r="Y175" i="19"/>
  <c r="X168" i="19"/>
  <c r="X171" i="19"/>
  <c r="X182" i="19"/>
  <c r="X169" i="19"/>
  <c r="X183" i="19"/>
  <c r="X158" i="19"/>
  <c r="X159" i="19"/>
  <c r="X181" i="19"/>
  <c r="X156" i="19"/>
  <c r="X170" i="19"/>
  <c r="X157" i="19"/>
  <c r="X180" i="19"/>
  <c r="AA169" i="19"/>
  <c r="AA180" i="19"/>
  <c r="AA183" i="19"/>
  <c r="AA170" i="19"/>
  <c r="AA159" i="19"/>
  <c r="AA181" i="19"/>
  <c r="AA156" i="19"/>
  <c r="AA157" i="19"/>
  <c r="AA168" i="19"/>
  <c r="AA171" i="19"/>
  <c r="AA158" i="19"/>
  <c r="AA182" i="19"/>
  <c r="N69" i="19"/>
  <c r="N81" i="19"/>
  <c r="N57" i="19"/>
  <c r="J65" i="19"/>
  <c r="J76" i="19"/>
  <c r="J52" i="19"/>
  <c r="J77" i="19"/>
  <c r="J53" i="19"/>
  <c r="J64" i="19"/>
  <c r="J74" i="19"/>
  <c r="J75" i="19"/>
  <c r="J62" i="19"/>
  <c r="J63" i="19"/>
  <c r="J50" i="19"/>
  <c r="J51" i="19"/>
  <c r="V79" i="19"/>
  <c r="V67" i="19"/>
  <c r="V55" i="19"/>
  <c r="P77" i="19"/>
  <c r="P75" i="19"/>
  <c r="P51" i="19"/>
  <c r="P62" i="19"/>
  <c r="P63" i="19"/>
  <c r="P74" i="19"/>
  <c r="P76" i="19"/>
  <c r="P64" i="19"/>
  <c r="P65" i="19"/>
  <c r="P53" i="19"/>
  <c r="P52" i="19"/>
  <c r="P50" i="19"/>
  <c r="E55" i="19"/>
  <c r="E79" i="19"/>
  <c r="E67" i="19"/>
  <c r="B81" i="19"/>
  <c r="B57" i="19"/>
  <c r="B69" i="19"/>
  <c r="F77" i="19"/>
  <c r="F53" i="19"/>
  <c r="F64" i="19"/>
  <c r="F65" i="19"/>
  <c r="F76" i="19"/>
  <c r="F51" i="19"/>
  <c r="F74" i="19"/>
  <c r="F75" i="19"/>
  <c r="F62" i="19"/>
  <c r="F63" i="19"/>
  <c r="F52" i="19"/>
  <c r="F50" i="19"/>
  <c r="Y81" i="19"/>
  <c r="Y57" i="19"/>
  <c r="Y69" i="19"/>
  <c r="P78" i="19"/>
  <c r="P54" i="19"/>
  <c r="P66" i="19"/>
  <c r="H45" i="19"/>
  <c r="V78" i="19"/>
  <c r="V66" i="19"/>
  <c r="V54" i="19"/>
  <c r="AT20" i="9"/>
  <c r="AZ30" i="9"/>
  <c r="AY30" i="9"/>
  <c r="AX30" i="9"/>
  <c r="AW30" i="9"/>
  <c r="AV30" i="9"/>
  <c r="AU30" i="9"/>
  <c r="AT30" i="9"/>
  <c r="AX29" i="9"/>
  <c r="AZ10" i="9"/>
  <c r="AY10" i="9"/>
  <c r="AY12" i="9"/>
  <c r="AZ12" i="9"/>
  <c r="AY22" i="9"/>
  <c r="AZ22" i="9"/>
  <c r="AY23" i="9"/>
  <c r="AZ23" i="9"/>
  <c r="AY13" i="9"/>
  <c r="AZ13" i="9"/>
  <c r="AY14" i="9"/>
  <c r="AZ14" i="9"/>
  <c r="AY31" i="9"/>
  <c r="AZ31" i="9"/>
  <c r="AY15" i="9"/>
  <c r="AZ15" i="9"/>
  <c r="AY32" i="9"/>
  <c r="AZ32" i="9"/>
  <c r="AY33" i="9"/>
  <c r="AZ33" i="9"/>
  <c r="AY16" i="9"/>
  <c r="AZ16" i="9"/>
  <c r="AY17" i="9"/>
  <c r="AZ17" i="9"/>
  <c r="AY24" i="9"/>
  <c r="AZ24" i="9"/>
  <c r="AY25" i="9"/>
  <c r="AZ25" i="9"/>
  <c r="AY26" i="9"/>
  <c r="AZ26" i="9"/>
  <c r="AY27" i="9"/>
  <c r="AZ27" i="9"/>
  <c r="AZ11" i="9"/>
  <c r="AY11" i="9"/>
  <c r="AX12" i="9"/>
  <c r="AX22" i="9"/>
  <c r="AX23" i="9"/>
  <c r="AX13" i="9"/>
  <c r="AX14" i="9"/>
  <c r="AX31" i="9"/>
  <c r="AX15" i="9"/>
  <c r="AX32" i="9"/>
  <c r="AX33" i="9"/>
  <c r="AX16" i="9"/>
  <c r="AX17" i="9"/>
  <c r="AX24" i="9"/>
  <c r="AX25" i="9"/>
  <c r="AX26" i="9"/>
  <c r="AX27" i="9"/>
  <c r="AX11" i="9"/>
  <c r="AX10" i="9"/>
  <c r="AX9" i="9"/>
  <c r="AW10" i="9"/>
  <c r="AV11" i="9"/>
  <c r="AW11" i="9"/>
  <c r="AV12" i="9"/>
  <c r="AW12" i="9"/>
  <c r="AV22" i="9"/>
  <c r="AW22" i="9"/>
  <c r="AV23" i="9"/>
  <c r="AW23" i="9"/>
  <c r="AV13" i="9"/>
  <c r="AW13" i="9"/>
  <c r="AW14" i="9"/>
  <c r="AW31" i="9"/>
  <c r="AW15" i="9"/>
  <c r="AW32" i="9"/>
  <c r="AV33" i="9"/>
  <c r="AW33" i="9"/>
  <c r="AV16" i="9"/>
  <c r="AW16" i="9"/>
  <c r="AV17" i="9"/>
  <c r="AW17" i="9"/>
  <c r="AW24" i="9"/>
  <c r="AW25" i="9"/>
  <c r="AW26" i="9"/>
  <c r="AW27" i="9"/>
  <c r="AU12" i="9"/>
  <c r="AU22" i="9"/>
  <c r="AU23" i="9"/>
  <c r="AU13" i="9"/>
  <c r="AU14" i="9"/>
  <c r="AU15" i="9"/>
  <c r="AU32" i="9"/>
  <c r="AU33" i="9"/>
  <c r="AU16" i="9"/>
  <c r="AU17" i="9"/>
  <c r="AU11" i="9"/>
  <c r="AV10" i="9"/>
  <c r="AU10" i="9"/>
  <c r="AT27" i="9"/>
  <c r="AT26" i="9"/>
  <c r="AT16" i="9"/>
  <c r="AT17" i="9"/>
  <c r="AT24" i="9"/>
  <c r="AT25" i="9"/>
  <c r="AT33" i="9"/>
  <c r="AT12" i="9"/>
  <c r="AT22" i="9"/>
  <c r="AT23" i="9"/>
  <c r="AT13" i="9"/>
  <c r="AT14" i="9"/>
  <c r="AT31" i="9"/>
  <c r="AT15" i="9"/>
  <c r="AT32" i="9"/>
  <c r="AT11" i="9"/>
  <c r="U71" i="20" l="1"/>
  <c r="AB71" i="19"/>
  <c r="I394" i="22"/>
  <c r="Q499" i="23"/>
  <c r="M394" i="23"/>
  <c r="M406" i="23" s="1"/>
  <c r="R499" i="19"/>
  <c r="R511" i="19" s="1"/>
  <c r="L273" i="20"/>
  <c r="S71" i="20"/>
  <c r="S83" i="20" s="1"/>
  <c r="D165" i="21"/>
  <c r="U394" i="23"/>
  <c r="U406" i="23" s="1"/>
  <c r="K273" i="23"/>
  <c r="K382" i="22"/>
  <c r="W382" i="22"/>
  <c r="T394" i="22"/>
  <c r="T406" i="22" s="1"/>
  <c r="P382" i="23"/>
  <c r="P487" i="23"/>
  <c r="S394" i="23"/>
  <c r="S406" i="23" s="1"/>
  <c r="K59" i="23"/>
  <c r="B499" i="19"/>
  <c r="B511" i="19" s="1"/>
  <c r="G59" i="19"/>
  <c r="R71" i="19"/>
  <c r="S165" i="19"/>
  <c r="C165" i="19"/>
  <c r="I285" i="19"/>
  <c r="AA71" i="19"/>
  <c r="AC285" i="20"/>
  <c r="AC297" i="20" s="1"/>
  <c r="N487" i="20"/>
  <c r="D59" i="20"/>
  <c r="L71" i="20"/>
  <c r="L83" i="20" s="1"/>
  <c r="U382" i="23"/>
  <c r="L394" i="23"/>
  <c r="Y487" i="23"/>
  <c r="M499" i="23"/>
  <c r="L487" i="23"/>
  <c r="B71" i="20"/>
  <c r="B83" i="20" s="1"/>
  <c r="F285" i="20"/>
  <c r="F297" i="20" s="1"/>
  <c r="R71" i="21"/>
  <c r="R83" i="21" s="1"/>
  <c r="Z394" i="19"/>
  <c r="Z406" i="19" s="1"/>
  <c r="X59" i="22"/>
  <c r="S165" i="22"/>
  <c r="W71" i="22"/>
  <c r="J59" i="19"/>
  <c r="D273" i="19"/>
  <c r="AB71" i="21"/>
  <c r="K71" i="23"/>
  <c r="K83" i="23" s="1"/>
  <c r="T487" i="19"/>
  <c r="N499" i="20"/>
  <c r="O499" i="20"/>
  <c r="O511" i="20" s="1"/>
  <c r="AA487" i="20"/>
  <c r="M487" i="20"/>
  <c r="AB487" i="20"/>
  <c r="T499" i="19"/>
  <c r="M499" i="19"/>
  <c r="I499" i="19"/>
  <c r="O487" i="20"/>
  <c r="C499" i="20"/>
  <c r="C511" i="20" s="1"/>
  <c r="W394" i="19"/>
  <c r="W406" i="19" s="1"/>
  <c r="F394" i="19"/>
  <c r="F406" i="19" s="1"/>
  <c r="V382" i="19"/>
  <c r="J394" i="20"/>
  <c r="J406" i="20" s="1"/>
  <c r="F394" i="20"/>
  <c r="H394" i="19"/>
  <c r="W382" i="19"/>
  <c r="J382" i="20"/>
  <c r="J273" i="20"/>
  <c r="X285" i="20"/>
  <c r="T273" i="19"/>
  <c r="I273" i="19"/>
  <c r="L285" i="19"/>
  <c r="L297" i="19" s="1"/>
  <c r="M273" i="20"/>
  <c r="C285" i="19"/>
  <c r="C297" i="19" s="1"/>
  <c r="K285" i="19"/>
  <c r="K297" i="19" s="1"/>
  <c r="K273" i="19"/>
  <c r="M285" i="20"/>
  <c r="O177" i="19"/>
  <c r="O189" i="19" s="1"/>
  <c r="G177" i="20"/>
  <c r="W177" i="19"/>
  <c r="W189" i="19" s="1"/>
  <c r="V165" i="19"/>
  <c r="C165" i="20"/>
  <c r="W165" i="19"/>
  <c r="C177" i="20"/>
  <c r="C189" i="20" s="1"/>
  <c r="T177" i="19"/>
  <c r="I177" i="19"/>
  <c r="R177" i="19"/>
  <c r="R189" i="19" s="1"/>
  <c r="AA165" i="20"/>
  <c r="R59" i="19"/>
  <c r="P59" i="19"/>
  <c r="D71" i="20"/>
  <c r="D83" i="20" s="1"/>
  <c r="J71" i="19"/>
  <c r="X59" i="19"/>
  <c r="AC71" i="20"/>
  <c r="AC83" i="20" s="1"/>
  <c r="P71" i="19"/>
  <c r="P83" i="19" s="1"/>
  <c r="T59" i="20"/>
  <c r="C71" i="20"/>
  <c r="C83" i="20" s="1"/>
  <c r="R71" i="20"/>
  <c r="M71" i="20"/>
  <c r="M83" i="20" s="1"/>
  <c r="J285" i="20"/>
  <c r="J487" i="20"/>
  <c r="W59" i="20"/>
  <c r="Y59" i="20"/>
  <c r="AB177" i="20"/>
  <c r="AB189" i="20" s="1"/>
  <c r="U273" i="20"/>
  <c r="AA273" i="20"/>
  <c r="E165" i="20"/>
  <c r="G165" i="20"/>
  <c r="S285" i="20"/>
  <c r="S297" i="20" s="1"/>
  <c r="T71" i="20"/>
  <c r="B382" i="20"/>
  <c r="F382" i="20"/>
  <c r="C487" i="20"/>
  <c r="H71" i="20"/>
  <c r="H83" i="20" s="1"/>
  <c r="K177" i="20"/>
  <c r="K189" i="20" s="1"/>
  <c r="C285" i="20"/>
  <c r="C297" i="20" s="1"/>
  <c r="X394" i="20"/>
  <c r="T165" i="20"/>
  <c r="N382" i="20"/>
  <c r="AA394" i="20"/>
  <c r="AA406" i="20" s="1"/>
  <c r="X59" i="20"/>
  <c r="H382" i="20"/>
  <c r="S165" i="20"/>
  <c r="R394" i="20"/>
  <c r="R177" i="20"/>
  <c r="V177" i="20"/>
  <c r="V189" i="20" s="1"/>
  <c r="I285" i="20"/>
  <c r="I297" i="20" s="1"/>
  <c r="O285" i="20"/>
  <c r="O297" i="20" s="1"/>
  <c r="N177" i="20"/>
  <c r="N189" i="20" s="1"/>
  <c r="Y499" i="20"/>
  <c r="Y511" i="20" s="1"/>
  <c r="E487" i="20"/>
  <c r="G59" i="20"/>
  <c r="O59" i="20"/>
  <c r="Q71" i="20"/>
  <c r="Q83" i="20" s="1"/>
  <c r="T394" i="20"/>
  <c r="T406" i="20" s="1"/>
  <c r="T382" i="20"/>
  <c r="J499" i="20"/>
  <c r="J511" i="20" s="1"/>
  <c r="Y71" i="20"/>
  <c r="Y83" i="20" s="1"/>
  <c r="B285" i="20"/>
  <c r="B297" i="20" s="1"/>
  <c r="D394" i="20"/>
  <c r="D406" i="20" s="1"/>
  <c r="K382" i="20"/>
  <c r="S59" i="20"/>
  <c r="G394" i="20"/>
  <c r="G406" i="20" s="1"/>
  <c r="I394" i="20"/>
  <c r="I406" i="20" s="1"/>
  <c r="W487" i="20"/>
  <c r="AA59" i="20"/>
  <c r="O177" i="20"/>
  <c r="Q285" i="20"/>
  <c r="E273" i="20"/>
  <c r="C394" i="20"/>
  <c r="C406" i="20" s="1"/>
  <c r="F71" i="20"/>
  <c r="F83" i="20" s="1"/>
  <c r="P71" i="20"/>
  <c r="P83" i="20" s="1"/>
  <c r="D177" i="20"/>
  <c r="D189" i="20" s="1"/>
  <c r="X71" i="20"/>
  <c r="X83" i="20" s="1"/>
  <c r="H273" i="20"/>
  <c r="H394" i="20"/>
  <c r="H406" i="20" s="1"/>
  <c r="D499" i="20"/>
  <c r="D511" i="20" s="1"/>
  <c r="Q394" i="20"/>
  <c r="Q406" i="20" s="1"/>
  <c r="E394" i="20"/>
  <c r="E406" i="20" s="1"/>
  <c r="V394" i="20"/>
  <c r="V406" i="20" s="1"/>
  <c r="V499" i="20"/>
  <c r="Z382" i="20"/>
  <c r="N59" i="20"/>
  <c r="I71" i="20"/>
  <c r="I83" i="20" s="1"/>
  <c r="G71" i="20"/>
  <c r="AB71" i="20"/>
  <c r="L285" i="20"/>
  <c r="L297" i="20" s="1"/>
  <c r="V273" i="20"/>
  <c r="T487" i="20"/>
  <c r="AB165" i="20"/>
  <c r="U165" i="20"/>
  <c r="U285" i="20"/>
  <c r="U297" i="20" s="1"/>
  <c r="D382" i="20"/>
  <c r="O382" i="20"/>
  <c r="AA285" i="20"/>
  <c r="AA297" i="20" s="1"/>
  <c r="M499" i="20"/>
  <c r="AA71" i="20"/>
  <c r="J59" i="20"/>
  <c r="S382" i="20"/>
  <c r="U394" i="20"/>
  <c r="U406" i="20" s="1"/>
  <c r="U382" i="20"/>
  <c r="L394" i="20"/>
  <c r="L406" i="20" s="1"/>
  <c r="G499" i="20"/>
  <c r="G511" i="20" s="1"/>
  <c r="B394" i="20"/>
  <c r="Z59" i="20"/>
  <c r="Z71" i="20"/>
  <c r="Z83" i="20" s="1"/>
  <c r="C273" i="20"/>
  <c r="X487" i="20"/>
  <c r="X499" i="20"/>
  <c r="D165" i="20"/>
  <c r="Z285" i="20"/>
  <c r="Z297" i="20" s="1"/>
  <c r="D273" i="20"/>
  <c r="R273" i="20"/>
  <c r="X165" i="20"/>
  <c r="D487" i="20"/>
  <c r="R382" i="20"/>
  <c r="E71" i="20"/>
  <c r="E83" i="20" s="1"/>
  <c r="I499" i="20"/>
  <c r="I511" i="20" s="1"/>
  <c r="F165" i="20"/>
  <c r="AB394" i="20"/>
  <c r="AB406" i="20" s="1"/>
  <c r="Y487" i="20"/>
  <c r="P165" i="20"/>
  <c r="W382" i="20"/>
  <c r="U59" i="20"/>
  <c r="U177" i="20"/>
  <c r="U189" i="20" s="1"/>
  <c r="K394" i="20"/>
  <c r="K406" i="20" s="1"/>
  <c r="AC59" i="20"/>
  <c r="B165" i="20"/>
  <c r="Y382" i="20"/>
  <c r="W499" i="20"/>
  <c r="W511" i="20" s="1"/>
  <c r="AB273" i="20"/>
  <c r="E177" i="20"/>
  <c r="E189" i="20" s="1"/>
  <c r="Q273" i="20"/>
  <c r="L499" i="20"/>
  <c r="L511" i="20" s="1"/>
  <c r="F273" i="20"/>
  <c r="P285" i="20"/>
  <c r="P297" i="20" s="1"/>
  <c r="P273" i="20"/>
  <c r="P382" i="20"/>
  <c r="P394" i="20"/>
  <c r="P406" i="20" s="1"/>
  <c r="AB285" i="20"/>
  <c r="AB297" i="20" s="1"/>
  <c r="D285" i="20"/>
  <c r="D297" i="20" s="1"/>
  <c r="Y165" i="20"/>
  <c r="Q382" i="20"/>
  <c r="E382" i="20"/>
  <c r="V382" i="20"/>
  <c r="V59" i="20"/>
  <c r="AA177" i="20"/>
  <c r="AA189" i="20" s="1"/>
  <c r="F177" i="20"/>
  <c r="F189" i="20" s="1"/>
  <c r="R499" i="20"/>
  <c r="R511" i="20" s="1"/>
  <c r="K285" i="20"/>
  <c r="K297" i="20" s="1"/>
  <c r="AB59" i="20"/>
  <c r="V285" i="20"/>
  <c r="W273" i="20"/>
  <c r="T285" i="20"/>
  <c r="T297" i="20" s="1"/>
  <c r="B487" i="20"/>
  <c r="O165" i="20"/>
  <c r="S273" i="20"/>
  <c r="L487" i="20"/>
  <c r="G487" i="20"/>
  <c r="K59" i="20"/>
  <c r="H177" i="20"/>
  <c r="H189" i="20" s="1"/>
  <c r="M382" i="20"/>
  <c r="Z273" i="20"/>
  <c r="Z499" i="20"/>
  <c r="Z511" i="20" s="1"/>
  <c r="Z165" i="20"/>
  <c r="M177" i="20"/>
  <c r="M189" i="20" s="1"/>
  <c r="H285" i="20"/>
  <c r="H297" i="20" s="1"/>
  <c r="W165" i="20"/>
  <c r="Y177" i="20"/>
  <c r="Y189" i="20" s="1"/>
  <c r="P487" i="20"/>
  <c r="S487" i="20"/>
  <c r="K499" i="20"/>
  <c r="K511" i="20" s="1"/>
  <c r="E59" i="20"/>
  <c r="I273" i="20"/>
  <c r="I487" i="20"/>
  <c r="N71" i="20"/>
  <c r="N83" i="20" s="1"/>
  <c r="R487" i="20"/>
  <c r="F499" i="20"/>
  <c r="F511" i="20" s="1"/>
  <c r="P177" i="20"/>
  <c r="P189" i="20" s="1"/>
  <c r="N285" i="20"/>
  <c r="N297" i="20" s="1"/>
  <c r="N273" i="20"/>
  <c r="W394" i="20"/>
  <c r="W406" i="20" s="1"/>
  <c r="W71" i="20"/>
  <c r="W83" i="20" s="1"/>
  <c r="B273" i="20"/>
  <c r="O394" i="20"/>
  <c r="O406" i="20" s="1"/>
  <c r="B499" i="20"/>
  <c r="B511" i="20" s="1"/>
  <c r="Y285" i="20"/>
  <c r="Y297" i="20" s="1"/>
  <c r="G382" i="20"/>
  <c r="Y394" i="20"/>
  <c r="Y406" i="20" s="1"/>
  <c r="I382" i="20"/>
  <c r="AA499" i="20"/>
  <c r="AA511" i="20" s="1"/>
  <c r="L59" i="20"/>
  <c r="Q499" i="20"/>
  <c r="Q511" i="20" s="1"/>
  <c r="K71" i="20"/>
  <c r="K83" i="20" s="1"/>
  <c r="AC487" i="20"/>
  <c r="C59" i="20"/>
  <c r="H59" i="20"/>
  <c r="K165" i="20"/>
  <c r="AC177" i="20"/>
  <c r="AC189" i="20" s="1"/>
  <c r="L177" i="20"/>
  <c r="L189" i="20" s="1"/>
  <c r="X273" i="20"/>
  <c r="X382" i="20"/>
  <c r="T177" i="20"/>
  <c r="T189" i="20" s="1"/>
  <c r="AA382" i="20"/>
  <c r="Z487" i="20"/>
  <c r="U487" i="20"/>
  <c r="U499" i="20"/>
  <c r="U511" i="20" s="1"/>
  <c r="S177" i="20"/>
  <c r="S189" i="20" s="1"/>
  <c r="H487" i="20"/>
  <c r="O273" i="20"/>
  <c r="V71" i="20"/>
  <c r="V83" i="20" s="1"/>
  <c r="K273" i="20"/>
  <c r="O71" i="20"/>
  <c r="O83" i="20" s="1"/>
  <c r="W285" i="20"/>
  <c r="W297" i="20" s="1"/>
  <c r="AC273" i="20"/>
  <c r="T499" i="20"/>
  <c r="T511" i="20" s="1"/>
  <c r="J165" i="20"/>
  <c r="J177" i="20"/>
  <c r="J189" i="20" s="1"/>
  <c r="T273" i="20"/>
  <c r="B59" i="20"/>
  <c r="B177" i="20"/>
  <c r="B189" i="20" s="1"/>
  <c r="Y273" i="20"/>
  <c r="AC382" i="20"/>
  <c r="E285" i="20"/>
  <c r="E297" i="20" s="1"/>
  <c r="S394" i="20"/>
  <c r="S406" i="20" s="1"/>
  <c r="C382" i="20"/>
  <c r="I165" i="20"/>
  <c r="Q165" i="20"/>
  <c r="I177" i="20"/>
  <c r="I189" i="20" s="1"/>
  <c r="L165" i="20"/>
  <c r="M394" i="20"/>
  <c r="M406" i="20" s="1"/>
  <c r="F59" i="20"/>
  <c r="N394" i="20"/>
  <c r="N406" i="20" s="1"/>
  <c r="Z177" i="20"/>
  <c r="Z189" i="20" s="1"/>
  <c r="W177" i="20"/>
  <c r="H499" i="20"/>
  <c r="H511" i="20" s="1"/>
  <c r="G273" i="20"/>
  <c r="K487" i="20"/>
  <c r="R165" i="20"/>
  <c r="V487" i="20"/>
  <c r="I59" i="20"/>
  <c r="M59" i="20"/>
  <c r="Q59" i="20"/>
  <c r="AC394" i="20"/>
  <c r="AC406" i="20" s="1"/>
  <c r="J71" i="20"/>
  <c r="J83" i="20" s="1"/>
  <c r="L382" i="20"/>
  <c r="Q487" i="20"/>
  <c r="AB499" i="20"/>
  <c r="AB511" i="20" s="1"/>
  <c r="R59" i="20"/>
  <c r="Q177" i="20"/>
  <c r="Q189" i="20" s="1"/>
  <c r="AC499" i="20"/>
  <c r="AC511" i="20" s="1"/>
  <c r="AC165" i="20"/>
  <c r="H165" i="20"/>
  <c r="P59" i="20"/>
  <c r="M165" i="20"/>
  <c r="R285" i="20"/>
  <c r="R297" i="20" s="1"/>
  <c r="X177" i="20"/>
  <c r="X189" i="20" s="1"/>
  <c r="P499" i="20"/>
  <c r="P511" i="20" s="1"/>
  <c r="S499" i="20"/>
  <c r="S511" i="20" s="1"/>
  <c r="G285" i="20"/>
  <c r="G297" i="20" s="1"/>
  <c r="V165" i="20"/>
  <c r="N165" i="20"/>
  <c r="Z394" i="20"/>
  <c r="Z406" i="20" s="1"/>
  <c r="F487" i="20"/>
  <c r="AB382" i="20"/>
  <c r="E499" i="20"/>
  <c r="E511" i="20" s="1"/>
  <c r="X165" i="19"/>
  <c r="X177" i="19"/>
  <c r="V487" i="19"/>
  <c r="Y285" i="19"/>
  <c r="Y297" i="19" s="1"/>
  <c r="Q59" i="19"/>
  <c r="X285" i="19"/>
  <c r="X297" i="19" s="1"/>
  <c r="O394" i="19"/>
  <c r="O406" i="19" s="1"/>
  <c r="H165" i="19"/>
  <c r="I165" i="19"/>
  <c r="N273" i="19"/>
  <c r="N285" i="19"/>
  <c r="N297" i="19" s="1"/>
  <c r="F499" i="19"/>
  <c r="F511" i="19" s="1"/>
  <c r="D487" i="19"/>
  <c r="C177" i="19"/>
  <c r="C189" i="19" s="1"/>
  <c r="C273" i="19"/>
  <c r="AC394" i="19"/>
  <c r="AC406" i="19" s="1"/>
  <c r="AC273" i="19"/>
  <c r="Q273" i="19"/>
  <c r="R285" i="19"/>
  <c r="R273" i="19"/>
  <c r="H499" i="19"/>
  <c r="H511" i="19" s="1"/>
  <c r="U487" i="19"/>
  <c r="S487" i="19"/>
  <c r="Z273" i="19"/>
  <c r="L71" i="19"/>
  <c r="L83" i="19" s="1"/>
  <c r="K382" i="19"/>
  <c r="B59" i="19"/>
  <c r="Y487" i="19"/>
  <c r="E382" i="19"/>
  <c r="B394" i="19"/>
  <c r="B406" i="19" s="1"/>
  <c r="P394" i="19"/>
  <c r="P406" i="19" s="1"/>
  <c r="E59" i="19"/>
  <c r="U382" i="19"/>
  <c r="R382" i="19"/>
  <c r="C382" i="19"/>
  <c r="B165" i="19"/>
  <c r="AB285" i="19"/>
  <c r="AB297" i="19" s="1"/>
  <c r="K165" i="19"/>
  <c r="F59" i="19"/>
  <c r="G285" i="19"/>
  <c r="G297" i="19" s="1"/>
  <c r="P273" i="19"/>
  <c r="G71" i="19"/>
  <c r="X71" i="19"/>
  <c r="E273" i="19"/>
  <c r="O382" i="19"/>
  <c r="O71" i="19"/>
  <c r="B273" i="19"/>
  <c r="E177" i="19"/>
  <c r="E189" i="19" s="1"/>
  <c r="L394" i="19"/>
  <c r="L406" i="19" s="1"/>
  <c r="Z499" i="19"/>
  <c r="J487" i="19"/>
  <c r="Z59" i="19"/>
  <c r="O165" i="19"/>
  <c r="AC285" i="19"/>
  <c r="AC297" i="19" s="1"/>
  <c r="Q285" i="19"/>
  <c r="Q297" i="19" s="1"/>
  <c r="D382" i="19"/>
  <c r="R165" i="19"/>
  <c r="V177" i="19"/>
  <c r="F273" i="19"/>
  <c r="AA273" i="19"/>
  <c r="K394" i="19"/>
  <c r="K406" i="19" s="1"/>
  <c r="E487" i="19"/>
  <c r="H71" i="19"/>
  <c r="H83" i="19" s="1"/>
  <c r="N177" i="19"/>
  <c r="N189" i="19" s="1"/>
  <c r="V273" i="19"/>
  <c r="N394" i="19"/>
  <c r="AB499" i="19"/>
  <c r="AC499" i="19"/>
  <c r="AC511" i="19" s="1"/>
  <c r="I59" i="19"/>
  <c r="Z177" i="19"/>
  <c r="Z189" i="19" s="1"/>
  <c r="E394" i="19"/>
  <c r="E406" i="19" s="1"/>
  <c r="Y382" i="19"/>
  <c r="S382" i="19"/>
  <c r="P487" i="19"/>
  <c r="Y59" i="19"/>
  <c r="M59" i="19"/>
  <c r="B177" i="19"/>
  <c r="B189" i="19" s="1"/>
  <c r="P285" i="19"/>
  <c r="P297" i="19" s="1"/>
  <c r="M487" i="19"/>
  <c r="U177" i="19"/>
  <c r="U189" i="19" s="1"/>
  <c r="AB382" i="19"/>
  <c r="Q177" i="19"/>
  <c r="B285" i="19"/>
  <c r="B297" i="19" s="1"/>
  <c r="X487" i="19"/>
  <c r="D499" i="19"/>
  <c r="D511" i="19" s="1"/>
  <c r="J285" i="19"/>
  <c r="J297" i="19" s="1"/>
  <c r="J499" i="19"/>
  <c r="J511" i="19" s="1"/>
  <c r="D71" i="19"/>
  <c r="D83" i="19" s="1"/>
  <c r="S499" i="19"/>
  <c r="S511" i="19" s="1"/>
  <c r="AA59" i="19"/>
  <c r="U59" i="19"/>
  <c r="L59" i="19"/>
  <c r="G177" i="19"/>
  <c r="G189" i="19" s="1"/>
  <c r="S285" i="19"/>
  <c r="AC71" i="19"/>
  <c r="AC83" i="19" s="1"/>
  <c r="V394" i="19"/>
  <c r="V406" i="19" s="1"/>
  <c r="I394" i="19"/>
  <c r="I406" i="19" s="1"/>
  <c r="E499" i="19"/>
  <c r="E511" i="19" s="1"/>
  <c r="N165" i="19"/>
  <c r="V285" i="19"/>
  <c r="V297" i="19" s="1"/>
  <c r="N382" i="19"/>
  <c r="S71" i="19"/>
  <c r="S83" i="19" s="1"/>
  <c r="I71" i="19"/>
  <c r="I83" i="19" s="1"/>
  <c r="Q382" i="19"/>
  <c r="H285" i="19"/>
  <c r="H297" i="19" s="1"/>
  <c r="C71" i="19"/>
  <c r="C83" i="19" s="1"/>
  <c r="AC165" i="19"/>
  <c r="N59" i="19"/>
  <c r="Q71" i="19"/>
  <c r="Q83" i="19" s="1"/>
  <c r="V71" i="19"/>
  <c r="V83" i="19" s="1"/>
  <c r="M177" i="19"/>
  <c r="M189" i="19" s="1"/>
  <c r="H177" i="19"/>
  <c r="H189" i="19" s="1"/>
  <c r="X382" i="19"/>
  <c r="X394" i="19"/>
  <c r="X406" i="19" s="1"/>
  <c r="J273" i="19"/>
  <c r="AA487" i="19"/>
  <c r="T165" i="19"/>
  <c r="S273" i="19"/>
  <c r="I382" i="19"/>
  <c r="H59" i="19"/>
  <c r="B71" i="19"/>
  <c r="R487" i="19"/>
  <c r="S59" i="19"/>
  <c r="C487" i="19"/>
  <c r="Y394" i="19"/>
  <c r="Y406" i="19" s="1"/>
  <c r="J394" i="19"/>
  <c r="J406" i="19" s="1"/>
  <c r="R394" i="19"/>
  <c r="R406" i="19" s="1"/>
  <c r="C394" i="19"/>
  <c r="C406" i="19" s="1"/>
  <c r="G499" i="19"/>
  <c r="G511" i="19" s="1"/>
  <c r="O487" i="19"/>
  <c r="F71" i="19"/>
  <c r="F83" i="19" s="1"/>
  <c r="AA177" i="19"/>
  <c r="AA189" i="19" s="1"/>
  <c r="G273" i="19"/>
  <c r="V499" i="19"/>
  <c r="V511" i="19" s="1"/>
  <c r="B487" i="19"/>
  <c r="AA382" i="19"/>
  <c r="U165" i="19"/>
  <c r="AB394" i="19"/>
  <c r="L499" i="19"/>
  <c r="D285" i="19"/>
  <c r="D297" i="19" s="1"/>
  <c r="V59" i="19"/>
  <c r="T382" i="19"/>
  <c r="W71" i="19"/>
  <c r="W83" i="19" s="1"/>
  <c r="L382" i="19"/>
  <c r="AC382" i="19"/>
  <c r="AA499" i="19"/>
  <c r="Z71" i="19"/>
  <c r="D59" i="19"/>
  <c r="Y165" i="19"/>
  <c r="D394" i="19"/>
  <c r="D406" i="19" s="1"/>
  <c r="U499" i="19"/>
  <c r="U511" i="19" s="1"/>
  <c r="T71" i="19"/>
  <c r="T83" i="19" s="1"/>
  <c r="L177" i="19"/>
  <c r="L189" i="19" s="1"/>
  <c r="AA285" i="19"/>
  <c r="AA297" i="19" s="1"/>
  <c r="D177" i="19"/>
  <c r="D189" i="19" s="1"/>
  <c r="D165" i="19"/>
  <c r="Z382" i="19"/>
  <c r="Y499" i="19"/>
  <c r="Y511" i="19" s="1"/>
  <c r="K487" i="19"/>
  <c r="N487" i="19"/>
  <c r="Z165" i="19"/>
  <c r="H273" i="19"/>
  <c r="F165" i="19"/>
  <c r="G487" i="19"/>
  <c r="AB273" i="19"/>
  <c r="O499" i="19"/>
  <c r="O511" i="19" s="1"/>
  <c r="W273" i="19"/>
  <c r="AC177" i="19"/>
  <c r="AC189" i="19" s="1"/>
  <c r="O285" i="19"/>
  <c r="O297" i="19" s="1"/>
  <c r="F382" i="19"/>
  <c r="Y273" i="19"/>
  <c r="S177" i="19"/>
  <c r="S189" i="19" s="1"/>
  <c r="X273" i="19"/>
  <c r="L487" i="19"/>
  <c r="Q165" i="19"/>
  <c r="O59" i="19"/>
  <c r="M285" i="19"/>
  <c r="M297" i="19" s="1"/>
  <c r="T394" i="19"/>
  <c r="T406" i="19" s="1"/>
  <c r="X499" i="19"/>
  <c r="F487" i="19"/>
  <c r="W59" i="19"/>
  <c r="E165" i="19"/>
  <c r="U273" i="19"/>
  <c r="Z487" i="19"/>
  <c r="Y177" i="19"/>
  <c r="Y189" i="19" s="1"/>
  <c r="W487" i="19"/>
  <c r="W499" i="19"/>
  <c r="W511" i="19" s="1"/>
  <c r="G165" i="19"/>
  <c r="AC59" i="19"/>
  <c r="L273" i="19"/>
  <c r="AB59" i="19"/>
  <c r="T285" i="19"/>
  <c r="T297" i="19" s="1"/>
  <c r="M382" i="19"/>
  <c r="K499" i="19"/>
  <c r="K511" i="19" s="1"/>
  <c r="N499" i="19"/>
  <c r="N511" i="19" s="1"/>
  <c r="C499" i="19"/>
  <c r="C511" i="19" s="1"/>
  <c r="J382" i="19"/>
  <c r="Q499" i="19"/>
  <c r="Q511" i="19" s="1"/>
  <c r="P382" i="19"/>
  <c r="Y71" i="19"/>
  <c r="Y83" i="19" s="1"/>
  <c r="AB165" i="19"/>
  <c r="F177" i="19"/>
  <c r="F189" i="19" s="1"/>
  <c r="E71" i="19"/>
  <c r="G394" i="19"/>
  <c r="G406" i="19" s="1"/>
  <c r="AA165" i="19"/>
  <c r="AA394" i="19"/>
  <c r="AA406" i="19" s="1"/>
  <c r="N71" i="19"/>
  <c r="N83" i="19" s="1"/>
  <c r="P177" i="19"/>
  <c r="P189" i="19" s="1"/>
  <c r="E285" i="19"/>
  <c r="E297" i="19" s="1"/>
  <c r="I487" i="19"/>
  <c r="M165" i="19"/>
  <c r="M273" i="19"/>
  <c r="U285" i="19"/>
  <c r="U297" i="19" s="1"/>
  <c r="Z285" i="19"/>
  <c r="Z297" i="19" s="1"/>
  <c r="L165" i="19"/>
  <c r="F285" i="19"/>
  <c r="F297" i="19" s="1"/>
  <c r="H382" i="19"/>
  <c r="M394" i="19"/>
  <c r="Q394" i="19"/>
  <c r="B382" i="19"/>
  <c r="AB177" i="19"/>
  <c r="AB189" i="19" s="1"/>
  <c r="J177" i="19"/>
  <c r="J189" i="19" s="1"/>
  <c r="U394" i="19"/>
  <c r="U406" i="19" s="1"/>
  <c r="M71" i="19"/>
  <c r="M83" i="19" s="1"/>
  <c r="G382" i="19"/>
  <c r="K59" i="19"/>
  <c r="P165" i="19"/>
  <c r="H487" i="19"/>
  <c r="U71" i="19"/>
  <c r="U83" i="19" s="1"/>
  <c r="T59" i="19"/>
  <c r="AB487" i="19"/>
  <c r="AC487" i="19"/>
  <c r="Q487" i="19"/>
  <c r="S394" i="19"/>
  <c r="S406" i="19" s="1"/>
  <c r="P499" i="19"/>
  <c r="P511" i="19" s="1"/>
  <c r="J165" i="19"/>
  <c r="K177" i="19"/>
  <c r="K189" i="19" s="1"/>
  <c r="C59" i="19"/>
  <c r="W285" i="19"/>
  <c r="W297" i="19" s="1"/>
  <c r="K71" i="19"/>
  <c r="K83" i="19" s="1"/>
  <c r="O273" i="19"/>
  <c r="X487" i="21"/>
  <c r="AB499" i="21"/>
  <c r="F499" i="21"/>
  <c r="F511" i="21" s="1"/>
  <c r="B487" i="21"/>
  <c r="AA487" i="21"/>
  <c r="G487" i="21"/>
  <c r="O487" i="22"/>
  <c r="U499" i="22"/>
  <c r="U511" i="22" s="1"/>
  <c r="D499" i="23"/>
  <c r="C487" i="21"/>
  <c r="N487" i="21"/>
  <c r="W487" i="21"/>
  <c r="O499" i="21"/>
  <c r="O511" i="21" s="1"/>
  <c r="I499" i="22"/>
  <c r="I511" i="22" s="1"/>
  <c r="Z487" i="22"/>
  <c r="G499" i="23"/>
  <c r="G511" i="23" s="1"/>
  <c r="AB499" i="23"/>
  <c r="E382" i="21"/>
  <c r="Y394" i="21"/>
  <c r="Y406" i="21" s="1"/>
  <c r="H382" i="21"/>
  <c r="P394" i="21"/>
  <c r="P406" i="21" s="1"/>
  <c r="AA382" i="21"/>
  <c r="M394" i="21"/>
  <c r="M406" i="21" s="1"/>
  <c r="W394" i="22"/>
  <c r="H382" i="22"/>
  <c r="E394" i="22"/>
  <c r="E406" i="22" s="1"/>
  <c r="J394" i="21"/>
  <c r="J406" i="21" s="1"/>
  <c r="K382" i="23"/>
  <c r="T394" i="21"/>
  <c r="T406" i="21" s="1"/>
  <c r="V382" i="21"/>
  <c r="AB382" i="21"/>
  <c r="F382" i="21"/>
  <c r="Q394" i="21"/>
  <c r="Q406" i="21" s="1"/>
  <c r="B382" i="23"/>
  <c r="R382" i="22"/>
  <c r="AC394" i="23"/>
  <c r="AC406" i="23" s="1"/>
  <c r="S394" i="22"/>
  <c r="S406" i="22" s="1"/>
  <c r="M382" i="23"/>
  <c r="W394" i="23"/>
  <c r="W406" i="23" s="1"/>
  <c r="T382" i="23"/>
  <c r="Y382" i="23"/>
  <c r="R273" i="21"/>
  <c r="F273" i="21"/>
  <c r="K273" i="21"/>
  <c r="T285" i="21"/>
  <c r="T297" i="21" s="1"/>
  <c r="P273" i="22"/>
  <c r="I273" i="22"/>
  <c r="AB285" i="22"/>
  <c r="AB297" i="22" s="1"/>
  <c r="R273" i="22"/>
  <c r="B273" i="22"/>
  <c r="L273" i="23"/>
  <c r="U285" i="21"/>
  <c r="U297" i="21" s="1"/>
  <c r="T285" i="22"/>
  <c r="T297" i="22" s="1"/>
  <c r="P285" i="23"/>
  <c r="P297" i="23" s="1"/>
  <c r="B177" i="21"/>
  <c r="B189" i="21" s="1"/>
  <c r="Q177" i="21"/>
  <c r="Q189" i="21" s="1"/>
  <c r="W59" i="21"/>
  <c r="S165" i="21"/>
  <c r="K59" i="21"/>
  <c r="AA71" i="21"/>
  <c r="AA83" i="21" s="1"/>
  <c r="I59" i="21"/>
  <c r="I177" i="21"/>
  <c r="I189" i="21" s="1"/>
  <c r="T165" i="21"/>
  <c r="T177" i="21"/>
  <c r="T189" i="21" s="1"/>
  <c r="Z59" i="21"/>
  <c r="Q177" i="22"/>
  <c r="L165" i="22"/>
  <c r="Y165" i="22"/>
  <c r="P177" i="21"/>
  <c r="P189" i="21" s="1"/>
  <c r="R177" i="21"/>
  <c r="R189" i="21" s="1"/>
  <c r="U177" i="23"/>
  <c r="U189" i="23" s="1"/>
  <c r="V59" i="23"/>
  <c r="T71" i="21"/>
  <c r="T83" i="21" s="1"/>
  <c r="Q165" i="21"/>
  <c r="G165" i="21"/>
  <c r="M165" i="21"/>
  <c r="E71" i="21"/>
  <c r="E83" i="21" s="1"/>
  <c r="Z165" i="21"/>
  <c r="AC165" i="22"/>
  <c r="O59" i="22"/>
  <c r="S59" i="22"/>
  <c r="O177" i="22"/>
  <c r="W165" i="23"/>
  <c r="E177" i="21"/>
  <c r="E189" i="21" s="1"/>
  <c r="U177" i="21"/>
  <c r="U189" i="21" s="1"/>
  <c r="Z177" i="21"/>
  <c r="Z189" i="21" s="1"/>
  <c r="O71" i="22"/>
  <c r="O83" i="22" s="1"/>
  <c r="O59" i="21"/>
  <c r="D177" i="21"/>
  <c r="C165" i="21"/>
  <c r="L165" i="21"/>
  <c r="H165" i="21"/>
  <c r="AA165" i="23"/>
  <c r="W59" i="23"/>
  <c r="H165" i="22"/>
  <c r="I165" i="22"/>
  <c r="B177" i="22"/>
  <c r="B189" i="22" s="1"/>
  <c r="M165" i="23"/>
  <c r="G71" i="23"/>
  <c r="G83" i="23" s="1"/>
  <c r="R59" i="21"/>
  <c r="AA59" i="23"/>
  <c r="U165" i="23"/>
  <c r="F71" i="23"/>
  <c r="F83" i="23" s="1"/>
  <c r="P165" i="23"/>
  <c r="R285" i="23"/>
  <c r="P273" i="23"/>
  <c r="AB394" i="23"/>
  <c r="AB406" i="23" s="1"/>
  <c r="S382" i="23"/>
  <c r="I487" i="23"/>
  <c r="F59" i="23"/>
  <c r="C382" i="23"/>
  <c r="K487" i="23"/>
  <c r="I59" i="23"/>
  <c r="Z273" i="23"/>
  <c r="E273" i="23"/>
  <c r="N487" i="23"/>
  <c r="AC382" i="23"/>
  <c r="R394" i="23"/>
  <c r="R406" i="23" s="1"/>
  <c r="N394" i="23"/>
  <c r="N406" i="23" s="1"/>
  <c r="J382" i="23"/>
  <c r="X382" i="23"/>
  <c r="B394" i="23"/>
  <c r="G285" i="23"/>
  <c r="G297" i="23" s="1"/>
  <c r="X59" i="23"/>
  <c r="Z71" i="23"/>
  <c r="Z83" i="23" s="1"/>
  <c r="O487" i="23"/>
  <c r="G165" i="23"/>
  <c r="D71" i="23"/>
  <c r="D83" i="23" s="1"/>
  <c r="Y165" i="23"/>
  <c r="Z487" i="23"/>
  <c r="L71" i="23"/>
  <c r="L83" i="23" s="1"/>
  <c r="J165" i="23"/>
  <c r="C59" i="23"/>
  <c r="S71" i="23"/>
  <c r="S83" i="23" s="1"/>
  <c r="K177" i="23"/>
  <c r="AB382" i="23"/>
  <c r="M487" i="23"/>
  <c r="X273" i="23"/>
  <c r="H382" i="23"/>
  <c r="M177" i="23"/>
  <c r="AB487" i="23"/>
  <c r="AA487" i="23"/>
  <c r="S499" i="23"/>
  <c r="S511" i="23" s="1"/>
  <c r="Q71" i="23"/>
  <c r="O382" i="23"/>
  <c r="N59" i="23"/>
  <c r="N71" i="23"/>
  <c r="I71" i="23"/>
  <c r="I83" i="23" s="1"/>
  <c r="E285" i="23"/>
  <c r="I382" i="23"/>
  <c r="G382" i="23"/>
  <c r="O71" i="23"/>
  <c r="O83" i="23" s="1"/>
  <c r="P177" i="23"/>
  <c r="P189" i="23" s="1"/>
  <c r="S177" i="23"/>
  <c r="S189" i="23" s="1"/>
  <c r="E394" i="23"/>
  <c r="E406" i="23" s="1"/>
  <c r="V382" i="23"/>
  <c r="F499" i="23"/>
  <c r="D487" i="23"/>
  <c r="W177" i="23"/>
  <c r="W189" i="23" s="1"/>
  <c r="X499" i="23"/>
  <c r="X511" i="23" s="1"/>
  <c r="U487" i="23"/>
  <c r="H487" i="23"/>
  <c r="V71" i="23"/>
  <c r="V83" i="23" s="1"/>
  <c r="P71" i="23"/>
  <c r="P83" i="23" s="1"/>
  <c r="T273" i="23"/>
  <c r="Z59" i="23"/>
  <c r="X165" i="23"/>
  <c r="X177" i="23"/>
  <c r="X189" i="23" s="1"/>
  <c r="L177" i="23"/>
  <c r="L189" i="23" s="1"/>
  <c r="T177" i="23"/>
  <c r="T165" i="23"/>
  <c r="J273" i="23"/>
  <c r="G177" i="23"/>
  <c r="G189" i="23" s="1"/>
  <c r="D59" i="23"/>
  <c r="J71" i="23"/>
  <c r="J83" i="23" s="1"/>
  <c r="N177" i="23"/>
  <c r="N189" i="23" s="1"/>
  <c r="R165" i="23"/>
  <c r="K165" i="23"/>
  <c r="L285" i="23"/>
  <c r="L297" i="23" s="1"/>
  <c r="S273" i="23"/>
  <c r="L382" i="23"/>
  <c r="X285" i="23"/>
  <c r="X297" i="23" s="1"/>
  <c r="H394" i="23"/>
  <c r="H406" i="23" s="1"/>
  <c r="E59" i="23"/>
  <c r="G59" i="23"/>
  <c r="AA177" i="23"/>
  <c r="AA189" i="23" s="1"/>
  <c r="Z285" i="23"/>
  <c r="Z297" i="23" s="1"/>
  <c r="Q273" i="23"/>
  <c r="Y394" i="23"/>
  <c r="Y406" i="23" s="1"/>
  <c r="I394" i="23"/>
  <c r="I406" i="23" s="1"/>
  <c r="L499" i="23"/>
  <c r="L511" i="23" s="1"/>
  <c r="I285" i="23"/>
  <c r="I297" i="23" s="1"/>
  <c r="V394" i="23"/>
  <c r="V406" i="23" s="1"/>
  <c r="R382" i="23"/>
  <c r="X487" i="23"/>
  <c r="F273" i="23"/>
  <c r="F382" i="23"/>
  <c r="D165" i="23"/>
  <c r="B499" i="23"/>
  <c r="B511" i="23" s="1"/>
  <c r="X71" i="23"/>
  <c r="X83" i="23" s="1"/>
  <c r="W487" i="23"/>
  <c r="D273" i="23"/>
  <c r="U273" i="23"/>
  <c r="B273" i="23"/>
  <c r="B71" i="23"/>
  <c r="B83" i="23" s="1"/>
  <c r="L59" i="23"/>
  <c r="H59" i="23"/>
  <c r="Y59" i="23"/>
  <c r="T59" i="23"/>
  <c r="AB59" i="23"/>
  <c r="S285" i="23"/>
  <c r="K285" i="23"/>
  <c r="K297" i="23" s="1"/>
  <c r="Q487" i="23"/>
  <c r="E487" i="23"/>
  <c r="E165" i="23"/>
  <c r="C499" i="23"/>
  <c r="C511" i="23" s="1"/>
  <c r="M71" i="23"/>
  <c r="O165" i="23"/>
  <c r="M273" i="23"/>
  <c r="G394" i="23"/>
  <c r="G406" i="23" s="1"/>
  <c r="W71" i="23"/>
  <c r="W83" i="23" s="1"/>
  <c r="S165" i="23"/>
  <c r="O285" i="23"/>
  <c r="O297" i="23" s="1"/>
  <c r="J487" i="23"/>
  <c r="U71" i="23"/>
  <c r="AC487" i="23"/>
  <c r="AC71" i="23"/>
  <c r="AC83" i="23" s="1"/>
  <c r="F285" i="23"/>
  <c r="F297" i="23" s="1"/>
  <c r="X394" i="23"/>
  <c r="X406" i="23" s="1"/>
  <c r="F394" i="23"/>
  <c r="F406" i="23" s="1"/>
  <c r="D177" i="23"/>
  <c r="D189" i="23" s="1"/>
  <c r="T285" i="23"/>
  <c r="T297" i="23" s="1"/>
  <c r="L165" i="23"/>
  <c r="H177" i="23"/>
  <c r="AC285" i="23"/>
  <c r="AC297" i="23" s="1"/>
  <c r="AC273" i="23"/>
  <c r="V487" i="23"/>
  <c r="AB165" i="23"/>
  <c r="N273" i="23"/>
  <c r="AC177" i="23"/>
  <c r="AC189" i="23" s="1"/>
  <c r="AA382" i="23"/>
  <c r="AA71" i="23"/>
  <c r="AA83" i="23" s="1"/>
  <c r="AB285" i="23"/>
  <c r="AB297" i="23" s="1"/>
  <c r="E499" i="23"/>
  <c r="E511" i="23" s="1"/>
  <c r="W382" i="23"/>
  <c r="K394" i="23"/>
  <c r="K406" i="23" s="1"/>
  <c r="S487" i="23"/>
  <c r="T499" i="23"/>
  <c r="T511" i="23" s="1"/>
  <c r="T487" i="23"/>
  <c r="O177" i="23"/>
  <c r="O189" i="23" s="1"/>
  <c r="D394" i="23"/>
  <c r="D406" i="23" s="1"/>
  <c r="N499" i="23"/>
  <c r="N511" i="23" s="1"/>
  <c r="O59" i="23"/>
  <c r="O273" i="23"/>
  <c r="Q394" i="23"/>
  <c r="Q406" i="23" s="1"/>
  <c r="J499" i="23"/>
  <c r="J511" i="23" s="1"/>
  <c r="C177" i="23"/>
  <c r="J394" i="23"/>
  <c r="AA273" i="23"/>
  <c r="V165" i="23"/>
  <c r="H165" i="23"/>
  <c r="D285" i="23"/>
  <c r="D297" i="23" s="1"/>
  <c r="I165" i="23"/>
  <c r="B165" i="23"/>
  <c r="AB177" i="23"/>
  <c r="R499" i="23"/>
  <c r="J59" i="23"/>
  <c r="S59" i="23"/>
  <c r="AC165" i="23"/>
  <c r="P394" i="23"/>
  <c r="Y499" i="23"/>
  <c r="AB273" i="23"/>
  <c r="G487" i="23"/>
  <c r="C273" i="23"/>
  <c r="AA499" i="23"/>
  <c r="Y285" i="23"/>
  <c r="Y297" i="23" s="1"/>
  <c r="C394" i="23"/>
  <c r="C487" i="23"/>
  <c r="M59" i="23"/>
  <c r="M285" i="23"/>
  <c r="M297" i="23" s="1"/>
  <c r="Q285" i="23"/>
  <c r="AB71" i="23"/>
  <c r="I273" i="23"/>
  <c r="Q382" i="23"/>
  <c r="U59" i="23"/>
  <c r="C165" i="23"/>
  <c r="V273" i="23"/>
  <c r="F165" i="23"/>
  <c r="R59" i="23"/>
  <c r="G273" i="23"/>
  <c r="V177" i="23"/>
  <c r="V189" i="23" s="1"/>
  <c r="W499" i="23"/>
  <c r="W511" i="23" s="1"/>
  <c r="I177" i="23"/>
  <c r="I189" i="23" s="1"/>
  <c r="J285" i="23"/>
  <c r="J297" i="23" s="1"/>
  <c r="Q177" i="23"/>
  <c r="Q189" i="23" s="1"/>
  <c r="U285" i="23"/>
  <c r="U297" i="23" s="1"/>
  <c r="B285" i="23"/>
  <c r="Z499" i="23"/>
  <c r="Z511" i="23" s="1"/>
  <c r="R487" i="23"/>
  <c r="H71" i="23"/>
  <c r="H83" i="23" s="1"/>
  <c r="N165" i="23"/>
  <c r="Z165" i="23"/>
  <c r="R273" i="23"/>
  <c r="AA394" i="23"/>
  <c r="AA406" i="23" s="1"/>
  <c r="P499" i="23"/>
  <c r="P511" i="23" s="1"/>
  <c r="C285" i="23"/>
  <c r="C297" i="23" s="1"/>
  <c r="T394" i="23"/>
  <c r="T406" i="23" s="1"/>
  <c r="Q59" i="23"/>
  <c r="E177" i="23"/>
  <c r="E189" i="23" s="1"/>
  <c r="D382" i="23"/>
  <c r="Z382" i="23"/>
  <c r="Z394" i="23"/>
  <c r="Z406" i="23" s="1"/>
  <c r="E382" i="23"/>
  <c r="AC59" i="23"/>
  <c r="F177" i="23"/>
  <c r="F189" i="23" s="1"/>
  <c r="AA285" i="23"/>
  <c r="AA297" i="23" s="1"/>
  <c r="U499" i="23"/>
  <c r="U511" i="23" s="1"/>
  <c r="P59" i="23"/>
  <c r="R71" i="23"/>
  <c r="R83" i="23" s="1"/>
  <c r="W285" i="23"/>
  <c r="W297" i="23" s="1"/>
  <c r="B177" i="23"/>
  <c r="N285" i="23"/>
  <c r="N297" i="23" s="1"/>
  <c r="J177" i="23"/>
  <c r="J189" i="23" s="1"/>
  <c r="Y71" i="23"/>
  <c r="Y83" i="23" s="1"/>
  <c r="C71" i="23"/>
  <c r="C83" i="23" s="1"/>
  <c r="T71" i="23"/>
  <c r="T83" i="23" s="1"/>
  <c r="Z177" i="23"/>
  <c r="Z189" i="23" s="1"/>
  <c r="I499" i="23"/>
  <c r="I511" i="23" s="1"/>
  <c r="Y273" i="23"/>
  <c r="O394" i="23"/>
  <c r="O406" i="23" s="1"/>
  <c r="K499" i="23"/>
  <c r="K511" i="23" s="1"/>
  <c r="E71" i="23"/>
  <c r="E83" i="23" s="1"/>
  <c r="H285" i="23"/>
  <c r="H297" i="23" s="1"/>
  <c r="H273" i="23"/>
  <c r="F487" i="23"/>
  <c r="V285" i="23"/>
  <c r="V297" i="23" s="1"/>
  <c r="N382" i="23"/>
  <c r="AC499" i="23"/>
  <c r="AC511" i="23" s="1"/>
  <c r="H499" i="23"/>
  <c r="H511" i="23" s="1"/>
  <c r="B487" i="23"/>
  <c r="O499" i="23"/>
  <c r="O511" i="23" s="1"/>
  <c r="Q165" i="23"/>
  <c r="W273" i="23"/>
  <c r="Y177" i="23"/>
  <c r="Y189" i="23" s="1"/>
  <c r="V499" i="23"/>
  <c r="V511" i="23" s="1"/>
  <c r="B59" i="23"/>
  <c r="R177" i="23"/>
  <c r="R189" i="23" s="1"/>
  <c r="H177" i="22"/>
  <c r="H189" i="22" s="1"/>
  <c r="I177" i="22"/>
  <c r="I189" i="22" s="1"/>
  <c r="U382" i="22"/>
  <c r="C394" i="22"/>
  <c r="C406" i="22" s="1"/>
  <c r="I487" i="22"/>
  <c r="O499" i="22"/>
  <c r="O511" i="22" s="1"/>
  <c r="AA285" i="22"/>
  <c r="AA297" i="22" s="1"/>
  <c r="P165" i="22"/>
  <c r="R285" i="22"/>
  <c r="R297" i="22" s="1"/>
  <c r="Y382" i="22"/>
  <c r="M394" i="22"/>
  <c r="M406" i="22" s="1"/>
  <c r="V285" i="22"/>
  <c r="V297" i="22" s="1"/>
  <c r="N499" i="22"/>
  <c r="N511" i="22" s="1"/>
  <c r="V499" i="22"/>
  <c r="V511" i="22" s="1"/>
  <c r="AB71" i="22"/>
  <c r="AB83" i="22" s="1"/>
  <c r="F285" i="22"/>
  <c r="F297" i="22" s="1"/>
  <c r="I285" i="22"/>
  <c r="I297" i="22" s="1"/>
  <c r="L499" i="22"/>
  <c r="U273" i="22"/>
  <c r="C285" i="22"/>
  <c r="C297" i="22" s="1"/>
  <c r="M487" i="22"/>
  <c r="Q71" i="22"/>
  <c r="Q83" i="22" s="1"/>
  <c r="L59" i="22"/>
  <c r="Z394" i="22"/>
  <c r="Z406" i="22" s="1"/>
  <c r="I382" i="22"/>
  <c r="AB273" i="22"/>
  <c r="P177" i="22"/>
  <c r="P189" i="22" s="1"/>
  <c r="Y394" i="22"/>
  <c r="Y406" i="22" s="1"/>
  <c r="D165" i="22"/>
  <c r="AB382" i="22"/>
  <c r="R394" i="22"/>
  <c r="H499" i="22"/>
  <c r="Z165" i="22"/>
  <c r="AB499" i="22"/>
  <c r="R71" i="22"/>
  <c r="W165" i="22"/>
  <c r="AC273" i="22"/>
  <c r="C165" i="22"/>
  <c r="M285" i="22"/>
  <c r="M297" i="22" s="1"/>
  <c r="X285" i="22"/>
  <c r="X297" i="22" s="1"/>
  <c r="F382" i="22"/>
  <c r="Y71" i="22"/>
  <c r="Y83" i="22" s="1"/>
  <c r="H71" i="22"/>
  <c r="H83" i="22" s="1"/>
  <c r="AC499" i="22"/>
  <c r="AC511" i="22" s="1"/>
  <c r="F71" i="22"/>
  <c r="F83" i="22" s="1"/>
  <c r="J382" i="22"/>
  <c r="X394" i="22"/>
  <c r="X406" i="22" s="1"/>
  <c r="U59" i="22"/>
  <c r="X71" i="22"/>
  <c r="M71" i="22"/>
  <c r="M83" i="22" s="1"/>
  <c r="Q394" i="22"/>
  <c r="Q406" i="22" s="1"/>
  <c r="B59" i="22"/>
  <c r="D177" i="22"/>
  <c r="D189" i="22" s="1"/>
  <c r="L273" i="22"/>
  <c r="X177" i="22"/>
  <c r="X189" i="22" s="1"/>
  <c r="N285" i="22"/>
  <c r="G285" i="22"/>
  <c r="G297" i="22" s="1"/>
  <c r="G273" i="22"/>
  <c r="H487" i="22"/>
  <c r="V487" i="22"/>
  <c r="K71" i="22"/>
  <c r="K83" i="22" s="1"/>
  <c r="H285" i="22"/>
  <c r="H297" i="22" s="1"/>
  <c r="K165" i="22"/>
  <c r="O273" i="22"/>
  <c r="U177" i="22"/>
  <c r="U189" i="22" s="1"/>
  <c r="Q285" i="22"/>
  <c r="Q297" i="22" s="1"/>
  <c r="T487" i="22"/>
  <c r="AA177" i="22"/>
  <c r="AA189" i="22" s="1"/>
  <c r="N382" i="22"/>
  <c r="N394" i="22"/>
  <c r="C71" i="22"/>
  <c r="F394" i="22"/>
  <c r="F406" i="22" s="1"/>
  <c r="AA394" i="22"/>
  <c r="AA406" i="22" s="1"/>
  <c r="V165" i="22"/>
  <c r="Z382" i="22"/>
  <c r="Q499" i="22"/>
  <c r="Q511" i="22" s="1"/>
  <c r="V59" i="22"/>
  <c r="B394" i="22"/>
  <c r="B406" i="22" s="1"/>
  <c r="U71" i="22"/>
  <c r="S177" i="22"/>
  <c r="U394" i="22"/>
  <c r="U406" i="22" s="1"/>
  <c r="W59" i="22"/>
  <c r="M59" i="22"/>
  <c r="AB165" i="22"/>
  <c r="M382" i="22"/>
  <c r="P382" i="22"/>
  <c r="S71" i="22"/>
  <c r="S83" i="22" s="1"/>
  <c r="Z71" i="22"/>
  <c r="Z83" i="22" s="1"/>
  <c r="X165" i="22"/>
  <c r="G487" i="22"/>
  <c r="G499" i="22"/>
  <c r="G511" i="22" s="1"/>
  <c r="AA487" i="22"/>
  <c r="N165" i="22"/>
  <c r="F273" i="22"/>
  <c r="T165" i="22"/>
  <c r="W499" i="22"/>
  <c r="O165" i="22"/>
  <c r="V382" i="22"/>
  <c r="U285" i="22"/>
  <c r="U297" i="22" s="1"/>
  <c r="Q59" i="22"/>
  <c r="D71" i="22"/>
  <c r="D83" i="22" s="1"/>
  <c r="L71" i="22"/>
  <c r="L83" i="22" s="1"/>
  <c r="S487" i="22"/>
  <c r="N59" i="22"/>
  <c r="Q487" i="22"/>
  <c r="R487" i="22"/>
  <c r="M177" i="22"/>
  <c r="M189" i="22" s="1"/>
  <c r="R177" i="22"/>
  <c r="R189" i="22" s="1"/>
  <c r="J59" i="22"/>
  <c r="W273" i="22"/>
  <c r="AB177" i="22"/>
  <c r="P394" i="22"/>
  <c r="P406" i="22" s="1"/>
  <c r="Y499" i="22"/>
  <c r="Y511" i="22" s="1"/>
  <c r="E499" i="22"/>
  <c r="E511" i="22" s="1"/>
  <c r="L285" i="22"/>
  <c r="L297" i="22" s="1"/>
  <c r="Z273" i="22"/>
  <c r="AA499" i="22"/>
  <c r="AA511" i="22" s="1"/>
  <c r="J487" i="22"/>
  <c r="C177" i="22"/>
  <c r="N273" i="22"/>
  <c r="L177" i="22"/>
  <c r="L189" i="22" s="1"/>
  <c r="O394" i="22"/>
  <c r="O406" i="22" s="1"/>
  <c r="O382" i="22"/>
  <c r="T382" i="22"/>
  <c r="AB59" i="22"/>
  <c r="AC59" i="22"/>
  <c r="E71" i="22"/>
  <c r="E83" i="22" s="1"/>
  <c r="H273" i="22"/>
  <c r="Y177" i="22"/>
  <c r="Y189" i="22" s="1"/>
  <c r="K177" i="22"/>
  <c r="K189" i="22" s="1"/>
  <c r="M499" i="22"/>
  <c r="M511" i="22" s="1"/>
  <c r="H394" i="22"/>
  <c r="H406" i="22" s="1"/>
  <c r="D499" i="22"/>
  <c r="D511" i="22" s="1"/>
  <c r="O285" i="22"/>
  <c r="O297" i="22" s="1"/>
  <c r="D273" i="22"/>
  <c r="Y273" i="22"/>
  <c r="AA59" i="22"/>
  <c r="Y59" i="22"/>
  <c r="G59" i="22"/>
  <c r="V177" i="22"/>
  <c r="V189" i="22" s="1"/>
  <c r="AC487" i="22"/>
  <c r="P71" i="22"/>
  <c r="C499" i="22"/>
  <c r="L382" i="22"/>
  <c r="K499" i="22"/>
  <c r="K511" i="22" s="1"/>
  <c r="I71" i="22"/>
  <c r="I83" i="22" s="1"/>
  <c r="I59" i="22"/>
  <c r="F499" i="22"/>
  <c r="F511" i="22" s="1"/>
  <c r="E285" i="22"/>
  <c r="E297" i="22" s="1"/>
  <c r="R165" i="22"/>
  <c r="C382" i="22"/>
  <c r="P285" i="22"/>
  <c r="B71" i="22"/>
  <c r="B83" i="22" s="1"/>
  <c r="V273" i="22"/>
  <c r="J499" i="22"/>
  <c r="J511" i="22" s="1"/>
  <c r="K59" i="22"/>
  <c r="E177" i="22"/>
  <c r="E189" i="22" s="1"/>
  <c r="T177" i="22"/>
  <c r="T189" i="22" s="1"/>
  <c r="S382" i="22"/>
  <c r="X499" i="22"/>
  <c r="X511" i="22" s="1"/>
  <c r="U487" i="22"/>
  <c r="U165" i="22"/>
  <c r="V394" i="22"/>
  <c r="V406" i="22" s="1"/>
  <c r="T499" i="22"/>
  <c r="T511" i="22" s="1"/>
  <c r="C273" i="22"/>
  <c r="M273" i="22"/>
  <c r="X273" i="22"/>
  <c r="F165" i="22"/>
  <c r="G165" i="22"/>
  <c r="AA382" i="22"/>
  <c r="H59" i="22"/>
  <c r="F59" i="22"/>
  <c r="J394" i="22"/>
  <c r="J406" i="22" s="1"/>
  <c r="L394" i="22"/>
  <c r="R499" i="22"/>
  <c r="AC382" i="22"/>
  <c r="P487" i="22"/>
  <c r="B382" i="22"/>
  <c r="X487" i="22"/>
  <c r="J177" i="22"/>
  <c r="J189" i="22" s="1"/>
  <c r="N487" i="22"/>
  <c r="K285" i="22"/>
  <c r="E165" i="22"/>
  <c r="Q273" i="22"/>
  <c r="D285" i="22"/>
  <c r="D297" i="22" s="1"/>
  <c r="AA165" i="22"/>
  <c r="C59" i="22"/>
  <c r="G177" i="22"/>
  <c r="G189" i="22" s="1"/>
  <c r="T59" i="22"/>
  <c r="P59" i="22"/>
  <c r="N71" i="22"/>
  <c r="D382" i="22"/>
  <c r="AC394" i="22"/>
  <c r="AC406" i="22" s="1"/>
  <c r="X382" i="22"/>
  <c r="P499" i="22"/>
  <c r="P511" i="22" s="1"/>
  <c r="F487" i="22"/>
  <c r="M165" i="22"/>
  <c r="E273" i="22"/>
  <c r="J273" i="22"/>
  <c r="J285" i="22"/>
  <c r="J297" i="22" s="1"/>
  <c r="J71" i="22"/>
  <c r="J83" i="22" s="1"/>
  <c r="AA273" i="22"/>
  <c r="W285" i="22"/>
  <c r="W297" i="22" s="1"/>
  <c r="AC177" i="22"/>
  <c r="AC189" i="22" s="1"/>
  <c r="Q165" i="22"/>
  <c r="K394" i="22"/>
  <c r="K406" i="22" s="1"/>
  <c r="Q382" i="22"/>
  <c r="Y487" i="22"/>
  <c r="E487" i="22"/>
  <c r="Z59" i="22"/>
  <c r="W177" i="22"/>
  <c r="W189" i="22" s="1"/>
  <c r="B165" i="22"/>
  <c r="Z285" i="22"/>
  <c r="Z297" i="22" s="1"/>
  <c r="AB394" i="22"/>
  <c r="E382" i="22"/>
  <c r="N177" i="22"/>
  <c r="N189" i="22" s="1"/>
  <c r="T273" i="22"/>
  <c r="J165" i="22"/>
  <c r="AC71" i="22"/>
  <c r="AC83" i="22" s="1"/>
  <c r="E59" i="22"/>
  <c r="Z177" i="22"/>
  <c r="Z189" i="22" s="1"/>
  <c r="K273" i="22"/>
  <c r="G394" i="22"/>
  <c r="G406" i="22" s="1"/>
  <c r="G382" i="22"/>
  <c r="AB487" i="22"/>
  <c r="W487" i="22"/>
  <c r="D487" i="22"/>
  <c r="R59" i="22"/>
  <c r="AC285" i="22"/>
  <c r="AC297" i="22" s="1"/>
  <c r="S273" i="22"/>
  <c r="S285" i="22"/>
  <c r="L487" i="22"/>
  <c r="Y285" i="22"/>
  <c r="Z499" i="22"/>
  <c r="Z511" i="22" s="1"/>
  <c r="AA71" i="22"/>
  <c r="AA83" i="22" s="1"/>
  <c r="F177" i="22"/>
  <c r="F189" i="22" s="1"/>
  <c r="B285" i="22"/>
  <c r="B297" i="22" s="1"/>
  <c r="D59" i="22"/>
  <c r="G71" i="22"/>
  <c r="G83" i="22" s="1"/>
  <c r="T71" i="22"/>
  <c r="T83" i="22" s="1"/>
  <c r="S499" i="22"/>
  <c r="S511" i="22" s="1"/>
  <c r="C487" i="22"/>
  <c r="B487" i="22"/>
  <c r="B499" i="22"/>
  <c r="B511" i="22" s="1"/>
  <c r="D394" i="22"/>
  <c r="D406" i="22" s="1"/>
  <c r="K487" i="22"/>
  <c r="V71" i="22"/>
  <c r="V83" i="22" s="1"/>
  <c r="P165" i="21"/>
  <c r="C285" i="21"/>
  <c r="C297" i="21" s="1"/>
  <c r="I394" i="21"/>
  <c r="I406" i="21" s="1"/>
  <c r="N165" i="21"/>
  <c r="R285" i="21"/>
  <c r="R297" i="21" s="1"/>
  <c r="G394" i="21"/>
  <c r="G406" i="21" s="1"/>
  <c r="H487" i="21"/>
  <c r="W165" i="21"/>
  <c r="G177" i="21"/>
  <c r="G189" i="21" s="1"/>
  <c r="T382" i="21"/>
  <c r="E487" i="21"/>
  <c r="F71" i="21"/>
  <c r="F83" i="21" s="1"/>
  <c r="Q273" i="21"/>
  <c r="S71" i="21"/>
  <c r="S83" i="21" s="1"/>
  <c r="E59" i="21"/>
  <c r="R382" i="21"/>
  <c r="N285" i="21"/>
  <c r="N297" i="21" s="1"/>
  <c r="I71" i="21"/>
  <c r="I83" i="21" s="1"/>
  <c r="AC59" i="21"/>
  <c r="AC382" i="21"/>
  <c r="U273" i="21"/>
  <c r="N59" i="21"/>
  <c r="AA273" i="21"/>
  <c r="C382" i="21"/>
  <c r="S285" i="21"/>
  <c r="S297" i="21" s="1"/>
  <c r="Q382" i="21"/>
  <c r="J499" i="21"/>
  <c r="J511" i="21" s="1"/>
  <c r="B499" i="21"/>
  <c r="B511" i="21" s="1"/>
  <c r="S487" i="21"/>
  <c r="D487" i="21"/>
  <c r="G499" i="21"/>
  <c r="G511" i="21" s="1"/>
  <c r="J487" i="21"/>
  <c r="L177" i="21"/>
  <c r="L189" i="21" s="1"/>
  <c r="Y71" i="21"/>
  <c r="Y83" i="21" s="1"/>
  <c r="U382" i="21"/>
  <c r="Y177" i="21"/>
  <c r="Y189" i="21" s="1"/>
  <c r="H499" i="21"/>
  <c r="H511" i="21" s="1"/>
  <c r="AB59" i="21"/>
  <c r="Y285" i="21"/>
  <c r="V487" i="21"/>
  <c r="R165" i="21"/>
  <c r="K285" i="21"/>
  <c r="K297" i="21" s="1"/>
  <c r="Q59" i="21"/>
  <c r="K71" i="21"/>
  <c r="K83" i="21" s="1"/>
  <c r="U59" i="21"/>
  <c r="O165" i="21"/>
  <c r="C273" i="21"/>
  <c r="G285" i="21"/>
  <c r="G297" i="21" s="1"/>
  <c r="AC71" i="21"/>
  <c r="AC83" i="21" s="1"/>
  <c r="AB165" i="21"/>
  <c r="X165" i="21"/>
  <c r="H394" i="21"/>
  <c r="H406" i="21" s="1"/>
  <c r="P382" i="21"/>
  <c r="N71" i="21"/>
  <c r="N83" i="21" s="1"/>
  <c r="V165" i="21"/>
  <c r="O273" i="21"/>
  <c r="Z499" i="21"/>
  <c r="Z511" i="21" s="1"/>
  <c r="N499" i="21"/>
  <c r="N511" i="21" s="1"/>
  <c r="K382" i="21"/>
  <c r="F487" i="21"/>
  <c r="AB285" i="21"/>
  <c r="AB297" i="21" s="1"/>
  <c r="N382" i="21"/>
  <c r="W499" i="21"/>
  <c r="W511" i="21" s="1"/>
  <c r="S499" i="21"/>
  <c r="W273" i="21"/>
  <c r="L59" i="21"/>
  <c r="J71" i="21"/>
  <c r="J83" i="21" s="1"/>
  <c r="AC177" i="21"/>
  <c r="AC189" i="21" s="1"/>
  <c r="U394" i="21"/>
  <c r="U406" i="21" s="1"/>
  <c r="L285" i="21"/>
  <c r="L297" i="21" s="1"/>
  <c r="L273" i="21"/>
  <c r="P59" i="21"/>
  <c r="X273" i="21"/>
  <c r="L382" i="21"/>
  <c r="S177" i="21"/>
  <c r="S189" i="21" s="1"/>
  <c r="E285" i="21"/>
  <c r="E297" i="21" s="1"/>
  <c r="K165" i="21"/>
  <c r="J165" i="21"/>
  <c r="Z273" i="21"/>
  <c r="AA59" i="21"/>
  <c r="U71" i="21"/>
  <c r="U83" i="21" s="1"/>
  <c r="O177" i="21"/>
  <c r="O189" i="21" s="1"/>
  <c r="G273" i="21"/>
  <c r="B71" i="21"/>
  <c r="B83" i="21" s="1"/>
  <c r="AC394" i="21"/>
  <c r="AC406" i="21" s="1"/>
  <c r="O394" i="21"/>
  <c r="O406" i="21" s="1"/>
  <c r="J285" i="21"/>
  <c r="AA285" i="21"/>
  <c r="AA297" i="21" s="1"/>
  <c r="X382" i="21"/>
  <c r="Z487" i="21"/>
  <c r="Z71" i="21"/>
  <c r="Z83" i="21" s="1"/>
  <c r="V285" i="21"/>
  <c r="V297" i="21" s="1"/>
  <c r="AC499" i="21"/>
  <c r="AC511" i="21" s="1"/>
  <c r="O71" i="21"/>
  <c r="O83" i="21" s="1"/>
  <c r="Y273" i="21"/>
  <c r="AA177" i="21"/>
  <c r="AA189" i="21" s="1"/>
  <c r="M177" i="21"/>
  <c r="M189" i="21" s="1"/>
  <c r="I487" i="21"/>
  <c r="C59" i="21"/>
  <c r="E273" i="21"/>
  <c r="J382" i="21"/>
  <c r="B273" i="21"/>
  <c r="T499" i="21"/>
  <c r="X59" i="21"/>
  <c r="B59" i="21"/>
  <c r="T273" i="21"/>
  <c r="J273" i="21"/>
  <c r="X499" i="21"/>
  <c r="X511" i="21" s="1"/>
  <c r="F165" i="21"/>
  <c r="V177" i="21"/>
  <c r="V189" i="21" s="1"/>
  <c r="AB487" i="21"/>
  <c r="AC273" i="21"/>
  <c r="K394" i="21"/>
  <c r="K406" i="21" s="1"/>
  <c r="AA394" i="21"/>
  <c r="AA406" i="21" s="1"/>
  <c r="D382" i="21"/>
  <c r="D499" i="21"/>
  <c r="D511" i="21" s="1"/>
  <c r="J59" i="21"/>
  <c r="AC165" i="21"/>
  <c r="B394" i="21"/>
  <c r="B406" i="21" s="1"/>
  <c r="P499" i="21"/>
  <c r="P511" i="21" s="1"/>
  <c r="Y499" i="21"/>
  <c r="P71" i="21"/>
  <c r="T59" i="21"/>
  <c r="B165" i="21"/>
  <c r="E394" i="21"/>
  <c r="E406" i="21" s="1"/>
  <c r="AA165" i="21"/>
  <c r="Q285" i="21"/>
  <c r="Q297" i="21" s="1"/>
  <c r="I499" i="21"/>
  <c r="V59" i="21"/>
  <c r="S394" i="21"/>
  <c r="S406" i="21" s="1"/>
  <c r="S382" i="21"/>
  <c r="W285" i="21"/>
  <c r="W297" i="21" s="1"/>
  <c r="K177" i="21"/>
  <c r="K189" i="21" s="1"/>
  <c r="H59" i="21"/>
  <c r="C177" i="21"/>
  <c r="C189" i="21" s="1"/>
  <c r="U165" i="21"/>
  <c r="N273" i="21"/>
  <c r="I273" i="21"/>
  <c r="T487" i="21"/>
  <c r="X177" i="21"/>
  <c r="X189" i="21" s="1"/>
  <c r="M59" i="21"/>
  <c r="M487" i="21"/>
  <c r="O285" i="21"/>
  <c r="O297" i="21" s="1"/>
  <c r="X394" i="21"/>
  <c r="L487" i="21"/>
  <c r="U499" i="21"/>
  <c r="U511" i="21" s="1"/>
  <c r="N394" i="21"/>
  <c r="N406" i="21" s="1"/>
  <c r="D394" i="21"/>
  <c r="D406" i="21" s="1"/>
  <c r="O487" i="21"/>
  <c r="K499" i="21"/>
  <c r="K511" i="21" s="1"/>
  <c r="M273" i="21"/>
  <c r="Y59" i="21"/>
  <c r="L71" i="21"/>
  <c r="L83" i="21" s="1"/>
  <c r="G71" i="21"/>
  <c r="G83" i="21" s="1"/>
  <c r="G59" i="21"/>
  <c r="N177" i="21"/>
  <c r="N189" i="21" s="1"/>
  <c r="B382" i="21"/>
  <c r="P487" i="21"/>
  <c r="Y487" i="21"/>
  <c r="G382" i="21"/>
  <c r="F285" i="21"/>
  <c r="F297" i="21" s="1"/>
  <c r="Q499" i="21"/>
  <c r="P273" i="21"/>
  <c r="Y382" i="21"/>
  <c r="H273" i="21"/>
  <c r="V394" i="21"/>
  <c r="V406" i="21" s="1"/>
  <c r="AB394" i="21"/>
  <c r="E165" i="21"/>
  <c r="J177" i="21"/>
  <c r="J189" i="21" s="1"/>
  <c r="B285" i="21"/>
  <c r="B297" i="21" s="1"/>
  <c r="H71" i="21"/>
  <c r="H83" i="21" s="1"/>
  <c r="F394" i="21"/>
  <c r="F406" i="21" s="1"/>
  <c r="I285" i="21"/>
  <c r="I297" i="21" s="1"/>
  <c r="R499" i="21"/>
  <c r="R511" i="21" s="1"/>
  <c r="X71" i="21"/>
  <c r="D71" i="21"/>
  <c r="AB177" i="21"/>
  <c r="AB189" i="21" s="1"/>
  <c r="O382" i="21"/>
  <c r="F177" i="21"/>
  <c r="F189" i="21" s="1"/>
  <c r="D285" i="21"/>
  <c r="D297" i="21" s="1"/>
  <c r="M382" i="21"/>
  <c r="C499" i="21"/>
  <c r="C511" i="21" s="1"/>
  <c r="M499" i="21"/>
  <c r="M285" i="21"/>
  <c r="M297" i="21" s="1"/>
  <c r="C394" i="21"/>
  <c r="C406" i="21" s="1"/>
  <c r="S273" i="21"/>
  <c r="L499" i="21"/>
  <c r="L511" i="21" s="1"/>
  <c r="Z394" i="21"/>
  <c r="Z406" i="21" s="1"/>
  <c r="AA499" i="21"/>
  <c r="AA511" i="21" s="1"/>
  <c r="W382" i="21"/>
  <c r="K487" i="21"/>
  <c r="AC487" i="21"/>
  <c r="Y165" i="21"/>
  <c r="X285" i="21"/>
  <c r="X297" i="21" s="1"/>
  <c r="Q487" i="21"/>
  <c r="W71" i="21"/>
  <c r="W83" i="21" s="1"/>
  <c r="W177" i="21"/>
  <c r="W189" i="21" s="1"/>
  <c r="L394" i="21"/>
  <c r="P285" i="21"/>
  <c r="P297" i="21" s="1"/>
  <c r="V499" i="21"/>
  <c r="V511" i="21" s="1"/>
  <c r="E499" i="21"/>
  <c r="E511" i="21" s="1"/>
  <c r="F59" i="21"/>
  <c r="H285" i="21"/>
  <c r="H297" i="21" s="1"/>
  <c r="S59" i="21"/>
  <c r="V71" i="21"/>
  <c r="V83" i="21" s="1"/>
  <c r="C71" i="21"/>
  <c r="C83" i="21" s="1"/>
  <c r="Q71" i="21"/>
  <c r="Q83" i="21" s="1"/>
  <c r="Z285" i="21"/>
  <c r="Z297" i="21" s="1"/>
  <c r="R394" i="21"/>
  <c r="R406" i="21" s="1"/>
  <c r="R487" i="21"/>
  <c r="D59" i="21"/>
  <c r="I165" i="21"/>
  <c r="M71" i="21"/>
  <c r="M83" i="21" s="1"/>
  <c r="D273" i="21"/>
  <c r="I382" i="21"/>
  <c r="AC285" i="21"/>
  <c r="AC297" i="21" s="1"/>
  <c r="U487" i="21"/>
  <c r="Z382" i="21"/>
  <c r="H177" i="21"/>
  <c r="H189" i="21" s="1"/>
  <c r="AB273" i="21"/>
  <c r="V273" i="21"/>
  <c r="W394" i="21"/>
  <c r="W406" i="21" s="1"/>
  <c r="Y405" i="24"/>
  <c r="Y408" i="24" s="1"/>
  <c r="AB51" i="28" s="1"/>
  <c r="J82" i="25"/>
  <c r="J83" i="25"/>
  <c r="G296" i="24"/>
  <c r="G297" i="24"/>
  <c r="I296" i="24"/>
  <c r="I297" i="24"/>
  <c r="I82" i="25"/>
  <c r="I83" i="25"/>
  <c r="AA188" i="26"/>
  <c r="AA189" i="26"/>
  <c r="C405" i="24"/>
  <c r="C406" i="24"/>
  <c r="F296" i="25"/>
  <c r="F297" i="25"/>
  <c r="Z405" i="26"/>
  <c r="Z406" i="26"/>
  <c r="C296" i="24"/>
  <c r="C297" i="24"/>
  <c r="P82" i="25"/>
  <c r="P83" i="25"/>
  <c r="S405" i="24"/>
  <c r="S406" i="24"/>
  <c r="E82" i="26"/>
  <c r="E83" i="26"/>
  <c r="AB405" i="26"/>
  <c r="AB406" i="26"/>
  <c r="Q188" i="24"/>
  <c r="Q189" i="24"/>
  <c r="Z405" i="24"/>
  <c r="Z406" i="24"/>
  <c r="Y405" i="25"/>
  <c r="Y406" i="25"/>
  <c r="E82" i="24"/>
  <c r="E83" i="24"/>
  <c r="R405" i="24"/>
  <c r="R406" i="24"/>
  <c r="U188" i="26"/>
  <c r="U191" i="26" s="1"/>
  <c r="X59" i="28" s="1"/>
  <c r="D82" i="26"/>
  <c r="D85" i="26" s="1"/>
  <c r="G57" i="28" s="1"/>
  <c r="S82" i="26"/>
  <c r="S85" i="26" s="1"/>
  <c r="V57" i="28" s="1"/>
  <c r="N82" i="26"/>
  <c r="N85" i="26" s="1"/>
  <c r="Q57" i="28" s="1"/>
  <c r="M188" i="26"/>
  <c r="M191" i="26" s="1"/>
  <c r="P59" i="28" s="1"/>
  <c r="AC82" i="26"/>
  <c r="AC85" i="26" s="1"/>
  <c r="AF57" i="28" s="1"/>
  <c r="AA296" i="26"/>
  <c r="AA299" i="26" s="1"/>
  <c r="AD60" i="28" s="1"/>
  <c r="Y405" i="26"/>
  <c r="Y408" i="26" s="1"/>
  <c r="AB61" i="28" s="1"/>
  <c r="F296" i="26"/>
  <c r="F299" i="26" s="1"/>
  <c r="I60" i="28" s="1"/>
  <c r="U296" i="26"/>
  <c r="U299" i="26" s="1"/>
  <c r="X60" i="28" s="1"/>
  <c r="G405" i="26"/>
  <c r="G408" i="26" s="1"/>
  <c r="J61" i="28" s="1"/>
  <c r="V405" i="26"/>
  <c r="V408" i="26" s="1"/>
  <c r="Y61" i="28" s="1"/>
  <c r="H82" i="26"/>
  <c r="H85" i="26" s="1"/>
  <c r="K57" i="28" s="1"/>
  <c r="I405" i="26"/>
  <c r="I408" i="26" s="1"/>
  <c r="L61" i="28" s="1"/>
  <c r="O82" i="26"/>
  <c r="O85" i="26" s="1"/>
  <c r="R57" i="28" s="1"/>
  <c r="L405" i="26"/>
  <c r="L408" i="26" s="1"/>
  <c r="O61" i="28" s="1"/>
  <c r="W405" i="26"/>
  <c r="W408" i="26" s="1"/>
  <c r="Z61" i="28" s="1"/>
  <c r="M296" i="26"/>
  <c r="M299" i="26" s="1"/>
  <c r="P60" i="28" s="1"/>
  <c r="Y188" i="26"/>
  <c r="Y191" i="26" s="1"/>
  <c r="AB59" i="28" s="1"/>
  <c r="I188" i="26"/>
  <c r="I191" i="26" s="1"/>
  <c r="L59" i="28" s="1"/>
  <c r="D188" i="26"/>
  <c r="D191" i="26" s="1"/>
  <c r="G59" i="28" s="1"/>
  <c r="C296" i="26"/>
  <c r="C299" i="26" s="1"/>
  <c r="F60" i="28" s="1"/>
  <c r="L82" i="26"/>
  <c r="L85" i="26" s="1"/>
  <c r="O57" i="28" s="1"/>
  <c r="C188" i="26"/>
  <c r="C191" i="26" s="1"/>
  <c r="F59" i="28" s="1"/>
  <c r="X405" i="26"/>
  <c r="X408" i="26" s="1"/>
  <c r="AA61" i="28" s="1"/>
  <c r="T405" i="26"/>
  <c r="T408" i="26" s="1"/>
  <c r="W61" i="28" s="1"/>
  <c r="S405" i="26"/>
  <c r="S408" i="26" s="1"/>
  <c r="V61" i="28" s="1"/>
  <c r="X82" i="26"/>
  <c r="X85" i="26" s="1"/>
  <c r="AA57" i="28" s="1"/>
  <c r="C82" i="26"/>
  <c r="C85" i="26" s="1"/>
  <c r="F57" i="28" s="1"/>
  <c r="E405" i="26"/>
  <c r="E408" i="26" s="1"/>
  <c r="H61" i="28" s="1"/>
  <c r="Z188" i="26"/>
  <c r="Z191" i="26" s="1"/>
  <c r="AC59" i="28" s="1"/>
  <c r="W296" i="26"/>
  <c r="W299" i="26" s="1"/>
  <c r="Z60" i="28" s="1"/>
  <c r="AC405" i="26"/>
  <c r="AC408" i="26" s="1"/>
  <c r="AF61" i="28" s="1"/>
  <c r="K405" i="26"/>
  <c r="K408" i="26" s="1"/>
  <c r="N61" i="28" s="1"/>
  <c r="M405" i="26"/>
  <c r="M408" i="26" s="1"/>
  <c r="P61" i="28" s="1"/>
  <c r="G296" i="26"/>
  <c r="G299" i="26" s="1"/>
  <c r="J60" i="28" s="1"/>
  <c r="R296" i="26"/>
  <c r="R299" i="26" s="1"/>
  <c r="U60" i="28" s="1"/>
  <c r="L188" i="26"/>
  <c r="L191" i="26" s="1"/>
  <c r="O59" i="28" s="1"/>
  <c r="AB188" i="26"/>
  <c r="AB191" i="26" s="1"/>
  <c r="AE59" i="28" s="1"/>
  <c r="S296" i="26"/>
  <c r="S299" i="26" s="1"/>
  <c r="V60" i="28" s="1"/>
  <c r="K296" i="26"/>
  <c r="K299" i="26" s="1"/>
  <c r="N60" i="28" s="1"/>
  <c r="B188" i="26"/>
  <c r="B191" i="26" s="1"/>
  <c r="E59" i="28" s="1"/>
  <c r="I296" i="26"/>
  <c r="I299" i="26" s="1"/>
  <c r="L60" i="28" s="1"/>
  <c r="C405" i="26"/>
  <c r="C408" i="26" s="1"/>
  <c r="F61" i="28" s="1"/>
  <c r="T82" i="26"/>
  <c r="T85" i="26" s="1"/>
  <c r="W57" i="28" s="1"/>
  <c r="V296" i="26"/>
  <c r="V299" i="26" s="1"/>
  <c r="Y60" i="28" s="1"/>
  <c r="E296" i="26"/>
  <c r="E299" i="26" s="1"/>
  <c r="H60" i="28" s="1"/>
  <c r="H405" i="26"/>
  <c r="H408" i="26" s="1"/>
  <c r="K61" i="28" s="1"/>
  <c r="O405" i="26"/>
  <c r="O408" i="26" s="1"/>
  <c r="R61" i="28" s="1"/>
  <c r="AB296" i="26"/>
  <c r="AB299" i="26" s="1"/>
  <c r="AE60" i="28" s="1"/>
  <c r="J188" i="26"/>
  <c r="J191" i="26" s="1"/>
  <c r="M59" i="28" s="1"/>
  <c r="Q405" i="26"/>
  <c r="Q408" i="26" s="1"/>
  <c r="T61" i="28" s="1"/>
  <c r="B405" i="26"/>
  <c r="B408" i="26" s="1"/>
  <c r="E61" i="28" s="1"/>
  <c r="T296" i="26"/>
  <c r="T299" i="26" s="1"/>
  <c r="W60" i="28" s="1"/>
  <c r="O296" i="26"/>
  <c r="O299" i="26" s="1"/>
  <c r="R60" i="28" s="1"/>
  <c r="Y82" i="26"/>
  <c r="Y85" i="26" s="1"/>
  <c r="AB57" i="28" s="1"/>
  <c r="Z296" i="26"/>
  <c r="Z299" i="26" s="1"/>
  <c r="AC60" i="28" s="1"/>
  <c r="N188" i="26"/>
  <c r="N191" i="26" s="1"/>
  <c r="Q59" i="28" s="1"/>
  <c r="P296" i="26"/>
  <c r="P299" i="26" s="1"/>
  <c r="S60" i="28" s="1"/>
  <c r="Q188" i="26"/>
  <c r="Q191" i="26" s="1"/>
  <c r="T59" i="28" s="1"/>
  <c r="Q82" i="26"/>
  <c r="Q85" i="26" s="1"/>
  <c r="T57" i="28" s="1"/>
  <c r="AA405" i="26"/>
  <c r="AA408" i="26" s="1"/>
  <c r="AD61" i="28" s="1"/>
  <c r="D405" i="26"/>
  <c r="D408" i="26" s="1"/>
  <c r="G61" i="28" s="1"/>
  <c r="Q296" i="26"/>
  <c r="Q299" i="26" s="1"/>
  <c r="T60" i="28" s="1"/>
  <c r="L296" i="26"/>
  <c r="L299" i="26" s="1"/>
  <c r="O60" i="28" s="1"/>
  <c r="H296" i="26"/>
  <c r="H299" i="26" s="1"/>
  <c r="K60" i="28" s="1"/>
  <c r="E188" i="26"/>
  <c r="E191" i="26" s="1"/>
  <c r="H59" i="28" s="1"/>
  <c r="J82" i="26"/>
  <c r="J85" i="26" s="1"/>
  <c r="M57" i="28" s="1"/>
  <c r="N296" i="26"/>
  <c r="N299" i="26" s="1"/>
  <c r="Q60" i="28" s="1"/>
  <c r="X188" i="26"/>
  <c r="X191" i="26" s="1"/>
  <c r="AA59" i="28" s="1"/>
  <c r="H188" i="26"/>
  <c r="H191" i="26" s="1"/>
  <c r="K59" i="28" s="1"/>
  <c r="D296" i="26"/>
  <c r="D299" i="26" s="1"/>
  <c r="G60" i="28" s="1"/>
  <c r="I82" i="26"/>
  <c r="I85" i="26" s="1"/>
  <c r="L57" i="28" s="1"/>
  <c r="P405" i="26"/>
  <c r="P408" i="26" s="1"/>
  <c r="S61" i="28" s="1"/>
  <c r="B82" i="26"/>
  <c r="B85" i="26" s="1"/>
  <c r="E57" i="28" s="1"/>
  <c r="W188" i="26"/>
  <c r="W191" i="26" s="1"/>
  <c r="Z59" i="28" s="1"/>
  <c r="N405" i="26"/>
  <c r="N408" i="26" s="1"/>
  <c r="Q61" i="28" s="1"/>
  <c r="X296" i="26"/>
  <c r="X299" i="26" s="1"/>
  <c r="AA60" i="28" s="1"/>
  <c r="Y296" i="26"/>
  <c r="Y299" i="26" s="1"/>
  <c r="AB60" i="28" s="1"/>
  <c r="V188" i="26"/>
  <c r="V191" i="26" s="1"/>
  <c r="Y59" i="28" s="1"/>
  <c r="F188" i="26"/>
  <c r="F191" i="26" s="1"/>
  <c r="I59" i="28" s="1"/>
  <c r="R188" i="26"/>
  <c r="R191" i="26" s="1"/>
  <c r="U59" i="28" s="1"/>
  <c r="O188" i="26"/>
  <c r="O191" i="26" s="1"/>
  <c r="R59" i="28" s="1"/>
  <c r="G82" i="26"/>
  <c r="G85" i="26" s="1"/>
  <c r="J57" i="28" s="1"/>
  <c r="P82" i="26"/>
  <c r="P85" i="26" s="1"/>
  <c r="S57" i="28" s="1"/>
  <c r="AA82" i="26"/>
  <c r="AA85" i="26" s="1"/>
  <c r="AD57" i="28" s="1"/>
  <c r="F82" i="26"/>
  <c r="F85" i="26" s="1"/>
  <c r="I57" i="28" s="1"/>
  <c r="W82" i="26"/>
  <c r="W85" i="26" s="1"/>
  <c r="Z57" i="28" s="1"/>
  <c r="U82" i="26"/>
  <c r="U85" i="26" s="1"/>
  <c r="X57" i="28" s="1"/>
  <c r="AC296" i="26"/>
  <c r="AC299" i="26" s="1"/>
  <c r="AF60" i="28" s="1"/>
  <c r="T188" i="26"/>
  <c r="T191" i="26" s="1"/>
  <c r="W59" i="28" s="1"/>
  <c r="P188" i="26"/>
  <c r="P191" i="26" s="1"/>
  <c r="S59" i="28" s="1"/>
  <c r="K82" i="26"/>
  <c r="K85" i="26" s="1"/>
  <c r="N57" i="28" s="1"/>
  <c r="S188" i="26"/>
  <c r="S191" i="26" s="1"/>
  <c r="V59" i="28" s="1"/>
  <c r="AB82" i="26"/>
  <c r="AB85" i="26" s="1"/>
  <c r="AE57" i="28" s="1"/>
  <c r="U405" i="26"/>
  <c r="U408" i="26" s="1"/>
  <c r="X61" i="28" s="1"/>
  <c r="V82" i="26"/>
  <c r="V85" i="26" s="1"/>
  <c r="Y57" i="28" s="1"/>
  <c r="G188" i="26"/>
  <c r="G191" i="26" s="1"/>
  <c r="J59" i="28" s="1"/>
  <c r="Z82" i="26"/>
  <c r="Z85" i="26" s="1"/>
  <c r="AC57" i="28" s="1"/>
  <c r="R405" i="26"/>
  <c r="R408" i="26" s="1"/>
  <c r="U61" i="28" s="1"/>
  <c r="F405" i="26"/>
  <c r="F408" i="26" s="1"/>
  <c r="I61" i="28" s="1"/>
  <c r="J405" i="26"/>
  <c r="J408" i="26" s="1"/>
  <c r="M61" i="28" s="1"/>
  <c r="B296" i="26"/>
  <c r="B299" i="26" s="1"/>
  <c r="E60" i="28" s="1"/>
  <c r="R82" i="26"/>
  <c r="R85" i="26" s="1"/>
  <c r="U57" i="28" s="1"/>
  <c r="K188" i="26"/>
  <c r="K191" i="26" s="1"/>
  <c r="N59" i="28" s="1"/>
  <c r="M82" i="26"/>
  <c r="M85" i="26" s="1"/>
  <c r="P57" i="28" s="1"/>
  <c r="AC188" i="26"/>
  <c r="AC191" i="26" s="1"/>
  <c r="AF59" i="28" s="1"/>
  <c r="J296" i="26"/>
  <c r="J299" i="26" s="1"/>
  <c r="M60" i="28" s="1"/>
  <c r="K405" i="25"/>
  <c r="K408" i="25" s="1"/>
  <c r="N56" i="28" s="1"/>
  <c r="U188" i="25"/>
  <c r="U191" i="25" s="1"/>
  <c r="X54" i="28" s="1"/>
  <c r="T405" i="25"/>
  <c r="T408" i="25" s="1"/>
  <c r="W56" i="28" s="1"/>
  <c r="C82" i="25"/>
  <c r="C85" i="25" s="1"/>
  <c r="F52" i="28" s="1"/>
  <c r="AA405" i="25"/>
  <c r="AA408" i="25" s="1"/>
  <c r="AD56" i="28" s="1"/>
  <c r="H82" i="25"/>
  <c r="H85" i="25" s="1"/>
  <c r="K52" i="28" s="1"/>
  <c r="P188" i="25"/>
  <c r="P191" i="25" s="1"/>
  <c r="S54" i="28" s="1"/>
  <c r="W188" i="25"/>
  <c r="W191" i="25" s="1"/>
  <c r="Z54" i="28" s="1"/>
  <c r="D296" i="25"/>
  <c r="D299" i="25" s="1"/>
  <c r="G55" i="28" s="1"/>
  <c r="G296" i="25"/>
  <c r="G299" i="25" s="1"/>
  <c r="J55" i="28" s="1"/>
  <c r="B405" i="25"/>
  <c r="B408" i="25" s="1"/>
  <c r="E56" i="28" s="1"/>
  <c r="X188" i="25"/>
  <c r="X191" i="25" s="1"/>
  <c r="AA54" i="28" s="1"/>
  <c r="C188" i="25"/>
  <c r="C191" i="25" s="1"/>
  <c r="F54" i="28" s="1"/>
  <c r="Z188" i="25"/>
  <c r="Z191" i="25" s="1"/>
  <c r="AC54" i="28" s="1"/>
  <c r="V405" i="25"/>
  <c r="V408" i="25" s="1"/>
  <c r="Y56" i="28" s="1"/>
  <c r="M188" i="25"/>
  <c r="M191" i="25" s="1"/>
  <c r="P54" i="28" s="1"/>
  <c r="W82" i="25"/>
  <c r="W85" i="25" s="1"/>
  <c r="Z52" i="28" s="1"/>
  <c r="Q82" i="25"/>
  <c r="Q85" i="25" s="1"/>
  <c r="T52" i="28" s="1"/>
  <c r="Q296" i="25"/>
  <c r="Q299" i="25" s="1"/>
  <c r="T55" i="28" s="1"/>
  <c r="AA188" i="25"/>
  <c r="AA191" i="25" s="1"/>
  <c r="AD54" i="28" s="1"/>
  <c r="R82" i="25"/>
  <c r="R85" i="25" s="1"/>
  <c r="U52" i="28" s="1"/>
  <c r="P296" i="25"/>
  <c r="P299" i="25" s="1"/>
  <c r="S55" i="28" s="1"/>
  <c r="L296" i="25"/>
  <c r="L299" i="25" s="1"/>
  <c r="O55" i="28" s="1"/>
  <c r="H188" i="25"/>
  <c r="H191" i="25" s="1"/>
  <c r="K54" i="28" s="1"/>
  <c r="V188" i="25"/>
  <c r="V191" i="25" s="1"/>
  <c r="Y54" i="28" s="1"/>
  <c r="U405" i="25"/>
  <c r="U408" i="25" s="1"/>
  <c r="X56" i="28" s="1"/>
  <c r="K188" i="25"/>
  <c r="K191" i="25" s="1"/>
  <c r="N54" i="28" s="1"/>
  <c r="P405" i="25"/>
  <c r="P408" i="25" s="1"/>
  <c r="S56" i="28" s="1"/>
  <c r="X405" i="25"/>
  <c r="X408" i="25" s="1"/>
  <c r="AA56" i="28" s="1"/>
  <c r="AC296" i="25"/>
  <c r="AC299" i="25" s="1"/>
  <c r="AF55" i="28" s="1"/>
  <c r="X82" i="25"/>
  <c r="X85" i="25" s="1"/>
  <c r="AA52" i="28" s="1"/>
  <c r="Z405" i="25"/>
  <c r="Z408" i="25" s="1"/>
  <c r="AC56" i="28" s="1"/>
  <c r="Q188" i="25"/>
  <c r="Q191" i="25" s="1"/>
  <c r="T54" i="28" s="1"/>
  <c r="B82" i="25"/>
  <c r="B85" i="25" s="1"/>
  <c r="E52" i="28" s="1"/>
  <c r="I296" i="25"/>
  <c r="I299" i="25" s="1"/>
  <c r="L55" i="28" s="1"/>
  <c r="M405" i="25"/>
  <c r="M408" i="25" s="1"/>
  <c r="P56" i="28" s="1"/>
  <c r="D405" i="25"/>
  <c r="D408" i="25" s="1"/>
  <c r="G56" i="28" s="1"/>
  <c r="R188" i="25"/>
  <c r="R191" i="25" s="1"/>
  <c r="U54" i="28" s="1"/>
  <c r="AA82" i="25"/>
  <c r="AA85" i="25" s="1"/>
  <c r="AD52" i="28" s="1"/>
  <c r="O82" i="25"/>
  <c r="O85" i="25" s="1"/>
  <c r="R52" i="28" s="1"/>
  <c r="N188" i="25"/>
  <c r="N191" i="25" s="1"/>
  <c r="Q54" i="28" s="1"/>
  <c r="AB188" i="25"/>
  <c r="AB191" i="25" s="1"/>
  <c r="AE54" i="28" s="1"/>
  <c r="W296" i="25"/>
  <c r="W299" i="25" s="1"/>
  <c r="Z55" i="28" s="1"/>
  <c r="S188" i="25"/>
  <c r="S191" i="25" s="1"/>
  <c r="V54" i="28" s="1"/>
  <c r="E405" i="25"/>
  <c r="E408" i="25" s="1"/>
  <c r="H56" i="28" s="1"/>
  <c r="S296" i="25"/>
  <c r="S299" i="25" s="1"/>
  <c r="V55" i="28" s="1"/>
  <c r="B188" i="25"/>
  <c r="B191" i="25" s="1"/>
  <c r="E54" i="28" s="1"/>
  <c r="V82" i="25"/>
  <c r="V85" i="25" s="1"/>
  <c r="Y52" i="28" s="1"/>
  <c r="R296" i="25"/>
  <c r="R299" i="25" s="1"/>
  <c r="U55" i="28" s="1"/>
  <c r="N296" i="25"/>
  <c r="N299" i="25" s="1"/>
  <c r="Q55" i="28" s="1"/>
  <c r="B296" i="25"/>
  <c r="B299" i="25" s="1"/>
  <c r="E55" i="28" s="1"/>
  <c r="N405" i="25"/>
  <c r="N408" i="25" s="1"/>
  <c r="Q56" i="28" s="1"/>
  <c r="I405" i="25"/>
  <c r="I408" i="25" s="1"/>
  <c r="L56" i="28" s="1"/>
  <c r="H405" i="25"/>
  <c r="H408" i="25" s="1"/>
  <c r="K56" i="28" s="1"/>
  <c r="J405" i="25"/>
  <c r="J408" i="25" s="1"/>
  <c r="M56" i="28" s="1"/>
  <c r="F82" i="25"/>
  <c r="F85" i="25" s="1"/>
  <c r="I52" i="28" s="1"/>
  <c r="D188" i="25"/>
  <c r="D191" i="25" s="1"/>
  <c r="G54" i="28" s="1"/>
  <c r="X296" i="25"/>
  <c r="X299" i="25" s="1"/>
  <c r="AA55" i="28" s="1"/>
  <c r="H296" i="25"/>
  <c r="H299" i="25" s="1"/>
  <c r="K55" i="28" s="1"/>
  <c r="F405" i="25"/>
  <c r="F408" i="25" s="1"/>
  <c r="I56" i="28" s="1"/>
  <c r="G82" i="25"/>
  <c r="G85" i="25" s="1"/>
  <c r="J52" i="28" s="1"/>
  <c r="AC405" i="25"/>
  <c r="AC408" i="25" s="1"/>
  <c r="AF56" i="28" s="1"/>
  <c r="W405" i="25"/>
  <c r="W408" i="25" s="1"/>
  <c r="Z56" i="28" s="1"/>
  <c r="T82" i="25"/>
  <c r="T85" i="25" s="1"/>
  <c r="W52" i="28" s="1"/>
  <c r="C405" i="25"/>
  <c r="C408" i="25" s="1"/>
  <c r="F56" i="28" s="1"/>
  <c r="E82" i="25"/>
  <c r="E85" i="25" s="1"/>
  <c r="H52" i="28" s="1"/>
  <c r="R405" i="25"/>
  <c r="R408" i="25" s="1"/>
  <c r="U56" i="28" s="1"/>
  <c r="J188" i="25"/>
  <c r="J191" i="25" s="1"/>
  <c r="M54" i="28" s="1"/>
  <c r="C296" i="25"/>
  <c r="C299" i="25" s="1"/>
  <c r="F55" i="28" s="1"/>
  <c r="S405" i="25"/>
  <c r="S408" i="25" s="1"/>
  <c r="V56" i="28" s="1"/>
  <c r="U82" i="25"/>
  <c r="U85" i="25" s="1"/>
  <c r="X52" i="28" s="1"/>
  <c r="L188" i="25"/>
  <c r="L191" i="25" s="1"/>
  <c r="O54" i="28" s="1"/>
  <c r="G188" i="25"/>
  <c r="G191" i="25" s="1"/>
  <c r="J54" i="28" s="1"/>
  <c r="O296" i="25"/>
  <c r="O299" i="25" s="1"/>
  <c r="R55" i="28" s="1"/>
  <c r="L82" i="25"/>
  <c r="L85" i="25" s="1"/>
  <c r="O52" i="28" s="1"/>
  <c r="J296" i="25"/>
  <c r="J299" i="25" s="1"/>
  <c r="M55" i="28" s="1"/>
  <c r="Y296" i="25"/>
  <c r="Y299" i="25" s="1"/>
  <c r="AB55" i="28" s="1"/>
  <c r="M296" i="25"/>
  <c r="M299" i="25" s="1"/>
  <c r="P55" i="28" s="1"/>
  <c r="M82" i="25"/>
  <c r="M85" i="25" s="1"/>
  <c r="P52" i="28" s="1"/>
  <c r="AC82" i="25"/>
  <c r="AC85" i="25" s="1"/>
  <c r="AF52" i="28" s="1"/>
  <c r="T188" i="25"/>
  <c r="T191" i="25" s="1"/>
  <c r="W54" i="28" s="1"/>
  <c r="AB405" i="25"/>
  <c r="AB408" i="25" s="1"/>
  <c r="AE56" i="28" s="1"/>
  <c r="F188" i="25"/>
  <c r="F191" i="25" s="1"/>
  <c r="I54" i="28" s="1"/>
  <c r="G405" i="25"/>
  <c r="G408" i="25" s="1"/>
  <c r="J56" i="28" s="1"/>
  <c r="O405" i="25"/>
  <c r="O408" i="25" s="1"/>
  <c r="R56" i="28" s="1"/>
  <c r="Z296" i="25"/>
  <c r="Z299" i="25" s="1"/>
  <c r="AC55" i="28" s="1"/>
  <c r="Y82" i="25"/>
  <c r="Y85" i="25" s="1"/>
  <c r="AB52" i="28" s="1"/>
  <c r="AA296" i="25"/>
  <c r="AA299" i="25" s="1"/>
  <c r="AD55" i="28" s="1"/>
  <c r="Z82" i="25"/>
  <c r="Z85" i="25" s="1"/>
  <c r="AC52" i="28" s="1"/>
  <c r="Y188" i="25"/>
  <c r="Y191" i="25" s="1"/>
  <c r="AB54" i="28" s="1"/>
  <c r="L405" i="25"/>
  <c r="L408" i="25" s="1"/>
  <c r="O56" i="28" s="1"/>
  <c r="E188" i="25"/>
  <c r="E191" i="25" s="1"/>
  <c r="H54" i="28" s="1"/>
  <c r="S82" i="25"/>
  <c r="S85" i="25" s="1"/>
  <c r="V52" i="28" s="1"/>
  <c r="O188" i="25"/>
  <c r="O191" i="25" s="1"/>
  <c r="R54" i="28" s="1"/>
  <c r="D82" i="25"/>
  <c r="D85" i="25" s="1"/>
  <c r="G52" i="28" s="1"/>
  <c r="Q405" i="25"/>
  <c r="Q408" i="25" s="1"/>
  <c r="T56" i="28" s="1"/>
  <c r="AC188" i="25"/>
  <c r="AC191" i="25" s="1"/>
  <c r="AF54" i="28" s="1"/>
  <c r="T296" i="25"/>
  <c r="T299" i="25" s="1"/>
  <c r="W55" i="28" s="1"/>
  <c r="E296" i="25"/>
  <c r="E299" i="25" s="1"/>
  <c r="H55" i="28" s="1"/>
  <c r="V296" i="25"/>
  <c r="V299" i="25" s="1"/>
  <c r="Y55" i="28" s="1"/>
  <c r="N82" i="25"/>
  <c r="N85" i="25" s="1"/>
  <c r="Q52" i="28" s="1"/>
  <c r="U296" i="25"/>
  <c r="U299" i="25" s="1"/>
  <c r="X55" i="28" s="1"/>
  <c r="K296" i="25"/>
  <c r="K299" i="25" s="1"/>
  <c r="N55" i="28" s="1"/>
  <c r="AB296" i="25"/>
  <c r="AB299" i="25" s="1"/>
  <c r="AE55" i="28" s="1"/>
  <c r="K82" i="25"/>
  <c r="K85" i="25" s="1"/>
  <c r="N52" i="28" s="1"/>
  <c r="I188" i="25"/>
  <c r="I191" i="25" s="1"/>
  <c r="L54" i="28" s="1"/>
  <c r="AB82" i="25"/>
  <c r="AB85" i="25" s="1"/>
  <c r="AE52" i="28" s="1"/>
  <c r="AB296" i="24"/>
  <c r="AB299" i="24" s="1"/>
  <c r="AE50" i="28" s="1"/>
  <c r="L296" i="24"/>
  <c r="L299" i="24" s="1"/>
  <c r="O50" i="28" s="1"/>
  <c r="Z82" i="24"/>
  <c r="Z85" i="24" s="1"/>
  <c r="AC47" i="28" s="1"/>
  <c r="B296" i="24"/>
  <c r="B299" i="24" s="1"/>
  <c r="E50" i="28" s="1"/>
  <c r="X82" i="24"/>
  <c r="X85" i="24" s="1"/>
  <c r="AA47" i="28" s="1"/>
  <c r="Y82" i="24"/>
  <c r="Y85" i="24" s="1"/>
  <c r="AB47" i="28" s="1"/>
  <c r="K405" i="24"/>
  <c r="K408" i="24" s="1"/>
  <c r="N51" i="28" s="1"/>
  <c r="D188" i="24"/>
  <c r="D191" i="24" s="1"/>
  <c r="G49" i="28" s="1"/>
  <c r="F82" i="24"/>
  <c r="F85" i="24" s="1"/>
  <c r="I47" i="28" s="1"/>
  <c r="Y188" i="24"/>
  <c r="Y191" i="24" s="1"/>
  <c r="AB49" i="28" s="1"/>
  <c r="J82" i="24"/>
  <c r="J85" i="24" s="1"/>
  <c r="M47" i="28" s="1"/>
  <c r="AC188" i="24"/>
  <c r="AC191" i="24" s="1"/>
  <c r="AF49" i="28" s="1"/>
  <c r="N82" i="24"/>
  <c r="N85" i="24" s="1"/>
  <c r="Q47" i="28" s="1"/>
  <c r="X405" i="24"/>
  <c r="X408" i="24" s="1"/>
  <c r="AA51" i="28" s="1"/>
  <c r="M296" i="24"/>
  <c r="M299" i="24" s="1"/>
  <c r="P50" i="28" s="1"/>
  <c r="AA296" i="24"/>
  <c r="AA299" i="24" s="1"/>
  <c r="AD50" i="28" s="1"/>
  <c r="N188" i="24"/>
  <c r="N191" i="24" s="1"/>
  <c r="Q49" i="28" s="1"/>
  <c r="S82" i="24"/>
  <c r="S85" i="24" s="1"/>
  <c r="V47" i="28" s="1"/>
  <c r="Q296" i="24"/>
  <c r="Q299" i="24" s="1"/>
  <c r="T50" i="28" s="1"/>
  <c r="F405" i="24"/>
  <c r="F408" i="24" s="1"/>
  <c r="I51" i="28" s="1"/>
  <c r="L405" i="24"/>
  <c r="L408" i="24" s="1"/>
  <c r="O51" i="28" s="1"/>
  <c r="P188" i="24"/>
  <c r="P191" i="24" s="1"/>
  <c r="S49" i="28" s="1"/>
  <c r="J188" i="24"/>
  <c r="J191" i="24" s="1"/>
  <c r="M49" i="28" s="1"/>
  <c r="Q82" i="24"/>
  <c r="Q85" i="24" s="1"/>
  <c r="T47" i="28" s="1"/>
  <c r="C82" i="24"/>
  <c r="C85" i="24" s="1"/>
  <c r="F47" i="28" s="1"/>
  <c r="O296" i="24"/>
  <c r="O299" i="24" s="1"/>
  <c r="R50" i="28" s="1"/>
  <c r="AA405" i="24"/>
  <c r="AA408" i="24" s="1"/>
  <c r="AD51" i="28" s="1"/>
  <c r="AC82" i="24"/>
  <c r="AC85" i="24" s="1"/>
  <c r="AF47" i="28" s="1"/>
  <c r="T82" i="24"/>
  <c r="T85" i="24" s="1"/>
  <c r="W47" i="28" s="1"/>
  <c r="W82" i="24"/>
  <c r="W85" i="24" s="1"/>
  <c r="Z47" i="28" s="1"/>
  <c r="W188" i="24"/>
  <c r="W191" i="24" s="1"/>
  <c r="Z49" i="28" s="1"/>
  <c r="H405" i="24"/>
  <c r="H408" i="24" s="1"/>
  <c r="K51" i="28" s="1"/>
  <c r="P296" i="24"/>
  <c r="P299" i="24" s="1"/>
  <c r="S50" i="28" s="1"/>
  <c r="I188" i="24"/>
  <c r="I191" i="24" s="1"/>
  <c r="L49" i="28" s="1"/>
  <c r="L82" i="24"/>
  <c r="L85" i="24" s="1"/>
  <c r="O47" i="28" s="1"/>
  <c r="G405" i="24"/>
  <c r="G408" i="24" s="1"/>
  <c r="J51" i="28" s="1"/>
  <c r="H296" i="24"/>
  <c r="H299" i="24" s="1"/>
  <c r="K50" i="28" s="1"/>
  <c r="U296" i="24"/>
  <c r="U299" i="24" s="1"/>
  <c r="X50" i="28" s="1"/>
  <c r="N296" i="24"/>
  <c r="N299" i="24" s="1"/>
  <c r="Q50" i="28" s="1"/>
  <c r="B405" i="24"/>
  <c r="B408" i="24" s="1"/>
  <c r="E51" i="28" s="1"/>
  <c r="D82" i="24"/>
  <c r="D85" i="24" s="1"/>
  <c r="G47" i="28" s="1"/>
  <c r="T188" i="24"/>
  <c r="T191" i="24" s="1"/>
  <c r="W49" i="28" s="1"/>
  <c r="R82" i="24"/>
  <c r="R85" i="24" s="1"/>
  <c r="U47" i="28" s="1"/>
  <c r="R296" i="24"/>
  <c r="R299" i="24" s="1"/>
  <c r="U50" i="28" s="1"/>
  <c r="M188" i="24"/>
  <c r="M191" i="24" s="1"/>
  <c r="P49" i="28" s="1"/>
  <c r="X188" i="24"/>
  <c r="X191" i="24" s="1"/>
  <c r="AA49" i="28" s="1"/>
  <c r="E296" i="24"/>
  <c r="E299" i="24" s="1"/>
  <c r="H50" i="28" s="1"/>
  <c r="V405" i="24"/>
  <c r="V408" i="24" s="1"/>
  <c r="Y51" i="28" s="1"/>
  <c r="O188" i="24"/>
  <c r="O191" i="24" s="1"/>
  <c r="R49" i="28" s="1"/>
  <c r="T405" i="24"/>
  <c r="T408" i="24" s="1"/>
  <c r="W51" i="28" s="1"/>
  <c r="H82" i="24"/>
  <c r="H85" i="24" s="1"/>
  <c r="K47" i="28" s="1"/>
  <c r="E188" i="24"/>
  <c r="E191" i="24" s="1"/>
  <c r="H49" i="28" s="1"/>
  <c r="V188" i="24"/>
  <c r="V191" i="24" s="1"/>
  <c r="Y49" i="28" s="1"/>
  <c r="Z296" i="24"/>
  <c r="Z299" i="24" s="1"/>
  <c r="AC50" i="28" s="1"/>
  <c r="O82" i="24"/>
  <c r="O85" i="24" s="1"/>
  <c r="R47" i="28" s="1"/>
  <c r="AA82" i="24"/>
  <c r="AA85" i="24" s="1"/>
  <c r="AD47" i="28" s="1"/>
  <c r="G82" i="24"/>
  <c r="G85" i="24" s="1"/>
  <c r="J47" i="28" s="1"/>
  <c r="I82" i="24"/>
  <c r="I85" i="24" s="1"/>
  <c r="L47" i="28" s="1"/>
  <c r="E405" i="24"/>
  <c r="E408" i="24" s="1"/>
  <c r="H51" i="28" s="1"/>
  <c r="AA188" i="24"/>
  <c r="AA191" i="24" s="1"/>
  <c r="AD49" i="28" s="1"/>
  <c r="T296" i="24"/>
  <c r="T299" i="24" s="1"/>
  <c r="W50" i="28" s="1"/>
  <c r="J296" i="24"/>
  <c r="J299" i="24" s="1"/>
  <c r="M50" i="28" s="1"/>
  <c r="M405" i="24"/>
  <c r="M408" i="24" s="1"/>
  <c r="P51" i="28" s="1"/>
  <c r="I405" i="24"/>
  <c r="I408" i="24" s="1"/>
  <c r="L51" i="28" s="1"/>
  <c r="O405" i="24"/>
  <c r="O408" i="24" s="1"/>
  <c r="R51" i="28" s="1"/>
  <c r="R188" i="24"/>
  <c r="R191" i="24" s="1"/>
  <c r="U49" i="28" s="1"/>
  <c r="G188" i="24"/>
  <c r="G191" i="24" s="1"/>
  <c r="J49" i="28" s="1"/>
  <c r="U188" i="24"/>
  <c r="U191" i="24" s="1"/>
  <c r="X49" i="28" s="1"/>
  <c r="S188" i="24"/>
  <c r="S191" i="24" s="1"/>
  <c r="V49" i="28" s="1"/>
  <c r="U82" i="24"/>
  <c r="U85" i="24" s="1"/>
  <c r="X47" i="28" s="1"/>
  <c r="J405" i="24"/>
  <c r="J408" i="24" s="1"/>
  <c r="M51" i="28" s="1"/>
  <c r="Q405" i="24"/>
  <c r="Q408" i="24" s="1"/>
  <c r="T51" i="28" s="1"/>
  <c r="K296" i="24"/>
  <c r="K299" i="24" s="1"/>
  <c r="N50" i="28" s="1"/>
  <c r="AC296" i="24"/>
  <c r="AC299" i="24" s="1"/>
  <c r="AF50" i="28" s="1"/>
  <c r="V296" i="24"/>
  <c r="V299" i="24" s="1"/>
  <c r="Y50" i="28" s="1"/>
  <c r="S296" i="24"/>
  <c r="S299" i="24" s="1"/>
  <c r="V50" i="28" s="1"/>
  <c r="B82" i="24"/>
  <c r="B85" i="24" s="1"/>
  <c r="E47" i="28" s="1"/>
  <c r="AB405" i="24"/>
  <c r="AB408" i="24" s="1"/>
  <c r="AE51" i="28" s="1"/>
  <c r="D296" i="24"/>
  <c r="D299" i="24" s="1"/>
  <c r="G50" i="28" s="1"/>
  <c r="W296" i="24"/>
  <c r="W299" i="24" s="1"/>
  <c r="Z50" i="28" s="1"/>
  <c r="D405" i="24"/>
  <c r="D408" i="24" s="1"/>
  <c r="G51" i="28" s="1"/>
  <c r="F188" i="24"/>
  <c r="F191" i="24" s="1"/>
  <c r="I49" i="28" s="1"/>
  <c r="X296" i="24"/>
  <c r="X299" i="24" s="1"/>
  <c r="AA50" i="28" s="1"/>
  <c r="B188" i="24"/>
  <c r="B191" i="24" s="1"/>
  <c r="E49" i="28" s="1"/>
  <c r="AB82" i="24"/>
  <c r="AB85" i="24" s="1"/>
  <c r="AE47" i="28" s="1"/>
  <c r="P82" i="24"/>
  <c r="P85" i="24" s="1"/>
  <c r="S47" i="28" s="1"/>
  <c r="AC405" i="24"/>
  <c r="AC408" i="24" s="1"/>
  <c r="AF51" i="28" s="1"/>
  <c r="V82" i="24"/>
  <c r="V85" i="24" s="1"/>
  <c r="Y47" i="28" s="1"/>
  <c r="L188" i="24"/>
  <c r="L191" i="24" s="1"/>
  <c r="O49" i="28" s="1"/>
  <c r="C188" i="24"/>
  <c r="C191" i="24" s="1"/>
  <c r="F49" i="28" s="1"/>
  <c r="P405" i="24"/>
  <c r="P408" i="24" s="1"/>
  <c r="S51" i="28" s="1"/>
  <c r="N405" i="24"/>
  <c r="N408" i="24" s="1"/>
  <c r="Q51" i="28" s="1"/>
  <c r="W405" i="24"/>
  <c r="W408" i="24" s="1"/>
  <c r="Z51" i="28" s="1"/>
  <c r="U405" i="24"/>
  <c r="U408" i="24" s="1"/>
  <c r="X51" i="28" s="1"/>
  <c r="Z188" i="24"/>
  <c r="Z191" i="24" s="1"/>
  <c r="AC49" i="28" s="1"/>
  <c r="Y296" i="24"/>
  <c r="Y299" i="24" s="1"/>
  <c r="AB50" i="28" s="1"/>
  <c r="M82" i="24"/>
  <c r="M85" i="24" s="1"/>
  <c r="P47" i="28" s="1"/>
  <c r="H188" i="24"/>
  <c r="H191" i="24" s="1"/>
  <c r="K49" i="28" s="1"/>
  <c r="AB188" i="24"/>
  <c r="AB191" i="24" s="1"/>
  <c r="AE49" i="28" s="1"/>
  <c r="K82" i="24"/>
  <c r="K85" i="24" s="1"/>
  <c r="N47" i="28" s="1"/>
  <c r="K188" i="24"/>
  <c r="K191" i="24" s="1"/>
  <c r="N49" i="28" s="1"/>
  <c r="F296" i="24"/>
  <c r="F299" i="24" s="1"/>
  <c r="I50" i="28" s="1"/>
  <c r="S297" i="23"/>
  <c r="M83" i="23"/>
  <c r="D511" i="23"/>
  <c r="U83" i="23"/>
  <c r="H189" i="23"/>
  <c r="C189" i="23"/>
  <c r="J406" i="23"/>
  <c r="Q297" i="23"/>
  <c r="AB83" i="23"/>
  <c r="AB189" i="23"/>
  <c r="R511" i="23"/>
  <c r="Q511" i="23"/>
  <c r="B297" i="23"/>
  <c r="M511" i="23"/>
  <c r="AB511" i="23"/>
  <c r="B189" i="23"/>
  <c r="R297" i="23"/>
  <c r="B406" i="23"/>
  <c r="T189" i="23"/>
  <c r="AB189" i="22"/>
  <c r="C189" i="22"/>
  <c r="P83" i="22"/>
  <c r="I406" i="22"/>
  <c r="K297" i="22"/>
  <c r="O189" i="22"/>
  <c r="L406" i="22"/>
  <c r="R511" i="22"/>
  <c r="AB406" i="22"/>
  <c r="S297" i="22"/>
  <c r="N83" i="22"/>
  <c r="Y297" i="22"/>
  <c r="N297" i="22"/>
  <c r="U83" i="22"/>
  <c r="S189" i="22"/>
  <c r="W511" i="22"/>
  <c r="N406" i="22"/>
  <c r="C83" i="22"/>
  <c r="X406" i="21"/>
  <c r="AB406" i="21"/>
  <c r="M511" i="21"/>
  <c r="AB511" i="21"/>
  <c r="Y297" i="21"/>
  <c r="S511" i="21"/>
  <c r="J297" i="21"/>
  <c r="D189" i="21"/>
  <c r="T511" i="21"/>
  <c r="G83" i="20"/>
  <c r="M297" i="20"/>
  <c r="W189" i="20"/>
  <c r="J297" i="20"/>
  <c r="T83" i="20"/>
  <c r="X297" i="20"/>
  <c r="X406" i="20"/>
  <c r="O189" i="20"/>
  <c r="Q297" i="20"/>
  <c r="R406" i="20"/>
  <c r="R189" i="20"/>
  <c r="AB406" i="19"/>
  <c r="L511" i="19"/>
  <c r="AA511" i="19"/>
  <c r="Z83" i="19"/>
  <c r="X511" i="19"/>
  <c r="T189" i="19"/>
  <c r="E83" i="19"/>
  <c r="AB83" i="19"/>
  <c r="M406" i="19"/>
  <c r="Q406" i="19"/>
  <c r="X189" i="19"/>
  <c r="R297" i="19"/>
  <c r="G83" i="19"/>
  <c r="X83" i="19"/>
  <c r="Z511" i="19"/>
  <c r="V189" i="19"/>
  <c r="N406" i="19"/>
  <c r="AB511" i="19"/>
  <c r="Q189" i="19"/>
  <c r="E85" i="26" l="1"/>
  <c r="H57" i="28" s="1"/>
  <c r="Y408" i="25"/>
  <c r="AB56" i="28" s="1"/>
  <c r="Z408" i="26"/>
  <c r="AC61" i="28" s="1"/>
  <c r="X296" i="21"/>
  <c r="X299" i="21" s="1"/>
  <c r="AA24" i="28" s="1"/>
  <c r="J510" i="22"/>
  <c r="J513" i="22" s="1"/>
  <c r="M31" i="28" s="1"/>
  <c r="Q191" i="24"/>
  <c r="T49" i="28" s="1"/>
  <c r="I85" i="25"/>
  <c r="L52" i="28" s="1"/>
  <c r="R408" i="24"/>
  <c r="U51" i="28" s="1"/>
  <c r="Z408" i="24"/>
  <c r="AC51" i="28" s="1"/>
  <c r="AB408" i="26"/>
  <c r="AE61" i="28" s="1"/>
  <c r="AA191" i="26"/>
  <c r="AD59" i="28" s="1"/>
  <c r="F299" i="25"/>
  <c r="I55" i="28" s="1"/>
  <c r="P85" i="25"/>
  <c r="S52" i="28" s="1"/>
  <c r="J85" i="25"/>
  <c r="M52" i="28" s="1"/>
  <c r="S408" i="24"/>
  <c r="V51" i="28" s="1"/>
  <c r="I299" i="24"/>
  <c r="L50" i="28" s="1"/>
  <c r="C408" i="24"/>
  <c r="F51" i="28" s="1"/>
  <c r="G299" i="24"/>
  <c r="J50" i="28" s="1"/>
  <c r="E85" i="24"/>
  <c r="H47" i="28" s="1"/>
  <c r="C299" i="24"/>
  <c r="F50" i="28" s="1"/>
  <c r="X82" i="21"/>
  <c r="X83" i="21"/>
  <c r="Y510" i="21"/>
  <c r="Y511" i="21"/>
  <c r="R405" i="22"/>
  <c r="R406" i="22"/>
  <c r="Q188" i="22"/>
  <c r="Q189" i="22"/>
  <c r="L510" i="22"/>
  <c r="L511" i="22"/>
  <c r="Q82" i="23"/>
  <c r="Q83" i="23"/>
  <c r="L405" i="23"/>
  <c r="L406" i="23"/>
  <c r="M188" i="23"/>
  <c r="M189" i="23"/>
  <c r="AB82" i="21"/>
  <c r="AB83" i="21"/>
  <c r="W405" i="22"/>
  <c r="W406" i="22"/>
  <c r="P296" i="22"/>
  <c r="P297" i="22"/>
  <c r="Y510" i="23"/>
  <c r="Y511" i="23"/>
  <c r="K188" i="23"/>
  <c r="K189" i="23"/>
  <c r="AA510" i="23"/>
  <c r="AA511" i="23"/>
  <c r="AB510" i="22"/>
  <c r="AB511" i="22"/>
  <c r="E296" i="23"/>
  <c r="E297" i="23"/>
  <c r="P82" i="21"/>
  <c r="P83" i="21"/>
  <c r="N82" i="23"/>
  <c r="N83" i="23"/>
  <c r="I510" i="21"/>
  <c r="I511" i="21"/>
  <c r="H510" i="22"/>
  <c r="H511" i="22"/>
  <c r="X82" i="22"/>
  <c r="X83" i="22"/>
  <c r="C405" i="23"/>
  <c r="C406" i="23"/>
  <c r="F510" i="23"/>
  <c r="F511" i="23"/>
  <c r="D82" i="21"/>
  <c r="D83" i="21"/>
  <c r="L405" i="21"/>
  <c r="L406" i="21"/>
  <c r="R82" i="22"/>
  <c r="R83" i="22"/>
  <c r="P405" i="23"/>
  <c r="P406" i="23"/>
  <c r="Q510" i="21"/>
  <c r="Q511" i="21"/>
  <c r="W82" i="22"/>
  <c r="W83" i="22"/>
  <c r="C510" i="22"/>
  <c r="C511" i="22"/>
  <c r="R82" i="19"/>
  <c r="R83" i="19"/>
  <c r="H405" i="19"/>
  <c r="H406" i="19"/>
  <c r="U82" i="20"/>
  <c r="U83" i="20"/>
  <c r="B405" i="20"/>
  <c r="B406" i="20"/>
  <c r="G188" i="20"/>
  <c r="G189" i="20"/>
  <c r="M510" i="19"/>
  <c r="M511" i="19"/>
  <c r="V510" i="20"/>
  <c r="V511" i="20"/>
  <c r="B83" i="19"/>
  <c r="B82" i="19"/>
  <c r="T510" i="19"/>
  <c r="T511" i="19"/>
  <c r="I510" i="19"/>
  <c r="I511" i="19"/>
  <c r="AA82" i="19"/>
  <c r="AA83" i="19"/>
  <c r="I188" i="19"/>
  <c r="I189" i="19"/>
  <c r="J82" i="19"/>
  <c r="J83" i="19"/>
  <c r="AB82" i="20"/>
  <c r="AB83" i="20"/>
  <c r="M510" i="20"/>
  <c r="M511" i="20"/>
  <c r="X510" i="20"/>
  <c r="X511" i="20"/>
  <c r="AA82" i="20"/>
  <c r="AA83" i="20"/>
  <c r="F405" i="20"/>
  <c r="F406" i="20"/>
  <c r="I296" i="19"/>
  <c r="I297" i="19"/>
  <c r="R82" i="20"/>
  <c r="R83" i="20"/>
  <c r="O82" i="19"/>
  <c r="O83" i="19"/>
  <c r="S296" i="19"/>
  <c r="S297" i="19"/>
  <c r="V296" i="20"/>
  <c r="V297" i="20"/>
  <c r="N510" i="20"/>
  <c r="N511" i="20"/>
  <c r="Y405" i="22"/>
  <c r="Y408" i="22" s="1"/>
  <c r="AB30" i="28" s="1"/>
  <c r="P188" i="23"/>
  <c r="P191" i="23" s="1"/>
  <c r="S33" i="28" s="1"/>
  <c r="B510" i="19"/>
  <c r="B513" i="19" s="1"/>
  <c r="E11" i="28" s="1"/>
  <c r="L296" i="20"/>
  <c r="L299" i="20" s="1"/>
  <c r="O14" i="28" s="1"/>
  <c r="P510" i="21"/>
  <c r="P513" i="21" s="1"/>
  <c r="S26" i="28" s="1"/>
  <c r="E188" i="22"/>
  <c r="E191" i="22" s="1"/>
  <c r="H28" i="28" s="1"/>
  <c r="Z296" i="20"/>
  <c r="Z299" i="20" s="1"/>
  <c r="AC14" i="28" s="1"/>
  <c r="W188" i="23"/>
  <c r="W191" i="23" s="1"/>
  <c r="Z33" i="28" s="1"/>
  <c r="I82" i="23"/>
  <c r="I85" i="23" s="1"/>
  <c r="L32" i="28" s="1"/>
  <c r="S82" i="23"/>
  <c r="S85" i="23" s="1"/>
  <c r="V32" i="28" s="1"/>
  <c r="K82" i="23"/>
  <c r="K85" i="23" s="1"/>
  <c r="N32" i="28" s="1"/>
  <c r="Y405" i="23"/>
  <c r="Y408" i="23" s="1"/>
  <c r="AB35" i="28" s="1"/>
  <c r="V82" i="23"/>
  <c r="V85" i="23" s="1"/>
  <c r="Y32" i="28" s="1"/>
  <c r="S510" i="23"/>
  <c r="S513" i="23" s="1"/>
  <c r="V36" i="28" s="1"/>
  <c r="AB405" i="23"/>
  <c r="AB408" i="23" s="1"/>
  <c r="AE35" i="28" s="1"/>
  <c r="J188" i="23"/>
  <c r="J191" i="23" s="1"/>
  <c r="M33" i="28" s="1"/>
  <c r="E82" i="23"/>
  <c r="E85" i="23" s="1"/>
  <c r="H32" i="28" s="1"/>
  <c r="AB510" i="23"/>
  <c r="AB513" i="23" s="1"/>
  <c r="AE36" i="28" s="1"/>
  <c r="M510" i="23"/>
  <c r="M513" i="23" s="1"/>
  <c r="P36" i="28" s="1"/>
  <c r="B296" i="23"/>
  <c r="B299" i="23" s="1"/>
  <c r="E34" i="28" s="1"/>
  <c r="C296" i="23"/>
  <c r="C299" i="23" s="1"/>
  <c r="F34" i="28" s="1"/>
  <c r="V188" i="23"/>
  <c r="V191" i="23" s="1"/>
  <c r="Y33" i="28" s="1"/>
  <c r="AB82" i="23"/>
  <c r="AB85" i="23" s="1"/>
  <c r="AE32" i="28" s="1"/>
  <c r="D296" i="23"/>
  <c r="D299" i="23" s="1"/>
  <c r="G34" i="28" s="1"/>
  <c r="H188" i="23"/>
  <c r="H191" i="23" s="1"/>
  <c r="K33" i="28" s="1"/>
  <c r="X405" i="23"/>
  <c r="X408" i="23" s="1"/>
  <c r="AA35" i="28" s="1"/>
  <c r="M82" i="23"/>
  <c r="M85" i="23" s="1"/>
  <c r="P32" i="28" s="1"/>
  <c r="T296" i="23"/>
  <c r="T299" i="23" s="1"/>
  <c r="W34" i="28" s="1"/>
  <c r="V510" i="23"/>
  <c r="V513" i="23" s="1"/>
  <c r="Y36" i="28" s="1"/>
  <c r="N296" i="23"/>
  <c r="N299" i="23" s="1"/>
  <c r="Q34" i="28" s="1"/>
  <c r="V296" i="23"/>
  <c r="V299" i="23" s="1"/>
  <c r="Y34" i="28" s="1"/>
  <c r="K510" i="23"/>
  <c r="K513" i="23" s="1"/>
  <c r="N36" i="28" s="1"/>
  <c r="I510" i="23"/>
  <c r="I513" i="23" s="1"/>
  <c r="L36" i="28" s="1"/>
  <c r="U296" i="23"/>
  <c r="U299" i="23" s="1"/>
  <c r="X34" i="28" s="1"/>
  <c r="U510" i="23"/>
  <c r="U513" i="23" s="1"/>
  <c r="X36" i="28" s="1"/>
  <c r="G82" i="23"/>
  <c r="G85" i="23" s="1"/>
  <c r="J32" i="28" s="1"/>
  <c r="AB188" i="23"/>
  <c r="AB191" i="23" s="1"/>
  <c r="AE33" i="28" s="1"/>
  <c r="U405" i="23"/>
  <c r="U408" i="23" s="1"/>
  <c r="X35" i="28" s="1"/>
  <c r="B82" i="23"/>
  <c r="B85" i="23" s="1"/>
  <c r="E32" i="28" s="1"/>
  <c r="F296" i="23"/>
  <c r="F299" i="23" s="1"/>
  <c r="I34" i="28" s="1"/>
  <c r="O296" i="23"/>
  <c r="O299" i="23" s="1"/>
  <c r="R34" i="28" s="1"/>
  <c r="C510" i="23"/>
  <c r="C513" i="23" s="1"/>
  <c r="F36" i="28" s="1"/>
  <c r="K296" i="23"/>
  <c r="K299" i="23" s="1"/>
  <c r="N34" i="28" s="1"/>
  <c r="Z82" i="23"/>
  <c r="Z85" i="23" s="1"/>
  <c r="AC32" i="28" s="1"/>
  <c r="M405" i="23"/>
  <c r="M408" i="23" s="1"/>
  <c r="P35" i="28" s="1"/>
  <c r="Y296" i="23"/>
  <c r="Y299" i="23" s="1"/>
  <c r="AB34" i="28" s="1"/>
  <c r="AC188" i="23"/>
  <c r="AC191" i="23" s="1"/>
  <c r="AF33" i="28" s="1"/>
  <c r="Z296" i="23"/>
  <c r="Z299" i="23" s="1"/>
  <c r="AC34" i="28" s="1"/>
  <c r="U188" i="23"/>
  <c r="U191" i="23" s="1"/>
  <c r="X33" i="28" s="1"/>
  <c r="G188" i="23"/>
  <c r="G191" i="23" s="1"/>
  <c r="J33" i="28" s="1"/>
  <c r="B510" i="23"/>
  <c r="B513" i="23" s="1"/>
  <c r="E36" i="28" s="1"/>
  <c r="V405" i="23"/>
  <c r="V408" i="23" s="1"/>
  <c r="Y35" i="28" s="1"/>
  <c r="L82" i="23"/>
  <c r="L85" i="23" s="1"/>
  <c r="O32" i="28" s="1"/>
  <c r="X188" i="23"/>
  <c r="X191" i="23" s="1"/>
  <c r="AA33" i="28" s="1"/>
  <c r="O82" i="23"/>
  <c r="O85" i="23" s="1"/>
  <c r="R32" i="28" s="1"/>
  <c r="Y188" i="23"/>
  <c r="Y191" i="23" s="1"/>
  <c r="AB33" i="28" s="1"/>
  <c r="R296" i="23"/>
  <c r="R299" i="23" s="1"/>
  <c r="U34" i="28" s="1"/>
  <c r="O405" i="23"/>
  <c r="O408" i="23" s="1"/>
  <c r="R35" i="28" s="1"/>
  <c r="J296" i="23"/>
  <c r="J299" i="23" s="1"/>
  <c r="M34" i="28" s="1"/>
  <c r="AA296" i="23"/>
  <c r="AA299" i="23" s="1"/>
  <c r="AD34" i="28" s="1"/>
  <c r="E188" i="23"/>
  <c r="E191" i="23" s="1"/>
  <c r="H33" i="28" s="1"/>
  <c r="Q510" i="23"/>
  <c r="Q513" i="23" s="1"/>
  <c r="T36" i="28" s="1"/>
  <c r="M296" i="23"/>
  <c r="M299" i="23" s="1"/>
  <c r="P34" i="28" s="1"/>
  <c r="C188" i="23"/>
  <c r="C191" i="23" s="1"/>
  <c r="F33" i="28" s="1"/>
  <c r="N510" i="23"/>
  <c r="N513" i="23" s="1"/>
  <c r="Q36" i="28" s="1"/>
  <c r="AC82" i="23"/>
  <c r="AC85" i="23" s="1"/>
  <c r="AF32" i="28" s="1"/>
  <c r="W82" i="23"/>
  <c r="W85" i="23" s="1"/>
  <c r="Z32" i="28" s="1"/>
  <c r="H405" i="23"/>
  <c r="H408" i="23" s="1"/>
  <c r="K35" i="28" s="1"/>
  <c r="L188" i="23"/>
  <c r="L191" i="23" s="1"/>
  <c r="O33" i="28" s="1"/>
  <c r="Q188" i="23"/>
  <c r="Q191" i="23" s="1"/>
  <c r="T33" i="28" s="1"/>
  <c r="I296" i="23"/>
  <c r="I299" i="23" s="1"/>
  <c r="L34" i="28" s="1"/>
  <c r="AA188" i="23"/>
  <c r="AA191" i="23" s="1"/>
  <c r="AD33" i="28" s="1"/>
  <c r="L296" i="23"/>
  <c r="L299" i="23" s="1"/>
  <c r="O34" i="28" s="1"/>
  <c r="G296" i="23"/>
  <c r="G299" i="23" s="1"/>
  <c r="J34" i="28" s="1"/>
  <c r="N405" i="23"/>
  <c r="N408" i="23" s="1"/>
  <c r="Q35" i="28" s="1"/>
  <c r="Z188" i="23"/>
  <c r="Z191" i="23" s="1"/>
  <c r="AC33" i="28" s="1"/>
  <c r="B188" i="23"/>
  <c r="B191" i="23" s="1"/>
  <c r="E33" i="28" s="1"/>
  <c r="H510" i="23"/>
  <c r="H513" i="23" s="1"/>
  <c r="K36" i="28" s="1"/>
  <c r="G510" i="23"/>
  <c r="G513" i="23" s="1"/>
  <c r="J36" i="28" s="1"/>
  <c r="H82" i="23"/>
  <c r="H85" i="23" s="1"/>
  <c r="K32" i="28" s="1"/>
  <c r="I188" i="23"/>
  <c r="I191" i="23" s="1"/>
  <c r="L33" i="28" s="1"/>
  <c r="F188" i="23"/>
  <c r="F191" i="23" s="1"/>
  <c r="I33" i="28" s="1"/>
  <c r="Z405" i="23"/>
  <c r="Z408" i="23" s="1"/>
  <c r="AC35" i="28" s="1"/>
  <c r="S405" i="23"/>
  <c r="S408" i="23" s="1"/>
  <c r="V35" i="28" s="1"/>
  <c r="AC405" i="23"/>
  <c r="AC408" i="23" s="1"/>
  <c r="AF35" i="28" s="1"/>
  <c r="J510" i="23"/>
  <c r="J513" i="23" s="1"/>
  <c r="M36" i="28" s="1"/>
  <c r="D405" i="23"/>
  <c r="D408" i="23" s="1"/>
  <c r="G35" i="28" s="1"/>
  <c r="E510" i="23"/>
  <c r="E513" i="23" s="1"/>
  <c r="H36" i="28" s="1"/>
  <c r="D188" i="23"/>
  <c r="D191" i="23" s="1"/>
  <c r="G33" i="28" s="1"/>
  <c r="X82" i="23"/>
  <c r="X85" i="23" s="1"/>
  <c r="AA32" i="28" s="1"/>
  <c r="Q296" i="23"/>
  <c r="Q299" i="23" s="1"/>
  <c r="T34" i="28" s="1"/>
  <c r="J405" i="23"/>
  <c r="J408" i="23" s="1"/>
  <c r="M35" i="28" s="1"/>
  <c r="K405" i="23"/>
  <c r="K408" i="23" s="1"/>
  <c r="N35" i="28" s="1"/>
  <c r="X296" i="23"/>
  <c r="X299" i="23" s="1"/>
  <c r="AA34" i="28" s="1"/>
  <c r="X510" i="23"/>
  <c r="X513" i="23" s="1"/>
  <c r="AA36" i="28" s="1"/>
  <c r="E405" i="23"/>
  <c r="E408" i="23" s="1"/>
  <c r="H35" i="28" s="1"/>
  <c r="T82" i="23"/>
  <c r="T85" i="23" s="1"/>
  <c r="W32" i="28" s="1"/>
  <c r="T405" i="23"/>
  <c r="T408" i="23" s="1"/>
  <c r="W35" i="28" s="1"/>
  <c r="P510" i="23"/>
  <c r="P513" i="23" s="1"/>
  <c r="S36" i="28" s="1"/>
  <c r="O188" i="23"/>
  <c r="O191" i="23" s="1"/>
  <c r="R33" i="28" s="1"/>
  <c r="U82" i="23"/>
  <c r="U85" i="23" s="1"/>
  <c r="X32" i="28" s="1"/>
  <c r="G405" i="23"/>
  <c r="G408" i="23" s="1"/>
  <c r="J35" i="28" s="1"/>
  <c r="S296" i="23"/>
  <c r="S299" i="23" s="1"/>
  <c r="V34" i="28" s="1"/>
  <c r="N188" i="23"/>
  <c r="N191" i="23" s="1"/>
  <c r="Q33" i="28" s="1"/>
  <c r="T188" i="23"/>
  <c r="T191" i="23" s="1"/>
  <c r="W33" i="28" s="1"/>
  <c r="L510" i="23"/>
  <c r="L513" i="23" s="1"/>
  <c r="O36" i="28" s="1"/>
  <c r="D82" i="23"/>
  <c r="D85" i="23" s="1"/>
  <c r="G32" i="28" s="1"/>
  <c r="S188" i="23"/>
  <c r="S191" i="23" s="1"/>
  <c r="V33" i="28" s="1"/>
  <c r="R188" i="23"/>
  <c r="R191" i="23" s="1"/>
  <c r="U33" i="28" s="1"/>
  <c r="B405" i="23"/>
  <c r="B408" i="23" s="1"/>
  <c r="E35" i="28" s="1"/>
  <c r="R405" i="23"/>
  <c r="R408" i="23" s="1"/>
  <c r="U35" i="28" s="1"/>
  <c r="C82" i="23"/>
  <c r="C85" i="23" s="1"/>
  <c r="F32" i="28" s="1"/>
  <c r="W296" i="23"/>
  <c r="W299" i="23" s="1"/>
  <c r="Z34" i="28" s="1"/>
  <c r="AC510" i="23"/>
  <c r="AC513" i="23" s="1"/>
  <c r="AF36" i="28" s="1"/>
  <c r="F82" i="23"/>
  <c r="F85" i="23" s="1"/>
  <c r="I32" i="28" s="1"/>
  <c r="Q405" i="23"/>
  <c r="Q408" i="23" s="1"/>
  <c r="T35" i="28" s="1"/>
  <c r="AB296" i="23"/>
  <c r="AB299" i="23" s="1"/>
  <c r="AE34" i="28" s="1"/>
  <c r="J82" i="23"/>
  <c r="J85" i="23" s="1"/>
  <c r="M32" i="28" s="1"/>
  <c r="I405" i="23"/>
  <c r="I408" i="23" s="1"/>
  <c r="L35" i="28" s="1"/>
  <c r="P82" i="23"/>
  <c r="P85" i="23" s="1"/>
  <c r="S32" i="28" s="1"/>
  <c r="Y82" i="23"/>
  <c r="Y85" i="23" s="1"/>
  <c r="AB32" i="28" s="1"/>
  <c r="O510" i="23"/>
  <c r="O513" i="23" s="1"/>
  <c r="R36" i="28" s="1"/>
  <c r="H296" i="23"/>
  <c r="H299" i="23" s="1"/>
  <c r="K34" i="28" s="1"/>
  <c r="P296" i="23"/>
  <c r="P299" i="23" s="1"/>
  <c r="S34" i="28" s="1"/>
  <c r="Z510" i="23"/>
  <c r="Z513" i="23" s="1"/>
  <c r="AC36" i="28" s="1"/>
  <c r="R82" i="23"/>
  <c r="R85" i="23" s="1"/>
  <c r="U32" i="28" s="1"/>
  <c r="W405" i="23"/>
  <c r="W408" i="23" s="1"/>
  <c r="Z35" i="28" s="1"/>
  <c r="AA405" i="23"/>
  <c r="AA408" i="23" s="1"/>
  <c r="AD35" i="28" s="1"/>
  <c r="R510" i="23"/>
  <c r="R513" i="23" s="1"/>
  <c r="U36" i="28" s="1"/>
  <c r="W510" i="23"/>
  <c r="W513" i="23" s="1"/>
  <c r="Z36" i="28" s="1"/>
  <c r="AC296" i="23"/>
  <c r="AC299" i="23" s="1"/>
  <c r="AF34" i="28" s="1"/>
  <c r="T510" i="23"/>
  <c r="T513" i="23" s="1"/>
  <c r="W36" i="28" s="1"/>
  <c r="AA82" i="23"/>
  <c r="AA85" i="23" s="1"/>
  <c r="AD32" i="28" s="1"/>
  <c r="F405" i="23"/>
  <c r="F408" i="23" s="1"/>
  <c r="I35" i="28" s="1"/>
  <c r="D510" i="23"/>
  <c r="D513" i="23" s="1"/>
  <c r="G36" i="28" s="1"/>
  <c r="W188" i="22"/>
  <c r="W191" i="22" s="1"/>
  <c r="Z28" i="28" s="1"/>
  <c r="X510" i="22"/>
  <c r="X513" i="22" s="1"/>
  <c r="AA31" i="28" s="1"/>
  <c r="Q296" i="22"/>
  <c r="Q299" i="22" s="1"/>
  <c r="T29" i="28" s="1"/>
  <c r="S188" i="22"/>
  <c r="S191" i="22" s="1"/>
  <c r="V28" i="28" s="1"/>
  <c r="Y82" i="22"/>
  <c r="Y85" i="22" s="1"/>
  <c r="AB27" i="28" s="1"/>
  <c r="G296" i="22"/>
  <c r="G299" i="22" s="1"/>
  <c r="J29" i="28" s="1"/>
  <c r="V82" i="22"/>
  <c r="V85" i="22" s="1"/>
  <c r="Y27" i="28" s="1"/>
  <c r="T82" i="22"/>
  <c r="T85" i="22" s="1"/>
  <c r="W27" i="28" s="1"/>
  <c r="R296" i="22"/>
  <c r="R299" i="22" s="1"/>
  <c r="U29" i="28" s="1"/>
  <c r="C405" i="22"/>
  <c r="C408" i="22" s="1"/>
  <c r="F30" i="28" s="1"/>
  <c r="S296" i="22"/>
  <c r="S299" i="22" s="1"/>
  <c r="V29" i="28" s="1"/>
  <c r="K296" i="22"/>
  <c r="K299" i="22" s="1"/>
  <c r="N29" i="28" s="1"/>
  <c r="I82" i="22"/>
  <c r="I85" i="22" s="1"/>
  <c r="L27" i="28" s="1"/>
  <c r="B82" i="22"/>
  <c r="B85" i="22" s="1"/>
  <c r="E27" i="28" s="1"/>
  <c r="L188" i="22"/>
  <c r="L191" i="22" s="1"/>
  <c r="O28" i="28" s="1"/>
  <c r="G82" i="22"/>
  <c r="G85" i="22" s="1"/>
  <c r="J27" i="28" s="1"/>
  <c r="AC405" i="22"/>
  <c r="AC408" i="22" s="1"/>
  <c r="AF30" i="28" s="1"/>
  <c r="G188" i="22"/>
  <c r="G191" i="22" s="1"/>
  <c r="J28" i="28" s="1"/>
  <c r="G405" i="22"/>
  <c r="G408" i="22" s="1"/>
  <c r="J30" i="28" s="1"/>
  <c r="Z296" i="22"/>
  <c r="Z299" i="22" s="1"/>
  <c r="AC29" i="28" s="1"/>
  <c r="T510" i="22"/>
  <c r="T513" i="22" s="1"/>
  <c r="W31" i="28" s="1"/>
  <c r="B188" i="22"/>
  <c r="B191" i="22" s="1"/>
  <c r="E28" i="28" s="1"/>
  <c r="I510" i="22"/>
  <c r="I513" i="22" s="1"/>
  <c r="L31" i="28" s="1"/>
  <c r="K510" i="22"/>
  <c r="K513" i="22" s="1"/>
  <c r="N31" i="28" s="1"/>
  <c r="O296" i="22"/>
  <c r="O299" i="22" s="1"/>
  <c r="R29" i="28" s="1"/>
  <c r="K405" i="22"/>
  <c r="K408" i="22" s="1"/>
  <c r="N30" i="28" s="1"/>
  <c r="J82" i="22"/>
  <c r="J85" i="22" s="1"/>
  <c r="M27" i="28" s="1"/>
  <c r="I405" i="22"/>
  <c r="I408" i="22" s="1"/>
  <c r="L30" i="28" s="1"/>
  <c r="L82" i="22"/>
  <c r="L85" i="22" s="1"/>
  <c r="O27" i="28" s="1"/>
  <c r="D510" i="22"/>
  <c r="D513" i="22" s="1"/>
  <c r="G31" i="28" s="1"/>
  <c r="C188" i="22"/>
  <c r="C191" i="22" s="1"/>
  <c r="F28" i="28" s="1"/>
  <c r="Y510" i="22"/>
  <c r="Y513" i="22" s="1"/>
  <c r="AB31" i="28" s="1"/>
  <c r="N296" i="22"/>
  <c r="N299" i="22" s="1"/>
  <c r="Q29" i="28" s="1"/>
  <c r="E510" i="22"/>
  <c r="E513" i="22" s="1"/>
  <c r="H31" i="28" s="1"/>
  <c r="AB296" i="22"/>
  <c r="AB299" i="22" s="1"/>
  <c r="AE29" i="28" s="1"/>
  <c r="C82" i="22"/>
  <c r="C85" i="22" s="1"/>
  <c r="F27" i="28" s="1"/>
  <c r="W510" i="22"/>
  <c r="W513" i="22" s="1"/>
  <c r="Z31" i="28" s="1"/>
  <c r="U82" i="22"/>
  <c r="U85" i="22" s="1"/>
  <c r="X27" i="28" s="1"/>
  <c r="U188" i="22"/>
  <c r="U191" i="22" s="1"/>
  <c r="X28" i="28" s="1"/>
  <c r="H296" i="22"/>
  <c r="H299" i="22" s="1"/>
  <c r="K29" i="28" s="1"/>
  <c r="X188" i="22"/>
  <c r="X191" i="22" s="1"/>
  <c r="AA28" i="28" s="1"/>
  <c r="M82" i="22"/>
  <c r="M85" i="22" s="1"/>
  <c r="P27" i="28" s="1"/>
  <c r="D405" i="22"/>
  <c r="D408" i="22" s="1"/>
  <c r="G30" i="28" s="1"/>
  <c r="B296" i="22"/>
  <c r="B299" i="22" s="1"/>
  <c r="E29" i="28" s="1"/>
  <c r="H188" i="22"/>
  <c r="H191" i="22" s="1"/>
  <c r="K28" i="28" s="1"/>
  <c r="N82" i="22"/>
  <c r="N85" i="22" s="1"/>
  <c r="Q27" i="28" s="1"/>
  <c r="J296" i="22"/>
  <c r="J299" i="22" s="1"/>
  <c r="M29" i="28" s="1"/>
  <c r="R510" i="22"/>
  <c r="R513" i="22" s="1"/>
  <c r="U31" i="28" s="1"/>
  <c r="O188" i="22"/>
  <c r="O191" i="22" s="1"/>
  <c r="R28" i="28" s="1"/>
  <c r="T405" i="22"/>
  <c r="T408" i="22" s="1"/>
  <c r="W30" i="28" s="1"/>
  <c r="D82" i="22"/>
  <c r="D85" i="22" s="1"/>
  <c r="G27" i="28" s="1"/>
  <c r="R188" i="22"/>
  <c r="R191" i="22" s="1"/>
  <c r="U28" i="28" s="1"/>
  <c r="B405" i="22"/>
  <c r="B408" i="22" s="1"/>
  <c r="E30" i="28" s="1"/>
  <c r="AA405" i="22"/>
  <c r="AA408" i="22" s="1"/>
  <c r="AD30" i="28" s="1"/>
  <c r="N405" i="22"/>
  <c r="N408" i="22" s="1"/>
  <c r="Q30" i="28" s="1"/>
  <c r="G510" i="22"/>
  <c r="G513" i="22" s="1"/>
  <c r="J31" i="28" s="1"/>
  <c r="AC510" i="22"/>
  <c r="AC513" i="22" s="1"/>
  <c r="AF31" i="28" s="1"/>
  <c r="X296" i="22"/>
  <c r="X299" i="22" s="1"/>
  <c r="AA29" i="28" s="1"/>
  <c r="K82" i="22"/>
  <c r="K85" i="22" s="1"/>
  <c r="N27" i="28" s="1"/>
  <c r="D188" i="22"/>
  <c r="D191" i="22" s="1"/>
  <c r="G28" i="28" s="1"/>
  <c r="C296" i="22"/>
  <c r="C299" i="22" s="1"/>
  <c r="F29" i="28" s="1"/>
  <c r="B510" i="22"/>
  <c r="B513" i="22" s="1"/>
  <c r="E31" i="28" s="1"/>
  <c r="F188" i="22"/>
  <c r="F191" i="22" s="1"/>
  <c r="I28" i="28" s="1"/>
  <c r="V296" i="22"/>
  <c r="V299" i="22" s="1"/>
  <c r="Y29" i="28" s="1"/>
  <c r="Z188" i="22"/>
  <c r="Z191" i="22" s="1"/>
  <c r="AC28" i="28" s="1"/>
  <c r="N188" i="22"/>
  <c r="N191" i="22" s="1"/>
  <c r="Q28" i="28" s="1"/>
  <c r="AC188" i="22"/>
  <c r="AC191" i="22" s="1"/>
  <c r="AF28" i="28" s="1"/>
  <c r="L405" i="22"/>
  <c r="L408" i="22" s="1"/>
  <c r="O30" i="28" s="1"/>
  <c r="J188" i="22"/>
  <c r="J191" i="22" s="1"/>
  <c r="M28" i="28" s="1"/>
  <c r="T188" i="22"/>
  <c r="T191" i="22" s="1"/>
  <c r="W28" i="28" s="1"/>
  <c r="H405" i="22"/>
  <c r="H408" i="22" s="1"/>
  <c r="K30" i="28" s="1"/>
  <c r="AA510" i="22"/>
  <c r="AA513" i="22" s="1"/>
  <c r="AD31" i="28" s="1"/>
  <c r="P405" i="22"/>
  <c r="P408" i="22" s="1"/>
  <c r="S30" i="28" s="1"/>
  <c r="M188" i="22"/>
  <c r="M191" i="22" s="1"/>
  <c r="P28" i="28" s="1"/>
  <c r="E82" i="22"/>
  <c r="E85" i="22" s="1"/>
  <c r="H27" i="28" s="1"/>
  <c r="F82" i="22"/>
  <c r="F85" i="22" s="1"/>
  <c r="I27" i="28" s="1"/>
  <c r="Q82" i="22"/>
  <c r="Q85" i="22" s="1"/>
  <c r="T27" i="28" s="1"/>
  <c r="M296" i="22"/>
  <c r="M299" i="22" s="1"/>
  <c r="P29" i="28" s="1"/>
  <c r="AA82" i="22"/>
  <c r="AA85" i="22" s="1"/>
  <c r="AD27" i="28" s="1"/>
  <c r="AB82" i="22"/>
  <c r="AB85" i="22" s="1"/>
  <c r="AE27" i="28" s="1"/>
  <c r="AA296" i="22"/>
  <c r="AA299" i="22" s="1"/>
  <c r="AD29" i="28" s="1"/>
  <c r="J405" i="22"/>
  <c r="J408" i="22" s="1"/>
  <c r="M30" i="28" s="1"/>
  <c r="E296" i="22"/>
  <c r="E299" i="22" s="1"/>
  <c r="H29" i="28" s="1"/>
  <c r="P82" i="22"/>
  <c r="P85" i="22" s="1"/>
  <c r="S27" i="28" s="1"/>
  <c r="M510" i="22"/>
  <c r="M513" i="22" s="1"/>
  <c r="P31" i="28" s="1"/>
  <c r="E405" i="22"/>
  <c r="E408" i="22" s="1"/>
  <c r="H30" i="28" s="1"/>
  <c r="F296" i="22"/>
  <c r="F299" i="22" s="1"/>
  <c r="I29" i="28" s="1"/>
  <c r="AC296" i="22"/>
  <c r="AC299" i="22" s="1"/>
  <c r="AF29" i="28" s="1"/>
  <c r="Q510" i="22"/>
  <c r="Q513" i="22" s="1"/>
  <c r="T31" i="28" s="1"/>
  <c r="AA188" i="22"/>
  <c r="AA191" i="22" s="1"/>
  <c r="AD28" i="28" s="1"/>
  <c r="Z82" i="22"/>
  <c r="Z85" i="22" s="1"/>
  <c r="AC27" i="28" s="1"/>
  <c r="X405" i="22"/>
  <c r="X408" i="22" s="1"/>
  <c r="AA30" i="28" s="1"/>
  <c r="H82" i="22"/>
  <c r="H85" i="22" s="1"/>
  <c r="K27" i="28" s="1"/>
  <c r="U510" i="22"/>
  <c r="U513" i="22" s="1"/>
  <c r="X31" i="28" s="1"/>
  <c r="O82" i="22"/>
  <c r="O85" i="22" s="1"/>
  <c r="R27" i="28" s="1"/>
  <c r="Z405" i="22"/>
  <c r="Z408" i="22" s="1"/>
  <c r="AC30" i="28" s="1"/>
  <c r="Z510" i="22"/>
  <c r="Z513" i="22" s="1"/>
  <c r="AC31" i="28" s="1"/>
  <c r="V510" i="22"/>
  <c r="V513" i="22" s="1"/>
  <c r="Y31" i="28" s="1"/>
  <c r="M405" i="22"/>
  <c r="M408" i="22" s="1"/>
  <c r="P30" i="28" s="1"/>
  <c r="O510" i="22"/>
  <c r="O513" i="22" s="1"/>
  <c r="R31" i="28" s="1"/>
  <c r="P510" i="22"/>
  <c r="P513" i="22" s="1"/>
  <c r="S31" i="28" s="1"/>
  <c r="D296" i="22"/>
  <c r="D299" i="22" s="1"/>
  <c r="G29" i="28" s="1"/>
  <c r="AC82" i="22"/>
  <c r="AC85" i="22" s="1"/>
  <c r="AF27" i="28" s="1"/>
  <c r="W296" i="22"/>
  <c r="W299" i="22" s="1"/>
  <c r="Z29" i="28" s="1"/>
  <c r="S405" i="22"/>
  <c r="S408" i="22" s="1"/>
  <c r="V30" i="28" s="1"/>
  <c r="T296" i="22"/>
  <c r="T299" i="22" s="1"/>
  <c r="W29" i="28" s="1"/>
  <c r="F510" i="22"/>
  <c r="F513" i="22" s="1"/>
  <c r="I31" i="28" s="1"/>
  <c r="V405" i="22"/>
  <c r="V408" i="22" s="1"/>
  <c r="Y30" i="28" s="1"/>
  <c r="K188" i="22"/>
  <c r="K191" i="22" s="1"/>
  <c r="N28" i="28" s="1"/>
  <c r="O405" i="22"/>
  <c r="O408" i="22" s="1"/>
  <c r="R30" i="28" s="1"/>
  <c r="L296" i="22"/>
  <c r="L299" i="22" s="1"/>
  <c r="O29" i="28" s="1"/>
  <c r="AB188" i="22"/>
  <c r="AB191" i="22" s="1"/>
  <c r="AE28" i="28" s="1"/>
  <c r="P188" i="22"/>
  <c r="P191" i="22" s="1"/>
  <c r="S28" i="28" s="1"/>
  <c r="I188" i="22"/>
  <c r="I191" i="22" s="1"/>
  <c r="L28" i="28" s="1"/>
  <c r="F405" i="22"/>
  <c r="F408" i="22" s="1"/>
  <c r="I30" i="28" s="1"/>
  <c r="S82" i="22"/>
  <c r="S85" i="22" s="1"/>
  <c r="V27" i="28" s="1"/>
  <c r="U405" i="22"/>
  <c r="U408" i="22" s="1"/>
  <c r="X30" i="28" s="1"/>
  <c r="Q405" i="22"/>
  <c r="Q408" i="22" s="1"/>
  <c r="T30" i="28" s="1"/>
  <c r="S510" i="22"/>
  <c r="S513" i="22" s="1"/>
  <c r="V31" i="28" s="1"/>
  <c r="Y296" i="22"/>
  <c r="Y299" i="22" s="1"/>
  <c r="AB29" i="28" s="1"/>
  <c r="I296" i="22"/>
  <c r="I299" i="22" s="1"/>
  <c r="L29" i="28" s="1"/>
  <c r="N510" i="22"/>
  <c r="N513" i="22" s="1"/>
  <c r="Q31" i="28" s="1"/>
  <c r="AB405" i="22"/>
  <c r="AB408" i="22" s="1"/>
  <c r="AE30" i="28" s="1"/>
  <c r="V188" i="22"/>
  <c r="V191" i="22" s="1"/>
  <c r="Y28" i="28" s="1"/>
  <c r="U296" i="22"/>
  <c r="U299" i="22" s="1"/>
  <c r="X29" i="28" s="1"/>
  <c r="Y188" i="22"/>
  <c r="Y191" i="22" s="1"/>
  <c r="AB28" i="28" s="1"/>
  <c r="B405" i="21"/>
  <c r="B408" i="21" s="1"/>
  <c r="E25" i="28" s="1"/>
  <c r="U405" i="21"/>
  <c r="U408" i="21" s="1"/>
  <c r="X25" i="28" s="1"/>
  <c r="AA188" i="21"/>
  <c r="AA191" i="21" s="1"/>
  <c r="AD23" i="28" s="1"/>
  <c r="J405" i="21"/>
  <c r="J408" i="21" s="1"/>
  <c r="M25" i="28" s="1"/>
  <c r="AB296" i="21"/>
  <c r="AB299" i="21" s="1"/>
  <c r="AE24" i="28" s="1"/>
  <c r="AC188" i="21"/>
  <c r="AC191" i="21" s="1"/>
  <c r="AF23" i="28" s="1"/>
  <c r="T296" i="21"/>
  <c r="T299" i="21" s="1"/>
  <c r="W24" i="28" s="1"/>
  <c r="G405" i="21"/>
  <c r="G408" i="21" s="1"/>
  <c r="J25" i="28" s="1"/>
  <c r="E510" i="21"/>
  <c r="E513" i="21" s="1"/>
  <c r="H26" i="28" s="1"/>
  <c r="C510" i="21"/>
  <c r="C513" i="21" s="1"/>
  <c r="F26" i="28" s="1"/>
  <c r="AB188" i="21"/>
  <c r="AB191" i="21" s="1"/>
  <c r="AE23" i="28" s="1"/>
  <c r="I296" i="21"/>
  <c r="I299" i="21" s="1"/>
  <c r="L24" i="28" s="1"/>
  <c r="K510" i="21"/>
  <c r="K513" i="21" s="1"/>
  <c r="N26" i="28" s="1"/>
  <c r="X188" i="21"/>
  <c r="X191" i="21" s="1"/>
  <c r="AA23" i="28" s="1"/>
  <c r="E405" i="21"/>
  <c r="E408" i="21" s="1"/>
  <c r="H25" i="28" s="1"/>
  <c r="V188" i="21"/>
  <c r="V191" i="21" s="1"/>
  <c r="Y23" i="28" s="1"/>
  <c r="J296" i="21"/>
  <c r="J299" i="21" s="1"/>
  <c r="M24" i="28" s="1"/>
  <c r="N82" i="21"/>
  <c r="N85" i="21" s="1"/>
  <c r="Q22" i="28" s="1"/>
  <c r="Y296" i="21"/>
  <c r="Y299" i="21" s="1"/>
  <c r="AB24" i="28" s="1"/>
  <c r="J82" i="21"/>
  <c r="J85" i="21" s="1"/>
  <c r="M22" i="28" s="1"/>
  <c r="F82" i="21"/>
  <c r="F85" i="21" s="1"/>
  <c r="I22" i="28" s="1"/>
  <c r="L188" i="21"/>
  <c r="L191" i="21" s="1"/>
  <c r="O23" i="28" s="1"/>
  <c r="AB510" i="21"/>
  <c r="AB513" i="21" s="1"/>
  <c r="AE26" i="28" s="1"/>
  <c r="P405" i="21"/>
  <c r="P408" i="21" s="1"/>
  <c r="S25" i="28" s="1"/>
  <c r="AA82" i="21"/>
  <c r="AA85" i="21" s="1"/>
  <c r="AD22" i="28" s="1"/>
  <c r="Q82" i="21"/>
  <c r="Q85" i="21" s="1"/>
  <c r="T22" i="28" s="1"/>
  <c r="V510" i="21"/>
  <c r="V513" i="21" s="1"/>
  <c r="Y26" i="28" s="1"/>
  <c r="F405" i="21"/>
  <c r="F408" i="21" s="1"/>
  <c r="I25" i="28" s="1"/>
  <c r="AB405" i="21"/>
  <c r="AB408" i="21" s="1"/>
  <c r="AE25" i="28" s="1"/>
  <c r="X405" i="21"/>
  <c r="X408" i="21" s="1"/>
  <c r="AA25" i="28" s="1"/>
  <c r="AA405" i="21"/>
  <c r="AA408" i="21" s="1"/>
  <c r="AD25" i="28" s="1"/>
  <c r="T510" i="21"/>
  <c r="T513" i="21" s="1"/>
  <c r="W26" i="28" s="1"/>
  <c r="AC510" i="21"/>
  <c r="AC513" i="21" s="1"/>
  <c r="AF26" i="28" s="1"/>
  <c r="P188" i="21"/>
  <c r="P191" i="21" s="1"/>
  <c r="S23" i="28" s="1"/>
  <c r="S510" i="21"/>
  <c r="S513" i="21" s="1"/>
  <c r="V26" i="28" s="1"/>
  <c r="AC82" i="21"/>
  <c r="AC85" i="21" s="1"/>
  <c r="AF22" i="28" s="1"/>
  <c r="K82" i="21"/>
  <c r="K85" i="21" s="1"/>
  <c r="N22" i="28" s="1"/>
  <c r="B510" i="21"/>
  <c r="B513" i="21" s="1"/>
  <c r="E26" i="28" s="1"/>
  <c r="I82" i="21"/>
  <c r="I85" i="21" s="1"/>
  <c r="L22" i="28" s="1"/>
  <c r="Y188" i="21"/>
  <c r="Y191" i="21" s="1"/>
  <c r="AB23" i="28" s="1"/>
  <c r="P296" i="21"/>
  <c r="P299" i="21" s="1"/>
  <c r="S24" i="28" s="1"/>
  <c r="V405" i="21"/>
  <c r="V408" i="21" s="1"/>
  <c r="Y25" i="28" s="1"/>
  <c r="D405" i="21"/>
  <c r="D408" i="21" s="1"/>
  <c r="G25" i="28" s="1"/>
  <c r="O296" i="21"/>
  <c r="O299" i="21" s="1"/>
  <c r="R24" i="28" s="1"/>
  <c r="K188" i="21"/>
  <c r="K191" i="21" s="1"/>
  <c r="N23" i="28" s="1"/>
  <c r="O405" i="21"/>
  <c r="O408" i="21" s="1"/>
  <c r="R25" i="28" s="1"/>
  <c r="Q405" i="21"/>
  <c r="Q408" i="21" s="1"/>
  <c r="T25" i="28" s="1"/>
  <c r="E82" i="21"/>
  <c r="E85" i="21" s="1"/>
  <c r="H22" i="28" s="1"/>
  <c r="T405" i="21"/>
  <c r="T408" i="21" s="1"/>
  <c r="W25" i="28" s="1"/>
  <c r="Z82" i="21"/>
  <c r="Z85" i="21" s="1"/>
  <c r="AC22" i="28" s="1"/>
  <c r="O188" i="21"/>
  <c r="O191" i="21" s="1"/>
  <c r="R23" i="28" s="1"/>
  <c r="N510" i="21"/>
  <c r="N513" i="21" s="1"/>
  <c r="Q26" i="28" s="1"/>
  <c r="G296" i="21"/>
  <c r="G299" i="21" s="1"/>
  <c r="J24" i="28" s="1"/>
  <c r="J510" i="21"/>
  <c r="J513" i="21" s="1"/>
  <c r="M26" i="28" s="1"/>
  <c r="I405" i="21"/>
  <c r="I408" i="21" s="1"/>
  <c r="L25" i="28" s="1"/>
  <c r="Y405" i="21"/>
  <c r="Y408" i="21" s="1"/>
  <c r="AB25" i="28" s="1"/>
  <c r="H188" i="21"/>
  <c r="H191" i="21" s="1"/>
  <c r="K23" i="28" s="1"/>
  <c r="M82" i="21"/>
  <c r="M85" i="21" s="1"/>
  <c r="P22" i="28" s="1"/>
  <c r="C82" i="21"/>
  <c r="C85" i="21" s="1"/>
  <c r="F22" i="28" s="1"/>
  <c r="Q188" i="21"/>
  <c r="Q191" i="21" s="1"/>
  <c r="T23" i="28" s="1"/>
  <c r="D296" i="21"/>
  <c r="D299" i="21" s="1"/>
  <c r="G24" i="28" s="1"/>
  <c r="H82" i="21"/>
  <c r="H85" i="21" s="1"/>
  <c r="K22" i="28" s="1"/>
  <c r="N405" i="21"/>
  <c r="N408" i="21" s="1"/>
  <c r="Q25" i="28" s="1"/>
  <c r="F296" i="21"/>
  <c r="F299" i="21" s="1"/>
  <c r="I24" i="28" s="1"/>
  <c r="N188" i="21"/>
  <c r="N191" i="21" s="1"/>
  <c r="Q23" i="28" s="1"/>
  <c r="D510" i="21"/>
  <c r="D513" i="21" s="1"/>
  <c r="G26" i="28" s="1"/>
  <c r="K405" i="21"/>
  <c r="K408" i="21" s="1"/>
  <c r="N25" i="28" s="1"/>
  <c r="X510" i="21"/>
  <c r="X513" i="21" s="1"/>
  <c r="AA26" i="28" s="1"/>
  <c r="AC405" i="21"/>
  <c r="AC408" i="21" s="1"/>
  <c r="AF25" i="28" s="1"/>
  <c r="E296" i="21"/>
  <c r="E299" i="21" s="1"/>
  <c r="H24" i="28" s="1"/>
  <c r="Z510" i="21"/>
  <c r="Z513" i="21" s="1"/>
  <c r="AC26" i="28" s="1"/>
  <c r="K296" i="21"/>
  <c r="K299" i="21" s="1"/>
  <c r="N24" i="28" s="1"/>
  <c r="N296" i="21"/>
  <c r="N299" i="21" s="1"/>
  <c r="Q24" i="28" s="1"/>
  <c r="I188" i="21"/>
  <c r="I191" i="21" s="1"/>
  <c r="L23" i="28" s="1"/>
  <c r="E188" i="21"/>
  <c r="E191" i="21" s="1"/>
  <c r="H23" i="28" s="1"/>
  <c r="R296" i="21"/>
  <c r="R299" i="21" s="1"/>
  <c r="U24" i="28" s="1"/>
  <c r="V82" i="21"/>
  <c r="V85" i="21" s="1"/>
  <c r="Y22" i="28" s="1"/>
  <c r="B188" i="21"/>
  <c r="B191" i="21" s="1"/>
  <c r="E23" i="28" s="1"/>
  <c r="C405" i="21"/>
  <c r="C408" i="21" s="1"/>
  <c r="F25" i="28" s="1"/>
  <c r="F188" i="21"/>
  <c r="F191" i="21" s="1"/>
  <c r="I23" i="28" s="1"/>
  <c r="B296" i="21"/>
  <c r="B299" i="21" s="1"/>
  <c r="E24" i="28" s="1"/>
  <c r="O510" i="21"/>
  <c r="O513" i="21" s="1"/>
  <c r="R26" i="28" s="1"/>
  <c r="U82" i="21"/>
  <c r="U85" i="21" s="1"/>
  <c r="X22" i="28" s="1"/>
  <c r="R188" i="21"/>
  <c r="R191" i="21" s="1"/>
  <c r="U23" i="28" s="1"/>
  <c r="W510" i="21"/>
  <c r="W513" i="21" s="1"/>
  <c r="Z26" i="28" s="1"/>
  <c r="L296" i="21"/>
  <c r="L299" i="21" s="1"/>
  <c r="O24" i="28" s="1"/>
  <c r="G510" i="21"/>
  <c r="G513" i="21" s="1"/>
  <c r="J26" i="28" s="1"/>
  <c r="M405" i="21"/>
  <c r="M408" i="21" s="1"/>
  <c r="P25" i="28" s="1"/>
  <c r="S82" i="21"/>
  <c r="S85" i="21" s="1"/>
  <c r="V22" i="28" s="1"/>
  <c r="G188" i="21"/>
  <c r="G191" i="21" s="1"/>
  <c r="J23" i="28" s="1"/>
  <c r="Y82" i="21"/>
  <c r="Y85" i="21" s="1"/>
  <c r="AB22" i="28" s="1"/>
  <c r="T188" i="21"/>
  <c r="T191" i="21" s="1"/>
  <c r="W23" i="28" s="1"/>
  <c r="AA510" i="21"/>
  <c r="AA513" i="21" s="1"/>
  <c r="AD26" i="28" s="1"/>
  <c r="M296" i="21"/>
  <c r="M299" i="21" s="1"/>
  <c r="P24" i="28" s="1"/>
  <c r="J188" i="21"/>
  <c r="J191" i="21" s="1"/>
  <c r="M23" i="28" s="1"/>
  <c r="W82" i="21"/>
  <c r="W85" i="21" s="1"/>
  <c r="Z22" i="28" s="1"/>
  <c r="U510" i="21"/>
  <c r="U513" i="21" s="1"/>
  <c r="X26" i="28" s="1"/>
  <c r="W296" i="21"/>
  <c r="W299" i="21" s="1"/>
  <c r="Z24" i="28" s="1"/>
  <c r="Q296" i="21"/>
  <c r="Q299" i="21" s="1"/>
  <c r="T24" i="28" s="1"/>
  <c r="G82" i="21"/>
  <c r="G85" i="21" s="1"/>
  <c r="J22" i="28" s="1"/>
  <c r="M188" i="21"/>
  <c r="M191" i="21" s="1"/>
  <c r="P23" i="28" s="1"/>
  <c r="D188" i="21"/>
  <c r="D191" i="21" s="1"/>
  <c r="G23" i="28" s="1"/>
  <c r="V296" i="21"/>
  <c r="V299" i="21" s="1"/>
  <c r="Y24" i="28" s="1"/>
  <c r="B82" i="21"/>
  <c r="B85" i="21" s="1"/>
  <c r="E22" i="28" s="1"/>
  <c r="S188" i="21"/>
  <c r="S191" i="21" s="1"/>
  <c r="V23" i="28" s="1"/>
  <c r="O82" i="21"/>
  <c r="O85" i="21" s="1"/>
  <c r="R22" i="28" s="1"/>
  <c r="H405" i="21"/>
  <c r="H408" i="21" s="1"/>
  <c r="K25" i="28" s="1"/>
  <c r="C296" i="21"/>
  <c r="C299" i="21" s="1"/>
  <c r="F24" i="28" s="1"/>
  <c r="AC296" i="21"/>
  <c r="AC299" i="21" s="1"/>
  <c r="AF24" i="28" s="1"/>
  <c r="R405" i="21"/>
  <c r="R408" i="21" s="1"/>
  <c r="U25" i="28" s="1"/>
  <c r="H296" i="21"/>
  <c r="H299" i="21" s="1"/>
  <c r="K24" i="28" s="1"/>
  <c r="R82" i="21"/>
  <c r="R85" i="21" s="1"/>
  <c r="U22" i="28" s="1"/>
  <c r="Z405" i="21"/>
  <c r="Z408" i="21" s="1"/>
  <c r="AC25" i="28" s="1"/>
  <c r="C188" i="21"/>
  <c r="C191" i="21" s="1"/>
  <c r="F23" i="28" s="1"/>
  <c r="L82" i="21"/>
  <c r="L85" i="21" s="1"/>
  <c r="O22" i="28" s="1"/>
  <c r="U296" i="21"/>
  <c r="U299" i="21" s="1"/>
  <c r="X24" i="28" s="1"/>
  <c r="AA296" i="21"/>
  <c r="AA299" i="21" s="1"/>
  <c r="AD24" i="28" s="1"/>
  <c r="T82" i="21"/>
  <c r="T85" i="21" s="1"/>
  <c r="W22" i="28" s="1"/>
  <c r="S296" i="21"/>
  <c r="S299" i="21" s="1"/>
  <c r="V24" i="28" s="1"/>
  <c r="Z188" i="21"/>
  <c r="Z191" i="21" s="1"/>
  <c r="AC23" i="28" s="1"/>
  <c r="H510" i="21"/>
  <c r="H513" i="21" s="1"/>
  <c r="K26" i="28" s="1"/>
  <c r="F510" i="21"/>
  <c r="F513" i="21" s="1"/>
  <c r="I26" i="28" s="1"/>
  <c r="U188" i="21"/>
  <c r="U191" i="21" s="1"/>
  <c r="X23" i="28" s="1"/>
  <c r="W405" i="21"/>
  <c r="W408" i="21" s="1"/>
  <c r="Z25" i="28" s="1"/>
  <c r="Z296" i="21"/>
  <c r="Z299" i="21" s="1"/>
  <c r="AC24" i="28" s="1"/>
  <c r="W188" i="21"/>
  <c r="W191" i="21" s="1"/>
  <c r="Z23" i="28" s="1"/>
  <c r="L510" i="21"/>
  <c r="L513" i="21" s="1"/>
  <c r="O26" i="28" s="1"/>
  <c r="M510" i="21"/>
  <c r="M513" i="21" s="1"/>
  <c r="P26" i="28" s="1"/>
  <c r="R510" i="21"/>
  <c r="R513" i="21" s="1"/>
  <c r="U26" i="28" s="1"/>
  <c r="S405" i="21"/>
  <c r="S408" i="21" s="1"/>
  <c r="V25" i="28" s="1"/>
  <c r="T296" i="20"/>
  <c r="T299" i="20" s="1"/>
  <c r="W14" i="28" s="1"/>
  <c r="O510" i="20"/>
  <c r="O513" i="20" s="1"/>
  <c r="R16" i="28" s="1"/>
  <c r="AA296" i="20"/>
  <c r="AA299" i="20" s="1"/>
  <c r="AD14" i="28" s="1"/>
  <c r="C510" i="20"/>
  <c r="C513" i="20" s="1"/>
  <c r="F16" i="28" s="1"/>
  <c r="G82" i="20"/>
  <c r="G85" i="20" s="1"/>
  <c r="J12" i="28" s="1"/>
  <c r="D82" i="20"/>
  <c r="D85" i="20" s="1"/>
  <c r="G12" i="28" s="1"/>
  <c r="S82" i="20"/>
  <c r="S85" i="20" s="1"/>
  <c r="V12" i="28" s="1"/>
  <c r="U188" i="19"/>
  <c r="U191" i="19" s="1"/>
  <c r="X8" i="28" s="1"/>
  <c r="B296" i="19"/>
  <c r="B299" i="19" s="1"/>
  <c r="E9" i="28" s="1"/>
  <c r="V188" i="20"/>
  <c r="V191" i="20" s="1"/>
  <c r="Y13" i="28" s="1"/>
  <c r="U405" i="20"/>
  <c r="U408" i="20" s="1"/>
  <c r="X15" i="28" s="1"/>
  <c r="H405" i="20"/>
  <c r="H408" i="20" s="1"/>
  <c r="K15" i="28" s="1"/>
  <c r="Q296" i="20"/>
  <c r="Q299" i="20" s="1"/>
  <c r="T14" i="28" s="1"/>
  <c r="G405" i="20"/>
  <c r="G408" i="20" s="1"/>
  <c r="J15" i="28" s="1"/>
  <c r="D405" i="20"/>
  <c r="D408" i="20" s="1"/>
  <c r="G15" i="28" s="1"/>
  <c r="X405" i="20"/>
  <c r="X408" i="20" s="1"/>
  <c r="AA15" i="28" s="1"/>
  <c r="AB188" i="20"/>
  <c r="AB191" i="20" s="1"/>
  <c r="AE13" i="28" s="1"/>
  <c r="M82" i="20"/>
  <c r="M85" i="20" s="1"/>
  <c r="P12" i="28" s="1"/>
  <c r="J188" i="20"/>
  <c r="J191" i="20" s="1"/>
  <c r="M13" i="28" s="1"/>
  <c r="T188" i="20"/>
  <c r="T191" i="20" s="1"/>
  <c r="W13" i="28" s="1"/>
  <c r="W405" i="20"/>
  <c r="W408" i="20" s="1"/>
  <c r="Z15" i="28" s="1"/>
  <c r="H296" i="20"/>
  <c r="H299" i="20" s="1"/>
  <c r="K14" i="28" s="1"/>
  <c r="Y510" i="20"/>
  <c r="Y513" i="20" s="1"/>
  <c r="AB16" i="28" s="1"/>
  <c r="P296" i="20"/>
  <c r="P299" i="20" s="1"/>
  <c r="S14" i="28" s="1"/>
  <c r="Z405" i="20"/>
  <c r="Z408" i="20" s="1"/>
  <c r="AC15" i="28" s="1"/>
  <c r="R405" i="20"/>
  <c r="R408" i="20" s="1"/>
  <c r="U15" i="28" s="1"/>
  <c r="X82" i="20"/>
  <c r="X85" i="20" s="1"/>
  <c r="AA12" i="28" s="1"/>
  <c r="O188" i="20"/>
  <c r="O191" i="20" s="1"/>
  <c r="R13" i="28" s="1"/>
  <c r="Y82" i="20"/>
  <c r="Y85" i="20" s="1"/>
  <c r="AB12" i="28" s="1"/>
  <c r="C296" i="20"/>
  <c r="C299" i="20" s="1"/>
  <c r="F14" i="28" s="1"/>
  <c r="AC510" i="20"/>
  <c r="AC513" i="20" s="1"/>
  <c r="AF16" i="28" s="1"/>
  <c r="M296" i="20"/>
  <c r="M299" i="20" s="1"/>
  <c r="P14" i="28" s="1"/>
  <c r="K296" i="20"/>
  <c r="K299" i="20" s="1"/>
  <c r="N14" i="28" s="1"/>
  <c r="M405" i="20"/>
  <c r="M408" i="20" s="1"/>
  <c r="P15" i="28" s="1"/>
  <c r="K82" i="20"/>
  <c r="K85" i="20" s="1"/>
  <c r="N12" i="28" s="1"/>
  <c r="N296" i="20"/>
  <c r="N299" i="20" s="1"/>
  <c r="Q14" i="28" s="1"/>
  <c r="H188" i="20"/>
  <c r="H191" i="20" s="1"/>
  <c r="K13" i="28" s="1"/>
  <c r="N188" i="20"/>
  <c r="N191" i="20" s="1"/>
  <c r="Q13" i="28" s="1"/>
  <c r="K405" i="20"/>
  <c r="K408" i="20" s="1"/>
  <c r="N15" i="28" s="1"/>
  <c r="AA405" i="20"/>
  <c r="AA408" i="20" s="1"/>
  <c r="AD15" i="28" s="1"/>
  <c r="AB510" i="20"/>
  <c r="AB513" i="20" s="1"/>
  <c r="AE16" i="28" s="1"/>
  <c r="E188" i="20"/>
  <c r="E191" i="20" s="1"/>
  <c r="H13" i="28" s="1"/>
  <c r="U296" i="20"/>
  <c r="U299" i="20" s="1"/>
  <c r="X14" i="28" s="1"/>
  <c r="J510" i="20"/>
  <c r="J513" i="20" s="1"/>
  <c r="M16" i="28" s="1"/>
  <c r="F510" i="20"/>
  <c r="F513" i="20" s="1"/>
  <c r="I16" i="28" s="1"/>
  <c r="Q188" i="20"/>
  <c r="Q191" i="20" s="1"/>
  <c r="T13" i="28" s="1"/>
  <c r="AC82" i="20"/>
  <c r="AC85" i="20" s="1"/>
  <c r="AF12" i="28" s="1"/>
  <c r="R510" i="20"/>
  <c r="R513" i="20" s="1"/>
  <c r="U16" i="28" s="1"/>
  <c r="K510" i="20"/>
  <c r="K513" i="20" s="1"/>
  <c r="N16" i="28" s="1"/>
  <c r="T510" i="20"/>
  <c r="T513" i="20" s="1"/>
  <c r="W16" i="28" s="1"/>
  <c r="U510" i="20"/>
  <c r="U513" i="20" s="1"/>
  <c r="X16" i="28" s="1"/>
  <c r="Q510" i="20"/>
  <c r="Q513" i="20" s="1"/>
  <c r="T16" i="28" s="1"/>
  <c r="Y296" i="20"/>
  <c r="Y299" i="20" s="1"/>
  <c r="AB14" i="28" s="1"/>
  <c r="P188" i="20"/>
  <c r="P191" i="20" s="1"/>
  <c r="S13" i="28" s="1"/>
  <c r="J405" i="20"/>
  <c r="J408" i="20" s="1"/>
  <c r="M15" i="28" s="1"/>
  <c r="D296" i="20"/>
  <c r="D299" i="20" s="1"/>
  <c r="G14" i="28" s="1"/>
  <c r="W510" i="20"/>
  <c r="W513" i="20" s="1"/>
  <c r="Z16" i="28" s="1"/>
  <c r="R188" i="20"/>
  <c r="R191" i="20" s="1"/>
  <c r="U13" i="28" s="1"/>
  <c r="AC405" i="20"/>
  <c r="AC408" i="20" s="1"/>
  <c r="AF15" i="28" s="1"/>
  <c r="D188" i="20"/>
  <c r="D191" i="20" s="1"/>
  <c r="G13" i="28" s="1"/>
  <c r="H510" i="20"/>
  <c r="H513" i="20" s="1"/>
  <c r="K16" i="28" s="1"/>
  <c r="T82" i="20"/>
  <c r="T85" i="20" s="1"/>
  <c r="W12" i="28" s="1"/>
  <c r="B82" i="20"/>
  <c r="B85" i="20" s="1"/>
  <c r="E12" i="28" s="1"/>
  <c r="AC296" i="20"/>
  <c r="AC299" i="20" s="1"/>
  <c r="AF14" i="28" s="1"/>
  <c r="F188" i="20"/>
  <c r="F191" i="20" s="1"/>
  <c r="I13" i="28" s="1"/>
  <c r="B188" i="20"/>
  <c r="B191" i="20" s="1"/>
  <c r="E13" i="28" s="1"/>
  <c r="I510" i="20"/>
  <c r="I513" i="20" s="1"/>
  <c r="L16" i="28" s="1"/>
  <c r="L188" i="20"/>
  <c r="L191" i="20" s="1"/>
  <c r="O13" i="28" s="1"/>
  <c r="B510" i="20"/>
  <c r="B513" i="20" s="1"/>
  <c r="E16" i="28" s="1"/>
  <c r="V405" i="20"/>
  <c r="V408" i="20" s="1"/>
  <c r="Y15" i="28" s="1"/>
  <c r="Z510" i="20"/>
  <c r="Z513" i="20" s="1"/>
  <c r="AC16" i="28" s="1"/>
  <c r="O296" i="20"/>
  <c r="O299" i="20" s="1"/>
  <c r="R14" i="28" s="1"/>
  <c r="AB296" i="20"/>
  <c r="AB299" i="20" s="1"/>
  <c r="AE14" i="28" s="1"/>
  <c r="U188" i="20"/>
  <c r="U191" i="20" s="1"/>
  <c r="X13" i="28" s="1"/>
  <c r="B296" i="20"/>
  <c r="B299" i="20" s="1"/>
  <c r="E14" i="28" s="1"/>
  <c r="X296" i="20"/>
  <c r="X299" i="20" s="1"/>
  <c r="AA14" i="28" s="1"/>
  <c r="AB405" i="20"/>
  <c r="AB408" i="20" s="1"/>
  <c r="AE15" i="28" s="1"/>
  <c r="Y405" i="20"/>
  <c r="Y408" i="20" s="1"/>
  <c r="AB15" i="28" s="1"/>
  <c r="M188" i="20"/>
  <c r="M191" i="20" s="1"/>
  <c r="P13" i="28" s="1"/>
  <c r="E510" i="20"/>
  <c r="E513" i="20" s="1"/>
  <c r="H16" i="28" s="1"/>
  <c r="G510" i="20"/>
  <c r="G513" i="20" s="1"/>
  <c r="J16" i="28" s="1"/>
  <c r="G296" i="20"/>
  <c r="G299" i="20" s="1"/>
  <c r="J14" i="28" s="1"/>
  <c r="C405" i="20"/>
  <c r="C408" i="20" s="1"/>
  <c r="F15" i="28" s="1"/>
  <c r="V82" i="20"/>
  <c r="V85" i="20" s="1"/>
  <c r="Y12" i="28" s="1"/>
  <c r="F296" i="20"/>
  <c r="F299" i="20" s="1"/>
  <c r="I14" i="28" s="1"/>
  <c r="J296" i="20"/>
  <c r="J299" i="20" s="1"/>
  <c r="M14" i="28" s="1"/>
  <c r="N82" i="20"/>
  <c r="N85" i="20" s="1"/>
  <c r="Q12" i="28" s="1"/>
  <c r="S188" i="20"/>
  <c r="S191" i="20" s="1"/>
  <c r="V13" i="28" s="1"/>
  <c r="Z188" i="20"/>
  <c r="Z191" i="20" s="1"/>
  <c r="AC13" i="28" s="1"/>
  <c r="I188" i="20"/>
  <c r="I191" i="20" s="1"/>
  <c r="L13" i="28" s="1"/>
  <c r="S405" i="20"/>
  <c r="S408" i="20" s="1"/>
  <c r="V15" i="28" s="1"/>
  <c r="W296" i="20"/>
  <c r="W299" i="20" s="1"/>
  <c r="Z14" i="28" s="1"/>
  <c r="AC188" i="20"/>
  <c r="AC191" i="20" s="1"/>
  <c r="AF13" i="28" s="1"/>
  <c r="O405" i="20"/>
  <c r="O408" i="20" s="1"/>
  <c r="R15" i="28" s="1"/>
  <c r="E405" i="20"/>
  <c r="E408" i="20" s="1"/>
  <c r="H15" i="28" s="1"/>
  <c r="C82" i="20"/>
  <c r="C85" i="20" s="1"/>
  <c r="F12" i="28" s="1"/>
  <c r="I296" i="20"/>
  <c r="I299" i="20" s="1"/>
  <c r="L14" i="28" s="1"/>
  <c r="P405" i="20"/>
  <c r="P408" i="20" s="1"/>
  <c r="S15" i="28" s="1"/>
  <c r="S510" i="20"/>
  <c r="S513" i="20" s="1"/>
  <c r="V16" i="28" s="1"/>
  <c r="P82" i="20"/>
  <c r="P85" i="20" s="1"/>
  <c r="S12" i="28" s="1"/>
  <c r="T405" i="20"/>
  <c r="T408" i="20" s="1"/>
  <c r="W15" i="28" s="1"/>
  <c r="X188" i="20"/>
  <c r="X191" i="20" s="1"/>
  <c r="AA13" i="28" s="1"/>
  <c r="K188" i="20"/>
  <c r="K191" i="20" s="1"/>
  <c r="N13" i="28" s="1"/>
  <c r="S296" i="20"/>
  <c r="S299" i="20" s="1"/>
  <c r="V14" i="28" s="1"/>
  <c r="W188" i="20"/>
  <c r="W191" i="20" s="1"/>
  <c r="Z13" i="28" s="1"/>
  <c r="L82" i="20"/>
  <c r="L85" i="20" s="1"/>
  <c r="O12" i="28" s="1"/>
  <c r="AA188" i="20"/>
  <c r="AA191" i="20" s="1"/>
  <c r="AD13" i="28" s="1"/>
  <c r="E296" i="20"/>
  <c r="E299" i="20" s="1"/>
  <c r="H14" i="28" s="1"/>
  <c r="O82" i="20"/>
  <c r="O85" i="20" s="1"/>
  <c r="R12" i="28" s="1"/>
  <c r="Q405" i="20"/>
  <c r="Q408" i="20" s="1"/>
  <c r="T15" i="28" s="1"/>
  <c r="Z82" i="20"/>
  <c r="Z85" i="20" s="1"/>
  <c r="AC12" i="28" s="1"/>
  <c r="L405" i="20"/>
  <c r="L408" i="20" s="1"/>
  <c r="O15" i="28" s="1"/>
  <c r="P510" i="20"/>
  <c r="P513" i="20" s="1"/>
  <c r="S16" i="28" s="1"/>
  <c r="F82" i="20"/>
  <c r="F85" i="20" s="1"/>
  <c r="I12" i="28" s="1"/>
  <c r="I405" i="20"/>
  <c r="I408" i="20" s="1"/>
  <c r="L15" i="28" s="1"/>
  <c r="Q82" i="20"/>
  <c r="Q85" i="20" s="1"/>
  <c r="T12" i="28" s="1"/>
  <c r="H82" i="20"/>
  <c r="H85" i="20" s="1"/>
  <c r="K12" i="28" s="1"/>
  <c r="R296" i="20"/>
  <c r="R299" i="20" s="1"/>
  <c r="U14" i="28" s="1"/>
  <c r="J82" i="20"/>
  <c r="J85" i="20" s="1"/>
  <c r="M12" i="28" s="1"/>
  <c r="Y188" i="20"/>
  <c r="Y191" i="20" s="1"/>
  <c r="AB13" i="28" s="1"/>
  <c r="N405" i="20"/>
  <c r="N408" i="20" s="1"/>
  <c r="Q15" i="28" s="1"/>
  <c r="AA510" i="20"/>
  <c r="AA513" i="20" s="1"/>
  <c r="AD16" i="28" s="1"/>
  <c r="W82" i="20"/>
  <c r="W85" i="20" s="1"/>
  <c r="Z12" i="28" s="1"/>
  <c r="I82" i="20"/>
  <c r="I85" i="20" s="1"/>
  <c r="L12" i="28" s="1"/>
  <c r="E82" i="20"/>
  <c r="E85" i="20" s="1"/>
  <c r="H12" i="28" s="1"/>
  <c r="C188" i="20"/>
  <c r="C191" i="20" s="1"/>
  <c r="F13" i="28" s="1"/>
  <c r="D510" i="20"/>
  <c r="D513" i="20" s="1"/>
  <c r="G16" i="28" s="1"/>
  <c r="L510" i="20"/>
  <c r="L513" i="20" s="1"/>
  <c r="O16" i="28" s="1"/>
  <c r="L296" i="19"/>
  <c r="L299" i="19" s="1"/>
  <c r="O9" i="28" s="1"/>
  <c r="J296" i="19"/>
  <c r="J299" i="19" s="1"/>
  <c r="M9" i="28" s="1"/>
  <c r="AC405" i="19"/>
  <c r="AC408" i="19" s="1"/>
  <c r="AF10" i="28" s="1"/>
  <c r="F82" i="19"/>
  <c r="F85" i="19" s="1"/>
  <c r="I7" i="28" s="1"/>
  <c r="C405" i="19"/>
  <c r="C408" i="19" s="1"/>
  <c r="F10" i="28" s="1"/>
  <c r="Q82" i="19"/>
  <c r="Q85" i="19" s="1"/>
  <c r="T7" i="28" s="1"/>
  <c r="W405" i="19"/>
  <c r="W408" i="19" s="1"/>
  <c r="Z10" i="28" s="1"/>
  <c r="I405" i="19"/>
  <c r="I408" i="19" s="1"/>
  <c r="L10" i="28" s="1"/>
  <c r="Z188" i="19"/>
  <c r="Z191" i="19" s="1"/>
  <c r="AC8" i="28" s="1"/>
  <c r="Z405" i="19"/>
  <c r="Z408" i="19" s="1"/>
  <c r="AC10" i="28" s="1"/>
  <c r="Q296" i="19"/>
  <c r="Q299" i="19" s="1"/>
  <c r="T9" i="28" s="1"/>
  <c r="E188" i="19"/>
  <c r="E191" i="19" s="1"/>
  <c r="H8" i="28" s="1"/>
  <c r="B405" i="19"/>
  <c r="B408" i="19" s="1"/>
  <c r="E10" i="28" s="1"/>
  <c r="H510" i="19"/>
  <c r="H513" i="19" s="1"/>
  <c r="K11" i="28" s="1"/>
  <c r="X188" i="19"/>
  <c r="X191" i="19" s="1"/>
  <c r="AA8" i="28" s="1"/>
  <c r="K82" i="19"/>
  <c r="K85" i="19" s="1"/>
  <c r="N7" i="28" s="1"/>
  <c r="U82" i="19"/>
  <c r="U85" i="19" s="1"/>
  <c r="X7" i="28" s="1"/>
  <c r="M405" i="19"/>
  <c r="M408" i="19" s="1"/>
  <c r="P10" i="28" s="1"/>
  <c r="Z296" i="19"/>
  <c r="Z299" i="19" s="1"/>
  <c r="AC9" i="28" s="1"/>
  <c r="N82" i="19"/>
  <c r="N85" i="19" s="1"/>
  <c r="Q7" i="28" s="1"/>
  <c r="G405" i="19"/>
  <c r="G408" i="19" s="1"/>
  <c r="J10" i="28" s="1"/>
  <c r="Q510" i="19"/>
  <c r="Q513" i="19" s="1"/>
  <c r="T11" i="28" s="1"/>
  <c r="W510" i="19"/>
  <c r="W513" i="19" s="1"/>
  <c r="Z11" i="28" s="1"/>
  <c r="C296" i="19"/>
  <c r="C299" i="19" s="1"/>
  <c r="F9" i="28" s="1"/>
  <c r="M296" i="19"/>
  <c r="M299" i="19" s="1"/>
  <c r="P9" i="28" s="1"/>
  <c r="G510" i="19"/>
  <c r="G513" i="19" s="1"/>
  <c r="J11" i="28" s="1"/>
  <c r="E510" i="19"/>
  <c r="E513" i="19" s="1"/>
  <c r="H11" i="28" s="1"/>
  <c r="L405" i="19"/>
  <c r="L408" i="19" s="1"/>
  <c r="O10" i="28" s="1"/>
  <c r="S188" i="19"/>
  <c r="S191" i="19" s="1"/>
  <c r="V8" i="28" s="1"/>
  <c r="R405" i="19"/>
  <c r="R408" i="19" s="1"/>
  <c r="U10" i="28" s="1"/>
  <c r="H188" i="19"/>
  <c r="H191" i="19" s="1"/>
  <c r="K8" i="28" s="1"/>
  <c r="I82" i="19"/>
  <c r="I85" i="19" s="1"/>
  <c r="L7" i="28" s="1"/>
  <c r="V405" i="19"/>
  <c r="V408" i="19" s="1"/>
  <c r="Y10" i="28" s="1"/>
  <c r="S510" i="19"/>
  <c r="S513" i="19" s="1"/>
  <c r="V11" i="28" s="1"/>
  <c r="D510" i="19"/>
  <c r="D513" i="19" s="1"/>
  <c r="G11" i="28" s="1"/>
  <c r="AC296" i="19"/>
  <c r="AC299" i="19" s="1"/>
  <c r="AF9" i="28" s="1"/>
  <c r="AB296" i="19"/>
  <c r="AB299" i="19" s="1"/>
  <c r="AE9" i="28" s="1"/>
  <c r="W296" i="19"/>
  <c r="W299" i="19" s="1"/>
  <c r="Z9" i="28" s="1"/>
  <c r="AA405" i="19"/>
  <c r="AA408" i="19" s="1"/>
  <c r="AD10" i="28" s="1"/>
  <c r="E82" i="19"/>
  <c r="E85" i="19" s="1"/>
  <c r="H7" i="28" s="1"/>
  <c r="O296" i="19"/>
  <c r="O299" i="19" s="1"/>
  <c r="R9" i="28" s="1"/>
  <c r="U510" i="19"/>
  <c r="U513" i="19" s="1"/>
  <c r="X11" i="28" s="1"/>
  <c r="P405" i="19"/>
  <c r="P408" i="19" s="1"/>
  <c r="S10" i="28" s="1"/>
  <c r="J188" i="19"/>
  <c r="J191" i="19" s="1"/>
  <c r="M8" i="28" s="1"/>
  <c r="M188" i="19"/>
  <c r="M191" i="19" s="1"/>
  <c r="P8" i="28" s="1"/>
  <c r="C82" i="19"/>
  <c r="C85" i="19" s="1"/>
  <c r="F7" i="28" s="1"/>
  <c r="P296" i="19"/>
  <c r="P299" i="19" s="1"/>
  <c r="S9" i="28" s="1"/>
  <c r="V188" i="19"/>
  <c r="V191" i="19" s="1"/>
  <c r="Y8" i="28" s="1"/>
  <c r="O188" i="19"/>
  <c r="O191" i="19" s="1"/>
  <c r="R8" i="28" s="1"/>
  <c r="R296" i="19"/>
  <c r="R299" i="19" s="1"/>
  <c r="U9" i="28" s="1"/>
  <c r="C188" i="19"/>
  <c r="C191" i="19" s="1"/>
  <c r="F8" i="28" s="1"/>
  <c r="O405" i="19"/>
  <c r="O408" i="19" s="1"/>
  <c r="R10" i="28" s="1"/>
  <c r="AB188" i="19"/>
  <c r="AB191" i="19" s="1"/>
  <c r="AE8" i="28" s="1"/>
  <c r="AB82" i="19"/>
  <c r="AB85" i="19" s="1"/>
  <c r="AE7" i="28" s="1"/>
  <c r="F188" i="19"/>
  <c r="F191" i="19" s="1"/>
  <c r="I8" i="28" s="1"/>
  <c r="C510" i="19"/>
  <c r="C513" i="19" s="1"/>
  <c r="F11" i="28" s="1"/>
  <c r="K296" i="19"/>
  <c r="K299" i="19" s="1"/>
  <c r="N9" i="28" s="1"/>
  <c r="AC188" i="19"/>
  <c r="AC191" i="19" s="1"/>
  <c r="AF8" i="28" s="1"/>
  <c r="D296" i="19"/>
  <c r="D299" i="19" s="1"/>
  <c r="G9" i="28" s="1"/>
  <c r="AA510" i="19"/>
  <c r="AA513" i="19" s="1"/>
  <c r="AD11" i="28" s="1"/>
  <c r="V82" i="19"/>
  <c r="V85" i="19" s="1"/>
  <c r="Y7" i="28" s="1"/>
  <c r="F405" i="19"/>
  <c r="F408" i="19" s="1"/>
  <c r="I10" i="28" s="1"/>
  <c r="S82" i="19"/>
  <c r="S85" i="19" s="1"/>
  <c r="V7" i="28" s="1"/>
  <c r="AC82" i="19"/>
  <c r="AC85" i="19" s="1"/>
  <c r="AF7" i="28" s="1"/>
  <c r="AC510" i="19"/>
  <c r="AC513" i="19" s="1"/>
  <c r="AF11" i="28" s="1"/>
  <c r="N188" i="19"/>
  <c r="N191" i="19" s="1"/>
  <c r="Q8" i="28" s="1"/>
  <c r="X296" i="19"/>
  <c r="X299" i="19" s="1"/>
  <c r="AA9" i="28" s="1"/>
  <c r="F296" i="19"/>
  <c r="F299" i="19" s="1"/>
  <c r="I9" i="28" s="1"/>
  <c r="N510" i="19"/>
  <c r="N513" i="19" s="1"/>
  <c r="Q11" i="28" s="1"/>
  <c r="D188" i="19"/>
  <c r="D191" i="19" s="1"/>
  <c r="G8" i="28" s="1"/>
  <c r="D405" i="19"/>
  <c r="D408" i="19" s="1"/>
  <c r="G10" i="28" s="1"/>
  <c r="L510" i="19"/>
  <c r="L513" i="19" s="1"/>
  <c r="O11" i="28" s="1"/>
  <c r="V510" i="19"/>
  <c r="V513" i="19" s="1"/>
  <c r="Y11" i="28" s="1"/>
  <c r="G296" i="19"/>
  <c r="G299" i="19" s="1"/>
  <c r="J9" i="28" s="1"/>
  <c r="T82" i="19"/>
  <c r="T85" i="19" s="1"/>
  <c r="W7" i="28" s="1"/>
  <c r="J405" i="19"/>
  <c r="J408" i="19" s="1"/>
  <c r="M10" i="28" s="1"/>
  <c r="D82" i="19"/>
  <c r="D85" i="19" s="1"/>
  <c r="G7" i="28" s="1"/>
  <c r="H82" i="19"/>
  <c r="H85" i="19" s="1"/>
  <c r="K7" i="28" s="1"/>
  <c r="X82" i="19"/>
  <c r="X85" i="19" s="1"/>
  <c r="AA7" i="28" s="1"/>
  <c r="L82" i="19"/>
  <c r="L85" i="19" s="1"/>
  <c r="O7" i="28" s="1"/>
  <c r="K188" i="19"/>
  <c r="K191" i="19" s="1"/>
  <c r="N8" i="28" s="1"/>
  <c r="M82" i="19"/>
  <c r="M85" i="19" s="1"/>
  <c r="P7" i="28" s="1"/>
  <c r="U296" i="19"/>
  <c r="U299" i="19" s="1"/>
  <c r="X9" i="28" s="1"/>
  <c r="Y82" i="19"/>
  <c r="Y85" i="19" s="1"/>
  <c r="AB7" i="28" s="1"/>
  <c r="K510" i="19"/>
  <c r="K513" i="19" s="1"/>
  <c r="N11" i="28" s="1"/>
  <c r="Y188" i="19"/>
  <c r="Y191" i="19" s="1"/>
  <c r="AB8" i="28" s="1"/>
  <c r="S405" i="19"/>
  <c r="S408" i="19" s="1"/>
  <c r="V10" i="28" s="1"/>
  <c r="T405" i="19"/>
  <c r="T408" i="19" s="1"/>
  <c r="W10" i="28" s="1"/>
  <c r="Y510" i="19"/>
  <c r="Y513" i="19" s="1"/>
  <c r="AB11" i="28" s="1"/>
  <c r="Y405" i="19"/>
  <c r="Y408" i="19" s="1"/>
  <c r="AB10" i="28" s="1"/>
  <c r="W188" i="19"/>
  <c r="W191" i="19" s="1"/>
  <c r="Z8" i="28" s="1"/>
  <c r="V296" i="19"/>
  <c r="V299" i="19" s="1"/>
  <c r="Y9" i="28" s="1"/>
  <c r="J510" i="19"/>
  <c r="J513" i="19" s="1"/>
  <c r="M11" i="28" s="1"/>
  <c r="Q188" i="19"/>
  <c r="Q191" i="19" s="1"/>
  <c r="T8" i="28" s="1"/>
  <c r="B188" i="19"/>
  <c r="B191" i="19" s="1"/>
  <c r="E8" i="28" s="1"/>
  <c r="AB510" i="19"/>
  <c r="AB513" i="19" s="1"/>
  <c r="AE11" i="28" s="1"/>
  <c r="G82" i="19"/>
  <c r="G85" i="19" s="1"/>
  <c r="J7" i="28" s="1"/>
  <c r="F510" i="19"/>
  <c r="F513" i="19" s="1"/>
  <c r="I11" i="28" s="1"/>
  <c r="U405" i="19"/>
  <c r="U408" i="19" s="1"/>
  <c r="X10" i="28" s="1"/>
  <c r="Q405" i="19"/>
  <c r="Q408" i="19" s="1"/>
  <c r="T10" i="28" s="1"/>
  <c r="E296" i="19"/>
  <c r="E299" i="19" s="1"/>
  <c r="H9" i="28" s="1"/>
  <c r="X510" i="19"/>
  <c r="X513" i="19" s="1"/>
  <c r="AA11" i="28" s="1"/>
  <c r="O510" i="19"/>
  <c r="O513" i="19" s="1"/>
  <c r="R11" i="28" s="1"/>
  <c r="AA296" i="19"/>
  <c r="AA299" i="19" s="1"/>
  <c r="AD9" i="28" s="1"/>
  <c r="W82" i="19"/>
  <c r="W85" i="19" s="1"/>
  <c r="Z7" i="28" s="1"/>
  <c r="R510" i="19"/>
  <c r="R513" i="19" s="1"/>
  <c r="U11" i="28" s="1"/>
  <c r="E405" i="19"/>
  <c r="E408" i="19" s="1"/>
  <c r="H10" i="28" s="1"/>
  <c r="X405" i="19"/>
  <c r="X408" i="19" s="1"/>
  <c r="AA10" i="28" s="1"/>
  <c r="P82" i="19"/>
  <c r="P85" i="19" s="1"/>
  <c r="S7" i="28" s="1"/>
  <c r="H296" i="19"/>
  <c r="H299" i="19" s="1"/>
  <c r="K9" i="28" s="1"/>
  <c r="G188" i="19"/>
  <c r="G191" i="19" s="1"/>
  <c r="J8" i="28" s="1"/>
  <c r="N405" i="19"/>
  <c r="N408" i="19" s="1"/>
  <c r="Q10" i="28" s="1"/>
  <c r="K405" i="19"/>
  <c r="K408" i="19" s="1"/>
  <c r="N10" i="28" s="1"/>
  <c r="Z510" i="19"/>
  <c r="Z513" i="19" s="1"/>
  <c r="AC11" i="28" s="1"/>
  <c r="N296" i="19"/>
  <c r="N299" i="19" s="1"/>
  <c r="Q9" i="28" s="1"/>
  <c r="Y296" i="19"/>
  <c r="Y299" i="19" s="1"/>
  <c r="AB9" i="28" s="1"/>
  <c r="P510" i="19"/>
  <c r="P513" i="19" s="1"/>
  <c r="S11" i="28" s="1"/>
  <c r="P188" i="19"/>
  <c r="P191" i="19" s="1"/>
  <c r="S8" i="28" s="1"/>
  <c r="T296" i="19"/>
  <c r="T299" i="19" s="1"/>
  <c r="W9" i="28" s="1"/>
  <c r="T188" i="19"/>
  <c r="T191" i="19" s="1"/>
  <c r="W8" i="28" s="1"/>
  <c r="L188" i="19"/>
  <c r="L191" i="19" s="1"/>
  <c r="O8" i="28" s="1"/>
  <c r="Z82" i="19"/>
  <c r="Z85" i="19" s="1"/>
  <c r="AC7" i="28" s="1"/>
  <c r="AB405" i="19"/>
  <c r="AB408" i="19" s="1"/>
  <c r="AE10" i="28" s="1"/>
  <c r="AA188" i="19"/>
  <c r="AA191" i="19" s="1"/>
  <c r="AD8" i="28" s="1"/>
  <c r="R188" i="19"/>
  <c r="R191" i="19" s="1"/>
  <c r="U8" i="28" s="1"/>
  <c r="AV14" i="9"/>
  <c r="AV15" i="9"/>
  <c r="AV32" i="9"/>
  <c r="AU27" i="9"/>
  <c r="AU26" i="9"/>
  <c r="AU25" i="9"/>
  <c r="AU24" i="9"/>
  <c r="AU31" i="9"/>
  <c r="A511" i="9"/>
  <c r="A406" i="9"/>
  <c r="A297" i="9"/>
  <c r="A189" i="9"/>
  <c r="A83" i="9"/>
  <c r="A406" i="13"/>
  <c r="A297" i="13"/>
  <c r="A189" i="13"/>
  <c r="A83" i="13"/>
  <c r="A511" i="3"/>
  <c r="A406" i="3"/>
  <c r="A297" i="3"/>
  <c r="A189" i="3"/>
  <c r="A370" i="13"/>
  <c r="A368" i="13"/>
  <c r="A405" i="13" s="1"/>
  <c r="A367" i="13"/>
  <c r="A366" i="13"/>
  <c r="A365" i="13"/>
  <c r="A363" i="13"/>
  <c r="A380" i="13" s="1"/>
  <c r="A404" i="13" s="1"/>
  <c r="A362" i="13"/>
  <c r="A361" i="13"/>
  <c r="A379" i="13" s="1"/>
  <c r="A403" i="13" s="1"/>
  <c r="A360" i="13"/>
  <c r="A378" i="13" s="1"/>
  <c r="A390" i="13" s="1"/>
  <c r="A359" i="13"/>
  <c r="A377" i="13" s="1"/>
  <c r="A401" i="13" s="1"/>
  <c r="A358" i="13"/>
  <c r="A357" i="13"/>
  <c r="A376" i="13" s="1"/>
  <c r="A388" i="13" s="1"/>
  <c r="A356" i="13"/>
  <c r="A375" i="13" s="1"/>
  <c r="A355" i="13"/>
  <c r="A374" i="13" s="1"/>
  <c r="A398" i="13" s="1"/>
  <c r="A354" i="13"/>
  <c r="A373" i="13" s="1"/>
  <c r="A385" i="13" s="1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A261" i="13"/>
  <c r="A259" i="13"/>
  <c r="A296" i="13" s="1"/>
  <c r="A258" i="13"/>
  <c r="A257" i="13"/>
  <c r="A256" i="13"/>
  <c r="A254" i="13"/>
  <c r="A271" i="13" s="1"/>
  <c r="A295" i="13" s="1"/>
  <c r="A253" i="13"/>
  <c r="A252" i="13"/>
  <c r="A270" i="13" s="1"/>
  <c r="A282" i="13" s="1"/>
  <c r="A251" i="13"/>
  <c r="A269" i="13" s="1"/>
  <c r="A281" i="13" s="1"/>
  <c r="A250" i="13"/>
  <c r="A268" i="13" s="1"/>
  <c r="A292" i="13" s="1"/>
  <c r="A249" i="13"/>
  <c r="A248" i="13"/>
  <c r="A267" i="13" s="1"/>
  <c r="A247" i="13"/>
  <c r="A266" i="13" s="1"/>
  <c r="A246" i="13"/>
  <c r="A265" i="13" s="1"/>
  <c r="A245" i="13"/>
  <c r="A264" i="13" s="1"/>
  <c r="AR241" i="13"/>
  <c r="AQ241" i="13"/>
  <c r="AP241" i="13"/>
  <c r="AO241" i="13"/>
  <c r="AN241" i="13"/>
  <c r="AM241" i="13"/>
  <c r="AL241" i="13"/>
  <c r="AK241" i="13"/>
  <c r="AJ241" i="13"/>
  <c r="U261" i="13" s="1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A153" i="13"/>
  <c r="A151" i="13"/>
  <c r="A188" i="13" s="1"/>
  <c r="A150" i="13"/>
  <c r="A149" i="13"/>
  <c r="A148" i="13"/>
  <c r="A146" i="13"/>
  <c r="A163" i="13" s="1"/>
  <c r="A187" i="13" s="1"/>
  <c r="A145" i="13"/>
  <c r="A144" i="13"/>
  <c r="A162" i="13" s="1"/>
  <c r="A186" i="13" s="1"/>
  <c r="A143" i="13"/>
  <c r="A161" i="13" s="1"/>
  <c r="A173" i="13" s="1"/>
  <c r="A142" i="13"/>
  <c r="A160" i="13" s="1"/>
  <c r="A184" i="13" s="1"/>
  <c r="A141" i="13"/>
  <c r="A140" i="13"/>
  <c r="A159" i="13" s="1"/>
  <c r="A139" i="13"/>
  <c r="A158" i="13" s="1"/>
  <c r="A138" i="13"/>
  <c r="A157" i="13" s="1"/>
  <c r="A181" i="13" s="1"/>
  <c r="A137" i="13"/>
  <c r="A156" i="13" s="1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AR130" i="13"/>
  <c r="AQ130" i="13"/>
  <c r="AP130" i="13"/>
  <c r="AO130" i="13"/>
  <c r="AN130" i="13"/>
  <c r="AM130" i="13"/>
  <c r="X150" i="13" s="1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B140" i="13" s="1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A47" i="13"/>
  <c r="A45" i="13"/>
  <c r="A82" i="13" s="1"/>
  <c r="A44" i="13"/>
  <c r="A43" i="13"/>
  <c r="A42" i="13"/>
  <c r="A40" i="13"/>
  <c r="A57" i="13" s="1"/>
  <c r="A81" i="13" s="1"/>
  <c r="A39" i="13"/>
  <c r="A38" i="13"/>
  <c r="A56" i="13" s="1"/>
  <c r="A68" i="13" s="1"/>
  <c r="A37" i="13"/>
  <c r="A55" i="13" s="1"/>
  <c r="A67" i="13" s="1"/>
  <c r="A36" i="13"/>
  <c r="A54" i="13" s="1"/>
  <c r="A78" i="13" s="1"/>
  <c r="A35" i="13"/>
  <c r="A34" i="13"/>
  <c r="A53" i="13" s="1"/>
  <c r="A65" i="13" s="1"/>
  <c r="A33" i="13"/>
  <c r="A52" i="13" s="1"/>
  <c r="A32" i="13"/>
  <c r="A51" i="13" s="1"/>
  <c r="A75" i="13" s="1"/>
  <c r="A31" i="13"/>
  <c r="A50" i="13" s="1"/>
  <c r="A62" i="13" s="1"/>
  <c r="AR27" i="13"/>
  <c r="AQ27" i="13"/>
  <c r="AP27" i="13"/>
  <c r="AO27" i="13"/>
  <c r="AN27" i="13"/>
  <c r="AM27" i="13"/>
  <c r="AL27" i="13"/>
  <c r="AK27" i="13"/>
  <c r="AJ27" i="13"/>
  <c r="U47" i="13" s="1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AR24" i="13"/>
  <c r="AQ24" i="13"/>
  <c r="AP24" i="13"/>
  <c r="AO24" i="13"/>
  <c r="AN24" i="13"/>
  <c r="AM24" i="13"/>
  <c r="AL24" i="13"/>
  <c r="AK24" i="13"/>
  <c r="AJ24" i="13"/>
  <c r="U44" i="13" s="1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AR23" i="13"/>
  <c r="AC43" i="13" s="1"/>
  <c r="AQ23" i="13"/>
  <c r="AB43" i="13" s="1"/>
  <c r="AP23" i="13"/>
  <c r="AA43" i="13" s="1"/>
  <c r="AO23" i="13"/>
  <c r="Z43" i="13" s="1"/>
  <c r="AN23" i="13"/>
  <c r="Y43" i="13" s="1"/>
  <c r="AM23" i="13"/>
  <c r="X43" i="13" s="1"/>
  <c r="AL23" i="13"/>
  <c r="W43" i="13" s="1"/>
  <c r="AK23" i="13"/>
  <c r="V43" i="13" s="1"/>
  <c r="AJ23" i="13"/>
  <c r="U43" i="13" s="1"/>
  <c r="AI23" i="13"/>
  <c r="T43" i="13" s="1"/>
  <c r="AH23" i="13"/>
  <c r="S43" i="13" s="1"/>
  <c r="AG23" i="13"/>
  <c r="R43" i="13" s="1"/>
  <c r="AF23" i="13"/>
  <c r="Q43" i="13" s="1"/>
  <c r="AE23" i="13"/>
  <c r="P43" i="13" s="1"/>
  <c r="AD23" i="13"/>
  <c r="O43" i="13" s="1"/>
  <c r="AC23" i="13"/>
  <c r="N43" i="13" s="1"/>
  <c r="AB23" i="13"/>
  <c r="M43" i="13" s="1"/>
  <c r="AA23" i="13"/>
  <c r="L43" i="13" s="1"/>
  <c r="Z23" i="13"/>
  <c r="K43" i="13" s="1"/>
  <c r="Y23" i="13"/>
  <c r="J43" i="13" s="1"/>
  <c r="X23" i="13"/>
  <c r="I43" i="13" s="1"/>
  <c r="W23" i="13"/>
  <c r="H43" i="13" s="1"/>
  <c r="V23" i="13"/>
  <c r="G43" i="13" s="1"/>
  <c r="U23" i="13"/>
  <c r="F43" i="13" s="1"/>
  <c r="T23" i="13"/>
  <c r="E43" i="13" s="1"/>
  <c r="S23" i="13"/>
  <c r="D43" i="13" s="1"/>
  <c r="R23" i="13"/>
  <c r="C43" i="13" s="1"/>
  <c r="Q23" i="13"/>
  <c r="B43" i="13" s="1"/>
  <c r="AR22" i="13"/>
  <c r="AC42" i="13" s="1"/>
  <c r="AQ22" i="13"/>
  <c r="AB42" i="13" s="1"/>
  <c r="AP22" i="13"/>
  <c r="AA42" i="13" s="1"/>
  <c r="AO22" i="13"/>
  <c r="Z42" i="13" s="1"/>
  <c r="AN22" i="13"/>
  <c r="Y42" i="13" s="1"/>
  <c r="AM22" i="13"/>
  <c r="X42" i="13" s="1"/>
  <c r="AL22" i="13"/>
  <c r="W42" i="13" s="1"/>
  <c r="AK22" i="13"/>
  <c r="V42" i="13" s="1"/>
  <c r="AJ22" i="13"/>
  <c r="U42" i="13" s="1"/>
  <c r="AI22" i="13"/>
  <c r="T42" i="13" s="1"/>
  <c r="AH22" i="13"/>
  <c r="S42" i="13" s="1"/>
  <c r="AG22" i="13"/>
  <c r="R42" i="13" s="1"/>
  <c r="AF22" i="13"/>
  <c r="Q42" i="13" s="1"/>
  <c r="AE22" i="13"/>
  <c r="P42" i="13" s="1"/>
  <c r="AD22" i="13"/>
  <c r="O42" i="13" s="1"/>
  <c r="AC22" i="13"/>
  <c r="N42" i="13" s="1"/>
  <c r="AB22" i="13"/>
  <c r="M42" i="13" s="1"/>
  <c r="AA22" i="13"/>
  <c r="L42" i="13" s="1"/>
  <c r="Z22" i="13"/>
  <c r="K42" i="13" s="1"/>
  <c r="Y22" i="13"/>
  <c r="J42" i="13" s="1"/>
  <c r="X22" i="13"/>
  <c r="I42" i="13" s="1"/>
  <c r="W22" i="13"/>
  <c r="H42" i="13" s="1"/>
  <c r="V22" i="13"/>
  <c r="G42" i="13" s="1"/>
  <c r="U22" i="13"/>
  <c r="F42" i="13" s="1"/>
  <c r="T22" i="13"/>
  <c r="E42" i="13" s="1"/>
  <c r="S22" i="13"/>
  <c r="D42" i="13" s="1"/>
  <c r="R22" i="13"/>
  <c r="C42" i="13" s="1"/>
  <c r="Q22" i="13"/>
  <c r="B42" i="13" s="1"/>
  <c r="AR20" i="13"/>
  <c r="AC40" i="13" s="1"/>
  <c r="AQ20" i="13"/>
  <c r="AB40" i="13" s="1"/>
  <c r="AP20" i="13"/>
  <c r="AA40" i="13" s="1"/>
  <c r="AO20" i="13"/>
  <c r="Z40" i="13" s="1"/>
  <c r="AN20" i="13"/>
  <c r="Y40" i="13" s="1"/>
  <c r="AM20" i="13"/>
  <c r="X40" i="13" s="1"/>
  <c r="AL20" i="13"/>
  <c r="W40" i="13" s="1"/>
  <c r="AK20" i="13"/>
  <c r="V40" i="13" s="1"/>
  <c r="AJ20" i="13"/>
  <c r="U40" i="13" s="1"/>
  <c r="AI20" i="13"/>
  <c r="T40" i="13" s="1"/>
  <c r="AH20" i="13"/>
  <c r="S40" i="13" s="1"/>
  <c r="AG20" i="13"/>
  <c r="R40" i="13" s="1"/>
  <c r="AF20" i="13"/>
  <c r="Q40" i="13" s="1"/>
  <c r="AE20" i="13"/>
  <c r="P40" i="13" s="1"/>
  <c r="AD20" i="13"/>
  <c r="O40" i="13" s="1"/>
  <c r="AC20" i="13"/>
  <c r="N40" i="13" s="1"/>
  <c r="AB20" i="13"/>
  <c r="M40" i="13" s="1"/>
  <c r="AA20" i="13"/>
  <c r="L40" i="13" s="1"/>
  <c r="Z20" i="13"/>
  <c r="K40" i="13" s="1"/>
  <c r="Y20" i="13"/>
  <c r="J40" i="13" s="1"/>
  <c r="X20" i="13"/>
  <c r="I40" i="13" s="1"/>
  <c r="W20" i="13"/>
  <c r="H40" i="13" s="1"/>
  <c r="V20" i="13"/>
  <c r="G40" i="13" s="1"/>
  <c r="U20" i="13"/>
  <c r="F40" i="13" s="1"/>
  <c r="T20" i="13"/>
  <c r="E40" i="13" s="1"/>
  <c r="S20" i="13"/>
  <c r="D40" i="13" s="1"/>
  <c r="R20" i="13"/>
  <c r="C40" i="13" s="1"/>
  <c r="Q20" i="13"/>
  <c r="B40" i="13" s="1"/>
  <c r="AR19" i="13"/>
  <c r="AC39" i="13" s="1"/>
  <c r="AQ19" i="13"/>
  <c r="AB39" i="13" s="1"/>
  <c r="AP19" i="13"/>
  <c r="AA39" i="13" s="1"/>
  <c r="AO19" i="13"/>
  <c r="Z39" i="13" s="1"/>
  <c r="AN19" i="13"/>
  <c r="Y39" i="13" s="1"/>
  <c r="AM19" i="13"/>
  <c r="X39" i="13" s="1"/>
  <c r="AL19" i="13"/>
  <c r="W39" i="13" s="1"/>
  <c r="AK19" i="13"/>
  <c r="V39" i="13" s="1"/>
  <c r="AJ19" i="13"/>
  <c r="U39" i="13" s="1"/>
  <c r="AI19" i="13"/>
  <c r="T39" i="13" s="1"/>
  <c r="AH19" i="13"/>
  <c r="S39" i="13" s="1"/>
  <c r="AG19" i="13"/>
  <c r="R39" i="13" s="1"/>
  <c r="AF19" i="13"/>
  <c r="Q39" i="13" s="1"/>
  <c r="AE19" i="13"/>
  <c r="P39" i="13" s="1"/>
  <c r="AD19" i="13"/>
  <c r="O39" i="13" s="1"/>
  <c r="AC19" i="13"/>
  <c r="N39" i="13" s="1"/>
  <c r="AB19" i="13"/>
  <c r="M39" i="13" s="1"/>
  <c r="AA19" i="13"/>
  <c r="L39" i="13" s="1"/>
  <c r="Z19" i="13"/>
  <c r="K39" i="13" s="1"/>
  <c r="Y19" i="13"/>
  <c r="J39" i="13" s="1"/>
  <c r="X19" i="13"/>
  <c r="I39" i="13" s="1"/>
  <c r="W19" i="13"/>
  <c r="H39" i="13" s="1"/>
  <c r="V19" i="13"/>
  <c r="G39" i="13" s="1"/>
  <c r="U19" i="13"/>
  <c r="F39" i="13" s="1"/>
  <c r="T19" i="13"/>
  <c r="E39" i="13" s="1"/>
  <c r="S19" i="13"/>
  <c r="D39" i="13" s="1"/>
  <c r="R19" i="13"/>
  <c r="C39" i="13" s="1"/>
  <c r="Q19" i="13"/>
  <c r="B39" i="13" s="1"/>
  <c r="AR18" i="13"/>
  <c r="AC38" i="13" s="1"/>
  <c r="AQ18" i="13"/>
  <c r="AB38" i="13" s="1"/>
  <c r="AP18" i="13"/>
  <c r="AA38" i="13" s="1"/>
  <c r="AO18" i="13"/>
  <c r="Z38" i="13" s="1"/>
  <c r="AN18" i="13"/>
  <c r="Y38" i="13" s="1"/>
  <c r="AM18" i="13"/>
  <c r="X38" i="13" s="1"/>
  <c r="AL18" i="13"/>
  <c r="W38" i="13" s="1"/>
  <c r="AK18" i="13"/>
  <c r="V38" i="13" s="1"/>
  <c r="AJ18" i="13"/>
  <c r="U38" i="13" s="1"/>
  <c r="AI18" i="13"/>
  <c r="T38" i="13" s="1"/>
  <c r="AH18" i="13"/>
  <c r="S38" i="13" s="1"/>
  <c r="AG18" i="13"/>
  <c r="R38" i="13" s="1"/>
  <c r="AF18" i="13"/>
  <c r="Q38" i="13" s="1"/>
  <c r="AE18" i="13"/>
  <c r="P38" i="13" s="1"/>
  <c r="AD18" i="13"/>
  <c r="O38" i="13" s="1"/>
  <c r="AC18" i="13"/>
  <c r="N38" i="13" s="1"/>
  <c r="AB18" i="13"/>
  <c r="M38" i="13" s="1"/>
  <c r="AA18" i="13"/>
  <c r="L38" i="13" s="1"/>
  <c r="Z18" i="13"/>
  <c r="K38" i="13" s="1"/>
  <c r="Y18" i="13"/>
  <c r="J38" i="13" s="1"/>
  <c r="X18" i="13"/>
  <c r="I38" i="13" s="1"/>
  <c r="W18" i="13"/>
  <c r="H38" i="13" s="1"/>
  <c r="V18" i="13"/>
  <c r="G38" i="13" s="1"/>
  <c r="U18" i="13"/>
  <c r="F38" i="13" s="1"/>
  <c r="T18" i="13"/>
  <c r="E38" i="13" s="1"/>
  <c r="S18" i="13"/>
  <c r="D38" i="13" s="1"/>
  <c r="R18" i="13"/>
  <c r="C38" i="13" s="1"/>
  <c r="Q18" i="13"/>
  <c r="B38" i="13" s="1"/>
  <c r="AR17" i="13"/>
  <c r="AC37" i="13" s="1"/>
  <c r="AC55" i="13" s="1"/>
  <c r="AQ17" i="13"/>
  <c r="AB37" i="13" s="1"/>
  <c r="AB55" i="13" s="1"/>
  <c r="AP17" i="13"/>
  <c r="AA37" i="13" s="1"/>
  <c r="AA55" i="13" s="1"/>
  <c r="AO17" i="13"/>
  <c r="Z37" i="13" s="1"/>
  <c r="Z55" i="13" s="1"/>
  <c r="AN17" i="13"/>
  <c r="Y37" i="13" s="1"/>
  <c r="Y55" i="13" s="1"/>
  <c r="AM17" i="13"/>
  <c r="X37" i="13" s="1"/>
  <c r="X55" i="13" s="1"/>
  <c r="AL17" i="13"/>
  <c r="W37" i="13" s="1"/>
  <c r="W55" i="13" s="1"/>
  <c r="AK17" i="13"/>
  <c r="V37" i="13" s="1"/>
  <c r="V55" i="13" s="1"/>
  <c r="AJ17" i="13"/>
  <c r="U37" i="13" s="1"/>
  <c r="U55" i="13" s="1"/>
  <c r="AI17" i="13"/>
  <c r="T37" i="13" s="1"/>
  <c r="T55" i="13" s="1"/>
  <c r="AH17" i="13"/>
  <c r="S37" i="13" s="1"/>
  <c r="S55" i="13" s="1"/>
  <c r="AG17" i="13"/>
  <c r="R37" i="13" s="1"/>
  <c r="R55" i="13" s="1"/>
  <c r="AF17" i="13"/>
  <c r="Q37" i="13" s="1"/>
  <c r="Q55" i="13" s="1"/>
  <c r="AE17" i="13"/>
  <c r="P37" i="13" s="1"/>
  <c r="P55" i="13" s="1"/>
  <c r="AD17" i="13"/>
  <c r="O37" i="13" s="1"/>
  <c r="O55" i="13" s="1"/>
  <c r="AC17" i="13"/>
  <c r="N37" i="13" s="1"/>
  <c r="N55" i="13" s="1"/>
  <c r="AB17" i="13"/>
  <c r="M37" i="13" s="1"/>
  <c r="M55" i="13" s="1"/>
  <c r="AA17" i="13"/>
  <c r="L37" i="13" s="1"/>
  <c r="L55" i="13" s="1"/>
  <c r="Z17" i="13"/>
  <c r="K37" i="13" s="1"/>
  <c r="K55" i="13" s="1"/>
  <c r="Y17" i="13"/>
  <c r="J37" i="13" s="1"/>
  <c r="J55" i="13" s="1"/>
  <c r="X17" i="13"/>
  <c r="I37" i="13" s="1"/>
  <c r="I55" i="13" s="1"/>
  <c r="W17" i="13"/>
  <c r="H37" i="13" s="1"/>
  <c r="H55" i="13" s="1"/>
  <c r="V17" i="13"/>
  <c r="G37" i="13" s="1"/>
  <c r="G55" i="13" s="1"/>
  <c r="U17" i="13"/>
  <c r="F37" i="13" s="1"/>
  <c r="F55" i="13" s="1"/>
  <c r="T17" i="13"/>
  <c r="E37" i="13" s="1"/>
  <c r="E55" i="13" s="1"/>
  <c r="S17" i="13"/>
  <c r="D37" i="13" s="1"/>
  <c r="D55" i="13" s="1"/>
  <c r="R17" i="13"/>
  <c r="C37" i="13" s="1"/>
  <c r="C55" i="13" s="1"/>
  <c r="Q17" i="13"/>
  <c r="B37" i="13" s="1"/>
  <c r="B55" i="13" s="1"/>
  <c r="AR16" i="13"/>
  <c r="AC36" i="13" s="1"/>
  <c r="AC54" i="13" s="1"/>
  <c r="AQ16" i="13"/>
  <c r="AB36" i="13" s="1"/>
  <c r="AB54" i="13" s="1"/>
  <c r="AP16" i="13"/>
  <c r="AA36" i="13" s="1"/>
  <c r="AA54" i="13" s="1"/>
  <c r="AO16" i="13"/>
  <c r="Z36" i="13" s="1"/>
  <c r="Z54" i="13" s="1"/>
  <c r="AN16" i="13"/>
  <c r="Y36" i="13" s="1"/>
  <c r="Y54" i="13" s="1"/>
  <c r="AM16" i="13"/>
  <c r="X36" i="13" s="1"/>
  <c r="X54" i="13" s="1"/>
  <c r="AL16" i="13"/>
  <c r="W36" i="13" s="1"/>
  <c r="W54" i="13" s="1"/>
  <c r="AK16" i="13"/>
  <c r="V36" i="13" s="1"/>
  <c r="V54" i="13" s="1"/>
  <c r="AJ16" i="13"/>
  <c r="U36" i="13" s="1"/>
  <c r="U54" i="13" s="1"/>
  <c r="AI16" i="13"/>
  <c r="T36" i="13" s="1"/>
  <c r="T54" i="13" s="1"/>
  <c r="AH16" i="13"/>
  <c r="S36" i="13" s="1"/>
  <c r="S54" i="13" s="1"/>
  <c r="AG16" i="13"/>
  <c r="R36" i="13" s="1"/>
  <c r="R54" i="13" s="1"/>
  <c r="AF16" i="13"/>
  <c r="Q36" i="13" s="1"/>
  <c r="Q54" i="13" s="1"/>
  <c r="AE16" i="13"/>
  <c r="P36" i="13" s="1"/>
  <c r="P54" i="13" s="1"/>
  <c r="AD16" i="13"/>
  <c r="O36" i="13" s="1"/>
  <c r="O54" i="13" s="1"/>
  <c r="AC16" i="13"/>
  <c r="N36" i="13" s="1"/>
  <c r="N54" i="13" s="1"/>
  <c r="AB16" i="13"/>
  <c r="M36" i="13" s="1"/>
  <c r="M54" i="13" s="1"/>
  <c r="AA16" i="13"/>
  <c r="L36" i="13" s="1"/>
  <c r="L54" i="13" s="1"/>
  <c r="Z16" i="13"/>
  <c r="K36" i="13" s="1"/>
  <c r="K54" i="13" s="1"/>
  <c r="Y16" i="13"/>
  <c r="J36" i="13" s="1"/>
  <c r="J54" i="13" s="1"/>
  <c r="X16" i="13"/>
  <c r="I36" i="13" s="1"/>
  <c r="I54" i="13" s="1"/>
  <c r="W16" i="13"/>
  <c r="H36" i="13" s="1"/>
  <c r="H54" i="13" s="1"/>
  <c r="V16" i="13"/>
  <c r="G36" i="13" s="1"/>
  <c r="G54" i="13" s="1"/>
  <c r="U16" i="13"/>
  <c r="F36" i="13" s="1"/>
  <c r="F54" i="13" s="1"/>
  <c r="T16" i="13"/>
  <c r="E36" i="13" s="1"/>
  <c r="E54" i="13" s="1"/>
  <c r="S16" i="13"/>
  <c r="D36" i="13" s="1"/>
  <c r="D54" i="13" s="1"/>
  <c r="R16" i="13"/>
  <c r="C36" i="13" s="1"/>
  <c r="C54" i="13" s="1"/>
  <c r="Q16" i="13"/>
  <c r="B36" i="13" s="1"/>
  <c r="B54" i="13" s="1"/>
  <c r="AR15" i="13"/>
  <c r="AC35" i="13" s="1"/>
  <c r="AQ15" i="13"/>
  <c r="AB35" i="13" s="1"/>
  <c r="AP15" i="13"/>
  <c r="AA35" i="13" s="1"/>
  <c r="AO15" i="13"/>
  <c r="Z35" i="13" s="1"/>
  <c r="AN15" i="13"/>
  <c r="Y35" i="13" s="1"/>
  <c r="AM15" i="13"/>
  <c r="X35" i="13" s="1"/>
  <c r="AL15" i="13"/>
  <c r="W35" i="13" s="1"/>
  <c r="AK15" i="13"/>
  <c r="V35" i="13" s="1"/>
  <c r="AJ15" i="13"/>
  <c r="U35" i="13" s="1"/>
  <c r="AI15" i="13"/>
  <c r="T35" i="13" s="1"/>
  <c r="AH15" i="13"/>
  <c r="S35" i="13" s="1"/>
  <c r="AG15" i="13"/>
  <c r="R35" i="13" s="1"/>
  <c r="AF15" i="13"/>
  <c r="Q35" i="13" s="1"/>
  <c r="AE15" i="13"/>
  <c r="P35" i="13" s="1"/>
  <c r="AD15" i="13"/>
  <c r="O35" i="13" s="1"/>
  <c r="AC15" i="13"/>
  <c r="N35" i="13" s="1"/>
  <c r="AB15" i="13"/>
  <c r="M35" i="13" s="1"/>
  <c r="AA15" i="13"/>
  <c r="L35" i="13" s="1"/>
  <c r="Z15" i="13"/>
  <c r="K35" i="13" s="1"/>
  <c r="Y15" i="13"/>
  <c r="J35" i="13" s="1"/>
  <c r="X15" i="13"/>
  <c r="I35" i="13" s="1"/>
  <c r="W15" i="13"/>
  <c r="H35" i="13" s="1"/>
  <c r="V15" i="13"/>
  <c r="G35" i="13" s="1"/>
  <c r="U15" i="13"/>
  <c r="F35" i="13" s="1"/>
  <c r="T15" i="13"/>
  <c r="E35" i="13" s="1"/>
  <c r="S15" i="13"/>
  <c r="D35" i="13" s="1"/>
  <c r="R15" i="13"/>
  <c r="C35" i="13" s="1"/>
  <c r="Q15" i="13"/>
  <c r="B35" i="13" s="1"/>
  <c r="AR14" i="13"/>
  <c r="AC34" i="13" s="1"/>
  <c r="AQ14" i="13"/>
  <c r="AB34" i="13" s="1"/>
  <c r="AP14" i="13"/>
  <c r="AA34" i="13" s="1"/>
  <c r="AO14" i="13"/>
  <c r="Z34" i="13" s="1"/>
  <c r="AN14" i="13"/>
  <c r="Y34" i="13" s="1"/>
  <c r="AM14" i="13"/>
  <c r="X34" i="13" s="1"/>
  <c r="AL14" i="13"/>
  <c r="W34" i="13" s="1"/>
  <c r="AK14" i="13"/>
  <c r="V34" i="13" s="1"/>
  <c r="AJ14" i="13"/>
  <c r="U34" i="13" s="1"/>
  <c r="AI14" i="13"/>
  <c r="T34" i="13" s="1"/>
  <c r="AH14" i="13"/>
  <c r="S34" i="13" s="1"/>
  <c r="AG14" i="13"/>
  <c r="R34" i="13" s="1"/>
  <c r="AF14" i="13"/>
  <c r="Q34" i="13" s="1"/>
  <c r="AE14" i="13"/>
  <c r="P34" i="13" s="1"/>
  <c r="AD14" i="13"/>
  <c r="O34" i="13" s="1"/>
  <c r="AC14" i="13"/>
  <c r="N34" i="13" s="1"/>
  <c r="AB14" i="13"/>
  <c r="M34" i="13" s="1"/>
  <c r="AA14" i="13"/>
  <c r="L34" i="13" s="1"/>
  <c r="Z14" i="13"/>
  <c r="K34" i="13" s="1"/>
  <c r="Y14" i="13"/>
  <c r="J34" i="13" s="1"/>
  <c r="X14" i="13"/>
  <c r="I34" i="13" s="1"/>
  <c r="W14" i="13"/>
  <c r="H34" i="13" s="1"/>
  <c r="V14" i="13"/>
  <c r="G34" i="13" s="1"/>
  <c r="U14" i="13"/>
  <c r="F34" i="13" s="1"/>
  <c r="T14" i="13"/>
  <c r="E34" i="13" s="1"/>
  <c r="S14" i="13"/>
  <c r="D34" i="13" s="1"/>
  <c r="R14" i="13"/>
  <c r="C34" i="13" s="1"/>
  <c r="Q14" i="13"/>
  <c r="B34" i="13" s="1"/>
  <c r="AR13" i="13"/>
  <c r="AC33" i="13" s="1"/>
  <c r="AQ13" i="13"/>
  <c r="AB33" i="13" s="1"/>
  <c r="AP13" i="13"/>
  <c r="AA33" i="13" s="1"/>
  <c r="AO13" i="13"/>
  <c r="Z33" i="13" s="1"/>
  <c r="AN13" i="13"/>
  <c r="Y33" i="13" s="1"/>
  <c r="AM13" i="13"/>
  <c r="X33" i="13" s="1"/>
  <c r="AL13" i="13"/>
  <c r="W33" i="13" s="1"/>
  <c r="AK13" i="13"/>
  <c r="V33" i="13" s="1"/>
  <c r="AJ13" i="13"/>
  <c r="U33" i="13" s="1"/>
  <c r="AI13" i="13"/>
  <c r="T33" i="13" s="1"/>
  <c r="AH13" i="13"/>
  <c r="S33" i="13" s="1"/>
  <c r="AG13" i="13"/>
  <c r="R33" i="13" s="1"/>
  <c r="AF13" i="13"/>
  <c r="Q33" i="13" s="1"/>
  <c r="AE13" i="13"/>
  <c r="P33" i="13" s="1"/>
  <c r="AD13" i="13"/>
  <c r="O33" i="13" s="1"/>
  <c r="AC13" i="13"/>
  <c r="N33" i="13" s="1"/>
  <c r="AB13" i="13"/>
  <c r="M33" i="13" s="1"/>
  <c r="AA13" i="13"/>
  <c r="L33" i="13" s="1"/>
  <c r="Z13" i="13"/>
  <c r="K33" i="13" s="1"/>
  <c r="Y13" i="13"/>
  <c r="J33" i="13" s="1"/>
  <c r="X13" i="13"/>
  <c r="I33" i="13" s="1"/>
  <c r="W13" i="13"/>
  <c r="H33" i="13" s="1"/>
  <c r="V13" i="13"/>
  <c r="G33" i="13" s="1"/>
  <c r="U13" i="13"/>
  <c r="F33" i="13" s="1"/>
  <c r="T13" i="13"/>
  <c r="E33" i="13" s="1"/>
  <c r="S13" i="13"/>
  <c r="D33" i="13" s="1"/>
  <c r="R13" i="13"/>
  <c r="C33" i="13" s="1"/>
  <c r="Q13" i="13"/>
  <c r="B33" i="13" s="1"/>
  <c r="AR12" i="13"/>
  <c r="AC32" i="13" s="1"/>
  <c r="AQ12" i="13"/>
  <c r="AB32" i="13" s="1"/>
  <c r="AP12" i="13"/>
  <c r="AA32" i="13" s="1"/>
  <c r="AO12" i="13"/>
  <c r="Z32" i="13" s="1"/>
  <c r="AN12" i="13"/>
  <c r="Y32" i="13" s="1"/>
  <c r="AM12" i="13"/>
  <c r="X32" i="13" s="1"/>
  <c r="AL12" i="13"/>
  <c r="W32" i="13" s="1"/>
  <c r="AK12" i="13"/>
  <c r="V32" i="13" s="1"/>
  <c r="AJ12" i="13"/>
  <c r="U32" i="13" s="1"/>
  <c r="AI12" i="13"/>
  <c r="T32" i="13" s="1"/>
  <c r="AH12" i="13"/>
  <c r="S32" i="13" s="1"/>
  <c r="AG12" i="13"/>
  <c r="R32" i="13" s="1"/>
  <c r="AF12" i="13"/>
  <c r="Q32" i="13" s="1"/>
  <c r="AE12" i="13"/>
  <c r="P32" i="13" s="1"/>
  <c r="AD12" i="13"/>
  <c r="O32" i="13" s="1"/>
  <c r="AC12" i="13"/>
  <c r="N32" i="13" s="1"/>
  <c r="AB12" i="13"/>
  <c r="M32" i="13" s="1"/>
  <c r="AA12" i="13"/>
  <c r="L32" i="13" s="1"/>
  <c r="Z12" i="13"/>
  <c r="K32" i="13" s="1"/>
  <c r="Y12" i="13"/>
  <c r="J32" i="13" s="1"/>
  <c r="X12" i="13"/>
  <c r="I32" i="13" s="1"/>
  <c r="W12" i="13"/>
  <c r="H32" i="13" s="1"/>
  <c r="V12" i="13"/>
  <c r="G32" i="13" s="1"/>
  <c r="U12" i="13"/>
  <c r="F32" i="13" s="1"/>
  <c r="T12" i="13"/>
  <c r="E32" i="13" s="1"/>
  <c r="S12" i="13"/>
  <c r="D32" i="13" s="1"/>
  <c r="R12" i="13"/>
  <c r="C32" i="13" s="1"/>
  <c r="Q12" i="13"/>
  <c r="B32" i="13" s="1"/>
  <c r="AR11" i="13"/>
  <c r="AC31" i="13" s="1"/>
  <c r="AQ11" i="13"/>
  <c r="AB31" i="13" s="1"/>
  <c r="AP11" i="13"/>
  <c r="AA31" i="13" s="1"/>
  <c r="AO11" i="13"/>
  <c r="Z31" i="13" s="1"/>
  <c r="AN11" i="13"/>
  <c r="Y31" i="13" s="1"/>
  <c r="AM11" i="13"/>
  <c r="X31" i="13" s="1"/>
  <c r="AL11" i="13"/>
  <c r="W31" i="13" s="1"/>
  <c r="AK11" i="13"/>
  <c r="V31" i="13" s="1"/>
  <c r="AJ11" i="13"/>
  <c r="U31" i="13" s="1"/>
  <c r="AI11" i="13"/>
  <c r="T31" i="13" s="1"/>
  <c r="AH11" i="13"/>
  <c r="S31" i="13" s="1"/>
  <c r="AG11" i="13"/>
  <c r="R31" i="13" s="1"/>
  <c r="AF11" i="13"/>
  <c r="Q31" i="13" s="1"/>
  <c r="AE11" i="13"/>
  <c r="P31" i="13" s="1"/>
  <c r="AD11" i="13"/>
  <c r="O31" i="13" s="1"/>
  <c r="AC11" i="13"/>
  <c r="N31" i="13" s="1"/>
  <c r="AB11" i="13"/>
  <c r="M31" i="13" s="1"/>
  <c r="AA11" i="13"/>
  <c r="L31" i="13" s="1"/>
  <c r="Z11" i="13"/>
  <c r="K31" i="13" s="1"/>
  <c r="Y11" i="13"/>
  <c r="J31" i="13" s="1"/>
  <c r="X11" i="13"/>
  <c r="I31" i="13" s="1"/>
  <c r="W11" i="13"/>
  <c r="H31" i="13" s="1"/>
  <c r="V11" i="13"/>
  <c r="G31" i="13" s="1"/>
  <c r="U11" i="13"/>
  <c r="F31" i="13" s="1"/>
  <c r="T11" i="13"/>
  <c r="E31" i="13" s="1"/>
  <c r="S11" i="13"/>
  <c r="D31" i="13" s="1"/>
  <c r="R11" i="13"/>
  <c r="C31" i="13" s="1"/>
  <c r="Q11" i="13"/>
  <c r="B31" i="13" s="1"/>
  <c r="A475" i="9"/>
  <c r="A473" i="9"/>
  <c r="A510" i="9" s="1"/>
  <c r="A472" i="9"/>
  <c r="A471" i="9"/>
  <c r="A470" i="9"/>
  <c r="A468" i="9"/>
  <c r="A485" i="9" s="1"/>
  <c r="A509" i="9" s="1"/>
  <c r="A467" i="9"/>
  <c r="A466" i="9"/>
  <c r="A484" i="9" s="1"/>
  <c r="A508" i="9" s="1"/>
  <c r="A465" i="9"/>
  <c r="A483" i="9" s="1"/>
  <c r="A495" i="9" s="1"/>
  <c r="A464" i="9"/>
  <c r="A482" i="9" s="1"/>
  <c r="A506" i="9" s="1"/>
  <c r="A463" i="9"/>
  <c r="A462" i="9"/>
  <c r="A481" i="9" s="1"/>
  <c r="A493" i="9" s="1"/>
  <c r="A461" i="9"/>
  <c r="A480" i="9" s="1"/>
  <c r="A460" i="9"/>
  <c r="A479" i="9" s="1"/>
  <c r="A503" i="9" s="1"/>
  <c r="A459" i="9"/>
  <c r="A478" i="9" s="1"/>
  <c r="A490" i="9" s="1"/>
  <c r="AR455" i="9"/>
  <c r="AQ455" i="9"/>
  <c r="AP455" i="9"/>
  <c r="AO455" i="9"/>
  <c r="AN455" i="9"/>
  <c r="AM455" i="9"/>
  <c r="AL455" i="9"/>
  <c r="AK455" i="9"/>
  <c r="V475" i="9" s="1"/>
  <c r="AJ455" i="9"/>
  <c r="AI455" i="9"/>
  <c r="AH455" i="9"/>
  <c r="AG455" i="9"/>
  <c r="AF455" i="9"/>
  <c r="AE455" i="9"/>
  <c r="AD455" i="9"/>
  <c r="AC455" i="9"/>
  <c r="AB455" i="9"/>
  <c r="AA455" i="9"/>
  <c r="Z455" i="9"/>
  <c r="Y455" i="9"/>
  <c r="X455" i="9"/>
  <c r="W455" i="9"/>
  <c r="V455" i="9"/>
  <c r="U455" i="9"/>
  <c r="T455" i="9"/>
  <c r="S455" i="9"/>
  <c r="R455" i="9"/>
  <c r="Q455" i="9"/>
  <c r="AR454" i="9"/>
  <c r="AQ454" i="9"/>
  <c r="AP454" i="9"/>
  <c r="AO454" i="9"/>
  <c r="AN454" i="9"/>
  <c r="AM454" i="9"/>
  <c r="AL454" i="9"/>
  <c r="AK454" i="9"/>
  <c r="AJ454" i="9"/>
  <c r="AI454" i="9"/>
  <c r="AH454" i="9"/>
  <c r="AG454" i="9"/>
  <c r="AF454" i="9"/>
  <c r="AE454" i="9"/>
  <c r="AD454" i="9"/>
  <c r="AC454" i="9"/>
  <c r="AB454" i="9"/>
  <c r="AA454" i="9"/>
  <c r="Z454" i="9"/>
  <c r="Y454" i="9"/>
  <c r="X454" i="9"/>
  <c r="W454" i="9"/>
  <c r="V454" i="9"/>
  <c r="U454" i="9"/>
  <c r="T454" i="9"/>
  <c r="S454" i="9"/>
  <c r="R454" i="9"/>
  <c r="Q454" i="9"/>
  <c r="AR453" i="9"/>
  <c r="AQ453" i="9"/>
  <c r="AP453" i="9"/>
  <c r="AO453" i="9"/>
  <c r="AN453" i="9"/>
  <c r="AM453" i="9"/>
  <c r="AL453" i="9"/>
  <c r="AK453" i="9"/>
  <c r="AJ453" i="9"/>
  <c r="AI453" i="9"/>
  <c r="AH453" i="9"/>
  <c r="AG453" i="9"/>
  <c r="AF453" i="9"/>
  <c r="AE453" i="9"/>
  <c r="AD453" i="9"/>
  <c r="AC453" i="9"/>
  <c r="AB453" i="9"/>
  <c r="AA453" i="9"/>
  <c r="Z453" i="9"/>
  <c r="Y453" i="9"/>
  <c r="X453" i="9"/>
  <c r="W453" i="9"/>
  <c r="V453" i="9"/>
  <c r="U453" i="9"/>
  <c r="T453" i="9"/>
  <c r="S453" i="9"/>
  <c r="R453" i="9"/>
  <c r="Q453" i="9"/>
  <c r="AR452" i="9"/>
  <c r="AQ452" i="9"/>
  <c r="AP452" i="9"/>
  <c r="AO452" i="9"/>
  <c r="AN452" i="9"/>
  <c r="AM452" i="9"/>
  <c r="AL452" i="9"/>
  <c r="AK452" i="9"/>
  <c r="AJ452" i="9"/>
  <c r="AI452" i="9"/>
  <c r="AH452" i="9"/>
  <c r="AG452" i="9"/>
  <c r="AF452" i="9"/>
  <c r="AE452" i="9"/>
  <c r="AD452" i="9"/>
  <c r="AC452" i="9"/>
  <c r="AB452" i="9"/>
  <c r="AA452" i="9"/>
  <c r="Z452" i="9"/>
  <c r="Y452" i="9"/>
  <c r="X452" i="9"/>
  <c r="W452" i="9"/>
  <c r="V452" i="9"/>
  <c r="U452" i="9"/>
  <c r="T452" i="9"/>
  <c r="S452" i="9"/>
  <c r="R452" i="9"/>
  <c r="Q452" i="9"/>
  <c r="AR451" i="9"/>
  <c r="AQ451" i="9"/>
  <c r="AP451" i="9"/>
  <c r="AO451" i="9"/>
  <c r="AN451" i="9"/>
  <c r="AM451" i="9"/>
  <c r="AL451" i="9"/>
  <c r="AK451" i="9"/>
  <c r="AJ451" i="9"/>
  <c r="AI451" i="9"/>
  <c r="AH451" i="9"/>
  <c r="AG451" i="9"/>
  <c r="AF451" i="9"/>
  <c r="AE451" i="9"/>
  <c r="AD451" i="9"/>
  <c r="AC451" i="9"/>
  <c r="AB451" i="9"/>
  <c r="AA451" i="9"/>
  <c r="Z451" i="9"/>
  <c r="Y451" i="9"/>
  <c r="X451" i="9"/>
  <c r="W451" i="9"/>
  <c r="V451" i="9"/>
  <c r="U451" i="9"/>
  <c r="T451" i="9"/>
  <c r="S451" i="9"/>
  <c r="R451" i="9"/>
  <c r="Q451" i="9"/>
  <c r="AR450" i="9"/>
  <c r="AQ450" i="9"/>
  <c r="AP450" i="9"/>
  <c r="AO450" i="9"/>
  <c r="AN450" i="9"/>
  <c r="AM450" i="9"/>
  <c r="AL450" i="9"/>
  <c r="AK450" i="9"/>
  <c r="AJ450" i="9"/>
  <c r="AI450" i="9"/>
  <c r="AH450" i="9"/>
  <c r="AG450" i="9"/>
  <c r="AF450" i="9"/>
  <c r="AE450" i="9"/>
  <c r="AD450" i="9"/>
  <c r="AC450" i="9"/>
  <c r="AB450" i="9"/>
  <c r="AA450" i="9"/>
  <c r="Z450" i="9"/>
  <c r="Y450" i="9"/>
  <c r="X450" i="9"/>
  <c r="W450" i="9"/>
  <c r="V450" i="9"/>
  <c r="U450" i="9"/>
  <c r="T450" i="9"/>
  <c r="S450" i="9"/>
  <c r="R450" i="9"/>
  <c r="Q450" i="9"/>
  <c r="AR448" i="9"/>
  <c r="AQ448" i="9"/>
  <c r="AP448" i="9"/>
  <c r="AO448" i="9"/>
  <c r="AN448" i="9"/>
  <c r="AM448" i="9"/>
  <c r="AL448" i="9"/>
  <c r="AK448" i="9"/>
  <c r="AJ448" i="9"/>
  <c r="AI448" i="9"/>
  <c r="AH448" i="9"/>
  <c r="AG448" i="9"/>
  <c r="AF448" i="9"/>
  <c r="AE448" i="9"/>
  <c r="AD448" i="9"/>
  <c r="AC448" i="9"/>
  <c r="AB448" i="9"/>
  <c r="AA448" i="9"/>
  <c r="Z448" i="9"/>
  <c r="Y448" i="9"/>
  <c r="X448" i="9"/>
  <c r="W448" i="9"/>
  <c r="V448" i="9"/>
  <c r="U448" i="9"/>
  <c r="T448" i="9"/>
  <c r="S448" i="9"/>
  <c r="R448" i="9"/>
  <c r="Q448" i="9"/>
  <c r="AR447" i="9"/>
  <c r="AQ447" i="9"/>
  <c r="AP447" i="9"/>
  <c r="AO447" i="9"/>
  <c r="AN447" i="9"/>
  <c r="AM447" i="9"/>
  <c r="AL447" i="9"/>
  <c r="AK447" i="9"/>
  <c r="AJ447" i="9"/>
  <c r="AI447" i="9"/>
  <c r="AH447" i="9"/>
  <c r="AG447" i="9"/>
  <c r="AF447" i="9"/>
  <c r="AE447" i="9"/>
  <c r="AD447" i="9"/>
  <c r="AC447" i="9"/>
  <c r="AB447" i="9"/>
  <c r="AA447" i="9"/>
  <c r="Z447" i="9"/>
  <c r="Y447" i="9"/>
  <c r="X447" i="9"/>
  <c r="W447" i="9"/>
  <c r="V447" i="9"/>
  <c r="U447" i="9"/>
  <c r="T447" i="9"/>
  <c r="S447" i="9"/>
  <c r="R447" i="9"/>
  <c r="Q447" i="9"/>
  <c r="AR446" i="9"/>
  <c r="AQ446" i="9"/>
  <c r="AP446" i="9"/>
  <c r="AO446" i="9"/>
  <c r="AN446" i="9"/>
  <c r="AM446" i="9"/>
  <c r="AL446" i="9"/>
  <c r="AK446" i="9"/>
  <c r="AJ446" i="9"/>
  <c r="AI446" i="9"/>
  <c r="AH446" i="9"/>
  <c r="AG446" i="9"/>
  <c r="AF446" i="9"/>
  <c r="AE446" i="9"/>
  <c r="AD446" i="9"/>
  <c r="AC446" i="9"/>
  <c r="AB446" i="9"/>
  <c r="AA446" i="9"/>
  <c r="Z446" i="9"/>
  <c r="Y446" i="9"/>
  <c r="X446" i="9"/>
  <c r="W446" i="9"/>
  <c r="V446" i="9"/>
  <c r="U446" i="9"/>
  <c r="T446" i="9"/>
  <c r="S446" i="9"/>
  <c r="R446" i="9"/>
  <c r="Q446" i="9"/>
  <c r="AR445" i="9"/>
  <c r="AQ445" i="9"/>
  <c r="AP445" i="9"/>
  <c r="AO445" i="9"/>
  <c r="AN445" i="9"/>
  <c r="AM445" i="9"/>
  <c r="AL445" i="9"/>
  <c r="AK445" i="9"/>
  <c r="AJ445" i="9"/>
  <c r="AI445" i="9"/>
  <c r="AH445" i="9"/>
  <c r="AG445" i="9"/>
  <c r="AF445" i="9"/>
  <c r="AE445" i="9"/>
  <c r="AD445" i="9"/>
  <c r="AC445" i="9"/>
  <c r="AB445" i="9"/>
  <c r="AA445" i="9"/>
  <c r="Z445" i="9"/>
  <c r="Y445" i="9"/>
  <c r="X445" i="9"/>
  <c r="W445" i="9"/>
  <c r="V445" i="9"/>
  <c r="U445" i="9"/>
  <c r="T445" i="9"/>
  <c r="S445" i="9"/>
  <c r="R445" i="9"/>
  <c r="Q445" i="9"/>
  <c r="AR444" i="9"/>
  <c r="AQ444" i="9"/>
  <c r="AP444" i="9"/>
  <c r="AO444" i="9"/>
  <c r="AN444" i="9"/>
  <c r="AM444" i="9"/>
  <c r="AL444" i="9"/>
  <c r="AK444" i="9"/>
  <c r="AJ444" i="9"/>
  <c r="AI444" i="9"/>
  <c r="AH444" i="9"/>
  <c r="AG444" i="9"/>
  <c r="AF444" i="9"/>
  <c r="AE444" i="9"/>
  <c r="AD444" i="9"/>
  <c r="AC444" i="9"/>
  <c r="AB444" i="9"/>
  <c r="AA444" i="9"/>
  <c r="Z444" i="9"/>
  <c r="Y444" i="9"/>
  <c r="X444" i="9"/>
  <c r="W444" i="9"/>
  <c r="V444" i="9"/>
  <c r="U444" i="9"/>
  <c r="T444" i="9"/>
  <c r="S444" i="9"/>
  <c r="R444" i="9"/>
  <c r="Q444" i="9"/>
  <c r="AR443" i="9"/>
  <c r="AQ443" i="9"/>
  <c r="AP443" i="9"/>
  <c r="AO443" i="9"/>
  <c r="AN443" i="9"/>
  <c r="AM443" i="9"/>
  <c r="AL443" i="9"/>
  <c r="AK443" i="9"/>
  <c r="AJ443" i="9"/>
  <c r="AI443" i="9"/>
  <c r="AH443" i="9"/>
  <c r="AG443" i="9"/>
  <c r="AF443" i="9"/>
  <c r="AE443" i="9"/>
  <c r="AD443" i="9"/>
  <c r="AC443" i="9"/>
  <c r="AB443" i="9"/>
  <c r="AA443" i="9"/>
  <c r="Z443" i="9"/>
  <c r="Y443" i="9"/>
  <c r="X443" i="9"/>
  <c r="W443" i="9"/>
  <c r="V443" i="9"/>
  <c r="U443" i="9"/>
  <c r="T443" i="9"/>
  <c r="S443" i="9"/>
  <c r="R443" i="9"/>
  <c r="Q443" i="9"/>
  <c r="AR442" i="9"/>
  <c r="AQ442" i="9"/>
  <c r="AP442" i="9"/>
  <c r="AO442" i="9"/>
  <c r="AN442" i="9"/>
  <c r="AM442" i="9"/>
  <c r="AL442" i="9"/>
  <c r="AK442" i="9"/>
  <c r="AJ442" i="9"/>
  <c r="AI442" i="9"/>
  <c r="AH442" i="9"/>
  <c r="AG442" i="9"/>
  <c r="AF442" i="9"/>
  <c r="AE442" i="9"/>
  <c r="AD442" i="9"/>
  <c r="AC442" i="9"/>
  <c r="AB442" i="9"/>
  <c r="AA442" i="9"/>
  <c r="Z442" i="9"/>
  <c r="Y442" i="9"/>
  <c r="X442" i="9"/>
  <c r="W442" i="9"/>
  <c r="V442" i="9"/>
  <c r="U442" i="9"/>
  <c r="T442" i="9"/>
  <c r="S442" i="9"/>
  <c r="R442" i="9"/>
  <c r="Q442" i="9"/>
  <c r="AR441" i="9"/>
  <c r="AQ441" i="9"/>
  <c r="AP441" i="9"/>
  <c r="AO441" i="9"/>
  <c r="AN441" i="9"/>
  <c r="AM441" i="9"/>
  <c r="AL441" i="9"/>
  <c r="AK441" i="9"/>
  <c r="AJ441" i="9"/>
  <c r="AI441" i="9"/>
  <c r="AH441" i="9"/>
  <c r="AG441" i="9"/>
  <c r="AF441" i="9"/>
  <c r="AE441" i="9"/>
  <c r="AD441" i="9"/>
  <c r="AC441" i="9"/>
  <c r="AB441" i="9"/>
  <c r="AA441" i="9"/>
  <c r="Z441" i="9"/>
  <c r="Y441" i="9"/>
  <c r="X441" i="9"/>
  <c r="W441" i="9"/>
  <c r="V441" i="9"/>
  <c r="U441" i="9"/>
  <c r="T441" i="9"/>
  <c r="S441" i="9"/>
  <c r="R441" i="9"/>
  <c r="Q441" i="9"/>
  <c r="AR440" i="9"/>
  <c r="AQ440" i="9"/>
  <c r="AP440" i="9"/>
  <c r="AO440" i="9"/>
  <c r="AN440" i="9"/>
  <c r="AM440" i="9"/>
  <c r="AL440" i="9"/>
  <c r="AK440" i="9"/>
  <c r="AJ440" i="9"/>
  <c r="AI440" i="9"/>
  <c r="AH440" i="9"/>
  <c r="AG440" i="9"/>
  <c r="AF440" i="9"/>
  <c r="AE440" i="9"/>
  <c r="AD440" i="9"/>
  <c r="AC440" i="9"/>
  <c r="AB440" i="9"/>
  <c r="AA440" i="9"/>
  <c r="Z440" i="9"/>
  <c r="Y440" i="9"/>
  <c r="X440" i="9"/>
  <c r="W440" i="9"/>
  <c r="V440" i="9"/>
  <c r="U440" i="9"/>
  <c r="T440" i="9"/>
  <c r="S440" i="9"/>
  <c r="R440" i="9"/>
  <c r="Q440" i="9"/>
  <c r="AR439" i="9"/>
  <c r="AQ439" i="9"/>
  <c r="AP439" i="9"/>
  <c r="AO439" i="9"/>
  <c r="AN439" i="9"/>
  <c r="AM439" i="9"/>
  <c r="AL439" i="9"/>
  <c r="AK439" i="9"/>
  <c r="AJ439" i="9"/>
  <c r="AI439" i="9"/>
  <c r="AH439" i="9"/>
  <c r="AG439" i="9"/>
  <c r="AF439" i="9"/>
  <c r="AE439" i="9"/>
  <c r="AD439" i="9"/>
  <c r="AC439" i="9"/>
  <c r="AB439" i="9"/>
  <c r="AA439" i="9"/>
  <c r="Z439" i="9"/>
  <c r="Y439" i="9"/>
  <c r="X439" i="9"/>
  <c r="W439" i="9"/>
  <c r="V439" i="9"/>
  <c r="U439" i="9"/>
  <c r="T439" i="9"/>
  <c r="S439" i="9"/>
  <c r="R439" i="9"/>
  <c r="Q439" i="9"/>
  <c r="A370" i="9"/>
  <c r="A368" i="9"/>
  <c r="A405" i="9" s="1"/>
  <c r="A367" i="9"/>
  <c r="A366" i="9"/>
  <c r="A365" i="9"/>
  <c r="A363" i="9"/>
  <c r="A380" i="9" s="1"/>
  <c r="A362" i="9"/>
  <c r="A361" i="9"/>
  <c r="A379" i="9" s="1"/>
  <c r="A403" i="9" s="1"/>
  <c r="A360" i="9"/>
  <c r="A378" i="9" s="1"/>
  <c r="A390" i="9" s="1"/>
  <c r="A359" i="9"/>
  <c r="A377" i="9" s="1"/>
  <c r="A358" i="9"/>
  <c r="A357" i="9"/>
  <c r="A376" i="9" s="1"/>
  <c r="A388" i="9" s="1"/>
  <c r="A356" i="9"/>
  <c r="A375" i="9" s="1"/>
  <c r="A355" i="9"/>
  <c r="A374" i="9" s="1"/>
  <c r="A398" i="9" s="1"/>
  <c r="A354" i="9"/>
  <c r="A373" i="9" s="1"/>
  <c r="A385" i="9" s="1"/>
  <c r="AR350" i="9"/>
  <c r="AQ350" i="9"/>
  <c r="AP350" i="9"/>
  <c r="AO350" i="9"/>
  <c r="AN350" i="9"/>
  <c r="AM350" i="9"/>
  <c r="AL350" i="9"/>
  <c r="AK350" i="9"/>
  <c r="AJ350" i="9"/>
  <c r="AI350" i="9"/>
  <c r="AH350" i="9"/>
  <c r="AG350" i="9"/>
  <c r="AF350" i="9"/>
  <c r="AE350" i="9"/>
  <c r="AD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AR349" i="9"/>
  <c r="AQ349" i="9"/>
  <c r="AP349" i="9"/>
  <c r="AO349" i="9"/>
  <c r="AN349" i="9"/>
  <c r="AM349" i="9"/>
  <c r="AL349" i="9"/>
  <c r="AK349" i="9"/>
  <c r="AJ349" i="9"/>
  <c r="AI349" i="9"/>
  <c r="AH349" i="9"/>
  <c r="AG349" i="9"/>
  <c r="AF349" i="9"/>
  <c r="AE349" i="9"/>
  <c r="AD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AR348" i="9"/>
  <c r="AQ348" i="9"/>
  <c r="AP348" i="9"/>
  <c r="AO348" i="9"/>
  <c r="AN348" i="9"/>
  <c r="AM348" i="9"/>
  <c r="AL348" i="9"/>
  <c r="AK348" i="9"/>
  <c r="AJ348" i="9"/>
  <c r="AI348" i="9"/>
  <c r="AH348" i="9"/>
  <c r="AG348" i="9"/>
  <c r="AF348" i="9"/>
  <c r="AE348" i="9"/>
  <c r="AD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AR347" i="9"/>
  <c r="AQ347" i="9"/>
  <c r="AP347" i="9"/>
  <c r="AO347" i="9"/>
  <c r="AN347" i="9"/>
  <c r="AM347" i="9"/>
  <c r="AL347" i="9"/>
  <c r="AK347" i="9"/>
  <c r="AJ347" i="9"/>
  <c r="AI347" i="9"/>
  <c r="AH347" i="9"/>
  <c r="AG347" i="9"/>
  <c r="AF347" i="9"/>
  <c r="AE347" i="9"/>
  <c r="AD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AR346" i="9"/>
  <c r="AQ346" i="9"/>
  <c r="AP346" i="9"/>
  <c r="AO346" i="9"/>
  <c r="AN346" i="9"/>
  <c r="AM346" i="9"/>
  <c r="AL346" i="9"/>
  <c r="AK346" i="9"/>
  <c r="AJ346" i="9"/>
  <c r="AI346" i="9"/>
  <c r="AH346" i="9"/>
  <c r="AG346" i="9"/>
  <c r="AF346" i="9"/>
  <c r="AE346" i="9"/>
  <c r="AD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AR345" i="9"/>
  <c r="AQ345" i="9"/>
  <c r="AP345" i="9"/>
  <c r="AO345" i="9"/>
  <c r="AN345" i="9"/>
  <c r="AM345" i="9"/>
  <c r="AL345" i="9"/>
  <c r="AK345" i="9"/>
  <c r="AJ345" i="9"/>
  <c r="AI345" i="9"/>
  <c r="AH345" i="9"/>
  <c r="AG345" i="9"/>
  <c r="AF345" i="9"/>
  <c r="AE345" i="9"/>
  <c r="AD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Q343" i="9"/>
  <c r="AR342" i="9"/>
  <c r="AQ342" i="9"/>
  <c r="AP342" i="9"/>
  <c r="AO342" i="9"/>
  <c r="AN342" i="9"/>
  <c r="AM342" i="9"/>
  <c r="AL342" i="9"/>
  <c r="AK342" i="9"/>
  <c r="AJ342" i="9"/>
  <c r="AI342" i="9"/>
  <c r="AH342" i="9"/>
  <c r="AG342" i="9"/>
  <c r="AF342" i="9"/>
  <c r="AE342" i="9"/>
  <c r="AD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AR341" i="9"/>
  <c r="AQ341" i="9"/>
  <c r="AP341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AR340" i="9"/>
  <c r="AQ340" i="9"/>
  <c r="AP340" i="9"/>
  <c r="AO340" i="9"/>
  <c r="AN340" i="9"/>
  <c r="AM340" i="9"/>
  <c r="AL340" i="9"/>
  <c r="AK340" i="9"/>
  <c r="AJ340" i="9"/>
  <c r="AI340" i="9"/>
  <c r="AH340" i="9"/>
  <c r="AG340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AR339" i="9"/>
  <c r="AQ339" i="9"/>
  <c r="AP339" i="9"/>
  <c r="AO339" i="9"/>
  <c r="AN339" i="9"/>
  <c r="AM339" i="9"/>
  <c r="AL339" i="9"/>
  <c r="AK339" i="9"/>
  <c r="AJ339" i="9"/>
  <c r="AI339" i="9"/>
  <c r="AH339" i="9"/>
  <c r="AG339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AR338" i="9"/>
  <c r="AQ338" i="9"/>
  <c r="AP338" i="9"/>
  <c r="AO338" i="9"/>
  <c r="AN338" i="9"/>
  <c r="AM338" i="9"/>
  <c r="AL338" i="9"/>
  <c r="AK338" i="9"/>
  <c r="AJ338" i="9"/>
  <c r="AI338" i="9"/>
  <c r="AH338" i="9"/>
  <c r="AG338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AR337" i="9"/>
  <c r="AQ337" i="9"/>
  <c r="AP337" i="9"/>
  <c r="AO337" i="9"/>
  <c r="AN337" i="9"/>
  <c r="AM337" i="9"/>
  <c r="AL337" i="9"/>
  <c r="AK337" i="9"/>
  <c r="AJ337" i="9"/>
  <c r="AI337" i="9"/>
  <c r="AH337" i="9"/>
  <c r="AG337" i="9"/>
  <c r="AF337" i="9"/>
  <c r="AE337" i="9"/>
  <c r="AD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AR336" i="9"/>
  <c r="AQ336" i="9"/>
  <c r="AB356" i="9" s="1"/>
  <c r="AP336" i="9"/>
  <c r="AO336" i="9"/>
  <c r="AN336" i="9"/>
  <c r="AM336" i="9"/>
  <c r="AL336" i="9"/>
  <c r="AK336" i="9"/>
  <c r="AJ336" i="9"/>
  <c r="AI336" i="9"/>
  <c r="AH336" i="9"/>
  <c r="AG336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AR335" i="9"/>
  <c r="AQ335" i="9"/>
  <c r="AP335" i="9"/>
  <c r="AO335" i="9"/>
  <c r="AN335" i="9"/>
  <c r="AM335" i="9"/>
  <c r="AL335" i="9"/>
  <c r="AK335" i="9"/>
  <c r="AJ335" i="9"/>
  <c r="AI335" i="9"/>
  <c r="AH335" i="9"/>
  <c r="AG335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AR334" i="9"/>
  <c r="AQ334" i="9"/>
  <c r="AP334" i="9"/>
  <c r="AO334" i="9"/>
  <c r="AN334" i="9"/>
  <c r="AM334" i="9"/>
  <c r="AL334" i="9"/>
  <c r="AK334" i="9"/>
  <c r="AJ334" i="9"/>
  <c r="AI334" i="9"/>
  <c r="AH334" i="9"/>
  <c r="AG334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A261" i="9"/>
  <c r="A259" i="9"/>
  <c r="A296" i="9" s="1"/>
  <c r="A258" i="9"/>
  <c r="A257" i="9"/>
  <c r="A256" i="9"/>
  <c r="A254" i="9"/>
  <c r="A271" i="9" s="1"/>
  <c r="A295" i="9" s="1"/>
  <c r="A253" i="9"/>
  <c r="A252" i="9"/>
  <c r="A270" i="9" s="1"/>
  <c r="A282" i="9" s="1"/>
  <c r="A251" i="9"/>
  <c r="A269" i="9" s="1"/>
  <c r="A281" i="9" s="1"/>
  <c r="A250" i="9"/>
  <c r="A268" i="9" s="1"/>
  <c r="A292" i="9" s="1"/>
  <c r="A249" i="9"/>
  <c r="A248" i="9"/>
  <c r="A267" i="9" s="1"/>
  <c r="A279" i="9" s="1"/>
  <c r="A247" i="9"/>
  <c r="A266" i="9" s="1"/>
  <c r="A246" i="9"/>
  <c r="A265" i="9" s="1"/>
  <c r="A289" i="9" s="1"/>
  <c r="A245" i="9"/>
  <c r="A264" i="9" s="1"/>
  <c r="A276" i="9" s="1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N261" i="9" s="1"/>
  <c r="AB241" i="9"/>
  <c r="AA241" i="9"/>
  <c r="Z241" i="9"/>
  <c r="Y241" i="9"/>
  <c r="X241" i="9"/>
  <c r="W241" i="9"/>
  <c r="V241" i="9"/>
  <c r="U241" i="9"/>
  <c r="T241" i="9"/>
  <c r="S241" i="9"/>
  <c r="R241" i="9"/>
  <c r="Q241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AR239" i="9"/>
  <c r="AQ239" i="9"/>
  <c r="AP239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AR234" i="9"/>
  <c r="AQ234" i="9"/>
  <c r="AP234" i="9"/>
  <c r="AO234" i="9"/>
  <c r="AN234" i="9"/>
  <c r="AM234" i="9"/>
  <c r="AL234" i="9"/>
  <c r="AK234" i="9"/>
  <c r="V254" i="9" s="1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A153" i="9"/>
  <c r="A151" i="9"/>
  <c r="A188" i="9" s="1"/>
  <c r="A150" i="9"/>
  <c r="A149" i="9"/>
  <c r="A148" i="9"/>
  <c r="A146" i="9"/>
  <c r="A163" i="9" s="1"/>
  <c r="A145" i="9"/>
  <c r="A144" i="9"/>
  <c r="A162" i="9" s="1"/>
  <c r="A174" i="9" s="1"/>
  <c r="A143" i="9"/>
  <c r="A161" i="9" s="1"/>
  <c r="A173" i="9" s="1"/>
  <c r="A142" i="9"/>
  <c r="A160" i="9" s="1"/>
  <c r="A184" i="9" s="1"/>
  <c r="A141" i="9"/>
  <c r="A140" i="9"/>
  <c r="A159" i="9" s="1"/>
  <c r="A171" i="9" s="1"/>
  <c r="A139" i="9"/>
  <c r="A158" i="9" s="1"/>
  <c r="A138" i="9"/>
  <c r="A157" i="9" s="1"/>
  <c r="A181" i="9" s="1"/>
  <c r="A137" i="9"/>
  <c r="A156" i="9" s="1"/>
  <c r="A168" i="9" s="1"/>
  <c r="AR133" i="9"/>
  <c r="AQ133" i="9"/>
  <c r="AP133" i="9"/>
  <c r="AO133" i="9"/>
  <c r="AN133" i="9"/>
  <c r="AM133" i="9"/>
  <c r="X153" i="9" s="1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M149" i="9" s="1"/>
  <c r="AA129" i="9"/>
  <c r="Z129" i="9"/>
  <c r="Y129" i="9"/>
  <c r="X129" i="9"/>
  <c r="W129" i="9"/>
  <c r="V129" i="9"/>
  <c r="U129" i="9"/>
  <c r="T129" i="9"/>
  <c r="S129" i="9"/>
  <c r="R129" i="9"/>
  <c r="Q129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A47" i="9"/>
  <c r="A45" i="9"/>
  <c r="A82" i="9" s="1"/>
  <c r="A44" i="9"/>
  <c r="A43" i="9"/>
  <c r="A42" i="9"/>
  <c r="A40" i="9"/>
  <c r="A57" i="9" s="1"/>
  <c r="A81" i="9" s="1"/>
  <c r="A39" i="9"/>
  <c r="A38" i="9"/>
  <c r="A56" i="9" s="1"/>
  <c r="A68" i="9" s="1"/>
  <c r="A37" i="9"/>
  <c r="A55" i="9" s="1"/>
  <c r="A67" i="9" s="1"/>
  <c r="A36" i="9"/>
  <c r="A54" i="9" s="1"/>
  <c r="A78" i="9" s="1"/>
  <c r="A35" i="9"/>
  <c r="A34" i="9"/>
  <c r="A53" i="9" s="1"/>
  <c r="A65" i="9" s="1"/>
  <c r="A33" i="9"/>
  <c r="A52" i="9" s="1"/>
  <c r="A32" i="9"/>
  <c r="A51" i="9" s="1"/>
  <c r="A75" i="9" s="1"/>
  <c r="A31" i="9"/>
  <c r="A50" i="9" s="1"/>
  <c r="A62" i="9" s="1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AR23" i="9"/>
  <c r="AC43" i="9" s="1"/>
  <c r="AQ23" i="9"/>
  <c r="AB43" i="9" s="1"/>
  <c r="AP23" i="9"/>
  <c r="AA43" i="9" s="1"/>
  <c r="AO23" i="9"/>
  <c r="Z43" i="9" s="1"/>
  <c r="AN23" i="9"/>
  <c r="Y43" i="9" s="1"/>
  <c r="AM23" i="9"/>
  <c r="X43" i="9" s="1"/>
  <c r="AL23" i="9"/>
  <c r="W43" i="9" s="1"/>
  <c r="AK23" i="9"/>
  <c r="V43" i="9" s="1"/>
  <c r="AJ23" i="9"/>
  <c r="U43" i="9" s="1"/>
  <c r="AI23" i="9"/>
  <c r="T43" i="9" s="1"/>
  <c r="AH23" i="9"/>
  <c r="S43" i="9" s="1"/>
  <c r="AG23" i="9"/>
  <c r="R43" i="9" s="1"/>
  <c r="AF23" i="9"/>
  <c r="Q43" i="9" s="1"/>
  <c r="AE23" i="9"/>
  <c r="P43" i="9" s="1"/>
  <c r="AD23" i="9"/>
  <c r="O43" i="9" s="1"/>
  <c r="AC23" i="9"/>
  <c r="N43" i="9" s="1"/>
  <c r="AB23" i="9"/>
  <c r="M43" i="9" s="1"/>
  <c r="AA23" i="9"/>
  <c r="L43" i="9" s="1"/>
  <c r="Z23" i="9"/>
  <c r="K43" i="9" s="1"/>
  <c r="Y23" i="9"/>
  <c r="J43" i="9" s="1"/>
  <c r="X23" i="9"/>
  <c r="I43" i="9" s="1"/>
  <c r="W23" i="9"/>
  <c r="H43" i="9" s="1"/>
  <c r="V23" i="9"/>
  <c r="G43" i="9" s="1"/>
  <c r="U23" i="9"/>
  <c r="F43" i="9" s="1"/>
  <c r="T23" i="9"/>
  <c r="E43" i="9" s="1"/>
  <c r="S23" i="9"/>
  <c r="D43" i="9" s="1"/>
  <c r="R23" i="9"/>
  <c r="C43" i="9" s="1"/>
  <c r="Q23" i="9"/>
  <c r="B43" i="9" s="1"/>
  <c r="AR22" i="9"/>
  <c r="AC42" i="9" s="1"/>
  <c r="AQ22" i="9"/>
  <c r="AB42" i="9" s="1"/>
  <c r="AP22" i="9"/>
  <c r="AA42" i="9" s="1"/>
  <c r="AO22" i="9"/>
  <c r="Z42" i="9" s="1"/>
  <c r="AN22" i="9"/>
  <c r="Y42" i="9" s="1"/>
  <c r="AM22" i="9"/>
  <c r="X42" i="9" s="1"/>
  <c r="AL22" i="9"/>
  <c r="W42" i="9" s="1"/>
  <c r="AK22" i="9"/>
  <c r="V42" i="9" s="1"/>
  <c r="AJ22" i="9"/>
  <c r="U42" i="9" s="1"/>
  <c r="AI22" i="9"/>
  <c r="T42" i="9" s="1"/>
  <c r="AH22" i="9"/>
  <c r="S42" i="9" s="1"/>
  <c r="AG22" i="9"/>
  <c r="R42" i="9" s="1"/>
  <c r="AF22" i="9"/>
  <c r="Q42" i="9" s="1"/>
  <c r="AE22" i="9"/>
  <c r="P42" i="9" s="1"/>
  <c r="AD22" i="9"/>
  <c r="O42" i="9" s="1"/>
  <c r="AC22" i="9"/>
  <c r="N42" i="9" s="1"/>
  <c r="AB22" i="9"/>
  <c r="M42" i="9" s="1"/>
  <c r="AA22" i="9"/>
  <c r="L42" i="9" s="1"/>
  <c r="Z22" i="9"/>
  <c r="K42" i="9" s="1"/>
  <c r="Y22" i="9"/>
  <c r="J42" i="9" s="1"/>
  <c r="X22" i="9"/>
  <c r="I42" i="9" s="1"/>
  <c r="W22" i="9"/>
  <c r="H42" i="9" s="1"/>
  <c r="V22" i="9"/>
  <c r="G42" i="9" s="1"/>
  <c r="U22" i="9"/>
  <c r="F42" i="9" s="1"/>
  <c r="T22" i="9"/>
  <c r="E42" i="9" s="1"/>
  <c r="S22" i="9"/>
  <c r="D42" i="9" s="1"/>
  <c r="R22" i="9"/>
  <c r="C42" i="9" s="1"/>
  <c r="Q22" i="9"/>
  <c r="B42" i="9" s="1"/>
  <c r="AR20" i="9"/>
  <c r="AC40" i="9" s="1"/>
  <c r="AQ20" i="9"/>
  <c r="AB40" i="9" s="1"/>
  <c r="AP20" i="9"/>
  <c r="AA40" i="9" s="1"/>
  <c r="AO20" i="9"/>
  <c r="Z40" i="9" s="1"/>
  <c r="AN20" i="9"/>
  <c r="Y40" i="9" s="1"/>
  <c r="AM20" i="9"/>
  <c r="X40" i="9" s="1"/>
  <c r="AL20" i="9"/>
  <c r="W40" i="9" s="1"/>
  <c r="AK20" i="9"/>
  <c r="V40" i="9" s="1"/>
  <c r="AJ20" i="9"/>
  <c r="U40" i="9" s="1"/>
  <c r="AI20" i="9"/>
  <c r="T40" i="9" s="1"/>
  <c r="AH20" i="9"/>
  <c r="S40" i="9" s="1"/>
  <c r="AG20" i="9"/>
  <c r="R40" i="9" s="1"/>
  <c r="AF20" i="9"/>
  <c r="Q40" i="9" s="1"/>
  <c r="AE20" i="9"/>
  <c r="P40" i="9" s="1"/>
  <c r="AD20" i="9"/>
  <c r="O40" i="9" s="1"/>
  <c r="AC20" i="9"/>
  <c r="N40" i="9" s="1"/>
  <c r="AB20" i="9"/>
  <c r="M40" i="9" s="1"/>
  <c r="AA20" i="9"/>
  <c r="L40" i="9" s="1"/>
  <c r="Z20" i="9"/>
  <c r="K40" i="9" s="1"/>
  <c r="Y20" i="9"/>
  <c r="J40" i="9" s="1"/>
  <c r="X20" i="9"/>
  <c r="I40" i="9" s="1"/>
  <c r="W20" i="9"/>
  <c r="H40" i="9" s="1"/>
  <c r="V20" i="9"/>
  <c r="G40" i="9" s="1"/>
  <c r="U20" i="9"/>
  <c r="F40" i="9" s="1"/>
  <c r="T20" i="9"/>
  <c r="E40" i="9" s="1"/>
  <c r="S20" i="9"/>
  <c r="D40" i="9" s="1"/>
  <c r="R20" i="9"/>
  <c r="C40" i="9" s="1"/>
  <c r="Q20" i="9"/>
  <c r="B40" i="9" s="1"/>
  <c r="AR19" i="9"/>
  <c r="AC39" i="9" s="1"/>
  <c r="AQ19" i="9"/>
  <c r="AB39" i="9" s="1"/>
  <c r="AP19" i="9"/>
  <c r="AA39" i="9" s="1"/>
  <c r="AO19" i="9"/>
  <c r="Z39" i="9" s="1"/>
  <c r="AN19" i="9"/>
  <c r="Y39" i="9" s="1"/>
  <c r="AM19" i="9"/>
  <c r="X39" i="9" s="1"/>
  <c r="AL19" i="9"/>
  <c r="W39" i="9" s="1"/>
  <c r="AK19" i="9"/>
  <c r="V39" i="9" s="1"/>
  <c r="AJ19" i="9"/>
  <c r="U39" i="9" s="1"/>
  <c r="AI19" i="9"/>
  <c r="T39" i="9" s="1"/>
  <c r="AH19" i="9"/>
  <c r="S39" i="9" s="1"/>
  <c r="AG19" i="9"/>
  <c r="R39" i="9" s="1"/>
  <c r="AF19" i="9"/>
  <c r="Q39" i="9" s="1"/>
  <c r="AE19" i="9"/>
  <c r="P39" i="9" s="1"/>
  <c r="AD19" i="9"/>
  <c r="O39" i="9" s="1"/>
  <c r="AC19" i="9"/>
  <c r="N39" i="9" s="1"/>
  <c r="AB19" i="9"/>
  <c r="M39" i="9" s="1"/>
  <c r="AA19" i="9"/>
  <c r="L39" i="9" s="1"/>
  <c r="Z19" i="9"/>
  <c r="K39" i="9" s="1"/>
  <c r="Y19" i="9"/>
  <c r="J39" i="9" s="1"/>
  <c r="X19" i="9"/>
  <c r="I39" i="9" s="1"/>
  <c r="W19" i="9"/>
  <c r="H39" i="9" s="1"/>
  <c r="V19" i="9"/>
  <c r="G39" i="9" s="1"/>
  <c r="U19" i="9"/>
  <c r="F39" i="9" s="1"/>
  <c r="T19" i="9"/>
  <c r="E39" i="9" s="1"/>
  <c r="S19" i="9"/>
  <c r="D39" i="9" s="1"/>
  <c r="R19" i="9"/>
  <c r="C39" i="9" s="1"/>
  <c r="Q19" i="9"/>
  <c r="B39" i="9" s="1"/>
  <c r="AR18" i="9"/>
  <c r="AC38" i="9" s="1"/>
  <c r="AQ18" i="9"/>
  <c r="AB38" i="9" s="1"/>
  <c r="AP18" i="9"/>
  <c r="AA38" i="9" s="1"/>
  <c r="AO18" i="9"/>
  <c r="Z38" i="9" s="1"/>
  <c r="AN18" i="9"/>
  <c r="Y38" i="9" s="1"/>
  <c r="AM18" i="9"/>
  <c r="X38" i="9" s="1"/>
  <c r="AL18" i="9"/>
  <c r="W38" i="9" s="1"/>
  <c r="AK18" i="9"/>
  <c r="V38" i="9" s="1"/>
  <c r="AJ18" i="9"/>
  <c r="U38" i="9" s="1"/>
  <c r="AI18" i="9"/>
  <c r="T38" i="9" s="1"/>
  <c r="AH18" i="9"/>
  <c r="S38" i="9" s="1"/>
  <c r="AG18" i="9"/>
  <c r="R38" i="9" s="1"/>
  <c r="AF18" i="9"/>
  <c r="Q38" i="9" s="1"/>
  <c r="AE18" i="9"/>
  <c r="P38" i="9" s="1"/>
  <c r="AD18" i="9"/>
  <c r="O38" i="9" s="1"/>
  <c r="AC18" i="9"/>
  <c r="N38" i="9" s="1"/>
  <c r="AB18" i="9"/>
  <c r="M38" i="9" s="1"/>
  <c r="AA18" i="9"/>
  <c r="L38" i="9" s="1"/>
  <c r="Z18" i="9"/>
  <c r="K38" i="9" s="1"/>
  <c r="Y18" i="9"/>
  <c r="J38" i="9" s="1"/>
  <c r="X18" i="9"/>
  <c r="I38" i="9" s="1"/>
  <c r="W18" i="9"/>
  <c r="H38" i="9" s="1"/>
  <c r="V18" i="9"/>
  <c r="G38" i="9" s="1"/>
  <c r="U18" i="9"/>
  <c r="F38" i="9" s="1"/>
  <c r="T18" i="9"/>
  <c r="E38" i="9" s="1"/>
  <c r="S18" i="9"/>
  <c r="D38" i="9" s="1"/>
  <c r="R18" i="9"/>
  <c r="C38" i="9" s="1"/>
  <c r="Q18" i="9"/>
  <c r="B38" i="9" s="1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AR16" i="9"/>
  <c r="AC36" i="9" s="1"/>
  <c r="AQ16" i="9"/>
  <c r="AB36" i="9" s="1"/>
  <c r="AP16" i="9"/>
  <c r="AA36" i="9" s="1"/>
  <c r="AO16" i="9"/>
  <c r="Z36" i="9" s="1"/>
  <c r="Z54" i="9" s="1"/>
  <c r="AN16" i="9"/>
  <c r="Y36" i="9" s="1"/>
  <c r="Y54" i="9" s="1"/>
  <c r="AM16" i="9"/>
  <c r="X36" i="9" s="1"/>
  <c r="X54" i="9" s="1"/>
  <c r="AL16" i="9"/>
  <c r="W36" i="9" s="1"/>
  <c r="W54" i="9" s="1"/>
  <c r="AK16" i="9"/>
  <c r="V36" i="9" s="1"/>
  <c r="AJ16" i="9"/>
  <c r="U36" i="9" s="1"/>
  <c r="AI16" i="9"/>
  <c r="T36" i="9" s="1"/>
  <c r="AH16" i="9"/>
  <c r="S36" i="9" s="1"/>
  <c r="AG16" i="9"/>
  <c r="R36" i="9" s="1"/>
  <c r="R54" i="9" s="1"/>
  <c r="AF16" i="9"/>
  <c r="Q36" i="9" s="1"/>
  <c r="Q54" i="9" s="1"/>
  <c r="AE16" i="9"/>
  <c r="P36" i="9" s="1"/>
  <c r="P54" i="9" s="1"/>
  <c r="AD16" i="9"/>
  <c r="O36" i="9" s="1"/>
  <c r="O54" i="9" s="1"/>
  <c r="AC16" i="9"/>
  <c r="N36" i="9" s="1"/>
  <c r="AB16" i="9"/>
  <c r="M36" i="9" s="1"/>
  <c r="AA16" i="9"/>
  <c r="L36" i="9" s="1"/>
  <c r="Z16" i="9"/>
  <c r="K36" i="9" s="1"/>
  <c r="Y16" i="9"/>
  <c r="J36" i="9" s="1"/>
  <c r="J54" i="9" s="1"/>
  <c r="X16" i="9"/>
  <c r="I36" i="9" s="1"/>
  <c r="I54" i="9" s="1"/>
  <c r="W16" i="9"/>
  <c r="H36" i="9" s="1"/>
  <c r="H54" i="9" s="1"/>
  <c r="V16" i="9"/>
  <c r="G36" i="9" s="1"/>
  <c r="G54" i="9" s="1"/>
  <c r="U16" i="9"/>
  <c r="F36" i="9" s="1"/>
  <c r="T16" i="9"/>
  <c r="E36" i="9" s="1"/>
  <c r="S16" i="9"/>
  <c r="D36" i="9" s="1"/>
  <c r="R16" i="9"/>
  <c r="C36" i="9" s="1"/>
  <c r="Q16" i="9"/>
  <c r="B36" i="9" s="1"/>
  <c r="B54" i="9" s="1"/>
  <c r="AR15" i="9"/>
  <c r="AC35" i="9" s="1"/>
  <c r="AQ15" i="9"/>
  <c r="AB35" i="9" s="1"/>
  <c r="AP15" i="9"/>
  <c r="AA35" i="9" s="1"/>
  <c r="AO15" i="9"/>
  <c r="Z35" i="9" s="1"/>
  <c r="AN15" i="9"/>
  <c r="Y35" i="9" s="1"/>
  <c r="AM15" i="9"/>
  <c r="X35" i="9" s="1"/>
  <c r="AL15" i="9"/>
  <c r="W35" i="9" s="1"/>
  <c r="AK15" i="9"/>
  <c r="V35" i="9" s="1"/>
  <c r="AJ15" i="9"/>
  <c r="U35" i="9" s="1"/>
  <c r="AI15" i="9"/>
  <c r="T35" i="9" s="1"/>
  <c r="AH15" i="9"/>
  <c r="S35" i="9" s="1"/>
  <c r="AG15" i="9"/>
  <c r="R35" i="9" s="1"/>
  <c r="AF15" i="9"/>
  <c r="Q35" i="9" s="1"/>
  <c r="AE15" i="9"/>
  <c r="P35" i="9" s="1"/>
  <c r="AD15" i="9"/>
  <c r="O35" i="9" s="1"/>
  <c r="AC15" i="9"/>
  <c r="N35" i="9" s="1"/>
  <c r="AB15" i="9"/>
  <c r="M35" i="9" s="1"/>
  <c r="AA15" i="9"/>
  <c r="L35" i="9" s="1"/>
  <c r="Z15" i="9"/>
  <c r="K35" i="9" s="1"/>
  <c r="Y15" i="9"/>
  <c r="J35" i="9" s="1"/>
  <c r="X15" i="9"/>
  <c r="I35" i="9" s="1"/>
  <c r="W15" i="9"/>
  <c r="H35" i="9" s="1"/>
  <c r="V15" i="9"/>
  <c r="G35" i="9" s="1"/>
  <c r="U15" i="9"/>
  <c r="F35" i="9" s="1"/>
  <c r="T15" i="9"/>
  <c r="E35" i="9" s="1"/>
  <c r="S15" i="9"/>
  <c r="D35" i="9" s="1"/>
  <c r="R15" i="9"/>
  <c r="C35" i="9" s="1"/>
  <c r="Q15" i="9"/>
  <c r="B35" i="9" s="1"/>
  <c r="AR14" i="9"/>
  <c r="AC34" i="9" s="1"/>
  <c r="AQ14" i="9"/>
  <c r="AB34" i="9" s="1"/>
  <c r="AP14" i="9"/>
  <c r="AA34" i="9" s="1"/>
  <c r="AO14" i="9"/>
  <c r="Z34" i="9" s="1"/>
  <c r="AN14" i="9"/>
  <c r="Y34" i="9" s="1"/>
  <c r="AM14" i="9"/>
  <c r="X34" i="9" s="1"/>
  <c r="AL14" i="9"/>
  <c r="W34" i="9" s="1"/>
  <c r="AK14" i="9"/>
  <c r="V34" i="9" s="1"/>
  <c r="AJ14" i="9"/>
  <c r="U34" i="9" s="1"/>
  <c r="AI14" i="9"/>
  <c r="T34" i="9" s="1"/>
  <c r="AH14" i="9"/>
  <c r="S34" i="9" s="1"/>
  <c r="AG14" i="9"/>
  <c r="R34" i="9" s="1"/>
  <c r="AF14" i="9"/>
  <c r="Q34" i="9" s="1"/>
  <c r="AE14" i="9"/>
  <c r="P34" i="9" s="1"/>
  <c r="AD14" i="9"/>
  <c r="O34" i="9" s="1"/>
  <c r="AC14" i="9"/>
  <c r="N34" i="9" s="1"/>
  <c r="AB14" i="9"/>
  <c r="M34" i="9" s="1"/>
  <c r="AA14" i="9"/>
  <c r="L34" i="9" s="1"/>
  <c r="Z14" i="9"/>
  <c r="K34" i="9" s="1"/>
  <c r="Y14" i="9"/>
  <c r="J34" i="9" s="1"/>
  <c r="X14" i="9"/>
  <c r="I34" i="9" s="1"/>
  <c r="W14" i="9"/>
  <c r="H34" i="9" s="1"/>
  <c r="V14" i="9"/>
  <c r="G34" i="9" s="1"/>
  <c r="U14" i="9"/>
  <c r="F34" i="9" s="1"/>
  <c r="T14" i="9"/>
  <c r="E34" i="9" s="1"/>
  <c r="S14" i="9"/>
  <c r="D34" i="9" s="1"/>
  <c r="R14" i="9"/>
  <c r="C34" i="9" s="1"/>
  <c r="Q14" i="9"/>
  <c r="B34" i="9" s="1"/>
  <c r="AR13" i="9"/>
  <c r="AC33" i="9" s="1"/>
  <c r="AQ13" i="9"/>
  <c r="AB33" i="9" s="1"/>
  <c r="AP13" i="9"/>
  <c r="AA33" i="9" s="1"/>
  <c r="AO13" i="9"/>
  <c r="Z33" i="9" s="1"/>
  <c r="AN13" i="9"/>
  <c r="Y33" i="9" s="1"/>
  <c r="AM13" i="9"/>
  <c r="X33" i="9" s="1"/>
  <c r="AL13" i="9"/>
  <c r="W33" i="9" s="1"/>
  <c r="AK13" i="9"/>
  <c r="V33" i="9" s="1"/>
  <c r="AJ13" i="9"/>
  <c r="U33" i="9" s="1"/>
  <c r="AI13" i="9"/>
  <c r="T33" i="9" s="1"/>
  <c r="AH13" i="9"/>
  <c r="S33" i="9" s="1"/>
  <c r="AG13" i="9"/>
  <c r="R33" i="9" s="1"/>
  <c r="AF13" i="9"/>
  <c r="Q33" i="9" s="1"/>
  <c r="AE13" i="9"/>
  <c r="P33" i="9" s="1"/>
  <c r="AD13" i="9"/>
  <c r="O33" i="9" s="1"/>
  <c r="AC13" i="9"/>
  <c r="N33" i="9" s="1"/>
  <c r="AB13" i="9"/>
  <c r="M33" i="9" s="1"/>
  <c r="AA13" i="9"/>
  <c r="L33" i="9" s="1"/>
  <c r="Z13" i="9"/>
  <c r="K33" i="9" s="1"/>
  <c r="Y13" i="9"/>
  <c r="J33" i="9" s="1"/>
  <c r="X13" i="9"/>
  <c r="I33" i="9" s="1"/>
  <c r="W13" i="9"/>
  <c r="H33" i="9" s="1"/>
  <c r="V13" i="9"/>
  <c r="G33" i="9" s="1"/>
  <c r="U13" i="9"/>
  <c r="F33" i="9" s="1"/>
  <c r="T13" i="9"/>
  <c r="E33" i="9" s="1"/>
  <c r="S13" i="9"/>
  <c r="D33" i="9" s="1"/>
  <c r="R13" i="9"/>
  <c r="C33" i="9" s="1"/>
  <c r="Q13" i="9"/>
  <c r="B33" i="9" s="1"/>
  <c r="AR12" i="9"/>
  <c r="AC32" i="9" s="1"/>
  <c r="AQ12" i="9"/>
  <c r="AB32" i="9" s="1"/>
  <c r="AP12" i="9"/>
  <c r="AA32" i="9" s="1"/>
  <c r="AO12" i="9"/>
  <c r="Z32" i="9" s="1"/>
  <c r="AN12" i="9"/>
  <c r="Y32" i="9" s="1"/>
  <c r="AM12" i="9"/>
  <c r="X32" i="9" s="1"/>
  <c r="AL12" i="9"/>
  <c r="W32" i="9" s="1"/>
  <c r="AK12" i="9"/>
  <c r="V32" i="9" s="1"/>
  <c r="AJ12" i="9"/>
  <c r="U32" i="9" s="1"/>
  <c r="AI12" i="9"/>
  <c r="T32" i="9" s="1"/>
  <c r="AH12" i="9"/>
  <c r="S32" i="9" s="1"/>
  <c r="AG12" i="9"/>
  <c r="R32" i="9" s="1"/>
  <c r="AF12" i="9"/>
  <c r="Q32" i="9" s="1"/>
  <c r="AE12" i="9"/>
  <c r="P32" i="9" s="1"/>
  <c r="AD12" i="9"/>
  <c r="O32" i="9" s="1"/>
  <c r="AC12" i="9"/>
  <c r="N32" i="9" s="1"/>
  <c r="AB12" i="9"/>
  <c r="M32" i="9" s="1"/>
  <c r="AA12" i="9"/>
  <c r="L32" i="9" s="1"/>
  <c r="Z12" i="9"/>
  <c r="K32" i="9" s="1"/>
  <c r="Y12" i="9"/>
  <c r="J32" i="9" s="1"/>
  <c r="X12" i="9"/>
  <c r="I32" i="9" s="1"/>
  <c r="W12" i="9"/>
  <c r="H32" i="9" s="1"/>
  <c r="V12" i="9"/>
  <c r="G32" i="9" s="1"/>
  <c r="U12" i="9"/>
  <c r="F32" i="9" s="1"/>
  <c r="T12" i="9"/>
  <c r="E32" i="9" s="1"/>
  <c r="S12" i="9"/>
  <c r="D32" i="9" s="1"/>
  <c r="R12" i="9"/>
  <c r="C32" i="9" s="1"/>
  <c r="Q12" i="9"/>
  <c r="B32" i="9" s="1"/>
  <c r="AR11" i="9"/>
  <c r="AC31" i="9" s="1"/>
  <c r="AQ11" i="9"/>
  <c r="AB31" i="9" s="1"/>
  <c r="AP11" i="9"/>
  <c r="AA31" i="9" s="1"/>
  <c r="AO11" i="9"/>
  <c r="Z31" i="9" s="1"/>
  <c r="AN11" i="9"/>
  <c r="Y31" i="9" s="1"/>
  <c r="AM11" i="9"/>
  <c r="X31" i="9" s="1"/>
  <c r="AL11" i="9"/>
  <c r="W31" i="9" s="1"/>
  <c r="AK11" i="9"/>
  <c r="V31" i="9" s="1"/>
  <c r="AJ11" i="9"/>
  <c r="U31" i="9" s="1"/>
  <c r="AI11" i="9"/>
  <c r="T31" i="9" s="1"/>
  <c r="AH11" i="9"/>
  <c r="S31" i="9" s="1"/>
  <c r="AG11" i="9"/>
  <c r="R31" i="9" s="1"/>
  <c r="AF11" i="9"/>
  <c r="Q31" i="9" s="1"/>
  <c r="AE11" i="9"/>
  <c r="P31" i="9" s="1"/>
  <c r="AD11" i="9"/>
  <c r="O31" i="9" s="1"/>
  <c r="AC11" i="9"/>
  <c r="N31" i="9" s="1"/>
  <c r="AB11" i="9"/>
  <c r="M31" i="9" s="1"/>
  <c r="AA11" i="9"/>
  <c r="L31" i="9" s="1"/>
  <c r="Z11" i="9"/>
  <c r="K31" i="9" s="1"/>
  <c r="Y11" i="9"/>
  <c r="J31" i="9" s="1"/>
  <c r="X11" i="9"/>
  <c r="I31" i="9" s="1"/>
  <c r="W11" i="9"/>
  <c r="H31" i="9" s="1"/>
  <c r="V11" i="9"/>
  <c r="G31" i="9" s="1"/>
  <c r="U11" i="9"/>
  <c r="F31" i="9" s="1"/>
  <c r="T11" i="9"/>
  <c r="E31" i="9" s="1"/>
  <c r="S11" i="9"/>
  <c r="D31" i="9" s="1"/>
  <c r="R11" i="9"/>
  <c r="C31" i="9" s="1"/>
  <c r="Q11" i="9"/>
  <c r="B31" i="9" s="1"/>
  <c r="M513" i="20" l="1"/>
  <c r="P16" i="28" s="1"/>
  <c r="W85" i="22"/>
  <c r="Z27" i="28" s="1"/>
  <c r="X85" i="22"/>
  <c r="AA27" i="28" s="1"/>
  <c r="AA85" i="20"/>
  <c r="AD12" i="28" s="1"/>
  <c r="O85" i="19"/>
  <c r="R7" i="28" s="1"/>
  <c r="T513" i="19"/>
  <c r="W11" i="28" s="1"/>
  <c r="R85" i="20"/>
  <c r="U12" i="28" s="1"/>
  <c r="I191" i="19"/>
  <c r="L8" i="28" s="1"/>
  <c r="B408" i="20"/>
  <c r="E15" i="28" s="1"/>
  <c r="C408" i="23"/>
  <c r="F35" i="28" s="1"/>
  <c r="N85" i="23"/>
  <c r="Q32" i="28" s="1"/>
  <c r="AA513" i="23"/>
  <c r="AD36" i="28" s="1"/>
  <c r="Q85" i="23"/>
  <c r="T32" i="28" s="1"/>
  <c r="Y513" i="21"/>
  <c r="AB26" i="28" s="1"/>
  <c r="S299" i="19"/>
  <c r="V9" i="28" s="1"/>
  <c r="I513" i="19"/>
  <c r="L11" i="28" s="1"/>
  <c r="M513" i="19"/>
  <c r="P11" i="28" s="1"/>
  <c r="Q513" i="21"/>
  <c r="T26" i="28" s="1"/>
  <c r="D85" i="21"/>
  <c r="G22" i="28" s="1"/>
  <c r="E299" i="23"/>
  <c r="H34" i="28" s="1"/>
  <c r="N513" i="20"/>
  <c r="Q16" i="28" s="1"/>
  <c r="X513" i="20"/>
  <c r="AA16" i="28" s="1"/>
  <c r="V299" i="20"/>
  <c r="Y14" i="28" s="1"/>
  <c r="G191" i="20"/>
  <c r="J13" i="28" s="1"/>
  <c r="J85" i="19"/>
  <c r="M7" i="28" s="1"/>
  <c r="V513" i="20"/>
  <c r="Y16" i="28" s="1"/>
  <c r="U85" i="20"/>
  <c r="X12" i="28" s="1"/>
  <c r="F408" i="20"/>
  <c r="I15" i="28" s="1"/>
  <c r="AB85" i="20"/>
  <c r="AE12" i="28" s="1"/>
  <c r="I299" i="19"/>
  <c r="L9" i="28" s="1"/>
  <c r="AA85" i="19"/>
  <c r="AD7" i="28" s="1"/>
  <c r="H408" i="19"/>
  <c r="K10" i="28" s="1"/>
  <c r="R85" i="19"/>
  <c r="U7" i="28" s="1"/>
  <c r="B85" i="19"/>
  <c r="E7" i="28" s="1"/>
  <c r="Y513" i="23"/>
  <c r="AB36" i="28" s="1"/>
  <c r="AB513" i="22"/>
  <c r="AE31" i="28" s="1"/>
  <c r="R408" i="22"/>
  <c r="U30" i="28" s="1"/>
  <c r="P299" i="22"/>
  <c r="S29" i="28" s="1"/>
  <c r="L513" i="22"/>
  <c r="O31" i="28" s="1"/>
  <c r="M191" i="23"/>
  <c r="P33" i="28" s="1"/>
  <c r="K191" i="23"/>
  <c r="N33" i="28" s="1"/>
  <c r="P408" i="23"/>
  <c r="S35" i="28" s="1"/>
  <c r="F513" i="23"/>
  <c r="I36" i="28" s="1"/>
  <c r="L408" i="23"/>
  <c r="O35" i="28" s="1"/>
  <c r="C513" i="22"/>
  <c r="F31" i="28" s="1"/>
  <c r="R85" i="22"/>
  <c r="U27" i="28" s="1"/>
  <c r="W408" i="22"/>
  <c r="Z30" i="28" s="1"/>
  <c r="H513" i="22"/>
  <c r="K31" i="28" s="1"/>
  <c r="Q191" i="22"/>
  <c r="T28" i="28" s="1"/>
  <c r="L408" i="21"/>
  <c r="O25" i="28" s="1"/>
  <c r="P85" i="21"/>
  <c r="S22" i="28" s="1"/>
  <c r="AB85" i="21"/>
  <c r="AE22" i="28" s="1"/>
  <c r="X85" i="21"/>
  <c r="AA22" i="28" s="1"/>
  <c r="I513" i="21"/>
  <c r="L26" i="28" s="1"/>
  <c r="U84" i="13"/>
  <c r="X164" i="9"/>
  <c r="V486" i="9"/>
  <c r="U272" i="13"/>
  <c r="N272" i="9"/>
  <c r="U58" i="13"/>
  <c r="A288" i="13"/>
  <c r="A276" i="13"/>
  <c r="A180" i="13"/>
  <c r="A168" i="13"/>
  <c r="A289" i="13"/>
  <c r="A277" i="13"/>
  <c r="A399" i="13"/>
  <c r="A387" i="13"/>
  <c r="A290" i="13"/>
  <c r="A278" i="13"/>
  <c r="A182" i="13"/>
  <c r="A170" i="13"/>
  <c r="A291" i="13"/>
  <c r="A279" i="13"/>
  <c r="A183" i="13"/>
  <c r="A171" i="13"/>
  <c r="A76" i="13"/>
  <c r="A64" i="13"/>
  <c r="P51" i="9"/>
  <c r="D52" i="9"/>
  <c r="L52" i="9"/>
  <c r="T52" i="9"/>
  <c r="AB52" i="9"/>
  <c r="H52" i="9"/>
  <c r="P52" i="9"/>
  <c r="X52" i="9"/>
  <c r="B52" i="13"/>
  <c r="M52" i="13"/>
  <c r="U52" i="13"/>
  <c r="AC52" i="13"/>
  <c r="R149" i="13"/>
  <c r="X249" i="13"/>
  <c r="AC253" i="13"/>
  <c r="I363" i="13"/>
  <c r="U142" i="13"/>
  <c r="U160" i="13" s="1"/>
  <c r="Y144" i="13"/>
  <c r="U252" i="13"/>
  <c r="U282" i="13" s="1"/>
  <c r="G52" i="13"/>
  <c r="R52" i="13"/>
  <c r="D52" i="13"/>
  <c r="L52" i="13"/>
  <c r="T52" i="13"/>
  <c r="AB52" i="13"/>
  <c r="H51" i="13"/>
  <c r="P51" i="13"/>
  <c r="X51" i="13"/>
  <c r="U56" i="13"/>
  <c r="J52" i="13"/>
  <c r="Z52" i="13"/>
  <c r="C52" i="13"/>
  <c r="K52" i="13"/>
  <c r="S52" i="13"/>
  <c r="AA52" i="13"/>
  <c r="E52" i="13"/>
  <c r="U256" i="13"/>
  <c r="AC148" i="13"/>
  <c r="AB146" i="13"/>
  <c r="P254" i="13"/>
  <c r="X145" i="13"/>
  <c r="P143" i="13"/>
  <c r="P161" i="13" s="1"/>
  <c r="W52" i="13"/>
  <c r="G51" i="13"/>
  <c r="O51" i="13"/>
  <c r="W51" i="13"/>
  <c r="O52" i="13"/>
  <c r="F53" i="13"/>
  <c r="L358" i="13"/>
  <c r="T358" i="13"/>
  <c r="AB358" i="13"/>
  <c r="V52" i="13"/>
  <c r="V257" i="13"/>
  <c r="V362" i="13"/>
  <c r="V53" i="13"/>
  <c r="Z361" i="13"/>
  <c r="V366" i="13"/>
  <c r="N138" i="13"/>
  <c r="U468" i="9"/>
  <c r="V363" i="9"/>
  <c r="AA359" i="9"/>
  <c r="AA377" i="9" s="1"/>
  <c r="AC463" i="9"/>
  <c r="Q52" i="9"/>
  <c r="I52" i="9"/>
  <c r="Y52" i="9"/>
  <c r="I51" i="9"/>
  <c r="Q51" i="9"/>
  <c r="Y51" i="9"/>
  <c r="D139" i="9"/>
  <c r="P37" i="9"/>
  <c r="P55" i="9" s="1"/>
  <c r="V472" i="9"/>
  <c r="V512" i="9" s="1"/>
  <c r="G258" i="9"/>
  <c r="U63" i="13"/>
  <c r="U65" i="13"/>
  <c r="L367" i="9"/>
  <c r="U150" i="9"/>
  <c r="AB47" i="13"/>
  <c r="U74" i="13"/>
  <c r="AC472" i="9"/>
  <c r="AV27" i="9"/>
  <c r="N150" i="13"/>
  <c r="V367" i="13"/>
  <c r="AB370" i="13"/>
  <c r="Y261" i="13"/>
  <c r="AA258" i="13"/>
  <c r="A290" i="9"/>
  <c r="A278" i="9"/>
  <c r="A404" i="9"/>
  <c r="A392" i="9"/>
  <c r="A399" i="9"/>
  <c r="A387" i="9"/>
  <c r="A76" i="9"/>
  <c r="A64" i="9"/>
  <c r="A187" i="9"/>
  <c r="A175" i="9"/>
  <c r="A401" i="9"/>
  <c r="A389" i="9"/>
  <c r="A504" i="9"/>
  <c r="A492" i="9"/>
  <c r="A182" i="9"/>
  <c r="A170" i="9"/>
  <c r="AC150" i="9"/>
  <c r="N254" i="9"/>
  <c r="V463" i="9"/>
  <c r="I475" i="9"/>
  <c r="AV25" i="9"/>
  <c r="J52" i="9"/>
  <c r="Z52" i="9"/>
  <c r="Z146" i="9"/>
  <c r="C254" i="9"/>
  <c r="K254" i="9"/>
  <c r="S254" i="9"/>
  <c r="AA254" i="9"/>
  <c r="U361" i="9"/>
  <c r="R366" i="9"/>
  <c r="W461" i="9"/>
  <c r="G53" i="9"/>
  <c r="W53" i="9"/>
  <c r="U153" i="9"/>
  <c r="H146" i="9"/>
  <c r="M252" i="9"/>
  <c r="AA257" i="9"/>
  <c r="AT19" i="9"/>
  <c r="AT29" i="9"/>
  <c r="AV26" i="9"/>
  <c r="H51" i="9"/>
  <c r="X51" i="9"/>
  <c r="E137" i="9"/>
  <c r="Z150" i="9"/>
  <c r="F153" i="9"/>
  <c r="X365" i="9"/>
  <c r="F472" i="9"/>
  <c r="Z153" i="9"/>
  <c r="G153" i="9"/>
  <c r="N472" i="9"/>
  <c r="G140" i="9"/>
  <c r="B150" i="9"/>
  <c r="O153" i="9"/>
  <c r="E363" i="9"/>
  <c r="G52" i="9"/>
  <c r="W52" i="9"/>
  <c r="C150" i="9"/>
  <c r="K150" i="9"/>
  <c r="T150" i="9"/>
  <c r="P153" i="9"/>
  <c r="AC254" i="9"/>
  <c r="AC355" i="9"/>
  <c r="Q363" i="9"/>
  <c r="F463" i="9"/>
  <c r="M468" i="9"/>
  <c r="J44" i="9"/>
  <c r="J260" i="9" s="1"/>
  <c r="L150" i="9"/>
  <c r="F254" i="9"/>
  <c r="AA363" i="9"/>
  <c r="N463" i="9"/>
  <c r="K355" i="13"/>
  <c r="S363" i="13"/>
  <c r="AB363" i="13"/>
  <c r="B254" i="13"/>
  <c r="F254" i="13"/>
  <c r="V254" i="13"/>
  <c r="E361" i="13"/>
  <c r="M361" i="13"/>
  <c r="V361" i="13"/>
  <c r="Z360" i="13"/>
  <c r="O359" i="13"/>
  <c r="U66" i="13"/>
  <c r="U68" i="13"/>
  <c r="U79" i="13"/>
  <c r="U67" i="13"/>
  <c r="X44" i="13"/>
  <c r="X260" i="13" s="1"/>
  <c r="U78" i="13"/>
  <c r="U80" i="13"/>
  <c r="U81" i="13"/>
  <c r="F366" i="13"/>
  <c r="N53" i="13"/>
  <c r="F52" i="13"/>
  <c r="R366" i="13"/>
  <c r="N52" i="13"/>
  <c r="AB366" i="13"/>
  <c r="B362" i="13"/>
  <c r="U57" i="13"/>
  <c r="K362" i="13"/>
  <c r="U69" i="13"/>
  <c r="T362" i="13"/>
  <c r="AC362" i="13"/>
  <c r="G53" i="13"/>
  <c r="O53" i="13"/>
  <c r="W53" i="13"/>
  <c r="H53" i="13"/>
  <c r="P53" i="13"/>
  <c r="X53" i="13"/>
  <c r="I53" i="13"/>
  <c r="Q53" i="13"/>
  <c r="Y53" i="13"/>
  <c r="B53" i="13"/>
  <c r="J53" i="13"/>
  <c r="R53" i="13"/>
  <c r="Z53" i="13"/>
  <c r="U77" i="13"/>
  <c r="C53" i="13"/>
  <c r="K53" i="13"/>
  <c r="S53" i="13"/>
  <c r="AA53" i="13"/>
  <c r="D53" i="13"/>
  <c r="L53" i="13"/>
  <c r="T53" i="13"/>
  <c r="AB53" i="13"/>
  <c r="E53" i="13"/>
  <c r="M53" i="13"/>
  <c r="U53" i="13"/>
  <c r="AC53" i="13"/>
  <c r="H52" i="13"/>
  <c r="P52" i="13"/>
  <c r="X52" i="13"/>
  <c r="I52" i="13"/>
  <c r="Q52" i="13"/>
  <c r="Y52" i="13"/>
  <c r="U64" i="13"/>
  <c r="U76" i="13"/>
  <c r="I51" i="13"/>
  <c r="Q51" i="13"/>
  <c r="Y51" i="13"/>
  <c r="B51" i="13"/>
  <c r="J51" i="13"/>
  <c r="R51" i="13"/>
  <c r="Z51" i="13"/>
  <c r="C51" i="13"/>
  <c r="K51" i="13"/>
  <c r="S51" i="13"/>
  <c r="AA51" i="13"/>
  <c r="D51" i="13"/>
  <c r="L51" i="13"/>
  <c r="T51" i="13"/>
  <c r="AB51" i="13"/>
  <c r="U75" i="13"/>
  <c r="E51" i="13"/>
  <c r="M51" i="13"/>
  <c r="U51" i="13"/>
  <c r="AC51" i="13"/>
  <c r="F51" i="13"/>
  <c r="N51" i="13"/>
  <c r="V51" i="13"/>
  <c r="B50" i="13"/>
  <c r="J50" i="13"/>
  <c r="R50" i="13"/>
  <c r="Z50" i="13"/>
  <c r="C50" i="13"/>
  <c r="K50" i="13"/>
  <c r="S50" i="13"/>
  <c r="AA50" i="13"/>
  <c r="D50" i="13"/>
  <c r="L50" i="13"/>
  <c r="T50" i="13"/>
  <c r="AB50" i="13"/>
  <c r="U62" i="13"/>
  <c r="E50" i="13"/>
  <c r="M50" i="13"/>
  <c r="U50" i="13"/>
  <c r="AC50" i="13"/>
  <c r="F50" i="13"/>
  <c r="N50" i="13"/>
  <c r="V50" i="13"/>
  <c r="G50" i="13"/>
  <c r="O50" i="13"/>
  <c r="W50" i="13"/>
  <c r="H50" i="13"/>
  <c r="P50" i="13"/>
  <c r="X50" i="13"/>
  <c r="I50" i="13"/>
  <c r="Q50" i="13"/>
  <c r="Y50" i="13"/>
  <c r="V466" i="9"/>
  <c r="V496" i="9" s="1"/>
  <c r="U144" i="9"/>
  <c r="G466" i="9"/>
  <c r="O466" i="9"/>
  <c r="W466" i="9"/>
  <c r="L144" i="9"/>
  <c r="K361" i="9"/>
  <c r="T144" i="9"/>
  <c r="O52" i="9"/>
  <c r="Y366" i="9"/>
  <c r="B52" i="9"/>
  <c r="R52" i="9"/>
  <c r="O53" i="9"/>
  <c r="C366" i="9"/>
  <c r="Y467" i="9"/>
  <c r="Z471" i="9"/>
  <c r="C52" i="9"/>
  <c r="K52" i="9"/>
  <c r="S52" i="9"/>
  <c r="AA52" i="9"/>
  <c r="Y257" i="9"/>
  <c r="AB257" i="9"/>
  <c r="C149" i="9"/>
  <c r="D257" i="9"/>
  <c r="I257" i="9"/>
  <c r="C471" i="9"/>
  <c r="L257" i="9"/>
  <c r="Q366" i="9"/>
  <c r="K471" i="9"/>
  <c r="Q257" i="9"/>
  <c r="AB366" i="9"/>
  <c r="S471" i="9"/>
  <c r="T257" i="9"/>
  <c r="AA471" i="9"/>
  <c r="W470" i="9"/>
  <c r="H470" i="9"/>
  <c r="P470" i="9"/>
  <c r="X470" i="9"/>
  <c r="Y256" i="9"/>
  <c r="H365" i="9"/>
  <c r="U365" i="9"/>
  <c r="B467" i="9"/>
  <c r="J467" i="9"/>
  <c r="R467" i="9"/>
  <c r="Z467" i="9"/>
  <c r="C54" i="9"/>
  <c r="K54" i="9"/>
  <c r="S54" i="9"/>
  <c r="AA54" i="9"/>
  <c r="D54" i="9"/>
  <c r="L54" i="9"/>
  <c r="T54" i="9"/>
  <c r="AB54" i="9"/>
  <c r="E54" i="9"/>
  <c r="M54" i="9"/>
  <c r="U54" i="9"/>
  <c r="AC54" i="9"/>
  <c r="F54" i="9"/>
  <c r="N54" i="9"/>
  <c r="V54" i="9"/>
  <c r="C359" i="9"/>
  <c r="M359" i="9"/>
  <c r="N142" i="9"/>
  <c r="V359" i="9"/>
  <c r="H357" i="9"/>
  <c r="Z462" i="9"/>
  <c r="Q357" i="9"/>
  <c r="K462" i="9"/>
  <c r="H53" i="9"/>
  <c r="P53" i="9"/>
  <c r="X53" i="9"/>
  <c r="Z357" i="9"/>
  <c r="S462" i="9"/>
  <c r="I53" i="9"/>
  <c r="Q53" i="9"/>
  <c r="Y53" i="9"/>
  <c r="AA462" i="9"/>
  <c r="B53" i="9"/>
  <c r="J53" i="9"/>
  <c r="R53" i="9"/>
  <c r="Z53" i="9"/>
  <c r="F140" i="9"/>
  <c r="C53" i="9"/>
  <c r="K53" i="9"/>
  <c r="S53" i="9"/>
  <c r="AA53" i="9"/>
  <c r="D53" i="9"/>
  <c r="L53" i="9"/>
  <c r="T53" i="9"/>
  <c r="AB53" i="9"/>
  <c r="E53" i="9"/>
  <c r="M53" i="9"/>
  <c r="U53" i="9"/>
  <c r="AC53" i="9"/>
  <c r="F53" i="9"/>
  <c r="N53" i="9"/>
  <c r="V53" i="9"/>
  <c r="C462" i="9"/>
  <c r="K139" i="9"/>
  <c r="P461" i="9"/>
  <c r="E52" i="9"/>
  <c r="M52" i="9"/>
  <c r="U52" i="9"/>
  <c r="AC52" i="9"/>
  <c r="X461" i="9"/>
  <c r="F52" i="9"/>
  <c r="N52" i="9"/>
  <c r="V52" i="9"/>
  <c r="H461" i="9"/>
  <c r="B355" i="9"/>
  <c r="B51" i="9"/>
  <c r="J51" i="9"/>
  <c r="R51" i="9"/>
  <c r="Z51" i="9"/>
  <c r="C51" i="9"/>
  <c r="K51" i="9"/>
  <c r="S51" i="9"/>
  <c r="AA51" i="9"/>
  <c r="D51" i="9"/>
  <c r="L51" i="9"/>
  <c r="T51" i="9"/>
  <c r="AB51" i="9"/>
  <c r="E51" i="9"/>
  <c r="M51" i="9"/>
  <c r="U51" i="9"/>
  <c r="AC51" i="9"/>
  <c r="F51" i="9"/>
  <c r="N51" i="9"/>
  <c r="V51" i="9"/>
  <c r="G51" i="9"/>
  <c r="O51" i="9"/>
  <c r="W51" i="9"/>
  <c r="I138" i="9"/>
  <c r="Z459" i="9"/>
  <c r="G50" i="9"/>
  <c r="O50" i="9"/>
  <c r="W50" i="9"/>
  <c r="H50" i="9"/>
  <c r="P50" i="9"/>
  <c r="X50" i="9"/>
  <c r="I50" i="9"/>
  <c r="Q50" i="9"/>
  <c r="Y50" i="9"/>
  <c r="B50" i="9"/>
  <c r="J50" i="9"/>
  <c r="R50" i="9"/>
  <c r="Z50" i="9"/>
  <c r="C50" i="9"/>
  <c r="K50" i="9"/>
  <c r="S50" i="9"/>
  <c r="AA50" i="9"/>
  <c r="D50" i="9"/>
  <c r="L50" i="9"/>
  <c r="T50" i="9"/>
  <c r="AB50" i="9"/>
  <c r="J459" i="9"/>
  <c r="E50" i="9"/>
  <c r="M50" i="9"/>
  <c r="U50" i="9"/>
  <c r="AC50" i="9"/>
  <c r="F50" i="9"/>
  <c r="N50" i="9"/>
  <c r="V50" i="9"/>
  <c r="A497" i="9"/>
  <c r="A505" i="9"/>
  <c r="A494" i="9"/>
  <c r="A502" i="9"/>
  <c r="A491" i="9"/>
  <c r="A507" i="9"/>
  <c r="A496" i="9"/>
  <c r="A400" i="9"/>
  <c r="A397" i="9"/>
  <c r="A386" i="9"/>
  <c r="A402" i="9"/>
  <c r="A391" i="9"/>
  <c r="A283" i="9"/>
  <c r="A291" i="9"/>
  <c r="A280" i="9"/>
  <c r="A288" i="9"/>
  <c r="A277" i="9"/>
  <c r="A293" i="9"/>
  <c r="A294" i="9"/>
  <c r="A186" i="9"/>
  <c r="A183" i="9"/>
  <c r="A172" i="9"/>
  <c r="A180" i="9"/>
  <c r="A169" i="9"/>
  <c r="A185" i="9"/>
  <c r="A69" i="9"/>
  <c r="A77" i="9"/>
  <c r="A66" i="9"/>
  <c r="A74" i="9"/>
  <c r="A80" i="9"/>
  <c r="A63" i="9"/>
  <c r="A79" i="9"/>
  <c r="A392" i="13"/>
  <c r="A400" i="13"/>
  <c r="A389" i="13"/>
  <c r="A397" i="13"/>
  <c r="A386" i="13"/>
  <c r="A402" i="13"/>
  <c r="A391" i="13"/>
  <c r="A294" i="13"/>
  <c r="A283" i="13"/>
  <c r="A280" i="13"/>
  <c r="A293" i="13"/>
  <c r="A175" i="13"/>
  <c r="A172" i="13"/>
  <c r="A169" i="13"/>
  <c r="A185" i="13"/>
  <c r="A174" i="13"/>
  <c r="A80" i="13"/>
  <c r="A69" i="13"/>
  <c r="A77" i="13"/>
  <c r="A66" i="13"/>
  <c r="A74" i="13"/>
  <c r="A63" i="13"/>
  <c r="A79" i="13"/>
  <c r="N370" i="9"/>
  <c r="U46" i="13"/>
  <c r="I44" i="13"/>
  <c r="I260" i="13" s="1"/>
  <c r="R44" i="13"/>
  <c r="R369" i="13" s="1"/>
  <c r="AA44" i="13"/>
  <c r="D47" i="13"/>
  <c r="M47" i="13"/>
  <c r="V47" i="13"/>
  <c r="J44" i="13"/>
  <c r="J369" i="13" s="1"/>
  <c r="S44" i="13"/>
  <c r="S260" i="13" s="1"/>
  <c r="AB44" i="13"/>
  <c r="E47" i="13"/>
  <c r="N47" i="13"/>
  <c r="W47" i="13"/>
  <c r="B44" i="13"/>
  <c r="B369" i="13" s="1"/>
  <c r="K44" i="13"/>
  <c r="K260" i="13" s="1"/>
  <c r="T44" i="13"/>
  <c r="T369" i="13" s="1"/>
  <c r="AC44" i="13"/>
  <c r="F47" i="13"/>
  <c r="O47" i="13"/>
  <c r="X47" i="13"/>
  <c r="AC137" i="13"/>
  <c r="U137" i="13"/>
  <c r="M137" i="13"/>
  <c r="E137" i="13"/>
  <c r="AB137" i="13"/>
  <c r="T137" i="13"/>
  <c r="L137" i="13"/>
  <c r="D137" i="13"/>
  <c r="Z137" i="13"/>
  <c r="R137" i="13"/>
  <c r="J137" i="13"/>
  <c r="B137" i="13"/>
  <c r="Y137" i="13"/>
  <c r="Q137" i="13"/>
  <c r="I137" i="13"/>
  <c r="W137" i="13"/>
  <c r="O137" i="13"/>
  <c r="G137" i="13"/>
  <c r="P137" i="13"/>
  <c r="N137" i="13"/>
  <c r="K137" i="13"/>
  <c r="H137" i="13"/>
  <c r="AA137" i="13"/>
  <c r="F137" i="13"/>
  <c r="X137" i="13"/>
  <c r="C137" i="13"/>
  <c r="V137" i="13"/>
  <c r="S137" i="13"/>
  <c r="O141" i="13"/>
  <c r="C44" i="13"/>
  <c r="C260" i="13" s="1"/>
  <c r="L44" i="13"/>
  <c r="L260" i="13" s="1"/>
  <c r="G47" i="13"/>
  <c r="P47" i="13"/>
  <c r="Z47" i="13"/>
  <c r="D44" i="13"/>
  <c r="D152" i="13" s="1"/>
  <c r="M44" i="13"/>
  <c r="M369" i="13" s="1"/>
  <c r="V44" i="13"/>
  <c r="V368" i="13" s="1"/>
  <c r="H47" i="13"/>
  <c r="R47" i="13"/>
  <c r="R84" i="13" s="1"/>
  <c r="AA47" i="13"/>
  <c r="AA84" i="13" s="1"/>
  <c r="V140" i="13"/>
  <c r="N140" i="13"/>
  <c r="F140" i="13"/>
  <c r="AC140" i="13"/>
  <c r="U140" i="13"/>
  <c r="M140" i="13"/>
  <c r="E140" i="13"/>
  <c r="AA140" i="13"/>
  <c r="S140" i="13"/>
  <c r="K140" i="13"/>
  <c r="C140" i="13"/>
  <c r="Z140" i="13"/>
  <c r="R140" i="13"/>
  <c r="J140" i="13"/>
  <c r="X140" i="13"/>
  <c r="P140" i="13"/>
  <c r="H140" i="13"/>
  <c r="O140" i="13"/>
  <c r="L140" i="13"/>
  <c r="I140" i="13"/>
  <c r="AB140" i="13"/>
  <c r="G140" i="13"/>
  <c r="Y140" i="13"/>
  <c r="D140" i="13"/>
  <c r="W140" i="13"/>
  <c r="T140" i="13"/>
  <c r="Q140" i="13"/>
  <c r="E44" i="13"/>
  <c r="N44" i="13"/>
  <c r="N46" i="13" s="1"/>
  <c r="J47" i="13"/>
  <c r="S47" i="13"/>
  <c r="W44" i="13"/>
  <c r="O44" i="13"/>
  <c r="O369" i="13" s="1"/>
  <c r="G44" i="13"/>
  <c r="G368" i="13" s="1"/>
  <c r="Y47" i="13"/>
  <c r="Q47" i="13"/>
  <c r="I47" i="13"/>
  <c r="F44" i="13"/>
  <c r="P44" i="13"/>
  <c r="P369" i="13" s="1"/>
  <c r="Y44" i="13"/>
  <c r="Y260" i="13" s="1"/>
  <c r="B47" i="13"/>
  <c r="K47" i="13"/>
  <c r="T47" i="13"/>
  <c r="AC47" i="13"/>
  <c r="H44" i="13"/>
  <c r="Q44" i="13"/>
  <c r="Q368" i="13" s="1"/>
  <c r="Z44" i="13"/>
  <c r="Z152" i="13" s="1"/>
  <c r="C47" i="13"/>
  <c r="L47" i="13"/>
  <c r="AA139" i="13"/>
  <c r="S139" i="13"/>
  <c r="K139" i="13"/>
  <c r="C139" i="13"/>
  <c r="Z139" i="13"/>
  <c r="R139" i="13"/>
  <c r="J139" i="13"/>
  <c r="B139" i="13"/>
  <c r="X139" i="13"/>
  <c r="P139" i="13"/>
  <c r="H139" i="13"/>
  <c r="W139" i="13"/>
  <c r="O139" i="13"/>
  <c r="G139" i="13"/>
  <c r="AC139" i="13"/>
  <c r="U139" i="13"/>
  <c r="M139" i="13"/>
  <c r="E139" i="13"/>
  <c r="X143" i="13"/>
  <c r="W143" i="13"/>
  <c r="O143" i="13"/>
  <c r="G143" i="13"/>
  <c r="V143" i="13"/>
  <c r="N143" i="13"/>
  <c r="F143" i="13"/>
  <c r="U143" i="13"/>
  <c r="M143" i="13"/>
  <c r="E143" i="13"/>
  <c r="AC143" i="13"/>
  <c r="T143" i="13"/>
  <c r="L143" i="13"/>
  <c r="D143" i="13"/>
  <c r="AB143" i="13"/>
  <c r="S143" i="13"/>
  <c r="K143" i="13"/>
  <c r="C143" i="13"/>
  <c r="Z143" i="13"/>
  <c r="Q143" i="13"/>
  <c r="I143" i="13"/>
  <c r="K138" i="13"/>
  <c r="D139" i="13"/>
  <c r="Y139" i="13"/>
  <c r="G141" i="13"/>
  <c r="AB141" i="13"/>
  <c r="R142" i="13"/>
  <c r="J143" i="13"/>
  <c r="N144" i="13"/>
  <c r="O145" i="13"/>
  <c r="U146" i="13"/>
  <c r="Y148" i="13"/>
  <c r="P148" i="13"/>
  <c r="G148" i="13"/>
  <c r="X148" i="13"/>
  <c r="O148" i="13"/>
  <c r="F148" i="13"/>
  <c r="W148" i="13"/>
  <c r="N148" i="13"/>
  <c r="E148" i="13"/>
  <c r="U148" i="13"/>
  <c r="K148" i="13"/>
  <c r="B148" i="13"/>
  <c r="F139" i="13"/>
  <c r="AB139" i="13"/>
  <c r="J141" i="13"/>
  <c r="P144" i="13"/>
  <c r="U145" i="13"/>
  <c r="E150" i="13"/>
  <c r="X138" i="13"/>
  <c r="P138" i="13"/>
  <c r="H138" i="13"/>
  <c r="W138" i="13"/>
  <c r="O138" i="13"/>
  <c r="G138" i="13"/>
  <c r="AC138" i="13"/>
  <c r="U138" i="13"/>
  <c r="M138" i="13"/>
  <c r="E138" i="13"/>
  <c r="AB138" i="13"/>
  <c r="T138" i="13"/>
  <c r="L138" i="13"/>
  <c r="D138" i="13"/>
  <c r="Z138" i="13"/>
  <c r="R138" i="13"/>
  <c r="J138" i="13"/>
  <c r="B138" i="13"/>
  <c r="AB142" i="13"/>
  <c r="T142" i="13"/>
  <c r="L142" i="13"/>
  <c r="D142" i="13"/>
  <c r="AA142" i="13"/>
  <c r="S142" i="13"/>
  <c r="K142" i="13"/>
  <c r="C142" i="13"/>
  <c r="Y142" i="13"/>
  <c r="Q142" i="13"/>
  <c r="I142" i="13"/>
  <c r="X142" i="13"/>
  <c r="P142" i="13"/>
  <c r="H142" i="13"/>
  <c r="V142" i="13"/>
  <c r="N142" i="13"/>
  <c r="F142" i="13"/>
  <c r="Y146" i="13"/>
  <c r="Q146" i="13"/>
  <c r="I146" i="13"/>
  <c r="AA146" i="13"/>
  <c r="R146" i="13"/>
  <c r="H146" i="13"/>
  <c r="Z146" i="13"/>
  <c r="P146" i="13"/>
  <c r="G146" i="13"/>
  <c r="X146" i="13"/>
  <c r="O146" i="13"/>
  <c r="F146" i="13"/>
  <c r="W146" i="13"/>
  <c r="N146" i="13"/>
  <c r="E146" i="13"/>
  <c r="V146" i="13"/>
  <c r="M146" i="13"/>
  <c r="D146" i="13"/>
  <c r="AC146" i="13"/>
  <c r="T146" i="13"/>
  <c r="K146" i="13"/>
  <c r="B146" i="13"/>
  <c r="U152" i="13"/>
  <c r="Q138" i="13"/>
  <c r="I139" i="13"/>
  <c r="L141" i="13"/>
  <c r="B142" i="13"/>
  <c r="W142" i="13"/>
  <c r="R143" i="13"/>
  <c r="W144" i="13"/>
  <c r="F149" i="13"/>
  <c r="G150" i="13"/>
  <c r="S138" i="13"/>
  <c r="L139" i="13"/>
  <c r="E142" i="13"/>
  <c r="Z142" i="13"/>
  <c r="Y143" i="13"/>
  <c r="H148" i="13"/>
  <c r="I149" i="13"/>
  <c r="Y141" i="13"/>
  <c r="Q141" i="13"/>
  <c r="I141" i="13"/>
  <c r="X141" i="13"/>
  <c r="P141" i="13"/>
  <c r="H141" i="13"/>
  <c r="V141" i="13"/>
  <c r="N141" i="13"/>
  <c r="F141" i="13"/>
  <c r="AC141" i="13"/>
  <c r="U141" i="13"/>
  <c r="M141" i="13"/>
  <c r="E141" i="13"/>
  <c r="AA141" i="13"/>
  <c r="S141" i="13"/>
  <c r="K141" i="13"/>
  <c r="C141" i="13"/>
  <c r="V145" i="13"/>
  <c r="N145" i="13"/>
  <c r="F145" i="13"/>
  <c r="AC145" i="13"/>
  <c r="T145" i="13"/>
  <c r="K145" i="13"/>
  <c r="B145" i="13"/>
  <c r="AB145" i="13"/>
  <c r="S145" i="13"/>
  <c r="J145" i="13"/>
  <c r="AA145" i="13"/>
  <c r="R145" i="13"/>
  <c r="I145" i="13"/>
  <c r="Z145" i="13"/>
  <c r="Q145" i="13"/>
  <c r="H145" i="13"/>
  <c r="Y145" i="13"/>
  <c r="P145" i="13"/>
  <c r="G145" i="13"/>
  <c r="W145" i="13"/>
  <c r="M145" i="13"/>
  <c r="D145" i="13"/>
  <c r="Z150" i="13"/>
  <c r="R150" i="13"/>
  <c r="AB150" i="13"/>
  <c r="S150" i="13"/>
  <c r="J150" i="13"/>
  <c r="B150" i="13"/>
  <c r="W150" i="13"/>
  <c r="M150" i="13"/>
  <c r="D150" i="13"/>
  <c r="V150" i="13"/>
  <c r="L150" i="13"/>
  <c r="C150" i="13"/>
  <c r="U150" i="13"/>
  <c r="K150" i="13"/>
  <c r="T150" i="13"/>
  <c r="I150" i="13"/>
  <c r="AC150" i="13"/>
  <c r="Q150" i="13"/>
  <c r="H150" i="13"/>
  <c r="Y150" i="13"/>
  <c r="O150" i="13"/>
  <c r="F150" i="13"/>
  <c r="X153" i="13"/>
  <c r="X190" i="13" s="1"/>
  <c r="V138" i="13"/>
  <c r="N139" i="13"/>
  <c r="R141" i="13"/>
  <c r="G142" i="13"/>
  <c r="AC142" i="13"/>
  <c r="AA143" i="13"/>
  <c r="C146" i="13"/>
  <c r="J148" i="13"/>
  <c r="P149" i="13"/>
  <c r="P150" i="13"/>
  <c r="C138" i="13"/>
  <c r="Y138" i="13"/>
  <c r="Q139" i="13"/>
  <c r="T141" i="13"/>
  <c r="J142" i="13"/>
  <c r="C145" i="13"/>
  <c r="J146" i="13"/>
  <c r="Q148" i="13"/>
  <c r="AA144" i="13"/>
  <c r="S144" i="13"/>
  <c r="K144" i="13"/>
  <c r="C144" i="13"/>
  <c r="V144" i="13"/>
  <c r="M144" i="13"/>
  <c r="D144" i="13"/>
  <c r="U144" i="13"/>
  <c r="L144" i="13"/>
  <c r="B144" i="13"/>
  <c r="AC144" i="13"/>
  <c r="T144" i="13"/>
  <c r="J144" i="13"/>
  <c r="AB144" i="13"/>
  <c r="R144" i="13"/>
  <c r="I144" i="13"/>
  <c r="Z144" i="13"/>
  <c r="Q144" i="13"/>
  <c r="H144" i="13"/>
  <c r="X144" i="13"/>
  <c r="O144" i="13"/>
  <c r="F144" i="13"/>
  <c r="W149" i="13"/>
  <c r="O149" i="13"/>
  <c r="G149" i="13"/>
  <c r="X149" i="13"/>
  <c r="N149" i="13"/>
  <c r="E149" i="13"/>
  <c r="V149" i="13"/>
  <c r="M149" i="13"/>
  <c r="D149" i="13"/>
  <c r="U149" i="13"/>
  <c r="L149" i="13"/>
  <c r="C149" i="13"/>
  <c r="AC149" i="13"/>
  <c r="T149" i="13"/>
  <c r="K149" i="13"/>
  <c r="B149" i="13"/>
  <c r="AB149" i="13"/>
  <c r="S149" i="13"/>
  <c r="J149" i="13"/>
  <c r="Z149" i="13"/>
  <c r="Q149" i="13"/>
  <c r="H149" i="13"/>
  <c r="F138" i="13"/>
  <c r="AA138" i="13"/>
  <c r="T139" i="13"/>
  <c r="B141" i="13"/>
  <c r="W141" i="13"/>
  <c r="M142" i="13"/>
  <c r="B143" i="13"/>
  <c r="E144" i="13"/>
  <c r="E145" i="13"/>
  <c r="L146" i="13"/>
  <c r="S148" i="13"/>
  <c r="Y149" i="13"/>
  <c r="AA150" i="13"/>
  <c r="I138" i="13"/>
  <c r="V139" i="13"/>
  <c r="D141" i="13"/>
  <c r="Z141" i="13"/>
  <c r="O142" i="13"/>
  <c r="H143" i="13"/>
  <c r="G144" i="13"/>
  <c r="L145" i="13"/>
  <c r="S146" i="13"/>
  <c r="Z148" i="13"/>
  <c r="AA149" i="13"/>
  <c r="AB148" i="13"/>
  <c r="T148" i="13"/>
  <c r="L148" i="13"/>
  <c r="D148" i="13"/>
  <c r="I148" i="13"/>
  <c r="R148" i="13"/>
  <c r="AA148" i="13"/>
  <c r="AC246" i="13"/>
  <c r="U246" i="13"/>
  <c r="M246" i="13"/>
  <c r="E246" i="13"/>
  <c r="AA246" i="13"/>
  <c r="S246" i="13"/>
  <c r="K246" i="13"/>
  <c r="C246" i="13"/>
  <c r="X246" i="13"/>
  <c r="N246" i="13"/>
  <c r="B246" i="13"/>
  <c r="W246" i="13"/>
  <c r="L246" i="13"/>
  <c r="V246" i="13"/>
  <c r="J246" i="13"/>
  <c r="T246" i="13"/>
  <c r="I246" i="13"/>
  <c r="R246" i="13"/>
  <c r="H246" i="13"/>
  <c r="AB246" i="13"/>
  <c r="Q246" i="13"/>
  <c r="G246" i="13"/>
  <c r="Z246" i="13"/>
  <c r="P246" i="13"/>
  <c r="F246" i="13"/>
  <c r="Y246" i="13"/>
  <c r="O246" i="13"/>
  <c r="D246" i="13"/>
  <c r="C148" i="13"/>
  <c r="M148" i="13"/>
  <c r="V148" i="13"/>
  <c r="Z245" i="13"/>
  <c r="R245" i="13"/>
  <c r="J245" i="13"/>
  <c r="B245" i="13"/>
  <c r="X245" i="13"/>
  <c r="P245" i="13"/>
  <c r="H245" i="13"/>
  <c r="U245" i="13"/>
  <c r="K245" i="13"/>
  <c r="T245" i="13"/>
  <c r="I245" i="13"/>
  <c r="AC245" i="13"/>
  <c r="S245" i="13"/>
  <c r="G245" i="13"/>
  <c r="AB245" i="13"/>
  <c r="Q245" i="13"/>
  <c r="F245" i="13"/>
  <c r="AA245" i="13"/>
  <c r="O245" i="13"/>
  <c r="E245" i="13"/>
  <c r="Y245" i="13"/>
  <c r="N245" i="13"/>
  <c r="D245" i="13"/>
  <c r="W245" i="13"/>
  <c r="M245" i="13"/>
  <c r="C245" i="13"/>
  <c r="V245" i="13"/>
  <c r="L245" i="13"/>
  <c r="X247" i="13"/>
  <c r="P247" i="13"/>
  <c r="H247" i="13"/>
  <c r="V247" i="13"/>
  <c r="N247" i="13"/>
  <c r="F247" i="13"/>
  <c r="AA247" i="13"/>
  <c r="Q247" i="13"/>
  <c r="E247" i="13"/>
  <c r="Z247" i="13"/>
  <c r="O247" i="13"/>
  <c r="D247" i="13"/>
  <c r="Y247" i="13"/>
  <c r="M247" i="13"/>
  <c r="C247" i="13"/>
  <c r="W247" i="13"/>
  <c r="L247" i="13"/>
  <c r="B247" i="13"/>
  <c r="U247" i="13"/>
  <c r="K247" i="13"/>
  <c r="T247" i="13"/>
  <c r="J247" i="13"/>
  <c r="AC247" i="13"/>
  <c r="S247" i="13"/>
  <c r="I247" i="13"/>
  <c r="AB247" i="13"/>
  <c r="R247" i="13"/>
  <c r="G247" i="13"/>
  <c r="AA250" i="13"/>
  <c r="S250" i="13"/>
  <c r="K250" i="13"/>
  <c r="C250" i="13"/>
  <c r="AC250" i="13"/>
  <c r="T250" i="13"/>
  <c r="J250" i="13"/>
  <c r="Z250" i="13"/>
  <c r="Q250" i="13"/>
  <c r="H250" i="13"/>
  <c r="Y250" i="13"/>
  <c r="N250" i="13"/>
  <c r="B250" i="13"/>
  <c r="X250" i="13"/>
  <c r="M250" i="13"/>
  <c r="W250" i="13"/>
  <c r="L250" i="13"/>
  <c r="V250" i="13"/>
  <c r="I250" i="13"/>
  <c r="U250" i="13"/>
  <c r="G250" i="13"/>
  <c r="R250" i="13"/>
  <c r="F250" i="13"/>
  <c r="P250" i="13"/>
  <c r="E250" i="13"/>
  <c r="AB250" i="13"/>
  <c r="O250" i="13"/>
  <c r="D250" i="13"/>
  <c r="W248" i="13"/>
  <c r="V251" i="13"/>
  <c r="N251" i="13"/>
  <c r="F251" i="13"/>
  <c r="AA251" i="13"/>
  <c r="R251" i="13"/>
  <c r="I251" i="13"/>
  <c r="Y251" i="13"/>
  <c r="P251" i="13"/>
  <c r="G251" i="13"/>
  <c r="U251" i="13"/>
  <c r="J251" i="13"/>
  <c r="T251" i="13"/>
  <c r="H251" i="13"/>
  <c r="S251" i="13"/>
  <c r="E251" i="13"/>
  <c r="AC251" i="13"/>
  <c r="Q251" i="13"/>
  <c r="D251" i="13"/>
  <c r="AB251" i="13"/>
  <c r="O251" i="13"/>
  <c r="C251" i="13"/>
  <c r="Z251" i="13"/>
  <c r="M251" i="13"/>
  <c r="B251" i="13"/>
  <c r="X251" i="13"/>
  <c r="L251" i="13"/>
  <c r="W251" i="13"/>
  <c r="K251" i="13"/>
  <c r="W254" i="13"/>
  <c r="O254" i="13"/>
  <c r="G254" i="13"/>
  <c r="Z254" i="13"/>
  <c r="Q254" i="13"/>
  <c r="H254" i="13"/>
  <c r="U254" i="13"/>
  <c r="L254" i="13"/>
  <c r="C254" i="13"/>
  <c r="AB254" i="13"/>
  <c r="S254" i="13"/>
  <c r="J254" i="13"/>
  <c r="H248" i="13"/>
  <c r="T248" i="13"/>
  <c r="K249" i="13"/>
  <c r="W249" i="13"/>
  <c r="E252" i="13"/>
  <c r="R252" i="13"/>
  <c r="AC252" i="13"/>
  <c r="M253" i="13"/>
  <c r="Z253" i="13"/>
  <c r="K254" i="13"/>
  <c r="Y254" i="13"/>
  <c r="I256" i="13"/>
  <c r="AB256" i="13"/>
  <c r="Q257" i="13"/>
  <c r="F261" i="13"/>
  <c r="X261" i="13"/>
  <c r="U260" i="13"/>
  <c r="J248" i="13"/>
  <c r="U248" i="13"/>
  <c r="B249" i="13"/>
  <c r="M249" i="13"/>
  <c r="G252" i="13"/>
  <c r="S252" i="13"/>
  <c r="O253" i="13"/>
  <c r="M254" i="13"/>
  <c r="AA254" i="13"/>
  <c r="L256" i="13"/>
  <c r="S257" i="13"/>
  <c r="G261" i="13"/>
  <c r="V249" i="13"/>
  <c r="N249" i="13"/>
  <c r="F249" i="13"/>
  <c r="AB249" i="13"/>
  <c r="T249" i="13"/>
  <c r="L249" i="13"/>
  <c r="D249" i="13"/>
  <c r="AB253" i="13"/>
  <c r="T253" i="13"/>
  <c r="L253" i="13"/>
  <c r="D253" i="13"/>
  <c r="AA253" i="13"/>
  <c r="R253" i="13"/>
  <c r="W253" i="13"/>
  <c r="N253" i="13"/>
  <c r="E253" i="13"/>
  <c r="U253" i="13"/>
  <c r="K253" i="13"/>
  <c r="B253" i="13"/>
  <c r="Z261" i="13"/>
  <c r="R261" i="13"/>
  <c r="J261" i="13"/>
  <c r="B261" i="13"/>
  <c r="AB261" i="13"/>
  <c r="S261" i="13"/>
  <c r="I261" i="13"/>
  <c r="AA261" i="13"/>
  <c r="AA298" i="13" s="1"/>
  <c r="Q261" i="13"/>
  <c r="H261" i="13"/>
  <c r="V261" i="13"/>
  <c r="M261" i="13"/>
  <c r="D261" i="13"/>
  <c r="AC261" i="13"/>
  <c r="T261" i="13"/>
  <c r="K261" i="13"/>
  <c r="L248" i="13"/>
  <c r="V248" i="13"/>
  <c r="C249" i="13"/>
  <c r="O249" i="13"/>
  <c r="Y249" i="13"/>
  <c r="H252" i="13"/>
  <c r="T252" i="13"/>
  <c r="C253" i="13"/>
  <c r="P253" i="13"/>
  <c r="N254" i="13"/>
  <c r="AC254" i="13"/>
  <c r="M256" i="13"/>
  <c r="B257" i="13"/>
  <c r="T257" i="13"/>
  <c r="L261" i="13"/>
  <c r="B248" i="13"/>
  <c r="M248" i="13"/>
  <c r="E249" i="13"/>
  <c r="P249" i="13"/>
  <c r="Z249" i="13"/>
  <c r="J252" i="13"/>
  <c r="F253" i="13"/>
  <c r="Q253" i="13"/>
  <c r="N256" i="13"/>
  <c r="C257" i="13"/>
  <c r="N261" i="13"/>
  <c r="AA248" i="13"/>
  <c r="S248" i="13"/>
  <c r="K248" i="13"/>
  <c r="C248" i="13"/>
  <c r="Y248" i="13"/>
  <c r="Q248" i="13"/>
  <c r="I248" i="13"/>
  <c r="Y252" i="13"/>
  <c r="Q252" i="13"/>
  <c r="I252" i="13"/>
  <c r="X252" i="13"/>
  <c r="O252" i="13"/>
  <c r="F252" i="13"/>
  <c r="V252" i="13"/>
  <c r="M252" i="13"/>
  <c r="D252" i="13"/>
  <c r="AC257" i="13"/>
  <c r="U257" i="13"/>
  <c r="M257" i="13"/>
  <c r="E257" i="13"/>
  <c r="X257" i="13"/>
  <c r="O257" i="13"/>
  <c r="F257" i="13"/>
  <c r="W257" i="13"/>
  <c r="N257" i="13"/>
  <c r="D257" i="13"/>
  <c r="AA257" i="13"/>
  <c r="R257" i="13"/>
  <c r="I257" i="13"/>
  <c r="Y257" i="13"/>
  <c r="P257" i="13"/>
  <c r="G257" i="13"/>
  <c r="D248" i="13"/>
  <c r="N248" i="13"/>
  <c r="X248" i="13"/>
  <c r="G249" i="13"/>
  <c r="Q249" i="13"/>
  <c r="AA249" i="13"/>
  <c r="K252" i="13"/>
  <c r="W252" i="13"/>
  <c r="G253" i="13"/>
  <c r="S253" i="13"/>
  <c r="D254" i="13"/>
  <c r="R254" i="13"/>
  <c r="C256" i="13"/>
  <c r="S256" i="13"/>
  <c r="H257" i="13"/>
  <c r="Z257" i="13"/>
  <c r="O261" i="13"/>
  <c r="E248" i="13"/>
  <c r="O248" i="13"/>
  <c r="Z248" i="13"/>
  <c r="H249" i="13"/>
  <c r="R249" i="13"/>
  <c r="AC249" i="13"/>
  <c r="L252" i="13"/>
  <c r="Z252" i="13"/>
  <c r="H253" i="13"/>
  <c r="V253" i="13"/>
  <c r="E254" i="13"/>
  <c r="T254" i="13"/>
  <c r="D256" i="13"/>
  <c r="J257" i="13"/>
  <c r="AB257" i="13"/>
  <c r="P261" i="13"/>
  <c r="Z256" i="13"/>
  <c r="R256" i="13"/>
  <c r="J256" i="13"/>
  <c r="B256" i="13"/>
  <c r="Y256" i="13"/>
  <c r="P256" i="13"/>
  <c r="X256" i="13"/>
  <c r="O256" i="13"/>
  <c r="F256" i="13"/>
  <c r="AC256" i="13"/>
  <c r="T256" i="13"/>
  <c r="K256" i="13"/>
  <c r="AA256" i="13"/>
  <c r="Q256" i="13"/>
  <c r="H256" i="13"/>
  <c r="F248" i="13"/>
  <c r="P248" i="13"/>
  <c r="AB248" i="13"/>
  <c r="I249" i="13"/>
  <c r="S249" i="13"/>
  <c r="B252" i="13"/>
  <c r="N252" i="13"/>
  <c r="AA252" i="13"/>
  <c r="I253" i="13"/>
  <c r="X253" i="13"/>
  <c r="E256" i="13"/>
  <c r="V256" i="13"/>
  <c r="K257" i="13"/>
  <c r="C261" i="13"/>
  <c r="G248" i="13"/>
  <c r="R248" i="13"/>
  <c r="AC248" i="13"/>
  <c r="J249" i="13"/>
  <c r="U249" i="13"/>
  <c r="C252" i="13"/>
  <c r="P252" i="13"/>
  <c r="AB252" i="13"/>
  <c r="J253" i="13"/>
  <c r="Y253" i="13"/>
  <c r="I254" i="13"/>
  <c r="X254" i="13"/>
  <c r="G256" i="13"/>
  <c r="W256" i="13"/>
  <c r="L257" i="13"/>
  <c r="E261" i="13"/>
  <c r="W261" i="13"/>
  <c r="X357" i="13"/>
  <c r="P357" i="13"/>
  <c r="H357" i="13"/>
  <c r="W357" i="13"/>
  <c r="O357" i="13"/>
  <c r="G357" i="13"/>
  <c r="V357" i="13"/>
  <c r="N357" i="13"/>
  <c r="F357" i="13"/>
  <c r="AC357" i="13"/>
  <c r="U357" i="13"/>
  <c r="M357" i="13"/>
  <c r="E357" i="13"/>
  <c r="AB357" i="13"/>
  <c r="T357" i="13"/>
  <c r="L357" i="13"/>
  <c r="D357" i="13"/>
  <c r="AA357" i="13"/>
  <c r="S357" i="13"/>
  <c r="K357" i="13"/>
  <c r="C357" i="13"/>
  <c r="Z357" i="13"/>
  <c r="R357" i="13"/>
  <c r="J357" i="13"/>
  <c r="B357" i="13"/>
  <c r="Y357" i="13"/>
  <c r="Q357" i="13"/>
  <c r="I357" i="13"/>
  <c r="AC356" i="13"/>
  <c r="U356" i="13"/>
  <c r="M356" i="13"/>
  <c r="E356" i="13"/>
  <c r="AB356" i="13"/>
  <c r="T356" i="13"/>
  <c r="L356" i="13"/>
  <c r="D356" i="13"/>
  <c r="AA356" i="13"/>
  <c r="S356" i="13"/>
  <c r="K356" i="13"/>
  <c r="C356" i="13"/>
  <c r="Z356" i="13"/>
  <c r="R356" i="13"/>
  <c r="J356" i="13"/>
  <c r="B356" i="13"/>
  <c r="Y356" i="13"/>
  <c r="Q356" i="13"/>
  <c r="I356" i="13"/>
  <c r="X356" i="13"/>
  <c r="P356" i="13"/>
  <c r="H356" i="13"/>
  <c r="W356" i="13"/>
  <c r="O356" i="13"/>
  <c r="G356" i="13"/>
  <c r="V356" i="13"/>
  <c r="N356" i="13"/>
  <c r="F356" i="13"/>
  <c r="Z365" i="13"/>
  <c r="H365" i="13"/>
  <c r="Q365" i="13"/>
  <c r="R360" i="13"/>
  <c r="G359" i="13"/>
  <c r="X354" i="13"/>
  <c r="P354" i="13"/>
  <c r="H354" i="13"/>
  <c r="Z355" i="13"/>
  <c r="R355" i="13"/>
  <c r="J355" i="13"/>
  <c r="B355" i="13"/>
  <c r="Y355" i="13"/>
  <c r="Q355" i="13"/>
  <c r="I355" i="13"/>
  <c r="X355" i="13"/>
  <c r="P355" i="13"/>
  <c r="H355" i="13"/>
  <c r="W355" i="13"/>
  <c r="O355" i="13"/>
  <c r="G355" i="13"/>
  <c r="V355" i="13"/>
  <c r="N355" i="13"/>
  <c r="F355" i="13"/>
  <c r="AC355" i="13"/>
  <c r="U355" i="13"/>
  <c r="M355" i="13"/>
  <c r="E355" i="13"/>
  <c r="AB355" i="13"/>
  <c r="T355" i="13"/>
  <c r="L355" i="13"/>
  <c r="D355" i="13"/>
  <c r="AA355" i="13"/>
  <c r="S355" i="13"/>
  <c r="C355" i="13"/>
  <c r="Y360" i="13"/>
  <c r="Q360" i="13"/>
  <c r="I360" i="13"/>
  <c r="X360" i="13"/>
  <c r="P360" i="13"/>
  <c r="H360" i="13"/>
  <c r="W360" i="13"/>
  <c r="O360" i="13"/>
  <c r="G360" i="13"/>
  <c r="V360" i="13"/>
  <c r="N360" i="13"/>
  <c r="F360" i="13"/>
  <c r="AC360" i="13"/>
  <c r="U360" i="13"/>
  <c r="M360" i="13"/>
  <c r="E360" i="13"/>
  <c r="AB360" i="13"/>
  <c r="T360" i="13"/>
  <c r="L360" i="13"/>
  <c r="D360" i="13"/>
  <c r="AA360" i="13"/>
  <c r="S360" i="13"/>
  <c r="K360" i="13"/>
  <c r="C360" i="13"/>
  <c r="J360" i="13"/>
  <c r="B360" i="13"/>
  <c r="X365" i="13"/>
  <c r="W359" i="13"/>
  <c r="W354" i="13"/>
  <c r="AA358" i="13"/>
  <c r="D358" i="13"/>
  <c r="V359" i="13"/>
  <c r="Z363" i="13"/>
  <c r="R363" i="13"/>
  <c r="J363" i="13"/>
  <c r="B363" i="13"/>
  <c r="I354" i="13"/>
  <c r="Q354" i="13"/>
  <c r="Y354" i="13"/>
  <c r="E358" i="13"/>
  <c r="M358" i="13"/>
  <c r="U358" i="13"/>
  <c r="AC358" i="13"/>
  <c r="H359" i="13"/>
  <c r="P359" i="13"/>
  <c r="X359" i="13"/>
  <c r="F361" i="13"/>
  <c r="N361" i="13"/>
  <c r="W361" i="13"/>
  <c r="C362" i="13"/>
  <c r="L362" i="13"/>
  <c r="U362" i="13"/>
  <c r="K363" i="13"/>
  <c r="T363" i="13"/>
  <c r="AC363" i="13"/>
  <c r="I365" i="13"/>
  <c r="R365" i="13"/>
  <c r="AA365" i="13"/>
  <c r="G366" i="13"/>
  <c r="S366" i="13"/>
  <c r="AC366" i="13"/>
  <c r="Q370" i="13"/>
  <c r="U369" i="13"/>
  <c r="B354" i="13"/>
  <c r="J354" i="13"/>
  <c r="R354" i="13"/>
  <c r="Z354" i="13"/>
  <c r="F358" i="13"/>
  <c r="N358" i="13"/>
  <c r="V358" i="13"/>
  <c r="I359" i="13"/>
  <c r="Q359" i="13"/>
  <c r="Y359" i="13"/>
  <c r="G361" i="13"/>
  <c r="O361" i="13"/>
  <c r="X361" i="13"/>
  <c r="D362" i="13"/>
  <c r="M362" i="13"/>
  <c r="C363" i="13"/>
  <c r="L363" i="13"/>
  <c r="U363" i="13"/>
  <c r="J365" i="13"/>
  <c r="S365" i="13"/>
  <c r="AB365" i="13"/>
  <c r="J366" i="13"/>
  <c r="T366" i="13"/>
  <c r="B370" i="13"/>
  <c r="R370" i="13"/>
  <c r="W362" i="13"/>
  <c r="O362" i="13"/>
  <c r="G362" i="13"/>
  <c r="X370" i="13"/>
  <c r="P370" i="13"/>
  <c r="H370" i="13"/>
  <c r="V370" i="13"/>
  <c r="N370" i="13"/>
  <c r="F370" i="13"/>
  <c r="AC370" i="13"/>
  <c r="U370" i="13"/>
  <c r="M370" i="13"/>
  <c r="E370" i="13"/>
  <c r="AA370" i="13"/>
  <c r="S370" i="13"/>
  <c r="K370" i="13"/>
  <c r="C370" i="13"/>
  <c r="C354" i="13"/>
  <c r="K354" i="13"/>
  <c r="S354" i="13"/>
  <c r="AA354" i="13"/>
  <c r="G358" i="13"/>
  <c r="O358" i="13"/>
  <c r="W358" i="13"/>
  <c r="B359" i="13"/>
  <c r="J359" i="13"/>
  <c r="R359" i="13"/>
  <c r="Z359" i="13"/>
  <c r="H361" i="13"/>
  <c r="P361" i="13"/>
  <c r="Y361" i="13"/>
  <c r="E362" i="13"/>
  <c r="N362" i="13"/>
  <c r="X362" i="13"/>
  <c r="D363" i="13"/>
  <c r="M363" i="13"/>
  <c r="V363" i="13"/>
  <c r="B365" i="13"/>
  <c r="K365" i="13"/>
  <c r="T365" i="13"/>
  <c r="K366" i="13"/>
  <c r="U366" i="13"/>
  <c r="D370" i="13"/>
  <c r="T370" i="13"/>
  <c r="D354" i="13"/>
  <c r="L354" i="13"/>
  <c r="T354" i="13"/>
  <c r="AB354" i="13"/>
  <c r="H358" i="13"/>
  <c r="P358" i="13"/>
  <c r="X358" i="13"/>
  <c r="C359" i="13"/>
  <c r="K359" i="13"/>
  <c r="S359" i="13"/>
  <c r="AA359" i="13"/>
  <c r="I361" i="13"/>
  <c r="Q361" i="13"/>
  <c r="F362" i="13"/>
  <c r="P362" i="13"/>
  <c r="Y362" i="13"/>
  <c r="E363" i="13"/>
  <c r="N363" i="13"/>
  <c r="W363" i="13"/>
  <c r="C365" i="13"/>
  <c r="L365" i="13"/>
  <c r="V365" i="13"/>
  <c r="B366" i="13"/>
  <c r="L366" i="13"/>
  <c r="G370" i="13"/>
  <c r="W370" i="13"/>
  <c r="AB361" i="13"/>
  <c r="T361" i="13"/>
  <c r="Y366" i="13"/>
  <c r="Q366" i="13"/>
  <c r="I366" i="13"/>
  <c r="X366" i="13"/>
  <c r="P366" i="13"/>
  <c r="H366" i="13"/>
  <c r="E354" i="13"/>
  <c r="M354" i="13"/>
  <c r="U354" i="13"/>
  <c r="AC354" i="13"/>
  <c r="I358" i="13"/>
  <c r="Q358" i="13"/>
  <c r="Y358" i="13"/>
  <c r="D359" i="13"/>
  <c r="L359" i="13"/>
  <c r="T359" i="13"/>
  <c r="AB359" i="13"/>
  <c r="B361" i="13"/>
  <c r="J361" i="13"/>
  <c r="R361" i="13"/>
  <c r="AA361" i="13"/>
  <c r="H362" i="13"/>
  <c r="Q362" i="13"/>
  <c r="Z362" i="13"/>
  <c r="F363" i="13"/>
  <c r="O363" i="13"/>
  <c r="X363" i="13"/>
  <c r="D365" i="13"/>
  <c r="N365" i="13"/>
  <c r="W365" i="13"/>
  <c r="C366" i="13"/>
  <c r="M366" i="13"/>
  <c r="W366" i="13"/>
  <c r="I370" i="13"/>
  <c r="Y370" i="13"/>
  <c r="F354" i="13"/>
  <c r="N354" i="13"/>
  <c r="V354" i="13"/>
  <c r="B358" i="13"/>
  <c r="J358" i="13"/>
  <c r="R358" i="13"/>
  <c r="Z358" i="13"/>
  <c r="E359" i="13"/>
  <c r="M359" i="13"/>
  <c r="U359" i="13"/>
  <c r="AC359" i="13"/>
  <c r="C361" i="13"/>
  <c r="K361" i="13"/>
  <c r="S361" i="13"/>
  <c r="AC361" i="13"/>
  <c r="I362" i="13"/>
  <c r="R362" i="13"/>
  <c r="AA362" i="13"/>
  <c r="G363" i="13"/>
  <c r="P363" i="13"/>
  <c r="Y363" i="13"/>
  <c r="F365" i="13"/>
  <c r="O365" i="13"/>
  <c r="D366" i="13"/>
  <c r="N366" i="13"/>
  <c r="Z366" i="13"/>
  <c r="J370" i="13"/>
  <c r="Z370" i="13"/>
  <c r="AC365" i="13"/>
  <c r="U365" i="13"/>
  <c r="M365" i="13"/>
  <c r="E365" i="13"/>
  <c r="G354" i="13"/>
  <c r="O354" i="13"/>
  <c r="C358" i="13"/>
  <c r="K358" i="13"/>
  <c r="S358" i="13"/>
  <c r="F359" i="13"/>
  <c r="N359" i="13"/>
  <c r="D361" i="13"/>
  <c r="L361" i="13"/>
  <c r="U361" i="13"/>
  <c r="J362" i="13"/>
  <c r="S362" i="13"/>
  <c r="AB362" i="13"/>
  <c r="H363" i="13"/>
  <c r="Q363" i="13"/>
  <c r="AA363" i="13"/>
  <c r="G365" i="13"/>
  <c r="P365" i="13"/>
  <c r="Y365" i="13"/>
  <c r="E366" i="13"/>
  <c r="O366" i="13"/>
  <c r="AA366" i="13"/>
  <c r="U368" i="13"/>
  <c r="L370" i="13"/>
  <c r="T139" i="9"/>
  <c r="V44" i="9"/>
  <c r="Y138" i="9"/>
  <c r="X142" i="9"/>
  <c r="W137" i="9"/>
  <c r="O137" i="9"/>
  <c r="G137" i="9"/>
  <c r="AB137" i="9"/>
  <c r="T137" i="9"/>
  <c r="L137" i="9"/>
  <c r="D137" i="9"/>
  <c r="AA137" i="9"/>
  <c r="S137" i="9"/>
  <c r="K137" i="9"/>
  <c r="C137" i="9"/>
  <c r="Z137" i="9"/>
  <c r="R137" i="9"/>
  <c r="J137" i="9"/>
  <c r="B137" i="9"/>
  <c r="Y137" i="9"/>
  <c r="Q137" i="9"/>
  <c r="I137" i="9"/>
  <c r="X137" i="9"/>
  <c r="P137" i="9"/>
  <c r="H137" i="9"/>
  <c r="AC137" i="9"/>
  <c r="V137" i="9"/>
  <c r="U137" i="9"/>
  <c r="N137" i="9"/>
  <c r="M137" i="9"/>
  <c r="F137" i="9"/>
  <c r="AA141" i="9"/>
  <c r="S141" i="9"/>
  <c r="K141" i="9"/>
  <c r="C141" i="9"/>
  <c r="X141" i="9"/>
  <c r="P141" i="9"/>
  <c r="H141" i="9"/>
  <c r="W141" i="9"/>
  <c r="O141" i="9"/>
  <c r="G141" i="9"/>
  <c r="V141" i="9"/>
  <c r="N141" i="9"/>
  <c r="F141" i="9"/>
  <c r="AC141" i="9"/>
  <c r="U141" i="9"/>
  <c r="M141" i="9"/>
  <c r="E141" i="9"/>
  <c r="AB141" i="9"/>
  <c r="T141" i="9"/>
  <c r="L141" i="9"/>
  <c r="D141" i="9"/>
  <c r="B141" i="9"/>
  <c r="Z141" i="9"/>
  <c r="Y141" i="9"/>
  <c r="R141" i="9"/>
  <c r="Q141" i="9"/>
  <c r="J141" i="9"/>
  <c r="AA145" i="9"/>
  <c r="S145" i="9"/>
  <c r="K145" i="9"/>
  <c r="C145" i="9"/>
  <c r="U145" i="9"/>
  <c r="L145" i="9"/>
  <c r="B145" i="9"/>
  <c r="AC145" i="9"/>
  <c r="T145" i="9"/>
  <c r="J145" i="9"/>
  <c r="Z145" i="9"/>
  <c r="Q145" i="9"/>
  <c r="H145" i="9"/>
  <c r="Y145" i="9"/>
  <c r="P145" i="9"/>
  <c r="G145" i="9"/>
  <c r="X145" i="9"/>
  <c r="O145" i="9"/>
  <c r="F145" i="9"/>
  <c r="W145" i="9"/>
  <c r="N145" i="9"/>
  <c r="E145" i="9"/>
  <c r="V145" i="9"/>
  <c r="M145" i="9"/>
  <c r="D145" i="9"/>
  <c r="AB145" i="9"/>
  <c r="R145" i="9"/>
  <c r="I145" i="9"/>
  <c r="I141" i="9"/>
  <c r="H138" i="9"/>
  <c r="N140" i="9"/>
  <c r="F142" i="9"/>
  <c r="P138" i="9"/>
  <c r="L139" i="9"/>
  <c r="O142" i="9"/>
  <c r="Q146" i="9"/>
  <c r="X140" i="9"/>
  <c r="P140" i="9"/>
  <c r="H140" i="9"/>
  <c r="AC140" i="9"/>
  <c r="U140" i="9"/>
  <c r="M140" i="9"/>
  <c r="E140" i="9"/>
  <c r="AB140" i="9"/>
  <c r="T140" i="9"/>
  <c r="L140" i="9"/>
  <c r="D140" i="9"/>
  <c r="AA140" i="9"/>
  <c r="S140" i="9"/>
  <c r="K140" i="9"/>
  <c r="C140" i="9"/>
  <c r="Z140" i="9"/>
  <c r="R140" i="9"/>
  <c r="J140" i="9"/>
  <c r="B140" i="9"/>
  <c r="Y140" i="9"/>
  <c r="Q140" i="9"/>
  <c r="I140" i="9"/>
  <c r="X144" i="9"/>
  <c r="P144" i="9"/>
  <c r="H144" i="9"/>
  <c r="V144" i="9"/>
  <c r="M144" i="9"/>
  <c r="D144" i="9"/>
  <c r="AB144" i="9"/>
  <c r="S144" i="9"/>
  <c r="J144" i="9"/>
  <c r="AA144" i="9"/>
  <c r="R144" i="9"/>
  <c r="I144" i="9"/>
  <c r="Z144" i="9"/>
  <c r="Q144" i="9"/>
  <c r="G144" i="9"/>
  <c r="Y144" i="9"/>
  <c r="O144" i="9"/>
  <c r="F144" i="9"/>
  <c r="W144" i="9"/>
  <c r="N144" i="9"/>
  <c r="E144" i="9"/>
  <c r="AB149" i="9"/>
  <c r="T149" i="9"/>
  <c r="L149" i="9"/>
  <c r="D149" i="9"/>
  <c r="X149" i="9"/>
  <c r="O149" i="9"/>
  <c r="F149" i="9"/>
  <c r="W149" i="9"/>
  <c r="N149" i="9"/>
  <c r="E149" i="9"/>
  <c r="U149" i="9"/>
  <c r="K149" i="9"/>
  <c r="B149" i="9"/>
  <c r="AC149" i="9"/>
  <c r="S149" i="9"/>
  <c r="J149" i="9"/>
  <c r="AA149" i="9"/>
  <c r="R149" i="9"/>
  <c r="I149" i="9"/>
  <c r="Z149" i="9"/>
  <c r="Q149" i="9"/>
  <c r="H149" i="9"/>
  <c r="Y149" i="9"/>
  <c r="P149" i="9"/>
  <c r="G149" i="9"/>
  <c r="Q138" i="9"/>
  <c r="S139" i="9"/>
  <c r="O140" i="9"/>
  <c r="W142" i="9"/>
  <c r="AC144" i="9"/>
  <c r="V149" i="9"/>
  <c r="X138" i="9"/>
  <c r="V140" i="9"/>
  <c r="AC139" i="9"/>
  <c r="U139" i="9"/>
  <c r="M139" i="9"/>
  <c r="E139" i="9"/>
  <c r="Z139" i="9"/>
  <c r="R139" i="9"/>
  <c r="J139" i="9"/>
  <c r="B139" i="9"/>
  <c r="Y139" i="9"/>
  <c r="Q139" i="9"/>
  <c r="I139" i="9"/>
  <c r="X139" i="9"/>
  <c r="P139" i="9"/>
  <c r="H139" i="9"/>
  <c r="W139" i="9"/>
  <c r="O139" i="9"/>
  <c r="G139" i="9"/>
  <c r="V139" i="9"/>
  <c r="N139" i="9"/>
  <c r="F139" i="9"/>
  <c r="Y148" i="9"/>
  <c r="Q148" i="9"/>
  <c r="I148" i="9"/>
  <c r="Z148" i="9"/>
  <c r="P148" i="9"/>
  <c r="G148" i="9"/>
  <c r="X148" i="9"/>
  <c r="O148" i="9"/>
  <c r="F148" i="9"/>
  <c r="V148" i="9"/>
  <c r="M148" i="9"/>
  <c r="D148" i="9"/>
  <c r="U148" i="9"/>
  <c r="L148" i="9"/>
  <c r="C148" i="9"/>
  <c r="AC148" i="9"/>
  <c r="T148" i="9"/>
  <c r="K148" i="9"/>
  <c r="B148" i="9"/>
  <c r="AB148" i="9"/>
  <c r="S148" i="9"/>
  <c r="J148" i="9"/>
  <c r="AA148" i="9"/>
  <c r="R148" i="9"/>
  <c r="H148" i="9"/>
  <c r="AA139" i="9"/>
  <c r="W140" i="9"/>
  <c r="B144" i="9"/>
  <c r="E148" i="9"/>
  <c r="AB139" i="9"/>
  <c r="C144" i="9"/>
  <c r="N148" i="9"/>
  <c r="Z138" i="9"/>
  <c r="R138" i="9"/>
  <c r="J138" i="9"/>
  <c r="B138" i="9"/>
  <c r="W138" i="9"/>
  <c r="O138" i="9"/>
  <c r="G138" i="9"/>
  <c r="V138" i="9"/>
  <c r="N138" i="9"/>
  <c r="F138" i="9"/>
  <c r="AC138" i="9"/>
  <c r="U138" i="9"/>
  <c r="M138" i="9"/>
  <c r="E138" i="9"/>
  <c r="AB138" i="9"/>
  <c r="T138" i="9"/>
  <c r="L138" i="9"/>
  <c r="D138" i="9"/>
  <c r="AA138" i="9"/>
  <c r="S138" i="9"/>
  <c r="K138" i="9"/>
  <c r="C138" i="9"/>
  <c r="Z142" i="9"/>
  <c r="R142" i="9"/>
  <c r="J142" i="9"/>
  <c r="B142" i="9"/>
  <c r="Y142" i="9"/>
  <c r="P142" i="9"/>
  <c r="G142" i="9"/>
  <c r="V142" i="9"/>
  <c r="M142" i="9"/>
  <c r="D142" i="9"/>
  <c r="U142" i="9"/>
  <c r="L142" i="9"/>
  <c r="C142" i="9"/>
  <c r="AC142" i="9"/>
  <c r="T142" i="9"/>
  <c r="K142" i="9"/>
  <c r="AB142" i="9"/>
  <c r="S142" i="9"/>
  <c r="I142" i="9"/>
  <c r="AA142" i="9"/>
  <c r="Q142" i="9"/>
  <c r="H142" i="9"/>
  <c r="V146" i="9"/>
  <c r="N146" i="9"/>
  <c r="F146" i="9"/>
  <c r="AB146" i="9"/>
  <c r="S146" i="9"/>
  <c r="J146" i="9"/>
  <c r="AA146" i="9"/>
  <c r="R146" i="9"/>
  <c r="I146" i="9"/>
  <c r="Y146" i="9"/>
  <c r="P146" i="9"/>
  <c r="G146" i="9"/>
  <c r="X146" i="9"/>
  <c r="O146" i="9"/>
  <c r="E146" i="9"/>
  <c r="W146" i="9"/>
  <c r="M146" i="9"/>
  <c r="D146" i="9"/>
  <c r="U146" i="9"/>
  <c r="L146" i="9"/>
  <c r="C146" i="9"/>
  <c r="AC146" i="9"/>
  <c r="T146" i="9"/>
  <c r="K146" i="9"/>
  <c r="B146" i="9"/>
  <c r="C139" i="9"/>
  <c r="E142" i="9"/>
  <c r="K144" i="9"/>
  <c r="W148" i="9"/>
  <c r="E150" i="9"/>
  <c r="N150" i="9"/>
  <c r="X150" i="9"/>
  <c r="X190" i="9" s="1"/>
  <c r="J153" i="9"/>
  <c r="S153" i="9"/>
  <c r="AB153" i="9"/>
  <c r="F150" i="9"/>
  <c r="P150" i="9"/>
  <c r="Y150" i="9"/>
  <c r="B153" i="9"/>
  <c r="K153" i="9"/>
  <c r="T153" i="9"/>
  <c r="AC153" i="9"/>
  <c r="V247" i="9"/>
  <c r="H150" i="9"/>
  <c r="Q150" i="9"/>
  <c r="C153" i="9"/>
  <c r="L153" i="9"/>
  <c r="W150" i="9"/>
  <c r="O150" i="9"/>
  <c r="G150" i="9"/>
  <c r="Y153" i="9"/>
  <c r="Q153" i="9"/>
  <c r="I153" i="9"/>
  <c r="I150" i="9"/>
  <c r="R150" i="9"/>
  <c r="AA150" i="9"/>
  <c r="D153" i="9"/>
  <c r="M153" i="9"/>
  <c r="V153" i="9"/>
  <c r="AA246" i="9"/>
  <c r="J150" i="9"/>
  <c r="S150" i="9"/>
  <c r="AB150" i="9"/>
  <c r="E153" i="9"/>
  <c r="N153" i="9"/>
  <c r="W153" i="9"/>
  <c r="Z245" i="9"/>
  <c r="R245" i="9"/>
  <c r="J245" i="9"/>
  <c r="B245" i="9"/>
  <c r="Y245" i="9"/>
  <c r="Q245" i="9"/>
  <c r="I245" i="9"/>
  <c r="W245" i="9"/>
  <c r="O245" i="9"/>
  <c r="G245" i="9"/>
  <c r="V245" i="9"/>
  <c r="N245" i="9"/>
  <c r="F245" i="9"/>
  <c r="AC245" i="9"/>
  <c r="U245" i="9"/>
  <c r="M245" i="9"/>
  <c r="E245" i="9"/>
  <c r="AB245" i="9"/>
  <c r="T245" i="9"/>
  <c r="L245" i="9"/>
  <c r="D245" i="9"/>
  <c r="X245" i="9"/>
  <c r="S245" i="9"/>
  <c r="P245" i="9"/>
  <c r="K245" i="9"/>
  <c r="H245" i="9"/>
  <c r="C245" i="9"/>
  <c r="AA245" i="9"/>
  <c r="V249" i="9"/>
  <c r="N249" i="9"/>
  <c r="F249" i="9"/>
  <c r="AC249" i="9"/>
  <c r="U249" i="9"/>
  <c r="M249" i="9"/>
  <c r="E249" i="9"/>
  <c r="AA249" i="9"/>
  <c r="S249" i="9"/>
  <c r="K249" i="9"/>
  <c r="C249" i="9"/>
  <c r="Z249" i="9"/>
  <c r="R249" i="9"/>
  <c r="J249" i="9"/>
  <c r="B249" i="9"/>
  <c r="Y249" i="9"/>
  <c r="Q249" i="9"/>
  <c r="I249" i="9"/>
  <c r="X249" i="9"/>
  <c r="P249" i="9"/>
  <c r="H249" i="9"/>
  <c r="AB249" i="9"/>
  <c r="W249" i="9"/>
  <c r="T249" i="9"/>
  <c r="O249" i="9"/>
  <c r="L249" i="9"/>
  <c r="G249" i="9"/>
  <c r="D249" i="9"/>
  <c r="Z253" i="9"/>
  <c r="R253" i="9"/>
  <c r="J253" i="9"/>
  <c r="B253" i="9"/>
  <c r="Y253" i="9"/>
  <c r="Q253" i="9"/>
  <c r="I253" i="9"/>
  <c r="W253" i="9"/>
  <c r="O253" i="9"/>
  <c r="G253" i="9"/>
  <c r="V253" i="9"/>
  <c r="N253" i="9"/>
  <c r="F253" i="9"/>
  <c r="AC253" i="9"/>
  <c r="U253" i="9"/>
  <c r="M253" i="9"/>
  <c r="E253" i="9"/>
  <c r="AB253" i="9"/>
  <c r="T253" i="9"/>
  <c r="L253" i="9"/>
  <c r="D253" i="9"/>
  <c r="X253" i="9"/>
  <c r="S253" i="9"/>
  <c r="P253" i="9"/>
  <c r="K253" i="9"/>
  <c r="H253" i="9"/>
  <c r="C253" i="9"/>
  <c r="AA253" i="9"/>
  <c r="D150" i="9"/>
  <c r="M150" i="9"/>
  <c r="V150" i="9"/>
  <c r="H153" i="9"/>
  <c r="R153" i="9"/>
  <c r="AA153" i="9"/>
  <c r="AA248" i="9"/>
  <c r="S248" i="9"/>
  <c r="K248" i="9"/>
  <c r="C248" i="9"/>
  <c r="Z248" i="9"/>
  <c r="R248" i="9"/>
  <c r="J248" i="9"/>
  <c r="B248" i="9"/>
  <c r="X248" i="9"/>
  <c r="P248" i="9"/>
  <c r="H248" i="9"/>
  <c r="W248" i="9"/>
  <c r="O248" i="9"/>
  <c r="G248" i="9"/>
  <c r="V248" i="9"/>
  <c r="N248" i="9"/>
  <c r="F248" i="9"/>
  <c r="AC248" i="9"/>
  <c r="U248" i="9"/>
  <c r="M248" i="9"/>
  <c r="E248" i="9"/>
  <c r="AB248" i="9"/>
  <c r="Y248" i="9"/>
  <c r="T248" i="9"/>
  <c r="Q248" i="9"/>
  <c r="L248" i="9"/>
  <c r="I248" i="9"/>
  <c r="D248" i="9"/>
  <c r="AC252" i="9"/>
  <c r="F261" i="9"/>
  <c r="AC246" i="9"/>
  <c r="U246" i="9"/>
  <c r="M246" i="9"/>
  <c r="E246" i="9"/>
  <c r="AB246" i="9"/>
  <c r="T246" i="9"/>
  <c r="L246" i="9"/>
  <c r="D246" i="9"/>
  <c r="Z246" i="9"/>
  <c r="R246" i="9"/>
  <c r="J246" i="9"/>
  <c r="B246" i="9"/>
  <c r="Y246" i="9"/>
  <c r="Q246" i="9"/>
  <c r="I246" i="9"/>
  <c r="X246" i="9"/>
  <c r="P246" i="9"/>
  <c r="H246" i="9"/>
  <c r="W246" i="9"/>
  <c r="O246" i="9"/>
  <c r="G246" i="9"/>
  <c r="Y250" i="9"/>
  <c r="Q250" i="9"/>
  <c r="I250" i="9"/>
  <c r="X250" i="9"/>
  <c r="P250" i="9"/>
  <c r="H250" i="9"/>
  <c r="V250" i="9"/>
  <c r="N250" i="9"/>
  <c r="F250" i="9"/>
  <c r="AC250" i="9"/>
  <c r="U250" i="9"/>
  <c r="M250" i="9"/>
  <c r="E250" i="9"/>
  <c r="AB250" i="9"/>
  <c r="T250" i="9"/>
  <c r="L250" i="9"/>
  <c r="D250" i="9"/>
  <c r="AA250" i="9"/>
  <c r="S250" i="9"/>
  <c r="K250" i="9"/>
  <c r="C250" i="9"/>
  <c r="B250" i="9"/>
  <c r="D258" i="9"/>
  <c r="I261" i="9"/>
  <c r="C246" i="9"/>
  <c r="F247" i="9"/>
  <c r="G250" i="9"/>
  <c r="E252" i="9"/>
  <c r="F256" i="9"/>
  <c r="AC354" i="9"/>
  <c r="U354" i="9"/>
  <c r="M354" i="9"/>
  <c r="E354" i="9"/>
  <c r="T354" i="9"/>
  <c r="K354" i="9"/>
  <c r="B354" i="9"/>
  <c r="AB354" i="9"/>
  <c r="S354" i="9"/>
  <c r="J354" i="9"/>
  <c r="AA354" i="9"/>
  <c r="R354" i="9"/>
  <c r="I354" i="9"/>
  <c r="Z354" i="9"/>
  <c r="Q354" i="9"/>
  <c r="H354" i="9"/>
  <c r="Y354" i="9"/>
  <c r="P354" i="9"/>
  <c r="G354" i="9"/>
  <c r="X354" i="9"/>
  <c r="O354" i="9"/>
  <c r="F354" i="9"/>
  <c r="W354" i="9"/>
  <c r="N354" i="9"/>
  <c r="D354" i="9"/>
  <c r="V354" i="9"/>
  <c r="L354" i="9"/>
  <c r="C354" i="9"/>
  <c r="Y358" i="9"/>
  <c r="Q358" i="9"/>
  <c r="I358" i="9"/>
  <c r="V358" i="9"/>
  <c r="M358" i="9"/>
  <c r="D358" i="9"/>
  <c r="U358" i="9"/>
  <c r="L358" i="9"/>
  <c r="C358" i="9"/>
  <c r="AC358" i="9"/>
  <c r="T358" i="9"/>
  <c r="K358" i="9"/>
  <c r="B358" i="9"/>
  <c r="AB358" i="9"/>
  <c r="S358" i="9"/>
  <c r="J358" i="9"/>
  <c r="AA358" i="9"/>
  <c r="R358" i="9"/>
  <c r="H358" i="9"/>
  <c r="Z358" i="9"/>
  <c r="P358" i="9"/>
  <c r="G358" i="9"/>
  <c r="X358" i="9"/>
  <c r="O358" i="9"/>
  <c r="F358" i="9"/>
  <c r="W358" i="9"/>
  <c r="N358" i="9"/>
  <c r="E358" i="9"/>
  <c r="V258" i="9"/>
  <c r="N258" i="9"/>
  <c r="N298" i="9" s="1"/>
  <c r="F258" i="9"/>
  <c r="AC258" i="9"/>
  <c r="U258" i="9"/>
  <c r="M258" i="9"/>
  <c r="E258" i="9"/>
  <c r="AA258" i="9"/>
  <c r="S258" i="9"/>
  <c r="K258" i="9"/>
  <c r="C258" i="9"/>
  <c r="Z258" i="9"/>
  <c r="R258" i="9"/>
  <c r="J258" i="9"/>
  <c r="B258" i="9"/>
  <c r="Y258" i="9"/>
  <c r="Q258" i="9"/>
  <c r="I258" i="9"/>
  <c r="X258" i="9"/>
  <c r="P258" i="9"/>
  <c r="H258" i="9"/>
  <c r="X261" i="9"/>
  <c r="P261" i="9"/>
  <c r="H261" i="9"/>
  <c r="W261" i="9"/>
  <c r="O261" i="9"/>
  <c r="G261" i="9"/>
  <c r="AC261" i="9"/>
  <c r="U261" i="9"/>
  <c r="M261" i="9"/>
  <c r="E261" i="9"/>
  <c r="AB261" i="9"/>
  <c r="T261" i="9"/>
  <c r="L261" i="9"/>
  <c r="D261" i="9"/>
  <c r="AA261" i="9"/>
  <c r="S261" i="9"/>
  <c r="K261" i="9"/>
  <c r="C261" i="9"/>
  <c r="Z261" i="9"/>
  <c r="R261" i="9"/>
  <c r="J261" i="9"/>
  <c r="B261" i="9"/>
  <c r="F246" i="9"/>
  <c r="I247" i="9"/>
  <c r="J250" i="9"/>
  <c r="H252" i="9"/>
  <c r="I256" i="9"/>
  <c r="L258" i="9"/>
  <c r="Q261" i="9"/>
  <c r="K246" i="9"/>
  <c r="N247" i="9"/>
  <c r="O250" i="9"/>
  <c r="N256" i="9"/>
  <c r="O258" i="9"/>
  <c r="V261" i="9"/>
  <c r="W252" i="9"/>
  <c r="O252" i="9"/>
  <c r="G252" i="9"/>
  <c r="V252" i="9"/>
  <c r="N252" i="9"/>
  <c r="F252" i="9"/>
  <c r="AB252" i="9"/>
  <c r="T252" i="9"/>
  <c r="L252" i="9"/>
  <c r="D252" i="9"/>
  <c r="AA252" i="9"/>
  <c r="S252" i="9"/>
  <c r="K252" i="9"/>
  <c r="C252" i="9"/>
  <c r="Z252" i="9"/>
  <c r="R252" i="9"/>
  <c r="J252" i="9"/>
  <c r="B252" i="9"/>
  <c r="Y252" i="9"/>
  <c r="Q252" i="9"/>
  <c r="I252" i="9"/>
  <c r="N246" i="9"/>
  <c r="Q247" i="9"/>
  <c r="R250" i="9"/>
  <c r="P252" i="9"/>
  <c r="Q256" i="9"/>
  <c r="T258" i="9"/>
  <c r="Y261" i="9"/>
  <c r="S246" i="9"/>
  <c r="W250" i="9"/>
  <c r="U252" i="9"/>
  <c r="V256" i="9"/>
  <c r="W258" i="9"/>
  <c r="X247" i="9"/>
  <c r="P247" i="9"/>
  <c r="H247" i="9"/>
  <c r="W247" i="9"/>
  <c r="O247" i="9"/>
  <c r="G247" i="9"/>
  <c r="AC247" i="9"/>
  <c r="U247" i="9"/>
  <c r="M247" i="9"/>
  <c r="E247" i="9"/>
  <c r="AB247" i="9"/>
  <c r="T247" i="9"/>
  <c r="L247" i="9"/>
  <c r="D247" i="9"/>
  <c r="AA247" i="9"/>
  <c r="S247" i="9"/>
  <c r="K247" i="9"/>
  <c r="C247" i="9"/>
  <c r="Z247" i="9"/>
  <c r="R247" i="9"/>
  <c r="J247" i="9"/>
  <c r="B247" i="9"/>
  <c r="X256" i="9"/>
  <c r="V246" i="9"/>
  <c r="Y247" i="9"/>
  <c r="Z250" i="9"/>
  <c r="X252" i="9"/>
  <c r="AB258" i="9"/>
  <c r="G254" i="9"/>
  <c r="O254" i="9"/>
  <c r="W254" i="9"/>
  <c r="B256" i="9"/>
  <c r="J256" i="9"/>
  <c r="R256" i="9"/>
  <c r="Z256" i="9"/>
  <c r="E257" i="9"/>
  <c r="M257" i="9"/>
  <c r="U257" i="9"/>
  <c r="AC257" i="9"/>
  <c r="V356" i="9"/>
  <c r="K355" i="9"/>
  <c r="H254" i="9"/>
  <c r="P254" i="9"/>
  <c r="X254" i="9"/>
  <c r="C256" i="9"/>
  <c r="K256" i="9"/>
  <c r="S256" i="9"/>
  <c r="AA256" i="9"/>
  <c r="F257" i="9"/>
  <c r="N257" i="9"/>
  <c r="V257" i="9"/>
  <c r="T355" i="9"/>
  <c r="I254" i="9"/>
  <c r="Q254" i="9"/>
  <c r="Y254" i="9"/>
  <c r="D256" i="9"/>
  <c r="L256" i="9"/>
  <c r="T256" i="9"/>
  <c r="AB256" i="9"/>
  <c r="G257" i="9"/>
  <c r="O257" i="9"/>
  <c r="W257" i="9"/>
  <c r="Z355" i="9"/>
  <c r="B254" i="9"/>
  <c r="J254" i="9"/>
  <c r="R254" i="9"/>
  <c r="Z254" i="9"/>
  <c r="E256" i="9"/>
  <c r="M256" i="9"/>
  <c r="U256" i="9"/>
  <c r="AC256" i="9"/>
  <c r="H257" i="9"/>
  <c r="P257" i="9"/>
  <c r="X257" i="9"/>
  <c r="AB362" i="9"/>
  <c r="T362" i="9"/>
  <c r="L362" i="9"/>
  <c r="D362" i="9"/>
  <c r="AC362" i="9"/>
  <c r="U362" i="9"/>
  <c r="M362" i="9"/>
  <c r="E362" i="9"/>
  <c r="W362" i="9"/>
  <c r="K362" i="9"/>
  <c r="V362" i="9"/>
  <c r="J362" i="9"/>
  <c r="S362" i="9"/>
  <c r="I362" i="9"/>
  <c r="R362" i="9"/>
  <c r="H362" i="9"/>
  <c r="AA362" i="9"/>
  <c r="Q362" i="9"/>
  <c r="G362" i="9"/>
  <c r="Z362" i="9"/>
  <c r="P362" i="9"/>
  <c r="F362" i="9"/>
  <c r="Y362" i="9"/>
  <c r="O362" i="9"/>
  <c r="C362" i="9"/>
  <c r="X367" i="9"/>
  <c r="P367" i="9"/>
  <c r="H367" i="9"/>
  <c r="Z367" i="9"/>
  <c r="R367" i="9"/>
  <c r="J367" i="9"/>
  <c r="B367" i="9"/>
  <c r="Y367" i="9"/>
  <c r="Q367" i="9"/>
  <c r="I367" i="9"/>
  <c r="V367" i="9"/>
  <c r="K367" i="9"/>
  <c r="U367" i="9"/>
  <c r="G367" i="9"/>
  <c r="T367" i="9"/>
  <c r="F367" i="9"/>
  <c r="S367" i="9"/>
  <c r="E367" i="9"/>
  <c r="AC367" i="9"/>
  <c r="O367" i="9"/>
  <c r="D367" i="9"/>
  <c r="AB367" i="9"/>
  <c r="N367" i="9"/>
  <c r="C367" i="9"/>
  <c r="AA367" i="9"/>
  <c r="M367" i="9"/>
  <c r="Z370" i="9"/>
  <c r="R370" i="9"/>
  <c r="J370" i="9"/>
  <c r="B370" i="9"/>
  <c r="X370" i="9"/>
  <c r="P370" i="9"/>
  <c r="H370" i="9"/>
  <c r="AB370" i="9"/>
  <c r="T370" i="9"/>
  <c r="L370" i="9"/>
  <c r="D370" i="9"/>
  <c r="AA370" i="9"/>
  <c r="S370" i="9"/>
  <c r="K370" i="9"/>
  <c r="C370" i="9"/>
  <c r="AC370" i="9"/>
  <c r="M370" i="9"/>
  <c r="Y370" i="9"/>
  <c r="I370" i="9"/>
  <c r="W370" i="9"/>
  <c r="G370" i="9"/>
  <c r="V370" i="9"/>
  <c r="F370" i="9"/>
  <c r="U370" i="9"/>
  <c r="E370" i="9"/>
  <c r="Q370" i="9"/>
  <c r="O370" i="9"/>
  <c r="I356" i="9"/>
  <c r="B362" i="9"/>
  <c r="W367" i="9"/>
  <c r="D254" i="9"/>
  <c r="L254" i="9"/>
  <c r="T254" i="9"/>
  <c r="AB254" i="9"/>
  <c r="G256" i="9"/>
  <c r="O256" i="9"/>
  <c r="W256" i="9"/>
  <c r="B257" i="9"/>
  <c r="J257" i="9"/>
  <c r="R257" i="9"/>
  <c r="Z257" i="9"/>
  <c r="R356" i="9"/>
  <c r="N362" i="9"/>
  <c r="E254" i="9"/>
  <c r="M254" i="9"/>
  <c r="U254" i="9"/>
  <c r="H256" i="9"/>
  <c r="P256" i="9"/>
  <c r="C257" i="9"/>
  <c r="K257" i="9"/>
  <c r="S257" i="9"/>
  <c r="AA357" i="9"/>
  <c r="V361" i="9"/>
  <c r="X362" i="9"/>
  <c r="C355" i="9"/>
  <c r="L355" i="9"/>
  <c r="U355" i="9"/>
  <c r="J356" i="9"/>
  <c r="T356" i="9"/>
  <c r="AC356" i="9"/>
  <c r="I357" i="9"/>
  <c r="R357" i="9"/>
  <c r="E359" i="9"/>
  <c r="N359" i="9"/>
  <c r="W359" i="9"/>
  <c r="L361" i="9"/>
  <c r="F363" i="9"/>
  <c r="R363" i="9"/>
  <c r="AB363" i="9"/>
  <c r="I365" i="9"/>
  <c r="V365" i="9"/>
  <c r="D366" i="9"/>
  <c r="V357" i="9"/>
  <c r="N357" i="9"/>
  <c r="F357" i="9"/>
  <c r="Y361" i="9"/>
  <c r="Q361" i="9"/>
  <c r="I361" i="9"/>
  <c r="Z361" i="9"/>
  <c r="R361" i="9"/>
  <c r="J361" i="9"/>
  <c r="B361" i="9"/>
  <c r="AC366" i="9"/>
  <c r="U366" i="9"/>
  <c r="M366" i="9"/>
  <c r="E366" i="9"/>
  <c r="W366" i="9"/>
  <c r="O366" i="9"/>
  <c r="G366" i="9"/>
  <c r="V366" i="9"/>
  <c r="N366" i="9"/>
  <c r="F366" i="9"/>
  <c r="D355" i="9"/>
  <c r="M355" i="9"/>
  <c r="V355" i="9"/>
  <c r="B356" i="9"/>
  <c r="L356" i="9"/>
  <c r="U356" i="9"/>
  <c r="J357" i="9"/>
  <c r="S357" i="9"/>
  <c r="AB357" i="9"/>
  <c r="F359" i="9"/>
  <c r="O359" i="9"/>
  <c r="X359" i="9"/>
  <c r="C361" i="9"/>
  <c r="M361" i="9"/>
  <c r="W361" i="9"/>
  <c r="I363" i="9"/>
  <c r="S363" i="9"/>
  <c r="AC363" i="9"/>
  <c r="L365" i="9"/>
  <c r="W365" i="9"/>
  <c r="H366" i="9"/>
  <c r="S366" i="9"/>
  <c r="E355" i="9"/>
  <c r="N355" i="9"/>
  <c r="W355" i="9"/>
  <c r="D356" i="9"/>
  <c r="M356" i="9"/>
  <c r="B357" i="9"/>
  <c r="K357" i="9"/>
  <c r="T357" i="9"/>
  <c r="AC357" i="9"/>
  <c r="G359" i="9"/>
  <c r="P359" i="9"/>
  <c r="Y359" i="9"/>
  <c r="D361" i="9"/>
  <c r="N361" i="9"/>
  <c r="X361" i="9"/>
  <c r="J363" i="9"/>
  <c r="T363" i="9"/>
  <c r="M365" i="9"/>
  <c r="I366" i="9"/>
  <c r="T366" i="9"/>
  <c r="AA356" i="9"/>
  <c r="S356" i="9"/>
  <c r="K356" i="9"/>
  <c r="C356" i="9"/>
  <c r="Z365" i="9"/>
  <c r="R365" i="9"/>
  <c r="J365" i="9"/>
  <c r="B365" i="9"/>
  <c r="AB365" i="9"/>
  <c r="T365" i="9"/>
  <c r="AA365" i="9"/>
  <c r="S365" i="9"/>
  <c r="K365" i="9"/>
  <c r="C365" i="9"/>
  <c r="F355" i="9"/>
  <c r="O355" i="9"/>
  <c r="Y355" i="9"/>
  <c r="E356" i="9"/>
  <c r="N356" i="9"/>
  <c r="W356" i="9"/>
  <c r="C357" i="9"/>
  <c r="L357" i="9"/>
  <c r="U357" i="9"/>
  <c r="H359" i="9"/>
  <c r="Q359" i="9"/>
  <c r="Z359" i="9"/>
  <c r="E361" i="9"/>
  <c r="O361" i="9"/>
  <c r="AA361" i="9"/>
  <c r="K363" i="9"/>
  <c r="U363" i="9"/>
  <c r="D365" i="9"/>
  <c r="N365" i="9"/>
  <c r="Y365" i="9"/>
  <c r="J366" i="9"/>
  <c r="X366" i="9"/>
  <c r="G355" i="9"/>
  <c r="Q355" i="9"/>
  <c r="F356" i="9"/>
  <c r="O356" i="9"/>
  <c r="X356" i="9"/>
  <c r="D357" i="9"/>
  <c r="M357" i="9"/>
  <c r="W357" i="9"/>
  <c r="I359" i="9"/>
  <c r="R359" i="9"/>
  <c r="F361" i="9"/>
  <c r="P361" i="9"/>
  <c r="AB361" i="9"/>
  <c r="B363" i="9"/>
  <c r="L363" i="9"/>
  <c r="E365" i="9"/>
  <c r="O365" i="9"/>
  <c r="AC365" i="9"/>
  <c r="K366" i="9"/>
  <c r="AC460" i="9"/>
  <c r="U460" i="9"/>
  <c r="E460" i="9"/>
  <c r="M460" i="9"/>
  <c r="X355" i="9"/>
  <c r="P355" i="9"/>
  <c r="H355" i="9"/>
  <c r="AB359" i="9"/>
  <c r="T359" i="9"/>
  <c r="L359" i="9"/>
  <c r="D359" i="9"/>
  <c r="W363" i="9"/>
  <c r="O363" i="9"/>
  <c r="G363" i="9"/>
  <c r="X363" i="9"/>
  <c r="P363" i="9"/>
  <c r="H363" i="9"/>
  <c r="I355" i="9"/>
  <c r="R355" i="9"/>
  <c r="AA355" i="9"/>
  <c r="G356" i="9"/>
  <c r="P356" i="9"/>
  <c r="Y356" i="9"/>
  <c r="E357" i="9"/>
  <c r="O357" i="9"/>
  <c r="X357" i="9"/>
  <c r="J359" i="9"/>
  <c r="S359" i="9"/>
  <c r="AC359" i="9"/>
  <c r="G361" i="9"/>
  <c r="S361" i="9"/>
  <c r="AC361" i="9"/>
  <c r="C363" i="9"/>
  <c r="M363" i="9"/>
  <c r="Y363" i="9"/>
  <c r="F365" i="9"/>
  <c r="P365" i="9"/>
  <c r="L366" i="9"/>
  <c r="Z366" i="9"/>
  <c r="J355" i="9"/>
  <c r="S355" i="9"/>
  <c r="AB355" i="9"/>
  <c r="H356" i="9"/>
  <c r="Q356" i="9"/>
  <c r="Z356" i="9"/>
  <c r="G357" i="9"/>
  <c r="P357" i="9"/>
  <c r="Y357" i="9"/>
  <c r="B359" i="9"/>
  <c r="K359" i="9"/>
  <c r="U359" i="9"/>
  <c r="H361" i="9"/>
  <c r="T361" i="9"/>
  <c r="D363" i="9"/>
  <c r="N363" i="9"/>
  <c r="Z363" i="9"/>
  <c r="G365" i="9"/>
  <c r="Q365" i="9"/>
  <c r="B366" i="9"/>
  <c r="P366" i="9"/>
  <c r="AA366" i="9"/>
  <c r="Q464" i="9"/>
  <c r="I464" i="9"/>
  <c r="Y464" i="9"/>
  <c r="AC468" i="9"/>
  <c r="E468" i="9"/>
  <c r="B459" i="9"/>
  <c r="R459" i="9"/>
  <c r="Y459" i="9"/>
  <c r="AB460" i="9"/>
  <c r="X464" i="9"/>
  <c r="AB468" i="9"/>
  <c r="AA475" i="9"/>
  <c r="S475" i="9"/>
  <c r="K475" i="9"/>
  <c r="C475" i="9"/>
  <c r="Z475" i="9"/>
  <c r="R475" i="9"/>
  <c r="J475" i="9"/>
  <c r="B475" i="9"/>
  <c r="X475" i="9"/>
  <c r="P475" i="9"/>
  <c r="H475" i="9"/>
  <c r="C459" i="9"/>
  <c r="K459" i="9"/>
  <c r="S459" i="9"/>
  <c r="AA459" i="9"/>
  <c r="F460" i="9"/>
  <c r="N460" i="9"/>
  <c r="V460" i="9"/>
  <c r="I461" i="9"/>
  <c r="Q461" i="9"/>
  <c r="Y461" i="9"/>
  <c r="D462" i="9"/>
  <c r="L462" i="9"/>
  <c r="T462" i="9"/>
  <c r="AB462" i="9"/>
  <c r="G463" i="9"/>
  <c r="O463" i="9"/>
  <c r="W463" i="9"/>
  <c r="B464" i="9"/>
  <c r="J464" i="9"/>
  <c r="R464" i="9"/>
  <c r="Z464" i="9"/>
  <c r="H466" i="9"/>
  <c r="P466" i="9"/>
  <c r="X466" i="9"/>
  <c r="C467" i="9"/>
  <c r="K467" i="9"/>
  <c r="S467" i="9"/>
  <c r="AA467" i="9"/>
  <c r="F468" i="9"/>
  <c r="N468" i="9"/>
  <c r="V468" i="9"/>
  <c r="I470" i="9"/>
  <c r="Q470" i="9"/>
  <c r="Y470" i="9"/>
  <c r="D471" i="9"/>
  <c r="L471" i="9"/>
  <c r="T471" i="9"/>
  <c r="AB471" i="9"/>
  <c r="G472" i="9"/>
  <c r="O472" i="9"/>
  <c r="W472" i="9"/>
  <c r="L475" i="9"/>
  <c r="W475" i="9"/>
  <c r="D459" i="9"/>
  <c r="L459" i="9"/>
  <c r="T459" i="9"/>
  <c r="AB459" i="9"/>
  <c r="G460" i="9"/>
  <c r="O460" i="9"/>
  <c r="W460" i="9"/>
  <c r="B461" i="9"/>
  <c r="J461" i="9"/>
  <c r="R461" i="9"/>
  <c r="Z461" i="9"/>
  <c r="E462" i="9"/>
  <c r="M462" i="9"/>
  <c r="U462" i="9"/>
  <c r="AC462" i="9"/>
  <c r="H463" i="9"/>
  <c r="P463" i="9"/>
  <c r="X463" i="9"/>
  <c r="C464" i="9"/>
  <c r="K464" i="9"/>
  <c r="S464" i="9"/>
  <c r="AA464" i="9"/>
  <c r="I466" i="9"/>
  <c r="Q466" i="9"/>
  <c r="Y466" i="9"/>
  <c r="D467" i="9"/>
  <c r="L467" i="9"/>
  <c r="T467" i="9"/>
  <c r="AB467" i="9"/>
  <c r="G468" i="9"/>
  <c r="O468" i="9"/>
  <c r="W468" i="9"/>
  <c r="B470" i="9"/>
  <c r="J470" i="9"/>
  <c r="R470" i="9"/>
  <c r="Z470" i="9"/>
  <c r="E471" i="9"/>
  <c r="M471" i="9"/>
  <c r="U471" i="9"/>
  <c r="AC471" i="9"/>
  <c r="H472" i="9"/>
  <c r="P472" i="9"/>
  <c r="X472" i="9"/>
  <c r="M475" i="9"/>
  <c r="Y475" i="9"/>
  <c r="E459" i="9"/>
  <c r="M459" i="9"/>
  <c r="U459" i="9"/>
  <c r="AC459" i="9"/>
  <c r="H460" i="9"/>
  <c r="P460" i="9"/>
  <c r="X460" i="9"/>
  <c r="C461" i="9"/>
  <c r="K461" i="9"/>
  <c r="S461" i="9"/>
  <c r="AA461" i="9"/>
  <c r="F462" i="9"/>
  <c r="N462" i="9"/>
  <c r="V462" i="9"/>
  <c r="I463" i="9"/>
  <c r="Q463" i="9"/>
  <c r="Y463" i="9"/>
  <c r="D464" i="9"/>
  <c r="L464" i="9"/>
  <c r="T464" i="9"/>
  <c r="AB464" i="9"/>
  <c r="B466" i="9"/>
  <c r="J466" i="9"/>
  <c r="R466" i="9"/>
  <c r="Z466" i="9"/>
  <c r="E467" i="9"/>
  <c r="M467" i="9"/>
  <c r="U467" i="9"/>
  <c r="AC467" i="9"/>
  <c r="H468" i="9"/>
  <c r="P468" i="9"/>
  <c r="X468" i="9"/>
  <c r="C470" i="9"/>
  <c r="K470" i="9"/>
  <c r="S470" i="9"/>
  <c r="AA470" i="9"/>
  <c r="F471" i="9"/>
  <c r="N471" i="9"/>
  <c r="V471" i="9"/>
  <c r="I472" i="9"/>
  <c r="Q472" i="9"/>
  <c r="Y472" i="9"/>
  <c r="N475" i="9"/>
  <c r="AB475" i="9"/>
  <c r="F459" i="9"/>
  <c r="N459" i="9"/>
  <c r="V459" i="9"/>
  <c r="I460" i="9"/>
  <c r="Q460" i="9"/>
  <c r="Y460" i="9"/>
  <c r="D461" i="9"/>
  <c r="L461" i="9"/>
  <c r="T461" i="9"/>
  <c r="AB461" i="9"/>
  <c r="G462" i="9"/>
  <c r="O462" i="9"/>
  <c r="W462" i="9"/>
  <c r="B463" i="9"/>
  <c r="J463" i="9"/>
  <c r="R463" i="9"/>
  <c r="Z463" i="9"/>
  <c r="E464" i="9"/>
  <c r="M464" i="9"/>
  <c r="U464" i="9"/>
  <c r="AC464" i="9"/>
  <c r="C466" i="9"/>
  <c r="K466" i="9"/>
  <c r="S466" i="9"/>
  <c r="AA466" i="9"/>
  <c r="F467" i="9"/>
  <c r="N467" i="9"/>
  <c r="V467" i="9"/>
  <c r="I468" i="9"/>
  <c r="Q468" i="9"/>
  <c r="Y468" i="9"/>
  <c r="D470" i="9"/>
  <c r="L470" i="9"/>
  <c r="T470" i="9"/>
  <c r="AB470" i="9"/>
  <c r="G471" i="9"/>
  <c r="O471" i="9"/>
  <c r="W471" i="9"/>
  <c r="B472" i="9"/>
  <c r="J472" i="9"/>
  <c r="R472" i="9"/>
  <c r="Z472" i="9"/>
  <c r="D475" i="9"/>
  <c r="O475" i="9"/>
  <c r="AC475" i="9"/>
  <c r="G459" i="9"/>
  <c r="O459" i="9"/>
  <c r="W459" i="9"/>
  <c r="B460" i="9"/>
  <c r="J460" i="9"/>
  <c r="R460" i="9"/>
  <c r="Z460" i="9"/>
  <c r="E461" i="9"/>
  <c r="M461" i="9"/>
  <c r="U461" i="9"/>
  <c r="AC461" i="9"/>
  <c r="H462" i="9"/>
  <c r="P462" i="9"/>
  <c r="X462" i="9"/>
  <c r="C463" i="9"/>
  <c r="K463" i="9"/>
  <c r="S463" i="9"/>
  <c r="AA463" i="9"/>
  <c r="F464" i="9"/>
  <c r="N464" i="9"/>
  <c r="V464" i="9"/>
  <c r="D466" i="9"/>
  <c r="L466" i="9"/>
  <c r="T466" i="9"/>
  <c r="AB466" i="9"/>
  <c r="G467" i="9"/>
  <c r="O467" i="9"/>
  <c r="W467" i="9"/>
  <c r="B468" i="9"/>
  <c r="J468" i="9"/>
  <c r="R468" i="9"/>
  <c r="Z468" i="9"/>
  <c r="E470" i="9"/>
  <c r="M470" i="9"/>
  <c r="U470" i="9"/>
  <c r="AC470" i="9"/>
  <c r="H471" i="9"/>
  <c r="P471" i="9"/>
  <c r="X471" i="9"/>
  <c r="C472" i="9"/>
  <c r="K472" i="9"/>
  <c r="S472" i="9"/>
  <c r="AA472" i="9"/>
  <c r="E475" i="9"/>
  <c r="Q475" i="9"/>
  <c r="H459" i="9"/>
  <c r="P459" i="9"/>
  <c r="X459" i="9"/>
  <c r="C460" i="9"/>
  <c r="K460" i="9"/>
  <c r="S460" i="9"/>
  <c r="AA460" i="9"/>
  <c r="F461" i="9"/>
  <c r="N461" i="9"/>
  <c r="V461" i="9"/>
  <c r="I462" i="9"/>
  <c r="Q462" i="9"/>
  <c r="Y462" i="9"/>
  <c r="D463" i="9"/>
  <c r="L463" i="9"/>
  <c r="T463" i="9"/>
  <c r="AB463" i="9"/>
  <c r="G464" i="9"/>
  <c r="O464" i="9"/>
  <c r="W464" i="9"/>
  <c r="E466" i="9"/>
  <c r="M466" i="9"/>
  <c r="U466" i="9"/>
  <c r="AC466" i="9"/>
  <c r="H467" i="9"/>
  <c r="P467" i="9"/>
  <c r="X467" i="9"/>
  <c r="C468" i="9"/>
  <c r="K468" i="9"/>
  <c r="S468" i="9"/>
  <c r="AA468" i="9"/>
  <c r="F470" i="9"/>
  <c r="N470" i="9"/>
  <c r="V470" i="9"/>
  <c r="I471" i="9"/>
  <c r="Q471" i="9"/>
  <c r="Y471" i="9"/>
  <c r="D472" i="9"/>
  <c r="L472" i="9"/>
  <c r="T472" i="9"/>
  <c r="AB472" i="9"/>
  <c r="F475" i="9"/>
  <c r="T475" i="9"/>
  <c r="I459" i="9"/>
  <c r="Q459" i="9"/>
  <c r="D460" i="9"/>
  <c r="L460" i="9"/>
  <c r="T460" i="9"/>
  <c r="G461" i="9"/>
  <c r="O461" i="9"/>
  <c r="B462" i="9"/>
  <c r="J462" i="9"/>
  <c r="R462" i="9"/>
  <c r="E463" i="9"/>
  <c r="M463" i="9"/>
  <c r="U463" i="9"/>
  <c r="H464" i="9"/>
  <c r="P464" i="9"/>
  <c r="F466" i="9"/>
  <c r="N466" i="9"/>
  <c r="I467" i="9"/>
  <c r="Q467" i="9"/>
  <c r="D468" i="9"/>
  <c r="L468" i="9"/>
  <c r="T468" i="9"/>
  <c r="G470" i="9"/>
  <c r="O470" i="9"/>
  <c r="B471" i="9"/>
  <c r="J471" i="9"/>
  <c r="R471" i="9"/>
  <c r="E472" i="9"/>
  <c r="M472" i="9"/>
  <c r="U472" i="9"/>
  <c r="G475" i="9"/>
  <c r="U475" i="9"/>
  <c r="A475" i="3"/>
  <c r="A473" i="3"/>
  <c r="A510" i="3" s="1"/>
  <c r="A472" i="3"/>
  <c r="A471" i="3"/>
  <c r="A470" i="3"/>
  <c r="A468" i="3"/>
  <c r="A485" i="3" s="1"/>
  <c r="A509" i="3" s="1"/>
  <c r="A467" i="3"/>
  <c r="A466" i="3"/>
  <c r="A484" i="3" s="1"/>
  <c r="A496" i="3" s="1"/>
  <c r="A465" i="3"/>
  <c r="A483" i="3" s="1"/>
  <c r="A495" i="3" s="1"/>
  <c r="A464" i="3"/>
  <c r="A482" i="3" s="1"/>
  <c r="A506" i="3" s="1"/>
  <c r="A463" i="3"/>
  <c r="A462" i="3"/>
  <c r="A481" i="3" s="1"/>
  <c r="A493" i="3" s="1"/>
  <c r="A461" i="3"/>
  <c r="A480" i="3" s="1"/>
  <c r="A460" i="3"/>
  <c r="A479" i="3" s="1"/>
  <c r="A459" i="3"/>
  <c r="A478" i="3" s="1"/>
  <c r="AR455" i="3"/>
  <c r="AQ455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Q455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AR453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AR452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AR451" i="3"/>
  <c r="AC471" i="3" s="1"/>
  <c r="AQ451" i="3"/>
  <c r="AB471" i="3" s="1"/>
  <c r="AP451" i="3"/>
  <c r="AA471" i="3" s="1"/>
  <c r="AO451" i="3"/>
  <c r="Z471" i="3" s="1"/>
  <c r="AN451" i="3"/>
  <c r="Y471" i="3" s="1"/>
  <c r="AM451" i="3"/>
  <c r="X471" i="3" s="1"/>
  <c r="AL451" i="3"/>
  <c r="W471" i="3" s="1"/>
  <c r="AK451" i="3"/>
  <c r="V471" i="3" s="1"/>
  <c r="AJ451" i="3"/>
  <c r="U471" i="3" s="1"/>
  <c r="AI451" i="3"/>
  <c r="T471" i="3" s="1"/>
  <c r="AH451" i="3"/>
  <c r="S471" i="3" s="1"/>
  <c r="AG451" i="3"/>
  <c r="R471" i="3" s="1"/>
  <c r="AF451" i="3"/>
  <c r="Q471" i="3" s="1"/>
  <c r="AE451" i="3"/>
  <c r="P471" i="3" s="1"/>
  <c r="AD451" i="3"/>
  <c r="O471" i="3" s="1"/>
  <c r="AC451" i="3"/>
  <c r="N471" i="3" s="1"/>
  <c r="AB451" i="3"/>
  <c r="M471" i="3" s="1"/>
  <c r="AA451" i="3"/>
  <c r="L471" i="3" s="1"/>
  <c r="Z451" i="3"/>
  <c r="K471" i="3" s="1"/>
  <c r="Y451" i="3"/>
  <c r="J471" i="3" s="1"/>
  <c r="X451" i="3"/>
  <c r="I471" i="3" s="1"/>
  <c r="W451" i="3"/>
  <c r="H471" i="3" s="1"/>
  <c r="V451" i="3"/>
  <c r="G471" i="3" s="1"/>
  <c r="U451" i="3"/>
  <c r="F471" i="3" s="1"/>
  <c r="T451" i="3"/>
  <c r="E471" i="3" s="1"/>
  <c r="S451" i="3"/>
  <c r="D471" i="3" s="1"/>
  <c r="R451" i="3"/>
  <c r="C471" i="3" s="1"/>
  <c r="Q451" i="3"/>
  <c r="B471" i="3" s="1"/>
  <c r="AR450" i="3"/>
  <c r="AQ450" i="3"/>
  <c r="AP450" i="3"/>
  <c r="AO450" i="3"/>
  <c r="AN450" i="3"/>
  <c r="AM450" i="3"/>
  <c r="AL450" i="3"/>
  <c r="W470" i="3" s="1"/>
  <c r="AK450" i="3"/>
  <c r="AJ450" i="3"/>
  <c r="AI450" i="3"/>
  <c r="AH450" i="3"/>
  <c r="AG450" i="3"/>
  <c r="AF450" i="3"/>
  <c r="AE450" i="3"/>
  <c r="AD450" i="3"/>
  <c r="O470" i="3" s="1"/>
  <c r="AC450" i="3"/>
  <c r="AB450" i="3"/>
  <c r="AA450" i="3"/>
  <c r="Z450" i="3"/>
  <c r="Y450" i="3"/>
  <c r="X450" i="3"/>
  <c r="W450" i="3"/>
  <c r="V450" i="3"/>
  <c r="G470" i="3" s="1"/>
  <c r="U450" i="3"/>
  <c r="T450" i="3"/>
  <c r="S450" i="3"/>
  <c r="R450" i="3"/>
  <c r="Q450" i="3"/>
  <c r="AR448" i="3"/>
  <c r="AQ448" i="3"/>
  <c r="AP448" i="3"/>
  <c r="AO448" i="3"/>
  <c r="AN448" i="3"/>
  <c r="Y468" i="3" s="1"/>
  <c r="AM448" i="3"/>
  <c r="X468" i="3" s="1"/>
  <c r="AL448" i="3"/>
  <c r="AK448" i="3"/>
  <c r="AJ448" i="3"/>
  <c r="AI448" i="3"/>
  <c r="AH448" i="3"/>
  <c r="AG448" i="3"/>
  <c r="AF448" i="3"/>
  <c r="AE448" i="3"/>
  <c r="P468" i="3" s="1"/>
  <c r="AD448" i="3"/>
  <c r="AC448" i="3"/>
  <c r="AB448" i="3"/>
  <c r="AA448" i="3"/>
  <c r="Z448" i="3"/>
  <c r="Y448" i="3"/>
  <c r="X448" i="3"/>
  <c r="I468" i="3" s="1"/>
  <c r="W448" i="3"/>
  <c r="H468" i="3" s="1"/>
  <c r="V448" i="3"/>
  <c r="U448" i="3"/>
  <c r="T448" i="3"/>
  <c r="S448" i="3"/>
  <c r="R448" i="3"/>
  <c r="Q448" i="3"/>
  <c r="AR447" i="3"/>
  <c r="AQ447" i="3"/>
  <c r="AP447" i="3"/>
  <c r="AO447" i="3"/>
  <c r="AN447" i="3"/>
  <c r="Y467" i="3" s="1"/>
  <c r="AM447" i="3"/>
  <c r="AL447" i="3"/>
  <c r="AK447" i="3"/>
  <c r="AJ447" i="3"/>
  <c r="AI447" i="3"/>
  <c r="AH447" i="3"/>
  <c r="AG447" i="3"/>
  <c r="AF447" i="3"/>
  <c r="Q467" i="3" s="1"/>
  <c r="AE447" i="3"/>
  <c r="AD447" i="3"/>
  <c r="AC447" i="3"/>
  <c r="AB447" i="3"/>
  <c r="AA447" i="3"/>
  <c r="Z447" i="3"/>
  <c r="Y447" i="3"/>
  <c r="X447" i="3"/>
  <c r="I467" i="3" s="1"/>
  <c r="W447" i="3"/>
  <c r="V447" i="3"/>
  <c r="U447" i="3"/>
  <c r="T447" i="3"/>
  <c r="S447" i="3"/>
  <c r="R447" i="3"/>
  <c r="Q447" i="3"/>
  <c r="AR446" i="3"/>
  <c r="AC466" i="3" s="1"/>
  <c r="AQ446" i="3"/>
  <c r="AB466" i="3" s="1"/>
  <c r="AP446" i="3"/>
  <c r="AA466" i="3" s="1"/>
  <c r="AO446" i="3"/>
  <c r="Z466" i="3" s="1"/>
  <c r="AN446" i="3"/>
  <c r="Y466" i="3" s="1"/>
  <c r="AM446" i="3"/>
  <c r="X466" i="3" s="1"/>
  <c r="AL446" i="3"/>
  <c r="W466" i="3" s="1"/>
  <c r="AK446" i="3"/>
  <c r="V466" i="3" s="1"/>
  <c r="AJ446" i="3"/>
  <c r="U466" i="3" s="1"/>
  <c r="AI446" i="3"/>
  <c r="T466" i="3" s="1"/>
  <c r="AH446" i="3"/>
  <c r="S466" i="3" s="1"/>
  <c r="AG446" i="3"/>
  <c r="R466" i="3" s="1"/>
  <c r="AF446" i="3"/>
  <c r="Q466" i="3" s="1"/>
  <c r="AE446" i="3"/>
  <c r="P466" i="3" s="1"/>
  <c r="AD446" i="3"/>
  <c r="O466" i="3" s="1"/>
  <c r="AC446" i="3"/>
  <c r="N466" i="3" s="1"/>
  <c r="AB446" i="3"/>
  <c r="M466" i="3" s="1"/>
  <c r="AA446" i="3"/>
  <c r="L466" i="3" s="1"/>
  <c r="Z446" i="3"/>
  <c r="K466" i="3" s="1"/>
  <c r="Y446" i="3"/>
  <c r="J466" i="3" s="1"/>
  <c r="X446" i="3"/>
  <c r="I466" i="3" s="1"/>
  <c r="W446" i="3"/>
  <c r="H466" i="3" s="1"/>
  <c r="V446" i="3"/>
  <c r="G466" i="3" s="1"/>
  <c r="U446" i="3"/>
  <c r="F466" i="3" s="1"/>
  <c r="T446" i="3"/>
  <c r="E466" i="3" s="1"/>
  <c r="S446" i="3"/>
  <c r="D466" i="3" s="1"/>
  <c r="R446" i="3"/>
  <c r="C466" i="3" s="1"/>
  <c r="Q446" i="3"/>
  <c r="B466" i="3" s="1"/>
  <c r="AR445" i="3"/>
  <c r="AC465" i="3" s="1"/>
  <c r="AC483" i="3" s="1"/>
  <c r="AQ445" i="3"/>
  <c r="AB465" i="3" s="1"/>
  <c r="AB483" i="3" s="1"/>
  <c r="AP445" i="3"/>
  <c r="AA465" i="3" s="1"/>
  <c r="AA483" i="3" s="1"/>
  <c r="AO445" i="3"/>
  <c r="Z465" i="3" s="1"/>
  <c r="Z483" i="3" s="1"/>
  <c r="AN445" i="3"/>
  <c r="Y465" i="3" s="1"/>
  <c r="Y483" i="3" s="1"/>
  <c r="AM445" i="3"/>
  <c r="X465" i="3" s="1"/>
  <c r="X483" i="3" s="1"/>
  <c r="AL445" i="3"/>
  <c r="W465" i="3" s="1"/>
  <c r="W483" i="3" s="1"/>
  <c r="AK445" i="3"/>
  <c r="V465" i="3" s="1"/>
  <c r="V483" i="3" s="1"/>
  <c r="AJ445" i="3"/>
  <c r="U465" i="3" s="1"/>
  <c r="U483" i="3" s="1"/>
  <c r="AI445" i="3"/>
  <c r="T465" i="3" s="1"/>
  <c r="T483" i="3" s="1"/>
  <c r="AH445" i="3"/>
  <c r="S465" i="3" s="1"/>
  <c r="S483" i="3" s="1"/>
  <c r="AG445" i="3"/>
  <c r="R465" i="3" s="1"/>
  <c r="R483" i="3" s="1"/>
  <c r="AF445" i="3"/>
  <c r="Q465" i="3" s="1"/>
  <c r="Q483" i="3" s="1"/>
  <c r="AE445" i="3"/>
  <c r="P465" i="3" s="1"/>
  <c r="P483" i="3" s="1"/>
  <c r="AD445" i="3"/>
  <c r="O465" i="3" s="1"/>
  <c r="O483" i="3" s="1"/>
  <c r="AC445" i="3"/>
  <c r="N465" i="3" s="1"/>
  <c r="N483" i="3" s="1"/>
  <c r="AB445" i="3"/>
  <c r="M465" i="3" s="1"/>
  <c r="M483" i="3" s="1"/>
  <c r="AA445" i="3"/>
  <c r="L465" i="3" s="1"/>
  <c r="L483" i="3" s="1"/>
  <c r="Z445" i="3"/>
  <c r="K465" i="3" s="1"/>
  <c r="K483" i="3" s="1"/>
  <c r="Y445" i="3"/>
  <c r="J465" i="3" s="1"/>
  <c r="J483" i="3" s="1"/>
  <c r="X445" i="3"/>
  <c r="I465" i="3" s="1"/>
  <c r="I483" i="3" s="1"/>
  <c r="W445" i="3"/>
  <c r="H465" i="3" s="1"/>
  <c r="H483" i="3" s="1"/>
  <c r="V445" i="3"/>
  <c r="G465" i="3" s="1"/>
  <c r="G483" i="3" s="1"/>
  <c r="U445" i="3"/>
  <c r="F465" i="3" s="1"/>
  <c r="F483" i="3" s="1"/>
  <c r="T445" i="3"/>
  <c r="E465" i="3" s="1"/>
  <c r="E483" i="3" s="1"/>
  <c r="S445" i="3"/>
  <c r="D465" i="3" s="1"/>
  <c r="D483" i="3" s="1"/>
  <c r="R445" i="3"/>
  <c r="C465" i="3" s="1"/>
  <c r="C483" i="3" s="1"/>
  <c r="Q445" i="3"/>
  <c r="B465" i="3" s="1"/>
  <c r="B483" i="3" s="1"/>
  <c r="AR444" i="3"/>
  <c r="AQ444" i="3"/>
  <c r="AP444" i="3"/>
  <c r="AO444" i="3"/>
  <c r="AN444" i="3"/>
  <c r="Y464" i="3" s="1"/>
  <c r="Y482" i="3" s="1"/>
  <c r="AM444" i="3"/>
  <c r="AL444" i="3"/>
  <c r="AK444" i="3"/>
  <c r="AJ444" i="3"/>
  <c r="AI444" i="3"/>
  <c r="AH444" i="3"/>
  <c r="AG444" i="3"/>
  <c r="AF444" i="3"/>
  <c r="Q464" i="3" s="1"/>
  <c r="Q482" i="3" s="1"/>
  <c r="AE444" i="3"/>
  <c r="AD444" i="3"/>
  <c r="AC444" i="3"/>
  <c r="AB444" i="3"/>
  <c r="AA444" i="3"/>
  <c r="Z444" i="3"/>
  <c r="Y444" i="3"/>
  <c r="X444" i="3"/>
  <c r="I464" i="3" s="1"/>
  <c r="I482" i="3" s="1"/>
  <c r="W444" i="3"/>
  <c r="V444" i="3"/>
  <c r="U444" i="3"/>
  <c r="T444" i="3"/>
  <c r="S444" i="3"/>
  <c r="R444" i="3"/>
  <c r="Q444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AR442" i="3"/>
  <c r="AQ442" i="3"/>
  <c r="AP442" i="3"/>
  <c r="AO442" i="3"/>
  <c r="AN442" i="3"/>
  <c r="AM442" i="3"/>
  <c r="AL442" i="3"/>
  <c r="AK442" i="3"/>
  <c r="V462" i="3" s="1"/>
  <c r="AJ442" i="3"/>
  <c r="AI442" i="3"/>
  <c r="AH442" i="3"/>
  <c r="AG442" i="3"/>
  <c r="AF442" i="3"/>
  <c r="AE442" i="3"/>
  <c r="AD442" i="3"/>
  <c r="AC442" i="3"/>
  <c r="N462" i="3" s="1"/>
  <c r="AB442" i="3"/>
  <c r="AA442" i="3"/>
  <c r="Z442" i="3"/>
  <c r="Y442" i="3"/>
  <c r="X442" i="3"/>
  <c r="W442" i="3"/>
  <c r="V442" i="3"/>
  <c r="U442" i="3"/>
  <c r="F462" i="3" s="1"/>
  <c r="T442" i="3"/>
  <c r="S442" i="3"/>
  <c r="R442" i="3"/>
  <c r="Q442" i="3"/>
  <c r="AR441" i="3"/>
  <c r="AC461" i="3" s="1"/>
  <c r="AQ441" i="3"/>
  <c r="AB461" i="3" s="1"/>
  <c r="AP441" i="3"/>
  <c r="AA461" i="3" s="1"/>
  <c r="AO441" i="3"/>
  <c r="Z461" i="3" s="1"/>
  <c r="AN441" i="3"/>
  <c r="Y461" i="3" s="1"/>
  <c r="AM441" i="3"/>
  <c r="X461" i="3" s="1"/>
  <c r="AL441" i="3"/>
  <c r="W461" i="3" s="1"/>
  <c r="AK441" i="3"/>
  <c r="V461" i="3" s="1"/>
  <c r="AJ441" i="3"/>
  <c r="U461" i="3" s="1"/>
  <c r="AI441" i="3"/>
  <c r="T461" i="3" s="1"/>
  <c r="AH441" i="3"/>
  <c r="S461" i="3" s="1"/>
  <c r="AG441" i="3"/>
  <c r="R461" i="3" s="1"/>
  <c r="AF441" i="3"/>
  <c r="Q461" i="3" s="1"/>
  <c r="AE441" i="3"/>
  <c r="P461" i="3" s="1"/>
  <c r="AD441" i="3"/>
  <c r="O461" i="3" s="1"/>
  <c r="AC441" i="3"/>
  <c r="N461" i="3" s="1"/>
  <c r="AB441" i="3"/>
  <c r="M461" i="3" s="1"/>
  <c r="AA441" i="3"/>
  <c r="L461" i="3" s="1"/>
  <c r="Z441" i="3"/>
  <c r="K461" i="3" s="1"/>
  <c r="Y441" i="3"/>
  <c r="J461" i="3" s="1"/>
  <c r="X441" i="3"/>
  <c r="I461" i="3" s="1"/>
  <c r="W441" i="3"/>
  <c r="H461" i="3" s="1"/>
  <c r="V441" i="3"/>
  <c r="G461" i="3" s="1"/>
  <c r="U441" i="3"/>
  <c r="F461" i="3" s="1"/>
  <c r="T441" i="3"/>
  <c r="E461" i="3" s="1"/>
  <c r="S441" i="3"/>
  <c r="D461" i="3" s="1"/>
  <c r="R441" i="3"/>
  <c r="C461" i="3" s="1"/>
  <c r="Q441" i="3"/>
  <c r="B461" i="3" s="1"/>
  <c r="AR440" i="3"/>
  <c r="AQ440" i="3"/>
  <c r="AP440" i="3"/>
  <c r="AO440" i="3"/>
  <c r="Z460" i="3" s="1"/>
  <c r="AN440" i="3"/>
  <c r="AM440" i="3"/>
  <c r="AL440" i="3"/>
  <c r="AK440" i="3"/>
  <c r="AJ440" i="3"/>
  <c r="AI440" i="3"/>
  <c r="AH440" i="3"/>
  <c r="AG440" i="3"/>
  <c r="R460" i="3" s="1"/>
  <c r="AF440" i="3"/>
  <c r="AE440" i="3"/>
  <c r="AD440" i="3"/>
  <c r="AC440" i="3"/>
  <c r="AB440" i="3"/>
  <c r="AA440" i="3"/>
  <c r="Z440" i="3"/>
  <c r="Y440" i="3"/>
  <c r="J460" i="3" s="1"/>
  <c r="X440" i="3"/>
  <c r="W440" i="3"/>
  <c r="V440" i="3"/>
  <c r="U440" i="3"/>
  <c r="T440" i="3"/>
  <c r="S440" i="3"/>
  <c r="R440" i="3"/>
  <c r="Q440" i="3"/>
  <c r="B460" i="3" s="1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A370" i="3"/>
  <c r="A368" i="3"/>
  <c r="A405" i="3" s="1"/>
  <c r="A367" i="3"/>
  <c r="A366" i="3"/>
  <c r="A365" i="3"/>
  <c r="A363" i="3"/>
  <c r="A380" i="3" s="1"/>
  <c r="A404" i="3" s="1"/>
  <c r="A362" i="3"/>
  <c r="A361" i="3"/>
  <c r="A379" i="3" s="1"/>
  <c r="A403" i="3" s="1"/>
  <c r="A360" i="3"/>
  <c r="A378" i="3" s="1"/>
  <c r="A390" i="3" s="1"/>
  <c r="A359" i="3"/>
  <c r="A377" i="3" s="1"/>
  <c r="A401" i="3" s="1"/>
  <c r="A358" i="3"/>
  <c r="A357" i="3"/>
  <c r="A376" i="3" s="1"/>
  <c r="A356" i="3"/>
  <c r="A375" i="3" s="1"/>
  <c r="A355" i="3"/>
  <c r="A374" i="3" s="1"/>
  <c r="A398" i="3" s="1"/>
  <c r="A354" i="3"/>
  <c r="A373" i="3" s="1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AR346" i="3"/>
  <c r="AC366" i="3" s="1"/>
  <c r="AQ346" i="3"/>
  <c r="AB366" i="3" s="1"/>
  <c r="AP346" i="3"/>
  <c r="AA366" i="3" s="1"/>
  <c r="AO346" i="3"/>
  <c r="Z366" i="3" s="1"/>
  <c r="AN346" i="3"/>
  <c r="Y366" i="3" s="1"/>
  <c r="AM346" i="3"/>
  <c r="X366" i="3" s="1"/>
  <c r="AL346" i="3"/>
  <c r="W366" i="3" s="1"/>
  <c r="AK346" i="3"/>
  <c r="V366" i="3" s="1"/>
  <c r="AJ346" i="3"/>
  <c r="U366" i="3" s="1"/>
  <c r="AI346" i="3"/>
  <c r="T366" i="3" s="1"/>
  <c r="AH346" i="3"/>
  <c r="S366" i="3" s="1"/>
  <c r="AG346" i="3"/>
  <c r="R366" i="3" s="1"/>
  <c r="AF346" i="3"/>
  <c r="Q366" i="3" s="1"/>
  <c r="AE346" i="3"/>
  <c r="P366" i="3" s="1"/>
  <c r="AD346" i="3"/>
  <c r="O366" i="3" s="1"/>
  <c r="AC346" i="3"/>
  <c r="N366" i="3" s="1"/>
  <c r="AB346" i="3"/>
  <c r="M366" i="3" s="1"/>
  <c r="AA346" i="3"/>
  <c r="L366" i="3" s="1"/>
  <c r="Z346" i="3"/>
  <c r="K366" i="3" s="1"/>
  <c r="Y346" i="3"/>
  <c r="J366" i="3" s="1"/>
  <c r="X346" i="3"/>
  <c r="I366" i="3" s="1"/>
  <c r="W346" i="3"/>
  <c r="H366" i="3" s="1"/>
  <c r="V346" i="3"/>
  <c r="G366" i="3" s="1"/>
  <c r="U346" i="3"/>
  <c r="F366" i="3" s="1"/>
  <c r="T346" i="3"/>
  <c r="E366" i="3" s="1"/>
  <c r="S346" i="3"/>
  <c r="D366" i="3" s="1"/>
  <c r="R346" i="3"/>
  <c r="C366" i="3" s="1"/>
  <c r="Q346" i="3"/>
  <c r="B366" i="3" s="1"/>
  <c r="AR345" i="3"/>
  <c r="AQ345" i="3"/>
  <c r="AP345" i="3"/>
  <c r="AO345" i="3"/>
  <c r="AN345" i="3"/>
  <c r="AM345" i="3"/>
  <c r="AL345" i="3"/>
  <c r="AK345" i="3"/>
  <c r="V365" i="3" s="1"/>
  <c r="AJ345" i="3"/>
  <c r="AI345" i="3"/>
  <c r="AH345" i="3"/>
  <c r="AG345" i="3"/>
  <c r="AF345" i="3"/>
  <c r="AE345" i="3"/>
  <c r="AD345" i="3"/>
  <c r="AC345" i="3"/>
  <c r="AB345" i="3"/>
  <c r="M365" i="3" s="1"/>
  <c r="AA345" i="3"/>
  <c r="Z345" i="3"/>
  <c r="Y345" i="3"/>
  <c r="X345" i="3"/>
  <c r="W345" i="3"/>
  <c r="V345" i="3"/>
  <c r="U345" i="3"/>
  <c r="T345" i="3"/>
  <c r="S345" i="3"/>
  <c r="D365" i="3" s="1"/>
  <c r="R345" i="3"/>
  <c r="Q345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O363" i="3" s="1"/>
  <c r="AC343" i="3"/>
  <c r="N363" i="3" s="1"/>
  <c r="AB343" i="3"/>
  <c r="AA343" i="3"/>
  <c r="Z343" i="3"/>
  <c r="Y343" i="3"/>
  <c r="X343" i="3"/>
  <c r="W343" i="3"/>
  <c r="V343" i="3"/>
  <c r="U343" i="3"/>
  <c r="F363" i="3" s="1"/>
  <c r="T343" i="3"/>
  <c r="S343" i="3"/>
  <c r="R343" i="3"/>
  <c r="Q343" i="3"/>
  <c r="AR342" i="3"/>
  <c r="AQ342" i="3"/>
  <c r="AP342" i="3"/>
  <c r="AO342" i="3"/>
  <c r="AN342" i="3"/>
  <c r="AM342" i="3"/>
  <c r="X362" i="3" s="1"/>
  <c r="AL342" i="3"/>
  <c r="AK342" i="3"/>
  <c r="V362" i="3" s="1"/>
  <c r="AJ342" i="3"/>
  <c r="AI342" i="3"/>
  <c r="AH342" i="3"/>
  <c r="AG342" i="3"/>
  <c r="AF342" i="3"/>
  <c r="AE342" i="3"/>
  <c r="AD342" i="3"/>
  <c r="AC342" i="3"/>
  <c r="N362" i="3" s="1"/>
  <c r="AB342" i="3"/>
  <c r="AA342" i="3"/>
  <c r="Z342" i="3"/>
  <c r="Y342" i="3"/>
  <c r="X342" i="3"/>
  <c r="W342" i="3"/>
  <c r="V342" i="3"/>
  <c r="U342" i="3"/>
  <c r="T342" i="3"/>
  <c r="E362" i="3" s="1"/>
  <c r="S342" i="3"/>
  <c r="R342" i="3"/>
  <c r="Q342" i="3"/>
  <c r="AR341" i="3"/>
  <c r="AC361" i="3" s="1"/>
  <c r="AQ341" i="3"/>
  <c r="AB361" i="3" s="1"/>
  <c r="AP341" i="3"/>
  <c r="AA361" i="3" s="1"/>
  <c r="AO341" i="3"/>
  <c r="Z361" i="3" s="1"/>
  <c r="AN341" i="3"/>
  <c r="Y361" i="3" s="1"/>
  <c r="AM341" i="3"/>
  <c r="X361" i="3" s="1"/>
  <c r="AL341" i="3"/>
  <c r="W361" i="3" s="1"/>
  <c r="AK341" i="3"/>
  <c r="V361" i="3" s="1"/>
  <c r="AJ341" i="3"/>
  <c r="U361" i="3" s="1"/>
  <c r="AI341" i="3"/>
  <c r="T361" i="3" s="1"/>
  <c r="AH341" i="3"/>
  <c r="S361" i="3" s="1"/>
  <c r="AG341" i="3"/>
  <c r="R361" i="3" s="1"/>
  <c r="AF341" i="3"/>
  <c r="Q361" i="3" s="1"/>
  <c r="AE341" i="3"/>
  <c r="P361" i="3" s="1"/>
  <c r="AD341" i="3"/>
  <c r="O361" i="3" s="1"/>
  <c r="AC341" i="3"/>
  <c r="N361" i="3" s="1"/>
  <c r="AB341" i="3"/>
  <c r="M361" i="3" s="1"/>
  <c r="AA341" i="3"/>
  <c r="L361" i="3" s="1"/>
  <c r="Z341" i="3"/>
  <c r="K361" i="3" s="1"/>
  <c r="Y341" i="3"/>
  <c r="J361" i="3" s="1"/>
  <c r="X341" i="3"/>
  <c r="I361" i="3" s="1"/>
  <c r="W341" i="3"/>
  <c r="H361" i="3" s="1"/>
  <c r="V341" i="3"/>
  <c r="G361" i="3" s="1"/>
  <c r="U341" i="3"/>
  <c r="F361" i="3" s="1"/>
  <c r="T341" i="3"/>
  <c r="E361" i="3" s="1"/>
  <c r="S341" i="3"/>
  <c r="D361" i="3" s="1"/>
  <c r="R341" i="3"/>
  <c r="C361" i="3" s="1"/>
  <c r="Q341" i="3"/>
  <c r="B361" i="3" s="1"/>
  <c r="AR340" i="3"/>
  <c r="AC360" i="3" s="1"/>
  <c r="AC378" i="3" s="1"/>
  <c r="AQ340" i="3"/>
  <c r="AB360" i="3" s="1"/>
  <c r="AB378" i="3" s="1"/>
  <c r="AP340" i="3"/>
  <c r="AA360" i="3" s="1"/>
  <c r="AA378" i="3" s="1"/>
  <c r="AO340" i="3"/>
  <c r="Z360" i="3" s="1"/>
  <c r="Z378" i="3" s="1"/>
  <c r="AN340" i="3"/>
  <c r="Y360" i="3" s="1"/>
  <c r="Y378" i="3" s="1"/>
  <c r="AM340" i="3"/>
  <c r="X360" i="3" s="1"/>
  <c r="X378" i="3" s="1"/>
  <c r="AL340" i="3"/>
  <c r="W360" i="3" s="1"/>
  <c r="W378" i="3" s="1"/>
  <c r="AK340" i="3"/>
  <c r="V360" i="3" s="1"/>
  <c r="V378" i="3" s="1"/>
  <c r="AJ340" i="3"/>
  <c r="U360" i="3" s="1"/>
  <c r="U378" i="3" s="1"/>
  <c r="AI340" i="3"/>
  <c r="T360" i="3" s="1"/>
  <c r="T378" i="3" s="1"/>
  <c r="AH340" i="3"/>
  <c r="S360" i="3" s="1"/>
  <c r="S378" i="3" s="1"/>
  <c r="AG340" i="3"/>
  <c r="R360" i="3" s="1"/>
  <c r="R378" i="3" s="1"/>
  <c r="AF340" i="3"/>
  <c r="Q360" i="3" s="1"/>
  <c r="Q378" i="3" s="1"/>
  <c r="AE340" i="3"/>
  <c r="P360" i="3" s="1"/>
  <c r="P378" i="3" s="1"/>
  <c r="AD340" i="3"/>
  <c r="O360" i="3" s="1"/>
  <c r="O378" i="3" s="1"/>
  <c r="AC340" i="3"/>
  <c r="N360" i="3" s="1"/>
  <c r="N378" i="3" s="1"/>
  <c r="AB340" i="3"/>
  <c r="M360" i="3" s="1"/>
  <c r="M378" i="3" s="1"/>
  <c r="AA340" i="3"/>
  <c r="L360" i="3" s="1"/>
  <c r="L378" i="3" s="1"/>
  <c r="Z340" i="3"/>
  <c r="K360" i="3" s="1"/>
  <c r="K378" i="3" s="1"/>
  <c r="Y340" i="3"/>
  <c r="J360" i="3" s="1"/>
  <c r="J378" i="3" s="1"/>
  <c r="X340" i="3"/>
  <c r="I360" i="3" s="1"/>
  <c r="I378" i="3" s="1"/>
  <c r="W340" i="3"/>
  <c r="H360" i="3" s="1"/>
  <c r="H378" i="3" s="1"/>
  <c r="V340" i="3"/>
  <c r="G360" i="3" s="1"/>
  <c r="G378" i="3" s="1"/>
  <c r="U340" i="3"/>
  <c r="F360" i="3" s="1"/>
  <c r="F378" i="3" s="1"/>
  <c r="T340" i="3"/>
  <c r="E360" i="3" s="1"/>
  <c r="E378" i="3" s="1"/>
  <c r="S340" i="3"/>
  <c r="D360" i="3" s="1"/>
  <c r="D378" i="3" s="1"/>
  <c r="R340" i="3"/>
  <c r="C360" i="3" s="1"/>
  <c r="C378" i="3" s="1"/>
  <c r="Q340" i="3"/>
  <c r="B360" i="3" s="1"/>
  <c r="B378" i="3" s="1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AR337" i="3"/>
  <c r="AQ337" i="3"/>
  <c r="AP337" i="3"/>
  <c r="AO337" i="3"/>
  <c r="AN337" i="3"/>
  <c r="AM337" i="3"/>
  <c r="AL337" i="3"/>
  <c r="AK337" i="3"/>
  <c r="V357" i="3" s="1"/>
  <c r="AJ337" i="3"/>
  <c r="AI337" i="3"/>
  <c r="AH337" i="3"/>
  <c r="AG337" i="3"/>
  <c r="AF337" i="3"/>
  <c r="AE337" i="3"/>
  <c r="AD337" i="3"/>
  <c r="AC337" i="3"/>
  <c r="AB337" i="3"/>
  <c r="M357" i="3" s="1"/>
  <c r="AA337" i="3"/>
  <c r="Z337" i="3"/>
  <c r="Y337" i="3"/>
  <c r="X337" i="3"/>
  <c r="W337" i="3"/>
  <c r="V337" i="3"/>
  <c r="U337" i="3"/>
  <c r="T337" i="3"/>
  <c r="S337" i="3"/>
  <c r="D357" i="3" s="1"/>
  <c r="R337" i="3"/>
  <c r="Q337" i="3"/>
  <c r="AR336" i="3"/>
  <c r="AC356" i="3" s="1"/>
  <c r="AQ336" i="3"/>
  <c r="AB356" i="3" s="1"/>
  <c r="AP336" i="3"/>
  <c r="AA356" i="3" s="1"/>
  <c r="AO336" i="3"/>
  <c r="Z356" i="3" s="1"/>
  <c r="AN336" i="3"/>
  <c r="Y356" i="3" s="1"/>
  <c r="AM336" i="3"/>
  <c r="X356" i="3" s="1"/>
  <c r="AL336" i="3"/>
  <c r="W356" i="3" s="1"/>
  <c r="AK336" i="3"/>
  <c r="V356" i="3" s="1"/>
  <c r="AJ336" i="3"/>
  <c r="U356" i="3" s="1"/>
  <c r="AI336" i="3"/>
  <c r="T356" i="3" s="1"/>
  <c r="AH336" i="3"/>
  <c r="S356" i="3" s="1"/>
  <c r="AG336" i="3"/>
  <c r="R356" i="3" s="1"/>
  <c r="AF336" i="3"/>
  <c r="Q356" i="3" s="1"/>
  <c r="AE336" i="3"/>
  <c r="P356" i="3" s="1"/>
  <c r="AD336" i="3"/>
  <c r="O356" i="3" s="1"/>
  <c r="AC336" i="3"/>
  <c r="N356" i="3" s="1"/>
  <c r="AB336" i="3"/>
  <c r="M356" i="3" s="1"/>
  <c r="AA336" i="3"/>
  <c r="L356" i="3" s="1"/>
  <c r="Z336" i="3"/>
  <c r="K356" i="3" s="1"/>
  <c r="Y336" i="3"/>
  <c r="J356" i="3" s="1"/>
  <c r="X336" i="3"/>
  <c r="I356" i="3" s="1"/>
  <c r="W336" i="3"/>
  <c r="H356" i="3" s="1"/>
  <c r="V336" i="3"/>
  <c r="G356" i="3" s="1"/>
  <c r="U336" i="3"/>
  <c r="F356" i="3" s="1"/>
  <c r="T336" i="3"/>
  <c r="E356" i="3" s="1"/>
  <c r="S336" i="3"/>
  <c r="D356" i="3" s="1"/>
  <c r="R336" i="3"/>
  <c r="C356" i="3" s="1"/>
  <c r="Q336" i="3"/>
  <c r="B356" i="3" s="1"/>
  <c r="AR335" i="3"/>
  <c r="AC355" i="3" s="1"/>
  <c r="AQ335" i="3"/>
  <c r="AP335" i="3"/>
  <c r="AO335" i="3"/>
  <c r="AN335" i="3"/>
  <c r="AM335" i="3"/>
  <c r="AL335" i="3"/>
  <c r="AK335" i="3"/>
  <c r="AJ335" i="3"/>
  <c r="AI335" i="3"/>
  <c r="T355" i="3" s="1"/>
  <c r="AH335" i="3"/>
  <c r="AG335" i="3"/>
  <c r="AF335" i="3"/>
  <c r="AE335" i="3"/>
  <c r="AD335" i="3"/>
  <c r="AC335" i="3"/>
  <c r="AB335" i="3"/>
  <c r="AA335" i="3"/>
  <c r="Z335" i="3"/>
  <c r="Y335" i="3"/>
  <c r="J355" i="3" s="1"/>
  <c r="X335" i="3"/>
  <c r="W335" i="3"/>
  <c r="V335" i="3"/>
  <c r="U335" i="3"/>
  <c r="T335" i="3"/>
  <c r="S335" i="3"/>
  <c r="R335" i="3"/>
  <c r="Q335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A261" i="3"/>
  <c r="A259" i="3"/>
  <c r="A296" i="3" s="1"/>
  <c r="A258" i="3"/>
  <c r="A257" i="3"/>
  <c r="A256" i="3"/>
  <c r="A254" i="3"/>
  <c r="A271" i="3" s="1"/>
  <c r="A295" i="3" s="1"/>
  <c r="A253" i="3"/>
  <c r="A252" i="3"/>
  <c r="A270" i="3" s="1"/>
  <c r="A294" i="3" s="1"/>
  <c r="A251" i="3"/>
  <c r="A269" i="3" s="1"/>
  <c r="A281" i="3" s="1"/>
  <c r="A250" i="3"/>
  <c r="A268" i="3" s="1"/>
  <c r="A292" i="3" s="1"/>
  <c r="A249" i="3"/>
  <c r="A248" i="3"/>
  <c r="A267" i="3" s="1"/>
  <c r="A279" i="3" s="1"/>
  <c r="A247" i="3"/>
  <c r="A266" i="3" s="1"/>
  <c r="A246" i="3"/>
  <c r="A265" i="3" s="1"/>
  <c r="A289" i="3" s="1"/>
  <c r="A245" i="3"/>
  <c r="A264" i="3" s="1"/>
  <c r="A276" i="3" s="1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AR237" i="3"/>
  <c r="AC257" i="3" s="1"/>
  <c r="AQ237" i="3"/>
  <c r="AB257" i="3" s="1"/>
  <c r="AP237" i="3"/>
  <c r="AA257" i="3" s="1"/>
  <c r="AO237" i="3"/>
  <c r="Z257" i="3" s="1"/>
  <c r="AN237" i="3"/>
  <c r="Y257" i="3" s="1"/>
  <c r="AM237" i="3"/>
  <c r="X257" i="3" s="1"/>
  <c r="AL237" i="3"/>
  <c r="W257" i="3" s="1"/>
  <c r="AK237" i="3"/>
  <c r="V257" i="3" s="1"/>
  <c r="AJ237" i="3"/>
  <c r="U257" i="3" s="1"/>
  <c r="AI237" i="3"/>
  <c r="T257" i="3" s="1"/>
  <c r="AH237" i="3"/>
  <c r="S257" i="3" s="1"/>
  <c r="AG237" i="3"/>
  <c r="R257" i="3" s="1"/>
  <c r="AF237" i="3"/>
  <c r="Q257" i="3" s="1"/>
  <c r="AE237" i="3"/>
  <c r="P257" i="3" s="1"/>
  <c r="AD237" i="3"/>
  <c r="O257" i="3" s="1"/>
  <c r="AC237" i="3"/>
  <c r="N257" i="3" s="1"/>
  <c r="AB237" i="3"/>
  <c r="M257" i="3" s="1"/>
  <c r="AA237" i="3"/>
  <c r="L257" i="3" s="1"/>
  <c r="Z237" i="3"/>
  <c r="K257" i="3" s="1"/>
  <c r="Y237" i="3"/>
  <c r="J257" i="3" s="1"/>
  <c r="X237" i="3"/>
  <c r="I257" i="3" s="1"/>
  <c r="W237" i="3"/>
  <c r="H257" i="3" s="1"/>
  <c r="V237" i="3"/>
  <c r="G257" i="3" s="1"/>
  <c r="U237" i="3"/>
  <c r="F257" i="3" s="1"/>
  <c r="T237" i="3"/>
  <c r="E257" i="3" s="1"/>
  <c r="S237" i="3"/>
  <c r="D257" i="3" s="1"/>
  <c r="R237" i="3"/>
  <c r="C257" i="3" s="1"/>
  <c r="Q237" i="3"/>
  <c r="B257" i="3" s="1"/>
  <c r="AR236" i="3"/>
  <c r="AC256" i="3" s="1"/>
  <c r="AQ236" i="3"/>
  <c r="AP236" i="3"/>
  <c r="AO236" i="3"/>
  <c r="AN236" i="3"/>
  <c r="AM236" i="3"/>
  <c r="AL236" i="3"/>
  <c r="AK236" i="3"/>
  <c r="AJ236" i="3"/>
  <c r="U256" i="3" s="1"/>
  <c r="AI236" i="3"/>
  <c r="AH236" i="3"/>
  <c r="AG236" i="3"/>
  <c r="AF236" i="3"/>
  <c r="AE236" i="3"/>
  <c r="AD236" i="3"/>
  <c r="AC236" i="3"/>
  <c r="AB236" i="3"/>
  <c r="M256" i="3" s="1"/>
  <c r="AA236" i="3"/>
  <c r="Z236" i="3"/>
  <c r="Y236" i="3"/>
  <c r="X236" i="3"/>
  <c r="W236" i="3"/>
  <c r="V236" i="3"/>
  <c r="U236" i="3"/>
  <c r="T236" i="3"/>
  <c r="E256" i="3" s="1"/>
  <c r="S236" i="3"/>
  <c r="R236" i="3"/>
  <c r="Q236" i="3"/>
  <c r="AR234" i="3"/>
  <c r="AC254" i="3" s="1"/>
  <c r="AQ234" i="3"/>
  <c r="AB254" i="3" s="1"/>
  <c r="AP234" i="3"/>
  <c r="AA254" i="3" s="1"/>
  <c r="AO234" i="3"/>
  <c r="Z254" i="3" s="1"/>
  <c r="AN234" i="3"/>
  <c r="Y254" i="3" s="1"/>
  <c r="AM234" i="3"/>
  <c r="X254" i="3" s="1"/>
  <c r="AL234" i="3"/>
  <c r="W254" i="3" s="1"/>
  <c r="AK234" i="3"/>
  <c r="V254" i="3" s="1"/>
  <c r="AJ234" i="3"/>
  <c r="U254" i="3" s="1"/>
  <c r="AI234" i="3"/>
  <c r="T254" i="3" s="1"/>
  <c r="AH234" i="3"/>
  <c r="S254" i="3" s="1"/>
  <c r="AG234" i="3"/>
  <c r="R254" i="3" s="1"/>
  <c r="AF234" i="3"/>
  <c r="Q254" i="3" s="1"/>
  <c r="AE234" i="3"/>
  <c r="P254" i="3" s="1"/>
  <c r="AD234" i="3"/>
  <c r="O254" i="3" s="1"/>
  <c r="AC234" i="3"/>
  <c r="N254" i="3" s="1"/>
  <c r="AB234" i="3"/>
  <c r="M254" i="3" s="1"/>
  <c r="AA234" i="3"/>
  <c r="L254" i="3" s="1"/>
  <c r="Z234" i="3"/>
  <c r="K254" i="3" s="1"/>
  <c r="Y234" i="3"/>
  <c r="J254" i="3" s="1"/>
  <c r="X234" i="3"/>
  <c r="I254" i="3" s="1"/>
  <c r="W234" i="3"/>
  <c r="H254" i="3" s="1"/>
  <c r="V234" i="3"/>
  <c r="G254" i="3" s="1"/>
  <c r="U234" i="3"/>
  <c r="F254" i="3" s="1"/>
  <c r="T234" i="3"/>
  <c r="E254" i="3" s="1"/>
  <c r="S234" i="3"/>
  <c r="D254" i="3" s="1"/>
  <c r="R234" i="3"/>
  <c r="C254" i="3" s="1"/>
  <c r="Q234" i="3"/>
  <c r="AR233" i="3"/>
  <c r="AQ233" i="3"/>
  <c r="AP233" i="3"/>
  <c r="AO233" i="3"/>
  <c r="Z253" i="3" s="1"/>
  <c r="AN233" i="3"/>
  <c r="AM233" i="3"/>
  <c r="AL233" i="3"/>
  <c r="AK233" i="3"/>
  <c r="AJ233" i="3"/>
  <c r="AI233" i="3"/>
  <c r="AH233" i="3"/>
  <c r="AG233" i="3"/>
  <c r="R253" i="3" s="1"/>
  <c r="AF233" i="3"/>
  <c r="AE233" i="3"/>
  <c r="AD233" i="3"/>
  <c r="AC233" i="3"/>
  <c r="AB233" i="3"/>
  <c r="AA233" i="3"/>
  <c r="Z233" i="3"/>
  <c r="Y233" i="3"/>
  <c r="J253" i="3" s="1"/>
  <c r="X233" i="3"/>
  <c r="W233" i="3"/>
  <c r="V233" i="3"/>
  <c r="U233" i="3"/>
  <c r="T233" i="3"/>
  <c r="S233" i="3"/>
  <c r="R233" i="3"/>
  <c r="Q233" i="3"/>
  <c r="B253" i="3" s="1"/>
  <c r="AR232" i="3"/>
  <c r="AC252" i="3" s="1"/>
  <c r="AQ232" i="3"/>
  <c r="AB252" i="3" s="1"/>
  <c r="AP232" i="3"/>
  <c r="AA252" i="3" s="1"/>
  <c r="AO232" i="3"/>
  <c r="Z252" i="3" s="1"/>
  <c r="AN232" i="3"/>
  <c r="Y252" i="3" s="1"/>
  <c r="AM232" i="3"/>
  <c r="X252" i="3" s="1"/>
  <c r="AL232" i="3"/>
  <c r="W252" i="3" s="1"/>
  <c r="AK232" i="3"/>
  <c r="V252" i="3" s="1"/>
  <c r="AJ232" i="3"/>
  <c r="U252" i="3" s="1"/>
  <c r="AI232" i="3"/>
  <c r="T252" i="3" s="1"/>
  <c r="AH232" i="3"/>
  <c r="S252" i="3" s="1"/>
  <c r="AG232" i="3"/>
  <c r="R252" i="3" s="1"/>
  <c r="AF232" i="3"/>
  <c r="Q252" i="3" s="1"/>
  <c r="AE232" i="3"/>
  <c r="P252" i="3" s="1"/>
  <c r="AD232" i="3"/>
  <c r="O252" i="3" s="1"/>
  <c r="AC232" i="3"/>
  <c r="N252" i="3" s="1"/>
  <c r="AB232" i="3"/>
  <c r="M252" i="3" s="1"/>
  <c r="AA232" i="3"/>
  <c r="L252" i="3" s="1"/>
  <c r="Z232" i="3"/>
  <c r="K252" i="3" s="1"/>
  <c r="Y232" i="3"/>
  <c r="J252" i="3" s="1"/>
  <c r="X232" i="3"/>
  <c r="I252" i="3" s="1"/>
  <c r="W232" i="3"/>
  <c r="H252" i="3" s="1"/>
  <c r="V232" i="3"/>
  <c r="G252" i="3" s="1"/>
  <c r="U232" i="3"/>
  <c r="F252" i="3" s="1"/>
  <c r="T232" i="3"/>
  <c r="E252" i="3" s="1"/>
  <c r="S232" i="3"/>
  <c r="D252" i="3" s="1"/>
  <c r="R232" i="3"/>
  <c r="C252" i="3" s="1"/>
  <c r="Q232" i="3"/>
  <c r="B252" i="3" s="1"/>
  <c r="AR231" i="3"/>
  <c r="AC251" i="3" s="1"/>
  <c r="AC269" i="3" s="1"/>
  <c r="AQ231" i="3"/>
  <c r="AB251" i="3" s="1"/>
  <c r="AB269" i="3" s="1"/>
  <c r="AP231" i="3"/>
  <c r="AA251" i="3" s="1"/>
  <c r="AA269" i="3" s="1"/>
  <c r="AO231" i="3"/>
  <c r="Z251" i="3" s="1"/>
  <c r="Z269" i="3" s="1"/>
  <c r="AN231" i="3"/>
  <c r="Y251" i="3" s="1"/>
  <c r="Y269" i="3" s="1"/>
  <c r="AM231" i="3"/>
  <c r="X251" i="3" s="1"/>
  <c r="X269" i="3" s="1"/>
  <c r="AL231" i="3"/>
  <c r="W251" i="3" s="1"/>
  <c r="W269" i="3" s="1"/>
  <c r="AK231" i="3"/>
  <c r="V251" i="3" s="1"/>
  <c r="V269" i="3" s="1"/>
  <c r="AJ231" i="3"/>
  <c r="U251" i="3" s="1"/>
  <c r="U269" i="3" s="1"/>
  <c r="AI231" i="3"/>
  <c r="T251" i="3" s="1"/>
  <c r="T269" i="3" s="1"/>
  <c r="AH231" i="3"/>
  <c r="S251" i="3" s="1"/>
  <c r="S269" i="3" s="1"/>
  <c r="AG231" i="3"/>
  <c r="R251" i="3" s="1"/>
  <c r="R269" i="3" s="1"/>
  <c r="AF231" i="3"/>
  <c r="Q251" i="3" s="1"/>
  <c r="Q269" i="3" s="1"/>
  <c r="AE231" i="3"/>
  <c r="P251" i="3" s="1"/>
  <c r="P269" i="3" s="1"/>
  <c r="AD231" i="3"/>
  <c r="O251" i="3" s="1"/>
  <c r="O269" i="3" s="1"/>
  <c r="AC231" i="3"/>
  <c r="N251" i="3" s="1"/>
  <c r="N269" i="3" s="1"/>
  <c r="AB231" i="3"/>
  <c r="M251" i="3" s="1"/>
  <c r="M269" i="3" s="1"/>
  <c r="AA231" i="3"/>
  <c r="L251" i="3" s="1"/>
  <c r="L269" i="3" s="1"/>
  <c r="Z231" i="3"/>
  <c r="K251" i="3" s="1"/>
  <c r="K269" i="3" s="1"/>
  <c r="Y231" i="3"/>
  <c r="J251" i="3" s="1"/>
  <c r="J269" i="3" s="1"/>
  <c r="X231" i="3"/>
  <c r="I251" i="3" s="1"/>
  <c r="I269" i="3" s="1"/>
  <c r="W231" i="3"/>
  <c r="H251" i="3" s="1"/>
  <c r="H269" i="3" s="1"/>
  <c r="V231" i="3"/>
  <c r="G251" i="3" s="1"/>
  <c r="G269" i="3" s="1"/>
  <c r="U231" i="3"/>
  <c r="F251" i="3" s="1"/>
  <c r="F269" i="3" s="1"/>
  <c r="T231" i="3"/>
  <c r="E251" i="3" s="1"/>
  <c r="E269" i="3" s="1"/>
  <c r="S231" i="3"/>
  <c r="D251" i="3" s="1"/>
  <c r="D269" i="3" s="1"/>
  <c r="R231" i="3"/>
  <c r="C251" i="3" s="1"/>
  <c r="C269" i="3" s="1"/>
  <c r="Q231" i="3"/>
  <c r="B251" i="3" s="1"/>
  <c r="B269" i="3" s="1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AR228" i="3"/>
  <c r="AC248" i="3" s="1"/>
  <c r="AQ228" i="3"/>
  <c r="AP228" i="3"/>
  <c r="AO228" i="3"/>
  <c r="AN228" i="3"/>
  <c r="AM228" i="3"/>
  <c r="AL228" i="3"/>
  <c r="AK228" i="3"/>
  <c r="AJ228" i="3"/>
  <c r="U248" i="3" s="1"/>
  <c r="AI228" i="3"/>
  <c r="AH228" i="3"/>
  <c r="AG228" i="3"/>
  <c r="AF228" i="3"/>
  <c r="AE228" i="3"/>
  <c r="AD228" i="3"/>
  <c r="AC228" i="3"/>
  <c r="AB228" i="3"/>
  <c r="M248" i="3" s="1"/>
  <c r="AA228" i="3"/>
  <c r="Z228" i="3"/>
  <c r="Y228" i="3"/>
  <c r="X228" i="3"/>
  <c r="W228" i="3"/>
  <c r="V228" i="3"/>
  <c r="U228" i="3"/>
  <c r="T228" i="3"/>
  <c r="E248" i="3" s="1"/>
  <c r="S228" i="3"/>
  <c r="R228" i="3"/>
  <c r="Q228" i="3"/>
  <c r="AR227" i="3"/>
  <c r="AC247" i="3" s="1"/>
  <c r="AQ227" i="3"/>
  <c r="AB247" i="3" s="1"/>
  <c r="AP227" i="3"/>
  <c r="AA247" i="3" s="1"/>
  <c r="AO227" i="3"/>
  <c r="Z247" i="3" s="1"/>
  <c r="AN227" i="3"/>
  <c r="Y247" i="3" s="1"/>
  <c r="AM227" i="3"/>
  <c r="X247" i="3" s="1"/>
  <c r="AL227" i="3"/>
  <c r="W247" i="3" s="1"/>
  <c r="AK227" i="3"/>
  <c r="V247" i="3" s="1"/>
  <c r="AJ227" i="3"/>
  <c r="U247" i="3" s="1"/>
  <c r="AI227" i="3"/>
  <c r="T247" i="3" s="1"/>
  <c r="AH227" i="3"/>
  <c r="S247" i="3" s="1"/>
  <c r="AG227" i="3"/>
  <c r="R247" i="3" s="1"/>
  <c r="AF227" i="3"/>
  <c r="Q247" i="3" s="1"/>
  <c r="AE227" i="3"/>
  <c r="P247" i="3" s="1"/>
  <c r="AD227" i="3"/>
  <c r="O247" i="3" s="1"/>
  <c r="AC227" i="3"/>
  <c r="N247" i="3" s="1"/>
  <c r="AB227" i="3"/>
  <c r="M247" i="3" s="1"/>
  <c r="AA227" i="3"/>
  <c r="L247" i="3" s="1"/>
  <c r="Z227" i="3"/>
  <c r="K247" i="3" s="1"/>
  <c r="Y227" i="3"/>
  <c r="J247" i="3" s="1"/>
  <c r="X227" i="3"/>
  <c r="I247" i="3" s="1"/>
  <c r="W227" i="3"/>
  <c r="H247" i="3" s="1"/>
  <c r="V227" i="3"/>
  <c r="G247" i="3" s="1"/>
  <c r="U227" i="3"/>
  <c r="F247" i="3" s="1"/>
  <c r="T227" i="3"/>
  <c r="E247" i="3" s="1"/>
  <c r="S227" i="3"/>
  <c r="D247" i="3" s="1"/>
  <c r="R227" i="3"/>
  <c r="C247" i="3" s="1"/>
  <c r="Q227" i="3"/>
  <c r="B247" i="3" s="1"/>
  <c r="AR226" i="3"/>
  <c r="AQ226" i="3"/>
  <c r="AP226" i="3"/>
  <c r="AO226" i="3"/>
  <c r="AN226" i="3"/>
  <c r="Y246" i="3" s="1"/>
  <c r="AM226" i="3"/>
  <c r="AL226" i="3"/>
  <c r="AK226" i="3"/>
  <c r="AJ226" i="3"/>
  <c r="AI226" i="3"/>
  <c r="AH226" i="3"/>
  <c r="AG226" i="3"/>
  <c r="AF226" i="3"/>
  <c r="Q246" i="3" s="1"/>
  <c r="AE226" i="3"/>
  <c r="AD226" i="3"/>
  <c r="AC226" i="3"/>
  <c r="AB226" i="3"/>
  <c r="AA226" i="3"/>
  <c r="Z226" i="3"/>
  <c r="Y226" i="3"/>
  <c r="X226" i="3"/>
  <c r="I246" i="3" s="1"/>
  <c r="W226" i="3"/>
  <c r="V226" i="3"/>
  <c r="U226" i="3"/>
  <c r="T226" i="3"/>
  <c r="S226" i="3"/>
  <c r="R226" i="3"/>
  <c r="Q226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A153" i="3"/>
  <c r="A151" i="3"/>
  <c r="A188" i="3" s="1"/>
  <c r="A150" i="3"/>
  <c r="A149" i="3"/>
  <c r="A148" i="3"/>
  <c r="A146" i="3"/>
  <c r="A163" i="3" s="1"/>
  <c r="A187" i="3" s="1"/>
  <c r="A145" i="3"/>
  <c r="A144" i="3"/>
  <c r="A162" i="3" s="1"/>
  <c r="A186" i="3" s="1"/>
  <c r="A143" i="3"/>
  <c r="A161" i="3" s="1"/>
  <c r="A173" i="3" s="1"/>
  <c r="A142" i="3"/>
  <c r="A160" i="3" s="1"/>
  <c r="A184" i="3" s="1"/>
  <c r="A141" i="3"/>
  <c r="A140" i="3"/>
  <c r="A159" i="3" s="1"/>
  <c r="A171" i="3" s="1"/>
  <c r="A139" i="3"/>
  <c r="A158" i="3" s="1"/>
  <c r="A138" i="3"/>
  <c r="A157" i="3" s="1"/>
  <c r="A181" i="3" s="1"/>
  <c r="A137" i="3"/>
  <c r="A156" i="3" s="1"/>
  <c r="A168" i="3" s="1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AR129" i="3"/>
  <c r="AQ129" i="3"/>
  <c r="AP129" i="3"/>
  <c r="AA149" i="3" s="1"/>
  <c r="AO129" i="3"/>
  <c r="AN129" i="3"/>
  <c r="AM129" i="3"/>
  <c r="AL129" i="3"/>
  <c r="AK129" i="3"/>
  <c r="AJ129" i="3"/>
  <c r="AI129" i="3"/>
  <c r="AH129" i="3"/>
  <c r="S149" i="3" s="1"/>
  <c r="AG129" i="3"/>
  <c r="AF129" i="3"/>
  <c r="AE129" i="3"/>
  <c r="AD129" i="3"/>
  <c r="AC129" i="3"/>
  <c r="AB129" i="3"/>
  <c r="AA129" i="3"/>
  <c r="Z129" i="3"/>
  <c r="K149" i="3" s="1"/>
  <c r="Y129" i="3"/>
  <c r="X129" i="3"/>
  <c r="W129" i="3"/>
  <c r="V129" i="3"/>
  <c r="U129" i="3"/>
  <c r="T129" i="3"/>
  <c r="S129" i="3"/>
  <c r="R129" i="3"/>
  <c r="C149" i="3" s="1"/>
  <c r="Q129" i="3"/>
  <c r="AR128" i="3"/>
  <c r="AC148" i="3" s="1"/>
  <c r="AQ128" i="3"/>
  <c r="AP128" i="3"/>
  <c r="AO128" i="3"/>
  <c r="AN128" i="3"/>
  <c r="AM128" i="3"/>
  <c r="AL128" i="3"/>
  <c r="AK128" i="3"/>
  <c r="AJ128" i="3"/>
  <c r="U148" i="3" s="1"/>
  <c r="AI128" i="3"/>
  <c r="AH128" i="3"/>
  <c r="AG128" i="3"/>
  <c r="AF128" i="3"/>
  <c r="AE128" i="3"/>
  <c r="AD128" i="3"/>
  <c r="AC128" i="3"/>
  <c r="AB128" i="3"/>
  <c r="M148" i="3" s="1"/>
  <c r="AA128" i="3"/>
  <c r="Z128" i="3"/>
  <c r="Y128" i="3"/>
  <c r="X128" i="3"/>
  <c r="W128" i="3"/>
  <c r="V128" i="3"/>
  <c r="U128" i="3"/>
  <c r="T128" i="3"/>
  <c r="E148" i="3" s="1"/>
  <c r="S128" i="3"/>
  <c r="R128" i="3"/>
  <c r="Q128" i="3"/>
  <c r="Q126" i="3"/>
  <c r="B146" i="3" s="1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AR124" i="3"/>
  <c r="AQ124" i="3"/>
  <c r="AP124" i="3"/>
  <c r="AA144" i="3" s="1"/>
  <c r="AO124" i="3"/>
  <c r="AN124" i="3"/>
  <c r="AM124" i="3"/>
  <c r="AL124" i="3"/>
  <c r="AK124" i="3"/>
  <c r="AJ124" i="3"/>
  <c r="AI124" i="3"/>
  <c r="AH124" i="3"/>
  <c r="S144" i="3" s="1"/>
  <c r="AG124" i="3"/>
  <c r="AF124" i="3"/>
  <c r="AE124" i="3"/>
  <c r="AD124" i="3"/>
  <c r="AC124" i="3"/>
  <c r="AB124" i="3"/>
  <c r="AA124" i="3"/>
  <c r="Z124" i="3"/>
  <c r="K144" i="3" s="1"/>
  <c r="Y124" i="3"/>
  <c r="X124" i="3"/>
  <c r="W124" i="3"/>
  <c r="V124" i="3"/>
  <c r="U124" i="3"/>
  <c r="T124" i="3"/>
  <c r="S124" i="3"/>
  <c r="R124" i="3"/>
  <c r="C144" i="3" s="1"/>
  <c r="Q124" i="3"/>
  <c r="AR123" i="3"/>
  <c r="AC143" i="3" s="1"/>
  <c r="AC161" i="3" s="1"/>
  <c r="AQ123" i="3"/>
  <c r="AB143" i="3" s="1"/>
  <c r="AB161" i="3" s="1"/>
  <c r="AP123" i="3"/>
  <c r="AA143" i="3" s="1"/>
  <c r="AA161" i="3" s="1"/>
  <c r="AO123" i="3"/>
  <c r="Z143" i="3" s="1"/>
  <c r="Z161" i="3" s="1"/>
  <c r="AN123" i="3"/>
  <c r="Y143" i="3" s="1"/>
  <c r="Y161" i="3" s="1"/>
  <c r="AM123" i="3"/>
  <c r="X143" i="3" s="1"/>
  <c r="X161" i="3" s="1"/>
  <c r="AL123" i="3"/>
  <c r="W143" i="3" s="1"/>
  <c r="W161" i="3" s="1"/>
  <c r="AK123" i="3"/>
  <c r="V143" i="3" s="1"/>
  <c r="V161" i="3" s="1"/>
  <c r="AJ123" i="3"/>
  <c r="U143" i="3" s="1"/>
  <c r="U161" i="3" s="1"/>
  <c r="AI123" i="3"/>
  <c r="T143" i="3" s="1"/>
  <c r="T161" i="3" s="1"/>
  <c r="AH123" i="3"/>
  <c r="S143" i="3" s="1"/>
  <c r="S161" i="3" s="1"/>
  <c r="AG123" i="3"/>
  <c r="R143" i="3" s="1"/>
  <c r="R161" i="3" s="1"/>
  <c r="AF123" i="3"/>
  <c r="Q143" i="3" s="1"/>
  <c r="Q161" i="3" s="1"/>
  <c r="AE123" i="3"/>
  <c r="P143" i="3" s="1"/>
  <c r="P161" i="3" s="1"/>
  <c r="AD123" i="3"/>
  <c r="O143" i="3" s="1"/>
  <c r="O161" i="3" s="1"/>
  <c r="AC123" i="3"/>
  <c r="N143" i="3" s="1"/>
  <c r="N161" i="3" s="1"/>
  <c r="AB123" i="3"/>
  <c r="M143" i="3" s="1"/>
  <c r="M161" i="3" s="1"/>
  <c r="AA123" i="3"/>
  <c r="L143" i="3" s="1"/>
  <c r="L161" i="3" s="1"/>
  <c r="Z123" i="3"/>
  <c r="K143" i="3" s="1"/>
  <c r="K161" i="3" s="1"/>
  <c r="Y123" i="3"/>
  <c r="J143" i="3" s="1"/>
  <c r="J161" i="3" s="1"/>
  <c r="X123" i="3"/>
  <c r="I143" i="3" s="1"/>
  <c r="I161" i="3" s="1"/>
  <c r="W123" i="3"/>
  <c r="H143" i="3" s="1"/>
  <c r="H161" i="3" s="1"/>
  <c r="V123" i="3"/>
  <c r="G143" i="3" s="1"/>
  <c r="G161" i="3" s="1"/>
  <c r="U123" i="3"/>
  <c r="F143" i="3" s="1"/>
  <c r="F161" i="3" s="1"/>
  <c r="T123" i="3"/>
  <c r="E143" i="3" s="1"/>
  <c r="E161" i="3" s="1"/>
  <c r="S123" i="3"/>
  <c r="D143" i="3" s="1"/>
  <c r="D161" i="3" s="1"/>
  <c r="R123" i="3"/>
  <c r="C143" i="3" s="1"/>
  <c r="C161" i="3" s="1"/>
  <c r="Q123" i="3"/>
  <c r="B143" i="3" s="1"/>
  <c r="AR122" i="3"/>
  <c r="AC142" i="3" s="1"/>
  <c r="AC160" i="3" s="1"/>
  <c r="AQ122" i="3"/>
  <c r="AB142" i="3" s="1"/>
  <c r="AB160" i="3" s="1"/>
  <c r="AP122" i="3"/>
  <c r="AA142" i="3" s="1"/>
  <c r="AA160" i="3" s="1"/>
  <c r="AO122" i="3"/>
  <c r="Z142" i="3" s="1"/>
  <c r="Z160" i="3" s="1"/>
  <c r="AN122" i="3"/>
  <c r="Y142" i="3" s="1"/>
  <c r="Y160" i="3" s="1"/>
  <c r="AM122" i="3"/>
  <c r="X142" i="3" s="1"/>
  <c r="X160" i="3" s="1"/>
  <c r="AL122" i="3"/>
  <c r="W142" i="3" s="1"/>
  <c r="W160" i="3" s="1"/>
  <c r="AK122" i="3"/>
  <c r="V142" i="3" s="1"/>
  <c r="V160" i="3" s="1"/>
  <c r="AJ122" i="3"/>
  <c r="U142" i="3" s="1"/>
  <c r="U160" i="3" s="1"/>
  <c r="AI122" i="3"/>
  <c r="T142" i="3" s="1"/>
  <c r="T160" i="3" s="1"/>
  <c r="AH122" i="3"/>
  <c r="S142" i="3" s="1"/>
  <c r="S160" i="3" s="1"/>
  <c r="AG122" i="3"/>
  <c r="R142" i="3" s="1"/>
  <c r="R160" i="3" s="1"/>
  <c r="AF122" i="3"/>
  <c r="Q142" i="3" s="1"/>
  <c r="Q160" i="3" s="1"/>
  <c r="AE122" i="3"/>
  <c r="P142" i="3" s="1"/>
  <c r="P160" i="3" s="1"/>
  <c r="AD122" i="3"/>
  <c r="O142" i="3" s="1"/>
  <c r="O160" i="3" s="1"/>
  <c r="AC122" i="3"/>
  <c r="N142" i="3" s="1"/>
  <c r="N160" i="3" s="1"/>
  <c r="AB122" i="3"/>
  <c r="M142" i="3" s="1"/>
  <c r="M160" i="3" s="1"/>
  <c r="AA122" i="3"/>
  <c r="L142" i="3" s="1"/>
  <c r="L160" i="3" s="1"/>
  <c r="Z122" i="3"/>
  <c r="K142" i="3" s="1"/>
  <c r="K160" i="3" s="1"/>
  <c r="Y122" i="3"/>
  <c r="J142" i="3" s="1"/>
  <c r="J160" i="3" s="1"/>
  <c r="X122" i="3"/>
  <c r="I142" i="3" s="1"/>
  <c r="I160" i="3" s="1"/>
  <c r="W122" i="3"/>
  <c r="H142" i="3" s="1"/>
  <c r="H160" i="3" s="1"/>
  <c r="V122" i="3"/>
  <c r="G142" i="3" s="1"/>
  <c r="G160" i="3" s="1"/>
  <c r="U122" i="3"/>
  <c r="F142" i="3" s="1"/>
  <c r="F160" i="3" s="1"/>
  <c r="T122" i="3"/>
  <c r="E142" i="3" s="1"/>
  <c r="E160" i="3" s="1"/>
  <c r="S122" i="3"/>
  <c r="D142" i="3" s="1"/>
  <c r="D160" i="3" s="1"/>
  <c r="R122" i="3"/>
  <c r="C142" i="3" s="1"/>
  <c r="C160" i="3" s="1"/>
  <c r="Q122" i="3"/>
  <c r="B142" i="3" s="1"/>
  <c r="B160" i="3" s="1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AR119" i="3"/>
  <c r="AC139" i="3" s="1"/>
  <c r="AQ119" i="3"/>
  <c r="AB139" i="3" s="1"/>
  <c r="AP119" i="3"/>
  <c r="AA139" i="3" s="1"/>
  <c r="AO119" i="3"/>
  <c r="Z139" i="3" s="1"/>
  <c r="AN119" i="3"/>
  <c r="Y139" i="3" s="1"/>
  <c r="AM119" i="3"/>
  <c r="X139" i="3" s="1"/>
  <c r="AL119" i="3"/>
  <c r="W139" i="3" s="1"/>
  <c r="AK119" i="3"/>
  <c r="V139" i="3" s="1"/>
  <c r="AJ119" i="3"/>
  <c r="U139" i="3" s="1"/>
  <c r="AI119" i="3"/>
  <c r="T139" i="3" s="1"/>
  <c r="AH119" i="3"/>
  <c r="S139" i="3" s="1"/>
  <c r="AG119" i="3"/>
  <c r="R139" i="3" s="1"/>
  <c r="AF119" i="3"/>
  <c r="Q139" i="3" s="1"/>
  <c r="AE119" i="3"/>
  <c r="P139" i="3" s="1"/>
  <c r="AD119" i="3"/>
  <c r="O139" i="3" s="1"/>
  <c r="AC119" i="3"/>
  <c r="N139" i="3" s="1"/>
  <c r="AB119" i="3"/>
  <c r="M139" i="3" s="1"/>
  <c r="AA119" i="3"/>
  <c r="L139" i="3" s="1"/>
  <c r="Z119" i="3"/>
  <c r="K139" i="3" s="1"/>
  <c r="Y119" i="3"/>
  <c r="J139" i="3" s="1"/>
  <c r="X119" i="3"/>
  <c r="I139" i="3" s="1"/>
  <c r="W119" i="3"/>
  <c r="H139" i="3" s="1"/>
  <c r="V119" i="3"/>
  <c r="G139" i="3" s="1"/>
  <c r="U119" i="3"/>
  <c r="F139" i="3" s="1"/>
  <c r="T119" i="3"/>
  <c r="E139" i="3" s="1"/>
  <c r="S119" i="3"/>
  <c r="D139" i="3" s="1"/>
  <c r="R119" i="3"/>
  <c r="C139" i="3" s="1"/>
  <c r="Q119" i="3"/>
  <c r="B139" i="3" s="1"/>
  <c r="AR118" i="3"/>
  <c r="AC138" i="3" s="1"/>
  <c r="AQ118" i="3"/>
  <c r="AB138" i="3" s="1"/>
  <c r="AP118" i="3"/>
  <c r="AA138" i="3" s="1"/>
  <c r="AO118" i="3"/>
  <c r="Z138" i="3" s="1"/>
  <c r="AN118" i="3"/>
  <c r="Y138" i="3" s="1"/>
  <c r="AM118" i="3"/>
  <c r="X138" i="3" s="1"/>
  <c r="AL118" i="3"/>
  <c r="W138" i="3" s="1"/>
  <c r="AK118" i="3"/>
  <c r="V138" i="3" s="1"/>
  <c r="AJ118" i="3"/>
  <c r="U138" i="3" s="1"/>
  <c r="AI118" i="3"/>
  <c r="T138" i="3" s="1"/>
  <c r="AH118" i="3"/>
  <c r="S138" i="3" s="1"/>
  <c r="AG118" i="3"/>
  <c r="R138" i="3" s="1"/>
  <c r="AF118" i="3"/>
  <c r="Q138" i="3" s="1"/>
  <c r="AE118" i="3"/>
  <c r="P138" i="3" s="1"/>
  <c r="AD118" i="3"/>
  <c r="O138" i="3" s="1"/>
  <c r="AC118" i="3"/>
  <c r="N138" i="3" s="1"/>
  <c r="AB118" i="3"/>
  <c r="M138" i="3" s="1"/>
  <c r="AA118" i="3"/>
  <c r="L138" i="3" s="1"/>
  <c r="Z118" i="3"/>
  <c r="K138" i="3" s="1"/>
  <c r="Y118" i="3"/>
  <c r="J138" i="3" s="1"/>
  <c r="X118" i="3"/>
  <c r="I138" i="3" s="1"/>
  <c r="W118" i="3"/>
  <c r="H138" i="3" s="1"/>
  <c r="V118" i="3"/>
  <c r="G138" i="3" s="1"/>
  <c r="U118" i="3"/>
  <c r="F138" i="3" s="1"/>
  <c r="T118" i="3"/>
  <c r="E138" i="3" s="1"/>
  <c r="S118" i="3"/>
  <c r="D138" i="3" s="1"/>
  <c r="R118" i="3"/>
  <c r="C138" i="3" s="1"/>
  <c r="Q118" i="3"/>
  <c r="B138" i="3" s="1"/>
  <c r="AR117" i="3"/>
  <c r="AQ117" i="3"/>
  <c r="AP117" i="3"/>
  <c r="AO117" i="3"/>
  <c r="AN117" i="3"/>
  <c r="AM117" i="3"/>
  <c r="AL117" i="3"/>
  <c r="W137" i="3" s="1"/>
  <c r="AK117" i="3"/>
  <c r="V137" i="3" s="1"/>
  <c r="AJ117" i="3"/>
  <c r="AI117" i="3"/>
  <c r="AH117" i="3"/>
  <c r="AG117" i="3"/>
  <c r="AF117" i="3"/>
  <c r="AE117" i="3"/>
  <c r="AD117" i="3"/>
  <c r="O137" i="3" s="1"/>
  <c r="AC117" i="3"/>
  <c r="N137" i="3" s="1"/>
  <c r="AB117" i="3"/>
  <c r="AA117" i="3"/>
  <c r="Z117" i="3"/>
  <c r="Y117" i="3"/>
  <c r="X117" i="3"/>
  <c r="W117" i="3"/>
  <c r="V117" i="3"/>
  <c r="G137" i="3" s="1"/>
  <c r="U117" i="3"/>
  <c r="F137" i="3" s="1"/>
  <c r="T117" i="3"/>
  <c r="S117" i="3"/>
  <c r="R117" i="3"/>
  <c r="Q117" i="3"/>
  <c r="A83" i="3"/>
  <c r="A47" i="3"/>
  <c r="A45" i="3"/>
  <c r="A82" i="3" s="1"/>
  <c r="A44" i="3"/>
  <c r="A43" i="3"/>
  <c r="A42" i="3"/>
  <c r="A40" i="3"/>
  <c r="A57" i="3" s="1"/>
  <c r="A39" i="3"/>
  <c r="A38" i="3"/>
  <c r="A56" i="3" s="1"/>
  <c r="A37" i="3"/>
  <c r="A55" i="3" s="1"/>
  <c r="A36" i="3"/>
  <c r="A54" i="3" s="1"/>
  <c r="A35" i="3"/>
  <c r="A34" i="3"/>
  <c r="A53" i="3" s="1"/>
  <c r="A33" i="3"/>
  <c r="A52" i="3" s="1"/>
  <c r="A32" i="3"/>
  <c r="A51" i="3" s="1"/>
  <c r="A31" i="3"/>
  <c r="A50" i="3" s="1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J44" i="3" s="1"/>
  <c r="X24" i="3"/>
  <c r="W24" i="3"/>
  <c r="V24" i="3"/>
  <c r="U24" i="3"/>
  <c r="T24" i="3"/>
  <c r="S24" i="3"/>
  <c r="R24" i="3"/>
  <c r="Q24" i="3"/>
  <c r="AR23" i="3"/>
  <c r="AC43" i="3" s="1"/>
  <c r="AQ23" i="3"/>
  <c r="AB43" i="3" s="1"/>
  <c r="AP23" i="3"/>
  <c r="AA43" i="3" s="1"/>
  <c r="AO23" i="3"/>
  <c r="Z43" i="3" s="1"/>
  <c r="AN23" i="3"/>
  <c r="Y43" i="3" s="1"/>
  <c r="AM23" i="3"/>
  <c r="X43" i="3" s="1"/>
  <c r="AL23" i="3"/>
  <c r="W43" i="3" s="1"/>
  <c r="AK23" i="3"/>
  <c r="V43" i="3" s="1"/>
  <c r="AJ23" i="3"/>
  <c r="U43" i="3" s="1"/>
  <c r="AI23" i="3"/>
  <c r="T43" i="3" s="1"/>
  <c r="AH23" i="3"/>
  <c r="S43" i="3" s="1"/>
  <c r="AG23" i="3"/>
  <c r="R43" i="3" s="1"/>
  <c r="AF23" i="3"/>
  <c r="Q43" i="3" s="1"/>
  <c r="AE23" i="3"/>
  <c r="P43" i="3" s="1"/>
  <c r="AD23" i="3"/>
  <c r="O43" i="3" s="1"/>
  <c r="AC23" i="3"/>
  <c r="N43" i="3" s="1"/>
  <c r="AB23" i="3"/>
  <c r="M43" i="3" s="1"/>
  <c r="AA23" i="3"/>
  <c r="L43" i="3" s="1"/>
  <c r="Z23" i="3"/>
  <c r="K43" i="3" s="1"/>
  <c r="Y23" i="3"/>
  <c r="J43" i="3" s="1"/>
  <c r="X23" i="3"/>
  <c r="I43" i="3" s="1"/>
  <c r="W23" i="3"/>
  <c r="H43" i="3" s="1"/>
  <c r="V23" i="3"/>
  <c r="G43" i="3" s="1"/>
  <c r="U23" i="3"/>
  <c r="F43" i="3" s="1"/>
  <c r="T23" i="3"/>
  <c r="E43" i="3" s="1"/>
  <c r="S23" i="3"/>
  <c r="D43" i="3" s="1"/>
  <c r="R23" i="3"/>
  <c r="C43" i="3" s="1"/>
  <c r="Q23" i="3"/>
  <c r="B43" i="3" s="1"/>
  <c r="AR22" i="3"/>
  <c r="AC42" i="3" s="1"/>
  <c r="AQ22" i="3"/>
  <c r="AB42" i="3" s="1"/>
  <c r="AP22" i="3"/>
  <c r="AA42" i="3" s="1"/>
  <c r="AO22" i="3"/>
  <c r="Z42" i="3" s="1"/>
  <c r="AN22" i="3"/>
  <c r="Y42" i="3" s="1"/>
  <c r="AM22" i="3"/>
  <c r="X42" i="3" s="1"/>
  <c r="AL22" i="3"/>
  <c r="W42" i="3" s="1"/>
  <c r="AK22" i="3"/>
  <c r="V42" i="3" s="1"/>
  <c r="AJ22" i="3"/>
  <c r="U42" i="3" s="1"/>
  <c r="AI22" i="3"/>
  <c r="T42" i="3" s="1"/>
  <c r="AH22" i="3"/>
  <c r="S42" i="3" s="1"/>
  <c r="AG22" i="3"/>
  <c r="R42" i="3" s="1"/>
  <c r="AF22" i="3"/>
  <c r="Q42" i="3" s="1"/>
  <c r="AE22" i="3"/>
  <c r="P42" i="3" s="1"/>
  <c r="AD22" i="3"/>
  <c r="O42" i="3" s="1"/>
  <c r="AC22" i="3"/>
  <c r="N42" i="3" s="1"/>
  <c r="AB22" i="3"/>
  <c r="M42" i="3" s="1"/>
  <c r="AA22" i="3"/>
  <c r="L42" i="3" s="1"/>
  <c r="Z22" i="3"/>
  <c r="K42" i="3" s="1"/>
  <c r="Y22" i="3"/>
  <c r="J42" i="3" s="1"/>
  <c r="X22" i="3"/>
  <c r="I42" i="3" s="1"/>
  <c r="W22" i="3"/>
  <c r="H42" i="3" s="1"/>
  <c r="V22" i="3"/>
  <c r="G42" i="3" s="1"/>
  <c r="U22" i="3"/>
  <c r="F42" i="3" s="1"/>
  <c r="T22" i="3"/>
  <c r="E42" i="3" s="1"/>
  <c r="S22" i="3"/>
  <c r="D42" i="3" s="1"/>
  <c r="R22" i="3"/>
  <c r="C42" i="3" s="1"/>
  <c r="Q22" i="3"/>
  <c r="B42" i="3" s="1"/>
  <c r="Q20" i="3"/>
  <c r="B40" i="3" s="1"/>
  <c r="AR19" i="3"/>
  <c r="AC39" i="3" s="1"/>
  <c r="AQ19" i="3"/>
  <c r="AB39" i="3" s="1"/>
  <c r="AP19" i="3"/>
  <c r="AA39" i="3" s="1"/>
  <c r="AO19" i="3"/>
  <c r="Z39" i="3" s="1"/>
  <c r="AN19" i="3"/>
  <c r="Y39" i="3" s="1"/>
  <c r="AM19" i="3"/>
  <c r="X39" i="3" s="1"/>
  <c r="AL19" i="3"/>
  <c r="W39" i="3" s="1"/>
  <c r="AK19" i="3"/>
  <c r="V39" i="3" s="1"/>
  <c r="AJ19" i="3"/>
  <c r="U39" i="3" s="1"/>
  <c r="AI19" i="3"/>
  <c r="T39" i="3" s="1"/>
  <c r="AH19" i="3"/>
  <c r="S39" i="3" s="1"/>
  <c r="AG19" i="3"/>
  <c r="R39" i="3" s="1"/>
  <c r="AF19" i="3"/>
  <c r="Q39" i="3" s="1"/>
  <c r="AE19" i="3"/>
  <c r="P39" i="3" s="1"/>
  <c r="AD19" i="3"/>
  <c r="O39" i="3" s="1"/>
  <c r="AC19" i="3"/>
  <c r="N39" i="3" s="1"/>
  <c r="AB19" i="3"/>
  <c r="M39" i="3" s="1"/>
  <c r="AA19" i="3"/>
  <c r="L39" i="3" s="1"/>
  <c r="Z19" i="3"/>
  <c r="K39" i="3" s="1"/>
  <c r="Y19" i="3"/>
  <c r="J39" i="3" s="1"/>
  <c r="X19" i="3"/>
  <c r="I39" i="3" s="1"/>
  <c r="W19" i="3"/>
  <c r="H39" i="3" s="1"/>
  <c r="V19" i="3"/>
  <c r="G39" i="3" s="1"/>
  <c r="U19" i="3"/>
  <c r="F39" i="3" s="1"/>
  <c r="T19" i="3"/>
  <c r="E39" i="3" s="1"/>
  <c r="S19" i="3"/>
  <c r="D39" i="3" s="1"/>
  <c r="R19" i="3"/>
  <c r="C39" i="3" s="1"/>
  <c r="Q19" i="3"/>
  <c r="B39" i="3" s="1"/>
  <c r="AR18" i="3"/>
  <c r="AC38" i="3" s="1"/>
  <c r="AQ18" i="3"/>
  <c r="AB38" i="3" s="1"/>
  <c r="AP18" i="3"/>
  <c r="AA38" i="3" s="1"/>
  <c r="AO18" i="3"/>
  <c r="Z38" i="3" s="1"/>
  <c r="AN18" i="3"/>
  <c r="Y38" i="3" s="1"/>
  <c r="AM18" i="3"/>
  <c r="X38" i="3" s="1"/>
  <c r="AL18" i="3"/>
  <c r="W38" i="3" s="1"/>
  <c r="AK18" i="3"/>
  <c r="V38" i="3" s="1"/>
  <c r="AJ18" i="3"/>
  <c r="U38" i="3" s="1"/>
  <c r="AI18" i="3"/>
  <c r="T38" i="3" s="1"/>
  <c r="AH18" i="3"/>
  <c r="S38" i="3" s="1"/>
  <c r="AG18" i="3"/>
  <c r="R38" i="3" s="1"/>
  <c r="AF18" i="3"/>
  <c r="Q38" i="3" s="1"/>
  <c r="AE18" i="3"/>
  <c r="P38" i="3" s="1"/>
  <c r="AD18" i="3"/>
  <c r="O38" i="3" s="1"/>
  <c r="AC18" i="3"/>
  <c r="N38" i="3" s="1"/>
  <c r="AB18" i="3"/>
  <c r="M38" i="3" s="1"/>
  <c r="AA18" i="3"/>
  <c r="L38" i="3" s="1"/>
  <c r="Z18" i="3"/>
  <c r="K38" i="3" s="1"/>
  <c r="Y18" i="3"/>
  <c r="J38" i="3" s="1"/>
  <c r="X18" i="3"/>
  <c r="I38" i="3" s="1"/>
  <c r="W18" i="3"/>
  <c r="H38" i="3" s="1"/>
  <c r="V18" i="3"/>
  <c r="G38" i="3" s="1"/>
  <c r="U18" i="3"/>
  <c r="F38" i="3" s="1"/>
  <c r="T18" i="3"/>
  <c r="E38" i="3" s="1"/>
  <c r="S18" i="3"/>
  <c r="D38" i="3" s="1"/>
  <c r="R18" i="3"/>
  <c r="C38" i="3" s="1"/>
  <c r="Q18" i="3"/>
  <c r="B38" i="3" s="1"/>
  <c r="AR17" i="3"/>
  <c r="AC37" i="3" s="1"/>
  <c r="AC55" i="3" s="1"/>
  <c r="AQ17" i="3"/>
  <c r="AB37" i="3" s="1"/>
  <c r="AB55" i="3" s="1"/>
  <c r="AP17" i="3"/>
  <c r="AA37" i="3" s="1"/>
  <c r="AA55" i="3" s="1"/>
  <c r="AO17" i="3"/>
  <c r="Z37" i="3" s="1"/>
  <c r="Z55" i="3" s="1"/>
  <c r="AN17" i="3"/>
  <c r="Y37" i="3" s="1"/>
  <c r="Y55" i="3" s="1"/>
  <c r="AM17" i="3"/>
  <c r="X37" i="3" s="1"/>
  <c r="X55" i="3" s="1"/>
  <c r="AL17" i="3"/>
  <c r="W37" i="3" s="1"/>
  <c r="W55" i="3" s="1"/>
  <c r="AK17" i="3"/>
  <c r="V37" i="3" s="1"/>
  <c r="V55" i="3" s="1"/>
  <c r="AJ17" i="3"/>
  <c r="U37" i="3" s="1"/>
  <c r="U55" i="3" s="1"/>
  <c r="AI17" i="3"/>
  <c r="T37" i="3" s="1"/>
  <c r="T55" i="3" s="1"/>
  <c r="AH17" i="3"/>
  <c r="S37" i="3" s="1"/>
  <c r="S55" i="3" s="1"/>
  <c r="AG17" i="3"/>
  <c r="R37" i="3" s="1"/>
  <c r="R55" i="3" s="1"/>
  <c r="AF17" i="3"/>
  <c r="Q37" i="3" s="1"/>
  <c r="Q55" i="3" s="1"/>
  <c r="AE17" i="3"/>
  <c r="P37" i="3" s="1"/>
  <c r="P55" i="3" s="1"/>
  <c r="AD17" i="3"/>
  <c r="O37" i="3" s="1"/>
  <c r="O55" i="3" s="1"/>
  <c r="AC17" i="3"/>
  <c r="N37" i="3" s="1"/>
  <c r="N55" i="3" s="1"/>
  <c r="AB17" i="3"/>
  <c r="M37" i="3" s="1"/>
  <c r="M55" i="3" s="1"/>
  <c r="AA17" i="3"/>
  <c r="L37" i="3" s="1"/>
  <c r="L55" i="3" s="1"/>
  <c r="Z17" i="3"/>
  <c r="K37" i="3" s="1"/>
  <c r="K55" i="3" s="1"/>
  <c r="Y17" i="3"/>
  <c r="J37" i="3" s="1"/>
  <c r="J55" i="3" s="1"/>
  <c r="X17" i="3"/>
  <c r="I37" i="3" s="1"/>
  <c r="I55" i="3" s="1"/>
  <c r="W17" i="3"/>
  <c r="H37" i="3" s="1"/>
  <c r="H55" i="3" s="1"/>
  <c r="V17" i="3"/>
  <c r="G37" i="3" s="1"/>
  <c r="G55" i="3" s="1"/>
  <c r="U17" i="3"/>
  <c r="F37" i="3" s="1"/>
  <c r="F55" i="3" s="1"/>
  <c r="T17" i="3"/>
  <c r="E37" i="3" s="1"/>
  <c r="E55" i="3" s="1"/>
  <c r="S17" i="3"/>
  <c r="D37" i="3" s="1"/>
  <c r="D55" i="3" s="1"/>
  <c r="R17" i="3"/>
  <c r="C37" i="3" s="1"/>
  <c r="C55" i="3" s="1"/>
  <c r="Q17" i="3"/>
  <c r="B37" i="3" s="1"/>
  <c r="B55" i="3" s="1"/>
  <c r="AR16" i="3"/>
  <c r="AC36" i="3" s="1"/>
  <c r="AC54" i="3" s="1"/>
  <c r="AQ16" i="3"/>
  <c r="AB36" i="3" s="1"/>
  <c r="AB54" i="3" s="1"/>
  <c r="AP16" i="3"/>
  <c r="AA36" i="3" s="1"/>
  <c r="AA54" i="3" s="1"/>
  <c r="AO16" i="3"/>
  <c r="Z36" i="3" s="1"/>
  <c r="Z54" i="3" s="1"/>
  <c r="AN16" i="3"/>
  <c r="Y36" i="3" s="1"/>
  <c r="Y54" i="3" s="1"/>
  <c r="AM16" i="3"/>
  <c r="X36" i="3" s="1"/>
  <c r="X54" i="3" s="1"/>
  <c r="AL16" i="3"/>
  <c r="W36" i="3" s="1"/>
  <c r="W54" i="3" s="1"/>
  <c r="AK16" i="3"/>
  <c r="V36" i="3" s="1"/>
  <c r="V54" i="3" s="1"/>
  <c r="AJ16" i="3"/>
  <c r="U36" i="3" s="1"/>
  <c r="U54" i="3" s="1"/>
  <c r="AI16" i="3"/>
  <c r="T36" i="3" s="1"/>
  <c r="T54" i="3" s="1"/>
  <c r="AH16" i="3"/>
  <c r="S36" i="3" s="1"/>
  <c r="S54" i="3" s="1"/>
  <c r="AG16" i="3"/>
  <c r="R36" i="3" s="1"/>
  <c r="R54" i="3" s="1"/>
  <c r="AF16" i="3"/>
  <c r="Q36" i="3" s="1"/>
  <c r="Q54" i="3" s="1"/>
  <c r="AE16" i="3"/>
  <c r="P36" i="3" s="1"/>
  <c r="P54" i="3" s="1"/>
  <c r="AD16" i="3"/>
  <c r="O36" i="3" s="1"/>
  <c r="O54" i="3" s="1"/>
  <c r="AC16" i="3"/>
  <c r="N36" i="3" s="1"/>
  <c r="N54" i="3" s="1"/>
  <c r="AB16" i="3"/>
  <c r="M36" i="3" s="1"/>
  <c r="M54" i="3" s="1"/>
  <c r="AA16" i="3"/>
  <c r="L36" i="3" s="1"/>
  <c r="L54" i="3" s="1"/>
  <c r="Z16" i="3"/>
  <c r="K36" i="3" s="1"/>
  <c r="K54" i="3" s="1"/>
  <c r="Y16" i="3"/>
  <c r="J36" i="3" s="1"/>
  <c r="J54" i="3" s="1"/>
  <c r="X16" i="3"/>
  <c r="I36" i="3" s="1"/>
  <c r="I54" i="3" s="1"/>
  <c r="W16" i="3"/>
  <c r="H36" i="3" s="1"/>
  <c r="H54" i="3" s="1"/>
  <c r="V16" i="3"/>
  <c r="G36" i="3" s="1"/>
  <c r="G54" i="3" s="1"/>
  <c r="U16" i="3"/>
  <c r="F36" i="3" s="1"/>
  <c r="F54" i="3" s="1"/>
  <c r="T16" i="3"/>
  <c r="E36" i="3" s="1"/>
  <c r="E54" i="3" s="1"/>
  <c r="S16" i="3"/>
  <c r="D36" i="3" s="1"/>
  <c r="D54" i="3" s="1"/>
  <c r="R16" i="3"/>
  <c r="C36" i="3" s="1"/>
  <c r="C54" i="3" s="1"/>
  <c r="Q16" i="3"/>
  <c r="B36" i="3" s="1"/>
  <c r="B54" i="3" s="1"/>
  <c r="AR15" i="3"/>
  <c r="AC35" i="3" s="1"/>
  <c r="AQ15" i="3"/>
  <c r="AB35" i="3" s="1"/>
  <c r="AP15" i="3"/>
  <c r="AA35" i="3" s="1"/>
  <c r="AO15" i="3"/>
  <c r="Z35" i="3" s="1"/>
  <c r="AN15" i="3"/>
  <c r="Y35" i="3" s="1"/>
  <c r="AM15" i="3"/>
  <c r="X35" i="3" s="1"/>
  <c r="AL15" i="3"/>
  <c r="W35" i="3" s="1"/>
  <c r="AK15" i="3"/>
  <c r="V35" i="3" s="1"/>
  <c r="AJ15" i="3"/>
  <c r="U35" i="3" s="1"/>
  <c r="AI15" i="3"/>
  <c r="T35" i="3" s="1"/>
  <c r="AH15" i="3"/>
  <c r="S35" i="3" s="1"/>
  <c r="AG15" i="3"/>
  <c r="R35" i="3" s="1"/>
  <c r="AF15" i="3"/>
  <c r="Q35" i="3" s="1"/>
  <c r="AE15" i="3"/>
  <c r="P35" i="3" s="1"/>
  <c r="AD15" i="3"/>
  <c r="O35" i="3" s="1"/>
  <c r="AC15" i="3"/>
  <c r="N35" i="3" s="1"/>
  <c r="AB15" i="3"/>
  <c r="M35" i="3" s="1"/>
  <c r="AA15" i="3"/>
  <c r="L35" i="3" s="1"/>
  <c r="Z15" i="3"/>
  <c r="K35" i="3" s="1"/>
  <c r="Y15" i="3"/>
  <c r="J35" i="3" s="1"/>
  <c r="X15" i="3"/>
  <c r="I35" i="3" s="1"/>
  <c r="W15" i="3"/>
  <c r="H35" i="3" s="1"/>
  <c r="V15" i="3"/>
  <c r="G35" i="3" s="1"/>
  <c r="U15" i="3"/>
  <c r="F35" i="3" s="1"/>
  <c r="T15" i="3"/>
  <c r="E35" i="3" s="1"/>
  <c r="S15" i="3"/>
  <c r="D35" i="3" s="1"/>
  <c r="R15" i="3"/>
  <c r="C35" i="3" s="1"/>
  <c r="Q15" i="3"/>
  <c r="B35" i="3" s="1"/>
  <c r="AR14" i="3"/>
  <c r="AC34" i="3" s="1"/>
  <c r="AQ14" i="3"/>
  <c r="AB34" i="3" s="1"/>
  <c r="AP14" i="3"/>
  <c r="AA34" i="3" s="1"/>
  <c r="AO14" i="3"/>
  <c r="Z34" i="3" s="1"/>
  <c r="AN14" i="3"/>
  <c r="Y34" i="3" s="1"/>
  <c r="AM14" i="3"/>
  <c r="X34" i="3" s="1"/>
  <c r="AL14" i="3"/>
  <c r="W34" i="3" s="1"/>
  <c r="AK14" i="3"/>
  <c r="V34" i="3" s="1"/>
  <c r="AJ14" i="3"/>
  <c r="U34" i="3" s="1"/>
  <c r="AI14" i="3"/>
  <c r="T34" i="3" s="1"/>
  <c r="AH14" i="3"/>
  <c r="S34" i="3" s="1"/>
  <c r="AG14" i="3"/>
  <c r="R34" i="3" s="1"/>
  <c r="AF14" i="3"/>
  <c r="Q34" i="3" s="1"/>
  <c r="AE14" i="3"/>
  <c r="P34" i="3" s="1"/>
  <c r="AD14" i="3"/>
  <c r="O34" i="3" s="1"/>
  <c r="AC14" i="3"/>
  <c r="N34" i="3" s="1"/>
  <c r="AB14" i="3"/>
  <c r="M34" i="3" s="1"/>
  <c r="AA14" i="3"/>
  <c r="L34" i="3" s="1"/>
  <c r="Z14" i="3"/>
  <c r="K34" i="3" s="1"/>
  <c r="Y14" i="3"/>
  <c r="J34" i="3" s="1"/>
  <c r="X14" i="3"/>
  <c r="I34" i="3" s="1"/>
  <c r="W14" i="3"/>
  <c r="H34" i="3" s="1"/>
  <c r="V14" i="3"/>
  <c r="G34" i="3" s="1"/>
  <c r="U14" i="3"/>
  <c r="F34" i="3" s="1"/>
  <c r="T14" i="3"/>
  <c r="E34" i="3" s="1"/>
  <c r="S14" i="3"/>
  <c r="D34" i="3" s="1"/>
  <c r="R14" i="3"/>
  <c r="C34" i="3" s="1"/>
  <c r="Q14" i="3"/>
  <c r="B34" i="3" s="1"/>
  <c r="AR13" i="3"/>
  <c r="AC33" i="3" s="1"/>
  <c r="AQ13" i="3"/>
  <c r="AB33" i="3" s="1"/>
  <c r="AP13" i="3"/>
  <c r="AA33" i="3" s="1"/>
  <c r="AO13" i="3"/>
  <c r="Z33" i="3" s="1"/>
  <c r="AN13" i="3"/>
  <c r="Y33" i="3" s="1"/>
  <c r="AM13" i="3"/>
  <c r="X33" i="3" s="1"/>
  <c r="AL13" i="3"/>
  <c r="W33" i="3" s="1"/>
  <c r="AK13" i="3"/>
  <c r="V33" i="3" s="1"/>
  <c r="AJ13" i="3"/>
  <c r="U33" i="3" s="1"/>
  <c r="AI13" i="3"/>
  <c r="T33" i="3" s="1"/>
  <c r="AH13" i="3"/>
  <c r="S33" i="3" s="1"/>
  <c r="AG13" i="3"/>
  <c r="R33" i="3" s="1"/>
  <c r="AF13" i="3"/>
  <c r="Q33" i="3" s="1"/>
  <c r="AE13" i="3"/>
  <c r="P33" i="3" s="1"/>
  <c r="AD13" i="3"/>
  <c r="O33" i="3" s="1"/>
  <c r="AC13" i="3"/>
  <c r="N33" i="3" s="1"/>
  <c r="AB13" i="3"/>
  <c r="M33" i="3" s="1"/>
  <c r="AA13" i="3"/>
  <c r="L33" i="3" s="1"/>
  <c r="Z13" i="3"/>
  <c r="K33" i="3" s="1"/>
  <c r="Y13" i="3"/>
  <c r="J33" i="3" s="1"/>
  <c r="X13" i="3"/>
  <c r="I33" i="3" s="1"/>
  <c r="W13" i="3"/>
  <c r="H33" i="3" s="1"/>
  <c r="V13" i="3"/>
  <c r="G33" i="3" s="1"/>
  <c r="U13" i="3"/>
  <c r="F33" i="3" s="1"/>
  <c r="T13" i="3"/>
  <c r="E33" i="3" s="1"/>
  <c r="S13" i="3"/>
  <c r="D33" i="3" s="1"/>
  <c r="R13" i="3"/>
  <c r="C33" i="3" s="1"/>
  <c r="Q13" i="3"/>
  <c r="B33" i="3" s="1"/>
  <c r="AR12" i="3"/>
  <c r="AC32" i="3" s="1"/>
  <c r="AQ12" i="3"/>
  <c r="AB32" i="3" s="1"/>
  <c r="AP12" i="3"/>
  <c r="AA32" i="3" s="1"/>
  <c r="AO12" i="3"/>
  <c r="Z32" i="3" s="1"/>
  <c r="AN12" i="3"/>
  <c r="Y32" i="3" s="1"/>
  <c r="AM12" i="3"/>
  <c r="X32" i="3" s="1"/>
  <c r="AL12" i="3"/>
  <c r="W32" i="3" s="1"/>
  <c r="AK12" i="3"/>
  <c r="V32" i="3" s="1"/>
  <c r="AJ12" i="3"/>
  <c r="U32" i="3" s="1"/>
  <c r="AI12" i="3"/>
  <c r="T32" i="3" s="1"/>
  <c r="AH12" i="3"/>
  <c r="S32" i="3" s="1"/>
  <c r="AG12" i="3"/>
  <c r="R32" i="3" s="1"/>
  <c r="AF12" i="3"/>
  <c r="Q32" i="3" s="1"/>
  <c r="AE12" i="3"/>
  <c r="P32" i="3" s="1"/>
  <c r="AD12" i="3"/>
  <c r="O32" i="3" s="1"/>
  <c r="AC12" i="3"/>
  <c r="N32" i="3" s="1"/>
  <c r="AB12" i="3"/>
  <c r="M32" i="3" s="1"/>
  <c r="AA12" i="3"/>
  <c r="L32" i="3" s="1"/>
  <c r="Z12" i="3"/>
  <c r="K32" i="3" s="1"/>
  <c r="Y12" i="3"/>
  <c r="J32" i="3" s="1"/>
  <c r="X12" i="3"/>
  <c r="I32" i="3" s="1"/>
  <c r="W12" i="3"/>
  <c r="H32" i="3" s="1"/>
  <c r="V12" i="3"/>
  <c r="G32" i="3" s="1"/>
  <c r="U12" i="3"/>
  <c r="F32" i="3" s="1"/>
  <c r="T12" i="3"/>
  <c r="E32" i="3" s="1"/>
  <c r="S12" i="3"/>
  <c r="D32" i="3" s="1"/>
  <c r="R12" i="3"/>
  <c r="C32" i="3" s="1"/>
  <c r="Q12" i="3"/>
  <c r="B32" i="3" s="1"/>
  <c r="AR11" i="3"/>
  <c r="AC31" i="3" s="1"/>
  <c r="AQ11" i="3"/>
  <c r="AB31" i="3" s="1"/>
  <c r="AP11" i="3"/>
  <c r="AA31" i="3" s="1"/>
  <c r="AO11" i="3"/>
  <c r="Z31" i="3" s="1"/>
  <c r="AN11" i="3"/>
  <c r="Y31" i="3" s="1"/>
  <c r="AM11" i="3"/>
  <c r="X31" i="3" s="1"/>
  <c r="AL11" i="3"/>
  <c r="W31" i="3" s="1"/>
  <c r="AK11" i="3"/>
  <c r="V31" i="3" s="1"/>
  <c r="AJ11" i="3"/>
  <c r="U31" i="3" s="1"/>
  <c r="AI11" i="3"/>
  <c r="T31" i="3" s="1"/>
  <c r="AH11" i="3"/>
  <c r="S31" i="3" s="1"/>
  <c r="AG11" i="3"/>
  <c r="R31" i="3" s="1"/>
  <c r="AF11" i="3"/>
  <c r="Q31" i="3" s="1"/>
  <c r="AE11" i="3"/>
  <c r="P31" i="3" s="1"/>
  <c r="AD11" i="3"/>
  <c r="O31" i="3" s="1"/>
  <c r="AC11" i="3"/>
  <c r="N31" i="3" s="1"/>
  <c r="AB11" i="3"/>
  <c r="M31" i="3" s="1"/>
  <c r="AA11" i="3"/>
  <c r="L31" i="3" s="1"/>
  <c r="Z11" i="3"/>
  <c r="K31" i="3" s="1"/>
  <c r="Y11" i="3"/>
  <c r="J31" i="3" s="1"/>
  <c r="X11" i="3"/>
  <c r="I31" i="3" s="1"/>
  <c r="W11" i="3"/>
  <c r="H31" i="3" s="1"/>
  <c r="V11" i="3"/>
  <c r="G31" i="3" s="1"/>
  <c r="U11" i="3"/>
  <c r="F31" i="3" s="1"/>
  <c r="E31" i="3"/>
  <c r="S11" i="3"/>
  <c r="D31" i="3" s="1"/>
  <c r="R11" i="3"/>
  <c r="C31" i="3" s="1"/>
  <c r="Q11" i="3"/>
  <c r="B31" i="3" s="1"/>
  <c r="Z368" i="13" l="1"/>
  <c r="I84" i="13"/>
  <c r="C84" i="13"/>
  <c r="X84" i="13"/>
  <c r="K84" i="13"/>
  <c r="P50" i="3"/>
  <c r="X50" i="3"/>
  <c r="H50" i="3"/>
  <c r="L84" i="13"/>
  <c r="J84" i="13"/>
  <c r="AC84" i="13"/>
  <c r="V407" i="13"/>
  <c r="B84" i="13"/>
  <c r="S84" i="13"/>
  <c r="T84" i="13"/>
  <c r="U59" i="13"/>
  <c r="G84" i="13"/>
  <c r="N84" i="13"/>
  <c r="O84" i="13"/>
  <c r="E84" i="13"/>
  <c r="H84" i="13"/>
  <c r="F84" i="13"/>
  <c r="AB84" i="13"/>
  <c r="Q84" i="13"/>
  <c r="Y84" i="13"/>
  <c r="V84" i="13"/>
  <c r="Z84" i="13"/>
  <c r="M84" i="13"/>
  <c r="P84" i="13"/>
  <c r="W84" i="13"/>
  <c r="D84" i="13"/>
  <c r="B80" i="13"/>
  <c r="I50" i="3"/>
  <c r="B50" i="3"/>
  <c r="J50" i="3"/>
  <c r="R50" i="3"/>
  <c r="Z50" i="3"/>
  <c r="L50" i="3"/>
  <c r="AB50" i="3"/>
  <c r="D50" i="3"/>
  <c r="T50" i="3"/>
  <c r="Y50" i="3"/>
  <c r="B294" i="9"/>
  <c r="B403" i="9"/>
  <c r="U71" i="13"/>
  <c r="U83" i="13" s="1"/>
  <c r="D512" i="9"/>
  <c r="D486" i="9"/>
  <c r="M512" i="9"/>
  <c r="M486" i="9"/>
  <c r="P512" i="9"/>
  <c r="P486" i="9"/>
  <c r="S486" i="9"/>
  <c r="S512" i="9"/>
  <c r="F407" i="9"/>
  <c r="F381" i="9"/>
  <c r="C407" i="9"/>
  <c r="C381" i="9"/>
  <c r="H407" i="9"/>
  <c r="H381" i="9"/>
  <c r="S272" i="9"/>
  <c r="S298" i="9"/>
  <c r="U298" i="9"/>
  <c r="U272" i="9"/>
  <c r="N164" i="9"/>
  <c r="N190" i="9"/>
  <c r="D190" i="9"/>
  <c r="D164" i="9"/>
  <c r="T190" i="9"/>
  <c r="T164" i="9"/>
  <c r="J190" i="9"/>
  <c r="J164" i="9"/>
  <c r="J381" i="13"/>
  <c r="W381" i="13"/>
  <c r="AA381" i="13"/>
  <c r="H381" i="13"/>
  <c r="Q381" i="13"/>
  <c r="P272" i="13"/>
  <c r="O272" i="13"/>
  <c r="V272" i="13"/>
  <c r="J272" i="13"/>
  <c r="C62" i="13"/>
  <c r="C58" i="13"/>
  <c r="AA58" i="13"/>
  <c r="G57" i="13"/>
  <c r="G58" i="13"/>
  <c r="X64" i="13"/>
  <c r="X58" i="13"/>
  <c r="N58" i="13"/>
  <c r="B161" i="3"/>
  <c r="Q486" i="9"/>
  <c r="Q512" i="9"/>
  <c r="B508" i="9"/>
  <c r="X512" i="9"/>
  <c r="X486" i="9"/>
  <c r="AA512" i="9"/>
  <c r="AA486" i="9"/>
  <c r="V407" i="9"/>
  <c r="V381" i="9"/>
  <c r="K407" i="9"/>
  <c r="K381" i="9"/>
  <c r="P381" i="9"/>
  <c r="P407" i="9"/>
  <c r="Y272" i="9"/>
  <c r="Y298" i="9"/>
  <c r="AA298" i="9"/>
  <c r="AA272" i="9"/>
  <c r="AC298" i="9"/>
  <c r="AC272" i="9"/>
  <c r="E164" i="9"/>
  <c r="E190" i="9"/>
  <c r="K164" i="9"/>
  <c r="K190" i="9"/>
  <c r="B186" i="9"/>
  <c r="G381" i="13"/>
  <c r="E381" i="13"/>
  <c r="P381" i="13"/>
  <c r="N272" i="13"/>
  <c r="H272" i="13"/>
  <c r="R272" i="13"/>
  <c r="S57" i="13"/>
  <c r="S58" i="13"/>
  <c r="R58" i="13"/>
  <c r="O58" i="13"/>
  <c r="E58" i="13"/>
  <c r="U190" i="9"/>
  <c r="U164" i="9"/>
  <c r="E512" i="9"/>
  <c r="E486" i="9"/>
  <c r="B512" i="9"/>
  <c r="B486" i="9"/>
  <c r="G407" i="9"/>
  <c r="G381" i="9"/>
  <c r="S407" i="9"/>
  <c r="S381" i="9"/>
  <c r="X407" i="9"/>
  <c r="X381" i="9"/>
  <c r="B298" i="9"/>
  <c r="B272" i="9"/>
  <c r="D298" i="9"/>
  <c r="D272" i="9"/>
  <c r="G298" i="9"/>
  <c r="G272" i="9"/>
  <c r="I298" i="9"/>
  <c r="I272" i="9"/>
  <c r="L190" i="9"/>
  <c r="L164" i="9"/>
  <c r="B164" i="9"/>
  <c r="B190" i="9"/>
  <c r="T381" i="13"/>
  <c r="M381" i="13"/>
  <c r="X381" i="13"/>
  <c r="W272" i="13"/>
  <c r="Q272" i="13"/>
  <c r="Z272" i="13"/>
  <c r="J62" i="13"/>
  <c r="J58" i="13"/>
  <c r="H57" i="13"/>
  <c r="H58" i="13"/>
  <c r="F69" i="13"/>
  <c r="F58" i="13"/>
  <c r="G164" i="9"/>
  <c r="G190" i="9"/>
  <c r="AB512" i="9"/>
  <c r="AB486" i="9"/>
  <c r="J512" i="9"/>
  <c r="J486" i="9"/>
  <c r="W407" i="9"/>
  <c r="W381" i="9"/>
  <c r="AA389" i="9"/>
  <c r="AA381" i="9"/>
  <c r="AA407" i="9"/>
  <c r="B381" i="9"/>
  <c r="B407" i="9"/>
  <c r="Q298" i="9"/>
  <c r="Q272" i="9"/>
  <c r="J272" i="9"/>
  <c r="J298" i="9"/>
  <c r="L298" i="9"/>
  <c r="L272" i="9"/>
  <c r="O298" i="9"/>
  <c r="O272" i="9"/>
  <c r="C190" i="9"/>
  <c r="C164" i="9"/>
  <c r="L381" i="13"/>
  <c r="Y381" i="13"/>
  <c r="D381" i="13"/>
  <c r="U381" i="13"/>
  <c r="E272" i="13"/>
  <c r="C272" i="13"/>
  <c r="K272" i="13"/>
  <c r="AA272" i="13"/>
  <c r="X272" i="13"/>
  <c r="I58" i="13"/>
  <c r="Z164" i="9"/>
  <c r="Z190" i="9"/>
  <c r="AB57" i="13"/>
  <c r="AB58" i="13"/>
  <c r="N512" i="9"/>
  <c r="N486" i="9"/>
  <c r="W512" i="9"/>
  <c r="W486" i="9"/>
  <c r="R512" i="9"/>
  <c r="R486" i="9"/>
  <c r="O381" i="9"/>
  <c r="O407" i="9"/>
  <c r="I407" i="9"/>
  <c r="I381" i="9"/>
  <c r="D407" i="9"/>
  <c r="D381" i="9"/>
  <c r="J381" i="9"/>
  <c r="J407" i="9"/>
  <c r="R298" i="9"/>
  <c r="R272" i="9"/>
  <c r="T298" i="9"/>
  <c r="T272" i="9"/>
  <c r="W298" i="9"/>
  <c r="W272" i="9"/>
  <c r="I190" i="9"/>
  <c r="I164" i="9"/>
  <c r="I381" i="13"/>
  <c r="AC381" i="13"/>
  <c r="L272" i="13"/>
  <c r="T272" i="13"/>
  <c r="I272" i="13"/>
  <c r="F272" i="13"/>
  <c r="X164" i="13"/>
  <c r="AC63" i="13"/>
  <c r="AC58" i="13"/>
  <c r="Q57" i="13"/>
  <c r="Q58" i="13"/>
  <c r="N407" i="9"/>
  <c r="N381" i="9"/>
  <c r="Y272" i="13"/>
  <c r="L512" i="9"/>
  <c r="L486" i="9"/>
  <c r="Z512" i="9"/>
  <c r="Z486" i="9"/>
  <c r="Q407" i="9"/>
  <c r="Q381" i="9"/>
  <c r="Y381" i="9"/>
  <c r="Y407" i="9"/>
  <c r="L407" i="9"/>
  <c r="L381" i="9"/>
  <c r="R407" i="9"/>
  <c r="R381" i="9"/>
  <c r="V272" i="9"/>
  <c r="V298" i="9"/>
  <c r="Z298" i="9"/>
  <c r="Z272" i="9"/>
  <c r="AB298" i="9"/>
  <c r="AB272" i="9"/>
  <c r="H298" i="9"/>
  <c r="H272" i="9"/>
  <c r="AA190" i="9"/>
  <c r="AA164" i="9"/>
  <c r="Q190" i="9"/>
  <c r="Q164" i="9"/>
  <c r="C381" i="13"/>
  <c r="F381" i="13"/>
  <c r="AC272" i="13"/>
  <c r="S272" i="13"/>
  <c r="T58" i="13"/>
  <c r="Y64" i="13"/>
  <c r="Y58" i="13"/>
  <c r="V63" i="13"/>
  <c r="V58" i="13"/>
  <c r="AB381" i="13"/>
  <c r="U512" i="9"/>
  <c r="U486" i="9"/>
  <c r="T512" i="9"/>
  <c r="T486" i="9"/>
  <c r="AC512" i="9"/>
  <c r="AC486" i="9"/>
  <c r="C512" i="9"/>
  <c r="C486" i="9"/>
  <c r="E407" i="9"/>
  <c r="E381" i="9"/>
  <c r="M381" i="9"/>
  <c r="M407" i="9"/>
  <c r="T381" i="9"/>
  <c r="T407" i="9"/>
  <c r="Z407" i="9"/>
  <c r="Z381" i="9"/>
  <c r="C272" i="9"/>
  <c r="C298" i="9"/>
  <c r="E298" i="9"/>
  <c r="E272" i="9"/>
  <c r="P272" i="9"/>
  <c r="P298" i="9"/>
  <c r="R164" i="9"/>
  <c r="R190" i="9"/>
  <c r="V190" i="9"/>
  <c r="V164" i="9"/>
  <c r="Y190" i="9"/>
  <c r="Y164" i="9"/>
  <c r="AB190" i="9"/>
  <c r="AB164" i="9"/>
  <c r="K381" i="13"/>
  <c r="N381" i="13"/>
  <c r="R381" i="13"/>
  <c r="D272" i="13"/>
  <c r="AB272" i="13"/>
  <c r="G272" i="13"/>
  <c r="K65" i="13"/>
  <c r="K58" i="13"/>
  <c r="Z62" i="13"/>
  <c r="Z58" i="13"/>
  <c r="M65" i="13"/>
  <c r="M58" i="13"/>
  <c r="O164" i="9"/>
  <c r="O190" i="9"/>
  <c r="F190" i="9"/>
  <c r="F164" i="9"/>
  <c r="E50" i="3"/>
  <c r="M50" i="3"/>
  <c r="U50" i="3"/>
  <c r="AC50" i="3"/>
  <c r="G512" i="9"/>
  <c r="G486" i="9"/>
  <c r="F486" i="9"/>
  <c r="F512" i="9"/>
  <c r="O512" i="9"/>
  <c r="O486" i="9"/>
  <c r="Y486" i="9"/>
  <c r="Y512" i="9"/>
  <c r="H512" i="9"/>
  <c r="H486" i="9"/>
  <c r="K512" i="9"/>
  <c r="K486" i="9"/>
  <c r="U407" i="9"/>
  <c r="U381" i="9"/>
  <c r="AC407" i="9"/>
  <c r="AC381" i="9"/>
  <c r="AB407" i="9"/>
  <c r="AB381" i="9"/>
  <c r="K298" i="9"/>
  <c r="K272" i="9"/>
  <c r="M272" i="9"/>
  <c r="M298" i="9"/>
  <c r="X272" i="9"/>
  <c r="X298" i="9"/>
  <c r="F298" i="9"/>
  <c r="F272" i="9"/>
  <c r="H164" i="9"/>
  <c r="H190" i="9"/>
  <c r="W190" i="9"/>
  <c r="W164" i="9"/>
  <c r="M190" i="9"/>
  <c r="M164" i="9"/>
  <c r="AC164" i="9"/>
  <c r="AC190" i="9"/>
  <c r="S164" i="9"/>
  <c r="S190" i="9"/>
  <c r="Z381" i="13"/>
  <c r="S381" i="13"/>
  <c r="V381" i="13"/>
  <c r="B381" i="13"/>
  <c r="M272" i="13"/>
  <c r="B272" i="13"/>
  <c r="L58" i="13"/>
  <c r="B69" i="13"/>
  <c r="B58" i="13"/>
  <c r="P65" i="13"/>
  <c r="P58" i="13"/>
  <c r="W58" i="13"/>
  <c r="D58" i="13"/>
  <c r="P190" i="9"/>
  <c r="P164" i="9"/>
  <c r="I512" i="9"/>
  <c r="I486" i="9"/>
  <c r="N50" i="3"/>
  <c r="V50" i="3"/>
  <c r="F50" i="3"/>
  <c r="O50" i="3"/>
  <c r="W50" i="3"/>
  <c r="A502" i="3"/>
  <c r="A490" i="3"/>
  <c r="A283" i="3"/>
  <c r="A505" i="3"/>
  <c r="A397" i="3"/>
  <c r="A385" i="3"/>
  <c r="A503" i="3"/>
  <c r="A491" i="3"/>
  <c r="A391" i="3"/>
  <c r="A497" i="3"/>
  <c r="A504" i="3"/>
  <c r="A492" i="3"/>
  <c r="A282" i="3"/>
  <c r="A402" i="3"/>
  <c r="A508" i="3"/>
  <c r="A399" i="3"/>
  <c r="A387" i="3"/>
  <c r="A293" i="3"/>
  <c r="A386" i="3"/>
  <c r="A290" i="3"/>
  <c r="A278" i="3"/>
  <c r="A400" i="3"/>
  <c r="A388" i="3"/>
  <c r="A277" i="3"/>
  <c r="A389" i="3"/>
  <c r="A288" i="3"/>
  <c r="A392" i="3"/>
  <c r="A280" i="3"/>
  <c r="A507" i="3"/>
  <c r="A291" i="3"/>
  <c r="A494" i="3"/>
  <c r="A183" i="3"/>
  <c r="A175" i="3"/>
  <c r="A174" i="3"/>
  <c r="A185" i="3"/>
  <c r="A169" i="3"/>
  <c r="A182" i="3"/>
  <c r="A170" i="3"/>
  <c r="A180" i="3"/>
  <c r="A172" i="3"/>
  <c r="Z369" i="13"/>
  <c r="Z481" i="9"/>
  <c r="G50" i="3"/>
  <c r="U270" i="13"/>
  <c r="M367" i="13"/>
  <c r="M399" i="13" s="1"/>
  <c r="Z260" i="13"/>
  <c r="B52" i="3"/>
  <c r="J52" i="3"/>
  <c r="R52" i="3"/>
  <c r="Z52" i="3"/>
  <c r="H52" i="3"/>
  <c r="W77" i="13"/>
  <c r="V484" i="9"/>
  <c r="M282" i="9"/>
  <c r="U379" i="9"/>
  <c r="U174" i="9"/>
  <c r="K37" i="9"/>
  <c r="K55" i="9" s="1"/>
  <c r="F37" i="9"/>
  <c r="F55" i="9" s="1"/>
  <c r="B37" i="9"/>
  <c r="B55" i="9" s="1"/>
  <c r="AC37" i="9"/>
  <c r="AC55" i="9" s="1"/>
  <c r="Y37" i="9"/>
  <c r="Y55" i="9" s="1"/>
  <c r="U37" i="9"/>
  <c r="U55" i="9" s="1"/>
  <c r="I37" i="9"/>
  <c r="I55" i="9" s="1"/>
  <c r="E37" i="9"/>
  <c r="E55" i="9" s="1"/>
  <c r="W37" i="9"/>
  <c r="W55" i="9" s="1"/>
  <c r="T37" i="9"/>
  <c r="T55" i="9" s="1"/>
  <c r="K158" i="9"/>
  <c r="G37" i="9"/>
  <c r="G55" i="9" s="1"/>
  <c r="AA37" i="9"/>
  <c r="AA55" i="9" s="1"/>
  <c r="L37" i="9"/>
  <c r="L55" i="9" s="1"/>
  <c r="Z37" i="9"/>
  <c r="Z55" i="9" s="1"/>
  <c r="X37" i="9"/>
  <c r="X55" i="9" s="1"/>
  <c r="D37" i="9"/>
  <c r="D55" i="9" s="1"/>
  <c r="R37" i="9"/>
  <c r="R55" i="9" s="1"/>
  <c r="AV31" i="9"/>
  <c r="J37" i="9"/>
  <c r="J55" i="9" s="1"/>
  <c r="H37" i="9"/>
  <c r="H55" i="9" s="1"/>
  <c r="M37" i="9"/>
  <c r="M55" i="9" s="1"/>
  <c r="S37" i="9"/>
  <c r="S55" i="9" s="1"/>
  <c r="N37" i="9"/>
  <c r="N55" i="9" s="1"/>
  <c r="O37" i="9"/>
  <c r="O55" i="9" s="1"/>
  <c r="AB37" i="9"/>
  <c r="AB55" i="9" s="1"/>
  <c r="C37" i="9"/>
  <c r="C55" i="9" s="1"/>
  <c r="Q37" i="9"/>
  <c r="Q55" i="9" s="1"/>
  <c r="V37" i="9"/>
  <c r="V55" i="9" s="1"/>
  <c r="B53" i="3"/>
  <c r="AB354" i="3"/>
  <c r="U358" i="3"/>
  <c r="U375" i="3" s="1"/>
  <c r="J53" i="3"/>
  <c r="V359" i="3"/>
  <c r="V377" i="3" s="1"/>
  <c r="V363" i="3"/>
  <c r="Q468" i="3"/>
  <c r="R53" i="3"/>
  <c r="O52" i="3"/>
  <c r="Q50" i="3"/>
  <c r="P52" i="3"/>
  <c r="X52" i="3"/>
  <c r="H51" i="3"/>
  <c r="P51" i="3"/>
  <c r="X51" i="3"/>
  <c r="I51" i="3"/>
  <c r="Q51" i="3"/>
  <c r="Y51" i="3"/>
  <c r="I53" i="3"/>
  <c r="Q53" i="3"/>
  <c r="Y53" i="3"/>
  <c r="C53" i="3"/>
  <c r="K53" i="3"/>
  <c r="C50" i="3"/>
  <c r="K50" i="3"/>
  <c r="C52" i="3"/>
  <c r="K52" i="3"/>
  <c r="W52" i="3"/>
  <c r="G52" i="3"/>
  <c r="D52" i="3"/>
  <c r="L52" i="3"/>
  <c r="T52" i="3"/>
  <c r="AB52" i="3"/>
  <c r="N52" i="3"/>
  <c r="F52" i="3"/>
  <c r="V52" i="3"/>
  <c r="G149" i="3"/>
  <c r="I52" i="3"/>
  <c r="Q52" i="3"/>
  <c r="Y52" i="3"/>
  <c r="AB256" i="3"/>
  <c r="U365" i="3"/>
  <c r="C51" i="3"/>
  <c r="K51" i="3"/>
  <c r="H363" i="3"/>
  <c r="Q363" i="3"/>
  <c r="W363" i="3"/>
  <c r="C468" i="3"/>
  <c r="K468" i="3"/>
  <c r="S468" i="3"/>
  <c r="AA468" i="3"/>
  <c r="X363" i="3"/>
  <c r="E363" i="3"/>
  <c r="Z363" i="3"/>
  <c r="G363" i="3"/>
  <c r="P363" i="3"/>
  <c r="Y363" i="3"/>
  <c r="B468" i="3"/>
  <c r="J468" i="3"/>
  <c r="R468" i="3"/>
  <c r="Z468" i="3"/>
  <c r="B254" i="3"/>
  <c r="I363" i="3"/>
  <c r="R363" i="3"/>
  <c r="AB363" i="3"/>
  <c r="D468" i="3"/>
  <c r="AB468" i="3"/>
  <c r="L468" i="3"/>
  <c r="J363" i="3"/>
  <c r="T363" i="3"/>
  <c r="AC363" i="3"/>
  <c r="E468" i="3"/>
  <c r="M468" i="3"/>
  <c r="U468" i="3"/>
  <c r="AC468" i="3"/>
  <c r="C363" i="3"/>
  <c r="K363" i="3"/>
  <c r="S363" i="3"/>
  <c r="AA363" i="3"/>
  <c r="B363" i="3"/>
  <c r="L363" i="3"/>
  <c r="U363" i="3"/>
  <c r="F468" i="3"/>
  <c r="N468" i="3"/>
  <c r="V468" i="3"/>
  <c r="T468" i="3"/>
  <c r="D363" i="3"/>
  <c r="M363" i="3"/>
  <c r="G468" i="3"/>
  <c r="O468" i="3"/>
  <c r="W468" i="3"/>
  <c r="F145" i="3"/>
  <c r="N145" i="3"/>
  <c r="V145" i="3"/>
  <c r="G145" i="3"/>
  <c r="O145" i="3"/>
  <c r="W145" i="3"/>
  <c r="L467" i="3"/>
  <c r="F359" i="3"/>
  <c r="F377" i="3" s="1"/>
  <c r="O359" i="3"/>
  <c r="O377" i="3" s="1"/>
  <c r="X359" i="3"/>
  <c r="X377" i="3" s="1"/>
  <c r="H250" i="3"/>
  <c r="H268" i="3" s="1"/>
  <c r="P250" i="3"/>
  <c r="P268" i="3" s="1"/>
  <c r="X250" i="3"/>
  <c r="X268" i="3" s="1"/>
  <c r="Z53" i="3"/>
  <c r="AA51" i="3"/>
  <c r="F141" i="3"/>
  <c r="N141" i="3"/>
  <c r="V141" i="3"/>
  <c r="S51" i="3"/>
  <c r="S53" i="3"/>
  <c r="AA53" i="3"/>
  <c r="G141" i="3"/>
  <c r="D51" i="3"/>
  <c r="L51" i="3"/>
  <c r="T51" i="3"/>
  <c r="AB51" i="3"/>
  <c r="D53" i="3"/>
  <c r="L53" i="3"/>
  <c r="T53" i="3"/>
  <c r="AB53" i="3"/>
  <c r="O141" i="3"/>
  <c r="E51" i="3"/>
  <c r="M51" i="3"/>
  <c r="U51" i="3"/>
  <c r="AC51" i="3"/>
  <c r="W141" i="3"/>
  <c r="S50" i="3"/>
  <c r="AA50" i="3"/>
  <c r="S52" i="3"/>
  <c r="B463" i="3"/>
  <c r="H359" i="3"/>
  <c r="H377" i="3" s="1"/>
  <c r="K464" i="3"/>
  <c r="K482" i="3" s="1"/>
  <c r="G250" i="3"/>
  <c r="G268" i="3" s="1"/>
  <c r="O250" i="3"/>
  <c r="O268" i="3" s="1"/>
  <c r="W250" i="3"/>
  <c r="W268" i="3" s="1"/>
  <c r="E359" i="3"/>
  <c r="E377" i="3" s="1"/>
  <c r="N359" i="3"/>
  <c r="N377" i="3" s="1"/>
  <c r="W359" i="3"/>
  <c r="W377" i="3" s="1"/>
  <c r="H464" i="3"/>
  <c r="H482" i="3" s="1"/>
  <c r="P464" i="3"/>
  <c r="P482" i="3" s="1"/>
  <c r="X464" i="3"/>
  <c r="X482" i="3" s="1"/>
  <c r="I250" i="3"/>
  <c r="I268" i="3" s="1"/>
  <c r="Q250" i="3"/>
  <c r="Q268" i="3" s="1"/>
  <c r="Y250" i="3"/>
  <c r="Y268" i="3" s="1"/>
  <c r="G359" i="3"/>
  <c r="G377" i="3" s="1"/>
  <c r="P359" i="3"/>
  <c r="P377" i="3" s="1"/>
  <c r="Y359" i="3"/>
  <c r="Y377" i="3" s="1"/>
  <c r="B464" i="3"/>
  <c r="B482" i="3" s="1"/>
  <c r="J464" i="3"/>
  <c r="J482" i="3" s="1"/>
  <c r="R464" i="3"/>
  <c r="R482" i="3" s="1"/>
  <c r="Z464" i="3"/>
  <c r="Z482" i="3" s="1"/>
  <c r="AA464" i="3"/>
  <c r="AA482" i="3" s="1"/>
  <c r="J250" i="3"/>
  <c r="J268" i="3" s="1"/>
  <c r="C250" i="3"/>
  <c r="C268" i="3" s="1"/>
  <c r="K250" i="3"/>
  <c r="K268" i="3" s="1"/>
  <c r="S250" i="3"/>
  <c r="S268" i="3" s="1"/>
  <c r="AA250" i="3"/>
  <c r="AA268" i="3" s="1"/>
  <c r="I359" i="3"/>
  <c r="I377" i="3" s="1"/>
  <c r="R359" i="3"/>
  <c r="R377" i="3" s="1"/>
  <c r="AB359" i="3"/>
  <c r="AB377" i="3" s="1"/>
  <c r="D464" i="3"/>
  <c r="D482" i="3" s="1"/>
  <c r="L464" i="3"/>
  <c r="L482" i="3" s="1"/>
  <c r="T464" i="3"/>
  <c r="T482" i="3" s="1"/>
  <c r="AB464" i="3"/>
  <c r="AB482" i="3" s="1"/>
  <c r="Z250" i="3"/>
  <c r="Z268" i="3" s="1"/>
  <c r="Z359" i="3"/>
  <c r="Z377" i="3" s="1"/>
  <c r="S464" i="3"/>
  <c r="S482" i="3" s="1"/>
  <c r="D250" i="3"/>
  <c r="D268" i="3" s="1"/>
  <c r="L250" i="3"/>
  <c r="L268" i="3" s="1"/>
  <c r="T250" i="3"/>
  <c r="T268" i="3" s="1"/>
  <c r="AB250" i="3"/>
  <c r="AB268" i="3" s="1"/>
  <c r="C359" i="3"/>
  <c r="C377" i="3" s="1"/>
  <c r="K359" i="3"/>
  <c r="K377" i="3" s="1"/>
  <c r="S359" i="3"/>
  <c r="S377" i="3" s="1"/>
  <c r="AA359" i="3"/>
  <c r="AA377" i="3" s="1"/>
  <c r="J359" i="3"/>
  <c r="J377" i="3" s="1"/>
  <c r="T359" i="3"/>
  <c r="T377" i="3" s="1"/>
  <c r="AC359" i="3"/>
  <c r="AC377" i="3" s="1"/>
  <c r="E464" i="3"/>
  <c r="E482" i="3" s="1"/>
  <c r="M464" i="3"/>
  <c r="M482" i="3" s="1"/>
  <c r="U464" i="3"/>
  <c r="U482" i="3" s="1"/>
  <c r="AC464" i="3"/>
  <c r="AC482" i="3" s="1"/>
  <c r="B250" i="3"/>
  <c r="B268" i="3" s="1"/>
  <c r="E250" i="3"/>
  <c r="E268" i="3" s="1"/>
  <c r="M250" i="3"/>
  <c r="M268" i="3" s="1"/>
  <c r="U250" i="3"/>
  <c r="U268" i="3" s="1"/>
  <c r="AC250" i="3"/>
  <c r="AC268" i="3" s="1"/>
  <c r="B359" i="3"/>
  <c r="B377" i="3" s="1"/>
  <c r="L359" i="3"/>
  <c r="L377" i="3" s="1"/>
  <c r="U359" i="3"/>
  <c r="U377" i="3" s="1"/>
  <c r="F464" i="3"/>
  <c r="F482" i="3" s="1"/>
  <c r="N464" i="3"/>
  <c r="N482" i="3" s="1"/>
  <c r="V464" i="3"/>
  <c r="V482" i="3" s="1"/>
  <c r="R250" i="3"/>
  <c r="R268" i="3" s="1"/>
  <c r="Q359" i="3"/>
  <c r="Q377" i="3" s="1"/>
  <c r="C464" i="3"/>
  <c r="C482" i="3" s="1"/>
  <c r="F250" i="3"/>
  <c r="F268" i="3" s="1"/>
  <c r="N250" i="3"/>
  <c r="N268" i="3" s="1"/>
  <c r="V250" i="3"/>
  <c r="V268" i="3" s="1"/>
  <c r="D359" i="3"/>
  <c r="D377" i="3" s="1"/>
  <c r="M359" i="3"/>
  <c r="M377" i="3" s="1"/>
  <c r="G464" i="3"/>
  <c r="G482" i="3" s="1"/>
  <c r="O464" i="3"/>
  <c r="O482" i="3" s="1"/>
  <c r="W464" i="3"/>
  <c r="W482" i="3" s="1"/>
  <c r="Z51" i="3"/>
  <c r="P53" i="3"/>
  <c r="C358" i="3"/>
  <c r="C375" i="3" s="1"/>
  <c r="L358" i="3"/>
  <c r="L375" i="3" s="1"/>
  <c r="E53" i="3"/>
  <c r="M53" i="3"/>
  <c r="U53" i="3"/>
  <c r="AC53" i="3"/>
  <c r="B249" i="3"/>
  <c r="B266" i="3" s="1"/>
  <c r="J249" i="3"/>
  <c r="J266" i="3" s="1"/>
  <c r="Z249" i="3"/>
  <c r="Z266" i="3" s="1"/>
  <c r="F51" i="3"/>
  <c r="N51" i="3"/>
  <c r="V51" i="3"/>
  <c r="F53" i="3"/>
  <c r="N53" i="3"/>
  <c r="V53" i="3"/>
  <c r="I463" i="3"/>
  <c r="I480" i="3" s="1"/>
  <c r="Q463" i="3"/>
  <c r="Q480" i="3" s="1"/>
  <c r="Y463" i="3"/>
  <c r="Y480" i="3" s="1"/>
  <c r="AA52" i="3"/>
  <c r="R249" i="3"/>
  <c r="R266" i="3" s="1"/>
  <c r="AC358" i="3"/>
  <c r="R51" i="3"/>
  <c r="H53" i="3"/>
  <c r="X53" i="3"/>
  <c r="E52" i="3"/>
  <c r="M52" i="3"/>
  <c r="G51" i="3"/>
  <c r="O51" i="3"/>
  <c r="W51" i="3"/>
  <c r="G53" i="3"/>
  <c r="O53" i="3"/>
  <c r="W53" i="3"/>
  <c r="U52" i="3"/>
  <c r="B51" i="3"/>
  <c r="AC52" i="3"/>
  <c r="J51" i="3"/>
  <c r="Z355" i="3"/>
  <c r="H246" i="3"/>
  <c r="P246" i="3"/>
  <c r="X246" i="3"/>
  <c r="I355" i="3"/>
  <c r="R355" i="3"/>
  <c r="AB355" i="3"/>
  <c r="I460" i="3"/>
  <c r="Q460" i="3"/>
  <c r="Y460" i="3"/>
  <c r="B246" i="3"/>
  <c r="J246" i="3"/>
  <c r="R246" i="3"/>
  <c r="Z246" i="3"/>
  <c r="B355" i="3"/>
  <c r="L355" i="3"/>
  <c r="U355" i="3"/>
  <c r="C460" i="3"/>
  <c r="K460" i="3"/>
  <c r="S460" i="3"/>
  <c r="AA460" i="3"/>
  <c r="C246" i="3"/>
  <c r="K246" i="3"/>
  <c r="S246" i="3"/>
  <c r="AA246" i="3"/>
  <c r="D355" i="3"/>
  <c r="M355" i="3"/>
  <c r="V355" i="3"/>
  <c r="D460" i="3"/>
  <c r="L460" i="3"/>
  <c r="T460" i="3"/>
  <c r="AB460" i="3"/>
  <c r="D246" i="3"/>
  <c r="L246" i="3"/>
  <c r="T246" i="3"/>
  <c r="AB246" i="3"/>
  <c r="C355" i="3"/>
  <c r="K355" i="3"/>
  <c r="S355" i="3"/>
  <c r="AA355" i="3"/>
  <c r="E355" i="3"/>
  <c r="N355" i="3"/>
  <c r="W355" i="3"/>
  <c r="E460" i="3"/>
  <c r="M460" i="3"/>
  <c r="U460" i="3"/>
  <c r="AC460" i="3"/>
  <c r="E246" i="3"/>
  <c r="M246" i="3"/>
  <c r="U246" i="3"/>
  <c r="AC246" i="3"/>
  <c r="F355" i="3"/>
  <c r="O355" i="3"/>
  <c r="X355" i="3"/>
  <c r="F460" i="3"/>
  <c r="N460" i="3"/>
  <c r="V460" i="3"/>
  <c r="F246" i="3"/>
  <c r="N246" i="3"/>
  <c r="V246" i="3"/>
  <c r="G355" i="3"/>
  <c r="P355" i="3"/>
  <c r="Y355" i="3"/>
  <c r="G460" i="3"/>
  <c r="O460" i="3"/>
  <c r="W460" i="3"/>
  <c r="G246" i="3"/>
  <c r="O246" i="3"/>
  <c r="W246" i="3"/>
  <c r="H355" i="3"/>
  <c r="Q355" i="3"/>
  <c r="H460" i="3"/>
  <c r="P460" i="3"/>
  <c r="X460" i="3"/>
  <c r="S354" i="3"/>
  <c r="B245" i="3"/>
  <c r="J245" i="3"/>
  <c r="R245" i="3"/>
  <c r="Z245" i="3"/>
  <c r="I459" i="3"/>
  <c r="Q459" i="3"/>
  <c r="Y459" i="3"/>
  <c r="J354" i="3"/>
  <c r="AA354" i="3"/>
  <c r="AB459" i="3"/>
  <c r="T260" i="13"/>
  <c r="M368" i="13"/>
  <c r="J368" i="13"/>
  <c r="T152" i="13"/>
  <c r="X152" i="13"/>
  <c r="X369" i="13"/>
  <c r="J260" i="13"/>
  <c r="T368" i="13"/>
  <c r="O367" i="13"/>
  <c r="D367" i="13"/>
  <c r="D401" i="13" s="1"/>
  <c r="Y151" i="13"/>
  <c r="K369" i="13"/>
  <c r="V508" i="9"/>
  <c r="D44" i="9"/>
  <c r="D368" i="9" s="1"/>
  <c r="M44" i="9"/>
  <c r="M368" i="9" s="1"/>
  <c r="P44" i="9"/>
  <c r="P46" i="9" s="1"/>
  <c r="C44" i="3"/>
  <c r="C45" i="3" s="1"/>
  <c r="K44" i="3"/>
  <c r="K151" i="3" s="1"/>
  <c r="S44" i="3"/>
  <c r="S259" i="3" s="1"/>
  <c r="AA44" i="3"/>
  <c r="AA151" i="3" s="1"/>
  <c r="R44" i="9"/>
  <c r="R151" i="9" s="1"/>
  <c r="AB153" i="3"/>
  <c r="E44" i="3"/>
  <c r="E151" i="3" s="1"/>
  <c r="M44" i="3"/>
  <c r="M368" i="3" s="1"/>
  <c r="U44" i="3"/>
  <c r="U45" i="3" s="1"/>
  <c r="AC44" i="3"/>
  <c r="AC369" i="3" s="1"/>
  <c r="F44" i="3"/>
  <c r="F152" i="3" s="1"/>
  <c r="N44" i="3"/>
  <c r="N46" i="3" s="1"/>
  <c r="V44" i="3"/>
  <c r="V152" i="3" s="1"/>
  <c r="G44" i="3"/>
  <c r="G368" i="3" s="1"/>
  <c r="O44" i="3"/>
  <c r="O474" i="3" s="1"/>
  <c r="W44" i="3"/>
  <c r="W474" i="3" s="1"/>
  <c r="H44" i="3"/>
  <c r="H260" i="3" s="1"/>
  <c r="X44" i="3"/>
  <c r="X474" i="3" s="1"/>
  <c r="I44" i="3"/>
  <c r="Q44" i="3"/>
  <c r="Q260" i="3" s="1"/>
  <c r="Y44" i="3"/>
  <c r="Y152" i="3" s="1"/>
  <c r="P44" i="3"/>
  <c r="P152" i="3" s="1"/>
  <c r="B44" i="3"/>
  <c r="B473" i="3" s="1"/>
  <c r="R44" i="3"/>
  <c r="R260" i="3" s="1"/>
  <c r="Z44" i="3"/>
  <c r="Z45" i="3" s="1"/>
  <c r="D44" i="3"/>
  <c r="D45" i="3" s="1"/>
  <c r="L44" i="3"/>
  <c r="T44" i="3"/>
  <c r="T45" i="3" s="1"/>
  <c r="AB44" i="3"/>
  <c r="AB260" i="3" s="1"/>
  <c r="S367" i="3"/>
  <c r="F153" i="3"/>
  <c r="N153" i="3"/>
  <c r="V153" i="3"/>
  <c r="J367" i="13"/>
  <c r="J402" i="13" s="1"/>
  <c r="R367" i="13"/>
  <c r="R400" i="13" s="1"/>
  <c r="B367" i="13"/>
  <c r="B402" i="13" s="1"/>
  <c r="I367" i="13"/>
  <c r="I402" i="13" s="1"/>
  <c r="L367" i="13"/>
  <c r="L404" i="13" s="1"/>
  <c r="Z367" i="13"/>
  <c r="Z403" i="13" s="1"/>
  <c r="W152" i="13"/>
  <c r="P76" i="13"/>
  <c r="F367" i="13"/>
  <c r="F400" i="13" s="1"/>
  <c r="P367" i="13"/>
  <c r="P400" i="13" s="1"/>
  <c r="Q367" i="13"/>
  <c r="Q397" i="13" s="1"/>
  <c r="T367" i="13"/>
  <c r="T401" i="13" s="1"/>
  <c r="N367" i="13"/>
  <c r="N404" i="13" s="1"/>
  <c r="W260" i="13"/>
  <c r="U367" i="13"/>
  <c r="U403" i="13" s="1"/>
  <c r="E367" i="13"/>
  <c r="E403" i="13" s="1"/>
  <c r="Y367" i="13"/>
  <c r="Y403" i="13" s="1"/>
  <c r="AB367" i="13"/>
  <c r="AB397" i="13" s="1"/>
  <c r="W369" i="13"/>
  <c r="H367" i="13"/>
  <c r="H399" i="13" s="1"/>
  <c r="G367" i="13"/>
  <c r="G397" i="13" s="1"/>
  <c r="C367" i="13"/>
  <c r="C399" i="13" s="1"/>
  <c r="K367" i="13"/>
  <c r="K401" i="13" s="1"/>
  <c r="S367" i="13"/>
  <c r="S402" i="13" s="1"/>
  <c r="D81" i="13"/>
  <c r="AC367" i="13"/>
  <c r="AC403" i="13" s="1"/>
  <c r="AA367" i="13"/>
  <c r="AA401" i="13" s="1"/>
  <c r="X367" i="13"/>
  <c r="X397" i="13" s="1"/>
  <c r="AB81" i="13"/>
  <c r="AB62" i="13"/>
  <c r="AB68" i="13"/>
  <c r="AB56" i="13"/>
  <c r="AB64" i="13"/>
  <c r="AB63" i="13"/>
  <c r="AB66" i="13"/>
  <c r="AB65" i="13"/>
  <c r="AB67" i="13"/>
  <c r="AB69" i="13"/>
  <c r="I153" i="3"/>
  <c r="J259" i="9"/>
  <c r="J151" i="9"/>
  <c r="AC44" i="9"/>
  <c r="AC151" i="9" s="1"/>
  <c r="R47" i="9"/>
  <c r="R63" i="9" s="1"/>
  <c r="H44" i="9"/>
  <c r="H45" i="9" s="1"/>
  <c r="B368" i="13"/>
  <c r="J368" i="9"/>
  <c r="B44" i="9"/>
  <c r="B473" i="9" s="1"/>
  <c r="F44" i="9"/>
  <c r="F259" i="9" s="1"/>
  <c r="L44" i="9"/>
  <c r="L369" i="9" s="1"/>
  <c r="X44" i="9"/>
  <c r="X259" i="9" s="1"/>
  <c r="H153" i="3"/>
  <c r="P153" i="3"/>
  <c r="X153" i="3"/>
  <c r="J474" i="9"/>
  <c r="T44" i="9"/>
  <c r="T474" i="9" s="1"/>
  <c r="I44" i="9"/>
  <c r="I45" i="9" s="1"/>
  <c r="O152" i="13"/>
  <c r="H388" i="9"/>
  <c r="J369" i="9"/>
  <c r="AB44" i="9"/>
  <c r="AB45" i="9" s="1"/>
  <c r="Q44" i="9"/>
  <c r="Y153" i="3"/>
  <c r="B153" i="3"/>
  <c r="J153" i="3"/>
  <c r="R153" i="3"/>
  <c r="Z153" i="3"/>
  <c r="D261" i="3"/>
  <c r="W47" i="9"/>
  <c r="U44" i="9"/>
  <c r="U45" i="9" s="1"/>
  <c r="G44" i="9"/>
  <c r="G151" i="9" s="1"/>
  <c r="Y44" i="9"/>
  <c r="Y151" i="9" s="1"/>
  <c r="K386" i="13"/>
  <c r="Q153" i="3"/>
  <c r="C153" i="3"/>
  <c r="K153" i="3"/>
  <c r="S153" i="3"/>
  <c r="AA153" i="3"/>
  <c r="J473" i="9"/>
  <c r="N44" i="9"/>
  <c r="N369" i="9" s="1"/>
  <c r="E44" i="9"/>
  <c r="E151" i="9" s="1"/>
  <c r="O44" i="9"/>
  <c r="O45" i="9" s="1"/>
  <c r="D153" i="3"/>
  <c r="L153" i="3"/>
  <c r="C261" i="3"/>
  <c r="K261" i="3"/>
  <c r="S261" i="3"/>
  <c r="AA261" i="3"/>
  <c r="F47" i="9"/>
  <c r="F57" i="9" s="1"/>
  <c r="W44" i="9"/>
  <c r="W45" i="9" s="1"/>
  <c r="C44" i="9"/>
  <c r="C45" i="9" s="1"/>
  <c r="O47" i="9"/>
  <c r="J47" i="9"/>
  <c r="I367" i="3"/>
  <c r="X47" i="9"/>
  <c r="G47" i="9"/>
  <c r="N47" i="9"/>
  <c r="N64" i="9" s="1"/>
  <c r="Z47" i="9"/>
  <c r="H47" i="9"/>
  <c r="V47" i="9"/>
  <c r="C47" i="9"/>
  <c r="C69" i="9" s="1"/>
  <c r="N152" i="13"/>
  <c r="T47" i="9"/>
  <c r="I47" i="9"/>
  <c r="K47" i="9"/>
  <c r="K62" i="9" s="1"/>
  <c r="N368" i="13"/>
  <c r="I152" i="13"/>
  <c r="AB47" i="9"/>
  <c r="U47" i="9"/>
  <c r="AC47" i="9"/>
  <c r="Q47" i="9"/>
  <c r="S47" i="9"/>
  <c r="L47" i="9"/>
  <c r="N259" i="13"/>
  <c r="E47" i="9"/>
  <c r="M47" i="9"/>
  <c r="Y47" i="9"/>
  <c r="AA47" i="9"/>
  <c r="AA62" i="9" s="1"/>
  <c r="B47" i="9"/>
  <c r="D47" i="9"/>
  <c r="B261" i="3"/>
  <c r="J261" i="3"/>
  <c r="R261" i="3"/>
  <c r="Z261" i="3"/>
  <c r="L261" i="3"/>
  <c r="T261" i="3"/>
  <c r="AB261" i="3"/>
  <c r="E261" i="3"/>
  <c r="M261" i="3"/>
  <c r="U261" i="3"/>
  <c r="AC261" i="3"/>
  <c r="L368" i="13"/>
  <c r="F261" i="3"/>
  <c r="N261" i="3"/>
  <c r="V261" i="3"/>
  <c r="G261" i="3"/>
  <c r="O261" i="3"/>
  <c r="W261" i="3"/>
  <c r="H261" i="3"/>
  <c r="P261" i="3"/>
  <c r="X261" i="3"/>
  <c r="G171" i="9"/>
  <c r="I261" i="3"/>
  <c r="Q261" i="3"/>
  <c r="Y261" i="3"/>
  <c r="E472" i="3"/>
  <c r="M472" i="3"/>
  <c r="U472" i="3"/>
  <c r="AC472" i="3"/>
  <c r="Q369" i="13"/>
  <c r="F472" i="3"/>
  <c r="N472" i="3"/>
  <c r="V472" i="3"/>
  <c r="W45" i="13"/>
  <c r="H472" i="3"/>
  <c r="G74" i="13"/>
  <c r="Q260" i="13"/>
  <c r="U367" i="3"/>
  <c r="J45" i="9"/>
  <c r="Z74" i="13"/>
  <c r="O260" i="13"/>
  <c r="Z258" i="13"/>
  <c r="Z290" i="13" s="1"/>
  <c r="C367" i="3"/>
  <c r="AC398" i="9"/>
  <c r="B260" i="13"/>
  <c r="P258" i="13"/>
  <c r="P294" i="13" s="1"/>
  <c r="H367" i="3"/>
  <c r="V45" i="9"/>
  <c r="Y369" i="13"/>
  <c r="O258" i="13"/>
  <c r="O294" i="13" s="1"/>
  <c r="M76" i="13"/>
  <c r="Y368" i="13"/>
  <c r="Q152" i="13"/>
  <c r="N76" i="13"/>
  <c r="E81" i="13"/>
  <c r="R260" i="13"/>
  <c r="K152" i="13"/>
  <c r="R368" i="13"/>
  <c r="G260" i="13"/>
  <c r="O75" i="13"/>
  <c r="R367" i="3"/>
  <c r="D368" i="13"/>
  <c r="G369" i="13"/>
  <c r="S258" i="13"/>
  <c r="S293" i="13" s="1"/>
  <c r="R258" i="13"/>
  <c r="R295" i="13" s="1"/>
  <c r="Q258" i="13"/>
  <c r="Q290" i="13" s="1"/>
  <c r="H258" i="13"/>
  <c r="H294" i="13" s="1"/>
  <c r="F258" i="13"/>
  <c r="F293" i="13" s="1"/>
  <c r="S369" i="13"/>
  <c r="C258" i="13"/>
  <c r="C294" i="13" s="1"/>
  <c r="X258" i="13"/>
  <c r="X295" i="13" s="1"/>
  <c r="L258" i="13"/>
  <c r="L292" i="13" s="1"/>
  <c r="AC258" i="13"/>
  <c r="AC295" i="13" s="1"/>
  <c r="AB258" i="13"/>
  <c r="AB291" i="13" s="1"/>
  <c r="E258" i="13"/>
  <c r="E288" i="13" s="1"/>
  <c r="U258" i="13"/>
  <c r="U298" i="13" s="1"/>
  <c r="T258" i="13"/>
  <c r="T295" i="13" s="1"/>
  <c r="K258" i="13"/>
  <c r="K293" i="13" s="1"/>
  <c r="J258" i="13"/>
  <c r="J293" i="13" s="1"/>
  <c r="N258" i="13"/>
  <c r="N294" i="13" s="1"/>
  <c r="D258" i="13"/>
  <c r="D294" i="13" s="1"/>
  <c r="B386" i="9"/>
  <c r="B258" i="13"/>
  <c r="B290" i="13" s="1"/>
  <c r="W258" i="13"/>
  <c r="W289" i="13" s="1"/>
  <c r="M258" i="13"/>
  <c r="M292" i="13" s="1"/>
  <c r="G258" i="13"/>
  <c r="G293" i="13" s="1"/>
  <c r="V258" i="13"/>
  <c r="V292" i="13" s="1"/>
  <c r="I258" i="13"/>
  <c r="I289" i="13" s="1"/>
  <c r="Y258" i="13"/>
  <c r="Y289" i="13" s="1"/>
  <c r="AC271" i="13"/>
  <c r="P47" i="9"/>
  <c r="J151" i="13"/>
  <c r="Q151" i="13"/>
  <c r="Z151" i="13"/>
  <c r="K151" i="13"/>
  <c r="U151" i="13"/>
  <c r="V151" i="13"/>
  <c r="P151" i="13"/>
  <c r="L151" i="13"/>
  <c r="W151" i="13"/>
  <c r="N151" i="13"/>
  <c r="R151" i="13"/>
  <c r="D151" i="13"/>
  <c r="W367" i="13"/>
  <c r="W403" i="13" s="1"/>
  <c r="E367" i="3"/>
  <c r="X367" i="3"/>
  <c r="J367" i="3"/>
  <c r="B472" i="3"/>
  <c r="W492" i="9"/>
  <c r="V369" i="9"/>
  <c r="N367" i="3"/>
  <c r="P368" i="13"/>
  <c r="K368" i="13"/>
  <c r="O368" i="13"/>
  <c r="I369" i="13"/>
  <c r="N260" i="13"/>
  <c r="Y152" i="13"/>
  <c r="G152" i="13"/>
  <c r="U153" i="13"/>
  <c r="U190" i="13" s="1"/>
  <c r="T151" i="13"/>
  <c r="O151" i="13"/>
  <c r="AA62" i="13"/>
  <c r="AA64" i="13"/>
  <c r="N57" i="13"/>
  <c r="N65" i="13"/>
  <c r="W368" i="13"/>
  <c r="D369" i="13"/>
  <c r="P152" i="13"/>
  <c r="F153" i="13"/>
  <c r="F190" i="13" s="1"/>
  <c r="X175" i="13"/>
  <c r="I65" i="13"/>
  <c r="I63" i="13"/>
  <c r="R69" i="13"/>
  <c r="R63" i="13"/>
  <c r="R64" i="13"/>
  <c r="O63" i="13"/>
  <c r="O69" i="13"/>
  <c r="O62" i="13"/>
  <c r="E65" i="13"/>
  <c r="E57" i="13"/>
  <c r="E62" i="13"/>
  <c r="K153" i="13"/>
  <c r="K190" i="13" s="1"/>
  <c r="C75" i="13"/>
  <c r="V74" i="13"/>
  <c r="J152" i="9"/>
  <c r="J46" i="9"/>
  <c r="Z391" i="13"/>
  <c r="Z379" i="13"/>
  <c r="B153" i="13"/>
  <c r="V380" i="13"/>
  <c r="Q153" i="13"/>
  <c r="Q190" i="13" s="1"/>
  <c r="X45" i="13"/>
  <c r="Y153" i="13"/>
  <c r="Y190" i="13" s="1"/>
  <c r="N153" i="13"/>
  <c r="N190" i="13" s="1"/>
  <c r="AA153" i="13"/>
  <c r="AA190" i="13" s="1"/>
  <c r="W63" i="13"/>
  <c r="W64" i="13"/>
  <c r="D69" i="13"/>
  <c r="D62" i="13"/>
  <c r="O370" i="13"/>
  <c r="U186" i="9"/>
  <c r="K44" i="9"/>
  <c r="Z44" i="9"/>
  <c r="Z478" i="9"/>
  <c r="Z493" i="9"/>
  <c r="AA401" i="9"/>
  <c r="AV24" i="9"/>
  <c r="S44" i="9"/>
  <c r="AA44" i="9"/>
  <c r="V404" i="13"/>
  <c r="X187" i="13"/>
  <c r="X163" i="13"/>
  <c r="AC283" i="13"/>
  <c r="V392" i="13"/>
  <c r="V379" i="13"/>
  <c r="V391" i="13"/>
  <c r="V403" i="13"/>
  <c r="P282" i="13"/>
  <c r="P270" i="13"/>
  <c r="V282" i="13"/>
  <c r="V270" i="13"/>
  <c r="T282" i="13"/>
  <c r="T270" i="13"/>
  <c r="B379" i="13"/>
  <c r="B391" i="13"/>
  <c r="C282" i="13"/>
  <c r="C270" i="13"/>
  <c r="AA294" i="13"/>
  <c r="AA282" i="13"/>
  <c r="AA270" i="13"/>
  <c r="F282" i="13"/>
  <c r="F270" i="13"/>
  <c r="H282" i="13"/>
  <c r="H270" i="13"/>
  <c r="M379" i="13"/>
  <c r="M391" i="13"/>
  <c r="U379" i="13"/>
  <c r="U391" i="13"/>
  <c r="N282" i="13"/>
  <c r="N270" i="13"/>
  <c r="O282" i="13"/>
  <c r="O270" i="13"/>
  <c r="S282" i="13"/>
  <c r="S270" i="13"/>
  <c r="X174" i="13"/>
  <c r="X162" i="13"/>
  <c r="X186" i="13"/>
  <c r="L379" i="13"/>
  <c r="L391" i="13"/>
  <c r="AC379" i="13"/>
  <c r="AC391" i="13"/>
  <c r="T379" i="13"/>
  <c r="T391" i="13"/>
  <c r="Y379" i="13"/>
  <c r="Y391" i="13"/>
  <c r="B270" i="13"/>
  <c r="B282" i="13"/>
  <c r="Z270" i="13"/>
  <c r="Z282" i="13"/>
  <c r="X282" i="13"/>
  <c r="X270" i="13"/>
  <c r="G282" i="13"/>
  <c r="G270" i="13"/>
  <c r="E379" i="13"/>
  <c r="E391" i="13"/>
  <c r="AB282" i="13"/>
  <c r="AB270" i="13"/>
  <c r="M282" i="13"/>
  <c r="M270" i="13"/>
  <c r="E282" i="13"/>
  <c r="E270" i="13"/>
  <c r="D379" i="13"/>
  <c r="D391" i="13"/>
  <c r="S379" i="13"/>
  <c r="S391" i="13"/>
  <c r="AA379" i="13"/>
  <c r="AA391" i="13"/>
  <c r="AB379" i="13"/>
  <c r="AB391" i="13"/>
  <c r="P391" i="13"/>
  <c r="P379" i="13"/>
  <c r="X391" i="13"/>
  <c r="X379" i="13"/>
  <c r="W379" i="13"/>
  <c r="W391" i="13"/>
  <c r="L282" i="13"/>
  <c r="L270" i="13"/>
  <c r="I270" i="13"/>
  <c r="I282" i="13"/>
  <c r="K379" i="13"/>
  <c r="K391" i="13"/>
  <c r="R379" i="13"/>
  <c r="R391" i="13"/>
  <c r="Q391" i="13"/>
  <c r="Q379" i="13"/>
  <c r="H391" i="13"/>
  <c r="H379" i="13"/>
  <c r="N379" i="13"/>
  <c r="N391" i="13"/>
  <c r="W282" i="13"/>
  <c r="W270" i="13"/>
  <c r="Q270" i="13"/>
  <c r="Q282" i="13"/>
  <c r="J282" i="13"/>
  <c r="J270" i="13"/>
  <c r="AC282" i="13"/>
  <c r="AC270" i="13"/>
  <c r="C379" i="13"/>
  <c r="C391" i="13"/>
  <c r="J379" i="13"/>
  <c r="J391" i="13"/>
  <c r="I391" i="13"/>
  <c r="I379" i="13"/>
  <c r="G379" i="13"/>
  <c r="G391" i="13"/>
  <c r="F379" i="13"/>
  <c r="F391" i="13"/>
  <c r="K282" i="13"/>
  <c r="K270" i="13"/>
  <c r="D282" i="13"/>
  <c r="D270" i="13"/>
  <c r="Y270" i="13"/>
  <c r="Y282" i="13"/>
  <c r="R270" i="13"/>
  <c r="R282" i="13"/>
  <c r="C378" i="13"/>
  <c r="C390" i="13"/>
  <c r="AC281" i="13"/>
  <c r="AC269" i="13"/>
  <c r="E161" i="13"/>
  <c r="K378" i="13"/>
  <c r="K390" i="13"/>
  <c r="M378" i="13"/>
  <c r="M390" i="13"/>
  <c r="W390" i="13"/>
  <c r="W378" i="13"/>
  <c r="M281" i="13"/>
  <c r="M269" i="13"/>
  <c r="E269" i="13"/>
  <c r="E281" i="13"/>
  <c r="Y269" i="13"/>
  <c r="Y281" i="13"/>
  <c r="Y161" i="13"/>
  <c r="K161" i="13"/>
  <c r="M161" i="13"/>
  <c r="X161" i="13"/>
  <c r="X185" i="13"/>
  <c r="X173" i="13"/>
  <c r="AA161" i="13"/>
  <c r="S378" i="13"/>
  <c r="S390" i="13"/>
  <c r="U378" i="13"/>
  <c r="U390" i="13"/>
  <c r="H390" i="13"/>
  <c r="H378" i="13"/>
  <c r="Z269" i="13"/>
  <c r="Z281" i="13"/>
  <c r="S269" i="13"/>
  <c r="S281" i="13"/>
  <c r="I269" i="13"/>
  <c r="I281" i="13"/>
  <c r="B161" i="13"/>
  <c r="S161" i="13"/>
  <c r="U161" i="13"/>
  <c r="AA378" i="13"/>
  <c r="AA390" i="13"/>
  <c r="AC390" i="13"/>
  <c r="AC378" i="13"/>
  <c r="P390" i="13"/>
  <c r="P378" i="13"/>
  <c r="C281" i="13"/>
  <c r="C269" i="13"/>
  <c r="H269" i="13"/>
  <c r="H281" i="13"/>
  <c r="R269" i="13"/>
  <c r="R281" i="13"/>
  <c r="AB161" i="13"/>
  <c r="F161" i="13"/>
  <c r="B269" i="13"/>
  <c r="B281" i="13"/>
  <c r="W161" i="13"/>
  <c r="D378" i="13"/>
  <c r="D390" i="13"/>
  <c r="F390" i="13"/>
  <c r="F378" i="13"/>
  <c r="X390" i="13"/>
  <c r="X378" i="13"/>
  <c r="K281" i="13"/>
  <c r="K269" i="13"/>
  <c r="O269" i="13"/>
  <c r="O281" i="13"/>
  <c r="T281" i="13"/>
  <c r="T269" i="13"/>
  <c r="AA293" i="13"/>
  <c r="AA281" i="13"/>
  <c r="AA269" i="13"/>
  <c r="D161" i="13"/>
  <c r="N161" i="13"/>
  <c r="P269" i="13"/>
  <c r="P281" i="13"/>
  <c r="R161" i="13"/>
  <c r="L378" i="13"/>
  <c r="L390" i="13"/>
  <c r="N390" i="13"/>
  <c r="N378" i="13"/>
  <c r="I378" i="13"/>
  <c r="I390" i="13"/>
  <c r="W269" i="13"/>
  <c r="W281" i="13"/>
  <c r="AB281" i="13"/>
  <c r="AB269" i="13"/>
  <c r="J269" i="13"/>
  <c r="J281" i="13"/>
  <c r="F269" i="13"/>
  <c r="F281" i="13"/>
  <c r="J161" i="13"/>
  <c r="I161" i="13"/>
  <c r="L161" i="13"/>
  <c r="V161" i="13"/>
  <c r="E378" i="13"/>
  <c r="E390" i="13"/>
  <c r="C161" i="13"/>
  <c r="B378" i="13"/>
  <c r="B390" i="13"/>
  <c r="T378" i="13"/>
  <c r="T390" i="13"/>
  <c r="V402" i="13"/>
  <c r="V390" i="13"/>
  <c r="V378" i="13"/>
  <c r="Q390" i="13"/>
  <c r="Q378" i="13"/>
  <c r="L281" i="13"/>
  <c r="L269" i="13"/>
  <c r="D281" i="13"/>
  <c r="D269" i="13"/>
  <c r="U281" i="13"/>
  <c r="U269" i="13"/>
  <c r="N269" i="13"/>
  <c r="N281" i="13"/>
  <c r="H161" i="13"/>
  <c r="Q161" i="13"/>
  <c r="T161" i="13"/>
  <c r="G161" i="13"/>
  <c r="Z378" i="13"/>
  <c r="Z390" i="13"/>
  <c r="O378" i="13"/>
  <c r="J378" i="13"/>
  <c r="J390" i="13"/>
  <c r="AB378" i="13"/>
  <c r="AB390" i="13"/>
  <c r="G390" i="13"/>
  <c r="G378" i="13"/>
  <c r="Y378" i="13"/>
  <c r="Y390" i="13"/>
  <c r="R378" i="13"/>
  <c r="R390" i="13"/>
  <c r="X269" i="13"/>
  <c r="X281" i="13"/>
  <c r="Q269" i="13"/>
  <c r="Q281" i="13"/>
  <c r="G269" i="13"/>
  <c r="G281" i="13"/>
  <c r="V269" i="13"/>
  <c r="V281" i="13"/>
  <c r="Z161" i="13"/>
  <c r="AC161" i="13"/>
  <c r="O161" i="13"/>
  <c r="G389" i="13"/>
  <c r="G377" i="13"/>
  <c r="O280" i="13"/>
  <c r="O268" i="13"/>
  <c r="I280" i="13"/>
  <c r="I268" i="13"/>
  <c r="Y280" i="13"/>
  <c r="Y268" i="13"/>
  <c r="K268" i="13"/>
  <c r="K280" i="13"/>
  <c r="V160" i="13"/>
  <c r="K160" i="13"/>
  <c r="R160" i="13"/>
  <c r="N389" i="13"/>
  <c r="N377" i="13"/>
  <c r="AB280" i="13"/>
  <c r="AB268" i="13"/>
  <c r="V280" i="13"/>
  <c r="V268" i="13"/>
  <c r="H280" i="13"/>
  <c r="H268" i="13"/>
  <c r="S268" i="13"/>
  <c r="S280" i="13"/>
  <c r="O160" i="13"/>
  <c r="H160" i="13"/>
  <c r="S160" i="13"/>
  <c r="Z389" i="13"/>
  <c r="Z377" i="13"/>
  <c r="AA268" i="13"/>
  <c r="AA292" i="13"/>
  <c r="AA280" i="13"/>
  <c r="AC389" i="13"/>
  <c r="AC377" i="13"/>
  <c r="AA377" i="13"/>
  <c r="AA389" i="13"/>
  <c r="R377" i="13"/>
  <c r="R389" i="13"/>
  <c r="Y377" i="13"/>
  <c r="Y389" i="13"/>
  <c r="X389" i="13"/>
  <c r="X377" i="13"/>
  <c r="P280" i="13"/>
  <c r="P268" i="13"/>
  <c r="W280" i="13"/>
  <c r="W268" i="13"/>
  <c r="Z268" i="13"/>
  <c r="Z280" i="13"/>
  <c r="AC160" i="13"/>
  <c r="W160" i="13"/>
  <c r="X184" i="13"/>
  <c r="X172" i="13"/>
  <c r="X160" i="13"/>
  <c r="D160" i="13"/>
  <c r="F389" i="13"/>
  <c r="F377" i="13"/>
  <c r="E280" i="13"/>
  <c r="E268" i="13"/>
  <c r="AA160" i="13"/>
  <c r="U389" i="13"/>
  <c r="U377" i="13"/>
  <c r="AB389" i="13"/>
  <c r="AB377" i="13"/>
  <c r="S377" i="13"/>
  <c r="S389" i="13"/>
  <c r="J389" i="13"/>
  <c r="J377" i="13"/>
  <c r="Q377" i="13"/>
  <c r="Q389" i="13"/>
  <c r="P389" i="13"/>
  <c r="P377" i="13"/>
  <c r="F280" i="13"/>
  <c r="F268" i="13"/>
  <c r="M280" i="13"/>
  <c r="M268" i="13"/>
  <c r="J268" i="13"/>
  <c r="J280" i="13"/>
  <c r="G160" i="13"/>
  <c r="Z160" i="13"/>
  <c r="B160" i="13"/>
  <c r="I160" i="13"/>
  <c r="L160" i="13"/>
  <c r="Q268" i="13"/>
  <c r="Q280" i="13"/>
  <c r="M389" i="13"/>
  <c r="M377" i="13"/>
  <c r="T389" i="13"/>
  <c r="T377" i="13"/>
  <c r="K389" i="13"/>
  <c r="K377" i="13"/>
  <c r="B389" i="13"/>
  <c r="B377" i="13"/>
  <c r="I377" i="13"/>
  <c r="I389" i="13"/>
  <c r="H389" i="13"/>
  <c r="H377" i="13"/>
  <c r="V401" i="13"/>
  <c r="V389" i="13"/>
  <c r="V377" i="13"/>
  <c r="R268" i="13"/>
  <c r="R280" i="13"/>
  <c r="X280" i="13"/>
  <c r="X268" i="13"/>
  <c r="T268" i="13"/>
  <c r="T280" i="13"/>
  <c r="M160" i="13"/>
  <c r="E160" i="13"/>
  <c r="Q160" i="13"/>
  <c r="T160" i="13"/>
  <c r="L280" i="13"/>
  <c r="L268" i="13"/>
  <c r="E389" i="13"/>
  <c r="E377" i="13"/>
  <c r="L389" i="13"/>
  <c r="L377" i="13"/>
  <c r="C377" i="13"/>
  <c r="C389" i="13"/>
  <c r="W389" i="13"/>
  <c r="W377" i="13"/>
  <c r="G280" i="13"/>
  <c r="G268" i="13"/>
  <c r="B268" i="13"/>
  <c r="B280" i="13"/>
  <c r="AC268" i="13"/>
  <c r="AC280" i="13"/>
  <c r="J160" i="13"/>
  <c r="F160" i="13"/>
  <c r="Y160" i="13"/>
  <c r="AB160" i="13"/>
  <c r="O377" i="13"/>
  <c r="P160" i="13"/>
  <c r="D389" i="13"/>
  <c r="D377" i="13"/>
  <c r="D268" i="13"/>
  <c r="D280" i="13"/>
  <c r="U268" i="13"/>
  <c r="U280" i="13"/>
  <c r="N280" i="13"/>
  <c r="N268" i="13"/>
  <c r="C268" i="13"/>
  <c r="C280" i="13"/>
  <c r="N160" i="13"/>
  <c r="C160" i="13"/>
  <c r="T68" i="13"/>
  <c r="T56" i="13"/>
  <c r="T66" i="13"/>
  <c r="T67" i="13"/>
  <c r="T57" i="13"/>
  <c r="L56" i="13"/>
  <c r="L68" i="13"/>
  <c r="L67" i="13"/>
  <c r="L57" i="13"/>
  <c r="L66" i="13"/>
  <c r="K68" i="13"/>
  <c r="K66" i="13"/>
  <c r="K56" i="13"/>
  <c r="K69" i="13"/>
  <c r="K67" i="13"/>
  <c r="AC77" i="13"/>
  <c r="S74" i="13"/>
  <c r="X62" i="13"/>
  <c r="G62" i="13"/>
  <c r="O64" i="13"/>
  <c r="M64" i="13"/>
  <c r="S64" i="13"/>
  <c r="J64" i="13"/>
  <c r="W65" i="13"/>
  <c r="F65" i="13"/>
  <c r="Y69" i="13"/>
  <c r="X69" i="13"/>
  <c r="G69" i="13"/>
  <c r="W57" i="13"/>
  <c r="M69" i="13"/>
  <c r="J63" i="13"/>
  <c r="N63" i="13"/>
  <c r="S65" i="13"/>
  <c r="C68" i="13"/>
  <c r="C66" i="13"/>
  <c r="C56" i="13"/>
  <c r="C67" i="13"/>
  <c r="C69" i="13"/>
  <c r="B68" i="13"/>
  <c r="B66" i="13"/>
  <c r="B56" i="13"/>
  <c r="B67" i="13"/>
  <c r="T81" i="13"/>
  <c r="J81" i="13"/>
  <c r="P62" i="13"/>
  <c r="G64" i="13"/>
  <c r="E64" i="13"/>
  <c r="K64" i="13"/>
  <c r="B64" i="13"/>
  <c r="L77" i="13"/>
  <c r="O65" i="13"/>
  <c r="Q69" i="13"/>
  <c r="P69" i="13"/>
  <c r="X57" i="13"/>
  <c r="O57" i="13"/>
  <c r="E69" i="13"/>
  <c r="T69" i="13"/>
  <c r="B63" i="13"/>
  <c r="AA57" i="13"/>
  <c r="F63" i="13"/>
  <c r="AC65" i="13"/>
  <c r="Y68" i="13"/>
  <c r="Y66" i="13"/>
  <c r="Y56" i="13"/>
  <c r="Y67" i="13"/>
  <c r="Y81" i="13"/>
  <c r="K74" i="13"/>
  <c r="V67" i="13"/>
  <c r="V56" i="13"/>
  <c r="V68" i="13"/>
  <c r="V66" i="13"/>
  <c r="Y62" i="13"/>
  <c r="H62" i="13"/>
  <c r="Q64" i="13"/>
  <c r="V64" i="13"/>
  <c r="L76" i="13"/>
  <c r="C64" i="13"/>
  <c r="Y65" i="13"/>
  <c r="X65" i="13"/>
  <c r="G65" i="13"/>
  <c r="I69" i="13"/>
  <c r="H69" i="13"/>
  <c r="P57" i="13"/>
  <c r="V57" i="13"/>
  <c r="L69" i="13"/>
  <c r="T63" i="13"/>
  <c r="Z65" i="13"/>
  <c r="C65" i="13"/>
  <c r="Z68" i="13"/>
  <c r="Z66" i="13"/>
  <c r="Z56" i="13"/>
  <c r="Z67" i="13"/>
  <c r="B81" i="13"/>
  <c r="M56" i="13"/>
  <c r="M67" i="13"/>
  <c r="M68" i="13"/>
  <c r="M66" i="13"/>
  <c r="Q62" i="13"/>
  <c r="I64" i="13"/>
  <c r="N64" i="13"/>
  <c r="Q65" i="13"/>
  <c r="Z57" i="13"/>
  <c r="Y57" i="13"/>
  <c r="L63" i="13"/>
  <c r="X74" i="13"/>
  <c r="R65" i="13"/>
  <c r="C63" i="13"/>
  <c r="K57" i="13"/>
  <c r="R62" i="13"/>
  <c r="T65" i="13"/>
  <c r="H68" i="13"/>
  <c r="H66" i="13"/>
  <c r="H56" i="13"/>
  <c r="H67" i="13"/>
  <c r="Q76" i="13"/>
  <c r="F81" i="13"/>
  <c r="S68" i="13"/>
  <c r="S66" i="13"/>
  <c r="S56" i="13"/>
  <c r="S69" i="13"/>
  <c r="S67" i="13"/>
  <c r="P68" i="13"/>
  <c r="P66" i="13"/>
  <c r="P67" i="13"/>
  <c r="P56" i="13"/>
  <c r="W67" i="13"/>
  <c r="W68" i="13"/>
  <c r="W66" i="13"/>
  <c r="W56" i="13"/>
  <c r="D66" i="13"/>
  <c r="D56" i="13"/>
  <c r="D67" i="13"/>
  <c r="D57" i="13"/>
  <c r="D68" i="13"/>
  <c r="I62" i="13"/>
  <c r="V62" i="13"/>
  <c r="AC62" i="13"/>
  <c r="X75" i="13"/>
  <c r="X63" i="13"/>
  <c r="F64" i="13"/>
  <c r="T64" i="13"/>
  <c r="H65" i="13"/>
  <c r="Z69" i="13"/>
  <c r="R57" i="13"/>
  <c r="F57" i="13"/>
  <c r="AC57" i="13"/>
  <c r="D63" i="13"/>
  <c r="J65" i="13"/>
  <c r="K63" i="13"/>
  <c r="C57" i="13"/>
  <c r="L65" i="13"/>
  <c r="I68" i="13"/>
  <c r="I66" i="13"/>
  <c r="I56" i="13"/>
  <c r="I67" i="13"/>
  <c r="J68" i="13"/>
  <c r="J66" i="13"/>
  <c r="J56" i="13"/>
  <c r="J67" i="13"/>
  <c r="AA68" i="13"/>
  <c r="AA66" i="13"/>
  <c r="AA69" i="13"/>
  <c r="AA56" i="13"/>
  <c r="AA67" i="13"/>
  <c r="G67" i="13"/>
  <c r="G68" i="13"/>
  <c r="G66" i="13"/>
  <c r="G56" i="13"/>
  <c r="X67" i="13"/>
  <c r="X68" i="13"/>
  <c r="X66" i="13"/>
  <c r="X56" i="13"/>
  <c r="N67" i="13"/>
  <c r="N56" i="13"/>
  <c r="N68" i="13"/>
  <c r="N66" i="13"/>
  <c r="AA77" i="13"/>
  <c r="N62" i="13"/>
  <c r="T62" i="13"/>
  <c r="S62" i="13"/>
  <c r="Y63" i="13"/>
  <c r="P63" i="13"/>
  <c r="G63" i="13"/>
  <c r="P64" i="13"/>
  <c r="L64" i="13"/>
  <c r="J57" i="13"/>
  <c r="I57" i="13"/>
  <c r="V69" i="13"/>
  <c r="M81" i="13"/>
  <c r="B65" i="13"/>
  <c r="AA65" i="13"/>
  <c r="B62" i="13"/>
  <c r="M63" i="13"/>
  <c r="D65" i="13"/>
  <c r="F67" i="13"/>
  <c r="F68" i="13"/>
  <c r="F66" i="13"/>
  <c r="F56" i="13"/>
  <c r="AC56" i="13"/>
  <c r="AC67" i="13"/>
  <c r="AC68" i="13"/>
  <c r="AC66" i="13"/>
  <c r="Q68" i="13"/>
  <c r="Q66" i="13"/>
  <c r="Q56" i="13"/>
  <c r="Q67" i="13"/>
  <c r="R68" i="13"/>
  <c r="R66" i="13"/>
  <c r="R56" i="13"/>
  <c r="R67" i="13"/>
  <c r="L74" i="13"/>
  <c r="O67" i="13"/>
  <c r="O68" i="13"/>
  <c r="O66" i="13"/>
  <c r="O56" i="13"/>
  <c r="E56" i="13"/>
  <c r="E67" i="13"/>
  <c r="E68" i="13"/>
  <c r="E66" i="13"/>
  <c r="W62" i="13"/>
  <c r="F62" i="13"/>
  <c r="M62" i="13"/>
  <c r="L62" i="13"/>
  <c r="K62" i="13"/>
  <c r="Q63" i="13"/>
  <c r="H63" i="13"/>
  <c r="H64" i="13"/>
  <c r="AC64" i="13"/>
  <c r="D64" i="13"/>
  <c r="Z64" i="13"/>
  <c r="V65" i="13"/>
  <c r="J69" i="13"/>
  <c r="B57" i="13"/>
  <c r="W69" i="13"/>
  <c r="N69" i="13"/>
  <c r="AC69" i="13"/>
  <c r="M57" i="13"/>
  <c r="T74" i="13"/>
  <c r="Z63" i="13"/>
  <c r="AA63" i="13"/>
  <c r="E63" i="13"/>
  <c r="S63" i="13"/>
  <c r="AA368" i="13"/>
  <c r="AB368" i="13"/>
  <c r="AA369" i="13"/>
  <c r="AC260" i="13"/>
  <c r="V260" i="13"/>
  <c r="AA151" i="13"/>
  <c r="C152" i="13"/>
  <c r="Y74" i="13"/>
  <c r="E368" i="13"/>
  <c r="E260" i="13"/>
  <c r="Q77" i="13"/>
  <c r="G77" i="13"/>
  <c r="AC369" i="13"/>
  <c r="C369" i="13"/>
  <c r="AA259" i="13"/>
  <c r="S368" i="13"/>
  <c r="AC368" i="13"/>
  <c r="K76" i="13"/>
  <c r="O81" i="13"/>
  <c r="C368" i="13"/>
  <c r="AA260" i="13"/>
  <c r="AB151" i="13"/>
  <c r="C151" i="13"/>
  <c r="AC151" i="13"/>
  <c r="AB152" i="13"/>
  <c r="AA152" i="13"/>
  <c r="V76" i="13"/>
  <c r="N81" i="13"/>
  <c r="P81" i="13"/>
  <c r="E369" i="13"/>
  <c r="I368" i="13"/>
  <c r="AB260" i="13"/>
  <c r="S152" i="13"/>
  <c r="S75" i="13"/>
  <c r="H80" i="13"/>
  <c r="H78" i="13"/>
  <c r="H79" i="13"/>
  <c r="H369" i="13"/>
  <c r="F152" i="13"/>
  <c r="AA46" i="13"/>
  <c r="AA80" i="13"/>
  <c r="AA78" i="13"/>
  <c r="AA81" i="13"/>
  <c r="AA79" i="13"/>
  <c r="P75" i="13"/>
  <c r="K75" i="13"/>
  <c r="E76" i="13"/>
  <c r="D76" i="13"/>
  <c r="C76" i="13"/>
  <c r="Z76" i="13"/>
  <c r="D77" i="13"/>
  <c r="S77" i="13"/>
  <c r="G81" i="13"/>
  <c r="AA74" i="13"/>
  <c r="X368" i="13"/>
  <c r="X80" i="13"/>
  <c r="X78" i="13"/>
  <c r="X79" i="13"/>
  <c r="F369" i="13"/>
  <c r="F79" i="13"/>
  <c r="F80" i="13"/>
  <c r="F78" i="13"/>
  <c r="N369" i="13"/>
  <c r="N79" i="13"/>
  <c r="N80" i="13"/>
  <c r="N78" i="13"/>
  <c r="L78" i="13"/>
  <c r="L79" i="13"/>
  <c r="L80" i="13"/>
  <c r="R152" i="13"/>
  <c r="R80" i="13"/>
  <c r="R78" i="13"/>
  <c r="R79" i="13"/>
  <c r="H75" i="13"/>
  <c r="V75" i="13"/>
  <c r="Z75" i="13"/>
  <c r="W76" i="13"/>
  <c r="F76" i="13"/>
  <c r="R76" i="13"/>
  <c r="K77" i="13"/>
  <c r="Z77" i="13"/>
  <c r="P74" i="13"/>
  <c r="W74" i="13"/>
  <c r="Y75" i="13"/>
  <c r="D74" i="13"/>
  <c r="Z81" i="13"/>
  <c r="H151" i="13"/>
  <c r="E79" i="13"/>
  <c r="E80" i="13"/>
  <c r="E78" i="13"/>
  <c r="C46" i="13"/>
  <c r="C80" i="13"/>
  <c r="C78" i="13"/>
  <c r="C79" i="13"/>
  <c r="C81" i="13"/>
  <c r="AB78" i="13"/>
  <c r="AB80" i="13"/>
  <c r="AB79" i="13"/>
  <c r="I46" i="13"/>
  <c r="I80" i="13"/>
  <c r="I78" i="13"/>
  <c r="I79" i="13"/>
  <c r="N75" i="13"/>
  <c r="R75" i="13"/>
  <c r="O76" i="13"/>
  <c r="J76" i="13"/>
  <c r="C77" i="13"/>
  <c r="R77" i="13"/>
  <c r="H74" i="13"/>
  <c r="O74" i="13"/>
  <c r="N74" i="13"/>
  <c r="Q75" i="13"/>
  <c r="L81" i="13"/>
  <c r="I74" i="13"/>
  <c r="R81" i="13"/>
  <c r="H45" i="13"/>
  <c r="V369" i="13"/>
  <c r="V79" i="13"/>
  <c r="V80" i="13"/>
  <c r="V78" i="13"/>
  <c r="AC79" i="13"/>
  <c r="AC80" i="13"/>
  <c r="AC78" i="13"/>
  <c r="S46" i="13"/>
  <c r="S80" i="13"/>
  <c r="S78" i="13"/>
  <c r="S81" i="13"/>
  <c r="S79" i="13"/>
  <c r="Q46" i="13"/>
  <c r="W75" i="13"/>
  <c r="F75" i="13"/>
  <c r="AC75" i="13"/>
  <c r="AB75" i="13"/>
  <c r="J75" i="13"/>
  <c r="G76" i="13"/>
  <c r="B76" i="13"/>
  <c r="V77" i="13"/>
  <c r="J77" i="13"/>
  <c r="Y77" i="13"/>
  <c r="H81" i="13"/>
  <c r="F74" i="13"/>
  <c r="I75" i="13"/>
  <c r="X81" i="13"/>
  <c r="C74" i="13"/>
  <c r="G151" i="13"/>
  <c r="G79" i="13"/>
  <c r="G80" i="13"/>
  <c r="G78" i="13"/>
  <c r="M46" i="13"/>
  <c r="M79" i="13"/>
  <c r="M80" i="13"/>
  <c r="M78" i="13"/>
  <c r="T46" i="13"/>
  <c r="T78" i="13"/>
  <c r="T80" i="13"/>
  <c r="T79" i="13"/>
  <c r="J80" i="13"/>
  <c r="J78" i="13"/>
  <c r="J79" i="13"/>
  <c r="R74" i="13"/>
  <c r="T75" i="13"/>
  <c r="B75" i="13"/>
  <c r="N77" i="13"/>
  <c r="M77" i="13"/>
  <c r="B77" i="13"/>
  <c r="X76" i="13"/>
  <c r="Q81" i="13"/>
  <c r="Q74" i="13"/>
  <c r="AC74" i="13"/>
  <c r="X77" i="13"/>
  <c r="X46" i="13"/>
  <c r="F368" i="13"/>
  <c r="H152" i="13"/>
  <c r="Z46" i="13"/>
  <c r="Z80" i="13"/>
  <c r="Z78" i="13"/>
  <c r="Z79" i="13"/>
  <c r="Y46" i="13"/>
  <c r="Y80" i="13"/>
  <c r="Y78" i="13"/>
  <c r="Y79" i="13"/>
  <c r="O46" i="13"/>
  <c r="O79" i="13"/>
  <c r="O80" i="13"/>
  <c r="O78" i="13"/>
  <c r="D46" i="13"/>
  <c r="D80" i="13"/>
  <c r="D79" i="13"/>
  <c r="D78" i="13"/>
  <c r="K46" i="13"/>
  <c r="K80" i="13"/>
  <c r="K78" i="13"/>
  <c r="K81" i="13"/>
  <c r="K79" i="13"/>
  <c r="J74" i="13"/>
  <c r="G75" i="13"/>
  <c r="M75" i="13"/>
  <c r="L75" i="13"/>
  <c r="AC76" i="13"/>
  <c r="AB76" i="13"/>
  <c r="AA76" i="13"/>
  <c r="F77" i="13"/>
  <c r="E77" i="13"/>
  <c r="AB77" i="13"/>
  <c r="I76" i="13"/>
  <c r="I77" i="13"/>
  <c r="AC81" i="13"/>
  <c r="M74" i="13"/>
  <c r="H77" i="13"/>
  <c r="I81" i="13"/>
  <c r="F260" i="13"/>
  <c r="Q80" i="13"/>
  <c r="Q78" i="13"/>
  <c r="Q79" i="13"/>
  <c r="P260" i="13"/>
  <c r="P80" i="13"/>
  <c r="P78" i="13"/>
  <c r="P79" i="13"/>
  <c r="W46" i="13"/>
  <c r="W79" i="13"/>
  <c r="W80" i="13"/>
  <c r="W78" i="13"/>
  <c r="B151" i="13"/>
  <c r="B78" i="13"/>
  <c r="B79" i="13"/>
  <c r="B74" i="13"/>
  <c r="E75" i="13"/>
  <c r="D75" i="13"/>
  <c r="AA75" i="13"/>
  <c r="T76" i="13"/>
  <c r="S76" i="13"/>
  <c r="T77" i="13"/>
  <c r="P77" i="13"/>
  <c r="H76" i="13"/>
  <c r="W81" i="13"/>
  <c r="V81" i="13"/>
  <c r="E74" i="13"/>
  <c r="AB74" i="13"/>
  <c r="O77" i="13"/>
  <c r="Y76" i="13"/>
  <c r="K374" i="13"/>
  <c r="N157" i="13"/>
  <c r="U283" i="13"/>
  <c r="U271" i="13"/>
  <c r="P392" i="13"/>
  <c r="P380" i="13"/>
  <c r="E380" i="13"/>
  <c r="E392" i="13"/>
  <c r="G392" i="13"/>
  <c r="G380" i="13"/>
  <c r="H271" i="13"/>
  <c r="H283" i="13"/>
  <c r="E283" i="13"/>
  <c r="E271" i="13"/>
  <c r="AB283" i="13"/>
  <c r="AB271" i="13"/>
  <c r="H392" i="13"/>
  <c r="H380" i="13"/>
  <c r="AB392" i="13"/>
  <c r="AB380" i="13"/>
  <c r="F380" i="13"/>
  <c r="F392" i="13"/>
  <c r="M380" i="13"/>
  <c r="M392" i="13"/>
  <c r="S271" i="13"/>
  <c r="S283" i="13"/>
  <c r="Q271" i="13"/>
  <c r="Q283" i="13"/>
  <c r="N283" i="13"/>
  <c r="N271" i="13"/>
  <c r="T392" i="13"/>
  <c r="T380" i="13"/>
  <c r="S392" i="13"/>
  <c r="S380" i="13"/>
  <c r="W392" i="13"/>
  <c r="W380" i="13"/>
  <c r="D392" i="13"/>
  <c r="D380" i="13"/>
  <c r="U380" i="13"/>
  <c r="U392" i="13"/>
  <c r="G283" i="13"/>
  <c r="G271" i="13"/>
  <c r="F283" i="13"/>
  <c r="F271" i="13"/>
  <c r="W283" i="13"/>
  <c r="W271" i="13"/>
  <c r="AC380" i="13"/>
  <c r="AC392" i="13"/>
  <c r="O283" i="13"/>
  <c r="O271" i="13"/>
  <c r="J392" i="13"/>
  <c r="J380" i="13"/>
  <c r="L392" i="13"/>
  <c r="L380" i="13"/>
  <c r="Y271" i="13"/>
  <c r="Y283" i="13"/>
  <c r="R271" i="13"/>
  <c r="R283" i="13"/>
  <c r="Z271" i="13"/>
  <c r="Z283" i="13"/>
  <c r="K392" i="13"/>
  <c r="K380" i="13"/>
  <c r="Y392" i="13"/>
  <c r="Y380" i="13"/>
  <c r="AA392" i="13"/>
  <c r="AA380" i="13"/>
  <c r="C392" i="13"/>
  <c r="C380" i="13"/>
  <c r="J271" i="13"/>
  <c r="J283" i="13"/>
  <c r="P283" i="13"/>
  <c r="P271" i="13"/>
  <c r="AA271" i="13"/>
  <c r="AA295" i="13"/>
  <c r="AA283" i="13"/>
  <c r="M283" i="13"/>
  <c r="M271" i="13"/>
  <c r="T283" i="13"/>
  <c r="T271" i="13"/>
  <c r="R392" i="13"/>
  <c r="R380" i="13"/>
  <c r="Z392" i="13"/>
  <c r="Z380" i="13"/>
  <c r="X271" i="13"/>
  <c r="X283" i="13"/>
  <c r="C271" i="13"/>
  <c r="C283" i="13"/>
  <c r="B271" i="13"/>
  <c r="B283" i="13"/>
  <c r="D271" i="13"/>
  <c r="D283" i="13"/>
  <c r="N380" i="13"/>
  <c r="N392" i="13"/>
  <c r="V283" i="13"/>
  <c r="V271" i="13"/>
  <c r="I392" i="13"/>
  <c r="I380" i="13"/>
  <c r="Q392" i="13"/>
  <c r="Q380" i="13"/>
  <c r="X392" i="13"/>
  <c r="X380" i="13"/>
  <c r="I271" i="13"/>
  <c r="I283" i="13"/>
  <c r="K271" i="13"/>
  <c r="K283" i="13"/>
  <c r="L283" i="13"/>
  <c r="L271" i="13"/>
  <c r="B392" i="13"/>
  <c r="B380" i="13"/>
  <c r="D267" i="13"/>
  <c r="D279" i="13"/>
  <c r="E159" i="13"/>
  <c r="Y388" i="13"/>
  <c r="Y376" i="13"/>
  <c r="AA388" i="13"/>
  <c r="AA376" i="13"/>
  <c r="AC388" i="13"/>
  <c r="AC376" i="13"/>
  <c r="P388" i="13"/>
  <c r="P376" i="13"/>
  <c r="E267" i="13"/>
  <c r="E279" i="13"/>
  <c r="X279" i="13"/>
  <c r="X267" i="13"/>
  <c r="C267" i="13"/>
  <c r="C279" i="13"/>
  <c r="B279" i="13"/>
  <c r="B267" i="13"/>
  <c r="D159" i="13"/>
  <c r="P159" i="13"/>
  <c r="S159" i="13"/>
  <c r="V159" i="13"/>
  <c r="AC267" i="13"/>
  <c r="AC279" i="13"/>
  <c r="B388" i="13"/>
  <c r="B376" i="13"/>
  <c r="D376" i="13"/>
  <c r="D388" i="13"/>
  <c r="F388" i="13"/>
  <c r="F376" i="13"/>
  <c r="X388" i="13"/>
  <c r="X376" i="13"/>
  <c r="N267" i="13"/>
  <c r="N279" i="13"/>
  <c r="K267" i="13"/>
  <c r="K279" i="13"/>
  <c r="Y159" i="13"/>
  <c r="X183" i="13"/>
  <c r="X171" i="13"/>
  <c r="X159" i="13"/>
  <c r="AA159" i="13"/>
  <c r="J388" i="13"/>
  <c r="J376" i="13"/>
  <c r="S267" i="13"/>
  <c r="S279" i="13"/>
  <c r="R388" i="13"/>
  <c r="R376" i="13"/>
  <c r="T376" i="13"/>
  <c r="T388" i="13"/>
  <c r="V400" i="13"/>
  <c r="V388" i="13"/>
  <c r="V376" i="13"/>
  <c r="R279" i="13"/>
  <c r="R267" i="13"/>
  <c r="AA291" i="13"/>
  <c r="AA267" i="13"/>
  <c r="AA279" i="13"/>
  <c r="V267" i="13"/>
  <c r="V279" i="13"/>
  <c r="H279" i="13"/>
  <c r="H267" i="13"/>
  <c r="AB159" i="13"/>
  <c r="J159" i="13"/>
  <c r="M159" i="13"/>
  <c r="N388" i="13"/>
  <c r="N376" i="13"/>
  <c r="Z388" i="13"/>
  <c r="Z376" i="13"/>
  <c r="AB376" i="13"/>
  <c r="AB388" i="13"/>
  <c r="G388" i="13"/>
  <c r="G376" i="13"/>
  <c r="G279" i="13"/>
  <c r="G267" i="13"/>
  <c r="AB267" i="13"/>
  <c r="AB279" i="13"/>
  <c r="L267" i="13"/>
  <c r="L279" i="13"/>
  <c r="U267" i="13"/>
  <c r="U279" i="13"/>
  <c r="I159" i="13"/>
  <c r="R159" i="13"/>
  <c r="U159" i="13"/>
  <c r="B159" i="13"/>
  <c r="C388" i="13"/>
  <c r="C376" i="13"/>
  <c r="E388" i="13"/>
  <c r="E376" i="13"/>
  <c r="O376" i="13"/>
  <c r="P279" i="13"/>
  <c r="P267" i="13"/>
  <c r="I279" i="13"/>
  <c r="I267" i="13"/>
  <c r="J279" i="13"/>
  <c r="J267" i="13"/>
  <c r="W279" i="13"/>
  <c r="W267" i="13"/>
  <c r="Q159" i="13"/>
  <c r="L159" i="13"/>
  <c r="Z159" i="13"/>
  <c r="AC159" i="13"/>
  <c r="L376" i="13"/>
  <c r="L388" i="13"/>
  <c r="T267" i="13"/>
  <c r="T279" i="13"/>
  <c r="G159" i="13"/>
  <c r="I388" i="13"/>
  <c r="I376" i="13"/>
  <c r="K388" i="13"/>
  <c r="K376" i="13"/>
  <c r="M388" i="13"/>
  <c r="M376" i="13"/>
  <c r="W388" i="13"/>
  <c r="W376" i="13"/>
  <c r="F267" i="13"/>
  <c r="F279" i="13"/>
  <c r="Z279" i="13"/>
  <c r="Z267" i="13"/>
  <c r="Q279" i="13"/>
  <c r="Q267" i="13"/>
  <c r="T159" i="13"/>
  <c r="O159" i="13"/>
  <c r="C159" i="13"/>
  <c r="F159" i="13"/>
  <c r="Q388" i="13"/>
  <c r="Q376" i="13"/>
  <c r="S388" i="13"/>
  <c r="S376" i="13"/>
  <c r="U388" i="13"/>
  <c r="U376" i="13"/>
  <c r="H388" i="13"/>
  <c r="H376" i="13"/>
  <c r="O279" i="13"/>
  <c r="O267" i="13"/>
  <c r="Y279" i="13"/>
  <c r="Y267" i="13"/>
  <c r="M267" i="13"/>
  <c r="M279" i="13"/>
  <c r="W159" i="13"/>
  <c r="H159" i="13"/>
  <c r="K159" i="13"/>
  <c r="N159" i="13"/>
  <c r="Y375" i="13"/>
  <c r="Y387" i="13"/>
  <c r="O375" i="13"/>
  <c r="B387" i="13"/>
  <c r="B375" i="13"/>
  <c r="D375" i="13"/>
  <c r="D387" i="13"/>
  <c r="T278" i="13"/>
  <c r="T266" i="13"/>
  <c r="Y278" i="13"/>
  <c r="Y266" i="13"/>
  <c r="N278" i="13"/>
  <c r="N266" i="13"/>
  <c r="AC158" i="13"/>
  <c r="J158" i="13"/>
  <c r="G375" i="13"/>
  <c r="G387" i="13"/>
  <c r="F278" i="13"/>
  <c r="F266" i="13"/>
  <c r="W375" i="13"/>
  <c r="W387" i="13"/>
  <c r="J387" i="13"/>
  <c r="J375" i="13"/>
  <c r="L375" i="13"/>
  <c r="L387" i="13"/>
  <c r="G278" i="13"/>
  <c r="G266" i="13"/>
  <c r="K278" i="13"/>
  <c r="K266" i="13"/>
  <c r="D278" i="13"/>
  <c r="D266" i="13"/>
  <c r="V278" i="13"/>
  <c r="V266" i="13"/>
  <c r="Y158" i="13"/>
  <c r="G158" i="13"/>
  <c r="R158" i="13"/>
  <c r="AA387" i="13"/>
  <c r="AA375" i="13"/>
  <c r="U158" i="13"/>
  <c r="H375" i="13"/>
  <c r="H387" i="13"/>
  <c r="R387" i="13"/>
  <c r="R375" i="13"/>
  <c r="T375" i="13"/>
  <c r="T387" i="13"/>
  <c r="R278" i="13"/>
  <c r="R266" i="13"/>
  <c r="U278" i="13"/>
  <c r="U266" i="13"/>
  <c r="O278" i="13"/>
  <c r="O266" i="13"/>
  <c r="H278" i="13"/>
  <c r="H266" i="13"/>
  <c r="V158" i="13"/>
  <c r="AB158" i="13"/>
  <c r="D158" i="13"/>
  <c r="O158" i="13"/>
  <c r="Z158" i="13"/>
  <c r="I158" i="13"/>
  <c r="B158" i="13"/>
  <c r="P375" i="13"/>
  <c r="P387" i="13"/>
  <c r="Z387" i="13"/>
  <c r="Z375" i="13"/>
  <c r="AB375" i="13"/>
  <c r="AB387" i="13"/>
  <c r="AB278" i="13"/>
  <c r="AB266" i="13"/>
  <c r="B278" i="13"/>
  <c r="B266" i="13"/>
  <c r="Z278" i="13"/>
  <c r="Z266" i="13"/>
  <c r="P278" i="13"/>
  <c r="P266" i="13"/>
  <c r="F158" i="13"/>
  <c r="W158" i="13"/>
  <c r="C158" i="13"/>
  <c r="F375" i="13"/>
  <c r="F387" i="13"/>
  <c r="X375" i="13"/>
  <c r="X387" i="13"/>
  <c r="C387" i="13"/>
  <c r="C375" i="13"/>
  <c r="E375" i="13"/>
  <c r="E387" i="13"/>
  <c r="I278" i="13"/>
  <c r="I266" i="13"/>
  <c r="L278" i="13"/>
  <c r="L266" i="13"/>
  <c r="E278" i="13"/>
  <c r="E266" i="13"/>
  <c r="X278" i="13"/>
  <c r="X266" i="13"/>
  <c r="H158" i="13"/>
  <c r="K158" i="13"/>
  <c r="J278" i="13"/>
  <c r="J266" i="13"/>
  <c r="N375" i="13"/>
  <c r="N387" i="13"/>
  <c r="I375" i="13"/>
  <c r="I387" i="13"/>
  <c r="K387" i="13"/>
  <c r="K375" i="13"/>
  <c r="M375" i="13"/>
  <c r="M387" i="13"/>
  <c r="S278" i="13"/>
  <c r="S266" i="13"/>
  <c r="W278" i="13"/>
  <c r="W266" i="13"/>
  <c r="Q278" i="13"/>
  <c r="Q266" i="13"/>
  <c r="E158" i="13"/>
  <c r="P158" i="13"/>
  <c r="S158" i="13"/>
  <c r="AC375" i="13"/>
  <c r="AC387" i="13"/>
  <c r="M278" i="13"/>
  <c r="M266" i="13"/>
  <c r="V375" i="13"/>
  <c r="V399" i="13"/>
  <c r="V387" i="13"/>
  <c r="Q375" i="13"/>
  <c r="Q387" i="13"/>
  <c r="S387" i="13"/>
  <c r="S375" i="13"/>
  <c r="U375" i="13"/>
  <c r="U387" i="13"/>
  <c r="AC278" i="13"/>
  <c r="AC266" i="13"/>
  <c r="C278" i="13"/>
  <c r="C266" i="13"/>
  <c r="AA290" i="13"/>
  <c r="AA278" i="13"/>
  <c r="AA266" i="13"/>
  <c r="T158" i="13"/>
  <c r="Q158" i="13"/>
  <c r="N158" i="13"/>
  <c r="L158" i="13"/>
  <c r="M158" i="13"/>
  <c r="X182" i="13"/>
  <c r="X158" i="13"/>
  <c r="X170" i="13"/>
  <c r="AA158" i="13"/>
  <c r="C157" i="13"/>
  <c r="T386" i="13"/>
  <c r="T374" i="13"/>
  <c r="V374" i="13"/>
  <c r="V398" i="13"/>
  <c r="V386" i="13"/>
  <c r="Q386" i="13"/>
  <c r="Q374" i="13"/>
  <c r="Y277" i="13"/>
  <c r="Y265" i="13"/>
  <c r="R277" i="13"/>
  <c r="R265" i="13"/>
  <c r="N265" i="13"/>
  <c r="N277" i="13"/>
  <c r="U265" i="13"/>
  <c r="U277" i="13"/>
  <c r="R157" i="13"/>
  <c r="U157" i="13"/>
  <c r="T277" i="13"/>
  <c r="T265" i="13"/>
  <c r="AB386" i="13"/>
  <c r="AB374" i="13"/>
  <c r="G386" i="13"/>
  <c r="G374" i="13"/>
  <c r="Y386" i="13"/>
  <c r="Y374" i="13"/>
  <c r="F265" i="13"/>
  <c r="F277" i="13"/>
  <c r="I277" i="13"/>
  <c r="I265" i="13"/>
  <c r="X265" i="13"/>
  <c r="X277" i="13"/>
  <c r="AC265" i="13"/>
  <c r="AC277" i="13"/>
  <c r="AA157" i="13"/>
  <c r="Y157" i="13"/>
  <c r="V157" i="13"/>
  <c r="S157" i="13"/>
  <c r="Z157" i="13"/>
  <c r="AC157" i="13"/>
  <c r="C386" i="13"/>
  <c r="C374" i="13"/>
  <c r="M374" i="13"/>
  <c r="M386" i="13"/>
  <c r="W386" i="13"/>
  <c r="W374" i="13"/>
  <c r="J386" i="13"/>
  <c r="J374" i="13"/>
  <c r="Z277" i="13"/>
  <c r="Z265" i="13"/>
  <c r="J277" i="13"/>
  <c r="J265" i="13"/>
  <c r="K277" i="13"/>
  <c r="K265" i="13"/>
  <c r="L157" i="13"/>
  <c r="O157" i="13"/>
  <c r="C277" i="13"/>
  <c r="C265" i="13"/>
  <c r="G157" i="13"/>
  <c r="S386" i="13"/>
  <c r="S374" i="13"/>
  <c r="U374" i="13"/>
  <c r="U386" i="13"/>
  <c r="H386" i="13"/>
  <c r="H374" i="13"/>
  <c r="R386" i="13"/>
  <c r="R374" i="13"/>
  <c r="G265" i="13"/>
  <c r="G277" i="13"/>
  <c r="V265" i="13"/>
  <c r="V277" i="13"/>
  <c r="S277" i="13"/>
  <c r="S265" i="13"/>
  <c r="T157" i="13"/>
  <c r="W157" i="13"/>
  <c r="B386" i="13"/>
  <c r="B374" i="13"/>
  <c r="Q157" i="13"/>
  <c r="AA386" i="13"/>
  <c r="AA374" i="13"/>
  <c r="AC374" i="13"/>
  <c r="AC386" i="13"/>
  <c r="P386" i="13"/>
  <c r="P374" i="13"/>
  <c r="Z386" i="13"/>
  <c r="Z374" i="13"/>
  <c r="Q277" i="13"/>
  <c r="Q265" i="13"/>
  <c r="L277" i="13"/>
  <c r="L265" i="13"/>
  <c r="AA277" i="13"/>
  <c r="AA289" i="13"/>
  <c r="AA265" i="13"/>
  <c r="I157" i="13"/>
  <c r="AB157" i="13"/>
  <c r="H157" i="13"/>
  <c r="K157" i="13"/>
  <c r="O374" i="13"/>
  <c r="F157" i="13"/>
  <c r="D386" i="13"/>
  <c r="D374" i="13"/>
  <c r="F374" i="13"/>
  <c r="F386" i="13"/>
  <c r="X386" i="13"/>
  <c r="X374" i="13"/>
  <c r="D277" i="13"/>
  <c r="D265" i="13"/>
  <c r="AB277" i="13"/>
  <c r="AB265" i="13"/>
  <c r="W265" i="13"/>
  <c r="W277" i="13"/>
  <c r="E265" i="13"/>
  <c r="E277" i="13"/>
  <c r="B157" i="13"/>
  <c r="E157" i="13"/>
  <c r="P157" i="13"/>
  <c r="E374" i="13"/>
  <c r="E386" i="13"/>
  <c r="P265" i="13"/>
  <c r="P277" i="13"/>
  <c r="D157" i="13"/>
  <c r="L386" i="13"/>
  <c r="L374" i="13"/>
  <c r="N374" i="13"/>
  <c r="N386" i="13"/>
  <c r="I386" i="13"/>
  <c r="I374" i="13"/>
  <c r="O265" i="13"/>
  <c r="O277" i="13"/>
  <c r="H265" i="13"/>
  <c r="H277" i="13"/>
  <c r="B277" i="13"/>
  <c r="B265" i="13"/>
  <c r="M265" i="13"/>
  <c r="M277" i="13"/>
  <c r="J157" i="13"/>
  <c r="M157" i="13"/>
  <c r="X181" i="13"/>
  <c r="X157" i="13"/>
  <c r="X169" i="13"/>
  <c r="U156" i="13"/>
  <c r="G373" i="13"/>
  <c r="G385" i="13"/>
  <c r="F373" i="13"/>
  <c r="F385" i="13"/>
  <c r="M373" i="13"/>
  <c r="M385" i="13"/>
  <c r="L385" i="13"/>
  <c r="L373" i="13"/>
  <c r="K373" i="13"/>
  <c r="K385" i="13"/>
  <c r="R373" i="13"/>
  <c r="R385" i="13"/>
  <c r="D276" i="13"/>
  <c r="D264" i="13"/>
  <c r="AB276" i="13"/>
  <c r="AB264" i="13"/>
  <c r="H276" i="13"/>
  <c r="H264" i="13"/>
  <c r="S156" i="13"/>
  <c r="N156" i="13"/>
  <c r="B156" i="13"/>
  <c r="E156" i="13"/>
  <c r="Y373" i="13"/>
  <c r="Y385" i="13"/>
  <c r="S276" i="13"/>
  <c r="S264" i="13"/>
  <c r="E373" i="13"/>
  <c r="E385" i="13"/>
  <c r="D385" i="13"/>
  <c r="D373" i="13"/>
  <c r="C373" i="13"/>
  <c r="C385" i="13"/>
  <c r="J373" i="13"/>
  <c r="J385" i="13"/>
  <c r="N276" i="13"/>
  <c r="N264" i="13"/>
  <c r="G276" i="13"/>
  <c r="G264" i="13"/>
  <c r="P276" i="13"/>
  <c r="P264" i="13"/>
  <c r="V156" i="13"/>
  <c r="P156" i="13"/>
  <c r="J156" i="13"/>
  <c r="M156" i="13"/>
  <c r="C156" i="13"/>
  <c r="Q373" i="13"/>
  <c r="Q385" i="13"/>
  <c r="P373" i="13"/>
  <c r="P385" i="13"/>
  <c r="L276" i="13"/>
  <c r="L264" i="13"/>
  <c r="E276" i="13"/>
  <c r="E264" i="13"/>
  <c r="AC276" i="13"/>
  <c r="AC264" i="13"/>
  <c r="B276" i="13"/>
  <c r="B264" i="13"/>
  <c r="X180" i="13"/>
  <c r="X168" i="13"/>
  <c r="X156" i="13"/>
  <c r="O156" i="13"/>
  <c r="Z156" i="13"/>
  <c r="AC156" i="13"/>
  <c r="I373" i="13"/>
  <c r="I385" i="13"/>
  <c r="X373" i="13"/>
  <c r="X385" i="13"/>
  <c r="V276" i="13"/>
  <c r="V264" i="13"/>
  <c r="O276" i="13"/>
  <c r="O264" i="13"/>
  <c r="I276" i="13"/>
  <c r="I264" i="13"/>
  <c r="J276" i="13"/>
  <c r="J264" i="13"/>
  <c r="F156" i="13"/>
  <c r="W156" i="13"/>
  <c r="D156" i="13"/>
  <c r="G156" i="13"/>
  <c r="C276" i="13"/>
  <c r="C264" i="13"/>
  <c r="AA288" i="13"/>
  <c r="AA276" i="13"/>
  <c r="AA264" i="13"/>
  <c r="T276" i="13"/>
  <c r="T264" i="13"/>
  <c r="R276" i="13"/>
  <c r="R264" i="13"/>
  <c r="AA156" i="13"/>
  <c r="I156" i="13"/>
  <c r="L156" i="13"/>
  <c r="W373" i="13"/>
  <c r="W385" i="13"/>
  <c r="Y276" i="13"/>
  <c r="Y264" i="13"/>
  <c r="R156" i="13"/>
  <c r="V397" i="13"/>
  <c r="V373" i="13"/>
  <c r="V385" i="13"/>
  <c r="AC373" i="13"/>
  <c r="AC385" i="13"/>
  <c r="AB385" i="13"/>
  <c r="AB373" i="13"/>
  <c r="AA373" i="13"/>
  <c r="AA385" i="13"/>
  <c r="M276" i="13"/>
  <c r="M264" i="13"/>
  <c r="F276" i="13"/>
  <c r="F264" i="13"/>
  <c r="K276" i="13"/>
  <c r="K264" i="13"/>
  <c r="Z276" i="13"/>
  <c r="Z264" i="13"/>
  <c r="H156" i="13"/>
  <c r="Q156" i="13"/>
  <c r="T156" i="13"/>
  <c r="B373" i="13"/>
  <c r="B385" i="13"/>
  <c r="H373" i="13"/>
  <c r="H385" i="13"/>
  <c r="X276" i="13"/>
  <c r="X264" i="13"/>
  <c r="O373" i="13"/>
  <c r="N373" i="13"/>
  <c r="N385" i="13"/>
  <c r="U373" i="13"/>
  <c r="U385" i="13"/>
  <c r="T385" i="13"/>
  <c r="T373" i="13"/>
  <c r="S373" i="13"/>
  <c r="S385" i="13"/>
  <c r="Z373" i="13"/>
  <c r="Z385" i="13"/>
  <c r="W276" i="13"/>
  <c r="W264" i="13"/>
  <c r="Q276" i="13"/>
  <c r="Q264" i="13"/>
  <c r="U276" i="13"/>
  <c r="U264" i="13"/>
  <c r="K156" i="13"/>
  <c r="Y156" i="13"/>
  <c r="AB156" i="13"/>
  <c r="Y509" i="9"/>
  <c r="Z505" i="9"/>
  <c r="U391" i="9"/>
  <c r="U403" i="9"/>
  <c r="AB387" i="9"/>
  <c r="M270" i="9"/>
  <c r="M294" i="9"/>
  <c r="D182" i="9"/>
  <c r="E180" i="9"/>
  <c r="Y497" i="9"/>
  <c r="Y485" i="9"/>
  <c r="U162" i="9"/>
  <c r="C508" i="9"/>
  <c r="C484" i="9"/>
  <c r="C496" i="9"/>
  <c r="G379" i="9"/>
  <c r="G391" i="9"/>
  <c r="G403" i="9"/>
  <c r="U294" i="9"/>
  <c r="U270" i="9"/>
  <c r="U282" i="9"/>
  <c r="O484" i="9"/>
  <c r="O496" i="9"/>
  <c r="O508" i="9"/>
  <c r="N508" i="9"/>
  <c r="N484" i="9"/>
  <c r="N496" i="9"/>
  <c r="B496" i="9"/>
  <c r="B484" i="9"/>
  <c r="H484" i="9"/>
  <c r="H496" i="9"/>
  <c r="H508" i="9"/>
  <c r="AA403" i="9"/>
  <c r="AA379" i="9"/>
  <c r="AA391" i="9"/>
  <c r="X379" i="9"/>
  <c r="X391" i="9"/>
  <c r="X403" i="9"/>
  <c r="Y379" i="9"/>
  <c r="Y391" i="9"/>
  <c r="Y403" i="9"/>
  <c r="Y282" i="9"/>
  <c r="Y294" i="9"/>
  <c r="Y270" i="9"/>
  <c r="AA294" i="9"/>
  <c r="AA270" i="9"/>
  <c r="AA282" i="9"/>
  <c r="G270" i="9"/>
  <c r="G282" i="9"/>
  <c r="G294" i="9"/>
  <c r="H270" i="9"/>
  <c r="H282" i="9"/>
  <c r="H294" i="9"/>
  <c r="C186" i="9"/>
  <c r="C162" i="9"/>
  <c r="C174" i="9"/>
  <c r="G162" i="9"/>
  <c r="G174" i="9"/>
  <c r="G186" i="9"/>
  <c r="AB186" i="9"/>
  <c r="AB162" i="9"/>
  <c r="AB174" i="9"/>
  <c r="Q282" i="9"/>
  <c r="Q294" i="9"/>
  <c r="Q270" i="9"/>
  <c r="Y174" i="9"/>
  <c r="Y186" i="9"/>
  <c r="Y162" i="9"/>
  <c r="T186" i="9"/>
  <c r="T162" i="9"/>
  <c r="T174" i="9"/>
  <c r="F508" i="9"/>
  <c r="F484" i="9"/>
  <c r="F496" i="9"/>
  <c r="AB403" i="9"/>
  <c r="AB379" i="9"/>
  <c r="AB391" i="9"/>
  <c r="O379" i="9"/>
  <c r="O391" i="9"/>
  <c r="O403" i="9"/>
  <c r="N379" i="9"/>
  <c r="N391" i="9"/>
  <c r="N403" i="9"/>
  <c r="B282" i="9"/>
  <c r="B270" i="9"/>
  <c r="D294" i="9"/>
  <c r="D270" i="9"/>
  <c r="D282" i="9"/>
  <c r="O270" i="9"/>
  <c r="O282" i="9"/>
  <c r="O294" i="9"/>
  <c r="E294" i="9"/>
  <c r="E270" i="9"/>
  <c r="E282" i="9"/>
  <c r="Q174" i="9"/>
  <c r="Q186" i="9"/>
  <c r="Q162" i="9"/>
  <c r="D186" i="9"/>
  <c r="D162" i="9"/>
  <c r="D174" i="9"/>
  <c r="K403" i="9"/>
  <c r="K379" i="9"/>
  <c r="K391" i="9"/>
  <c r="S294" i="9"/>
  <c r="S270" i="9"/>
  <c r="S282" i="9"/>
  <c r="AC508" i="9"/>
  <c r="AC484" i="9"/>
  <c r="AC496" i="9"/>
  <c r="AB508" i="9"/>
  <c r="AB484" i="9"/>
  <c r="AB496" i="9"/>
  <c r="T403" i="9"/>
  <c r="T379" i="9"/>
  <c r="T391" i="9"/>
  <c r="P379" i="9"/>
  <c r="P391" i="9"/>
  <c r="P403" i="9"/>
  <c r="E403" i="9"/>
  <c r="E379" i="9"/>
  <c r="E391" i="9"/>
  <c r="D403" i="9"/>
  <c r="D379" i="9"/>
  <c r="D391" i="9"/>
  <c r="B391" i="9"/>
  <c r="B379" i="9"/>
  <c r="L403" i="9"/>
  <c r="L379" i="9"/>
  <c r="L391" i="9"/>
  <c r="X270" i="9"/>
  <c r="X282" i="9"/>
  <c r="X294" i="9"/>
  <c r="J282" i="9"/>
  <c r="J294" i="9"/>
  <c r="J270" i="9"/>
  <c r="L294" i="9"/>
  <c r="L270" i="9"/>
  <c r="L282" i="9"/>
  <c r="W270" i="9"/>
  <c r="W282" i="9"/>
  <c r="W294" i="9"/>
  <c r="AC294" i="9"/>
  <c r="AC270" i="9"/>
  <c r="AC282" i="9"/>
  <c r="AC186" i="9"/>
  <c r="AC162" i="9"/>
  <c r="AC174" i="9"/>
  <c r="E186" i="9"/>
  <c r="E162" i="9"/>
  <c r="E174" i="9"/>
  <c r="Z174" i="9"/>
  <c r="Z186" i="9"/>
  <c r="Z162" i="9"/>
  <c r="M186" i="9"/>
  <c r="M162" i="9"/>
  <c r="M174" i="9"/>
  <c r="L186" i="9"/>
  <c r="L162" i="9"/>
  <c r="L174" i="9"/>
  <c r="G484" i="9"/>
  <c r="G496" i="9"/>
  <c r="G508" i="9"/>
  <c r="V294" i="9"/>
  <c r="V270" i="9"/>
  <c r="V282" i="9"/>
  <c r="U508" i="9"/>
  <c r="U484" i="9"/>
  <c r="U496" i="9"/>
  <c r="T508" i="9"/>
  <c r="T484" i="9"/>
  <c r="T496" i="9"/>
  <c r="Y496" i="9"/>
  <c r="Y508" i="9"/>
  <c r="Y484" i="9"/>
  <c r="H379" i="9"/>
  <c r="H391" i="9"/>
  <c r="H403" i="9"/>
  <c r="F379" i="9"/>
  <c r="F391" i="9"/>
  <c r="F403" i="9"/>
  <c r="J391" i="9"/>
  <c r="J403" i="9"/>
  <c r="J379" i="9"/>
  <c r="R282" i="9"/>
  <c r="R294" i="9"/>
  <c r="R270" i="9"/>
  <c r="T294" i="9"/>
  <c r="T270" i="9"/>
  <c r="T282" i="9"/>
  <c r="N162" i="9"/>
  <c r="N174" i="9"/>
  <c r="N186" i="9"/>
  <c r="I174" i="9"/>
  <c r="I186" i="9"/>
  <c r="I162" i="9"/>
  <c r="V162" i="9"/>
  <c r="V174" i="9"/>
  <c r="V186" i="9"/>
  <c r="M508" i="9"/>
  <c r="M484" i="9"/>
  <c r="M496" i="9"/>
  <c r="L508" i="9"/>
  <c r="L484" i="9"/>
  <c r="L496" i="9"/>
  <c r="AA508" i="9"/>
  <c r="AA484" i="9"/>
  <c r="AA496" i="9"/>
  <c r="Q496" i="9"/>
  <c r="Q508" i="9"/>
  <c r="Q484" i="9"/>
  <c r="W379" i="9"/>
  <c r="W391" i="9"/>
  <c r="W403" i="9"/>
  <c r="R391" i="9"/>
  <c r="R403" i="9"/>
  <c r="R379" i="9"/>
  <c r="Z282" i="9"/>
  <c r="Z294" i="9"/>
  <c r="Z270" i="9"/>
  <c r="AB294" i="9"/>
  <c r="AB270" i="9"/>
  <c r="AB282" i="9"/>
  <c r="W162" i="9"/>
  <c r="W174" i="9"/>
  <c r="W186" i="9"/>
  <c r="R174" i="9"/>
  <c r="R186" i="9"/>
  <c r="R162" i="9"/>
  <c r="H162" i="9"/>
  <c r="H174" i="9"/>
  <c r="H186" i="9"/>
  <c r="P484" i="9"/>
  <c r="P496" i="9"/>
  <c r="P508" i="9"/>
  <c r="P270" i="9"/>
  <c r="P282" i="9"/>
  <c r="P294" i="9"/>
  <c r="E508" i="9"/>
  <c r="E484" i="9"/>
  <c r="E496" i="9"/>
  <c r="D508" i="9"/>
  <c r="D484" i="9"/>
  <c r="D496" i="9"/>
  <c r="S508" i="9"/>
  <c r="S484" i="9"/>
  <c r="S496" i="9"/>
  <c r="Z496" i="9"/>
  <c r="Z508" i="9"/>
  <c r="Z484" i="9"/>
  <c r="I496" i="9"/>
  <c r="I508" i="9"/>
  <c r="I484" i="9"/>
  <c r="AC403" i="9"/>
  <c r="AC379" i="9"/>
  <c r="AC391" i="9"/>
  <c r="M403" i="9"/>
  <c r="M379" i="9"/>
  <c r="M391" i="9"/>
  <c r="Z391" i="9"/>
  <c r="Z403" i="9"/>
  <c r="Z379" i="9"/>
  <c r="V379" i="9"/>
  <c r="V391" i="9"/>
  <c r="V403" i="9"/>
  <c r="C294" i="9"/>
  <c r="C270" i="9"/>
  <c r="C282" i="9"/>
  <c r="F294" i="9"/>
  <c r="F270" i="9"/>
  <c r="F282" i="9"/>
  <c r="K186" i="9"/>
  <c r="K162" i="9"/>
  <c r="K174" i="9"/>
  <c r="B174" i="9"/>
  <c r="B162" i="9"/>
  <c r="F162" i="9"/>
  <c r="F174" i="9"/>
  <c r="F186" i="9"/>
  <c r="AA186" i="9"/>
  <c r="AA162" i="9"/>
  <c r="AA174" i="9"/>
  <c r="P162" i="9"/>
  <c r="P174" i="9"/>
  <c r="P186" i="9"/>
  <c r="W484" i="9"/>
  <c r="W496" i="9"/>
  <c r="W508" i="9"/>
  <c r="J496" i="9"/>
  <c r="J508" i="9"/>
  <c r="J484" i="9"/>
  <c r="Q379" i="9"/>
  <c r="Q391" i="9"/>
  <c r="Q403" i="9"/>
  <c r="S186" i="9"/>
  <c r="S162" i="9"/>
  <c r="S174" i="9"/>
  <c r="K508" i="9"/>
  <c r="K484" i="9"/>
  <c r="K496" i="9"/>
  <c r="R496" i="9"/>
  <c r="R508" i="9"/>
  <c r="R484" i="9"/>
  <c r="X484" i="9"/>
  <c r="X496" i="9"/>
  <c r="X508" i="9"/>
  <c r="S403" i="9"/>
  <c r="S379" i="9"/>
  <c r="S391" i="9"/>
  <c r="C403" i="9"/>
  <c r="C379" i="9"/>
  <c r="C391" i="9"/>
  <c r="I379" i="9"/>
  <c r="I391" i="9"/>
  <c r="I403" i="9"/>
  <c r="I282" i="9"/>
  <c r="I294" i="9"/>
  <c r="I270" i="9"/>
  <c r="K294" i="9"/>
  <c r="K270" i="9"/>
  <c r="K282" i="9"/>
  <c r="N294" i="9"/>
  <c r="N270" i="9"/>
  <c r="N282" i="9"/>
  <c r="O162" i="9"/>
  <c r="O174" i="9"/>
  <c r="O186" i="9"/>
  <c r="J174" i="9"/>
  <c r="J186" i="9"/>
  <c r="J162" i="9"/>
  <c r="X162" i="9"/>
  <c r="X174" i="9"/>
  <c r="X186" i="9"/>
  <c r="F69" i="9"/>
  <c r="F64" i="9"/>
  <c r="E152" i="9"/>
  <c r="V152" i="9"/>
  <c r="V368" i="9"/>
  <c r="V260" i="9"/>
  <c r="V151" i="9"/>
  <c r="V474" i="9"/>
  <c r="V259" i="9"/>
  <c r="V46" i="9"/>
  <c r="V473" i="9"/>
  <c r="AB399" i="9"/>
  <c r="AB375" i="9"/>
  <c r="D158" i="9"/>
  <c r="H400" i="9"/>
  <c r="H376" i="9"/>
  <c r="W504" i="9"/>
  <c r="D170" i="9"/>
  <c r="W480" i="9"/>
  <c r="G183" i="9"/>
  <c r="G159" i="9"/>
  <c r="K170" i="9"/>
  <c r="B374" i="9"/>
  <c r="AC386" i="9"/>
  <c r="E168" i="9"/>
  <c r="E156" i="9"/>
  <c r="AC374" i="9"/>
  <c r="B398" i="9"/>
  <c r="Z490" i="9"/>
  <c r="N485" i="9"/>
  <c r="N509" i="9"/>
  <c r="N497" i="9"/>
  <c r="T509" i="9"/>
  <c r="T497" i="9"/>
  <c r="T485" i="9"/>
  <c r="Z163" i="9"/>
  <c r="Z187" i="9"/>
  <c r="Z175" i="9"/>
  <c r="Q509" i="9"/>
  <c r="Q497" i="9"/>
  <c r="Q485" i="9"/>
  <c r="F485" i="9"/>
  <c r="F509" i="9"/>
  <c r="F497" i="9"/>
  <c r="U509" i="9"/>
  <c r="U497" i="9"/>
  <c r="U485" i="9"/>
  <c r="L509" i="9"/>
  <c r="L497" i="9"/>
  <c r="L485" i="9"/>
  <c r="F404" i="9"/>
  <c r="F392" i="9"/>
  <c r="F380" i="9"/>
  <c r="I380" i="9"/>
  <c r="I404" i="9"/>
  <c r="I392" i="9"/>
  <c r="U404" i="9"/>
  <c r="U392" i="9"/>
  <c r="U380" i="9"/>
  <c r="X295" i="9"/>
  <c r="X283" i="9"/>
  <c r="X271" i="9"/>
  <c r="AC295" i="9"/>
  <c r="AC283" i="9"/>
  <c r="AC271" i="9"/>
  <c r="Q295" i="9"/>
  <c r="Q283" i="9"/>
  <c r="Q271" i="9"/>
  <c r="AB187" i="9"/>
  <c r="AB175" i="9"/>
  <c r="AB163" i="9"/>
  <c r="O187" i="9"/>
  <c r="O175" i="9"/>
  <c r="O163" i="9"/>
  <c r="J163" i="9"/>
  <c r="J187" i="9"/>
  <c r="J175" i="9"/>
  <c r="S187" i="9"/>
  <c r="S175" i="9"/>
  <c r="S163" i="9"/>
  <c r="X404" i="9"/>
  <c r="X392" i="9"/>
  <c r="X380" i="9"/>
  <c r="M404" i="9"/>
  <c r="M392" i="9"/>
  <c r="M380" i="9"/>
  <c r="U295" i="9"/>
  <c r="U283" i="9"/>
  <c r="U271" i="9"/>
  <c r="R163" i="9"/>
  <c r="R187" i="9"/>
  <c r="R175" i="9"/>
  <c r="I509" i="9"/>
  <c r="I497" i="9"/>
  <c r="I485" i="9"/>
  <c r="X509" i="9"/>
  <c r="X497" i="9"/>
  <c r="X485" i="9"/>
  <c r="M509" i="9"/>
  <c r="M497" i="9"/>
  <c r="M485" i="9"/>
  <c r="D509" i="9"/>
  <c r="D497" i="9"/>
  <c r="D485" i="9"/>
  <c r="P404" i="9"/>
  <c r="P392" i="9"/>
  <c r="P380" i="9"/>
  <c r="S380" i="9"/>
  <c r="S404" i="9"/>
  <c r="S392" i="9"/>
  <c r="AC404" i="9"/>
  <c r="AC392" i="9"/>
  <c r="AC380" i="9"/>
  <c r="D295" i="9"/>
  <c r="D283" i="9"/>
  <c r="D271" i="9"/>
  <c r="F271" i="9"/>
  <c r="F295" i="9"/>
  <c r="F283" i="9"/>
  <c r="Y295" i="9"/>
  <c r="Y283" i="9"/>
  <c r="Y271" i="9"/>
  <c r="D187" i="9"/>
  <c r="D175" i="9"/>
  <c r="D163" i="9"/>
  <c r="X187" i="9"/>
  <c r="X175" i="9"/>
  <c r="X163" i="9"/>
  <c r="T187" i="9"/>
  <c r="T175" i="9"/>
  <c r="T163" i="9"/>
  <c r="AA187" i="9"/>
  <c r="AA175" i="9"/>
  <c r="AA163" i="9"/>
  <c r="P509" i="9"/>
  <c r="P497" i="9"/>
  <c r="P485" i="9"/>
  <c r="E509" i="9"/>
  <c r="E497" i="9"/>
  <c r="E485" i="9"/>
  <c r="AA509" i="9"/>
  <c r="AA497" i="9"/>
  <c r="AA485" i="9"/>
  <c r="Z380" i="9"/>
  <c r="Z404" i="9"/>
  <c r="Z392" i="9"/>
  <c r="J380" i="9"/>
  <c r="J404" i="9"/>
  <c r="J392" i="9"/>
  <c r="D404" i="9"/>
  <c r="D392" i="9"/>
  <c r="D380" i="9"/>
  <c r="AA295" i="9"/>
  <c r="AA283" i="9"/>
  <c r="AA271" i="9"/>
  <c r="L295" i="9"/>
  <c r="L283" i="9"/>
  <c r="L271" i="9"/>
  <c r="N271" i="9"/>
  <c r="N295" i="9"/>
  <c r="N283" i="9"/>
  <c r="B295" i="9"/>
  <c r="B283" i="9"/>
  <c r="B271" i="9"/>
  <c r="M187" i="9"/>
  <c r="M175" i="9"/>
  <c r="M163" i="9"/>
  <c r="G187" i="9"/>
  <c r="G175" i="9"/>
  <c r="G163" i="9"/>
  <c r="AC187" i="9"/>
  <c r="AC175" i="9"/>
  <c r="AC163" i="9"/>
  <c r="R380" i="9"/>
  <c r="R404" i="9"/>
  <c r="R392" i="9"/>
  <c r="S295" i="9"/>
  <c r="S283" i="9"/>
  <c r="S271" i="9"/>
  <c r="F187" i="9"/>
  <c r="F175" i="9"/>
  <c r="F163" i="9"/>
  <c r="B509" i="9"/>
  <c r="B497" i="9"/>
  <c r="B485" i="9"/>
  <c r="H509" i="9"/>
  <c r="H497" i="9"/>
  <c r="H485" i="9"/>
  <c r="W509" i="9"/>
  <c r="W497" i="9"/>
  <c r="W485" i="9"/>
  <c r="S509" i="9"/>
  <c r="S497" i="9"/>
  <c r="S485" i="9"/>
  <c r="N404" i="9"/>
  <c r="N392" i="9"/>
  <c r="N380" i="9"/>
  <c r="G404" i="9"/>
  <c r="G392" i="9"/>
  <c r="G380" i="9"/>
  <c r="V404" i="9"/>
  <c r="V392" i="9"/>
  <c r="V380" i="9"/>
  <c r="L404" i="9"/>
  <c r="L392" i="9"/>
  <c r="L380" i="9"/>
  <c r="C295" i="9"/>
  <c r="C283" i="9"/>
  <c r="C271" i="9"/>
  <c r="T295" i="9"/>
  <c r="T283" i="9"/>
  <c r="T271" i="9"/>
  <c r="V271" i="9"/>
  <c r="V295" i="9"/>
  <c r="V283" i="9"/>
  <c r="J295" i="9"/>
  <c r="J283" i="9"/>
  <c r="J271" i="9"/>
  <c r="V187" i="9"/>
  <c r="V175" i="9"/>
  <c r="V163" i="9"/>
  <c r="P187" i="9"/>
  <c r="P175" i="9"/>
  <c r="P163" i="9"/>
  <c r="B163" i="9"/>
  <c r="B187" i="9"/>
  <c r="B175" i="9"/>
  <c r="J509" i="9"/>
  <c r="J497" i="9"/>
  <c r="J485" i="9"/>
  <c r="O509" i="9"/>
  <c r="O497" i="9"/>
  <c r="O485" i="9"/>
  <c r="K509" i="9"/>
  <c r="K497" i="9"/>
  <c r="K485" i="9"/>
  <c r="B380" i="9"/>
  <c r="B404" i="9"/>
  <c r="B392" i="9"/>
  <c r="Q380" i="9"/>
  <c r="Q404" i="9"/>
  <c r="Q392" i="9"/>
  <c r="K380" i="9"/>
  <c r="K404" i="9"/>
  <c r="K392" i="9"/>
  <c r="T404" i="9"/>
  <c r="T392" i="9"/>
  <c r="T380" i="9"/>
  <c r="H295" i="9"/>
  <c r="H283" i="9"/>
  <c r="H271" i="9"/>
  <c r="AB295" i="9"/>
  <c r="AB283" i="9"/>
  <c r="AB271" i="9"/>
  <c r="G295" i="9"/>
  <c r="G283" i="9"/>
  <c r="G271" i="9"/>
  <c r="R295" i="9"/>
  <c r="R283" i="9"/>
  <c r="R271" i="9"/>
  <c r="E187" i="9"/>
  <c r="E175" i="9"/>
  <c r="E163" i="9"/>
  <c r="Y163" i="9"/>
  <c r="Y187" i="9"/>
  <c r="Y175" i="9"/>
  <c r="L187" i="9"/>
  <c r="L175" i="9"/>
  <c r="L163" i="9"/>
  <c r="AC509" i="9"/>
  <c r="AC497" i="9"/>
  <c r="AC485" i="9"/>
  <c r="Y380" i="9"/>
  <c r="Y404" i="9"/>
  <c r="Y392" i="9"/>
  <c r="I295" i="9"/>
  <c r="I283" i="9"/>
  <c r="I271" i="9"/>
  <c r="K187" i="9"/>
  <c r="K175" i="9"/>
  <c r="K163" i="9"/>
  <c r="G509" i="9"/>
  <c r="G497" i="9"/>
  <c r="G485" i="9"/>
  <c r="C509" i="9"/>
  <c r="C497" i="9"/>
  <c r="C485" i="9"/>
  <c r="C380" i="9"/>
  <c r="C404" i="9"/>
  <c r="C392" i="9"/>
  <c r="AA380" i="9"/>
  <c r="AA404" i="9"/>
  <c r="AA392" i="9"/>
  <c r="W404" i="9"/>
  <c r="W392" i="9"/>
  <c r="W380" i="9"/>
  <c r="AB404" i="9"/>
  <c r="AB392" i="9"/>
  <c r="AB380" i="9"/>
  <c r="K295" i="9"/>
  <c r="K283" i="9"/>
  <c r="K271" i="9"/>
  <c r="E295" i="9"/>
  <c r="E283" i="9"/>
  <c r="E271" i="9"/>
  <c r="O295" i="9"/>
  <c r="O283" i="9"/>
  <c r="O271" i="9"/>
  <c r="Z295" i="9"/>
  <c r="Z283" i="9"/>
  <c r="Z271" i="9"/>
  <c r="N187" i="9"/>
  <c r="N175" i="9"/>
  <c r="N163" i="9"/>
  <c r="H187" i="9"/>
  <c r="H175" i="9"/>
  <c r="H163" i="9"/>
  <c r="U187" i="9"/>
  <c r="U175" i="9"/>
  <c r="U163" i="9"/>
  <c r="Z509" i="9"/>
  <c r="Z497" i="9"/>
  <c r="Z485" i="9"/>
  <c r="V485" i="9"/>
  <c r="V509" i="9"/>
  <c r="V497" i="9"/>
  <c r="AB509" i="9"/>
  <c r="AB497" i="9"/>
  <c r="AB485" i="9"/>
  <c r="O404" i="9"/>
  <c r="O392" i="9"/>
  <c r="O380" i="9"/>
  <c r="H404" i="9"/>
  <c r="H392" i="9"/>
  <c r="H380" i="9"/>
  <c r="E404" i="9"/>
  <c r="E392" i="9"/>
  <c r="E380" i="9"/>
  <c r="P295" i="9"/>
  <c r="P283" i="9"/>
  <c r="P271" i="9"/>
  <c r="M295" i="9"/>
  <c r="M283" i="9"/>
  <c r="M271" i="9"/>
  <c r="W295" i="9"/>
  <c r="W283" i="9"/>
  <c r="W271" i="9"/>
  <c r="I163" i="9"/>
  <c r="I187" i="9"/>
  <c r="I175" i="9"/>
  <c r="W187" i="9"/>
  <c r="W175" i="9"/>
  <c r="W163" i="9"/>
  <c r="Q163" i="9"/>
  <c r="Q187" i="9"/>
  <c r="Q175" i="9"/>
  <c r="C187" i="9"/>
  <c r="C175" i="9"/>
  <c r="C163" i="9"/>
  <c r="R509" i="9"/>
  <c r="R497" i="9"/>
  <c r="R485" i="9"/>
  <c r="B184" i="9"/>
  <c r="B172" i="9"/>
  <c r="B160" i="9"/>
  <c r="H482" i="9"/>
  <c r="H506" i="9"/>
  <c r="H494" i="9"/>
  <c r="AC506" i="9"/>
  <c r="AC494" i="9"/>
  <c r="AC482" i="9"/>
  <c r="AA482" i="9"/>
  <c r="AA506" i="9"/>
  <c r="AA494" i="9"/>
  <c r="B482" i="9"/>
  <c r="B506" i="9"/>
  <c r="B494" i="9"/>
  <c r="Q482" i="9"/>
  <c r="Q506" i="9"/>
  <c r="Q494" i="9"/>
  <c r="D377" i="9"/>
  <c r="D401" i="9"/>
  <c r="D389" i="9"/>
  <c r="I401" i="9"/>
  <c r="I389" i="9"/>
  <c r="I377" i="9"/>
  <c r="H377" i="9"/>
  <c r="H401" i="9"/>
  <c r="H389" i="9"/>
  <c r="G377" i="9"/>
  <c r="G401" i="9"/>
  <c r="G389" i="9"/>
  <c r="L292" i="9"/>
  <c r="L280" i="9"/>
  <c r="L268" i="9"/>
  <c r="N292" i="9"/>
  <c r="N280" i="9"/>
  <c r="N268" i="9"/>
  <c r="H184" i="9"/>
  <c r="H172" i="9"/>
  <c r="H160" i="9"/>
  <c r="AC160" i="9"/>
  <c r="AC184" i="9"/>
  <c r="AC172" i="9"/>
  <c r="P184" i="9"/>
  <c r="P172" i="9"/>
  <c r="P160" i="9"/>
  <c r="W160" i="9"/>
  <c r="W184" i="9"/>
  <c r="W172" i="9"/>
  <c r="AB506" i="9"/>
  <c r="AB494" i="9"/>
  <c r="AB482" i="9"/>
  <c r="AB292" i="9"/>
  <c r="AB280" i="9"/>
  <c r="AB268" i="9"/>
  <c r="AA172" i="9"/>
  <c r="AA160" i="9"/>
  <c r="AA184" i="9"/>
  <c r="U506" i="9"/>
  <c r="U494" i="9"/>
  <c r="U482" i="9"/>
  <c r="S482" i="9"/>
  <c r="S506" i="9"/>
  <c r="S494" i="9"/>
  <c r="AC377" i="9"/>
  <c r="AC401" i="9"/>
  <c r="AC389" i="9"/>
  <c r="L377" i="9"/>
  <c r="L401" i="9"/>
  <c r="L389" i="9"/>
  <c r="W377" i="9"/>
  <c r="W401" i="9"/>
  <c r="W389" i="9"/>
  <c r="W292" i="9"/>
  <c r="W280" i="9"/>
  <c r="W268" i="9"/>
  <c r="O292" i="9"/>
  <c r="O280" i="9"/>
  <c r="O268" i="9"/>
  <c r="T292" i="9"/>
  <c r="T280" i="9"/>
  <c r="T268" i="9"/>
  <c r="V292" i="9"/>
  <c r="V280" i="9"/>
  <c r="V268" i="9"/>
  <c r="Q184" i="9"/>
  <c r="Q172" i="9"/>
  <c r="Q160" i="9"/>
  <c r="C172" i="9"/>
  <c r="C160" i="9"/>
  <c r="C184" i="9"/>
  <c r="Y184" i="9"/>
  <c r="Y172" i="9"/>
  <c r="Y160" i="9"/>
  <c r="M506" i="9"/>
  <c r="M494" i="9"/>
  <c r="M482" i="9"/>
  <c r="T377" i="9"/>
  <c r="T401" i="9"/>
  <c r="T389" i="9"/>
  <c r="H268" i="9"/>
  <c r="H292" i="9"/>
  <c r="H280" i="9"/>
  <c r="L160" i="9"/>
  <c r="L184" i="9"/>
  <c r="L172" i="9"/>
  <c r="E506" i="9"/>
  <c r="E494" i="9"/>
  <c r="E482" i="9"/>
  <c r="T506" i="9"/>
  <c r="T494" i="9"/>
  <c r="T482" i="9"/>
  <c r="C482" i="9"/>
  <c r="C506" i="9"/>
  <c r="C494" i="9"/>
  <c r="J401" i="9"/>
  <c r="J389" i="9"/>
  <c r="J377" i="9"/>
  <c r="AB377" i="9"/>
  <c r="AB401" i="9"/>
  <c r="AB389" i="9"/>
  <c r="X377" i="9"/>
  <c r="X401" i="9"/>
  <c r="X389" i="9"/>
  <c r="E377" i="9"/>
  <c r="E401" i="9"/>
  <c r="E389" i="9"/>
  <c r="C268" i="9"/>
  <c r="C292" i="9"/>
  <c r="C280" i="9"/>
  <c r="E292" i="9"/>
  <c r="E280" i="9"/>
  <c r="E268" i="9"/>
  <c r="P268" i="9"/>
  <c r="P292" i="9"/>
  <c r="P280" i="9"/>
  <c r="I184" i="9"/>
  <c r="I172" i="9"/>
  <c r="I160" i="9"/>
  <c r="U160" i="9"/>
  <c r="U184" i="9"/>
  <c r="U172" i="9"/>
  <c r="J184" i="9"/>
  <c r="J172" i="9"/>
  <c r="J160" i="9"/>
  <c r="K482" i="9"/>
  <c r="K506" i="9"/>
  <c r="K494" i="9"/>
  <c r="S389" i="9"/>
  <c r="S377" i="9"/>
  <c r="S401" i="9"/>
  <c r="N377" i="9"/>
  <c r="N401" i="9"/>
  <c r="N389" i="9"/>
  <c r="W506" i="9"/>
  <c r="W494" i="9"/>
  <c r="W482" i="9"/>
  <c r="L506" i="9"/>
  <c r="L494" i="9"/>
  <c r="L482" i="9"/>
  <c r="U377" i="9"/>
  <c r="U401" i="9"/>
  <c r="U389" i="9"/>
  <c r="O377" i="9"/>
  <c r="O401" i="9"/>
  <c r="O389" i="9"/>
  <c r="J268" i="9"/>
  <c r="J292" i="9"/>
  <c r="J280" i="9"/>
  <c r="K268" i="9"/>
  <c r="K292" i="9"/>
  <c r="K280" i="9"/>
  <c r="M292" i="9"/>
  <c r="M280" i="9"/>
  <c r="M268" i="9"/>
  <c r="X268" i="9"/>
  <c r="X292" i="9"/>
  <c r="X280" i="9"/>
  <c r="S172" i="9"/>
  <c r="S160" i="9"/>
  <c r="S184" i="9"/>
  <c r="D160" i="9"/>
  <c r="D184" i="9"/>
  <c r="D172" i="9"/>
  <c r="R184" i="9"/>
  <c r="R172" i="9"/>
  <c r="R160" i="9"/>
  <c r="V377" i="9"/>
  <c r="V401" i="9"/>
  <c r="V389" i="9"/>
  <c r="R268" i="9"/>
  <c r="R292" i="9"/>
  <c r="R280" i="9"/>
  <c r="E160" i="9"/>
  <c r="E184" i="9"/>
  <c r="E172" i="9"/>
  <c r="O506" i="9"/>
  <c r="O494" i="9"/>
  <c r="O482" i="9"/>
  <c r="V506" i="9"/>
  <c r="V494" i="9"/>
  <c r="V482" i="9"/>
  <c r="D506" i="9"/>
  <c r="D494" i="9"/>
  <c r="D482" i="9"/>
  <c r="Z482" i="9"/>
  <c r="Z506" i="9"/>
  <c r="Z494" i="9"/>
  <c r="K389" i="9"/>
  <c r="K377" i="9"/>
  <c r="K401" i="9"/>
  <c r="F377" i="9"/>
  <c r="F401" i="9"/>
  <c r="F389" i="9"/>
  <c r="Z268" i="9"/>
  <c r="Z292" i="9"/>
  <c r="Z280" i="9"/>
  <c r="G292" i="9"/>
  <c r="G280" i="9"/>
  <c r="G268" i="9"/>
  <c r="S268" i="9"/>
  <c r="S292" i="9"/>
  <c r="S280" i="9"/>
  <c r="U292" i="9"/>
  <c r="U280" i="9"/>
  <c r="U268" i="9"/>
  <c r="I268" i="9"/>
  <c r="I292" i="9"/>
  <c r="I280" i="9"/>
  <c r="AB160" i="9"/>
  <c r="AB184" i="9"/>
  <c r="AB172" i="9"/>
  <c r="M160" i="9"/>
  <c r="M184" i="9"/>
  <c r="M172" i="9"/>
  <c r="Z184" i="9"/>
  <c r="Z172" i="9"/>
  <c r="Z160" i="9"/>
  <c r="X184" i="9"/>
  <c r="X172" i="9"/>
  <c r="X160" i="9"/>
  <c r="N160" i="9"/>
  <c r="N184" i="9"/>
  <c r="N172" i="9"/>
  <c r="X482" i="9"/>
  <c r="X506" i="9"/>
  <c r="X494" i="9"/>
  <c r="G506" i="9"/>
  <c r="G494" i="9"/>
  <c r="G482" i="9"/>
  <c r="N506" i="9"/>
  <c r="N494" i="9"/>
  <c r="N482" i="9"/>
  <c r="R482" i="9"/>
  <c r="R506" i="9"/>
  <c r="R494" i="9"/>
  <c r="Y482" i="9"/>
  <c r="Y506" i="9"/>
  <c r="Y494" i="9"/>
  <c r="B401" i="9"/>
  <c r="B389" i="9"/>
  <c r="B377" i="9"/>
  <c r="Z401" i="9"/>
  <c r="Z389" i="9"/>
  <c r="Z377" i="9"/>
  <c r="Y401" i="9"/>
  <c r="Y389" i="9"/>
  <c r="Y377" i="9"/>
  <c r="B268" i="9"/>
  <c r="B292" i="9"/>
  <c r="B280" i="9"/>
  <c r="AA268" i="9"/>
  <c r="AA292" i="9"/>
  <c r="AA280" i="9"/>
  <c r="AC292" i="9"/>
  <c r="AC280" i="9"/>
  <c r="AC268" i="9"/>
  <c r="Q268" i="9"/>
  <c r="Q292" i="9"/>
  <c r="Q280" i="9"/>
  <c r="K172" i="9"/>
  <c r="K160" i="9"/>
  <c r="K184" i="9"/>
  <c r="V160" i="9"/>
  <c r="V184" i="9"/>
  <c r="V172" i="9"/>
  <c r="O160" i="9"/>
  <c r="O184" i="9"/>
  <c r="O172" i="9"/>
  <c r="F160" i="9"/>
  <c r="F184" i="9"/>
  <c r="F172" i="9"/>
  <c r="M377" i="9"/>
  <c r="M401" i="9"/>
  <c r="M389" i="9"/>
  <c r="P482" i="9"/>
  <c r="P506" i="9"/>
  <c r="P494" i="9"/>
  <c r="F506" i="9"/>
  <c r="F494" i="9"/>
  <c r="F482" i="9"/>
  <c r="J482" i="9"/>
  <c r="J506" i="9"/>
  <c r="J494" i="9"/>
  <c r="I482" i="9"/>
  <c r="I506" i="9"/>
  <c r="I494" i="9"/>
  <c r="R401" i="9"/>
  <c r="R389" i="9"/>
  <c r="R377" i="9"/>
  <c r="Q401" i="9"/>
  <c r="Q389" i="9"/>
  <c r="Q377" i="9"/>
  <c r="P377" i="9"/>
  <c r="P401" i="9"/>
  <c r="P389" i="9"/>
  <c r="D292" i="9"/>
  <c r="D280" i="9"/>
  <c r="D268" i="9"/>
  <c r="F292" i="9"/>
  <c r="F280" i="9"/>
  <c r="F268" i="9"/>
  <c r="Y268" i="9"/>
  <c r="Y292" i="9"/>
  <c r="Y280" i="9"/>
  <c r="T160" i="9"/>
  <c r="T184" i="9"/>
  <c r="T172" i="9"/>
  <c r="G160" i="9"/>
  <c r="G184" i="9"/>
  <c r="G172" i="9"/>
  <c r="C389" i="9"/>
  <c r="C377" i="9"/>
  <c r="C401" i="9"/>
  <c r="C388" i="9"/>
  <c r="C376" i="9"/>
  <c r="C400" i="9"/>
  <c r="X159" i="9"/>
  <c r="X183" i="9"/>
  <c r="X171" i="9"/>
  <c r="K505" i="9"/>
  <c r="K493" i="9"/>
  <c r="K481" i="9"/>
  <c r="R505" i="9"/>
  <c r="R493" i="9"/>
  <c r="R481" i="9"/>
  <c r="Q505" i="9"/>
  <c r="Q493" i="9"/>
  <c r="Q481" i="9"/>
  <c r="X481" i="9"/>
  <c r="X505" i="9"/>
  <c r="X493" i="9"/>
  <c r="AB493" i="9"/>
  <c r="AB481" i="9"/>
  <c r="AB505" i="9"/>
  <c r="X388" i="9"/>
  <c r="X376" i="9"/>
  <c r="X400" i="9"/>
  <c r="B400" i="9"/>
  <c r="B388" i="9"/>
  <c r="B376" i="9"/>
  <c r="N388" i="9"/>
  <c r="N376" i="9"/>
  <c r="N400" i="9"/>
  <c r="R400" i="9"/>
  <c r="R388" i="9"/>
  <c r="R376" i="9"/>
  <c r="T279" i="9"/>
  <c r="T267" i="9"/>
  <c r="T291" i="9"/>
  <c r="N279" i="9"/>
  <c r="N267" i="9"/>
  <c r="N291" i="9"/>
  <c r="B291" i="9"/>
  <c r="B279" i="9"/>
  <c r="B267" i="9"/>
  <c r="Z183" i="9"/>
  <c r="Z171" i="9"/>
  <c r="Z159" i="9"/>
  <c r="AB171" i="9"/>
  <c r="AB159" i="9"/>
  <c r="AB183" i="9"/>
  <c r="C505" i="9"/>
  <c r="C493" i="9"/>
  <c r="C481" i="9"/>
  <c r="Q376" i="9"/>
  <c r="Q400" i="9"/>
  <c r="Q388" i="9"/>
  <c r="T171" i="9"/>
  <c r="T159" i="9"/>
  <c r="T183" i="9"/>
  <c r="J505" i="9"/>
  <c r="J493" i="9"/>
  <c r="J481" i="9"/>
  <c r="I505" i="9"/>
  <c r="I493" i="9"/>
  <c r="I481" i="9"/>
  <c r="P481" i="9"/>
  <c r="P505" i="9"/>
  <c r="P493" i="9"/>
  <c r="T493" i="9"/>
  <c r="T481" i="9"/>
  <c r="T505" i="9"/>
  <c r="O388" i="9"/>
  <c r="O376" i="9"/>
  <c r="O400" i="9"/>
  <c r="V388" i="9"/>
  <c r="V376" i="9"/>
  <c r="V400" i="9"/>
  <c r="I376" i="9"/>
  <c r="I400" i="9"/>
  <c r="I388" i="9"/>
  <c r="Y291" i="9"/>
  <c r="Y279" i="9"/>
  <c r="Y267" i="9"/>
  <c r="V279" i="9"/>
  <c r="V267" i="9"/>
  <c r="V291" i="9"/>
  <c r="J291" i="9"/>
  <c r="J279" i="9"/>
  <c r="J267" i="9"/>
  <c r="C171" i="9"/>
  <c r="C159" i="9"/>
  <c r="C183" i="9"/>
  <c r="E171" i="9"/>
  <c r="E159" i="9"/>
  <c r="E183" i="9"/>
  <c r="F493" i="9"/>
  <c r="F481" i="9"/>
  <c r="F505" i="9"/>
  <c r="D388" i="9"/>
  <c r="D376" i="9"/>
  <c r="D400" i="9"/>
  <c r="F279" i="9"/>
  <c r="F267" i="9"/>
  <c r="F291" i="9"/>
  <c r="B505" i="9"/>
  <c r="B493" i="9"/>
  <c r="B481" i="9"/>
  <c r="H481" i="9"/>
  <c r="H505" i="9"/>
  <c r="H493" i="9"/>
  <c r="L493" i="9"/>
  <c r="L481" i="9"/>
  <c r="L505" i="9"/>
  <c r="E388" i="9"/>
  <c r="E376" i="9"/>
  <c r="E400" i="9"/>
  <c r="AB388" i="9"/>
  <c r="AB376" i="9"/>
  <c r="AB400" i="9"/>
  <c r="AB279" i="9"/>
  <c r="AB267" i="9"/>
  <c r="AB291" i="9"/>
  <c r="G279" i="9"/>
  <c r="G267" i="9"/>
  <c r="G291" i="9"/>
  <c r="R291" i="9"/>
  <c r="R279" i="9"/>
  <c r="R267" i="9"/>
  <c r="I183" i="9"/>
  <c r="I171" i="9"/>
  <c r="I159" i="9"/>
  <c r="K171" i="9"/>
  <c r="K159" i="9"/>
  <c r="K183" i="9"/>
  <c r="M171" i="9"/>
  <c r="M159" i="9"/>
  <c r="M183" i="9"/>
  <c r="F171" i="9"/>
  <c r="F159" i="9"/>
  <c r="F183" i="9"/>
  <c r="AA505" i="9"/>
  <c r="AA493" i="9"/>
  <c r="AA481" i="9"/>
  <c r="AC493" i="9"/>
  <c r="AC481" i="9"/>
  <c r="AC505" i="9"/>
  <c r="D493" i="9"/>
  <c r="D481" i="9"/>
  <c r="D505" i="9"/>
  <c r="Y376" i="9"/>
  <c r="Y400" i="9"/>
  <c r="Y388" i="9"/>
  <c r="S388" i="9"/>
  <c r="S376" i="9"/>
  <c r="S400" i="9"/>
  <c r="E279" i="9"/>
  <c r="E267" i="9"/>
  <c r="E291" i="9"/>
  <c r="O279" i="9"/>
  <c r="O267" i="9"/>
  <c r="O291" i="9"/>
  <c r="Z291" i="9"/>
  <c r="Z279" i="9"/>
  <c r="Z267" i="9"/>
  <c r="Q183" i="9"/>
  <c r="Q171" i="9"/>
  <c r="Q159" i="9"/>
  <c r="S171" i="9"/>
  <c r="S159" i="9"/>
  <c r="S183" i="9"/>
  <c r="U171" i="9"/>
  <c r="U159" i="9"/>
  <c r="U183" i="9"/>
  <c r="N171" i="9"/>
  <c r="N159" i="9"/>
  <c r="N183" i="9"/>
  <c r="S505" i="9"/>
  <c r="S493" i="9"/>
  <c r="S481" i="9"/>
  <c r="Y505" i="9"/>
  <c r="Y493" i="9"/>
  <c r="Y481" i="9"/>
  <c r="F388" i="9"/>
  <c r="F376" i="9"/>
  <c r="F400" i="9"/>
  <c r="AA291" i="9"/>
  <c r="AA279" i="9"/>
  <c r="AA267" i="9"/>
  <c r="W171" i="9"/>
  <c r="W159" i="9"/>
  <c r="W183" i="9"/>
  <c r="W493" i="9"/>
  <c r="W481" i="9"/>
  <c r="W505" i="9"/>
  <c r="U493" i="9"/>
  <c r="U481" i="9"/>
  <c r="U505" i="9"/>
  <c r="P388" i="9"/>
  <c r="P376" i="9"/>
  <c r="P400" i="9"/>
  <c r="J400" i="9"/>
  <c r="J388" i="9"/>
  <c r="J376" i="9"/>
  <c r="D279" i="9"/>
  <c r="D267" i="9"/>
  <c r="D291" i="9"/>
  <c r="M279" i="9"/>
  <c r="M267" i="9"/>
  <c r="M291" i="9"/>
  <c r="W279" i="9"/>
  <c r="W267" i="9"/>
  <c r="W291" i="9"/>
  <c r="C291" i="9"/>
  <c r="C279" i="9"/>
  <c r="C267" i="9"/>
  <c r="Y183" i="9"/>
  <c r="Y171" i="9"/>
  <c r="Y159" i="9"/>
  <c r="AA171" i="9"/>
  <c r="AA159" i="9"/>
  <c r="AA183" i="9"/>
  <c r="AC171" i="9"/>
  <c r="AC159" i="9"/>
  <c r="AC183" i="9"/>
  <c r="Z400" i="9"/>
  <c r="Z388" i="9"/>
  <c r="Z376" i="9"/>
  <c r="K388" i="9"/>
  <c r="K376" i="9"/>
  <c r="K400" i="9"/>
  <c r="X267" i="9"/>
  <c r="X291" i="9"/>
  <c r="X279" i="9"/>
  <c r="R183" i="9"/>
  <c r="R171" i="9"/>
  <c r="R159" i="9"/>
  <c r="O493" i="9"/>
  <c r="O481" i="9"/>
  <c r="O505" i="9"/>
  <c r="V493" i="9"/>
  <c r="V481" i="9"/>
  <c r="V505" i="9"/>
  <c r="M493" i="9"/>
  <c r="M481" i="9"/>
  <c r="M505" i="9"/>
  <c r="G388" i="9"/>
  <c r="G376" i="9"/>
  <c r="G400" i="9"/>
  <c r="W388" i="9"/>
  <c r="W376" i="9"/>
  <c r="W400" i="9"/>
  <c r="U388" i="9"/>
  <c r="U376" i="9"/>
  <c r="U400" i="9"/>
  <c r="AC388" i="9"/>
  <c r="AC376" i="9"/>
  <c r="AC400" i="9"/>
  <c r="AA388" i="9"/>
  <c r="AA376" i="9"/>
  <c r="AA400" i="9"/>
  <c r="I291" i="9"/>
  <c r="I279" i="9"/>
  <c r="I267" i="9"/>
  <c r="U279" i="9"/>
  <c r="U267" i="9"/>
  <c r="U291" i="9"/>
  <c r="H267" i="9"/>
  <c r="H291" i="9"/>
  <c r="H279" i="9"/>
  <c r="K291" i="9"/>
  <c r="K279" i="9"/>
  <c r="K267" i="9"/>
  <c r="V171" i="9"/>
  <c r="V159" i="9"/>
  <c r="V183" i="9"/>
  <c r="O171" i="9"/>
  <c r="O159" i="9"/>
  <c r="O183" i="9"/>
  <c r="B183" i="9"/>
  <c r="B171" i="9"/>
  <c r="B159" i="9"/>
  <c r="D171" i="9"/>
  <c r="D159" i="9"/>
  <c r="D183" i="9"/>
  <c r="H159" i="9"/>
  <c r="H183" i="9"/>
  <c r="H171" i="9"/>
  <c r="Q291" i="9"/>
  <c r="Q279" i="9"/>
  <c r="Q267" i="9"/>
  <c r="G493" i="9"/>
  <c r="G481" i="9"/>
  <c r="G505" i="9"/>
  <c r="N493" i="9"/>
  <c r="N481" i="9"/>
  <c r="N505" i="9"/>
  <c r="E493" i="9"/>
  <c r="E481" i="9"/>
  <c r="E505" i="9"/>
  <c r="M388" i="9"/>
  <c r="M376" i="9"/>
  <c r="M400" i="9"/>
  <c r="L388" i="9"/>
  <c r="L376" i="9"/>
  <c r="L400" i="9"/>
  <c r="T388" i="9"/>
  <c r="T376" i="9"/>
  <c r="T400" i="9"/>
  <c r="L279" i="9"/>
  <c r="L267" i="9"/>
  <c r="L291" i="9"/>
  <c r="AC279" i="9"/>
  <c r="AC267" i="9"/>
  <c r="AC291" i="9"/>
  <c r="P267" i="9"/>
  <c r="P291" i="9"/>
  <c r="P279" i="9"/>
  <c r="S291" i="9"/>
  <c r="S279" i="9"/>
  <c r="S267" i="9"/>
  <c r="J183" i="9"/>
  <c r="J171" i="9"/>
  <c r="J159" i="9"/>
  <c r="L171" i="9"/>
  <c r="L159" i="9"/>
  <c r="L183" i="9"/>
  <c r="P159" i="9"/>
  <c r="P183" i="9"/>
  <c r="P171" i="9"/>
  <c r="K182" i="9"/>
  <c r="AC399" i="9"/>
  <c r="AC375" i="9"/>
  <c r="AC387" i="9"/>
  <c r="U266" i="9"/>
  <c r="U290" i="9"/>
  <c r="U278" i="9"/>
  <c r="O504" i="9"/>
  <c r="O492" i="9"/>
  <c r="O480" i="9"/>
  <c r="N504" i="9"/>
  <c r="N492" i="9"/>
  <c r="N480" i="9"/>
  <c r="AC480" i="9"/>
  <c r="AC504" i="9"/>
  <c r="AC492" i="9"/>
  <c r="C480" i="9"/>
  <c r="C504" i="9"/>
  <c r="C492" i="9"/>
  <c r="Y399" i="9"/>
  <c r="Y375" i="9"/>
  <c r="Y387" i="9"/>
  <c r="C387" i="9"/>
  <c r="C399" i="9"/>
  <c r="C375" i="9"/>
  <c r="T387" i="9"/>
  <c r="T399" i="9"/>
  <c r="T375" i="9"/>
  <c r="AA266" i="9"/>
  <c r="AA290" i="9"/>
  <c r="AA278" i="9"/>
  <c r="AC266" i="9"/>
  <c r="AC290" i="9"/>
  <c r="AC278" i="9"/>
  <c r="AB158" i="9"/>
  <c r="AB182" i="9"/>
  <c r="AB170" i="9"/>
  <c r="V158" i="9"/>
  <c r="V182" i="9"/>
  <c r="V170" i="9"/>
  <c r="Q158" i="9"/>
  <c r="Q182" i="9"/>
  <c r="Q170" i="9"/>
  <c r="U158" i="9"/>
  <c r="U182" i="9"/>
  <c r="U170" i="9"/>
  <c r="L158" i="9"/>
  <c r="L182" i="9"/>
  <c r="L170" i="9"/>
  <c r="H480" i="9"/>
  <c r="H504" i="9"/>
  <c r="H492" i="9"/>
  <c r="N158" i="9"/>
  <c r="N182" i="9"/>
  <c r="N170" i="9"/>
  <c r="G504" i="9"/>
  <c r="G492" i="9"/>
  <c r="G480" i="9"/>
  <c r="F504" i="9"/>
  <c r="F492" i="9"/>
  <c r="F480" i="9"/>
  <c r="U480" i="9"/>
  <c r="U504" i="9"/>
  <c r="U492" i="9"/>
  <c r="Y480" i="9"/>
  <c r="Y504" i="9"/>
  <c r="Y492" i="9"/>
  <c r="P399" i="9"/>
  <c r="P375" i="9"/>
  <c r="P387" i="9"/>
  <c r="K387" i="9"/>
  <c r="K399" i="9"/>
  <c r="K375" i="9"/>
  <c r="J399" i="9"/>
  <c r="J375" i="9"/>
  <c r="J387" i="9"/>
  <c r="B266" i="9"/>
  <c r="B290" i="9"/>
  <c r="B278" i="9"/>
  <c r="D266" i="9"/>
  <c r="D290" i="9"/>
  <c r="D278" i="9"/>
  <c r="G290" i="9"/>
  <c r="G278" i="9"/>
  <c r="G266" i="9"/>
  <c r="G158" i="9"/>
  <c r="G182" i="9"/>
  <c r="G170" i="9"/>
  <c r="Y158" i="9"/>
  <c r="Y182" i="9"/>
  <c r="Y170" i="9"/>
  <c r="AC158" i="9"/>
  <c r="AC182" i="9"/>
  <c r="AC170" i="9"/>
  <c r="X480" i="9"/>
  <c r="X504" i="9"/>
  <c r="X492" i="9"/>
  <c r="F399" i="9"/>
  <c r="F375" i="9"/>
  <c r="F387" i="9"/>
  <c r="M480" i="9"/>
  <c r="M504" i="9"/>
  <c r="M492" i="9"/>
  <c r="Q480" i="9"/>
  <c r="Q504" i="9"/>
  <c r="Q492" i="9"/>
  <c r="G399" i="9"/>
  <c r="G375" i="9"/>
  <c r="G387" i="9"/>
  <c r="S387" i="9"/>
  <c r="S399" i="9"/>
  <c r="S375" i="9"/>
  <c r="U399" i="9"/>
  <c r="U375" i="9"/>
  <c r="U387" i="9"/>
  <c r="J266" i="9"/>
  <c r="J290" i="9"/>
  <c r="J278" i="9"/>
  <c r="L266" i="9"/>
  <c r="L290" i="9"/>
  <c r="L278" i="9"/>
  <c r="O290" i="9"/>
  <c r="O278" i="9"/>
  <c r="O266" i="9"/>
  <c r="O158" i="9"/>
  <c r="O182" i="9"/>
  <c r="O170" i="9"/>
  <c r="B182" i="9"/>
  <c r="B170" i="9"/>
  <c r="B158" i="9"/>
  <c r="K480" i="9"/>
  <c r="K504" i="9"/>
  <c r="K492" i="9"/>
  <c r="D387" i="9"/>
  <c r="D399" i="9"/>
  <c r="D375" i="9"/>
  <c r="F290" i="9"/>
  <c r="F278" i="9"/>
  <c r="F266" i="9"/>
  <c r="E480" i="9"/>
  <c r="E504" i="9"/>
  <c r="E492" i="9"/>
  <c r="I480" i="9"/>
  <c r="I504" i="9"/>
  <c r="I492" i="9"/>
  <c r="Z399" i="9"/>
  <c r="Z375" i="9"/>
  <c r="Z387" i="9"/>
  <c r="AA387" i="9"/>
  <c r="AA399" i="9"/>
  <c r="AA375" i="9"/>
  <c r="L387" i="9"/>
  <c r="L399" i="9"/>
  <c r="L375" i="9"/>
  <c r="V399" i="9"/>
  <c r="V375" i="9"/>
  <c r="V387" i="9"/>
  <c r="R266" i="9"/>
  <c r="R290" i="9"/>
  <c r="R278" i="9"/>
  <c r="T266" i="9"/>
  <c r="T290" i="9"/>
  <c r="T278" i="9"/>
  <c r="W290" i="9"/>
  <c r="W278" i="9"/>
  <c r="W266" i="9"/>
  <c r="N290" i="9"/>
  <c r="N278" i="9"/>
  <c r="N266" i="9"/>
  <c r="V290" i="9"/>
  <c r="V278" i="9"/>
  <c r="V266" i="9"/>
  <c r="W158" i="9"/>
  <c r="W182" i="9"/>
  <c r="W170" i="9"/>
  <c r="J182" i="9"/>
  <c r="J170" i="9"/>
  <c r="J158" i="9"/>
  <c r="S170" i="9"/>
  <c r="S158" i="9"/>
  <c r="S182" i="9"/>
  <c r="Y266" i="9"/>
  <c r="Y290" i="9"/>
  <c r="Y278" i="9"/>
  <c r="M158" i="9"/>
  <c r="M182" i="9"/>
  <c r="M170" i="9"/>
  <c r="AB480" i="9"/>
  <c r="AB504" i="9"/>
  <c r="AB492" i="9"/>
  <c r="Z480" i="9"/>
  <c r="Z504" i="9"/>
  <c r="Z492" i="9"/>
  <c r="Q399" i="9"/>
  <c r="Q375" i="9"/>
  <c r="Q387" i="9"/>
  <c r="B399" i="9"/>
  <c r="B375" i="9"/>
  <c r="B387" i="9"/>
  <c r="Z266" i="9"/>
  <c r="Z290" i="9"/>
  <c r="Z278" i="9"/>
  <c r="AB266" i="9"/>
  <c r="AB290" i="9"/>
  <c r="AB278" i="9"/>
  <c r="H266" i="9"/>
  <c r="H290" i="9"/>
  <c r="H278" i="9"/>
  <c r="Q266" i="9"/>
  <c r="Q290" i="9"/>
  <c r="Q278" i="9"/>
  <c r="C170" i="9"/>
  <c r="C158" i="9"/>
  <c r="C182" i="9"/>
  <c r="H158" i="9"/>
  <c r="H182" i="9"/>
  <c r="H170" i="9"/>
  <c r="R182" i="9"/>
  <c r="R170" i="9"/>
  <c r="R158" i="9"/>
  <c r="V504" i="9"/>
  <c r="V492" i="9"/>
  <c r="V480" i="9"/>
  <c r="B480" i="9"/>
  <c r="B504" i="9"/>
  <c r="B492" i="9"/>
  <c r="E399" i="9"/>
  <c r="E375" i="9"/>
  <c r="E387" i="9"/>
  <c r="S266" i="9"/>
  <c r="S290" i="9"/>
  <c r="S278" i="9"/>
  <c r="I158" i="9"/>
  <c r="I182" i="9"/>
  <c r="I170" i="9"/>
  <c r="T480" i="9"/>
  <c r="T504" i="9"/>
  <c r="T492" i="9"/>
  <c r="AA480" i="9"/>
  <c r="AA504" i="9"/>
  <c r="AA492" i="9"/>
  <c r="R480" i="9"/>
  <c r="R504" i="9"/>
  <c r="R492" i="9"/>
  <c r="H399" i="9"/>
  <c r="H375" i="9"/>
  <c r="H387" i="9"/>
  <c r="X399" i="9"/>
  <c r="X375" i="9"/>
  <c r="X387" i="9"/>
  <c r="W399" i="9"/>
  <c r="W375" i="9"/>
  <c r="W387" i="9"/>
  <c r="R399" i="9"/>
  <c r="R375" i="9"/>
  <c r="R387" i="9"/>
  <c r="C266" i="9"/>
  <c r="C290" i="9"/>
  <c r="C278" i="9"/>
  <c r="E266" i="9"/>
  <c r="E290" i="9"/>
  <c r="E278" i="9"/>
  <c r="P266" i="9"/>
  <c r="P290" i="9"/>
  <c r="P278" i="9"/>
  <c r="AA170" i="9"/>
  <c r="AA158" i="9"/>
  <c r="AA182" i="9"/>
  <c r="P158" i="9"/>
  <c r="P182" i="9"/>
  <c r="P170" i="9"/>
  <c r="Z182" i="9"/>
  <c r="Z170" i="9"/>
  <c r="Z158" i="9"/>
  <c r="D480" i="9"/>
  <c r="D504" i="9"/>
  <c r="D492" i="9"/>
  <c r="L480" i="9"/>
  <c r="L504" i="9"/>
  <c r="L492" i="9"/>
  <c r="S480" i="9"/>
  <c r="S504" i="9"/>
  <c r="S492" i="9"/>
  <c r="J480" i="9"/>
  <c r="J504" i="9"/>
  <c r="J492" i="9"/>
  <c r="O399" i="9"/>
  <c r="O375" i="9"/>
  <c r="O387" i="9"/>
  <c r="N399" i="9"/>
  <c r="N375" i="9"/>
  <c r="N387" i="9"/>
  <c r="M399" i="9"/>
  <c r="M375" i="9"/>
  <c r="M387" i="9"/>
  <c r="I399" i="9"/>
  <c r="I375" i="9"/>
  <c r="I387" i="9"/>
  <c r="K266" i="9"/>
  <c r="K290" i="9"/>
  <c r="K278" i="9"/>
  <c r="M266" i="9"/>
  <c r="M290" i="9"/>
  <c r="M278" i="9"/>
  <c r="X266" i="9"/>
  <c r="X290" i="9"/>
  <c r="X278" i="9"/>
  <c r="I266" i="9"/>
  <c r="I290" i="9"/>
  <c r="I278" i="9"/>
  <c r="F158" i="9"/>
  <c r="F182" i="9"/>
  <c r="F170" i="9"/>
  <c r="X158" i="9"/>
  <c r="X182" i="9"/>
  <c r="X170" i="9"/>
  <c r="E158" i="9"/>
  <c r="E182" i="9"/>
  <c r="E170" i="9"/>
  <c r="T158" i="9"/>
  <c r="T182" i="9"/>
  <c r="T170" i="9"/>
  <c r="P480" i="9"/>
  <c r="P504" i="9"/>
  <c r="P492" i="9"/>
  <c r="I386" i="9"/>
  <c r="I398" i="9"/>
  <c r="I374" i="9"/>
  <c r="V169" i="9"/>
  <c r="V181" i="9"/>
  <c r="V157" i="9"/>
  <c r="J479" i="9"/>
  <c r="J503" i="9"/>
  <c r="J491" i="9"/>
  <c r="F491" i="9"/>
  <c r="F479" i="9"/>
  <c r="F503" i="9"/>
  <c r="AB386" i="9"/>
  <c r="AB398" i="9"/>
  <c r="AB374" i="9"/>
  <c r="P386" i="9"/>
  <c r="P398" i="9"/>
  <c r="P374" i="9"/>
  <c r="M386" i="9"/>
  <c r="M398" i="9"/>
  <c r="M374" i="9"/>
  <c r="X277" i="9"/>
  <c r="X265" i="9"/>
  <c r="X289" i="9"/>
  <c r="D277" i="9"/>
  <c r="D265" i="9"/>
  <c r="D289" i="9"/>
  <c r="AB169" i="9"/>
  <c r="AB181" i="9"/>
  <c r="AB157" i="9"/>
  <c r="G169" i="9"/>
  <c r="G181" i="9"/>
  <c r="G157" i="9"/>
  <c r="T169" i="9"/>
  <c r="T181" i="9"/>
  <c r="T157" i="9"/>
  <c r="B479" i="9"/>
  <c r="B503" i="9"/>
  <c r="B491" i="9"/>
  <c r="S374" i="9"/>
  <c r="S386" i="9"/>
  <c r="S398" i="9"/>
  <c r="X386" i="9"/>
  <c r="X398" i="9"/>
  <c r="X374" i="9"/>
  <c r="D386" i="9"/>
  <c r="D398" i="9"/>
  <c r="D374" i="9"/>
  <c r="T386" i="9"/>
  <c r="T398" i="9"/>
  <c r="T374" i="9"/>
  <c r="K374" i="9"/>
  <c r="K386" i="9"/>
  <c r="K398" i="9"/>
  <c r="F277" i="9"/>
  <c r="F265" i="9"/>
  <c r="F289" i="9"/>
  <c r="I265" i="9"/>
  <c r="I289" i="9"/>
  <c r="I277" i="9"/>
  <c r="L277" i="9"/>
  <c r="L265" i="9"/>
  <c r="L289" i="9"/>
  <c r="AA289" i="9"/>
  <c r="AA277" i="9"/>
  <c r="AA265" i="9"/>
  <c r="C169" i="9"/>
  <c r="C181" i="9"/>
  <c r="C157" i="9"/>
  <c r="E169" i="9"/>
  <c r="E181" i="9"/>
  <c r="E157" i="9"/>
  <c r="O169" i="9"/>
  <c r="O181" i="9"/>
  <c r="O157" i="9"/>
  <c r="Y181" i="9"/>
  <c r="Y157" i="9"/>
  <c r="Y169" i="9"/>
  <c r="V386" i="9"/>
  <c r="V398" i="9"/>
  <c r="V374" i="9"/>
  <c r="N277" i="9"/>
  <c r="N265" i="9"/>
  <c r="N289" i="9"/>
  <c r="AC277" i="9"/>
  <c r="AC265" i="9"/>
  <c r="AC289" i="9"/>
  <c r="Y479" i="9"/>
  <c r="Y503" i="9"/>
  <c r="Y491" i="9"/>
  <c r="W491" i="9"/>
  <c r="W479" i="9"/>
  <c r="W503" i="9"/>
  <c r="J398" i="9"/>
  <c r="J374" i="9"/>
  <c r="J386" i="9"/>
  <c r="M491" i="9"/>
  <c r="M479" i="9"/>
  <c r="M503" i="9"/>
  <c r="Q386" i="9"/>
  <c r="Q398" i="9"/>
  <c r="Q374" i="9"/>
  <c r="Y386" i="9"/>
  <c r="Y398" i="9"/>
  <c r="Y374" i="9"/>
  <c r="W386" i="9"/>
  <c r="W398" i="9"/>
  <c r="W374" i="9"/>
  <c r="V277" i="9"/>
  <c r="V265" i="9"/>
  <c r="V289" i="9"/>
  <c r="C289" i="9"/>
  <c r="C277" i="9"/>
  <c r="C265" i="9"/>
  <c r="Q265" i="9"/>
  <c r="Q289" i="9"/>
  <c r="Q277" i="9"/>
  <c r="T277" i="9"/>
  <c r="T265" i="9"/>
  <c r="T289" i="9"/>
  <c r="K169" i="9"/>
  <c r="K181" i="9"/>
  <c r="K157" i="9"/>
  <c r="M169" i="9"/>
  <c r="M181" i="9"/>
  <c r="M157" i="9"/>
  <c r="W169" i="9"/>
  <c r="W181" i="9"/>
  <c r="W157" i="9"/>
  <c r="H169" i="9"/>
  <c r="H181" i="9"/>
  <c r="H157" i="9"/>
  <c r="Z265" i="9"/>
  <c r="Z289" i="9"/>
  <c r="Z277" i="9"/>
  <c r="Q479" i="9"/>
  <c r="Q503" i="9"/>
  <c r="Q491" i="9"/>
  <c r="X491" i="9"/>
  <c r="X479" i="9"/>
  <c r="X503" i="9"/>
  <c r="O491" i="9"/>
  <c r="O479" i="9"/>
  <c r="O503" i="9"/>
  <c r="E491" i="9"/>
  <c r="E479" i="9"/>
  <c r="E503" i="9"/>
  <c r="G386" i="9"/>
  <c r="G398" i="9"/>
  <c r="G374" i="9"/>
  <c r="O386" i="9"/>
  <c r="O398" i="9"/>
  <c r="O374" i="9"/>
  <c r="N386" i="9"/>
  <c r="N398" i="9"/>
  <c r="N374" i="9"/>
  <c r="Z398" i="9"/>
  <c r="Z374" i="9"/>
  <c r="Z386" i="9"/>
  <c r="G277" i="9"/>
  <c r="G265" i="9"/>
  <c r="G289" i="9"/>
  <c r="Y265" i="9"/>
  <c r="Y289" i="9"/>
  <c r="Y277" i="9"/>
  <c r="AB277" i="9"/>
  <c r="AB265" i="9"/>
  <c r="AB289" i="9"/>
  <c r="S169" i="9"/>
  <c r="S181" i="9"/>
  <c r="S157" i="9"/>
  <c r="U169" i="9"/>
  <c r="U181" i="9"/>
  <c r="U157" i="9"/>
  <c r="B181" i="9"/>
  <c r="B157" i="9"/>
  <c r="B169" i="9"/>
  <c r="P169" i="9"/>
  <c r="P181" i="9"/>
  <c r="P157" i="9"/>
  <c r="R479" i="9"/>
  <c r="R503" i="9"/>
  <c r="R491" i="9"/>
  <c r="P277" i="9"/>
  <c r="P265" i="9"/>
  <c r="P289" i="9"/>
  <c r="T491" i="9"/>
  <c r="T479" i="9"/>
  <c r="T503" i="9"/>
  <c r="AA503" i="9"/>
  <c r="AA491" i="9"/>
  <c r="AA479" i="9"/>
  <c r="I479" i="9"/>
  <c r="I503" i="9"/>
  <c r="I491" i="9"/>
  <c r="P491" i="9"/>
  <c r="P479" i="9"/>
  <c r="P503" i="9"/>
  <c r="G491" i="9"/>
  <c r="G479" i="9"/>
  <c r="G503" i="9"/>
  <c r="U491" i="9"/>
  <c r="U479" i="9"/>
  <c r="U503" i="9"/>
  <c r="F386" i="9"/>
  <c r="F398" i="9"/>
  <c r="F374" i="9"/>
  <c r="E386" i="9"/>
  <c r="E398" i="9"/>
  <c r="E374" i="9"/>
  <c r="U386" i="9"/>
  <c r="U398" i="9"/>
  <c r="U374" i="9"/>
  <c r="O277" i="9"/>
  <c r="O265" i="9"/>
  <c r="O289" i="9"/>
  <c r="B265" i="9"/>
  <c r="B289" i="9"/>
  <c r="B277" i="9"/>
  <c r="E277" i="9"/>
  <c r="E265" i="9"/>
  <c r="E289" i="9"/>
  <c r="AA169" i="9"/>
  <c r="AA181" i="9"/>
  <c r="AA157" i="9"/>
  <c r="AC169" i="9"/>
  <c r="AC181" i="9"/>
  <c r="AC157" i="9"/>
  <c r="J181" i="9"/>
  <c r="J157" i="9"/>
  <c r="J169" i="9"/>
  <c r="L491" i="9"/>
  <c r="L479" i="9"/>
  <c r="L503" i="9"/>
  <c r="S503" i="9"/>
  <c r="S491" i="9"/>
  <c r="S479" i="9"/>
  <c r="H491" i="9"/>
  <c r="H479" i="9"/>
  <c r="H503" i="9"/>
  <c r="AA374" i="9"/>
  <c r="AA386" i="9"/>
  <c r="AA398" i="9"/>
  <c r="AC491" i="9"/>
  <c r="AC479" i="9"/>
  <c r="AC503" i="9"/>
  <c r="L386" i="9"/>
  <c r="L398" i="9"/>
  <c r="L374" i="9"/>
  <c r="S289" i="9"/>
  <c r="S277" i="9"/>
  <c r="S265" i="9"/>
  <c r="W277" i="9"/>
  <c r="W265" i="9"/>
  <c r="W289" i="9"/>
  <c r="J265" i="9"/>
  <c r="J289" i="9"/>
  <c r="J277" i="9"/>
  <c r="M277" i="9"/>
  <c r="M265" i="9"/>
  <c r="M289" i="9"/>
  <c r="D169" i="9"/>
  <c r="D181" i="9"/>
  <c r="D157" i="9"/>
  <c r="F169" i="9"/>
  <c r="F181" i="9"/>
  <c r="F157" i="9"/>
  <c r="R181" i="9"/>
  <c r="R157" i="9"/>
  <c r="R169" i="9"/>
  <c r="X169" i="9"/>
  <c r="X181" i="9"/>
  <c r="X157" i="9"/>
  <c r="C503" i="9"/>
  <c r="C491" i="9"/>
  <c r="C479" i="9"/>
  <c r="N491" i="9"/>
  <c r="N479" i="9"/>
  <c r="N503" i="9"/>
  <c r="H386" i="9"/>
  <c r="H398" i="9"/>
  <c r="H374" i="9"/>
  <c r="I181" i="9"/>
  <c r="I157" i="9"/>
  <c r="I169" i="9"/>
  <c r="D491" i="9"/>
  <c r="D479" i="9"/>
  <c r="D503" i="9"/>
  <c r="K503" i="9"/>
  <c r="K491" i="9"/>
  <c r="K479" i="9"/>
  <c r="Z479" i="9"/>
  <c r="Z503" i="9"/>
  <c r="Z491" i="9"/>
  <c r="V491" i="9"/>
  <c r="V479" i="9"/>
  <c r="V503" i="9"/>
  <c r="AB491" i="9"/>
  <c r="AB479" i="9"/>
  <c r="AB503" i="9"/>
  <c r="R398" i="9"/>
  <c r="R374" i="9"/>
  <c r="R386" i="9"/>
  <c r="C374" i="9"/>
  <c r="C386" i="9"/>
  <c r="C398" i="9"/>
  <c r="K289" i="9"/>
  <c r="K277" i="9"/>
  <c r="K265" i="9"/>
  <c r="H277" i="9"/>
  <c r="H265" i="9"/>
  <c r="H289" i="9"/>
  <c r="R265" i="9"/>
  <c r="R289" i="9"/>
  <c r="R277" i="9"/>
  <c r="U277" i="9"/>
  <c r="U265" i="9"/>
  <c r="U289" i="9"/>
  <c r="L169" i="9"/>
  <c r="L181" i="9"/>
  <c r="L157" i="9"/>
  <c r="N169" i="9"/>
  <c r="N181" i="9"/>
  <c r="N157" i="9"/>
  <c r="Z181" i="9"/>
  <c r="Z157" i="9"/>
  <c r="Z169" i="9"/>
  <c r="Q181" i="9"/>
  <c r="Q157" i="9"/>
  <c r="Q169" i="9"/>
  <c r="Z502" i="9"/>
  <c r="C373" i="9"/>
  <c r="C385" i="9"/>
  <c r="C397" i="9"/>
  <c r="P276" i="9"/>
  <c r="P288" i="9"/>
  <c r="P264" i="9"/>
  <c r="Q502" i="9"/>
  <c r="Q478" i="9"/>
  <c r="Q490" i="9"/>
  <c r="F502" i="9"/>
  <c r="F478" i="9"/>
  <c r="F490" i="9"/>
  <c r="U502" i="9"/>
  <c r="U478" i="9"/>
  <c r="U490" i="9"/>
  <c r="L502" i="9"/>
  <c r="L478" i="9"/>
  <c r="L490" i="9"/>
  <c r="F397" i="9"/>
  <c r="F373" i="9"/>
  <c r="F385" i="9"/>
  <c r="Z397" i="9"/>
  <c r="Z373" i="9"/>
  <c r="Z385" i="9"/>
  <c r="K373" i="9"/>
  <c r="K385" i="9"/>
  <c r="K397" i="9"/>
  <c r="H276" i="9"/>
  <c r="H288" i="9"/>
  <c r="H264" i="9"/>
  <c r="AB288" i="9"/>
  <c r="AB264" i="9"/>
  <c r="AB276" i="9"/>
  <c r="G288" i="9"/>
  <c r="G264" i="9"/>
  <c r="G276" i="9"/>
  <c r="R288" i="9"/>
  <c r="R264" i="9"/>
  <c r="R276" i="9"/>
  <c r="P180" i="9"/>
  <c r="P156" i="9"/>
  <c r="P168" i="9"/>
  <c r="Z180" i="9"/>
  <c r="Z156" i="9"/>
  <c r="Z168" i="9"/>
  <c r="AB168" i="9"/>
  <c r="AB180" i="9"/>
  <c r="AB156" i="9"/>
  <c r="X397" i="9"/>
  <c r="X373" i="9"/>
  <c r="X385" i="9"/>
  <c r="M288" i="9"/>
  <c r="M264" i="9"/>
  <c r="M276" i="9"/>
  <c r="K156" i="9"/>
  <c r="K168" i="9"/>
  <c r="K180" i="9"/>
  <c r="I502" i="9"/>
  <c r="I478" i="9"/>
  <c r="I490" i="9"/>
  <c r="X490" i="9"/>
  <c r="X502" i="9"/>
  <c r="X478" i="9"/>
  <c r="M502" i="9"/>
  <c r="M478" i="9"/>
  <c r="M490" i="9"/>
  <c r="D502" i="9"/>
  <c r="D478" i="9"/>
  <c r="D490" i="9"/>
  <c r="R502" i="9"/>
  <c r="R478" i="9"/>
  <c r="R490" i="9"/>
  <c r="O397" i="9"/>
  <c r="O373" i="9"/>
  <c r="O385" i="9"/>
  <c r="I397" i="9"/>
  <c r="I373" i="9"/>
  <c r="I385" i="9"/>
  <c r="T373" i="9"/>
  <c r="T385" i="9"/>
  <c r="T397" i="9"/>
  <c r="K288" i="9"/>
  <c r="K264" i="9"/>
  <c r="K276" i="9"/>
  <c r="E288" i="9"/>
  <c r="E264" i="9"/>
  <c r="E276" i="9"/>
  <c r="O288" i="9"/>
  <c r="O264" i="9"/>
  <c r="O276" i="9"/>
  <c r="Z288" i="9"/>
  <c r="Z264" i="9"/>
  <c r="Z276" i="9"/>
  <c r="F180" i="9"/>
  <c r="F156" i="9"/>
  <c r="F168" i="9"/>
  <c r="X180" i="9"/>
  <c r="X156" i="9"/>
  <c r="X168" i="9"/>
  <c r="C156" i="9"/>
  <c r="C168" i="9"/>
  <c r="C180" i="9"/>
  <c r="G180" i="9"/>
  <c r="G156" i="9"/>
  <c r="G168" i="9"/>
  <c r="P490" i="9"/>
  <c r="P502" i="9"/>
  <c r="P478" i="9"/>
  <c r="AA502" i="9"/>
  <c r="AA478" i="9"/>
  <c r="AA490" i="9"/>
  <c r="E385" i="9"/>
  <c r="E397" i="9"/>
  <c r="E373" i="9"/>
  <c r="I180" i="9"/>
  <c r="I156" i="9"/>
  <c r="I168" i="9"/>
  <c r="H490" i="9"/>
  <c r="H502" i="9"/>
  <c r="H478" i="9"/>
  <c r="W502" i="9"/>
  <c r="W478" i="9"/>
  <c r="W490" i="9"/>
  <c r="S502" i="9"/>
  <c r="S478" i="9"/>
  <c r="S490" i="9"/>
  <c r="L373" i="9"/>
  <c r="L385" i="9"/>
  <c r="L397" i="9"/>
  <c r="G397" i="9"/>
  <c r="G373" i="9"/>
  <c r="G385" i="9"/>
  <c r="AA373" i="9"/>
  <c r="AA385" i="9"/>
  <c r="AA397" i="9"/>
  <c r="M385" i="9"/>
  <c r="M397" i="9"/>
  <c r="M373" i="9"/>
  <c r="S288" i="9"/>
  <c r="S264" i="9"/>
  <c r="S276" i="9"/>
  <c r="U288" i="9"/>
  <c r="U264" i="9"/>
  <c r="U276" i="9"/>
  <c r="I288" i="9"/>
  <c r="I264" i="9"/>
  <c r="I276" i="9"/>
  <c r="N180" i="9"/>
  <c r="N156" i="9"/>
  <c r="N168" i="9"/>
  <c r="Q180" i="9"/>
  <c r="Q156" i="9"/>
  <c r="Q168" i="9"/>
  <c r="S156" i="9"/>
  <c r="S168" i="9"/>
  <c r="S180" i="9"/>
  <c r="W180" i="9"/>
  <c r="W156" i="9"/>
  <c r="W168" i="9"/>
  <c r="O502" i="9"/>
  <c r="O478" i="9"/>
  <c r="O490" i="9"/>
  <c r="K502" i="9"/>
  <c r="K478" i="9"/>
  <c r="K490" i="9"/>
  <c r="Y502" i="9"/>
  <c r="Y478" i="9"/>
  <c r="Y490" i="9"/>
  <c r="V397" i="9"/>
  <c r="V373" i="9"/>
  <c r="V385" i="9"/>
  <c r="P397" i="9"/>
  <c r="P373" i="9"/>
  <c r="P385" i="9"/>
  <c r="J397" i="9"/>
  <c r="J373" i="9"/>
  <c r="J385" i="9"/>
  <c r="U385" i="9"/>
  <c r="U397" i="9"/>
  <c r="U373" i="9"/>
  <c r="X276" i="9"/>
  <c r="X288" i="9"/>
  <c r="X264" i="9"/>
  <c r="AC288" i="9"/>
  <c r="AC264" i="9"/>
  <c r="AC276" i="9"/>
  <c r="Q288" i="9"/>
  <c r="Q264" i="9"/>
  <c r="Q276" i="9"/>
  <c r="U180" i="9"/>
  <c r="U156" i="9"/>
  <c r="U168" i="9"/>
  <c r="Y180" i="9"/>
  <c r="Y156" i="9"/>
  <c r="Y168" i="9"/>
  <c r="AA156" i="9"/>
  <c r="AA168" i="9"/>
  <c r="AA180" i="9"/>
  <c r="B502" i="9"/>
  <c r="B478" i="9"/>
  <c r="B490" i="9"/>
  <c r="R397" i="9"/>
  <c r="R373" i="9"/>
  <c r="R385" i="9"/>
  <c r="G502" i="9"/>
  <c r="G478" i="9"/>
  <c r="G490" i="9"/>
  <c r="C502" i="9"/>
  <c r="C478" i="9"/>
  <c r="C490" i="9"/>
  <c r="D373" i="9"/>
  <c r="D385" i="9"/>
  <c r="D397" i="9"/>
  <c r="Y397" i="9"/>
  <c r="Y373" i="9"/>
  <c r="Y385" i="9"/>
  <c r="S373" i="9"/>
  <c r="S385" i="9"/>
  <c r="S397" i="9"/>
  <c r="AC385" i="9"/>
  <c r="AC397" i="9"/>
  <c r="AC373" i="9"/>
  <c r="D288" i="9"/>
  <c r="D264" i="9"/>
  <c r="D276" i="9"/>
  <c r="F288" i="9"/>
  <c r="F264" i="9"/>
  <c r="F276" i="9"/>
  <c r="Y288" i="9"/>
  <c r="Y264" i="9"/>
  <c r="Y276" i="9"/>
  <c r="V180" i="9"/>
  <c r="V156" i="9"/>
  <c r="V168" i="9"/>
  <c r="B180" i="9"/>
  <c r="B156" i="9"/>
  <c r="B168" i="9"/>
  <c r="D168" i="9"/>
  <c r="D180" i="9"/>
  <c r="D156" i="9"/>
  <c r="O180" i="9"/>
  <c r="O156" i="9"/>
  <c r="O168" i="9"/>
  <c r="V502" i="9"/>
  <c r="V478" i="9"/>
  <c r="V490" i="9"/>
  <c r="AB502" i="9"/>
  <c r="AB478" i="9"/>
  <c r="AB490" i="9"/>
  <c r="N397" i="9"/>
  <c r="N373" i="9"/>
  <c r="N385" i="9"/>
  <c r="H397" i="9"/>
  <c r="H373" i="9"/>
  <c r="H385" i="9"/>
  <c r="AB373" i="9"/>
  <c r="AB385" i="9"/>
  <c r="AB397" i="9"/>
  <c r="AA288" i="9"/>
  <c r="AA264" i="9"/>
  <c r="AA276" i="9"/>
  <c r="L288" i="9"/>
  <c r="L264" i="9"/>
  <c r="L276" i="9"/>
  <c r="N288" i="9"/>
  <c r="N264" i="9"/>
  <c r="N276" i="9"/>
  <c r="B288" i="9"/>
  <c r="B264" i="9"/>
  <c r="B276" i="9"/>
  <c r="AC180" i="9"/>
  <c r="AC156" i="9"/>
  <c r="AC168" i="9"/>
  <c r="J180" i="9"/>
  <c r="J156" i="9"/>
  <c r="J168" i="9"/>
  <c r="L168" i="9"/>
  <c r="L180" i="9"/>
  <c r="L156" i="9"/>
  <c r="J502" i="9"/>
  <c r="J478" i="9"/>
  <c r="J490" i="9"/>
  <c r="E502" i="9"/>
  <c r="E478" i="9"/>
  <c r="E490" i="9"/>
  <c r="W288" i="9"/>
  <c r="W264" i="9"/>
  <c r="W276" i="9"/>
  <c r="M180" i="9"/>
  <c r="M156" i="9"/>
  <c r="M168" i="9"/>
  <c r="N502" i="9"/>
  <c r="N478" i="9"/>
  <c r="N490" i="9"/>
  <c r="AC502" i="9"/>
  <c r="AC478" i="9"/>
  <c r="AC490" i="9"/>
  <c r="T502" i="9"/>
  <c r="T478" i="9"/>
  <c r="T490" i="9"/>
  <c r="W397" i="9"/>
  <c r="W373" i="9"/>
  <c r="W385" i="9"/>
  <c r="Q397" i="9"/>
  <c r="Q373" i="9"/>
  <c r="Q385" i="9"/>
  <c r="B397" i="9"/>
  <c r="B373" i="9"/>
  <c r="B385" i="9"/>
  <c r="C288" i="9"/>
  <c r="C264" i="9"/>
  <c r="C276" i="9"/>
  <c r="T288" i="9"/>
  <c r="T264" i="9"/>
  <c r="T276" i="9"/>
  <c r="V288" i="9"/>
  <c r="V264" i="9"/>
  <c r="V276" i="9"/>
  <c r="J288" i="9"/>
  <c r="J264" i="9"/>
  <c r="J276" i="9"/>
  <c r="H180" i="9"/>
  <c r="H156" i="9"/>
  <c r="H168" i="9"/>
  <c r="R180" i="9"/>
  <c r="R156" i="9"/>
  <c r="R168" i="9"/>
  <c r="T168" i="9"/>
  <c r="T180" i="9"/>
  <c r="T156" i="9"/>
  <c r="J370" i="3"/>
  <c r="AB357" i="3"/>
  <c r="T470" i="3"/>
  <c r="G140" i="3"/>
  <c r="C248" i="3"/>
  <c r="K248" i="3"/>
  <c r="S248" i="3"/>
  <c r="AA248" i="3"/>
  <c r="J357" i="3"/>
  <c r="T357" i="3"/>
  <c r="AC357" i="3"/>
  <c r="D462" i="3"/>
  <c r="L462" i="3"/>
  <c r="T462" i="3"/>
  <c r="AB462" i="3"/>
  <c r="D248" i="3"/>
  <c r="L248" i="3"/>
  <c r="T248" i="3"/>
  <c r="AB248" i="3"/>
  <c r="B357" i="3"/>
  <c r="L357" i="3"/>
  <c r="U357" i="3"/>
  <c r="E462" i="3"/>
  <c r="M462" i="3"/>
  <c r="U462" i="3"/>
  <c r="AC462" i="3"/>
  <c r="F248" i="3"/>
  <c r="N248" i="3"/>
  <c r="V248" i="3"/>
  <c r="E357" i="3"/>
  <c r="N357" i="3"/>
  <c r="W357" i="3"/>
  <c r="G462" i="3"/>
  <c r="O462" i="3"/>
  <c r="W462" i="3"/>
  <c r="G248" i="3"/>
  <c r="O248" i="3"/>
  <c r="W248" i="3"/>
  <c r="F357" i="3"/>
  <c r="O357" i="3"/>
  <c r="X357" i="3"/>
  <c r="H462" i="3"/>
  <c r="P462" i="3"/>
  <c r="X462" i="3"/>
  <c r="H248" i="3"/>
  <c r="P248" i="3"/>
  <c r="X248" i="3"/>
  <c r="G357" i="3"/>
  <c r="P357" i="3"/>
  <c r="Y357" i="3"/>
  <c r="I462" i="3"/>
  <c r="Q462" i="3"/>
  <c r="Y462" i="3"/>
  <c r="I248" i="3"/>
  <c r="Q248" i="3"/>
  <c r="Y248" i="3"/>
  <c r="C357" i="3"/>
  <c r="K357" i="3"/>
  <c r="S357" i="3"/>
  <c r="AA357" i="3"/>
  <c r="H357" i="3"/>
  <c r="Q357" i="3"/>
  <c r="Z357" i="3"/>
  <c r="B462" i="3"/>
  <c r="J462" i="3"/>
  <c r="R462" i="3"/>
  <c r="Z462" i="3"/>
  <c r="B248" i="3"/>
  <c r="J248" i="3"/>
  <c r="R248" i="3"/>
  <c r="Z248" i="3"/>
  <c r="I357" i="3"/>
  <c r="R357" i="3"/>
  <c r="C462" i="3"/>
  <c r="K462" i="3"/>
  <c r="S462" i="3"/>
  <c r="AA462" i="3"/>
  <c r="C140" i="3"/>
  <c r="K140" i="3"/>
  <c r="S140" i="3"/>
  <c r="AA140" i="3"/>
  <c r="F148" i="3"/>
  <c r="N148" i="3"/>
  <c r="V148" i="3"/>
  <c r="F256" i="3"/>
  <c r="N256" i="3"/>
  <c r="V256" i="3"/>
  <c r="E365" i="3"/>
  <c r="N365" i="3"/>
  <c r="X365" i="3"/>
  <c r="H470" i="3"/>
  <c r="P470" i="3"/>
  <c r="X470" i="3"/>
  <c r="G148" i="3"/>
  <c r="O148" i="3"/>
  <c r="W148" i="3"/>
  <c r="G256" i="3"/>
  <c r="O256" i="3"/>
  <c r="W256" i="3"/>
  <c r="F365" i="3"/>
  <c r="P365" i="3"/>
  <c r="Y365" i="3"/>
  <c r="I470" i="3"/>
  <c r="Q470" i="3"/>
  <c r="Y470" i="3"/>
  <c r="H148" i="3"/>
  <c r="X148" i="3"/>
  <c r="P256" i="3"/>
  <c r="H365" i="3"/>
  <c r="Z365" i="3"/>
  <c r="B470" i="3"/>
  <c r="R470" i="3"/>
  <c r="I148" i="3"/>
  <c r="Q148" i="3"/>
  <c r="Y148" i="3"/>
  <c r="I256" i="3"/>
  <c r="Q256" i="3"/>
  <c r="Y256" i="3"/>
  <c r="I365" i="3"/>
  <c r="R365" i="3"/>
  <c r="AA365" i="3"/>
  <c r="C470" i="3"/>
  <c r="K470" i="3"/>
  <c r="S470" i="3"/>
  <c r="AA470" i="3"/>
  <c r="P148" i="3"/>
  <c r="H256" i="3"/>
  <c r="X256" i="3"/>
  <c r="Q365" i="3"/>
  <c r="J470" i="3"/>
  <c r="Z470" i="3"/>
  <c r="B148" i="3"/>
  <c r="J148" i="3"/>
  <c r="R148" i="3"/>
  <c r="Z148" i="3"/>
  <c r="B256" i="3"/>
  <c r="J256" i="3"/>
  <c r="R256" i="3"/>
  <c r="Z256" i="3"/>
  <c r="G365" i="3"/>
  <c r="O365" i="3"/>
  <c r="W365" i="3"/>
  <c r="J365" i="3"/>
  <c r="S365" i="3"/>
  <c r="AB365" i="3"/>
  <c r="D470" i="3"/>
  <c r="L470" i="3"/>
  <c r="AB470" i="3"/>
  <c r="C148" i="3"/>
  <c r="K148" i="3"/>
  <c r="S148" i="3"/>
  <c r="AA148" i="3"/>
  <c r="C256" i="3"/>
  <c r="K256" i="3"/>
  <c r="S256" i="3"/>
  <c r="AA256" i="3"/>
  <c r="B365" i="3"/>
  <c r="K365" i="3"/>
  <c r="T365" i="3"/>
  <c r="AC365" i="3"/>
  <c r="E470" i="3"/>
  <c r="M470" i="3"/>
  <c r="U470" i="3"/>
  <c r="AC470" i="3"/>
  <c r="D148" i="3"/>
  <c r="L148" i="3"/>
  <c r="T148" i="3"/>
  <c r="AB148" i="3"/>
  <c r="D256" i="3"/>
  <c r="L256" i="3"/>
  <c r="T256" i="3"/>
  <c r="C365" i="3"/>
  <c r="L365" i="3"/>
  <c r="F470" i="3"/>
  <c r="N470" i="3"/>
  <c r="V470" i="3"/>
  <c r="AB259" i="13"/>
  <c r="F259" i="13"/>
  <c r="U259" i="13"/>
  <c r="E153" i="13"/>
  <c r="E190" i="13" s="1"/>
  <c r="AC153" i="13"/>
  <c r="AC190" i="13" s="1"/>
  <c r="D153" i="13"/>
  <c r="D190" i="13" s="1"/>
  <c r="S151" i="13"/>
  <c r="I151" i="13"/>
  <c r="X151" i="13"/>
  <c r="M151" i="13"/>
  <c r="L152" i="13"/>
  <c r="F46" i="13"/>
  <c r="V45" i="13"/>
  <c r="J45" i="13"/>
  <c r="S45" i="13"/>
  <c r="F151" i="13"/>
  <c r="G46" i="13"/>
  <c r="I259" i="13"/>
  <c r="O259" i="13"/>
  <c r="C259" i="13"/>
  <c r="P153" i="13"/>
  <c r="P190" i="13" s="1"/>
  <c r="I153" i="13"/>
  <c r="I190" i="13" s="1"/>
  <c r="L153" i="13"/>
  <c r="L190" i="13" s="1"/>
  <c r="M45" i="13"/>
  <c r="U45" i="13"/>
  <c r="R45" i="13"/>
  <c r="I45" i="13"/>
  <c r="X259" i="13"/>
  <c r="K259" i="13"/>
  <c r="Z153" i="13"/>
  <c r="Z190" i="13" s="1"/>
  <c r="S153" i="13"/>
  <c r="S190" i="13" s="1"/>
  <c r="T153" i="13"/>
  <c r="T190" i="13" s="1"/>
  <c r="H368" i="13"/>
  <c r="H260" i="13"/>
  <c r="D45" i="13"/>
  <c r="L45" i="13"/>
  <c r="Z45" i="13"/>
  <c r="AC152" i="13"/>
  <c r="AC46" i="13"/>
  <c r="AA45" i="13"/>
  <c r="J259" i="13"/>
  <c r="S259" i="13"/>
  <c r="D260" i="13"/>
  <c r="V153" i="13"/>
  <c r="V190" i="13" s="1"/>
  <c r="C153" i="13"/>
  <c r="C190" i="13" s="1"/>
  <c r="G153" i="13"/>
  <c r="G190" i="13" s="1"/>
  <c r="J153" i="13"/>
  <c r="J190" i="13" s="1"/>
  <c r="AB153" i="13"/>
  <c r="AB190" i="13" s="1"/>
  <c r="C45" i="13"/>
  <c r="Q45" i="13"/>
  <c r="T259" i="13"/>
  <c r="E152" i="13"/>
  <c r="E46" i="13"/>
  <c r="Z259" i="13"/>
  <c r="H259" i="13"/>
  <c r="Y259" i="13"/>
  <c r="G259" i="13"/>
  <c r="W259" i="13"/>
  <c r="E259" i="13"/>
  <c r="R259" i="13"/>
  <c r="Q259" i="13"/>
  <c r="P259" i="13"/>
  <c r="D259" i="13"/>
  <c r="AC259" i="13"/>
  <c r="AC45" i="13"/>
  <c r="T45" i="13"/>
  <c r="K45" i="13"/>
  <c r="AB45" i="13"/>
  <c r="M260" i="13"/>
  <c r="M152" i="13"/>
  <c r="B152" i="13"/>
  <c r="B46" i="13"/>
  <c r="AB369" i="13"/>
  <c r="AB46" i="13"/>
  <c r="Y45" i="13"/>
  <c r="M259" i="13"/>
  <c r="B259" i="13"/>
  <c r="M153" i="13"/>
  <c r="M190" i="13" s="1"/>
  <c r="H153" i="13"/>
  <c r="H190" i="13" s="1"/>
  <c r="O153" i="13"/>
  <c r="O190" i="13" s="1"/>
  <c r="O45" i="13"/>
  <c r="N45" i="13"/>
  <c r="V46" i="13"/>
  <c r="V152" i="13"/>
  <c r="P45" i="13"/>
  <c r="P46" i="13"/>
  <c r="R46" i="13"/>
  <c r="V259" i="13"/>
  <c r="L259" i="13"/>
  <c r="W153" i="13"/>
  <c r="W190" i="13" s="1"/>
  <c r="R153" i="13"/>
  <c r="R190" i="13" s="1"/>
  <c r="E151" i="13"/>
  <c r="F45" i="13"/>
  <c r="E45" i="13"/>
  <c r="B45" i="13"/>
  <c r="L369" i="13"/>
  <c r="L46" i="13"/>
  <c r="J152" i="13"/>
  <c r="J46" i="13"/>
  <c r="G45" i="13"/>
  <c r="H46" i="13"/>
  <c r="I152" i="9"/>
  <c r="D369" i="9"/>
  <c r="D46" i="9"/>
  <c r="I473" i="9"/>
  <c r="I369" i="9"/>
  <c r="B459" i="3"/>
  <c r="J459" i="3"/>
  <c r="R459" i="3"/>
  <c r="Z459" i="3"/>
  <c r="J463" i="3"/>
  <c r="R463" i="3"/>
  <c r="R480" i="3" s="1"/>
  <c r="Z463" i="3"/>
  <c r="B467" i="3"/>
  <c r="J467" i="3"/>
  <c r="R467" i="3"/>
  <c r="Z467" i="3"/>
  <c r="C459" i="3"/>
  <c r="K459" i="3"/>
  <c r="S459" i="3"/>
  <c r="AA459" i="3"/>
  <c r="C463" i="3"/>
  <c r="C480" i="3" s="1"/>
  <c r="K463" i="3"/>
  <c r="K480" i="3" s="1"/>
  <c r="S463" i="3"/>
  <c r="S480" i="3" s="1"/>
  <c r="AA463" i="3"/>
  <c r="AA480" i="3" s="1"/>
  <c r="C467" i="3"/>
  <c r="K467" i="3"/>
  <c r="S467" i="3"/>
  <c r="AA467" i="3"/>
  <c r="D459" i="3"/>
  <c r="L459" i="3"/>
  <c r="T459" i="3"/>
  <c r="D463" i="3"/>
  <c r="D480" i="3" s="1"/>
  <c r="L463" i="3"/>
  <c r="L480" i="3" s="1"/>
  <c r="T463" i="3"/>
  <c r="T480" i="3" s="1"/>
  <c r="AB463" i="3"/>
  <c r="AB480" i="3" s="1"/>
  <c r="D467" i="3"/>
  <c r="T467" i="3"/>
  <c r="AB467" i="3"/>
  <c r="E459" i="3"/>
  <c r="M459" i="3"/>
  <c r="U459" i="3"/>
  <c r="AC459" i="3"/>
  <c r="E463" i="3"/>
  <c r="E480" i="3" s="1"/>
  <c r="M463" i="3"/>
  <c r="M480" i="3" s="1"/>
  <c r="U463" i="3"/>
  <c r="U480" i="3" s="1"/>
  <c r="AC463" i="3"/>
  <c r="AC480" i="3" s="1"/>
  <c r="E467" i="3"/>
  <c r="M467" i="3"/>
  <c r="U467" i="3"/>
  <c r="AC467" i="3"/>
  <c r="F459" i="3"/>
  <c r="N459" i="3"/>
  <c r="V459" i="3"/>
  <c r="F463" i="3"/>
  <c r="F481" i="3" s="1"/>
  <c r="N463" i="3"/>
  <c r="N480" i="3" s="1"/>
  <c r="V463" i="3"/>
  <c r="V480" i="3" s="1"/>
  <c r="F467" i="3"/>
  <c r="N467" i="3"/>
  <c r="V467" i="3"/>
  <c r="G459" i="3"/>
  <c r="O459" i="3"/>
  <c r="W459" i="3"/>
  <c r="G463" i="3"/>
  <c r="G480" i="3" s="1"/>
  <c r="O463" i="3"/>
  <c r="O480" i="3" s="1"/>
  <c r="W463" i="3"/>
  <c r="W480" i="3" s="1"/>
  <c r="G467" i="3"/>
  <c r="O467" i="3"/>
  <c r="W467" i="3"/>
  <c r="H459" i="3"/>
  <c r="P459" i="3"/>
  <c r="X459" i="3"/>
  <c r="H463" i="3"/>
  <c r="H480" i="3" s="1"/>
  <c r="P463" i="3"/>
  <c r="P480" i="3" s="1"/>
  <c r="X463" i="3"/>
  <c r="X480" i="3" s="1"/>
  <c r="H467" i="3"/>
  <c r="P467" i="3"/>
  <c r="X467" i="3"/>
  <c r="B354" i="3"/>
  <c r="K354" i="3"/>
  <c r="T354" i="3"/>
  <c r="AC354" i="3"/>
  <c r="D358" i="3"/>
  <c r="D375" i="3" s="1"/>
  <c r="M358" i="3"/>
  <c r="M376" i="3" s="1"/>
  <c r="V358" i="3"/>
  <c r="V376" i="3" s="1"/>
  <c r="F362" i="3"/>
  <c r="P362" i="3"/>
  <c r="Y362" i="3"/>
  <c r="C354" i="3"/>
  <c r="L354" i="3"/>
  <c r="U354" i="3"/>
  <c r="E358" i="3"/>
  <c r="E375" i="3" s="1"/>
  <c r="N358" i="3"/>
  <c r="N375" i="3" s="1"/>
  <c r="X358" i="3"/>
  <c r="X375" i="3" s="1"/>
  <c r="H362" i="3"/>
  <c r="Q362" i="3"/>
  <c r="Z362" i="3"/>
  <c r="D354" i="3"/>
  <c r="M354" i="3"/>
  <c r="V354" i="3"/>
  <c r="F358" i="3"/>
  <c r="F375" i="3" s="1"/>
  <c r="P358" i="3"/>
  <c r="P375" i="3" s="1"/>
  <c r="Y358" i="3"/>
  <c r="Y375" i="3" s="1"/>
  <c r="I362" i="3"/>
  <c r="R362" i="3"/>
  <c r="AA362" i="3"/>
  <c r="E354" i="3"/>
  <c r="N354" i="3"/>
  <c r="X354" i="3"/>
  <c r="H358" i="3"/>
  <c r="H375" i="3" s="1"/>
  <c r="Q358" i="3"/>
  <c r="Q375" i="3" s="1"/>
  <c r="Z358" i="3"/>
  <c r="Z375" i="3" s="1"/>
  <c r="J362" i="3"/>
  <c r="S362" i="3"/>
  <c r="AB362" i="3"/>
  <c r="G354" i="3"/>
  <c r="O354" i="3"/>
  <c r="G358" i="3"/>
  <c r="G375" i="3" s="1"/>
  <c r="O358" i="3"/>
  <c r="O375" i="3" s="1"/>
  <c r="W358" i="3"/>
  <c r="W375" i="3" s="1"/>
  <c r="G362" i="3"/>
  <c r="O362" i="3"/>
  <c r="W362" i="3"/>
  <c r="F354" i="3"/>
  <c r="P354" i="3"/>
  <c r="Y354" i="3"/>
  <c r="I358" i="3"/>
  <c r="I375" i="3" s="1"/>
  <c r="R358" i="3"/>
  <c r="R375" i="3" s="1"/>
  <c r="AA358" i="3"/>
  <c r="AA375" i="3" s="1"/>
  <c r="B362" i="3"/>
  <c r="K362" i="3"/>
  <c r="T362" i="3"/>
  <c r="AC362" i="3"/>
  <c r="H354" i="3"/>
  <c r="Q354" i="3"/>
  <c r="Z354" i="3"/>
  <c r="J358" i="3"/>
  <c r="S358" i="3"/>
  <c r="S375" i="3" s="1"/>
  <c r="AB358" i="3"/>
  <c r="C362" i="3"/>
  <c r="L362" i="3"/>
  <c r="U362" i="3"/>
  <c r="W354" i="3"/>
  <c r="I354" i="3"/>
  <c r="R354" i="3"/>
  <c r="B358" i="3"/>
  <c r="B375" i="3" s="1"/>
  <c r="K358" i="3"/>
  <c r="K375" i="3" s="1"/>
  <c r="T358" i="3"/>
  <c r="D362" i="3"/>
  <c r="M362" i="3"/>
  <c r="C245" i="3"/>
  <c r="K245" i="3"/>
  <c r="S245" i="3"/>
  <c r="AA245" i="3"/>
  <c r="C249" i="3"/>
  <c r="C266" i="3" s="1"/>
  <c r="K249" i="3"/>
  <c r="K266" i="3" s="1"/>
  <c r="S249" i="3"/>
  <c r="S266" i="3" s="1"/>
  <c r="AA249" i="3"/>
  <c r="AA266" i="3" s="1"/>
  <c r="C253" i="3"/>
  <c r="K253" i="3"/>
  <c r="S253" i="3"/>
  <c r="AA253" i="3"/>
  <c r="D245" i="3"/>
  <c r="L245" i="3"/>
  <c r="T245" i="3"/>
  <c r="AB245" i="3"/>
  <c r="D249" i="3"/>
  <c r="D266" i="3" s="1"/>
  <c r="L249" i="3"/>
  <c r="L266" i="3" s="1"/>
  <c r="T249" i="3"/>
  <c r="T266" i="3" s="1"/>
  <c r="AB249" i="3"/>
  <c r="D253" i="3"/>
  <c r="L253" i="3"/>
  <c r="T253" i="3"/>
  <c r="AB253" i="3"/>
  <c r="E245" i="3"/>
  <c r="M245" i="3"/>
  <c r="U245" i="3"/>
  <c r="AC245" i="3"/>
  <c r="E249" i="3"/>
  <c r="E266" i="3" s="1"/>
  <c r="M249" i="3"/>
  <c r="M267" i="3" s="1"/>
  <c r="U249" i="3"/>
  <c r="U267" i="3" s="1"/>
  <c r="AC249" i="3"/>
  <c r="AC267" i="3" s="1"/>
  <c r="E253" i="3"/>
  <c r="M253" i="3"/>
  <c r="U253" i="3"/>
  <c r="AC253" i="3"/>
  <c r="F245" i="3"/>
  <c r="N245" i="3"/>
  <c r="V245" i="3"/>
  <c r="F249" i="3"/>
  <c r="F266" i="3" s="1"/>
  <c r="N249" i="3"/>
  <c r="N266" i="3" s="1"/>
  <c r="V249" i="3"/>
  <c r="F253" i="3"/>
  <c r="N253" i="3"/>
  <c r="V253" i="3"/>
  <c r="G245" i="3"/>
  <c r="O245" i="3"/>
  <c r="W245" i="3"/>
  <c r="G249" i="3"/>
  <c r="O249" i="3"/>
  <c r="O266" i="3" s="1"/>
  <c r="W249" i="3"/>
  <c r="W266" i="3" s="1"/>
  <c r="G253" i="3"/>
  <c r="O253" i="3"/>
  <c r="W253" i="3"/>
  <c r="H245" i="3"/>
  <c r="P245" i="3"/>
  <c r="X245" i="3"/>
  <c r="H249" i="3"/>
  <c r="H266" i="3" s="1"/>
  <c r="P249" i="3"/>
  <c r="P266" i="3" s="1"/>
  <c r="X249" i="3"/>
  <c r="X266" i="3" s="1"/>
  <c r="H253" i="3"/>
  <c r="P253" i="3"/>
  <c r="X253" i="3"/>
  <c r="I245" i="3"/>
  <c r="Q245" i="3"/>
  <c r="Y245" i="3"/>
  <c r="I249" i="3"/>
  <c r="I266" i="3" s="1"/>
  <c r="Q249" i="3"/>
  <c r="Y249" i="3"/>
  <c r="I253" i="3"/>
  <c r="Q253" i="3"/>
  <c r="Y253" i="3"/>
  <c r="H137" i="3"/>
  <c r="H141" i="3"/>
  <c r="I137" i="3"/>
  <c r="Q137" i="3"/>
  <c r="Y137" i="3"/>
  <c r="I141" i="3"/>
  <c r="Q141" i="3"/>
  <c r="Y141" i="3"/>
  <c r="I145" i="3"/>
  <c r="Q145" i="3"/>
  <c r="Y145" i="3"/>
  <c r="P137" i="3"/>
  <c r="B137" i="3"/>
  <c r="J137" i="3"/>
  <c r="R137" i="3"/>
  <c r="Z137" i="3"/>
  <c r="B141" i="3"/>
  <c r="J141" i="3"/>
  <c r="R141" i="3"/>
  <c r="Z141" i="3"/>
  <c r="B145" i="3"/>
  <c r="J145" i="3"/>
  <c r="J163" i="3" s="1"/>
  <c r="R145" i="3"/>
  <c r="Z145" i="3"/>
  <c r="X141" i="3"/>
  <c r="P145" i="3"/>
  <c r="C137" i="3"/>
  <c r="K137" i="3"/>
  <c r="S137" i="3"/>
  <c r="AA137" i="3"/>
  <c r="C141" i="3"/>
  <c r="K141" i="3"/>
  <c r="S141" i="3"/>
  <c r="AA141" i="3"/>
  <c r="C145" i="3"/>
  <c r="K145" i="3"/>
  <c r="S145" i="3"/>
  <c r="AA145" i="3"/>
  <c r="X137" i="3"/>
  <c r="D137" i="3"/>
  <c r="L137" i="3"/>
  <c r="T137" i="3"/>
  <c r="AB137" i="3"/>
  <c r="D141" i="3"/>
  <c r="L141" i="3"/>
  <c r="T141" i="3"/>
  <c r="AB141" i="3"/>
  <c r="D145" i="3"/>
  <c r="L145" i="3"/>
  <c r="T145" i="3"/>
  <c r="AB145" i="3"/>
  <c r="P141" i="3"/>
  <c r="H145" i="3"/>
  <c r="X145" i="3"/>
  <c r="E137" i="3"/>
  <c r="M137" i="3"/>
  <c r="U137" i="3"/>
  <c r="AC137" i="3"/>
  <c r="E141" i="3"/>
  <c r="M141" i="3"/>
  <c r="M157" i="3" s="1"/>
  <c r="U141" i="3"/>
  <c r="U157" i="3" s="1"/>
  <c r="AC141" i="3"/>
  <c r="AC157" i="3" s="1"/>
  <c r="E145" i="3"/>
  <c r="M145" i="3"/>
  <c r="U145" i="3"/>
  <c r="AC145" i="3"/>
  <c r="AB144" i="3"/>
  <c r="AB149" i="3"/>
  <c r="E140" i="3"/>
  <c r="M140" i="3"/>
  <c r="U140" i="3"/>
  <c r="AC140" i="3"/>
  <c r="E144" i="3"/>
  <c r="M144" i="3"/>
  <c r="U144" i="3"/>
  <c r="AC144" i="3"/>
  <c r="E149" i="3"/>
  <c r="M149" i="3"/>
  <c r="U149" i="3"/>
  <c r="AC149" i="3"/>
  <c r="T140" i="3"/>
  <c r="L144" i="3"/>
  <c r="F140" i="3"/>
  <c r="N140" i="3"/>
  <c r="V140" i="3"/>
  <c r="F144" i="3"/>
  <c r="N144" i="3"/>
  <c r="V144" i="3"/>
  <c r="F149" i="3"/>
  <c r="N149" i="3"/>
  <c r="V149" i="3"/>
  <c r="L140" i="3"/>
  <c r="O140" i="3"/>
  <c r="W140" i="3"/>
  <c r="G144" i="3"/>
  <c r="O144" i="3"/>
  <c r="W144" i="3"/>
  <c r="O149" i="3"/>
  <c r="W149" i="3"/>
  <c r="D140" i="3"/>
  <c r="L149" i="3"/>
  <c r="H140" i="3"/>
  <c r="P140" i="3"/>
  <c r="X140" i="3"/>
  <c r="H144" i="3"/>
  <c r="P144" i="3"/>
  <c r="X144" i="3"/>
  <c r="H149" i="3"/>
  <c r="P149" i="3"/>
  <c r="X149" i="3"/>
  <c r="AB140" i="3"/>
  <c r="D144" i="3"/>
  <c r="T149" i="3"/>
  <c r="I140" i="3"/>
  <c r="Q140" i="3"/>
  <c r="Y140" i="3"/>
  <c r="I144" i="3"/>
  <c r="Q144" i="3"/>
  <c r="Y144" i="3"/>
  <c r="I149" i="3"/>
  <c r="Q149" i="3"/>
  <c r="Y149" i="3"/>
  <c r="T144" i="3"/>
  <c r="D149" i="3"/>
  <c r="B140" i="3"/>
  <c r="J140" i="3"/>
  <c r="R140" i="3"/>
  <c r="Z140" i="3"/>
  <c r="B144" i="3"/>
  <c r="J144" i="3"/>
  <c r="J174" i="3" s="1"/>
  <c r="R144" i="3"/>
  <c r="Z144" i="3"/>
  <c r="B149" i="3"/>
  <c r="J149" i="3"/>
  <c r="R149" i="3"/>
  <c r="Z149" i="3"/>
  <c r="L475" i="3"/>
  <c r="Z150" i="3"/>
  <c r="T370" i="3"/>
  <c r="T153" i="3"/>
  <c r="Y367" i="3"/>
  <c r="AC370" i="3"/>
  <c r="D150" i="3"/>
  <c r="L150" i="3"/>
  <c r="T150" i="3"/>
  <c r="AB150" i="3"/>
  <c r="R150" i="3"/>
  <c r="AB370" i="3"/>
  <c r="Z367" i="3"/>
  <c r="F258" i="3"/>
  <c r="N258" i="3"/>
  <c r="N294" i="3" s="1"/>
  <c r="V258" i="3"/>
  <c r="L367" i="3"/>
  <c r="AA367" i="3"/>
  <c r="Z472" i="3"/>
  <c r="AB367" i="3"/>
  <c r="D47" i="3"/>
  <c r="L47" i="3"/>
  <c r="T47" i="3"/>
  <c r="AB47" i="3"/>
  <c r="Q367" i="3"/>
  <c r="R258" i="3"/>
  <c r="J475" i="3"/>
  <c r="E150" i="3"/>
  <c r="M150" i="3"/>
  <c r="U150" i="3"/>
  <c r="AC150" i="3"/>
  <c r="B370" i="3"/>
  <c r="L370" i="3"/>
  <c r="U370" i="3"/>
  <c r="F150" i="3"/>
  <c r="N150" i="3"/>
  <c r="V150" i="3"/>
  <c r="C370" i="3"/>
  <c r="K370" i="3"/>
  <c r="S370" i="3"/>
  <c r="AA370" i="3"/>
  <c r="D370" i="3"/>
  <c r="M370" i="3"/>
  <c r="V370" i="3"/>
  <c r="G150" i="3"/>
  <c r="O150" i="3"/>
  <c r="W150" i="3"/>
  <c r="E370" i="3"/>
  <c r="N370" i="3"/>
  <c r="W370" i="3"/>
  <c r="H150" i="3"/>
  <c r="P150" i="3"/>
  <c r="X150" i="3"/>
  <c r="F370" i="3"/>
  <c r="O370" i="3"/>
  <c r="X370" i="3"/>
  <c r="I150" i="3"/>
  <c r="Q150" i="3"/>
  <c r="Y150" i="3"/>
  <c r="B150" i="3"/>
  <c r="G370" i="3"/>
  <c r="P370" i="3"/>
  <c r="Y370" i="3"/>
  <c r="J150" i="3"/>
  <c r="H370" i="3"/>
  <c r="Q370" i="3"/>
  <c r="Z370" i="3"/>
  <c r="C150" i="3"/>
  <c r="K150" i="3"/>
  <c r="S150" i="3"/>
  <c r="AA150" i="3"/>
  <c r="I370" i="3"/>
  <c r="R370" i="3"/>
  <c r="E47" i="3"/>
  <c r="M47" i="3"/>
  <c r="U47" i="3"/>
  <c r="AC47" i="3"/>
  <c r="C475" i="3"/>
  <c r="K475" i="3"/>
  <c r="S475" i="3"/>
  <c r="AA475" i="3"/>
  <c r="X472" i="3"/>
  <c r="R475" i="3"/>
  <c r="F47" i="3"/>
  <c r="N47" i="3"/>
  <c r="V47" i="3"/>
  <c r="F151" i="3"/>
  <c r="J152" i="3"/>
  <c r="T475" i="3"/>
  <c r="G47" i="3"/>
  <c r="O47" i="3"/>
  <c r="W47" i="3"/>
  <c r="E475" i="3"/>
  <c r="M475" i="3"/>
  <c r="U475" i="3"/>
  <c r="AC475" i="3"/>
  <c r="Z475" i="3"/>
  <c r="H47" i="3"/>
  <c r="P47" i="3"/>
  <c r="X47" i="3"/>
  <c r="F475" i="3"/>
  <c r="N475" i="3"/>
  <c r="V475" i="3"/>
  <c r="AB475" i="3"/>
  <c r="I47" i="3"/>
  <c r="Q47" i="3"/>
  <c r="Y47" i="3"/>
  <c r="C258" i="3"/>
  <c r="K258" i="3"/>
  <c r="S258" i="3"/>
  <c r="AA258" i="3"/>
  <c r="C472" i="3"/>
  <c r="K472" i="3"/>
  <c r="S472" i="3"/>
  <c r="AA472" i="3"/>
  <c r="G475" i="3"/>
  <c r="O475" i="3"/>
  <c r="W475" i="3"/>
  <c r="B475" i="3"/>
  <c r="B47" i="3"/>
  <c r="J47" i="3"/>
  <c r="R47" i="3"/>
  <c r="Z47" i="3"/>
  <c r="J258" i="3"/>
  <c r="D472" i="3"/>
  <c r="L472" i="3"/>
  <c r="T472" i="3"/>
  <c r="AB472" i="3"/>
  <c r="H475" i="3"/>
  <c r="P475" i="3"/>
  <c r="X475" i="3"/>
  <c r="D475" i="3"/>
  <c r="C47" i="3"/>
  <c r="K47" i="3"/>
  <c r="S47" i="3"/>
  <c r="AA47" i="3"/>
  <c r="E258" i="3"/>
  <c r="M258" i="3"/>
  <c r="U258" i="3"/>
  <c r="AC258" i="3"/>
  <c r="I475" i="3"/>
  <c r="Q475" i="3"/>
  <c r="Y475" i="3"/>
  <c r="R472" i="3"/>
  <c r="G472" i="3"/>
  <c r="O472" i="3"/>
  <c r="W472" i="3"/>
  <c r="J472" i="3"/>
  <c r="P472" i="3"/>
  <c r="I472" i="3"/>
  <c r="Q472" i="3"/>
  <c r="Y472" i="3"/>
  <c r="B367" i="3"/>
  <c r="K367" i="3"/>
  <c r="T367" i="3"/>
  <c r="AC367" i="3"/>
  <c r="G367" i="3"/>
  <c r="O367" i="3"/>
  <c r="W367" i="3"/>
  <c r="D367" i="3"/>
  <c r="M367" i="3"/>
  <c r="V367" i="3"/>
  <c r="F367" i="3"/>
  <c r="P367" i="3"/>
  <c r="B258" i="3"/>
  <c r="G258" i="3"/>
  <c r="O258" i="3"/>
  <c r="W258" i="3"/>
  <c r="Z258" i="3"/>
  <c r="H258" i="3"/>
  <c r="P258" i="3"/>
  <c r="X258" i="3"/>
  <c r="I258" i="3"/>
  <c r="Q258" i="3"/>
  <c r="Y258" i="3"/>
  <c r="D258" i="3"/>
  <c r="L258" i="3"/>
  <c r="T258" i="3"/>
  <c r="AB258" i="3"/>
  <c r="E153" i="3"/>
  <c r="M153" i="3"/>
  <c r="U153" i="3"/>
  <c r="AC153" i="3"/>
  <c r="G153" i="3"/>
  <c r="O153" i="3"/>
  <c r="W153" i="3"/>
  <c r="H151" i="3"/>
  <c r="L259" i="3"/>
  <c r="I152" i="3"/>
  <c r="L152" i="3"/>
  <c r="J260" i="3"/>
  <c r="L368" i="3"/>
  <c r="L369" i="3"/>
  <c r="I151" i="3"/>
  <c r="AA260" i="3"/>
  <c r="F369" i="3"/>
  <c r="F368" i="3"/>
  <c r="J369" i="3"/>
  <c r="J368" i="3"/>
  <c r="J151" i="3"/>
  <c r="L260" i="3"/>
  <c r="I259" i="3"/>
  <c r="I260" i="3"/>
  <c r="L45" i="3"/>
  <c r="L151" i="3"/>
  <c r="J259" i="3"/>
  <c r="I369" i="3"/>
  <c r="I368" i="3"/>
  <c r="I474" i="3"/>
  <c r="J473" i="3"/>
  <c r="F474" i="3"/>
  <c r="L473" i="3"/>
  <c r="F473" i="3"/>
  <c r="J474" i="3"/>
  <c r="L474" i="3"/>
  <c r="I473" i="3"/>
  <c r="A75" i="3"/>
  <c r="A63" i="3"/>
  <c r="I46" i="3"/>
  <c r="A65" i="3"/>
  <c r="A77" i="3"/>
  <c r="J46" i="3"/>
  <c r="A62" i="3"/>
  <c r="A74" i="3"/>
  <c r="A79" i="3"/>
  <c r="A67" i="3"/>
  <c r="A78" i="3"/>
  <c r="A66" i="3"/>
  <c r="L46" i="3"/>
  <c r="A76" i="3"/>
  <c r="A64" i="3"/>
  <c r="I45" i="3"/>
  <c r="A68" i="3"/>
  <c r="A80" i="3"/>
  <c r="A81" i="3"/>
  <c r="A69" i="3"/>
  <c r="J45" i="3"/>
  <c r="A79" i="1"/>
  <c r="A43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F259" i="3" l="1"/>
  <c r="F260" i="3"/>
  <c r="I474" i="9"/>
  <c r="F45" i="3"/>
  <c r="F46" i="3"/>
  <c r="E473" i="9"/>
  <c r="E260" i="9"/>
  <c r="R473" i="3"/>
  <c r="R151" i="3"/>
  <c r="B59" i="13"/>
  <c r="Z59" i="13"/>
  <c r="C376" i="3"/>
  <c r="H174" i="3"/>
  <c r="P473" i="3"/>
  <c r="G152" i="3"/>
  <c r="AB273" i="13"/>
  <c r="Z382" i="13"/>
  <c r="C59" i="13"/>
  <c r="AA382" i="13"/>
  <c r="I382" i="13"/>
  <c r="P273" i="13"/>
  <c r="W273" i="13"/>
  <c r="D59" i="13"/>
  <c r="K59" i="13"/>
  <c r="O407" i="13"/>
  <c r="AC382" i="13"/>
  <c r="X165" i="13"/>
  <c r="M273" i="13"/>
  <c r="I273" i="13"/>
  <c r="R273" i="13"/>
  <c r="P382" i="13"/>
  <c r="L382" i="13"/>
  <c r="U273" i="13"/>
  <c r="R382" i="13"/>
  <c r="F382" i="13"/>
  <c r="M59" i="13"/>
  <c r="X273" i="13"/>
  <c r="V382" i="13"/>
  <c r="X382" i="13"/>
  <c r="S273" i="13"/>
  <c r="Q273" i="13"/>
  <c r="J382" i="13"/>
  <c r="K382" i="13"/>
  <c r="G382" i="13"/>
  <c r="J59" i="13"/>
  <c r="H382" i="13"/>
  <c r="AB382" i="13"/>
  <c r="O273" i="13"/>
  <c r="L59" i="13"/>
  <c r="T273" i="13"/>
  <c r="Q382" i="13"/>
  <c r="F273" i="13"/>
  <c r="E273" i="13"/>
  <c r="M382" i="13"/>
  <c r="K273" i="13"/>
  <c r="Y273" i="13"/>
  <c r="AC273" i="13"/>
  <c r="C382" i="13"/>
  <c r="Y382" i="13"/>
  <c r="F59" i="13"/>
  <c r="S59" i="13"/>
  <c r="U382" i="13"/>
  <c r="G273" i="13"/>
  <c r="D382" i="13"/>
  <c r="D273" i="13"/>
  <c r="B382" i="13"/>
  <c r="V273" i="13"/>
  <c r="N382" i="13"/>
  <c r="W382" i="13"/>
  <c r="AA273" i="13"/>
  <c r="N273" i="13"/>
  <c r="J273" i="13"/>
  <c r="L273" i="13"/>
  <c r="E382" i="13"/>
  <c r="T59" i="13"/>
  <c r="S382" i="13"/>
  <c r="H273" i="13"/>
  <c r="V59" i="13"/>
  <c r="T382" i="13"/>
  <c r="Z273" i="13"/>
  <c r="C273" i="13"/>
  <c r="B273" i="13"/>
  <c r="I59" i="13"/>
  <c r="B58" i="3"/>
  <c r="B84" i="3"/>
  <c r="Z407" i="13"/>
  <c r="I407" i="13"/>
  <c r="P407" i="13"/>
  <c r="R407" i="13"/>
  <c r="U407" i="13"/>
  <c r="E407" i="13"/>
  <c r="N407" i="13"/>
  <c r="D407" i="13"/>
  <c r="G407" i="13"/>
  <c r="K407" i="13"/>
  <c r="Y407" i="13"/>
  <c r="Q407" i="13"/>
  <c r="AB407" i="13"/>
  <c r="L407" i="13"/>
  <c r="H407" i="13"/>
  <c r="F407" i="13"/>
  <c r="X407" i="13"/>
  <c r="AA407" i="13"/>
  <c r="B407" i="13"/>
  <c r="C407" i="13"/>
  <c r="M407" i="13"/>
  <c r="W407" i="13"/>
  <c r="S407" i="13"/>
  <c r="AC407" i="13"/>
  <c r="T407" i="13"/>
  <c r="J407" i="13"/>
  <c r="O298" i="13"/>
  <c r="AC298" i="13"/>
  <c r="C298" i="13"/>
  <c r="P298" i="13"/>
  <c r="Y298" i="13"/>
  <c r="E298" i="13"/>
  <c r="B298" i="13"/>
  <c r="F298" i="13"/>
  <c r="Z298" i="13"/>
  <c r="M298" i="13"/>
  <c r="I298" i="13"/>
  <c r="Q298" i="13"/>
  <c r="G298" i="13"/>
  <c r="T298" i="13"/>
  <c r="W298" i="13"/>
  <c r="AB298" i="13"/>
  <c r="L298" i="13"/>
  <c r="R298" i="13"/>
  <c r="J298" i="13"/>
  <c r="D298" i="13"/>
  <c r="X298" i="13"/>
  <c r="H298" i="13"/>
  <c r="V298" i="13"/>
  <c r="S298" i="13"/>
  <c r="K298" i="13"/>
  <c r="N298" i="13"/>
  <c r="B186" i="13"/>
  <c r="B190" i="13"/>
  <c r="R59" i="13"/>
  <c r="Y59" i="13"/>
  <c r="O59" i="13"/>
  <c r="X59" i="13"/>
  <c r="Q59" i="13"/>
  <c r="H59" i="13"/>
  <c r="W59" i="13"/>
  <c r="P59" i="13"/>
  <c r="AA59" i="13"/>
  <c r="E59" i="13"/>
  <c r="N59" i="13"/>
  <c r="AC59" i="13"/>
  <c r="AB59" i="13"/>
  <c r="G59" i="13"/>
  <c r="E259" i="9"/>
  <c r="C64" i="9"/>
  <c r="E368" i="9"/>
  <c r="E474" i="9"/>
  <c r="C57" i="9"/>
  <c r="E369" i="9"/>
  <c r="F63" i="9"/>
  <c r="E45" i="9"/>
  <c r="E46" i="9"/>
  <c r="B190" i="3"/>
  <c r="T397" i="13"/>
  <c r="H397" i="13"/>
  <c r="AA397" i="13"/>
  <c r="D78" i="9"/>
  <c r="D77" i="9"/>
  <c r="D57" i="9"/>
  <c r="AB151" i="9"/>
  <c r="E260" i="3"/>
  <c r="E474" i="3"/>
  <c r="E152" i="3"/>
  <c r="Y265" i="3"/>
  <c r="X162" i="3"/>
  <c r="M260" i="3"/>
  <c r="R474" i="3"/>
  <c r="R46" i="3"/>
  <c r="M474" i="3"/>
  <c r="M369" i="3"/>
  <c r="G158" i="3"/>
  <c r="M398" i="13"/>
  <c r="G260" i="3"/>
  <c r="G259" i="3"/>
  <c r="AB46" i="9"/>
  <c r="AA64" i="9"/>
  <c r="K394" i="13"/>
  <c r="K406" i="13" s="1"/>
  <c r="G394" i="13"/>
  <c r="G406" i="13" s="1"/>
  <c r="H163" i="3"/>
  <c r="AB152" i="9"/>
  <c r="G46" i="3"/>
  <c r="G289" i="13"/>
  <c r="G151" i="3"/>
  <c r="AB174" i="3"/>
  <c r="Q481" i="3"/>
  <c r="B394" i="13"/>
  <c r="B406" i="13" s="1"/>
  <c r="K285" i="13"/>
  <c r="K297" i="13" s="1"/>
  <c r="Q394" i="13"/>
  <c r="Q406" i="13" s="1"/>
  <c r="M402" i="13"/>
  <c r="G473" i="3"/>
  <c r="G45" i="3"/>
  <c r="G369" i="3"/>
  <c r="G474" i="3"/>
  <c r="L174" i="3"/>
  <c r="E399" i="13"/>
  <c r="T394" i="13"/>
  <c r="T406" i="13" s="1"/>
  <c r="H394" i="13"/>
  <c r="H406" i="13" s="1"/>
  <c r="J285" i="13"/>
  <c r="J297" i="13" s="1"/>
  <c r="L71" i="13"/>
  <c r="L83" i="13" s="1"/>
  <c r="Z285" i="13"/>
  <c r="Z297" i="13" s="1"/>
  <c r="U285" i="13"/>
  <c r="U297" i="13" s="1"/>
  <c r="T285" i="13"/>
  <c r="T297" i="13" s="1"/>
  <c r="I71" i="13"/>
  <c r="F285" i="13"/>
  <c r="F297" i="13" s="1"/>
  <c r="G285" i="13"/>
  <c r="G297" i="13" s="1"/>
  <c r="D285" i="13"/>
  <c r="AC401" i="13"/>
  <c r="V394" i="13"/>
  <c r="V406" i="13" s="1"/>
  <c r="AA285" i="13"/>
  <c r="AA297" i="13" s="1"/>
  <c r="AA394" i="13"/>
  <c r="AA406" i="13" s="1"/>
  <c r="L285" i="13"/>
  <c r="J394" i="13"/>
  <c r="O71" i="13"/>
  <c r="H285" i="13"/>
  <c r="H297" i="13" s="1"/>
  <c r="Z394" i="13"/>
  <c r="Z406" i="13" s="1"/>
  <c r="B285" i="13"/>
  <c r="B297" i="13" s="1"/>
  <c r="M486" i="3"/>
  <c r="M512" i="3"/>
  <c r="F381" i="3"/>
  <c r="F407" i="3"/>
  <c r="AC407" i="3"/>
  <c r="AC381" i="3"/>
  <c r="AA58" i="3"/>
  <c r="AA84" i="3"/>
  <c r="B80" i="3"/>
  <c r="AB512" i="3"/>
  <c r="AB486" i="3"/>
  <c r="I407" i="3"/>
  <c r="I381" i="3"/>
  <c r="X381" i="3"/>
  <c r="X407" i="3"/>
  <c r="S407" i="3"/>
  <c r="S381" i="3"/>
  <c r="AB58" i="3"/>
  <c r="AB84" i="3"/>
  <c r="AC190" i="3"/>
  <c r="AC164" i="3"/>
  <c r="Y486" i="3"/>
  <c r="Y512" i="3"/>
  <c r="S58" i="3"/>
  <c r="S84" i="3"/>
  <c r="B512" i="3"/>
  <c r="B486" i="3"/>
  <c r="B508" i="3"/>
  <c r="V486" i="3"/>
  <c r="V512" i="3"/>
  <c r="U512" i="3"/>
  <c r="U486" i="3"/>
  <c r="K512" i="3"/>
  <c r="K486" i="3"/>
  <c r="Y381" i="3"/>
  <c r="Y407" i="3"/>
  <c r="O407" i="3"/>
  <c r="O381" i="3"/>
  <c r="K407" i="3"/>
  <c r="K381" i="3"/>
  <c r="T58" i="3"/>
  <c r="T84" i="3"/>
  <c r="O162" i="13"/>
  <c r="O164" i="13"/>
  <c r="AB174" i="13"/>
  <c r="AB164" i="13"/>
  <c r="T173" i="13"/>
  <c r="T164" i="13"/>
  <c r="P381" i="3"/>
  <c r="P407" i="3"/>
  <c r="H186" i="13"/>
  <c r="H164" i="13"/>
  <c r="L171" i="13"/>
  <c r="L164" i="13"/>
  <c r="N512" i="3"/>
  <c r="N486" i="3"/>
  <c r="J172" i="13"/>
  <c r="J164" i="13"/>
  <c r="O486" i="3"/>
  <c r="O512" i="3"/>
  <c r="Z174" i="13"/>
  <c r="Z164" i="13"/>
  <c r="I162" i="13"/>
  <c r="I164" i="13"/>
  <c r="D187" i="13"/>
  <c r="D164" i="13"/>
  <c r="S186" i="13"/>
  <c r="S164" i="13"/>
  <c r="F486" i="3"/>
  <c r="F512" i="3"/>
  <c r="G407" i="3"/>
  <c r="G381" i="3"/>
  <c r="D58" i="3"/>
  <c r="D84" i="3"/>
  <c r="M173" i="13"/>
  <c r="M164" i="13"/>
  <c r="E190" i="3"/>
  <c r="E164" i="3"/>
  <c r="D512" i="3"/>
  <c r="D486" i="3"/>
  <c r="G486" i="3"/>
  <c r="G512" i="3"/>
  <c r="X58" i="3"/>
  <c r="X84" i="3"/>
  <c r="W58" i="3"/>
  <c r="W84" i="3"/>
  <c r="F58" i="3"/>
  <c r="F84" i="3"/>
  <c r="U58" i="3"/>
  <c r="U84" i="3"/>
  <c r="V407" i="3"/>
  <c r="V381" i="3"/>
  <c r="AB381" i="3"/>
  <c r="AB407" i="3"/>
  <c r="T190" i="3"/>
  <c r="T164" i="3"/>
  <c r="C183" i="13"/>
  <c r="C164" i="13"/>
  <c r="P174" i="13"/>
  <c r="P164" i="13"/>
  <c r="AC187" i="13"/>
  <c r="AC164" i="13"/>
  <c r="U190" i="3"/>
  <c r="U164" i="3"/>
  <c r="K58" i="3"/>
  <c r="K84" i="3"/>
  <c r="V58" i="3"/>
  <c r="V84" i="3"/>
  <c r="I512" i="3"/>
  <c r="I486" i="3"/>
  <c r="AC58" i="3"/>
  <c r="AC84" i="3"/>
  <c r="G163" i="13"/>
  <c r="G164" i="13"/>
  <c r="X486" i="3"/>
  <c r="X512" i="3"/>
  <c r="Z58" i="3"/>
  <c r="Z84" i="3"/>
  <c r="Y58" i="3"/>
  <c r="Y84" i="3"/>
  <c r="P58" i="3"/>
  <c r="P84" i="3"/>
  <c r="O58" i="3"/>
  <c r="O84" i="3"/>
  <c r="R486" i="3"/>
  <c r="R512" i="3"/>
  <c r="M58" i="3"/>
  <c r="M84" i="3"/>
  <c r="Z407" i="3"/>
  <c r="Z381" i="3"/>
  <c r="M407" i="3"/>
  <c r="M381" i="3"/>
  <c r="J486" i="3"/>
  <c r="J512" i="3"/>
  <c r="T407" i="3"/>
  <c r="T381" i="3"/>
  <c r="V185" i="13"/>
  <c r="V164" i="13"/>
  <c r="E186" i="13"/>
  <c r="E164" i="13"/>
  <c r="B185" i="3"/>
  <c r="C407" i="3"/>
  <c r="C381" i="3"/>
  <c r="M164" i="3"/>
  <c r="M190" i="3"/>
  <c r="C58" i="3"/>
  <c r="C84" i="3"/>
  <c r="E486" i="3"/>
  <c r="E512" i="3"/>
  <c r="W190" i="3"/>
  <c r="W164" i="3"/>
  <c r="P512" i="3"/>
  <c r="P486" i="3"/>
  <c r="R58" i="3"/>
  <c r="R84" i="3"/>
  <c r="Q58" i="3"/>
  <c r="Q84" i="3"/>
  <c r="H58" i="3"/>
  <c r="H84" i="3"/>
  <c r="G58" i="3"/>
  <c r="G84" i="3"/>
  <c r="E58" i="3"/>
  <c r="E84" i="3"/>
  <c r="Q407" i="3"/>
  <c r="Q381" i="3"/>
  <c r="W407" i="3"/>
  <c r="W381" i="3"/>
  <c r="D407" i="3"/>
  <c r="D381" i="3"/>
  <c r="U407" i="3"/>
  <c r="U381" i="3"/>
  <c r="R163" i="13"/>
  <c r="R164" i="13"/>
  <c r="W486" i="3"/>
  <c r="W512" i="3"/>
  <c r="N58" i="3"/>
  <c r="N84" i="3"/>
  <c r="O190" i="3"/>
  <c r="O164" i="3"/>
  <c r="H512" i="3"/>
  <c r="H486" i="3"/>
  <c r="J58" i="3"/>
  <c r="J84" i="3"/>
  <c r="I58" i="3"/>
  <c r="I84" i="3"/>
  <c r="Z486" i="3"/>
  <c r="Z512" i="3"/>
  <c r="T486" i="3"/>
  <c r="T512" i="3"/>
  <c r="AA486" i="3"/>
  <c r="AA512" i="3"/>
  <c r="R407" i="3"/>
  <c r="R381" i="3"/>
  <c r="H381" i="3"/>
  <c r="H407" i="3"/>
  <c r="N407" i="3"/>
  <c r="N381" i="3"/>
  <c r="AA407" i="3"/>
  <c r="AA381" i="3"/>
  <c r="L381" i="3"/>
  <c r="L407" i="3"/>
  <c r="L512" i="3"/>
  <c r="L486" i="3"/>
  <c r="B186" i="3"/>
  <c r="W172" i="13"/>
  <c r="W164" i="13"/>
  <c r="Q486" i="3"/>
  <c r="Q512" i="3"/>
  <c r="C512" i="3"/>
  <c r="C486" i="3"/>
  <c r="L58" i="3"/>
  <c r="L84" i="3"/>
  <c r="G190" i="3"/>
  <c r="G164" i="3"/>
  <c r="AC512" i="3"/>
  <c r="AC486" i="3"/>
  <c r="S486" i="3"/>
  <c r="S512" i="3"/>
  <c r="E407" i="3"/>
  <c r="E381" i="3"/>
  <c r="B407" i="3"/>
  <c r="B381" i="3"/>
  <c r="B403" i="3"/>
  <c r="J407" i="3"/>
  <c r="J381" i="3"/>
  <c r="N185" i="13"/>
  <c r="N164" i="13"/>
  <c r="AA71" i="13"/>
  <c r="U294" i="13"/>
  <c r="I272" i="3"/>
  <c r="I298" i="3"/>
  <c r="G282" i="3"/>
  <c r="G298" i="3"/>
  <c r="G272" i="3"/>
  <c r="M272" i="3"/>
  <c r="M298" i="3"/>
  <c r="B281" i="3"/>
  <c r="B298" i="3"/>
  <c r="B272" i="3"/>
  <c r="M66" i="9"/>
  <c r="M84" i="9"/>
  <c r="M58" i="9"/>
  <c r="U56" i="9"/>
  <c r="U84" i="9"/>
  <c r="U58" i="9"/>
  <c r="T69" i="9"/>
  <c r="T84" i="9"/>
  <c r="T58" i="9"/>
  <c r="G65" i="9"/>
  <c r="G84" i="9"/>
  <c r="G58" i="9"/>
  <c r="D190" i="3"/>
  <c r="D164" i="3"/>
  <c r="C162" i="3"/>
  <c r="C190" i="3"/>
  <c r="C164" i="3"/>
  <c r="Z190" i="3"/>
  <c r="Z164" i="3"/>
  <c r="F172" i="3"/>
  <c r="F190" i="3"/>
  <c r="F164" i="3"/>
  <c r="C71" i="13"/>
  <c r="W285" i="13"/>
  <c r="W297" i="13" s="1"/>
  <c r="U394" i="13"/>
  <c r="U406" i="13" s="1"/>
  <c r="I394" i="13"/>
  <c r="P394" i="13"/>
  <c r="P406" i="13" s="1"/>
  <c r="S285" i="13"/>
  <c r="M71" i="13"/>
  <c r="M83" i="13" s="1"/>
  <c r="Y185" i="13"/>
  <c r="Y164" i="13"/>
  <c r="F186" i="13"/>
  <c r="F164" i="13"/>
  <c r="V270" i="3"/>
  <c r="V298" i="3"/>
  <c r="V272" i="3"/>
  <c r="E282" i="3"/>
  <c r="E298" i="3"/>
  <c r="E272" i="3"/>
  <c r="E84" i="9"/>
  <c r="E58" i="9"/>
  <c r="AB84" i="9"/>
  <c r="AB58" i="9"/>
  <c r="X63" i="9"/>
  <c r="X58" i="9"/>
  <c r="X84" i="9"/>
  <c r="Q173" i="3"/>
  <c r="Q190" i="3"/>
  <c r="Q164" i="3"/>
  <c r="R172" i="3"/>
  <c r="R190" i="3"/>
  <c r="R164" i="3"/>
  <c r="Z71" i="13"/>
  <c r="B294" i="3"/>
  <c r="C285" i="13"/>
  <c r="I285" i="13"/>
  <c r="C394" i="13"/>
  <c r="Y394" i="13"/>
  <c r="Y406" i="13" s="1"/>
  <c r="F71" i="13"/>
  <c r="F83" i="13" s="1"/>
  <c r="R71" i="13"/>
  <c r="R83" i="13" s="1"/>
  <c r="P71" i="13"/>
  <c r="O381" i="13"/>
  <c r="N282" i="3"/>
  <c r="N298" i="3"/>
  <c r="N272" i="3"/>
  <c r="AB282" i="3"/>
  <c r="AB298" i="3"/>
  <c r="AB272" i="3"/>
  <c r="C84" i="9"/>
  <c r="C58" i="9"/>
  <c r="F65" i="9"/>
  <c r="F84" i="9"/>
  <c r="F58" i="9"/>
  <c r="J172" i="3"/>
  <c r="J164" i="3"/>
  <c r="J190" i="3"/>
  <c r="B403" i="13"/>
  <c r="N394" i="13"/>
  <c r="N406" i="13" s="1"/>
  <c r="R285" i="13"/>
  <c r="R297" i="13" s="1"/>
  <c r="P285" i="13"/>
  <c r="P297" i="13" s="1"/>
  <c r="AB285" i="13"/>
  <c r="AB297" i="13" s="1"/>
  <c r="L394" i="13"/>
  <c r="W71" i="13"/>
  <c r="S71" i="13"/>
  <c r="S83" i="13" s="1"/>
  <c r="D71" i="13"/>
  <c r="D83" i="13" s="1"/>
  <c r="Q174" i="13"/>
  <c r="Q164" i="13"/>
  <c r="U185" i="13"/>
  <c r="U164" i="13"/>
  <c r="X298" i="3"/>
  <c r="X272" i="3"/>
  <c r="F282" i="3"/>
  <c r="F298" i="3"/>
  <c r="F272" i="3"/>
  <c r="T281" i="3"/>
  <c r="T272" i="3"/>
  <c r="T298" i="3"/>
  <c r="D84" i="9"/>
  <c r="D58" i="9"/>
  <c r="V57" i="9"/>
  <c r="V84" i="9"/>
  <c r="V58" i="9"/>
  <c r="AA298" i="3"/>
  <c r="AA272" i="3"/>
  <c r="B173" i="3"/>
  <c r="B164" i="3"/>
  <c r="I164" i="3"/>
  <c r="I190" i="3"/>
  <c r="S394" i="13"/>
  <c r="AB394" i="13"/>
  <c r="AB406" i="13" s="1"/>
  <c r="Y285" i="13"/>
  <c r="Y297" i="13" s="1"/>
  <c r="O285" i="13"/>
  <c r="AC285" i="13"/>
  <c r="M394" i="13"/>
  <c r="T71" i="13"/>
  <c r="G71" i="13"/>
  <c r="G83" i="13" s="1"/>
  <c r="K181" i="13"/>
  <c r="K164" i="13"/>
  <c r="P84" i="9"/>
  <c r="P58" i="9"/>
  <c r="P298" i="3"/>
  <c r="P272" i="3"/>
  <c r="L270" i="3"/>
  <c r="L298" i="3"/>
  <c r="L272" i="3"/>
  <c r="B69" i="9"/>
  <c r="B84" i="9"/>
  <c r="B58" i="9"/>
  <c r="B80" i="9"/>
  <c r="L68" i="9"/>
  <c r="L58" i="9"/>
  <c r="L84" i="9"/>
  <c r="K68" i="9"/>
  <c r="K58" i="9"/>
  <c r="K84" i="9"/>
  <c r="H69" i="9"/>
  <c r="H84" i="9"/>
  <c r="H58" i="9"/>
  <c r="J80" i="9"/>
  <c r="J84" i="9"/>
  <c r="J58" i="9"/>
  <c r="S298" i="3"/>
  <c r="S272" i="3"/>
  <c r="Y164" i="3"/>
  <c r="Y190" i="3"/>
  <c r="AC394" i="13"/>
  <c r="AC406" i="13" s="1"/>
  <c r="W394" i="13"/>
  <c r="W406" i="13" s="1"/>
  <c r="D394" i="13"/>
  <c r="D406" i="13" s="1"/>
  <c r="N71" i="13"/>
  <c r="Q71" i="13"/>
  <c r="Q83" i="13" s="1"/>
  <c r="X71" i="13"/>
  <c r="B185" i="13"/>
  <c r="B164" i="13"/>
  <c r="E71" i="13"/>
  <c r="E83" i="13" s="1"/>
  <c r="H298" i="3"/>
  <c r="H272" i="3"/>
  <c r="Z270" i="3"/>
  <c r="Z298" i="3"/>
  <c r="Z272" i="3"/>
  <c r="S64" i="9"/>
  <c r="S84" i="9"/>
  <c r="S58" i="9"/>
  <c r="I84" i="9"/>
  <c r="I58" i="9"/>
  <c r="O62" i="9"/>
  <c r="O84" i="9"/>
  <c r="O58" i="9"/>
  <c r="K270" i="3"/>
  <c r="K298" i="3"/>
  <c r="K272" i="3"/>
  <c r="AA172" i="3"/>
  <c r="AA190" i="3"/>
  <c r="AA164" i="3"/>
  <c r="X173" i="3"/>
  <c r="X190" i="3"/>
  <c r="X164" i="3"/>
  <c r="AB71" i="13"/>
  <c r="AB83" i="13" s="1"/>
  <c r="V285" i="13"/>
  <c r="V297" i="13" s="1"/>
  <c r="E285" i="13"/>
  <c r="E394" i="13"/>
  <c r="R394" i="13"/>
  <c r="R406" i="13" s="1"/>
  <c r="F394" i="13"/>
  <c r="F406" i="13" s="1"/>
  <c r="AC71" i="13"/>
  <c r="AC83" i="13" s="1"/>
  <c r="H71" i="13"/>
  <c r="H83" i="13" s="1"/>
  <c r="Y298" i="3"/>
  <c r="Y272" i="3"/>
  <c r="W298" i="3"/>
  <c r="W272" i="3"/>
  <c r="AC281" i="3"/>
  <c r="AC272" i="3"/>
  <c r="AC298" i="3"/>
  <c r="R282" i="3"/>
  <c r="R272" i="3"/>
  <c r="R298" i="3"/>
  <c r="AA65" i="9"/>
  <c r="AA58" i="9"/>
  <c r="AA84" i="9"/>
  <c r="Q65" i="9"/>
  <c r="Q58" i="9"/>
  <c r="Q84" i="9"/>
  <c r="Z68" i="9"/>
  <c r="Z58" i="9"/>
  <c r="Z84" i="9"/>
  <c r="C270" i="3"/>
  <c r="C272" i="3"/>
  <c r="C298" i="3"/>
  <c r="S173" i="3"/>
  <c r="S190" i="3"/>
  <c r="S164" i="3"/>
  <c r="W62" i="9"/>
  <c r="W84" i="9"/>
  <c r="W58" i="9"/>
  <c r="P172" i="3"/>
  <c r="P190" i="3"/>
  <c r="P164" i="3"/>
  <c r="V190" i="3"/>
  <c r="V164" i="3"/>
  <c r="B294" i="13"/>
  <c r="J71" i="13"/>
  <c r="Q285" i="13"/>
  <c r="X285" i="13"/>
  <c r="M285" i="13"/>
  <c r="M297" i="13" s="1"/>
  <c r="X394" i="13"/>
  <c r="X406" i="13" s="1"/>
  <c r="X177" i="13"/>
  <c r="X189" i="13" s="1"/>
  <c r="N285" i="13"/>
  <c r="N297" i="13" s="1"/>
  <c r="K71" i="13"/>
  <c r="B71" i="13"/>
  <c r="B83" i="13" s="1"/>
  <c r="V71" i="13"/>
  <c r="Y71" i="13"/>
  <c r="Y83" i="13" s="1"/>
  <c r="AA185" i="13"/>
  <c r="AA164" i="13"/>
  <c r="Q282" i="3"/>
  <c r="Q298" i="3"/>
  <c r="Q272" i="3"/>
  <c r="O298" i="3"/>
  <c r="O272" i="3"/>
  <c r="U272" i="3"/>
  <c r="U298" i="3"/>
  <c r="J282" i="3"/>
  <c r="J272" i="3"/>
  <c r="J298" i="3"/>
  <c r="Y65" i="9"/>
  <c r="Y84" i="9"/>
  <c r="Y58" i="9"/>
  <c r="AC66" i="9"/>
  <c r="AC84" i="9"/>
  <c r="AC58" i="9"/>
  <c r="N65" i="9"/>
  <c r="N84" i="9"/>
  <c r="N58" i="9"/>
  <c r="L172" i="3"/>
  <c r="L190" i="3"/>
  <c r="L164" i="3"/>
  <c r="K162" i="3"/>
  <c r="K190" i="3"/>
  <c r="K164" i="3"/>
  <c r="D298" i="3"/>
  <c r="D272" i="3"/>
  <c r="H172" i="3"/>
  <c r="H190" i="3"/>
  <c r="H164" i="3"/>
  <c r="R65" i="9"/>
  <c r="R84" i="9"/>
  <c r="R58" i="9"/>
  <c r="N172" i="3"/>
  <c r="N190" i="3"/>
  <c r="N164" i="3"/>
  <c r="AB173" i="3"/>
  <c r="AB190" i="3"/>
  <c r="AB164" i="3"/>
  <c r="J291" i="13"/>
  <c r="O289" i="13"/>
  <c r="X290" i="13"/>
  <c r="S289" i="13"/>
  <c r="O288" i="13"/>
  <c r="S288" i="13"/>
  <c r="S404" i="13"/>
  <c r="X288" i="13"/>
  <c r="K65" i="9"/>
  <c r="L56" i="9"/>
  <c r="H57" i="9"/>
  <c r="K67" i="9"/>
  <c r="I77" i="9"/>
  <c r="S66" i="9"/>
  <c r="S57" i="9"/>
  <c r="D81" i="9"/>
  <c r="S63" i="9"/>
  <c r="U46" i="9"/>
  <c r="S62" i="9"/>
  <c r="S65" i="9"/>
  <c r="S56" i="9"/>
  <c r="S68" i="9"/>
  <c r="S69" i="9"/>
  <c r="H76" i="9"/>
  <c r="K57" i="9"/>
  <c r="H65" i="9"/>
  <c r="L65" i="9"/>
  <c r="K69" i="9"/>
  <c r="H62" i="9"/>
  <c r="K64" i="9"/>
  <c r="H66" i="9"/>
  <c r="H68" i="9"/>
  <c r="K63" i="9"/>
  <c r="H64" i="9"/>
  <c r="H56" i="9"/>
  <c r="L64" i="9"/>
  <c r="L66" i="9"/>
  <c r="L62" i="9"/>
  <c r="L69" i="9"/>
  <c r="K56" i="9"/>
  <c r="H63" i="9"/>
  <c r="K66" i="9"/>
  <c r="L63" i="9"/>
  <c r="L57" i="9"/>
  <c r="M46" i="3"/>
  <c r="M473" i="3"/>
  <c r="O158" i="3"/>
  <c r="E46" i="3"/>
  <c r="O45" i="3"/>
  <c r="B474" i="3"/>
  <c r="R259" i="3"/>
  <c r="E368" i="3"/>
  <c r="C369" i="3"/>
  <c r="O369" i="3"/>
  <c r="M45" i="3"/>
  <c r="M151" i="3"/>
  <c r="E369" i="3"/>
  <c r="R152" i="3"/>
  <c r="E45" i="3"/>
  <c r="E473" i="3"/>
  <c r="E259" i="3"/>
  <c r="R45" i="3"/>
  <c r="R368" i="3"/>
  <c r="M259" i="3"/>
  <c r="X175" i="3"/>
  <c r="C46" i="3"/>
  <c r="C473" i="3"/>
  <c r="O152" i="3"/>
  <c r="M152" i="3"/>
  <c r="R369" i="3"/>
  <c r="L376" i="3"/>
  <c r="U152" i="3"/>
  <c r="U151" i="3"/>
  <c r="H473" i="3"/>
  <c r="U474" i="3"/>
  <c r="H259" i="3"/>
  <c r="U46" i="3"/>
  <c r="H152" i="3"/>
  <c r="U260" i="3"/>
  <c r="U369" i="3"/>
  <c r="H46" i="3"/>
  <c r="U473" i="3"/>
  <c r="F157" i="3"/>
  <c r="U368" i="3"/>
  <c r="H368" i="3"/>
  <c r="U259" i="3"/>
  <c r="B481" i="3"/>
  <c r="H45" i="3"/>
  <c r="H474" i="3"/>
  <c r="H369" i="3"/>
  <c r="L283" i="3"/>
  <c r="S473" i="3"/>
  <c r="P157" i="3"/>
  <c r="K169" i="3"/>
  <c r="X368" i="3"/>
  <c r="S474" i="3"/>
  <c r="S260" i="3"/>
  <c r="B174" i="3"/>
  <c r="D74" i="9"/>
  <c r="T151" i="9"/>
  <c r="Y46" i="9"/>
  <c r="AC398" i="13"/>
  <c r="V67" i="9"/>
  <c r="D62" i="9"/>
  <c r="V64" i="9"/>
  <c r="Q399" i="13"/>
  <c r="AC399" i="13"/>
  <c r="M401" i="13"/>
  <c r="T45" i="9"/>
  <c r="T259" i="9"/>
  <c r="T152" i="9"/>
  <c r="V68" i="9"/>
  <c r="D68" i="9"/>
  <c r="M400" i="13"/>
  <c r="AC404" i="13"/>
  <c r="M403" i="13"/>
  <c r="X369" i="3"/>
  <c r="S45" i="3"/>
  <c r="S368" i="3"/>
  <c r="D152" i="3"/>
  <c r="D259" i="3"/>
  <c r="I174" i="3"/>
  <c r="B163" i="3"/>
  <c r="T260" i="9"/>
  <c r="T368" i="9"/>
  <c r="T46" i="9"/>
  <c r="V80" i="9"/>
  <c r="V74" i="9"/>
  <c r="D63" i="9"/>
  <c r="H67" i="9"/>
  <c r="V56" i="9"/>
  <c r="AC397" i="13"/>
  <c r="D151" i="3"/>
  <c r="S152" i="3"/>
  <c r="T473" i="9"/>
  <c r="T369" i="9"/>
  <c r="V78" i="9"/>
  <c r="V75" i="9"/>
  <c r="V65" i="9"/>
  <c r="V62" i="9"/>
  <c r="V63" i="9"/>
  <c r="V66" i="9"/>
  <c r="S290" i="13"/>
  <c r="AC400" i="13"/>
  <c r="M404" i="13"/>
  <c r="S46" i="3"/>
  <c r="X46" i="3"/>
  <c r="S151" i="3"/>
  <c r="S369" i="3"/>
  <c r="D75" i="9"/>
  <c r="V77" i="9"/>
  <c r="V81" i="9"/>
  <c r="V76" i="9"/>
  <c r="V69" i="9"/>
  <c r="D80" i="9"/>
  <c r="D65" i="9"/>
  <c r="M397" i="13"/>
  <c r="AC259" i="3"/>
  <c r="D76" i="9"/>
  <c r="Q402" i="13"/>
  <c r="AC402" i="13"/>
  <c r="O291" i="13"/>
  <c r="O290" i="13"/>
  <c r="O295" i="13"/>
  <c r="D295" i="13"/>
  <c r="D289" i="13"/>
  <c r="D290" i="13"/>
  <c r="U80" i="9"/>
  <c r="AC152" i="9"/>
  <c r="Q46" i="3"/>
  <c r="Q152" i="3"/>
  <c r="X62" i="9"/>
  <c r="F181" i="13"/>
  <c r="T151" i="3"/>
  <c r="T152" i="3"/>
  <c r="L78" i="9"/>
  <c r="F171" i="13"/>
  <c r="R78" i="9"/>
  <c r="Q473" i="3"/>
  <c r="F175" i="13"/>
  <c r="R162" i="3"/>
  <c r="L473" i="9"/>
  <c r="L474" i="9"/>
  <c r="V368" i="3"/>
  <c r="AB277" i="3"/>
  <c r="U77" i="9"/>
  <c r="M68" i="9"/>
  <c r="W158" i="3"/>
  <c r="U376" i="3"/>
  <c r="U295" i="13"/>
  <c r="AB152" i="3"/>
  <c r="P76" i="9"/>
  <c r="I481" i="3"/>
  <c r="AB46" i="3"/>
  <c r="AB474" i="3"/>
  <c r="V474" i="3"/>
  <c r="Y259" i="3"/>
  <c r="V369" i="3"/>
  <c r="F184" i="3"/>
  <c r="G66" i="9"/>
  <c r="F169" i="13"/>
  <c r="F183" i="13"/>
  <c r="F163" i="13"/>
  <c r="E78" i="9"/>
  <c r="M293" i="3"/>
  <c r="U69" i="9"/>
  <c r="F180" i="13"/>
  <c r="Z399" i="13"/>
  <c r="F173" i="13"/>
  <c r="Y46" i="3"/>
  <c r="Y473" i="3"/>
  <c r="Y368" i="3"/>
  <c r="P75" i="9"/>
  <c r="P74" i="9"/>
  <c r="G62" i="9"/>
  <c r="U76" i="9"/>
  <c r="G63" i="9"/>
  <c r="F170" i="13"/>
  <c r="U290" i="13"/>
  <c r="U291" i="13"/>
  <c r="F185" i="13"/>
  <c r="P77" i="9"/>
  <c r="P81" i="9"/>
  <c r="U57" i="9"/>
  <c r="G64" i="9"/>
  <c r="G57" i="9"/>
  <c r="F168" i="13"/>
  <c r="P80" i="9"/>
  <c r="Y369" i="3"/>
  <c r="Y260" i="3"/>
  <c r="Y474" i="3"/>
  <c r="AB45" i="3"/>
  <c r="V259" i="3"/>
  <c r="AB369" i="3"/>
  <c r="AB259" i="3"/>
  <c r="U74" i="9"/>
  <c r="U78" i="9"/>
  <c r="U63" i="9"/>
  <c r="U64" i="9"/>
  <c r="G68" i="9"/>
  <c r="F182" i="13"/>
  <c r="Z185" i="3"/>
  <c r="AB473" i="3"/>
  <c r="AB368" i="3"/>
  <c r="Y151" i="3"/>
  <c r="AC46" i="9"/>
  <c r="P79" i="9"/>
  <c r="U62" i="9"/>
  <c r="U75" i="9"/>
  <c r="U66" i="9"/>
  <c r="G69" i="9"/>
  <c r="G56" i="9"/>
  <c r="U68" i="9"/>
  <c r="Z398" i="13"/>
  <c r="Y45" i="3"/>
  <c r="V45" i="3"/>
  <c r="AB151" i="3"/>
  <c r="AC45" i="9"/>
  <c r="U81" i="9"/>
  <c r="G76" i="9"/>
  <c r="P78" i="9"/>
  <c r="U65" i="9"/>
  <c r="W291" i="13"/>
  <c r="F187" i="13"/>
  <c r="F172" i="13"/>
  <c r="P368" i="9"/>
  <c r="Y402" i="13"/>
  <c r="K175" i="3"/>
  <c r="B267" i="3"/>
  <c r="L368" i="9"/>
  <c r="X65" i="9"/>
  <c r="E295" i="13"/>
  <c r="H292" i="13"/>
  <c r="T473" i="3"/>
  <c r="T368" i="3"/>
  <c r="R45" i="9"/>
  <c r="L259" i="9"/>
  <c r="L45" i="9"/>
  <c r="X68" i="9"/>
  <c r="X57" i="9"/>
  <c r="H288" i="13"/>
  <c r="H289" i="13"/>
  <c r="T260" i="3"/>
  <c r="T369" i="3"/>
  <c r="E283" i="3"/>
  <c r="R46" i="9"/>
  <c r="L81" i="9"/>
  <c r="E81" i="9"/>
  <c r="L152" i="9"/>
  <c r="X56" i="9"/>
  <c r="H295" i="13"/>
  <c r="T46" i="3"/>
  <c r="Q368" i="3"/>
  <c r="Q259" i="3"/>
  <c r="V294" i="3"/>
  <c r="R152" i="9"/>
  <c r="L75" i="9"/>
  <c r="X66" i="9"/>
  <c r="L398" i="13"/>
  <c r="L399" i="13"/>
  <c r="Q369" i="3"/>
  <c r="Q151" i="3"/>
  <c r="T259" i="3"/>
  <c r="R175" i="3"/>
  <c r="Q283" i="3"/>
  <c r="L76" i="9"/>
  <c r="L80" i="9"/>
  <c r="H290" i="13"/>
  <c r="F292" i="3"/>
  <c r="L151" i="9"/>
  <c r="L74" i="9"/>
  <c r="L77" i="9"/>
  <c r="L46" i="9"/>
  <c r="X64" i="9"/>
  <c r="L397" i="13"/>
  <c r="T474" i="3"/>
  <c r="Q474" i="3"/>
  <c r="Q45" i="3"/>
  <c r="U373" i="3"/>
  <c r="L260" i="9"/>
  <c r="X69" i="9"/>
  <c r="H291" i="13"/>
  <c r="R81" i="9"/>
  <c r="W398" i="13"/>
  <c r="U400" i="13"/>
  <c r="X293" i="13"/>
  <c r="H81" i="9"/>
  <c r="H78" i="9"/>
  <c r="G288" i="13"/>
  <c r="E398" i="13"/>
  <c r="G290" i="13"/>
  <c r="O292" i="13"/>
  <c r="H75" i="9"/>
  <c r="H74" i="9"/>
  <c r="H80" i="9"/>
  <c r="AA56" i="9"/>
  <c r="AA57" i="9"/>
  <c r="Q64" i="9"/>
  <c r="C295" i="13"/>
  <c r="H368" i="9"/>
  <c r="AA68" i="9"/>
  <c r="Q68" i="9"/>
  <c r="AA63" i="9"/>
  <c r="G295" i="13"/>
  <c r="H77" i="9"/>
  <c r="AA69" i="9"/>
  <c r="G291" i="13"/>
  <c r="E404" i="13"/>
  <c r="AA66" i="9"/>
  <c r="E397" i="13"/>
  <c r="E400" i="13"/>
  <c r="O293" i="13"/>
  <c r="AB74" i="9"/>
  <c r="Z64" i="9"/>
  <c r="X292" i="13"/>
  <c r="S78" i="9"/>
  <c r="R74" i="9"/>
  <c r="R66" i="9"/>
  <c r="N63" i="9"/>
  <c r="U399" i="13"/>
  <c r="W67" i="9"/>
  <c r="R77" i="9"/>
  <c r="R62" i="9"/>
  <c r="D400" i="13"/>
  <c r="W404" i="13"/>
  <c r="U401" i="13"/>
  <c r="R64" i="9"/>
  <c r="Y56" i="9"/>
  <c r="N57" i="9"/>
  <c r="N68" i="9"/>
  <c r="M288" i="13"/>
  <c r="M289" i="13"/>
  <c r="W399" i="13"/>
  <c r="D402" i="13"/>
  <c r="Y63" i="9"/>
  <c r="R56" i="9"/>
  <c r="R69" i="9"/>
  <c r="N56" i="9"/>
  <c r="U397" i="13"/>
  <c r="W397" i="13"/>
  <c r="M290" i="13"/>
  <c r="W400" i="13"/>
  <c r="M295" i="13"/>
  <c r="U404" i="13"/>
  <c r="R75" i="9"/>
  <c r="R76" i="9"/>
  <c r="N62" i="9"/>
  <c r="R57" i="9"/>
  <c r="R68" i="9"/>
  <c r="K403" i="13"/>
  <c r="Y75" i="9"/>
  <c r="N66" i="9"/>
  <c r="U398" i="13"/>
  <c r="K398" i="13"/>
  <c r="R80" i="9"/>
  <c r="D397" i="13"/>
  <c r="M291" i="13"/>
  <c r="R187" i="3"/>
  <c r="F162" i="13"/>
  <c r="F184" i="13"/>
  <c r="U402" i="13"/>
  <c r="F174" i="13"/>
  <c r="G292" i="13"/>
  <c r="E401" i="13"/>
  <c r="G294" i="13"/>
  <c r="E402" i="13"/>
  <c r="J281" i="3"/>
  <c r="N69" i="9"/>
  <c r="V281" i="3"/>
  <c r="O473" i="9"/>
  <c r="D260" i="9"/>
  <c r="H293" i="13"/>
  <c r="L373" i="3"/>
  <c r="N289" i="13"/>
  <c r="S291" i="13"/>
  <c r="S295" i="13"/>
  <c r="J283" i="3"/>
  <c r="D293" i="13"/>
  <c r="W292" i="13"/>
  <c r="S292" i="13"/>
  <c r="H373" i="3"/>
  <c r="N290" i="13"/>
  <c r="N291" i="13"/>
  <c r="N295" i="13"/>
  <c r="W401" i="13"/>
  <c r="L293" i="13"/>
  <c r="N292" i="13"/>
  <c r="M294" i="13"/>
  <c r="N288" i="13"/>
  <c r="U293" i="13"/>
  <c r="M293" i="13"/>
  <c r="S294" i="13"/>
  <c r="AB172" i="3"/>
  <c r="L173" i="3"/>
  <c r="P259" i="9"/>
  <c r="H173" i="3"/>
  <c r="D292" i="13"/>
  <c r="U292" i="13"/>
  <c r="N293" i="13"/>
  <c r="W402" i="13"/>
  <c r="K75" i="9"/>
  <c r="K174" i="3"/>
  <c r="K173" i="3"/>
  <c r="D474" i="9"/>
  <c r="AA398" i="13"/>
  <c r="H402" i="13"/>
  <c r="H398" i="13"/>
  <c r="H400" i="13"/>
  <c r="T400" i="13"/>
  <c r="AA402" i="13"/>
  <c r="J173" i="3"/>
  <c r="AA399" i="13"/>
  <c r="AA400" i="13"/>
  <c r="AA404" i="13"/>
  <c r="H401" i="13"/>
  <c r="K169" i="13"/>
  <c r="H404" i="13"/>
  <c r="H403" i="13"/>
  <c r="AA403" i="13"/>
  <c r="D152" i="9"/>
  <c r="J398" i="13"/>
  <c r="S399" i="13"/>
  <c r="J397" i="13"/>
  <c r="S398" i="13"/>
  <c r="J401" i="13"/>
  <c r="S403" i="13"/>
  <c r="S397" i="13"/>
  <c r="S400" i="13"/>
  <c r="S401" i="13"/>
  <c r="N402" i="13"/>
  <c r="X291" i="13"/>
  <c r="U289" i="13"/>
  <c r="D291" i="13"/>
  <c r="X294" i="13"/>
  <c r="U288" i="13"/>
  <c r="AC288" i="13"/>
  <c r="AC294" i="13"/>
  <c r="D288" i="13"/>
  <c r="F295" i="13"/>
  <c r="AC292" i="13"/>
  <c r="F290" i="13"/>
  <c r="AC291" i="13"/>
  <c r="X289" i="13"/>
  <c r="AC290" i="13"/>
  <c r="F288" i="13"/>
  <c r="AC293" i="13"/>
  <c r="AC289" i="13"/>
  <c r="F289" i="13"/>
  <c r="F292" i="13"/>
  <c r="F291" i="13"/>
  <c r="E289" i="13"/>
  <c r="K289" i="13"/>
  <c r="Y293" i="13"/>
  <c r="Y294" i="13"/>
  <c r="K288" i="13"/>
  <c r="K290" i="13"/>
  <c r="E291" i="13"/>
  <c r="Y292" i="13"/>
  <c r="Y290" i="13"/>
  <c r="K291" i="13"/>
  <c r="Y288" i="13"/>
  <c r="Y291" i="13"/>
  <c r="Y295" i="13"/>
  <c r="K295" i="13"/>
  <c r="P473" i="9"/>
  <c r="AB291" i="3"/>
  <c r="R173" i="3"/>
  <c r="N163" i="3"/>
  <c r="X172" i="3"/>
  <c r="O368" i="9"/>
  <c r="S157" i="3"/>
  <c r="T157" i="3"/>
  <c r="T374" i="3"/>
  <c r="D473" i="9"/>
  <c r="D45" i="9"/>
  <c r="D151" i="9"/>
  <c r="L281" i="3"/>
  <c r="E74" i="9"/>
  <c r="V282" i="3"/>
  <c r="V280" i="3"/>
  <c r="L282" i="3"/>
  <c r="T289" i="13"/>
  <c r="B187" i="13"/>
  <c r="T293" i="13"/>
  <c r="T292" i="13"/>
  <c r="T290" i="13"/>
  <c r="U163" i="13"/>
  <c r="U162" i="13"/>
  <c r="T288" i="13"/>
  <c r="T291" i="13"/>
  <c r="B184" i="13"/>
  <c r="T294" i="13"/>
  <c r="Q270" i="3"/>
  <c r="G281" i="3"/>
  <c r="J270" i="3"/>
  <c r="P152" i="9"/>
  <c r="P45" i="9"/>
  <c r="P151" i="9"/>
  <c r="K172" i="3"/>
  <c r="P260" i="9"/>
  <c r="N175" i="3"/>
  <c r="V175" i="3"/>
  <c r="N281" i="3"/>
  <c r="O152" i="9"/>
  <c r="O259" i="9"/>
  <c r="G259" i="9"/>
  <c r="G474" i="9"/>
  <c r="O369" i="9"/>
  <c r="AA291" i="3"/>
  <c r="Y76" i="9"/>
  <c r="Y78" i="9"/>
  <c r="Z65" i="9"/>
  <c r="L294" i="13"/>
  <c r="E281" i="3"/>
  <c r="G369" i="9"/>
  <c r="Z67" i="9"/>
  <c r="Y81" i="9"/>
  <c r="Y64" i="9"/>
  <c r="L288" i="13"/>
  <c r="P289" i="13"/>
  <c r="L289" i="13"/>
  <c r="L290" i="13"/>
  <c r="Z63" i="9"/>
  <c r="Y66" i="9"/>
  <c r="G78" i="9"/>
  <c r="P291" i="13"/>
  <c r="P292" i="13"/>
  <c r="G75" i="9"/>
  <c r="Y80" i="9"/>
  <c r="G74" i="9"/>
  <c r="Z62" i="9"/>
  <c r="Z66" i="9"/>
  <c r="Y62" i="9"/>
  <c r="P288" i="13"/>
  <c r="N398" i="13"/>
  <c r="L291" i="13"/>
  <c r="Y77" i="9"/>
  <c r="Y57" i="9"/>
  <c r="Y69" i="9"/>
  <c r="P293" i="13"/>
  <c r="Z69" i="9"/>
  <c r="Y74" i="9"/>
  <c r="G80" i="9"/>
  <c r="I78" i="9"/>
  <c r="Z56" i="9"/>
  <c r="X398" i="13"/>
  <c r="P290" i="13"/>
  <c r="L295" i="13"/>
  <c r="G81" i="9"/>
  <c r="G46" i="9"/>
  <c r="G77" i="9"/>
  <c r="Y68" i="9"/>
  <c r="Z57" i="9"/>
  <c r="R290" i="13"/>
  <c r="P295" i="13"/>
  <c r="N403" i="13"/>
  <c r="B169" i="3"/>
  <c r="B172" i="3"/>
  <c r="Y474" i="9"/>
  <c r="Y369" i="9"/>
  <c r="Y45" i="9"/>
  <c r="Q185" i="13"/>
  <c r="Y152" i="9"/>
  <c r="Y259" i="9"/>
  <c r="C373" i="3"/>
  <c r="Y260" i="9"/>
  <c r="G260" i="9"/>
  <c r="U156" i="3"/>
  <c r="L156" i="3"/>
  <c r="Y368" i="9"/>
  <c r="P369" i="9"/>
  <c r="Y473" i="9"/>
  <c r="U67" i="9"/>
  <c r="L79" i="9"/>
  <c r="U79" i="9"/>
  <c r="N67" i="9"/>
  <c r="G79" i="9"/>
  <c r="G67" i="9"/>
  <c r="Q62" i="9"/>
  <c r="Q56" i="9"/>
  <c r="E68" i="9"/>
  <c r="Q81" i="9"/>
  <c r="E76" i="9"/>
  <c r="T79" i="9"/>
  <c r="E57" i="9"/>
  <c r="Q66" i="9"/>
  <c r="E56" i="9"/>
  <c r="E77" i="9"/>
  <c r="Q69" i="9"/>
  <c r="E75" i="9"/>
  <c r="E80" i="9"/>
  <c r="Q57" i="9"/>
  <c r="E63" i="9"/>
  <c r="E64" i="9"/>
  <c r="T67" i="9"/>
  <c r="E69" i="9"/>
  <c r="Q63" i="9"/>
  <c r="B259" i="9"/>
  <c r="M46" i="9"/>
  <c r="N78" i="9"/>
  <c r="B45" i="9"/>
  <c r="B151" i="9"/>
  <c r="B260" i="9"/>
  <c r="C74" i="9"/>
  <c r="M474" i="9"/>
  <c r="W74" i="9"/>
  <c r="AA67" i="9"/>
  <c r="Y79" i="9"/>
  <c r="Y67" i="9"/>
  <c r="AA79" i="9"/>
  <c r="L67" i="9"/>
  <c r="O74" i="9"/>
  <c r="AC79" i="9"/>
  <c r="O78" i="9"/>
  <c r="O77" i="9"/>
  <c r="AC81" i="9"/>
  <c r="B68" i="9"/>
  <c r="O63" i="9"/>
  <c r="O65" i="9"/>
  <c r="O67" i="9"/>
  <c r="B65" i="9"/>
  <c r="B57" i="9"/>
  <c r="B66" i="9"/>
  <c r="O81" i="9"/>
  <c r="O76" i="9"/>
  <c r="O80" i="9"/>
  <c r="O69" i="9"/>
  <c r="AC69" i="9"/>
  <c r="AC57" i="9"/>
  <c r="O57" i="9"/>
  <c r="B63" i="9"/>
  <c r="O79" i="9"/>
  <c r="O75" i="9"/>
  <c r="B67" i="9"/>
  <c r="B56" i="9"/>
  <c r="AC56" i="9"/>
  <c r="B62" i="9"/>
  <c r="B64" i="9"/>
  <c r="M45" i="9"/>
  <c r="M151" i="9"/>
  <c r="C259" i="9"/>
  <c r="N260" i="9"/>
  <c r="N152" i="9"/>
  <c r="M473" i="9"/>
  <c r="N474" i="9"/>
  <c r="M152" i="9"/>
  <c r="AB368" i="9"/>
  <c r="M369" i="9"/>
  <c r="M75" i="9"/>
  <c r="F474" i="9"/>
  <c r="M259" i="9"/>
  <c r="M81" i="9"/>
  <c r="C75" i="9"/>
  <c r="B77" i="9"/>
  <c r="B78" i="9"/>
  <c r="B46" i="9"/>
  <c r="Q77" i="9"/>
  <c r="B152" i="9"/>
  <c r="Q151" i="9"/>
  <c r="B368" i="9"/>
  <c r="B74" i="9"/>
  <c r="B76" i="9"/>
  <c r="B81" i="9"/>
  <c r="K77" i="9"/>
  <c r="B369" i="9"/>
  <c r="Q74" i="9"/>
  <c r="C76" i="9"/>
  <c r="C81" i="9"/>
  <c r="B474" i="9"/>
  <c r="Q45" i="9"/>
  <c r="Q75" i="9"/>
  <c r="Q80" i="9"/>
  <c r="C46" i="9"/>
  <c r="W259" i="9"/>
  <c r="Q46" i="9"/>
  <c r="C77" i="9"/>
  <c r="B75" i="9"/>
  <c r="Q76" i="9"/>
  <c r="M260" i="9"/>
  <c r="Q78" i="9"/>
  <c r="C474" i="9"/>
  <c r="W368" i="9"/>
  <c r="N77" i="9"/>
  <c r="N259" i="9"/>
  <c r="B79" i="9"/>
  <c r="N473" i="9"/>
  <c r="C78" i="9"/>
  <c r="X79" i="9"/>
  <c r="Q67" i="9"/>
  <c r="X67" i="9"/>
  <c r="E67" i="9"/>
  <c r="Q79" i="9"/>
  <c r="E79" i="9"/>
  <c r="C67" i="9"/>
  <c r="C79" i="9"/>
  <c r="I79" i="9"/>
  <c r="I67" i="9"/>
  <c r="R67" i="9"/>
  <c r="D79" i="9"/>
  <c r="R79" i="9"/>
  <c r="M67" i="9"/>
  <c r="V79" i="9"/>
  <c r="T360" i="9"/>
  <c r="U360" i="9"/>
  <c r="D360" i="9"/>
  <c r="O360" i="9"/>
  <c r="F360" i="9"/>
  <c r="Q360" i="9"/>
  <c r="I360" i="9"/>
  <c r="W360" i="9"/>
  <c r="K360" i="9"/>
  <c r="M360" i="9"/>
  <c r="E360" i="9"/>
  <c r="G360" i="9"/>
  <c r="P360" i="9"/>
  <c r="Z360" i="9"/>
  <c r="R360" i="9"/>
  <c r="J360" i="9"/>
  <c r="AC360" i="9"/>
  <c r="L360" i="9"/>
  <c r="H360" i="9"/>
  <c r="V360" i="9"/>
  <c r="N360" i="9"/>
  <c r="Y360" i="9"/>
  <c r="AA360" i="9"/>
  <c r="S360" i="9"/>
  <c r="AB360" i="9"/>
  <c r="X360" i="9"/>
  <c r="B360" i="9"/>
  <c r="C360" i="9"/>
  <c r="T465" i="9"/>
  <c r="H465" i="9"/>
  <c r="I465" i="9"/>
  <c r="J465" i="9"/>
  <c r="G465" i="9"/>
  <c r="P465" i="9"/>
  <c r="Q465" i="9"/>
  <c r="R465" i="9"/>
  <c r="C465" i="9"/>
  <c r="E465" i="9"/>
  <c r="F465" i="9"/>
  <c r="O465" i="9"/>
  <c r="X465" i="9"/>
  <c r="Y465" i="9"/>
  <c r="Z465" i="9"/>
  <c r="K465" i="9"/>
  <c r="D465" i="9"/>
  <c r="B465" i="9"/>
  <c r="L465" i="9"/>
  <c r="M465" i="9"/>
  <c r="N465" i="9"/>
  <c r="W465" i="9"/>
  <c r="S465" i="9"/>
  <c r="AB465" i="9"/>
  <c r="U465" i="9"/>
  <c r="V465" i="9"/>
  <c r="AC465" i="9"/>
  <c r="AA465" i="9"/>
  <c r="S67" i="9"/>
  <c r="W143" i="9"/>
  <c r="X143" i="9"/>
  <c r="J143" i="9"/>
  <c r="P143" i="9"/>
  <c r="C143" i="9"/>
  <c r="E143" i="9"/>
  <c r="O143" i="9"/>
  <c r="AA143" i="9"/>
  <c r="G143" i="9"/>
  <c r="V143" i="9"/>
  <c r="F143" i="9"/>
  <c r="R143" i="9"/>
  <c r="D143" i="9"/>
  <c r="T143" i="9"/>
  <c r="I143" i="9"/>
  <c r="AC143" i="9"/>
  <c r="K143" i="9"/>
  <c r="Z143" i="9"/>
  <c r="N143" i="9"/>
  <c r="Y143" i="9"/>
  <c r="U143" i="9"/>
  <c r="B143" i="9"/>
  <c r="Q143" i="9"/>
  <c r="L143" i="9"/>
  <c r="M143" i="9"/>
  <c r="AB143" i="9"/>
  <c r="H143" i="9"/>
  <c r="S143" i="9"/>
  <c r="AC251" i="9"/>
  <c r="C251" i="9"/>
  <c r="O251" i="9"/>
  <c r="R251" i="9"/>
  <c r="AB251" i="9"/>
  <c r="Y251" i="9"/>
  <c r="G251" i="9"/>
  <c r="Z251" i="9"/>
  <c r="T251" i="9"/>
  <c r="Q251" i="9"/>
  <c r="V251" i="9"/>
  <c r="L251" i="9"/>
  <c r="I251" i="9"/>
  <c r="N251" i="9"/>
  <c r="K251" i="9"/>
  <c r="E251" i="9"/>
  <c r="D251" i="9"/>
  <c r="X251" i="9"/>
  <c r="F251" i="9"/>
  <c r="W251" i="9"/>
  <c r="U251" i="9"/>
  <c r="J251" i="9"/>
  <c r="M251" i="9"/>
  <c r="AA251" i="9"/>
  <c r="P251" i="9"/>
  <c r="B251" i="9"/>
  <c r="S251" i="9"/>
  <c r="H251" i="9"/>
  <c r="B478" i="3"/>
  <c r="W478" i="3"/>
  <c r="P478" i="3"/>
  <c r="J374" i="3"/>
  <c r="D373" i="3"/>
  <c r="AC376" i="3"/>
  <c r="V277" i="3"/>
  <c r="J479" i="3"/>
  <c r="Z157" i="3"/>
  <c r="AC373" i="3"/>
  <c r="O294" i="3"/>
  <c r="T295" i="3"/>
  <c r="K271" i="3"/>
  <c r="Z267" i="3"/>
  <c r="J271" i="3"/>
  <c r="C282" i="3"/>
  <c r="R281" i="3"/>
  <c r="G270" i="3"/>
  <c r="C271" i="3"/>
  <c r="C281" i="3"/>
  <c r="R270" i="3"/>
  <c r="Z294" i="3"/>
  <c r="E270" i="3"/>
  <c r="R283" i="3"/>
  <c r="Q295" i="3"/>
  <c r="Q281" i="3"/>
  <c r="B290" i="3"/>
  <c r="H283" i="3"/>
  <c r="Q280" i="3"/>
  <c r="K282" i="3"/>
  <c r="AC294" i="3"/>
  <c r="Q277" i="3"/>
  <c r="AC271" i="3"/>
  <c r="K281" i="3"/>
  <c r="U294" i="3"/>
  <c r="R271" i="3"/>
  <c r="AB271" i="3"/>
  <c r="V283" i="3"/>
  <c r="R280" i="3"/>
  <c r="K280" i="3"/>
  <c r="C280" i="3"/>
  <c r="R267" i="3"/>
  <c r="X264" i="3"/>
  <c r="R278" i="3"/>
  <c r="C290" i="3"/>
  <c r="R288" i="3"/>
  <c r="Y264" i="3"/>
  <c r="E264" i="3"/>
  <c r="R276" i="3"/>
  <c r="N173" i="3"/>
  <c r="N162" i="3"/>
  <c r="Q172" i="3"/>
  <c r="V172" i="3"/>
  <c r="V163" i="3"/>
  <c r="Q175" i="3"/>
  <c r="N186" i="3"/>
  <c r="G157" i="3"/>
  <c r="AC156" i="3"/>
  <c r="T156" i="3"/>
  <c r="V174" i="3"/>
  <c r="C174" i="3"/>
  <c r="Y162" i="3"/>
  <c r="C173" i="3"/>
  <c r="C172" i="3"/>
  <c r="Q174" i="3"/>
  <c r="V173" i="3"/>
  <c r="C163" i="3"/>
  <c r="H157" i="3"/>
  <c r="H186" i="3"/>
  <c r="O157" i="3"/>
  <c r="E156" i="3"/>
  <c r="N168" i="3"/>
  <c r="F159" i="3"/>
  <c r="G159" i="3"/>
  <c r="AC474" i="3"/>
  <c r="P474" i="3"/>
  <c r="C259" i="3"/>
  <c r="C152" i="3"/>
  <c r="K152" i="3"/>
  <c r="P45" i="3"/>
  <c r="C474" i="3"/>
  <c r="AC151" i="3"/>
  <c r="C151" i="3"/>
  <c r="K260" i="3"/>
  <c r="P151" i="3"/>
  <c r="O46" i="3"/>
  <c r="C368" i="3"/>
  <c r="O473" i="3"/>
  <c r="AC45" i="3"/>
  <c r="C260" i="3"/>
  <c r="P368" i="3"/>
  <c r="AC260" i="3"/>
  <c r="P259" i="3"/>
  <c r="K473" i="3"/>
  <c r="O259" i="3"/>
  <c r="AC473" i="3"/>
  <c r="P260" i="3"/>
  <c r="O151" i="3"/>
  <c r="P46" i="3"/>
  <c r="P369" i="3"/>
  <c r="O368" i="3"/>
  <c r="AC368" i="3"/>
  <c r="AC46" i="3"/>
  <c r="O260" i="3"/>
  <c r="AC152" i="3"/>
  <c r="K46" i="3"/>
  <c r="K368" i="3"/>
  <c r="K474" i="3"/>
  <c r="W260" i="3"/>
  <c r="W368" i="3"/>
  <c r="K369" i="3"/>
  <c r="W46" i="3"/>
  <c r="B259" i="3"/>
  <c r="B368" i="3"/>
  <c r="B152" i="3"/>
  <c r="W259" i="3"/>
  <c r="B45" i="3"/>
  <c r="W45" i="3"/>
  <c r="W473" i="3"/>
  <c r="B369" i="3"/>
  <c r="B46" i="3"/>
  <c r="W369" i="3"/>
  <c r="K259" i="3"/>
  <c r="W152" i="3"/>
  <c r="B151" i="3"/>
  <c r="B260" i="3"/>
  <c r="K45" i="3"/>
  <c r="W151" i="3"/>
  <c r="Z369" i="3"/>
  <c r="AA45" i="3"/>
  <c r="N152" i="3"/>
  <c r="N45" i="3"/>
  <c r="AA46" i="3"/>
  <c r="Z368" i="3"/>
  <c r="V473" i="3"/>
  <c r="N474" i="3"/>
  <c r="V260" i="3"/>
  <c r="X152" i="3"/>
  <c r="D260" i="3"/>
  <c r="Z151" i="3"/>
  <c r="N368" i="3"/>
  <c r="N259" i="3"/>
  <c r="X151" i="3"/>
  <c r="D46" i="3"/>
  <c r="D474" i="3"/>
  <c r="N473" i="3"/>
  <c r="D473" i="3"/>
  <c r="N260" i="3"/>
  <c r="AA152" i="3"/>
  <c r="X259" i="3"/>
  <c r="N369" i="3"/>
  <c r="AA369" i="3"/>
  <c r="D368" i="3"/>
  <c r="X260" i="3"/>
  <c r="V151" i="3"/>
  <c r="V46" i="3"/>
  <c r="X45" i="3"/>
  <c r="Z46" i="3"/>
  <c r="AA368" i="3"/>
  <c r="X473" i="3"/>
  <c r="Z473" i="3"/>
  <c r="AA259" i="3"/>
  <c r="Z152" i="3"/>
  <c r="D369" i="3"/>
  <c r="N151" i="3"/>
  <c r="Z259" i="3"/>
  <c r="Z260" i="3"/>
  <c r="Z474" i="3"/>
  <c r="AA473" i="3"/>
  <c r="AA474" i="3"/>
  <c r="AB171" i="3"/>
  <c r="Q171" i="3"/>
  <c r="L183" i="3"/>
  <c r="F158" i="3"/>
  <c r="O159" i="3"/>
  <c r="L170" i="3"/>
  <c r="D171" i="3"/>
  <c r="X169" i="3"/>
  <c r="L478" i="3"/>
  <c r="R277" i="3"/>
  <c r="U374" i="3"/>
  <c r="F156" i="3"/>
  <c r="W264" i="3"/>
  <c r="Z479" i="3"/>
  <c r="W156" i="3"/>
  <c r="Y478" i="3"/>
  <c r="AB373" i="3"/>
  <c r="N157" i="3"/>
  <c r="C374" i="3"/>
  <c r="B479" i="3"/>
  <c r="O156" i="3"/>
  <c r="J157" i="3"/>
  <c r="X478" i="3"/>
  <c r="B264" i="3"/>
  <c r="G156" i="3"/>
  <c r="Q264" i="3"/>
  <c r="G277" i="3"/>
  <c r="C264" i="3"/>
  <c r="Q373" i="3"/>
  <c r="C157" i="3"/>
  <c r="AA478" i="3"/>
  <c r="Y479" i="3"/>
  <c r="I169" i="3"/>
  <c r="L374" i="3"/>
  <c r="AC374" i="3"/>
  <c r="V157" i="3"/>
  <c r="AB163" i="3"/>
  <c r="AB187" i="3"/>
  <c r="L175" i="3"/>
  <c r="K283" i="3"/>
  <c r="J175" i="3"/>
  <c r="J187" i="3"/>
  <c r="I295" i="3"/>
  <c r="AA187" i="3"/>
  <c r="Q163" i="3"/>
  <c r="H175" i="3"/>
  <c r="S187" i="3"/>
  <c r="E271" i="3"/>
  <c r="AB175" i="3"/>
  <c r="Q271" i="3"/>
  <c r="K163" i="3"/>
  <c r="C175" i="3"/>
  <c r="I283" i="3"/>
  <c r="AA283" i="3"/>
  <c r="L163" i="3"/>
  <c r="R163" i="3"/>
  <c r="V271" i="3"/>
  <c r="L271" i="3"/>
  <c r="C283" i="3"/>
  <c r="X163" i="3"/>
  <c r="W283" i="3"/>
  <c r="Y175" i="3"/>
  <c r="B175" i="3"/>
  <c r="H295" i="3"/>
  <c r="Y295" i="3"/>
  <c r="O271" i="3"/>
  <c r="B187" i="3"/>
  <c r="V186" i="3"/>
  <c r="E280" i="3"/>
  <c r="L280" i="3"/>
  <c r="V168" i="3"/>
  <c r="V170" i="3"/>
  <c r="N170" i="3"/>
  <c r="V159" i="3"/>
  <c r="K290" i="3"/>
  <c r="T264" i="3"/>
  <c r="P373" i="3"/>
  <c r="X373" i="3"/>
  <c r="V158" i="3"/>
  <c r="V156" i="3"/>
  <c r="R264" i="3"/>
  <c r="N159" i="3"/>
  <c r="N156" i="3"/>
  <c r="K183" i="3"/>
  <c r="F264" i="3"/>
  <c r="E373" i="3"/>
  <c r="M373" i="3"/>
  <c r="V169" i="3"/>
  <c r="N169" i="3"/>
  <c r="R265" i="3"/>
  <c r="N158" i="3"/>
  <c r="Y481" i="3"/>
  <c r="V171" i="3"/>
  <c r="N171" i="3"/>
  <c r="D156" i="3"/>
  <c r="Z156" i="3"/>
  <c r="B265" i="3"/>
  <c r="J289" i="3"/>
  <c r="J277" i="3"/>
  <c r="X182" i="3"/>
  <c r="J276" i="3"/>
  <c r="W159" i="3"/>
  <c r="J267" i="3"/>
  <c r="W157" i="3"/>
  <c r="B480" i="3"/>
  <c r="M264" i="3"/>
  <c r="K264" i="3"/>
  <c r="J278" i="3"/>
  <c r="J264" i="3"/>
  <c r="J265" i="3"/>
  <c r="B182" i="13"/>
  <c r="B171" i="13"/>
  <c r="B162" i="13"/>
  <c r="AB281" i="3"/>
  <c r="B172" i="13"/>
  <c r="B174" i="13"/>
  <c r="AB270" i="3"/>
  <c r="B181" i="13"/>
  <c r="AB283" i="3"/>
  <c r="S79" i="9"/>
  <c r="S76" i="9"/>
  <c r="S77" i="9"/>
  <c r="B169" i="13"/>
  <c r="AB280" i="3"/>
  <c r="S81" i="9"/>
  <c r="S75" i="9"/>
  <c r="B168" i="13"/>
  <c r="B180" i="13"/>
  <c r="B163" i="13"/>
  <c r="B173" i="13"/>
  <c r="B170" i="13"/>
  <c r="B183" i="13"/>
  <c r="B175" i="13"/>
  <c r="D259" i="9"/>
  <c r="P474" i="9"/>
  <c r="I478" i="3"/>
  <c r="I479" i="3"/>
  <c r="Z264" i="3"/>
  <c r="Z265" i="3"/>
  <c r="P264" i="3"/>
  <c r="Q478" i="3"/>
  <c r="Q479" i="3"/>
  <c r="M156" i="3"/>
  <c r="I264" i="3"/>
  <c r="J280" i="3"/>
  <c r="B162" i="3"/>
  <c r="N174" i="3"/>
  <c r="AB162" i="3"/>
  <c r="X174" i="3"/>
  <c r="V162" i="3"/>
  <c r="J162" i="3"/>
  <c r="R174" i="3"/>
  <c r="L162" i="3"/>
  <c r="Q162" i="3"/>
  <c r="H162" i="3"/>
  <c r="F373" i="3"/>
  <c r="G373" i="3"/>
  <c r="N373" i="3"/>
  <c r="V373" i="3"/>
  <c r="Q265" i="3"/>
  <c r="C169" i="3"/>
  <c r="K171" i="3"/>
  <c r="AC375" i="3"/>
  <c r="X171" i="3"/>
  <c r="D376" i="3"/>
  <c r="Y266" i="3"/>
  <c r="Q182" i="3"/>
  <c r="I373" i="3"/>
  <c r="K373" i="3"/>
  <c r="E478" i="3"/>
  <c r="T478" i="3"/>
  <c r="J478" i="3"/>
  <c r="K481" i="3"/>
  <c r="Z481" i="3"/>
  <c r="S376" i="3"/>
  <c r="P481" i="3"/>
  <c r="W481" i="3"/>
  <c r="F267" i="3"/>
  <c r="AB267" i="3"/>
  <c r="X157" i="3"/>
  <c r="B373" i="3"/>
  <c r="F480" i="3"/>
  <c r="K157" i="3"/>
  <c r="Q374" i="3"/>
  <c r="Y374" i="3"/>
  <c r="F479" i="3"/>
  <c r="AC479" i="3"/>
  <c r="S374" i="3"/>
  <c r="T479" i="3"/>
  <c r="K265" i="3"/>
  <c r="B374" i="3"/>
  <c r="AB374" i="3"/>
  <c r="L290" i="3"/>
  <c r="E158" i="3"/>
  <c r="E159" i="3"/>
  <c r="AB156" i="3"/>
  <c r="C156" i="3"/>
  <c r="R158" i="3"/>
  <c r="R159" i="3"/>
  <c r="I156" i="3"/>
  <c r="U264" i="3"/>
  <c r="S264" i="3"/>
  <c r="R373" i="3"/>
  <c r="T373" i="3"/>
  <c r="M478" i="3"/>
  <c r="R478" i="3"/>
  <c r="S481" i="3"/>
  <c r="AA376" i="3"/>
  <c r="X481" i="3"/>
  <c r="G267" i="3"/>
  <c r="N267" i="3"/>
  <c r="B376" i="3"/>
  <c r="D481" i="3"/>
  <c r="Q278" i="3"/>
  <c r="J171" i="3"/>
  <c r="C278" i="3"/>
  <c r="L171" i="3"/>
  <c r="P169" i="3"/>
  <c r="I170" i="3"/>
  <c r="H479" i="3"/>
  <c r="G479" i="3"/>
  <c r="N479" i="3"/>
  <c r="E265" i="3"/>
  <c r="AA374" i="3"/>
  <c r="AB479" i="3"/>
  <c r="S265" i="3"/>
  <c r="V266" i="3"/>
  <c r="R479" i="3"/>
  <c r="J480" i="3"/>
  <c r="E267" i="3"/>
  <c r="G266" i="3"/>
  <c r="S158" i="3"/>
  <c r="S159" i="3"/>
  <c r="X159" i="3"/>
  <c r="X158" i="3"/>
  <c r="B158" i="3"/>
  <c r="B159" i="3"/>
  <c r="H156" i="3"/>
  <c r="W373" i="3"/>
  <c r="C481" i="3"/>
  <c r="R481" i="3"/>
  <c r="K376" i="3"/>
  <c r="Y376" i="3"/>
  <c r="H481" i="3"/>
  <c r="O481" i="3"/>
  <c r="AC481" i="3"/>
  <c r="T267" i="3"/>
  <c r="T376" i="3"/>
  <c r="E279" i="3"/>
  <c r="AB169" i="3"/>
  <c r="T278" i="3"/>
  <c r="C277" i="3"/>
  <c r="B171" i="3"/>
  <c r="C171" i="3"/>
  <c r="R169" i="3"/>
  <c r="H169" i="3"/>
  <c r="H277" i="3"/>
  <c r="AC279" i="3"/>
  <c r="H374" i="3"/>
  <c r="P374" i="3"/>
  <c r="X374" i="3"/>
  <c r="U479" i="3"/>
  <c r="K374" i="3"/>
  <c r="L479" i="3"/>
  <c r="C265" i="3"/>
  <c r="R374" i="3"/>
  <c r="R157" i="3"/>
  <c r="D157" i="3"/>
  <c r="I265" i="3"/>
  <c r="AB157" i="3"/>
  <c r="V375" i="3"/>
  <c r="T375" i="3"/>
  <c r="AB375" i="3"/>
  <c r="Q266" i="3"/>
  <c r="AA159" i="3"/>
  <c r="AA158" i="3"/>
  <c r="K158" i="3"/>
  <c r="K159" i="3"/>
  <c r="Y159" i="3"/>
  <c r="Y158" i="3"/>
  <c r="AB264" i="3"/>
  <c r="Y373" i="3"/>
  <c r="H478" i="3"/>
  <c r="O478" i="3"/>
  <c r="V478" i="3"/>
  <c r="D478" i="3"/>
  <c r="R376" i="3"/>
  <c r="J481" i="3"/>
  <c r="P376" i="3"/>
  <c r="X376" i="3"/>
  <c r="G481" i="3"/>
  <c r="U481" i="3"/>
  <c r="L267" i="3"/>
  <c r="J376" i="3"/>
  <c r="J170" i="3"/>
  <c r="S170" i="3"/>
  <c r="R171" i="3"/>
  <c r="H171" i="3"/>
  <c r="AB478" i="3"/>
  <c r="W265" i="3"/>
  <c r="G374" i="3"/>
  <c r="O374" i="3"/>
  <c r="M479" i="3"/>
  <c r="D479" i="3"/>
  <c r="AA479" i="3"/>
  <c r="I374" i="3"/>
  <c r="AB266" i="3"/>
  <c r="Y157" i="3"/>
  <c r="V481" i="3"/>
  <c r="M375" i="3"/>
  <c r="AB158" i="3"/>
  <c r="AB159" i="3"/>
  <c r="X156" i="3"/>
  <c r="C158" i="3"/>
  <c r="C159" i="3"/>
  <c r="R156" i="3"/>
  <c r="Q159" i="3"/>
  <c r="Q158" i="3"/>
  <c r="H264" i="3"/>
  <c r="O264" i="3"/>
  <c r="V264" i="3"/>
  <c r="O373" i="3"/>
  <c r="G478" i="3"/>
  <c r="N478" i="3"/>
  <c r="I376" i="3"/>
  <c r="Y267" i="3"/>
  <c r="G376" i="3"/>
  <c r="O376" i="3"/>
  <c r="W376" i="3"/>
  <c r="M481" i="3"/>
  <c r="D267" i="3"/>
  <c r="AA267" i="3"/>
  <c r="AB278" i="3"/>
  <c r="Q170" i="3"/>
  <c r="K170" i="3"/>
  <c r="AA373" i="3"/>
  <c r="O265" i="3"/>
  <c r="V265" i="3"/>
  <c r="F374" i="3"/>
  <c r="E479" i="3"/>
  <c r="AB265" i="3"/>
  <c r="V374" i="3"/>
  <c r="S479" i="3"/>
  <c r="X265" i="3"/>
  <c r="B157" i="3"/>
  <c r="AC266" i="3"/>
  <c r="Q157" i="3"/>
  <c r="N481" i="3"/>
  <c r="J375" i="3"/>
  <c r="AC158" i="3"/>
  <c r="AC159" i="3"/>
  <c r="T158" i="3"/>
  <c r="T159" i="3"/>
  <c r="AA156" i="3"/>
  <c r="J156" i="3"/>
  <c r="I159" i="3"/>
  <c r="I158" i="3"/>
  <c r="G264" i="3"/>
  <c r="N264" i="3"/>
  <c r="L264" i="3"/>
  <c r="F478" i="3"/>
  <c r="S478" i="3"/>
  <c r="Z376" i="3"/>
  <c r="Q267" i="3"/>
  <c r="X267" i="3"/>
  <c r="F376" i="3"/>
  <c r="N376" i="3"/>
  <c r="E481" i="3"/>
  <c r="AB481" i="3"/>
  <c r="S267" i="3"/>
  <c r="AB376" i="3"/>
  <c r="K278" i="3"/>
  <c r="B170" i="3"/>
  <c r="C170" i="3"/>
  <c r="X170" i="3"/>
  <c r="D169" i="3"/>
  <c r="J373" i="3"/>
  <c r="S373" i="3"/>
  <c r="G265" i="3"/>
  <c r="N265" i="3"/>
  <c r="AC265" i="3"/>
  <c r="W374" i="3"/>
  <c r="T265" i="3"/>
  <c r="M374" i="3"/>
  <c r="K479" i="3"/>
  <c r="P265" i="3"/>
  <c r="U266" i="3"/>
  <c r="I157" i="3"/>
  <c r="H159" i="3"/>
  <c r="H158" i="3"/>
  <c r="Z373" i="3"/>
  <c r="V278" i="3"/>
  <c r="L277" i="3"/>
  <c r="U158" i="3"/>
  <c r="U159" i="3"/>
  <c r="L158" i="3"/>
  <c r="L159" i="3"/>
  <c r="S156" i="3"/>
  <c r="B156" i="3"/>
  <c r="Y156" i="3"/>
  <c r="D264" i="3"/>
  <c r="AC478" i="3"/>
  <c r="K478" i="3"/>
  <c r="Q376" i="3"/>
  <c r="I267" i="3"/>
  <c r="P267" i="3"/>
  <c r="W267" i="3"/>
  <c r="E376" i="3"/>
  <c r="T481" i="3"/>
  <c r="K267" i="3"/>
  <c r="AB170" i="3"/>
  <c r="K277" i="3"/>
  <c r="R170" i="3"/>
  <c r="X479" i="3"/>
  <c r="W479" i="3"/>
  <c r="F265" i="3"/>
  <c r="U265" i="3"/>
  <c r="N374" i="3"/>
  <c r="L265" i="3"/>
  <c r="D374" i="3"/>
  <c r="C479" i="3"/>
  <c r="H265" i="3"/>
  <c r="M266" i="3"/>
  <c r="Z480" i="3"/>
  <c r="J158" i="3"/>
  <c r="J159" i="3"/>
  <c r="M158" i="3"/>
  <c r="M159" i="3"/>
  <c r="P159" i="3"/>
  <c r="P158" i="3"/>
  <c r="D158" i="3"/>
  <c r="D159" i="3"/>
  <c r="K156" i="3"/>
  <c r="Z158" i="3"/>
  <c r="Z159" i="3"/>
  <c r="P156" i="3"/>
  <c r="Q156" i="3"/>
  <c r="AC264" i="3"/>
  <c r="AA264" i="3"/>
  <c r="U478" i="3"/>
  <c r="C478" i="3"/>
  <c r="Z478" i="3"/>
  <c r="AA481" i="3"/>
  <c r="H376" i="3"/>
  <c r="H267" i="3"/>
  <c r="O267" i="3"/>
  <c r="V267" i="3"/>
  <c r="L481" i="3"/>
  <c r="C267" i="3"/>
  <c r="E278" i="3"/>
  <c r="L278" i="3"/>
  <c r="J169" i="3"/>
  <c r="L169" i="3"/>
  <c r="Q169" i="3"/>
  <c r="H170" i="3"/>
  <c r="P479" i="3"/>
  <c r="O479" i="3"/>
  <c r="V479" i="3"/>
  <c r="M265" i="3"/>
  <c r="E374" i="3"/>
  <c r="D265" i="3"/>
  <c r="AA265" i="3"/>
  <c r="Z374" i="3"/>
  <c r="E157" i="3"/>
  <c r="AA157" i="3"/>
  <c r="L157" i="3"/>
  <c r="V279" i="3"/>
  <c r="Q279" i="3"/>
  <c r="J279" i="3"/>
  <c r="G291" i="3"/>
  <c r="AB279" i="3"/>
  <c r="C279" i="3"/>
  <c r="R279" i="3"/>
  <c r="I279" i="3"/>
  <c r="L279" i="3"/>
  <c r="K279" i="3"/>
  <c r="E289" i="3"/>
  <c r="E277" i="3"/>
  <c r="S277" i="3"/>
  <c r="S289" i="3"/>
  <c r="C180" i="3"/>
  <c r="AB276" i="3"/>
  <c r="R168" i="3"/>
  <c r="V276" i="3"/>
  <c r="Q168" i="3"/>
  <c r="Z276" i="3"/>
  <c r="K276" i="3"/>
  <c r="X168" i="3"/>
  <c r="Q276" i="3"/>
  <c r="J168" i="3"/>
  <c r="B168" i="3"/>
  <c r="D276" i="3"/>
  <c r="H168" i="3"/>
  <c r="Z168" i="3"/>
  <c r="D288" i="3"/>
  <c r="K168" i="3"/>
  <c r="E276" i="3"/>
  <c r="AB168" i="3"/>
  <c r="L276" i="3"/>
  <c r="C276" i="3"/>
  <c r="L168" i="3"/>
  <c r="C168" i="3"/>
  <c r="D398" i="13"/>
  <c r="L400" i="13"/>
  <c r="T402" i="13"/>
  <c r="K81" i="9"/>
  <c r="K78" i="9"/>
  <c r="T399" i="13"/>
  <c r="D403" i="13"/>
  <c r="L403" i="13"/>
  <c r="S162" i="3"/>
  <c r="T398" i="13"/>
  <c r="AB293" i="13"/>
  <c r="K76" i="9"/>
  <c r="K79" i="9"/>
  <c r="K80" i="9"/>
  <c r="L402" i="13"/>
  <c r="T403" i="13"/>
  <c r="D399" i="13"/>
  <c r="D404" i="13"/>
  <c r="L401" i="13"/>
  <c r="T404" i="13"/>
  <c r="Z163" i="3"/>
  <c r="S280" i="3"/>
  <c r="P174" i="3"/>
  <c r="B278" i="3"/>
  <c r="N171" i="13"/>
  <c r="S283" i="3"/>
  <c r="S168" i="3"/>
  <c r="S175" i="3"/>
  <c r="Z174" i="3"/>
  <c r="K294" i="13"/>
  <c r="F294" i="13"/>
  <c r="S276" i="3"/>
  <c r="S172" i="3"/>
  <c r="Z169" i="3"/>
  <c r="S279" i="3"/>
  <c r="S282" i="3"/>
  <c r="S174" i="3"/>
  <c r="Z171" i="3"/>
  <c r="S271" i="3"/>
  <c r="S270" i="3"/>
  <c r="S163" i="3"/>
  <c r="Z173" i="3"/>
  <c r="S281" i="3"/>
  <c r="S169" i="3"/>
  <c r="Z175" i="3"/>
  <c r="F171" i="3"/>
  <c r="S278" i="3"/>
  <c r="S171" i="3"/>
  <c r="Z170" i="3"/>
  <c r="Z162" i="3"/>
  <c r="K292" i="13"/>
  <c r="F163" i="3"/>
  <c r="Z172" i="3"/>
  <c r="H79" i="9"/>
  <c r="X278" i="3"/>
  <c r="X283" i="3"/>
  <c r="M281" i="3"/>
  <c r="M276" i="3"/>
  <c r="P294" i="3"/>
  <c r="K163" i="13"/>
  <c r="K174" i="13"/>
  <c r="E294" i="13"/>
  <c r="E293" i="13"/>
  <c r="E290" i="13"/>
  <c r="E292" i="13"/>
  <c r="C290" i="13"/>
  <c r="C292" i="13"/>
  <c r="C288" i="13"/>
  <c r="C289" i="13"/>
  <c r="C291" i="13"/>
  <c r="C293" i="13"/>
  <c r="Q294" i="13"/>
  <c r="Q291" i="13"/>
  <c r="Q289" i="13"/>
  <c r="Q292" i="13"/>
  <c r="Q295" i="13"/>
  <c r="Q288" i="13"/>
  <c r="Q293" i="13"/>
  <c r="Z292" i="13"/>
  <c r="Z289" i="13"/>
  <c r="Z294" i="13"/>
  <c r="Y278" i="3"/>
  <c r="Y282" i="3"/>
  <c r="Y277" i="3"/>
  <c r="C398" i="13"/>
  <c r="C404" i="13"/>
  <c r="C401" i="13"/>
  <c r="AB402" i="13"/>
  <c r="AB403" i="13"/>
  <c r="P399" i="13"/>
  <c r="P397" i="13"/>
  <c r="P404" i="13"/>
  <c r="B398" i="13"/>
  <c r="B397" i="13"/>
  <c r="B404" i="13"/>
  <c r="B401" i="13"/>
  <c r="K175" i="13"/>
  <c r="K162" i="13"/>
  <c r="W295" i="13"/>
  <c r="W288" i="13"/>
  <c r="W293" i="13"/>
  <c r="W290" i="13"/>
  <c r="W294" i="13"/>
  <c r="X403" i="13"/>
  <c r="X400" i="13"/>
  <c r="X402" i="13"/>
  <c r="X399" i="13"/>
  <c r="X401" i="13"/>
  <c r="X404" i="13"/>
  <c r="G400" i="13"/>
  <c r="G403" i="13"/>
  <c r="G402" i="13"/>
  <c r="G401" i="13"/>
  <c r="G399" i="13"/>
  <c r="G398" i="13"/>
  <c r="G404" i="13"/>
  <c r="Y398" i="13"/>
  <c r="Y404" i="13"/>
  <c r="Y401" i="13"/>
  <c r="Y400" i="13"/>
  <c r="Y399" i="13"/>
  <c r="Y397" i="13"/>
  <c r="F401" i="13"/>
  <c r="F402" i="13"/>
  <c r="F399" i="13"/>
  <c r="F398" i="13"/>
  <c r="F397" i="13"/>
  <c r="F404" i="13"/>
  <c r="F403" i="13"/>
  <c r="R401" i="13"/>
  <c r="R398" i="13"/>
  <c r="R402" i="13"/>
  <c r="R403" i="13"/>
  <c r="R404" i="13"/>
  <c r="R397" i="13"/>
  <c r="R399" i="13"/>
  <c r="J400" i="13"/>
  <c r="J403" i="13"/>
  <c r="J404" i="13"/>
  <c r="J399" i="13"/>
  <c r="O402" i="13"/>
  <c r="O386" i="13"/>
  <c r="O400" i="13"/>
  <c r="I293" i="13"/>
  <c r="I288" i="13"/>
  <c r="I292" i="13"/>
  <c r="I294" i="13"/>
  <c r="I295" i="13"/>
  <c r="I290" i="13"/>
  <c r="I291" i="13"/>
  <c r="P280" i="3"/>
  <c r="P282" i="3"/>
  <c r="P271" i="3"/>
  <c r="N181" i="13"/>
  <c r="N182" i="13"/>
  <c r="N168" i="13"/>
  <c r="N175" i="13"/>
  <c r="N163" i="13"/>
  <c r="N170" i="13"/>
  <c r="N180" i="13"/>
  <c r="N184" i="13"/>
  <c r="N187" i="13"/>
  <c r="N186" i="13"/>
  <c r="N183" i="13"/>
  <c r="D64" i="9"/>
  <c r="D66" i="9"/>
  <c r="D69" i="9"/>
  <c r="D56" i="9"/>
  <c r="D67" i="9"/>
  <c r="E62" i="9"/>
  <c r="E66" i="9"/>
  <c r="E65" i="9"/>
  <c r="AB63" i="9"/>
  <c r="AB66" i="9"/>
  <c r="AB65" i="9"/>
  <c r="J74" i="9"/>
  <c r="J65" i="9"/>
  <c r="J81" i="9"/>
  <c r="Z75" i="9"/>
  <c r="Z74" i="9"/>
  <c r="K171" i="13"/>
  <c r="K180" i="13"/>
  <c r="K173" i="13"/>
  <c r="K172" i="13"/>
  <c r="K182" i="13"/>
  <c r="K168" i="13"/>
  <c r="K185" i="13"/>
  <c r="K183" i="13"/>
  <c r="K184" i="13"/>
  <c r="K170" i="13"/>
  <c r="K186" i="13"/>
  <c r="K187" i="13"/>
  <c r="U281" i="3"/>
  <c r="U283" i="3"/>
  <c r="U271" i="3"/>
  <c r="C66" i="9"/>
  <c r="C62" i="9"/>
  <c r="C68" i="9"/>
  <c r="C56" i="9"/>
  <c r="C63" i="9"/>
  <c r="C65" i="9"/>
  <c r="C80" i="9"/>
  <c r="O66" i="9"/>
  <c r="O64" i="9"/>
  <c r="O56" i="9"/>
  <c r="O68" i="9"/>
  <c r="R473" i="9"/>
  <c r="R259" i="9"/>
  <c r="R369" i="9"/>
  <c r="R368" i="9"/>
  <c r="R260" i="9"/>
  <c r="R474" i="9"/>
  <c r="G271" i="3"/>
  <c r="G279" i="3"/>
  <c r="G278" i="3"/>
  <c r="G283" i="3"/>
  <c r="G280" i="3"/>
  <c r="G276" i="3"/>
  <c r="AB399" i="13"/>
  <c r="B399" i="13"/>
  <c r="R291" i="13"/>
  <c r="B295" i="13"/>
  <c r="P401" i="13"/>
  <c r="C402" i="13"/>
  <c r="M277" i="3"/>
  <c r="M283" i="3"/>
  <c r="F174" i="3"/>
  <c r="Y270" i="3"/>
  <c r="Y280" i="3"/>
  <c r="P276" i="3"/>
  <c r="M271" i="3"/>
  <c r="F173" i="3"/>
  <c r="F169" i="3"/>
  <c r="Y276" i="3"/>
  <c r="P281" i="3"/>
  <c r="P279" i="3"/>
  <c r="Z288" i="13"/>
  <c r="AB398" i="13"/>
  <c r="Z291" i="13"/>
  <c r="Q175" i="13"/>
  <c r="Z295" i="13"/>
  <c r="AB404" i="13"/>
  <c r="P402" i="13"/>
  <c r="C403" i="13"/>
  <c r="AB294" i="13"/>
  <c r="M278" i="3"/>
  <c r="F175" i="3"/>
  <c r="Y271" i="3"/>
  <c r="P278" i="3"/>
  <c r="D282" i="3"/>
  <c r="M280" i="3"/>
  <c r="F162" i="3"/>
  <c r="Y279" i="3"/>
  <c r="P270" i="3"/>
  <c r="C397" i="13"/>
  <c r="P398" i="13"/>
  <c r="B400" i="13"/>
  <c r="AB401" i="13"/>
  <c r="P403" i="13"/>
  <c r="M282" i="3"/>
  <c r="F168" i="3"/>
  <c r="AA280" i="3"/>
  <c r="AA174" i="3"/>
  <c r="Y281" i="3"/>
  <c r="P277" i="3"/>
  <c r="V288" i="13"/>
  <c r="Y181" i="13"/>
  <c r="C400" i="13"/>
  <c r="AB400" i="13"/>
  <c r="Z293" i="13"/>
  <c r="M279" i="3"/>
  <c r="F170" i="3"/>
  <c r="Y283" i="3"/>
  <c r="P283" i="3"/>
  <c r="AB289" i="13"/>
  <c r="M270" i="3"/>
  <c r="O385" i="13"/>
  <c r="O398" i="13"/>
  <c r="O387" i="13"/>
  <c r="O380" i="13"/>
  <c r="O399" i="13"/>
  <c r="O392" i="13"/>
  <c r="O397" i="13"/>
  <c r="O404" i="13"/>
  <c r="O388" i="13"/>
  <c r="X78" i="9"/>
  <c r="P186" i="3"/>
  <c r="N151" i="9"/>
  <c r="F80" i="9"/>
  <c r="T78" i="9"/>
  <c r="W79" i="9"/>
  <c r="X474" i="9"/>
  <c r="X75" i="9"/>
  <c r="X76" i="9"/>
  <c r="N79" i="9"/>
  <c r="I75" i="9"/>
  <c r="M69" i="9"/>
  <c r="F67" i="9"/>
  <c r="X80" i="9"/>
  <c r="W66" i="9"/>
  <c r="AC64" i="9"/>
  <c r="Z78" i="9"/>
  <c r="F68" i="9"/>
  <c r="W69" i="9"/>
  <c r="W68" i="9"/>
  <c r="I63" i="9"/>
  <c r="B289" i="13"/>
  <c r="Z400" i="13"/>
  <c r="AB295" i="13"/>
  <c r="R292" i="13"/>
  <c r="R293" i="13"/>
  <c r="U270" i="3"/>
  <c r="D162" i="3"/>
  <c r="D173" i="3"/>
  <c r="X280" i="3"/>
  <c r="Y168" i="3"/>
  <c r="P171" i="3"/>
  <c r="Y187" i="3"/>
  <c r="I46" i="9"/>
  <c r="I74" i="9"/>
  <c r="W78" i="9"/>
  <c r="T74" i="9"/>
  <c r="X368" i="9"/>
  <c r="N81" i="9"/>
  <c r="X152" i="9"/>
  <c r="AC77" i="9"/>
  <c r="AC74" i="9"/>
  <c r="M63" i="9"/>
  <c r="T63" i="9"/>
  <c r="T68" i="9"/>
  <c r="F56" i="9"/>
  <c r="W56" i="9"/>
  <c r="I81" i="9"/>
  <c r="AC65" i="9"/>
  <c r="N397" i="13"/>
  <c r="AB288" i="13"/>
  <c r="R289" i="13"/>
  <c r="N399" i="13"/>
  <c r="AB290" i="13"/>
  <c r="Z404" i="13"/>
  <c r="B292" i="13"/>
  <c r="AB292" i="13"/>
  <c r="Z402" i="13"/>
  <c r="B293" i="13"/>
  <c r="U277" i="3"/>
  <c r="D168" i="3"/>
  <c r="D175" i="3"/>
  <c r="X276" i="3"/>
  <c r="Y170" i="3"/>
  <c r="P173" i="3"/>
  <c r="I151" i="9"/>
  <c r="I368" i="9"/>
  <c r="X81" i="9"/>
  <c r="X45" i="9"/>
  <c r="AC76" i="9"/>
  <c r="M77" i="9"/>
  <c r="X260" i="9"/>
  <c r="W76" i="9"/>
  <c r="N368" i="9"/>
  <c r="AC78" i="9"/>
  <c r="I57" i="9"/>
  <c r="I66" i="9"/>
  <c r="I62" i="9"/>
  <c r="W63" i="9"/>
  <c r="W65" i="9"/>
  <c r="AC63" i="9"/>
  <c r="T57" i="9"/>
  <c r="T56" i="9"/>
  <c r="AC68" i="9"/>
  <c r="M65" i="9"/>
  <c r="T64" i="9"/>
  <c r="V290" i="13"/>
  <c r="Z401" i="13"/>
  <c r="N401" i="13"/>
  <c r="V294" i="13"/>
  <c r="U278" i="3"/>
  <c r="D170" i="3"/>
  <c r="X282" i="3"/>
  <c r="Y163" i="3"/>
  <c r="Y172" i="3"/>
  <c r="P175" i="3"/>
  <c r="D172" i="3"/>
  <c r="X279" i="3"/>
  <c r="Y169" i="3"/>
  <c r="Y174" i="3"/>
  <c r="P162" i="3"/>
  <c r="AC75" i="9"/>
  <c r="W77" i="9"/>
  <c r="X77" i="9"/>
  <c r="I76" i="9"/>
  <c r="X74" i="9"/>
  <c r="N76" i="9"/>
  <c r="Z79" i="9"/>
  <c r="M56" i="9"/>
  <c r="Z81" i="9"/>
  <c r="W64" i="9"/>
  <c r="I68" i="9"/>
  <c r="AA81" i="9"/>
  <c r="T65" i="9"/>
  <c r="AC67" i="9"/>
  <c r="B291" i="13"/>
  <c r="V295" i="13"/>
  <c r="R294" i="13"/>
  <c r="U282" i="3"/>
  <c r="D174" i="3"/>
  <c r="X271" i="3"/>
  <c r="Y171" i="3"/>
  <c r="P168" i="3"/>
  <c r="D180" i="3"/>
  <c r="X473" i="9"/>
  <c r="N74" i="9"/>
  <c r="T81" i="9"/>
  <c r="W81" i="9"/>
  <c r="I80" i="9"/>
  <c r="X46" i="9"/>
  <c r="M74" i="9"/>
  <c r="N75" i="9"/>
  <c r="N80" i="9"/>
  <c r="T77" i="9"/>
  <c r="T62" i="9"/>
  <c r="M57" i="9"/>
  <c r="AC62" i="9"/>
  <c r="F62" i="9"/>
  <c r="M79" i="9"/>
  <c r="I65" i="9"/>
  <c r="W80" i="9"/>
  <c r="I64" i="9"/>
  <c r="I56" i="9"/>
  <c r="T66" i="9"/>
  <c r="F81" i="9"/>
  <c r="Z80" i="9"/>
  <c r="Z397" i="13"/>
  <c r="R288" i="13"/>
  <c r="B288" i="13"/>
  <c r="N400" i="13"/>
  <c r="AA171" i="13"/>
  <c r="V293" i="13"/>
  <c r="M62" i="9"/>
  <c r="U279" i="3"/>
  <c r="D163" i="3"/>
  <c r="X270" i="3"/>
  <c r="X281" i="3"/>
  <c r="Y173" i="3"/>
  <c r="P170" i="3"/>
  <c r="U280" i="3"/>
  <c r="X293" i="3"/>
  <c r="I260" i="9"/>
  <c r="N45" i="9"/>
  <c r="I259" i="9"/>
  <c r="M76" i="9"/>
  <c r="X369" i="9"/>
  <c r="X151" i="9"/>
  <c r="T75" i="9"/>
  <c r="T76" i="9"/>
  <c r="M80" i="9"/>
  <c r="W75" i="9"/>
  <c r="N46" i="9"/>
  <c r="M64" i="9"/>
  <c r="I69" i="9"/>
  <c r="Z76" i="9"/>
  <c r="W57" i="9"/>
  <c r="F66" i="9"/>
  <c r="V289" i="13"/>
  <c r="V291" i="13"/>
  <c r="U276" i="3"/>
  <c r="X277" i="3"/>
  <c r="P163" i="3"/>
  <c r="AB78" i="9"/>
  <c r="J64" i="9"/>
  <c r="J79" i="9"/>
  <c r="AB56" i="9"/>
  <c r="J292" i="13"/>
  <c r="Q173" i="13"/>
  <c r="K402" i="13"/>
  <c r="I403" i="13"/>
  <c r="N279" i="3"/>
  <c r="I163" i="3"/>
  <c r="I172" i="3"/>
  <c r="I281" i="3"/>
  <c r="F473" i="9"/>
  <c r="F151" i="9"/>
  <c r="F78" i="9"/>
  <c r="AB77" i="9"/>
  <c r="F152" i="9"/>
  <c r="J67" i="9"/>
  <c r="J69" i="9"/>
  <c r="J63" i="9"/>
  <c r="U180" i="13"/>
  <c r="Q181" i="13"/>
  <c r="J289" i="13"/>
  <c r="Q398" i="13"/>
  <c r="Q400" i="13"/>
  <c r="K400" i="13"/>
  <c r="Q183" i="13"/>
  <c r="Q187" i="13"/>
  <c r="U175" i="13"/>
  <c r="Q184" i="13"/>
  <c r="U174" i="13"/>
  <c r="Q403" i="13"/>
  <c r="N278" i="3"/>
  <c r="I171" i="3"/>
  <c r="I278" i="3"/>
  <c r="F77" i="9"/>
  <c r="AB64" i="9"/>
  <c r="Q169" i="13"/>
  <c r="U181" i="13"/>
  <c r="Q163" i="13"/>
  <c r="K404" i="13"/>
  <c r="U187" i="13"/>
  <c r="U186" i="13"/>
  <c r="J62" i="9"/>
  <c r="N276" i="3"/>
  <c r="I173" i="3"/>
  <c r="I276" i="3"/>
  <c r="I280" i="3"/>
  <c r="F46" i="9"/>
  <c r="F74" i="9"/>
  <c r="AB75" i="9"/>
  <c r="F76" i="9"/>
  <c r="AB79" i="9"/>
  <c r="J75" i="9"/>
  <c r="AB69" i="9"/>
  <c r="J77" i="9"/>
  <c r="U168" i="13"/>
  <c r="U169" i="13"/>
  <c r="U182" i="13"/>
  <c r="Q171" i="13"/>
  <c r="Q404" i="13"/>
  <c r="Q172" i="13"/>
  <c r="Q401" i="13"/>
  <c r="J294" i="13"/>
  <c r="N283" i="3"/>
  <c r="N271" i="3"/>
  <c r="I175" i="3"/>
  <c r="I271" i="3"/>
  <c r="I282" i="3"/>
  <c r="AC80" i="9"/>
  <c r="F369" i="9"/>
  <c r="AB81" i="9"/>
  <c r="F79" i="9"/>
  <c r="AB76" i="9"/>
  <c r="J66" i="9"/>
  <c r="J56" i="9"/>
  <c r="J76" i="9"/>
  <c r="K397" i="13"/>
  <c r="Q170" i="13"/>
  <c r="K399" i="13"/>
  <c r="U170" i="13"/>
  <c r="I400" i="13"/>
  <c r="U171" i="13"/>
  <c r="Q186" i="13"/>
  <c r="N270" i="3"/>
  <c r="N277" i="3"/>
  <c r="I162" i="3"/>
  <c r="I270" i="3"/>
  <c r="W293" i="3"/>
  <c r="F45" i="9"/>
  <c r="F368" i="9"/>
  <c r="J68" i="9"/>
  <c r="J57" i="9"/>
  <c r="AB62" i="9"/>
  <c r="J78" i="9"/>
  <c r="AB57" i="9"/>
  <c r="Q168" i="13"/>
  <c r="I397" i="13"/>
  <c r="I398" i="13"/>
  <c r="J290" i="13"/>
  <c r="U183" i="13"/>
  <c r="J295" i="13"/>
  <c r="I401" i="13"/>
  <c r="U173" i="13"/>
  <c r="Q162" i="13"/>
  <c r="N280" i="3"/>
  <c r="I168" i="3"/>
  <c r="I277" i="3"/>
  <c r="W276" i="3"/>
  <c r="I182" i="3"/>
  <c r="F260" i="9"/>
  <c r="F75" i="9"/>
  <c r="AB68" i="9"/>
  <c r="AB67" i="9"/>
  <c r="Q180" i="13"/>
  <c r="J288" i="13"/>
  <c r="Q182" i="13"/>
  <c r="I399" i="13"/>
  <c r="I404" i="13"/>
  <c r="W270" i="3"/>
  <c r="O278" i="3"/>
  <c r="N162" i="13"/>
  <c r="O281" i="3"/>
  <c r="N173" i="13"/>
  <c r="N174" i="13"/>
  <c r="F279" i="3"/>
  <c r="N172" i="13"/>
  <c r="O151" i="9"/>
  <c r="G152" i="9"/>
  <c r="O260" i="9"/>
  <c r="G45" i="9"/>
  <c r="G368" i="9"/>
  <c r="G473" i="9"/>
  <c r="AC270" i="3"/>
  <c r="AC283" i="3"/>
  <c r="T270" i="3"/>
  <c r="AA276" i="3"/>
  <c r="B283" i="3"/>
  <c r="AA163" i="3"/>
  <c r="D279" i="3"/>
  <c r="AC277" i="3"/>
  <c r="T277" i="3"/>
  <c r="AA282" i="3"/>
  <c r="B271" i="3"/>
  <c r="AA169" i="3"/>
  <c r="D278" i="3"/>
  <c r="D271" i="3"/>
  <c r="AA75" i="9"/>
  <c r="AC276" i="3"/>
  <c r="T276" i="3"/>
  <c r="T283" i="3"/>
  <c r="AA271" i="3"/>
  <c r="AA279" i="3"/>
  <c r="B270" i="3"/>
  <c r="B277" i="3"/>
  <c r="AA171" i="3"/>
  <c r="D270" i="3"/>
  <c r="D281" i="3"/>
  <c r="AA77" i="9"/>
  <c r="AC278" i="3"/>
  <c r="T282" i="3"/>
  <c r="T280" i="3"/>
  <c r="AA281" i="3"/>
  <c r="AA270" i="3"/>
  <c r="B280" i="3"/>
  <c r="B276" i="3"/>
  <c r="AA173" i="3"/>
  <c r="D277" i="3"/>
  <c r="AA74" i="9"/>
  <c r="AC280" i="3"/>
  <c r="T279" i="3"/>
  <c r="AA278" i="3"/>
  <c r="B282" i="3"/>
  <c r="AA168" i="3"/>
  <c r="AA175" i="3"/>
  <c r="D283" i="3"/>
  <c r="AA76" i="9"/>
  <c r="AC282" i="3"/>
  <c r="T271" i="3"/>
  <c r="AA277" i="3"/>
  <c r="B279" i="3"/>
  <c r="AA170" i="3"/>
  <c r="AA162" i="3"/>
  <c r="D280" i="3"/>
  <c r="AA78" i="9"/>
  <c r="AA80" i="9"/>
  <c r="AB80" i="9"/>
  <c r="H260" i="9"/>
  <c r="H46" i="9"/>
  <c r="H152" i="9"/>
  <c r="H259" i="9"/>
  <c r="H369" i="9"/>
  <c r="H474" i="9"/>
  <c r="H473" i="9"/>
  <c r="H151" i="9"/>
  <c r="Q369" i="9"/>
  <c r="Q152" i="9"/>
  <c r="Q474" i="9"/>
  <c r="Q368" i="9"/>
  <c r="Q473" i="9"/>
  <c r="Q259" i="9"/>
  <c r="Q260" i="9"/>
  <c r="AB259" i="9"/>
  <c r="AB369" i="9"/>
  <c r="AB474" i="9"/>
  <c r="AB260" i="9"/>
  <c r="AB473" i="9"/>
  <c r="AC259" i="9"/>
  <c r="AC369" i="9"/>
  <c r="AC474" i="9"/>
  <c r="AC260" i="9"/>
  <c r="AC368" i="9"/>
  <c r="AC473" i="9"/>
  <c r="C152" i="9"/>
  <c r="C369" i="9"/>
  <c r="C151" i="9"/>
  <c r="C473" i="9"/>
  <c r="C260" i="9"/>
  <c r="C368" i="9"/>
  <c r="O474" i="9"/>
  <c r="O46" i="9"/>
  <c r="W369" i="9"/>
  <c r="W473" i="9"/>
  <c r="W260" i="9"/>
  <c r="W151" i="9"/>
  <c r="W46" i="9"/>
  <c r="W474" i="9"/>
  <c r="W152" i="9"/>
  <c r="U152" i="9"/>
  <c r="U368" i="9"/>
  <c r="U369" i="9"/>
  <c r="U151" i="9"/>
  <c r="U474" i="9"/>
  <c r="U259" i="9"/>
  <c r="U260" i="9"/>
  <c r="U473" i="9"/>
  <c r="M78" i="9"/>
  <c r="T80" i="9"/>
  <c r="Z280" i="3"/>
  <c r="O277" i="3"/>
  <c r="O270" i="3"/>
  <c r="F276" i="3"/>
  <c r="Z282" i="3"/>
  <c r="O283" i="3"/>
  <c r="F281" i="3"/>
  <c r="F271" i="3"/>
  <c r="S74" i="9"/>
  <c r="Z279" i="3"/>
  <c r="O280" i="3"/>
  <c r="F278" i="3"/>
  <c r="F277" i="3"/>
  <c r="Z281" i="3"/>
  <c r="O276" i="3"/>
  <c r="F283" i="3"/>
  <c r="Z271" i="3"/>
  <c r="O282" i="3"/>
  <c r="F270" i="3"/>
  <c r="Z278" i="3"/>
  <c r="Z277" i="3"/>
  <c r="O279" i="3"/>
  <c r="F280" i="3"/>
  <c r="Z283" i="3"/>
  <c r="W282" i="3"/>
  <c r="W279" i="3"/>
  <c r="W271" i="3"/>
  <c r="W281" i="3"/>
  <c r="W278" i="3"/>
  <c r="W277" i="3"/>
  <c r="W280" i="3"/>
  <c r="H280" i="3"/>
  <c r="H279" i="3"/>
  <c r="H276" i="3"/>
  <c r="H271" i="3"/>
  <c r="H282" i="3"/>
  <c r="H281" i="3"/>
  <c r="AA184" i="13"/>
  <c r="H278" i="3"/>
  <c r="H270" i="3"/>
  <c r="AA182" i="13"/>
  <c r="AA163" i="13"/>
  <c r="AA173" i="13"/>
  <c r="AA186" i="13"/>
  <c r="AA168" i="13"/>
  <c r="AA175" i="13"/>
  <c r="AA162" i="13"/>
  <c r="AA180" i="13"/>
  <c r="AA181" i="13"/>
  <c r="AA187" i="13"/>
  <c r="AA174" i="13"/>
  <c r="AA169" i="13"/>
  <c r="O401" i="13"/>
  <c r="AA183" i="13"/>
  <c r="AA170" i="13"/>
  <c r="O389" i="13"/>
  <c r="AA172" i="13"/>
  <c r="Y169" i="13"/>
  <c r="Y183" i="13"/>
  <c r="Y168" i="13"/>
  <c r="Y170" i="13"/>
  <c r="Y175" i="13"/>
  <c r="Y180" i="13"/>
  <c r="Y171" i="13"/>
  <c r="Y187" i="13"/>
  <c r="Y184" i="13"/>
  <c r="Y182" i="13"/>
  <c r="Y163" i="13"/>
  <c r="Y172" i="13"/>
  <c r="Y173" i="13"/>
  <c r="P56" i="9"/>
  <c r="P68" i="9"/>
  <c r="P67" i="9"/>
  <c r="P65" i="9"/>
  <c r="P63" i="9"/>
  <c r="P62" i="9"/>
  <c r="P64" i="9"/>
  <c r="P57" i="9"/>
  <c r="P69" i="9"/>
  <c r="P66" i="9"/>
  <c r="O403" i="13"/>
  <c r="O391" i="13"/>
  <c r="O390" i="13"/>
  <c r="O379" i="13"/>
  <c r="E509" i="3"/>
  <c r="E507" i="3"/>
  <c r="E505" i="3"/>
  <c r="E503" i="3"/>
  <c r="E497" i="3"/>
  <c r="E495" i="3"/>
  <c r="E493" i="3"/>
  <c r="E484" i="3"/>
  <c r="E491" i="3"/>
  <c r="E485" i="3"/>
  <c r="E508" i="3"/>
  <c r="E506" i="3"/>
  <c r="E504" i="3"/>
  <c r="E502" i="3"/>
  <c r="E496" i="3"/>
  <c r="E494" i="3"/>
  <c r="E492" i="3"/>
  <c r="E490" i="3"/>
  <c r="O186" i="3"/>
  <c r="O184" i="3"/>
  <c r="O182" i="3"/>
  <c r="O180" i="3"/>
  <c r="O174" i="3"/>
  <c r="O172" i="3"/>
  <c r="O170" i="3"/>
  <c r="O168" i="3"/>
  <c r="O162" i="3"/>
  <c r="O187" i="3"/>
  <c r="O185" i="3"/>
  <c r="O183" i="3"/>
  <c r="O181" i="3"/>
  <c r="O175" i="3"/>
  <c r="O173" i="3"/>
  <c r="O171" i="3"/>
  <c r="O169" i="3"/>
  <c r="O163" i="3"/>
  <c r="H485" i="3"/>
  <c r="H508" i="3"/>
  <c r="H506" i="3"/>
  <c r="H504" i="3"/>
  <c r="H502" i="3"/>
  <c r="H496" i="3"/>
  <c r="H494" i="3"/>
  <c r="H492" i="3"/>
  <c r="H490" i="3"/>
  <c r="H509" i="3"/>
  <c r="H507" i="3"/>
  <c r="H505" i="3"/>
  <c r="H503" i="3"/>
  <c r="H497" i="3"/>
  <c r="H495" i="3"/>
  <c r="H493" i="3"/>
  <c r="H484" i="3"/>
  <c r="H491" i="3"/>
  <c r="J74" i="3"/>
  <c r="J68" i="3"/>
  <c r="J56" i="3"/>
  <c r="J77" i="3"/>
  <c r="J63" i="3"/>
  <c r="J80" i="3"/>
  <c r="J66" i="3"/>
  <c r="J75" i="3"/>
  <c r="J69" i="3"/>
  <c r="J57" i="3"/>
  <c r="J78" i="3"/>
  <c r="J64" i="3"/>
  <c r="J81" i="3"/>
  <c r="J67" i="3"/>
  <c r="J76" i="3"/>
  <c r="J62" i="3"/>
  <c r="J79" i="3"/>
  <c r="J65" i="3"/>
  <c r="I77" i="3"/>
  <c r="I63" i="3"/>
  <c r="I80" i="3"/>
  <c r="I66" i="3"/>
  <c r="I75" i="3"/>
  <c r="I69" i="3"/>
  <c r="I57" i="3"/>
  <c r="I78" i="3"/>
  <c r="I64" i="3"/>
  <c r="I81" i="3"/>
  <c r="I67" i="3"/>
  <c r="I76" i="3"/>
  <c r="I62" i="3"/>
  <c r="I79" i="3"/>
  <c r="I65" i="3"/>
  <c r="I74" i="3"/>
  <c r="I68" i="3"/>
  <c r="I56" i="3"/>
  <c r="Z508" i="3"/>
  <c r="Z506" i="3"/>
  <c r="Z504" i="3"/>
  <c r="Z502" i="3"/>
  <c r="Z496" i="3"/>
  <c r="Z494" i="3"/>
  <c r="Z492" i="3"/>
  <c r="Z490" i="3"/>
  <c r="Z509" i="3"/>
  <c r="Z507" i="3"/>
  <c r="Z505" i="3"/>
  <c r="Z503" i="3"/>
  <c r="Z497" i="3"/>
  <c r="Z495" i="3"/>
  <c r="Z493" i="3"/>
  <c r="Z484" i="3"/>
  <c r="Z491" i="3"/>
  <c r="Z485" i="3"/>
  <c r="T490" i="3"/>
  <c r="T509" i="3"/>
  <c r="T507" i="3"/>
  <c r="T505" i="3"/>
  <c r="T503" i="3"/>
  <c r="T497" i="3"/>
  <c r="T495" i="3"/>
  <c r="T493" i="3"/>
  <c r="T484" i="3"/>
  <c r="T491" i="3"/>
  <c r="T485" i="3"/>
  <c r="T508" i="3"/>
  <c r="T506" i="3"/>
  <c r="T504" i="3"/>
  <c r="T502" i="3"/>
  <c r="T496" i="3"/>
  <c r="T494" i="3"/>
  <c r="T492" i="3"/>
  <c r="R508" i="3"/>
  <c r="R506" i="3"/>
  <c r="R504" i="3"/>
  <c r="R502" i="3"/>
  <c r="R496" i="3"/>
  <c r="R494" i="3"/>
  <c r="R492" i="3"/>
  <c r="R490" i="3"/>
  <c r="R509" i="3"/>
  <c r="R507" i="3"/>
  <c r="R505" i="3"/>
  <c r="R503" i="3"/>
  <c r="R497" i="3"/>
  <c r="R495" i="3"/>
  <c r="R493" i="3"/>
  <c r="R484" i="3"/>
  <c r="R491" i="3"/>
  <c r="R485" i="3"/>
  <c r="M81" i="3"/>
  <c r="M67" i="3"/>
  <c r="M76" i="3"/>
  <c r="M62" i="3"/>
  <c r="M79" i="3"/>
  <c r="M65" i="3"/>
  <c r="M74" i="3"/>
  <c r="M68" i="3"/>
  <c r="M56" i="3"/>
  <c r="M77" i="3"/>
  <c r="M63" i="3"/>
  <c r="M80" i="3"/>
  <c r="M66" i="3"/>
  <c r="M75" i="3"/>
  <c r="M69" i="3"/>
  <c r="M57" i="3"/>
  <c r="M78" i="3"/>
  <c r="M64" i="3"/>
  <c r="Z404" i="3"/>
  <c r="Z402" i="3"/>
  <c r="Z400" i="3"/>
  <c r="Z398" i="3"/>
  <c r="Z386" i="3"/>
  <c r="Z403" i="3"/>
  <c r="Z401" i="3"/>
  <c r="Z385" i="3"/>
  <c r="Z397" i="3"/>
  <c r="Z379" i="3"/>
  <c r="Z390" i="3"/>
  <c r="Z387" i="3"/>
  <c r="Z380" i="3"/>
  <c r="Z388" i="3"/>
  <c r="Z391" i="3"/>
  <c r="Z399" i="3"/>
  <c r="Z389" i="3"/>
  <c r="Z392" i="3"/>
  <c r="M403" i="3"/>
  <c r="M401" i="3"/>
  <c r="M387" i="3"/>
  <c r="M404" i="3"/>
  <c r="M402" i="3"/>
  <c r="M400" i="3"/>
  <c r="M398" i="3"/>
  <c r="M389" i="3"/>
  <c r="M399" i="3"/>
  <c r="M392" i="3"/>
  <c r="M386" i="3"/>
  <c r="M379" i="3"/>
  <c r="M390" i="3"/>
  <c r="M380" i="3"/>
  <c r="M388" i="3"/>
  <c r="M397" i="3"/>
  <c r="M391" i="3"/>
  <c r="M385" i="3"/>
  <c r="J508" i="3"/>
  <c r="J506" i="3"/>
  <c r="J504" i="3"/>
  <c r="J502" i="3"/>
  <c r="J496" i="3"/>
  <c r="J494" i="3"/>
  <c r="J492" i="3"/>
  <c r="J490" i="3"/>
  <c r="J509" i="3"/>
  <c r="J507" i="3"/>
  <c r="J505" i="3"/>
  <c r="J503" i="3"/>
  <c r="J497" i="3"/>
  <c r="J495" i="3"/>
  <c r="J493" i="3"/>
  <c r="J484" i="3"/>
  <c r="J491" i="3"/>
  <c r="J485" i="3"/>
  <c r="T403" i="3"/>
  <c r="T401" i="3"/>
  <c r="T399" i="3"/>
  <c r="T397" i="3"/>
  <c r="T391" i="3"/>
  <c r="T389" i="3"/>
  <c r="T404" i="3"/>
  <c r="T402" i="3"/>
  <c r="T400" i="3"/>
  <c r="T398" i="3"/>
  <c r="T392" i="3"/>
  <c r="T390" i="3"/>
  <c r="T388" i="3"/>
  <c r="T379" i="3"/>
  <c r="T385" i="3"/>
  <c r="T386" i="3"/>
  <c r="T387" i="3"/>
  <c r="T380" i="3"/>
  <c r="I168" i="13"/>
  <c r="W168" i="13"/>
  <c r="M180" i="13"/>
  <c r="P180" i="13"/>
  <c r="J181" i="13"/>
  <c r="D181" i="13"/>
  <c r="I181" i="13"/>
  <c r="W181" i="13"/>
  <c r="O169" i="13"/>
  <c r="Z169" i="13"/>
  <c r="P182" i="13"/>
  <c r="Z182" i="13"/>
  <c r="AC183" i="13"/>
  <c r="J183" i="13"/>
  <c r="V183" i="13"/>
  <c r="D183" i="13"/>
  <c r="T175" i="13"/>
  <c r="C163" i="13"/>
  <c r="AB187" i="13"/>
  <c r="V187" i="13"/>
  <c r="P187" i="13"/>
  <c r="R175" i="13"/>
  <c r="P172" i="13"/>
  <c r="T184" i="13"/>
  <c r="E184" i="13"/>
  <c r="I184" i="13"/>
  <c r="Z172" i="13"/>
  <c r="D172" i="13"/>
  <c r="W184" i="13"/>
  <c r="O184" i="13"/>
  <c r="V172" i="13"/>
  <c r="T185" i="13"/>
  <c r="J173" i="13"/>
  <c r="R173" i="13"/>
  <c r="D173" i="13"/>
  <c r="W173" i="13"/>
  <c r="M185" i="13"/>
  <c r="I174" i="13"/>
  <c r="S174" i="13"/>
  <c r="H162" i="13"/>
  <c r="C162" i="13"/>
  <c r="V162" i="13"/>
  <c r="O174" i="13"/>
  <c r="AB186" i="13"/>
  <c r="P186" i="13"/>
  <c r="Y162" i="13"/>
  <c r="Y174" i="13"/>
  <c r="Y186" i="13"/>
  <c r="U172" i="13"/>
  <c r="U184" i="13"/>
  <c r="V295" i="3"/>
  <c r="N295" i="3"/>
  <c r="N291" i="3"/>
  <c r="M292" i="3"/>
  <c r="M295" i="3"/>
  <c r="E288" i="3"/>
  <c r="E291" i="3"/>
  <c r="AB180" i="3"/>
  <c r="V181" i="3"/>
  <c r="F186" i="3"/>
  <c r="T293" i="3"/>
  <c r="T292" i="3"/>
  <c r="I187" i="3"/>
  <c r="I184" i="3"/>
  <c r="AA288" i="3"/>
  <c r="C295" i="3"/>
  <c r="C291" i="3"/>
  <c r="L186" i="3"/>
  <c r="L185" i="3"/>
  <c r="D182" i="3"/>
  <c r="D181" i="3"/>
  <c r="Q187" i="3"/>
  <c r="Q184" i="3"/>
  <c r="Z295" i="3"/>
  <c r="Z291" i="3"/>
  <c r="R292" i="3"/>
  <c r="K186" i="3"/>
  <c r="K185" i="3"/>
  <c r="C182" i="3"/>
  <c r="C181" i="3"/>
  <c r="R180" i="3"/>
  <c r="Z187" i="3"/>
  <c r="X294" i="3"/>
  <c r="X290" i="3"/>
  <c r="H293" i="3"/>
  <c r="H292" i="3"/>
  <c r="D292" i="3"/>
  <c r="W294" i="3"/>
  <c r="W290" i="3"/>
  <c r="X185" i="3"/>
  <c r="X184" i="3"/>
  <c r="P181" i="3"/>
  <c r="F293" i="3"/>
  <c r="F289" i="3"/>
  <c r="I485" i="3"/>
  <c r="I508" i="3"/>
  <c r="I506" i="3"/>
  <c r="I504" i="3"/>
  <c r="I502" i="3"/>
  <c r="I496" i="3"/>
  <c r="I494" i="3"/>
  <c r="I492" i="3"/>
  <c r="I490" i="3"/>
  <c r="I509" i="3"/>
  <c r="I507" i="3"/>
  <c r="I505" i="3"/>
  <c r="I503" i="3"/>
  <c r="I497" i="3"/>
  <c r="I495" i="3"/>
  <c r="I493" i="3"/>
  <c r="I484" i="3"/>
  <c r="I491" i="3"/>
  <c r="K490" i="3"/>
  <c r="K509" i="3"/>
  <c r="K507" i="3"/>
  <c r="K505" i="3"/>
  <c r="K503" i="3"/>
  <c r="K497" i="3"/>
  <c r="K495" i="3"/>
  <c r="K493" i="3"/>
  <c r="K484" i="3"/>
  <c r="K491" i="3"/>
  <c r="K485" i="3"/>
  <c r="K508" i="3"/>
  <c r="K506" i="3"/>
  <c r="K504" i="3"/>
  <c r="K502" i="3"/>
  <c r="K496" i="3"/>
  <c r="K494" i="3"/>
  <c r="K492" i="3"/>
  <c r="G186" i="3"/>
  <c r="G184" i="3"/>
  <c r="G182" i="3"/>
  <c r="G180" i="3"/>
  <c r="G174" i="3"/>
  <c r="G172" i="3"/>
  <c r="G170" i="3"/>
  <c r="G168" i="3"/>
  <c r="G162" i="3"/>
  <c r="G187" i="3"/>
  <c r="G185" i="3"/>
  <c r="G183" i="3"/>
  <c r="G181" i="3"/>
  <c r="G175" i="3"/>
  <c r="G173" i="3"/>
  <c r="G171" i="3"/>
  <c r="G169" i="3"/>
  <c r="G163" i="3"/>
  <c r="AA79" i="3"/>
  <c r="AA65" i="3"/>
  <c r="AA74" i="3"/>
  <c r="AA68" i="3"/>
  <c r="AA56" i="3"/>
  <c r="AA77" i="3"/>
  <c r="AA63" i="3"/>
  <c r="AA80" i="3"/>
  <c r="AA66" i="3"/>
  <c r="AA75" i="3"/>
  <c r="AA69" i="3"/>
  <c r="AA57" i="3"/>
  <c r="AA78" i="3"/>
  <c r="AA64" i="3"/>
  <c r="AA81" i="3"/>
  <c r="AA67" i="3"/>
  <c r="AA76" i="3"/>
  <c r="AA62" i="3"/>
  <c r="B68" i="3"/>
  <c r="B56" i="3"/>
  <c r="B79" i="3"/>
  <c r="B67" i="3"/>
  <c r="B78" i="3"/>
  <c r="B66" i="3"/>
  <c r="B77" i="3"/>
  <c r="B65" i="3"/>
  <c r="B76" i="3"/>
  <c r="B64" i="3"/>
  <c r="B75" i="3"/>
  <c r="B63" i="3"/>
  <c r="B74" i="3"/>
  <c r="B62" i="3"/>
  <c r="B81" i="3"/>
  <c r="B69" i="3"/>
  <c r="B57" i="3"/>
  <c r="AB490" i="3"/>
  <c r="AB509" i="3"/>
  <c r="AB507" i="3"/>
  <c r="AB505" i="3"/>
  <c r="AB503" i="3"/>
  <c r="AB497" i="3"/>
  <c r="AB495" i="3"/>
  <c r="AB493" i="3"/>
  <c r="AB484" i="3"/>
  <c r="AB491" i="3"/>
  <c r="AB485" i="3"/>
  <c r="AB508" i="3"/>
  <c r="AB506" i="3"/>
  <c r="AB504" i="3"/>
  <c r="AB502" i="3"/>
  <c r="AB496" i="3"/>
  <c r="AB494" i="3"/>
  <c r="AB492" i="3"/>
  <c r="AC509" i="3"/>
  <c r="AC507" i="3"/>
  <c r="AC505" i="3"/>
  <c r="AC503" i="3"/>
  <c r="AC497" i="3"/>
  <c r="AC495" i="3"/>
  <c r="AC493" i="3"/>
  <c r="AC484" i="3"/>
  <c r="AC491" i="3"/>
  <c r="AC485" i="3"/>
  <c r="AC508" i="3"/>
  <c r="AC506" i="3"/>
  <c r="AC504" i="3"/>
  <c r="AC502" i="3"/>
  <c r="AC496" i="3"/>
  <c r="AC494" i="3"/>
  <c r="AC492" i="3"/>
  <c r="AC490" i="3"/>
  <c r="E81" i="3"/>
  <c r="E67" i="3"/>
  <c r="E76" i="3"/>
  <c r="E62" i="3"/>
  <c r="E79" i="3"/>
  <c r="E65" i="3"/>
  <c r="E74" i="3"/>
  <c r="E68" i="3"/>
  <c r="E56" i="3"/>
  <c r="E77" i="3"/>
  <c r="E63" i="3"/>
  <c r="E80" i="3"/>
  <c r="E66" i="3"/>
  <c r="E75" i="3"/>
  <c r="E69" i="3"/>
  <c r="E57" i="3"/>
  <c r="E78" i="3"/>
  <c r="E64" i="3"/>
  <c r="Q404" i="3"/>
  <c r="Q402" i="3"/>
  <c r="Q400" i="3"/>
  <c r="Q403" i="3"/>
  <c r="Q401" i="3"/>
  <c r="Q399" i="3"/>
  <c r="Q397" i="3"/>
  <c r="Q387" i="3"/>
  <c r="Q390" i="3"/>
  <c r="Q380" i="3"/>
  <c r="Q388" i="3"/>
  <c r="Q391" i="3"/>
  <c r="Q385" i="3"/>
  <c r="Q389" i="3"/>
  <c r="Q392" i="3"/>
  <c r="Q386" i="3"/>
  <c r="Q398" i="3"/>
  <c r="Q379" i="3"/>
  <c r="W403" i="3"/>
  <c r="W401" i="3"/>
  <c r="W399" i="3"/>
  <c r="W397" i="3"/>
  <c r="W404" i="3"/>
  <c r="W402" i="3"/>
  <c r="W400" i="3"/>
  <c r="W398" i="3"/>
  <c r="W380" i="3"/>
  <c r="W389" i="3"/>
  <c r="W392" i="3"/>
  <c r="W386" i="3"/>
  <c r="W379" i="3"/>
  <c r="W390" i="3"/>
  <c r="W387" i="3"/>
  <c r="W388" i="3"/>
  <c r="W391" i="3"/>
  <c r="W385" i="3"/>
  <c r="D403" i="3"/>
  <c r="D401" i="3"/>
  <c r="D399" i="3"/>
  <c r="D397" i="3"/>
  <c r="D391" i="3"/>
  <c r="D389" i="3"/>
  <c r="D404" i="3"/>
  <c r="D402" i="3"/>
  <c r="D400" i="3"/>
  <c r="D398" i="3"/>
  <c r="D392" i="3"/>
  <c r="D390" i="3"/>
  <c r="D388" i="3"/>
  <c r="D379" i="3"/>
  <c r="D386" i="3"/>
  <c r="D387" i="3"/>
  <c r="D380" i="3"/>
  <c r="D385" i="3"/>
  <c r="U403" i="3"/>
  <c r="U401" i="3"/>
  <c r="U387" i="3"/>
  <c r="U404" i="3"/>
  <c r="U402" i="3"/>
  <c r="U400" i="3"/>
  <c r="U398" i="3"/>
  <c r="U391" i="3"/>
  <c r="U385" i="3"/>
  <c r="U397" i="3"/>
  <c r="U389" i="3"/>
  <c r="U392" i="3"/>
  <c r="U386" i="3"/>
  <c r="U379" i="3"/>
  <c r="U390" i="3"/>
  <c r="U380" i="3"/>
  <c r="U399" i="3"/>
  <c r="U388" i="3"/>
  <c r="H168" i="13"/>
  <c r="I180" i="13"/>
  <c r="W180" i="13"/>
  <c r="AC168" i="13"/>
  <c r="V180" i="13"/>
  <c r="E168" i="13"/>
  <c r="S168" i="13"/>
  <c r="J169" i="13"/>
  <c r="D169" i="13"/>
  <c r="I169" i="13"/>
  <c r="R181" i="13"/>
  <c r="C181" i="13"/>
  <c r="H182" i="13"/>
  <c r="O170" i="13"/>
  <c r="AB182" i="13"/>
  <c r="R170" i="13"/>
  <c r="J182" i="13"/>
  <c r="H171" i="13"/>
  <c r="C171" i="13"/>
  <c r="R171" i="13"/>
  <c r="T187" i="13"/>
  <c r="C175" i="13"/>
  <c r="Z163" i="13"/>
  <c r="L163" i="13"/>
  <c r="H175" i="13"/>
  <c r="V163" i="13"/>
  <c r="P163" i="13"/>
  <c r="R187" i="13"/>
  <c r="W175" i="13"/>
  <c r="C172" i="13"/>
  <c r="T172" i="13"/>
  <c r="M172" i="13"/>
  <c r="D184" i="13"/>
  <c r="AC172" i="13"/>
  <c r="Z173" i="13"/>
  <c r="C185" i="13"/>
  <c r="L173" i="13"/>
  <c r="J185" i="13"/>
  <c r="R185" i="13"/>
  <c r="D185" i="13"/>
  <c r="W185" i="13"/>
  <c r="AB173" i="13"/>
  <c r="H174" i="13"/>
  <c r="C174" i="13"/>
  <c r="V174" i="13"/>
  <c r="P162" i="13"/>
  <c r="K259" i="9"/>
  <c r="K368" i="9"/>
  <c r="K474" i="9"/>
  <c r="K369" i="9"/>
  <c r="K152" i="9"/>
  <c r="K151" i="9"/>
  <c r="K46" i="9"/>
  <c r="K45" i="9"/>
  <c r="K260" i="9"/>
  <c r="K473" i="9"/>
  <c r="N169" i="13"/>
  <c r="V291" i="3"/>
  <c r="N288" i="3"/>
  <c r="AC289" i="3"/>
  <c r="M294" i="3"/>
  <c r="E290" i="3"/>
  <c r="E293" i="3"/>
  <c r="AB182" i="3"/>
  <c r="V183" i="3"/>
  <c r="V180" i="3"/>
  <c r="AB293" i="3"/>
  <c r="AB292" i="3"/>
  <c r="T289" i="3"/>
  <c r="L291" i="3"/>
  <c r="J180" i="3"/>
  <c r="I186" i="3"/>
  <c r="AA292" i="3"/>
  <c r="S290" i="3"/>
  <c r="K291" i="3"/>
  <c r="C288" i="3"/>
  <c r="L187" i="3"/>
  <c r="D184" i="3"/>
  <c r="D183" i="3"/>
  <c r="B180" i="3"/>
  <c r="Q186" i="3"/>
  <c r="Z288" i="3"/>
  <c r="R293" i="3"/>
  <c r="R289" i="3"/>
  <c r="J290" i="3"/>
  <c r="B295" i="3"/>
  <c r="AA180" i="3"/>
  <c r="K187" i="3"/>
  <c r="C184" i="3"/>
  <c r="C183" i="3"/>
  <c r="R182" i="3"/>
  <c r="R181" i="3"/>
  <c r="P295" i="3"/>
  <c r="P291" i="3"/>
  <c r="H289" i="3"/>
  <c r="D289" i="3"/>
  <c r="O295" i="3"/>
  <c r="O291" i="3"/>
  <c r="G292" i="3"/>
  <c r="X186" i="3"/>
  <c r="P183" i="3"/>
  <c r="P180" i="3"/>
  <c r="F509" i="3"/>
  <c r="F507" i="3"/>
  <c r="F505" i="3"/>
  <c r="F503" i="3"/>
  <c r="F497" i="3"/>
  <c r="F495" i="3"/>
  <c r="F493" i="3"/>
  <c r="F484" i="3"/>
  <c r="F491" i="3"/>
  <c r="F485" i="3"/>
  <c r="F508" i="3"/>
  <c r="F506" i="3"/>
  <c r="F504" i="3"/>
  <c r="F502" i="3"/>
  <c r="F496" i="3"/>
  <c r="F494" i="3"/>
  <c r="F492" i="3"/>
  <c r="F490" i="3"/>
  <c r="O403" i="3"/>
  <c r="O401" i="3"/>
  <c r="O399" i="3"/>
  <c r="O397" i="3"/>
  <c r="O404" i="3"/>
  <c r="O402" i="3"/>
  <c r="O400" i="3"/>
  <c r="O398" i="3"/>
  <c r="O380" i="3"/>
  <c r="O386" i="3"/>
  <c r="O379" i="3"/>
  <c r="O390" i="3"/>
  <c r="O387" i="3"/>
  <c r="O388" i="3"/>
  <c r="O391" i="3"/>
  <c r="O385" i="3"/>
  <c r="O389" i="3"/>
  <c r="O392" i="3"/>
  <c r="AC185" i="3"/>
  <c r="AC183" i="3"/>
  <c r="AC181" i="3"/>
  <c r="AC175" i="3"/>
  <c r="AC173" i="3"/>
  <c r="AC171" i="3"/>
  <c r="AC187" i="3"/>
  <c r="AC169" i="3"/>
  <c r="AC163" i="3"/>
  <c r="AC186" i="3"/>
  <c r="AC184" i="3"/>
  <c r="AC182" i="3"/>
  <c r="AC180" i="3"/>
  <c r="AC174" i="3"/>
  <c r="AC172" i="3"/>
  <c r="AC170" i="3"/>
  <c r="AC168" i="3"/>
  <c r="AC162" i="3"/>
  <c r="Y485" i="3"/>
  <c r="Y508" i="3"/>
  <c r="Y506" i="3"/>
  <c r="Y504" i="3"/>
  <c r="Y502" i="3"/>
  <c r="Y496" i="3"/>
  <c r="Y494" i="3"/>
  <c r="Y492" i="3"/>
  <c r="Y490" i="3"/>
  <c r="Y509" i="3"/>
  <c r="Y507" i="3"/>
  <c r="Y505" i="3"/>
  <c r="Y503" i="3"/>
  <c r="Y497" i="3"/>
  <c r="Y495" i="3"/>
  <c r="Y493" i="3"/>
  <c r="Y484" i="3"/>
  <c r="Y491" i="3"/>
  <c r="S79" i="3"/>
  <c r="S65" i="3"/>
  <c r="S74" i="3"/>
  <c r="S68" i="3"/>
  <c r="S56" i="3"/>
  <c r="S77" i="3"/>
  <c r="S63" i="3"/>
  <c r="S80" i="3"/>
  <c r="S66" i="3"/>
  <c r="S75" i="3"/>
  <c r="S69" i="3"/>
  <c r="S57" i="3"/>
  <c r="S78" i="3"/>
  <c r="S64" i="3"/>
  <c r="S81" i="3"/>
  <c r="S67" i="3"/>
  <c r="S76" i="3"/>
  <c r="S62" i="3"/>
  <c r="B506" i="3"/>
  <c r="B504" i="3"/>
  <c r="B502" i="3"/>
  <c r="B496" i="3"/>
  <c r="B494" i="3"/>
  <c r="B492" i="3"/>
  <c r="B490" i="3"/>
  <c r="B509" i="3"/>
  <c r="B507" i="3"/>
  <c r="B505" i="3"/>
  <c r="B503" i="3"/>
  <c r="B497" i="3"/>
  <c r="B495" i="3"/>
  <c r="B493" i="3"/>
  <c r="B484" i="3"/>
  <c r="B491" i="3"/>
  <c r="B485" i="3"/>
  <c r="V509" i="3"/>
  <c r="V507" i="3"/>
  <c r="V505" i="3"/>
  <c r="V503" i="3"/>
  <c r="V497" i="3"/>
  <c r="V495" i="3"/>
  <c r="V493" i="3"/>
  <c r="V484" i="3"/>
  <c r="V491" i="3"/>
  <c r="V485" i="3"/>
  <c r="V508" i="3"/>
  <c r="V506" i="3"/>
  <c r="V504" i="3"/>
  <c r="V502" i="3"/>
  <c r="V496" i="3"/>
  <c r="V494" i="3"/>
  <c r="V492" i="3"/>
  <c r="V490" i="3"/>
  <c r="U509" i="3"/>
  <c r="U507" i="3"/>
  <c r="U505" i="3"/>
  <c r="U503" i="3"/>
  <c r="U497" i="3"/>
  <c r="U495" i="3"/>
  <c r="U493" i="3"/>
  <c r="U484" i="3"/>
  <c r="U491" i="3"/>
  <c r="U485" i="3"/>
  <c r="U508" i="3"/>
  <c r="U506" i="3"/>
  <c r="U504" i="3"/>
  <c r="U502" i="3"/>
  <c r="U496" i="3"/>
  <c r="U494" i="3"/>
  <c r="U492" i="3"/>
  <c r="U490" i="3"/>
  <c r="AA490" i="3"/>
  <c r="AA509" i="3"/>
  <c r="AA507" i="3"/>
  <c r="AA505" i="3"/>
  <c r="AA503" i="3"/>
  <c r="AA497" i="3"/>
  <c r="AA495" i="3"/>
  <c r="AA493" i="3"/>
  <c r="AA484" i="3"/>
  <c r="AA491" i="3"/>
  <c r="AA485" i="3"/>
  <c r="AA508" i="3"/>
  <c r="AA506" i="3"/>
  <c r="AA504" i="3"/>
  <c r="AA502" i="3"/>
  <c r="AA496" i="3"/>
  <c r="AA494" i="3"/>
  <c r="AA492" i="3"/>
  <c r="R404" i="3"/>
  <c r="R402" i="3"/>
  <c r="R400" i="3"/>
  <c r="R398" i="3"/>
  <c r="R386" i="3"/>
  <c r="R403" i="3"/>
  <c r="R401" i="3"/>
  <c r="R385" i="3"/>
  <c r="R399" i="3"/>
  <c r="R380" i="3"/>
  <c r="R388" i="3"/>
  <c r="R391" i="3"/>
  <c r="R397" i="3"/>
  <c r="R389" i="3"/>
  <c r="R392" i="3"/>
  <c r="R379" i="3"/>
  <c r="R390" i="3"/>
  <c r="R387" i="3"/>
  <c r="H404" i="3"/>
  <c r="H402" i="3"/>
  <c r="H400" i="3"/>
  <c r="H398" i="3"/>
  <c r="H392" i="3"/>
  <c r="H390" i="3"/>
  <c r="H388" i="3"/>
  <c r="H379" i="3"/>
  <c r="H403" i="3"/>
  <c r="H401" i="3"/>
  <c r="H399" i="3"/>
  <c r="H397" i="3"/>
  <c r="H391" i="3"/>
  <c r="H389" i="3"/>
  <c r="H380" i="3"/>
  <c r="H385" i="3"/>
  <c r="H386" i="3"/>
  <c r="H387" i="3"/>
  <c r="N403" i="3"/>
  <c r="N401" i="3"/>
  <c r="N399" i="3"/>
  <c r="N385" i="3"/>
  <c r="N404" i="3"/>
  <c r="N402" i="3"/>
  <c r="N400" i="3"/>
  <c r="N386" i="3"/>
  <c r="N398" i="3"/>
  <c r="N392" i="3"/>
  <c r="N379" i="3"/>
  <c r="N390" i="3"/>
  <c r="N387" i="3"/>
  <c r="N380" i="3"/>
  <c r="N388" i="3"/>
  <c r="N397" i="3"/>
  <c r="N391" i="3"/>
  <c r="N389" i="3"/>
  <c r="AA404" i="3"/>
  <c r="AA402" i="3"/>
  <c r="AA400" i="3"/>
  <c r="AA398" i="3"/>
  <c r="AA380" i="3"/>
  <c r="AA403" i="3"/>
  <c r="AA401" i="3"/>
  <c r="AA399" i="3"/>
  <c r="AA390" i="3"/>
  <c r="AA387" i="3"/>
  <c r="AA388" i="3"/>
  <c r="AA391" i="3"/>
  <c r="AA385" i="3"/>
  <c r="AA389" i="3"/>
  <c r="AA392" i="3"/>
  <c r="AA397" i="3"/>
  <c r="AA386" i="3"/>
  <c r="AA379" i="3"/>
  <c r="L403" i="3"/>
  <c r="L401" i="3"/>
  <c r="L399" i="3"/>
  <c r="L397" i="3"/>
  <c r="L391" i="3"/>
  <c r="L389" i="3"/>
  <c r="L404" i="3"/>
  <c r="L402" i="3"/>
  <c r="L400" i="3"/>
  <c r="L398" i="3"/>
  <c r="L392" i="3"/>
  <c r="L390" i="3"/>
  <c r="L388" i="3"/>
  <c r="L379" i="3"/>
  <c r="L386" i="3"/>
  <c r="L387" i="3"/>
  <c r="L380" i="3"/>
  <c r="L385" i="3"/>
  <c r="H180" i="13"/>
  <c r="G168" i="13"/>
  <c r="M168" i="13"/>
  <c r="S180" i="13"/>
  <c r="P169" i="13"/>
  <c r="H169" i="13"/>
  <c r="T181" i="13"/>
  <c r="G169" i="13"/>
  <c r="O181" i="13"/>
  <c r="S181" i="13"/>
  <c r="R169" i="13"/>
  <c r="C169" i="13"/>
  <c r="M182" i="13"/>
  <c r="E182" i="13"/>
  <c r="C170" i="13"/>
  <c r="V170" i="13"/>
  <c r="H183" i="13"/>
  <c r="O171" i="13"/>
  <c r="Z183" i="13"/>
  <c r="I183" i="13"/>
  <c r="J171" i="13"/>
  <c r="S183" i="13"/>
  <c r="D171" i="13"/>
  <c r="I163" i="13"/>
  <c r="C187" i="13"/>
  <c r="Z175" i="13"/>
  <c r="L175" i="13"/>
  <c r="H187" i="13"/>
  <c r="S163" i="13"/>
  <c r="W187" i="13"/>
  <c r="C184" i="13"/>
  <c r="M184" i="13"/>
  <c r="I172" i="13"/>
  <c r="G172" i="13"/>
  <c r="S172" i="13"/>
  <c r="O172" i="13"/>
  <c r="R184" i="13"/>
  <c r="V184" i="13"/>
  <c r="O173" i="13"/>
  <c r="Z185" i="13"/>
  <c r="C173" i="13"/>
  <c r="L185" i="13"/>
  <c r="AB185" i="13"/>
  <c r="S173" i="13"/>
  <c r="E173" i="13"/>
  <c r="L162" i="13"/>
  <c r="D162" i="13"/>
  <c r="G162" i="13"/>
  <c r="C186" i="13"/>
  <c r="V186" i="13"/>
  <c r="Z474" i="9"/>
  <c r="Z151" i="9"/>
  <c r="Z473" i="9"/>
  <c r="Z259" i="9"/>
  <c r="Z369" i="9"/>
  <c r="Z152" i="9"/>
  <c r="Z260" i="9"/>
  <c r="Z368" i="9"/>
  <c r="Z45" i="9"/>
  <c r="V288" i="3"/>
  <c r="AC288" i="3"/>
  <c r="AC291" i="3"/>
  <c r="E292" i="3"/>
  <c r="E295" i="3"/>
  <c r="AB184" i="3"/>
  <c r="AB181" i="3"/>
  <c r="V185" i="3"/>
  <c r="V182" i="3"/>
  <c r="N181" i="3"/>
  <c r="AB289" i="3"/>
  <c r="T294" i="3"/>
  <c r="T290" i="3"/>
  <c r="L288" i="3"/>
  <c r="Q288" i="3"/>
  <c r="J182" i="3"/>
  <c r="J181" i="3"/>
  <c r="AA293" i="3"/>
  <c r="AA289" i="3"/>
  <c r="S294" i="3"/>
  <c r="K288" i="3"/>
  <c r="K295" i="3"/>
  <c r="C292" i="3"/>
  <c r="D186" i="3"/>
  <c r="D185" i="3"/>
  <c r="I288" i="3"/>
  <c r="B182" i="3"/>
  <c r="B181" i="3"/>
  <c r="J294" i="3"/>
  <c r="B291" i="3"/>
  <c r="AA182" i="3"/>
  <c r="C186" i="3"/>
  <c r="C185" i="3"/>
  <c r="R184" i="3"/>
  <c r="R183" i="3"/>
  <c r="Z180" i="3"/>
  <c r="X295" i="3"/>
  <c r="X291" i="3"/>
  <c r="P288" i="3"/>
  <c r="H290" i="3"/>
  <c r="D290" i="3"/>
  <c r="D293" i="3"/>
  <c r="W291" i="3"/>
  <c r="O288" i="3"/>
  <c r="G293" i="3"/>
  <c r="G289" i="3"/>
  <c r="X187" i="3"/>
  <c r="P185" i="3"/>
  <c r="P182" i="3"/>
  <c r="H181" i="3"/>
  <c r="F290" i="3"/>
  <c r="F294" i="3"/>
  <c r="O491" i="3"/>
  <c r="O485" i="3"/>
  <c r="O508" i="3"/>
  <c r="O506" i="3"/>
  <c r="O504" i="3"/>
  <c r="O502" i="3"/>
  <c r="O496" i="3"/>
  <c r="O494" i="3"/>
  <c r="O492" i="3"/>
  <c r="O490" i="3"/>
  <c r="O509" i="3"/>
  <c r="O507" i="3"/>
  <c r="O505" i="3"/>
  <c r="O503" i="3"/>
  <c r="O497" i="3"/>
  <c r="O495" i="3"/>
  <c r="O493" i="3"/>
  <c r="O484" i="3"/>
  <c r="T76" i="3"/>
  <c r="T62" i="3"/>
  <c r="T79" i="3"/>
  <c r="T65" i="3"/>
  <c r="T74" i="3"/>
  <c r="T68" i="3"/>
  <c r="T56" i="3"/>
  <c r="T77" i="3"/>
  <c r="T63" i="3"/>
  <c r="T80" i="3"/>
  <c r="T66" i="3"/>
  <c r="T75" i="3"/>
  <c r="T69" i="3"/>
  <c r="T57" i="3"/>
  <c r="T78" i="3"/>
  <c r="T64" i="3"/>
  <c r="T81" i="3"/>
  <c r="T67" i="3"/>
  <c r="U187" i="3"/>
  <c r="U185" i="3"/>
  <c r="U183" i="3"/>
  <c r="U181" i="3"/>
  <c r="U175" i="3"/>
  <c r="U173" i="3"/>
  <c r="U171" i="3"/>
  <c r="U169" i="3"/>
  <c r="U163" i="3"/>
  <c r="U186" i="3"/>
  <c r="U184" i="3"/>
  <c r="U182" i="3"/>
  <c r="U180" i="3"/>
  <c r="U174" i="3"/>
  <c r="U172" i="3"/>
  <c r="U170" i="3"/>
  <c r="U168" i="3"/>
  <c r="U162" i="3"/>
  <c r="Q485" i="3"/>
  <c r="Q508" i="3"/>
  <c r="Q506" i="3"/>
  <c r="Q504" i="3"/>
  <c r="Q502" i="3"/>
  <c r="Q496" i="3"/>
  <c r="Q494" i="3"/>
  <c r="Q492" i="3"/>
  <c r="Q490" i="3"/>
  <c r="Q509" i="3"/>
  <c r="Q507" i="3"/>
  <c r="Q505" i="3"/>
  <c r="Q503" i="3"/>
  <c r="Q497" i="3"/>
  <c r="Q495" i="3"/>
  <c r="Q493" i="3"/>
  <c r="Q484" i="3"/>
  <c r="Q491" i="3"/>
  <c r="K79" i="3"/>
  <c r="K65" i="3"/>
  <c r="K74" i="3"/>
  <c r="K68" i="3"/>
  <c r="K56" i="3"/>
  <c r="K77" i="3"/>
  <c r="K63" i="3"/>
  <c r="K80" i="3"/>
  <c r="K66" i="3"/>
  <c r="K75" i="3"/>
  <c r="K69" i="3"/>
  <c r="K57" i="3"/>
  <c r="K78" i="3"/>
  <c r="K64" i="3"/>
  <c r="K81" i="3"/>
  <c r="K67" i="3"/>
  <c r="K76" i="3"/>
  <c r="K62" i="3"/>
  <c r="W491" i="3"/>
  <c r="W485" i="3"/>
  <c r="W508" i="3"/>
  <c r="W506" i="3"/>
  <c r="W504" i="3"/>
  <c r="W502" i="3"/>
  <c r="W496" i="3"/>
  <c r="W494" i="3"/>
  <c r="W492" i="3"/>
  <c r="W490" i="3"/>
  <c r="W509" i="3"/>
  <c r="W507" i="3"/>
  <c r="W505" i="3"/>
  <c r="W503" i="3"/>
  <c r="W497" i="3"/>
  <c r="W495" i="3"/>
  <c r="W493" i="3"/>
  <c r="W484" i="3"/>
  <c r="N509" i="3"/>
  <c r="N507" i="3"/>
  <c r="N505" i="3"/>
  <c r="N503" i="3"/>
  <c r="N497" i="3"/>
  <c r="N495" i="3"/>
  <c r="N493" i="3"/>
  <c r="N484" i="3"/>
  <c r="N491" i="3"/>
  <c r="N485" i="3"/>
  <c r="N508" i="3"/>
  <c r="N506" i="3"/>
  <c r="N504" i="3"/>
  <c r="N502" i="3"/>
  <c r="N496" i="3"/>
  <c r="N494" i="3"/>
  <c r="N492" i="3"/>
  <c r="N490" i="3"/>
  <c r="M509" i="3"/>
  <c r="M507" i="3"/>
  <c r="M505" i="3"/>
  <c r="M503" i="3"/>
  <c r="M497" i="3"/>
  <c r="M495" i="3"/>
  <c r="M493" i="3"/>
  <c r="M484" i="3"/>
  <c r="M491" i="3"/>
  <c r="M485" i="3"/>
  <c r="M508" i="3"/>
  <c r="M506" i="3"/>
  <c r="M504" i="3"/>
  <c r="M502" i="3"/>
  <c r="M496" i="3"/>
  <c r="M494" i="3"/>
  <c r="M492" i="3"/>
  <c r="M490" i="3"/>
  <c r="S490" i="3"/>
  <c r="S509" i="3"/>
  <c r="S507" i="3"/>
  <c r="S505" i="3"/>
  <c r="S503" i="3"/>
  <c r="S497" i="3"/>
  <c r="S495" i="3"/>
  <c r="S493" i="3"/>
  <c r="S484" i="3"/>
  <c r="S491" i="3"/>
  <c r="S485" i="3"/>
  <c r="S508" i="3"/>
  <c r="S506" i="3"/>
  <c r="S504" i="3"/>
  <c r="S502" i="3"/>
  <c r="S496" i="3"/>
  <c r="S494" i="3"/>
  <c r="S492" i="3"/>
  <c r="I404" i="3"/>
  <c r="I402" i="3"/>
  <c r="I400" i="3"/>
  <c r="I403" i="3"/>
  <c r="I401" i="3"/>
  <c r="I399" i="3"/>
  <c r="I397" i="3"/>
  <c r="I387" i="3"/>
  <c r="I388" i="3"/>
  <c r="I391" i="3"/>
  <c r="I385" i="3"/>
  <c r="I398" i="3"/>
  <c r="I389" i="3"/>
  <c r="I392" i="3"/>
  <c r="I386" i="3"/>
  <c r="I379" i="3"/>
  <c r="I390" i="3"/>
  <c r="I380" i="3"/>
  <c r="X404" i="3"/>
  <c r="X402" i="3"/>
  <c r="X400" i="3"/>
  <c r="X398" i="3"/>
  <c r="X392" i="3"/>
  <c r="X390" i="3"/>
  <c r="X388" i="3"/>
  <c r="X379" i="3"/>
  <c r="X403" i="3"/>
  <c r="X401" i="3"/>
  <c r="X399" i="3"/>
  <c r="X397" i="3"/>
  <c r="X391" i="3"/>
  <c r="X389" i="3"/>
  <c r="X386" i="3"/>
  <c r="X387" i="3"/>
  <c r="X380" i="3"/>
  <c r="X385" i="3"/>
  <c r="E403" i="3"/>
  <c r="E401" i="3"/>
  <c r="E387" i="3"/>
  <c r="E404" i="3"/>
  <c r="E402" i="3"/>
  <c r="E400" i="3"/>
  <c r="E398" i="3"/>
  <c r="E379" i="3"/>
  <c r="E390" i="3"/>
  <c r="E397" i="3"/>
  <c r="E380" i="3"/>
  <c r="E399" i="3"/>
  <c r="E388" i="3"/>
  <c r="E391" i="3"/>
  <c r="E385" i="3"/>
  <c r="E389" i="3"/>
  <c r="E392" i="3"/>
  <c r="E386" i="3"/>
  <c r="S404" i="3"/>
  <c r="S402" i="3"/>
  <c r="S400" i="3"/>
  <c r="S398" i="3"/>
  <c r="S380" i="3"/>
  <c r="S403" i="3"/>
  <c r="S401" i="3"/>
  <c r="S399" i="3"/>
  <c r="S388" i="3"/>
  <c r="S391" i="3"/>
  <c r="S385" i="3"/>
  <c r="S397" i="3"/>
  <c r="S389" i="3"/>
  <c r="S392" i="3"/>
  <c r="S386" i="3"/>
  <c r="S379" i="3"/>
  <c r="S390" i="3"/>
  <c r="S387" i="3"/>
  <c r="B404" i="3"/>
  <c r="B402" i="3"/>
  <c r="B400" i="3"/>
  <c r="B386" i="3"/>
  <c r="B401" i="3"/>
  <c r="B385" i="3"/>
  <c r="B389" i="3"/>
  <c r="B392" i="3"/>
  <c r="B379" i="3"/>
  <c r="B390" i="3"/>
  <c r="B387" i="3"/>
  <c r="B399" i="3"/>
  <c r="B397" i="3"/>
  <c r="B380" i="3"/>
  <c r="B398" i="3"/>
  <c r="B388" i="3"/>
  <c r="B391" i="3"/>
  <c r="AB76" i="3"/>
  <c r="AB62" i="3"/>
  <c r="AB79" i="3"/>
  <c r="AB65" i="3"/>
  <c r="AB74" i="3"/>
  <c r="AB68" i="3"/>
  <c r="AB56" i="3"/>
  <c r="AB77" i="3"/>
  <c r="AB63" i="3"/>
  <c r="AB80" i="3"/>
  <c r="AB66" i="3"/>
  <c r="AB75" i="3"/>
  <c r="AB69" i="3"/>
  <c r="AB57" i="3"/>
  <c r="AB78" i="3"/>
  <c r="AB64" i="3"/>
  <c r="AB81" i="3"/>
  <c r="AB67" i="3"/>
  <c r="L490" i="3"/>
  <c r="L509" i="3"/>
  <c r="L507" i="3"/>
  <c r="L505" i="3"/>
  <c r="L503" i="3"/>
  <c r="L497" i="3"/>
  <c r="L495" i="3"/>
  <c r="L493" i="3"/>
  <c r="L484" i="3"/>
  <c r="L491" i="3"/>
  <c r="L485" i="3"/>
  <c r="L508" i="3"/>
  <c r="L506" i="3"/>
  <c r="L504" i="3"/>
  <c r="L502" i="3"/>
  <c r="L496" i="3"/>
  <c r="L494" i="3"/>
  <c r="L492" i="3"/>
  <c r="P173" i="13"/>
  <c r="P185" i="13"/>
  <c r="T168" i="13"/>
  <c r="G180" i="13"/>
  <c r="Z168" i="13"/>
  <c r="V168" i="13"/>
  <c r="T169" i="13"/>
  <c r="S169" i="13"/>
  <c r="M170" i="13"/>
  <c r="S170" i="13"/>
  <c r="E170" i="13"/>
  <c r="I170" i="13"/>
  <c r="O182" i="13"/>
  <c r="R182" i="13"/>
  <c r="AC182" i="13"/>
  <c r="W171" i="13"/>
  <c r="O183" i="13"/>
  <c r="AB183" i="13"/>
  <c r="E171" i="13"/>
  <c r="I175" i="13"/>
  <c r="Z187" i="13"/>
  <c r="L187" i="13"/>
  <c r="H163" i="13"/>
  <c r="S175" i="13"/>
  <c r="W163" i="13"/>
  <c r="G184" i="13"/>
  <c r="AC184" i="13"/>
  <c r="S184" i="13"/>
  <c r="O185" i="13"/>
  <c r="S185" i="13"/>
  <c r="E185" i="13"/>
  <c r="L174" i="13"/>
  <c r="D174" i="13"/>
  <c r="G174" i="13"/>
  <c r="T162" i="13"/>
  <c r="J186" i="13"/>
  <c r="M162" i="13"/>
  <c r="R186" i="13"/>
  <c r="K74" i="9"/>
  <c r="V292" i="3"/>
  <c r="N292" i="3"/>
  <c r="N293" i="3"/>
  <c r="AC290" i="3"/>
  <c r="AC293" i="3"/>
  <c r="U289" i="3"/>
  <c r="E294" i="3"/>
  <c r="AB186" i="3"/>
  <c r="AB183" i="3"/>
  <c r="V187" i="3"/>
  <c r="V184" i="3"/>
  <c r="N183" i="3"/>
  <c r="N180" i="3"/>
  <c r="AB290" i="3"/>
  <c r="L292" i="3"/>
  <c r="L295" i="3"/>
  <c r="Q289" i="3"/>
  <c r="Q290" i="3"/>
  <c r="J184" i="3"/>
  <c r="J183" i="3"/>
  <c r="S291" i="3"/>
  <c r="C289" i="3"/>
  <c r="D187" i="3"/>
  <c r="I289" i="3"/>
  <c r="I290" i="3"/>
  <c r="B184" i="3"/>
  <c r="B183" i="3"/>
  <c r="Z292" i="3"/>
  <c r="Z293" i="3"/>
  <c r="R290" i="3"/>
  <c r="R294" i="3"/>
  <c r="J295" i="3"/>
  <c r="B288" i="3"/>
  <c r="AA184" i="3"/>
  <c r="AA181" i="3"/>
  <c r="S180" i="3"/>
  <c r="C187" i="3"/>
  <c r="R186" i="3"/>
  <c r="R185" i="3"/>
  <c r="Y288" i="3"/>
  <c r="Z182" i="3"/>
  <c r="X288" i="3"/>
  <c r="P293" i="3"/>
  <c r="P292" i="3"/>
  <c r="Y181" i="3"/>
  <c r="Y180" i="3"/>
  <c r="W288" i="3"/>
  <c r="W295" i="3"/>
  <c r="O292" i="3"/>
  <c r="P187" i="3"/>
  <c r="P184" i="3"/>
  <c r="H183" i="3"/>
  <c r="H180" i="3"/>
  <c r="T180" i="13"/>
  <c r="R168" i="13"/>
  <c r="Z180" i="13"/>
  <c r="J168" i="13"/>
  <c r="P181" i="13"/>
  <c r="H181" i="13"/>
  <c r="G181" i="13"/>
  <c r="L181" i="13"/>
  <c r="AC181" i="13"/>
  <c r="L170" i="13"/>
  <c r="C182" i="13"/>
  <c r="D170" i="13"/>
  <c r="V182" i="13"/>
  <c r="G170" i="13"/>
  <c r="AC170" i="13"/>
  <c r="W183" i="13"/>
  <c r="Z171" i="13"/>
  <c r="I171" i="13"/>
  <c r="S171" i="13"/>
  <c r="E183" i="13"/>
  <c r="O175" i="13"/>
  <c r="I187" i="13"/>
  <c r="D163" i="13"/>
  <c r="E163" i="13"/>
  <c r="S187" i="13"/>
  <c r="J163" i="13"/>
  <c r="G175" i="13"/>
  <c r="AB172" i="13"/>
  <c r="R172" i="13"/>
  <c r="G173" i="13"/>
  <c r="W186" i="13"/>
  <c r="L186" i="13"/>
  <c r="D186" i="13"/>
  <c r="AC162" i="13"/>
  <c r="G186" i="13"/>
  <c r="T174" i="13"/>
  <c r="J162" i="13"/>
  <c r="M174" i="13"/>
  <c r="R162" i="13"/>
  <c r="V293" i="3"/>
  <c r="N289" i="3"/>
  <c r="AC292" i="3"/>
  <c r="AC295" i="3"/>
  <c r="U288" i="3"/>
  <c r="U291" i="3"/>
  <c r="AB185" i="3"/>
  <c r="N185" i="3"/>
  <c r="N182" i="3"/>
  <c r="F181" i="3"/>
  <c r="Z77" i="9"/>
  <c r="T291" i="3"/>
  <c r="L289" i="3"/>
  <c r="Q291" i="3"/>
  <c r="Q292" i="3"/>
  <c r="J186" i="3"/>
  <c r="J185" i="3"/>
  <c r="AA290" i="3"/>
  <c r="S288" i="3"/>
  <c r="S295" i="3"/>
  <c r="K289" i="3"/>
  <c r="K292" i="3"/>
  <c r="C293" i="3"/>
  <c r="I291" i="3"/>
  <c r="I292" i="3"/>
  <c r="Z289" i="3"/>
  <c r="J291" i="3"/>
  <c r="AA186" i="3"/>
  <c r="AA183" i="3"/>
  <c r="S182" i="3"/>
  <c r="S181" i="3"/>
  <c r="Y289" i="3"/>
  <c r="Y290" i="3"/>
  <c r="Z184" i="3"/>
  <c r="Z181" i="3"/>
  <c r="X292" i="3"/>
  <c r="P289" i="3"/>
  <c r="H291" i="3"/>
  <c r="H294" i="3"/>
  <c r="Y183" i="3"/>
  <c r="Y182" i="3"/>
  <c r="D294" i="3"/>
  <c r="W292" i="3"/>
  <c r="O289" i="3"/>
  <c r="G290" i="3"/>
  <c r="H185" i="3"/>
  <c r="H182" i="3"/>
  <c r="F295" i="3"/>
  <c r="F291" i="3"/>
  <c r="M187" i="3"/>
  <c r="M185" i="3"/>
  <c r="M183" i="3"/>
  <c r="M181" i="3"/>
  <c r="M175" i="3"/>
  <c r="M173" i="3"/>
  <c r="M171" i="3"/>
  <c r="M169" i="3"/>
  <c r="M163" i="3"/>
  <c r="M186" i="3"/>
  <c r="M184" i="3"/>
  <c r="M182" i="3"/>
  <c r="M180" i="3"/>
  <c r="M174" i="3"/>
  <c r="M172" i="3"/>
  <c r="M170" i="3"/>
  <c r="M168" i="3"/>
  <c r="M162" i="3"/>
  <c r="C79" i="3"/>
  <c r="C65" i="3"/>
  <c r="C74" i="3"/>
  <c r="C68" i="3"/>
  <c r="C56" i="3"/>
  <c r="C77" i="3"/>
  <c r="C63" i="3"/>
  <c r="C80" i="3"/>
  <c r="C66" i="3"/>
  <c r="C75" i="3"/>
  <c r="C69" i="3"/>
  <c r="C57" i="3"/>
  <c r="C78" i="3"/>
  <c r="C64" i="3"/>
  <c r="C81" i="3"/>
  <c r="C67" i="3"/>
  <c r="C76" i="3"/>
  <c r="C62" i="3"/>
  <c r="E187" i="3"/>
  <c r="E185" i="3"/>
  <c r="E183" i="3"/>
  <c r="E181" i="3"/>
  <c r="E175" i="3"/>
  <c r="E173" i="3"/>
  <c r="E171" i="3"/>
  <c r="E169" i="3"/>
  <c r="E163" i="3"/>
  <c r="E186" i="3"/>
  <c r="E184" i="3"/>
  <c r="E182" i="3"/>
  <c r="E180" i="3"/>
  <c r="E174" i="3"/>
  <c r="E172" i="3"/>
  <c r="E170" i="3"/>
  <c r="E168" i="3"/>
  <c r="E162" i="3"/>
  <c r="D490" i="3"/>
  <c r="D509" i="3"/>
  <c r="D507" i="3"/>
  <c r="D505" i="3"/>
  <c r="D503" i="3"/>
  <c r="D497" i="3"/>
  <c r="D495" i="3"/>
  <c r="D493" i="3"/>
  <c r="D484" i="3"/>
  <c r="D491" i="3"/>
  <c r="D485" i="3"/>
  <c r="D508" i="3"/>
  <c r="D506" i="3"/>
  <c r="D504" i="3"/>
  <c r="D502" i="3"/>
  <c r="D496" i="3"/>
  <c r="D494" i="3"/>
  <c r="D492" i="3"/>
  <c r="G491" i="3"/>
  <c r="G485" i="3"/>
  <c r="G508" i="3"/>
  <c r="G506" i="3"/>
  <c r="G504" i="3"/>
  <c r="G502" i="3"/>
  <c r="G496" i="3"/>
  <c r="G494" i="3"/>
  <c r="G492" i="3"/>
  <c r="G490" i="3"/>
  <c r="G509" i="3"/>
  <c r="G507" i="3"/>
  <c r="G505" i="3"/>
  <c r="G503" i="3"/>
  <c r="G497" i="3"/>
  <c r="G495" i="3"/>
  <c r="G493" i="3"/>
  <c r="G484" i="3"/>
  <c r="X80" i="3"/>
  <c r="X66" i="3"/>
  <c r="X75" i="3"/>
  <c r="X69" i="3"/>
  <c r="X57" i="3"/>
  <c r="X78" i="3"/>
  <c r="X64" i="3"/>
  <c r="X81" i="3"/>
  <c r="X67" i="3"/>
  <c r="X76" i="3"/>
  <c r="X62" i="3"/>
  <c r="X79" i="3"/>
  <c r="X65" i="3"/>
  <c r="X74" i="3"/>
  <c r="X68" i="3"/>
  <c r="X56" i="3"/>
  <c r="X77" i="3"/>
  <c r="X63" i="3"/>
  <c r="W75" i="3"/>
  <c r="W69" i="3"/>
  <c r="W57" i="3"/>
  <c r="W78" i="3"/>
  <c r="W64" i="3"/>
  <c r="W81" i="3"/>
  <c r="W67" i="3"/>
  <c r="W76" i="3"/>
  <c r="W62" i="3"/>
  <c r="W79" i="3"/>
  <c r="W65" i="3"/>
  <c r="W74" i="3"/>
  <c r="W68" i="3"/>
  <c r="W56" i="3"/>
  <c r="W77" i="3"/>
  <c r="W63" i="3"/>
  <c r="W80" i="3"/>
  <c r="W66" i="3"/>
  <c r="V78" i="3"/>
  <c r="V64" i="3"/>
  <c r="V81" i="3"/>
  <c r="V67" i="3"/>
  <c r="V76" i="3"/>
  <c r="V62" i="3"/>
  <c r="V79" i="3"/>
  <c r="V65" i="3"/>
  <c r="V74" i="3"/>
  <c r="V68" i="3"/>
  <c r="V56" i="3"/>
  <c r="V77" i="3"/>
  <c r="V63" i="3"/>
  <c r="V80" i="3"/>
  <c r="V66" i="3"/>
  <c r="V75" i="3"/>
  <c r="V69" i="3"/>
  <c r="V57" i="3"/>
  <c r="C490" i="3"/>
  <c r="C509" i="3"/>
  <c r="C507" i="3"/>
  <c r="C505" i="3"/>
  <c r="C503" i="3"/>
  <c r="C497" i="3"/>
  <c r="C495" i="3"/>
  <c r="C493" i="3"/>
  <c r="C484" i="3"/>
  <c r="C491" i="3"/>
  <c r="C485" i="3"/>
  <c r="C508" i="3"/>
  <c r="C506" i="3"/>
  <c r="C504" i="3"/>
  <c r="C502" i="3"/>
  <c r="C496" i="3"/>
  <c r="C494" i="3"/>
  <c r="C492" i="3"/>
  <c r="P404" i="3"/>
  <c r="P402" i="3"/>
  <c r="P400" i="3"/>
  <c r="P398" i="3"/>
  <c r="P392" i="3"/>
  <c r="P390" i="3"/>
  <c r="P388" i="3"/>
  <c r="P379" i="3"/>
  <c r="P403" i="3"/>
  <c r="P401" i="3"/>
  <c r="P399" i="3"/>
  <c r="P397" i="3"/>
  <c r="P391" i="3"/>
  <c r="P389" i="3"/>
  <c r="P387" i="3"/>
  <c r="P380" i="3"/>
  <c r="P385" i="3"/>
  <c r="P386" i="3"/>
  <c r="F403" i="3"/>
  <c r="F401" i="3"/>
  <c r="F399" i="3"/>
  <c r="F385" i="3"/>
  <c r="F404" i="3"/>
  <c r="F402" i="3"/>
  <c r="F400" i="3"/>
  <c r="F386" i="3"/>
  <c r="F390" i="3"/>
  <c r="F387" i="3"/>
  <c r="F397" i="3"/>
  <c r="F380" i="3"/>
  <c r="F388" i="3"/>
  <c r="F391" i="3"/>
  <c r="F398" i="3"/>
  <c r="F389" i="3"/>
  <c r="F392" i="3"/>
  <c r="F379" i="3"/>
  <c r="C404" i="3"/>
  <c r="C402" i="3"/>
  <c r="C400" i="3"/>
  <c r="C398" i="3"/>
  <c r="C380" i="3"/>
  <c r="C403" i="3"/>
  <c r="C401" i="3"/>
  <c r="C399" i="3"/>
  <c r="C392" i="3"/>
  <c r="C386" i="3"/>
  <c r="C379" i="3"/>
  <c r="C390" i="3"/>
  <c r="C387" i="3"/>
  <c r="C397" i="3"/>
  <c r="C388" i="3"/>
  <c r="C391" i="3"/>
  <c r="C385" i="3"/>
  <c r="C389" i="3"/>
  <c r="L76" i="3"/>
  <c r="L62" i="3"/>
  <c r="L79" i="3"/>
  <c r="L65" i="3"/>
  <c r="L74" i="3"/>
  <c r="L68" i="3"/>
  <c r="L56" i="3"/>
  <c r="L77" i="3"/>
  <c r="L63" i="3"/>
  <c r="L80" i="3"/>
  <c r="L66" i="3"/>
  <c r="L75" i="3"/>
  <c r="L69" i="3"/>
  <c r="L57" i="3"/>
  <c r="L78" i="3"/>
  <c r="L64" i="3"/>
  <c r="L81" i="3"/>
  <c r="L67" i="3"/>
  <c r="AC403" i="3"/>
  <c r="AC401" i="3"/>
  <c r="AC387" i="3"/>
  <c r="AC404" i="3"/>
  <c r="AC402" i="3"/>
  <c r="AC400" i="3"/>
  <c r="AC398" i="3"/>
  <c r="AC380" i="3"/>
  <c r="AC388" i="3"/>
  <c r="AC391" i="3"/>
  <c r="AC385" i="3"/>
  <c r="AC389" i="3"/>
  <c r="AC399" i="3"/>
  <c r="AC392" i="3"/>
  <c r="AC386" i="3"/>
  <c r="AC397" i="3"/>
  <c r="AC379" i="3"/>
  <c r="AC390" i="3"/>
  <c r="J404" i="3"/>
  <c r="J402" i="3"/>
  <c r="J400" i="3"/>
  <c r="J386" i="3"/>
  <c r="J403" i="3"/>
  <c r="J401" i="3"/>
  <c r="J385" i="3"/>
  <c r="J397" i="3"/>
  <c r="J391" i="3"/>
  <c r="J398" i="3"/>
  <c r="J399" i="3"/>
  <c r="J389" i="3"/>
  <c r="J392" i="3"/>
  <c r="J379" i="3"/>
  <c r="J390" i="3"/>
  <c r="J387" i="3"/>
  <c r="J380" i="3"/>
  <c r="J388" i="3"/>
  <c r="R180" i="13"/>
  <c r="L168" i="13"/>
  <c r="D168" i="13"/>
  <c r="J180" i="13"/>
  <c r="M181" i="13"/>
  <c r="L169" i="13"/>
  <c r="AC169" i="13"/>
  <c r="V181" i="13"/>
  <c r="T170" i="13"/>
  <c r="S182" i="13"/>
  <c r="W170" i="13"/>
  <c r="I182" i="13"/>
  <c r="T183" i="13"/>
  <c r="G171" i="13"/>
  <c r="L183" i="13"/>
  <c r="M171" i="13"/>
  <c r="AB171" i="13"/>
  <c r="O187" i="13"/>
  <c r="M163" i="13"/>
  <c r="AC163" i="13"/>
  <c r="D175" i="13"/>
  <c r="E175" i="13"/>
  <c r="J175" i="13"/>
  <c r="G187" i="13"/>
  <c r="AB184" i="13"/>
  <c r="J184" i="13"/>
  <c r="L172" i="13"/>
  <c r="H184" i="13"/>
  <c r="AC173" i="13"/>
  <c r="G185" i="13"/>
  <c r="I173" i="13"/>
  <c r="W162" i="13"/>
  <c r="Z186" i="13"/>
  <c r="AC174" i="13"/>
  <c r="T186" i="13"/>
  <c r="J174" i="13"/>
  <c r="E162" i="13"/>
  <c r="M186" i="13"/>
  <c r="R174" i="13"/>
  <c r="V289" i="3"/>
  <c r="N290" i="3"/>
  <c r="U290" i="3"/>
  <c r="U293" i="3"/>
  <c r="M289" i="3"/>
  <c r="N187" i="3"/>
  <c r="N184" i="3"/>
  <c r="F183" i="3"/>
  <c r="F180" i="3"/>
  <c r="AB294" i="3"/>
  <c r="T288" i="3"/>
  <c r="L293" i="3"/>
  <c r="Q293" i="3"/>
  <c r="Q294" i="3"/>
  <c r="I181" i="3"/>
  <c r="AA294" i="3"/>
  <c r="K293" i="3"/>
  <c r="L180" i="3"/>
  <c r="I293" i="3"/>
  <c r="I294" i="3"/>
  <c r="Q181" i="3"/>
  <c r="R295" i="3"/>
  <c r="R291" i="3"/>
  <c r="J288" i="3"/>
  <c r="B292" i="3"/>
  <c r="B293" i="3"/>
  <c r="AA185" i="3"/>
  <c r="S184" i="3"/>
  <c r="S183" i="3"/>
  <c r="K180" i="3"/>
  <c r="Y291" i="3"/>
  <c r="Y292" i="3"/>
  <c r="Z186" i="3"/>
  <c r="Z183" i="3"/>
  <c r="X289" i="3"/>
  <c r="P290" i="3"/>
  <c r="H288" i="3"/>
  <c r="Y185" i="3"/>
  <c r="Y184" i="3"/>
  <c r="W289" i="3"/>
  <c r="O293" i="3"/>
  <c r="G294" i="3"/>
  <c r="H187" i="3"/>
  <c r="H184" i="3"/>
  <c r="F288" i="3"/>
  <c r="Y404" i="3"/>
  <c r="Y402" i="3"/>
  <c r="Y400" i="3"/>
  <c r="Y403" i="3"/>
  <c r="Y401" i="3"/>
  <c r="Y399" i="3"/>
  <c r="Y397" i="3"/>
  <c r="Y387" i="3"/>
  <c r="Y392" i="3"/>
  <c r="Y386" i="3"/>
  <c r="Y379" i="3"/>
  <c r="Y390" i="3"/>
  <c r="Y380" i="3"/>
  <c r="Y388" i="3"/>
  <c r="Y398" i="3"/>
  <c r="Y391" i="3"/>
  <c r="Y385" i="3"/>
  <c r="Y389" i="3"/>
  <c r="X485" i="3"/>
  <c r="X508" i="3"/>
  <c r="X506" i="3"/>
  <c r="X504" i="3"/>
  <c r="X502" i="3"/>
  <c r="X496" i="3"/>
  <c r="X494" i="3"/>
  <c r="X492" i="3"/>
  <c r="X490" i="3"/>
  <c r="X509" i="3"/>
  <c r="X507" i="3"/>
  <c r="X505" i="3"/>
  <c r="X503" i="3"/>
  <c r="X497" i="3"/>
  <c r="X495" i="3"/>
  <c r="X493" i="3"/>
  <c r="X484" i="3"/>
  <c r="X491" i="3"/>
  <c r="Z74" i="3"/>
  <c r="Z68" i="3"/>
  <c r="Z56" i="3"/>
  <c r="Z77" i="3"/>
  <c r="Z63" i="3"/>
  <c r="Z80" i="3"/>
  <c r="Z66" i="3"/>
  <c r="Z75" i="3"/>
  <c r="Z69" i="3"/>
  <c r="Z57" i="3"/>
  <c r="Z78" i="3"/>
  <c r="Z64" i="3"/>
  <c r="Z81" i="3"/>
  <c r="Z67" i="3"/>
  <c r="Z76" i="3"/>
  <c r="Z62" i="3"/>
  <c r="Z79" i="3"/>
  <c r="Z65" i="3"/>
  <c r="Y77" i="3"/>
  <c r="Y63" i="3"/>
  <c r="Y80" i="3"/>
  <c r="Y66" i="3"/>
  <c r="Y75" i="3"/>
  <c r="Y69" i="3"/>
  <c r="Y57" i="3"/>
  <c r="Y78" i="3"/>
  <c r="Y64" i="3"/>
  <c r="Y81" i="3"/>
  <c r="Y67" i="3"/>
  <c r="Y76" i="3"/>
  <c r="Y62" i="3"/>
  <c r="Y79" i="3"/>
  <c r="Y65" i="3"/>
  <c r="Y74" i="3"/>
  <c r="Y68" i="3"/>
  <c r="Y56" i="3"/>
  <c r="P80" i="3"/>
  <c r="P66" i="3"/>
  <c r="P75" i="3"/>
  <c r="P69" i="3"/>
  <c r="P57" i="3"/>
  <c r="P78" i="3"/>
  <c r="P64" i="3"/>
  <c r="P81" i="3"/>
  <c r="P67" i="3"/>
  <c r="P76" i="3"/>
  <c r="P62" i="3"/>
  <c r="P79" i="3"/>
  <c r="P65" i="3"/>
  <c r="P74" i="3"/>
  <c r="P68" i="3"/>
  <c r="P56" i="3"/>
  <c r="P77" i="3"/>
  <c r="P63" i="3"/>
  <c r="O75" i="3"/>
  <c r="O69" i="3"/>
  <c r="O57" i="3"/>
  <c r="O78" i="3"/>
  <c r="O64" i="3"/>
  <c r="O81" i="3"/>
  <c r="O67" i="3"/>
  <c r="O76" i="3"/>
  <c r="O62" i="3"/>
  <c r="O79" i="3"/>
  <c r="O65" i="3"/>
  <c r="O74" i="3"/>
  <c r="O68" i="3"/>
  <c r="O56" i="3"/>
  <c r="O77" i="3"/>
  <c r="O63" i="3"/>
  <c r="O80" i="3"/>
  <c r="O66" i="3"/>
  <c r="N78" i="3"/>
  <c r="N64" i="3"/>
  <c r="N81" i="3"/>
  <c r="N67" i="3"/>
  <c r="N76" i="3"/>
  <c r="N62" i="3"/>
  <c r="N79" i="3"/>
  <c r="N65" i="3"/>
  <c r="N74" i="3"/>
  <c r="N68" i="3"/>
  <c r="N56" i="3"/>
  <c r="N77" i="3"/>
  <c r="N63" i="3"/>
  <c r="N80" i="3"/>
  <c r="N66" i="3"/>
  <c r="N75" i="3"/>
  <c r="N69" i="3"/>
  <c r="N57" i="3"/>
  <c r="AC81" i="3"/>
  <c r="AC67" i="3"/>
  <c r="AC76" i="3"/>
  <c r="AC62" i="3"/>
  <c r="AC79" i="3"/>
  <c r="AC65" i="3"/>
  <c r="AC74" i="3"/>
  <c r="AC68" i="3"/>
  <c r="AC56" i="3"/>
  <c r="AC77" i="3"/>
  <c r="AC63" i="3"/>
  <c r="AC80" i="3"/>
  <c r="AC66" i="3"/>
  <c r="AC75" i="3"/>
  <c r="AC69" i="3"/>
  <c r="AC57" i="3"/>
  <c r="AC78" i="3"/>
  <c r="AC64" i="3"/>
  <c r="G403" i="3"/>
  <c r="G401" i="3"/>
  <c r="G399" i="3"/>
  <c r="G397" i="3"/>
  <c r="G404" i="3"/>
  <c r="G402" i="3"/>
  <c r="G400" i="3"/>
  <c r="G380" i="3"/>
  <c r="G388" i="3"/>
  <c r="G391" i="3"/>
  <c r="G398" i="3"/>
  <c r="G385" i="3"/>
  <c r="G389" i="3"/>
  <c r="G392" i="3"/>
  <c r="G386" i="3"/>
  <c r="G379" i="3"/>
  <c r="G390" i="3"/>
  <c r="G387" i="3"/>
  <c r="D76" i="3"/>
  <c r="D62" i="3"/>
  <c r="D79" i="3"/>
  <c r="D65" i="3"/>
  <c r="D74" i="3"/>
  <c r="D68" i="3"/>
  <c r="D56" i="3"/>
  <c r="D77" i="3"/>
  <c r="D63" i="3"/>
  <c r="D80" i="3"/>
  <c r="D66" i="3"/>
  <c r="D75" i="3"/>
  <c r="D69" i="3"/>
  <c r="D57" i="3"/>
  <c r="D78" i="3"/>
  <c r="D64" i="3"/>
  <c r="D81" i="3"/>
  <c r="D67" i="3"/>
  <c r="AB168" i="13"/>
  <c r="L180" i="13"/>
  <c r="D180" i="13"/>
  <c r="O168" i="13"/>
  <c r="C168" i="13"/>
  <c r="M169" i="13"/>
  <c r="E181" i="13"/>
  <c r="AB181" i="13"/>
  <c r="W169" i="13"/>
  <c r="V169" i="13"/>
  <c r="L182" i="13"/>
  <c r="P170" i="13"/>
  <c r="Z170" i="13"/>
  <c r="D182" i="13"/>
  <c r="G182" i="13"/>
  <c r="G183" i="13"/>
  <c r="M183" i="13"/>
  <c r="P171" i="13"/>
  <c r="O163" i="13"/>
  <c r="M175" i="13"/>
  <c r="AC175" i="13"/>
  <c r="AB163" i="13"/>
  <c r="E187" i="13"/>
  <c r="J187" i="13"/>
  <c r="E172" i="13"/>
  <c r="L184" i="13"/>
  <c r="Z184" i="13"/>
  <c r="AC185" i="13"/>
  <c r="H173" i="13"/>
  <c r="V173" i="13"/>
  <c r="I185" i="13"/>
  <c r="I186" i="13"/>
  <c r="W174" i="13"/>
  <c r="Z162" i="13"/>
  <c r="S162" i="13"/>
  <c r="AC186" i="13"/>
  <c r="O186" i="13"/>
  <c r="E174" i="13"/>
  <c r="AB162" i="13"/>
  <c r="V290" i="3"/>
  <c r="U292" i="3"/>
  <c r="U295" i="3"/>
  <c r="M288" i="3"/>
  <c r="M291" i="3"/>
  <c r="F185" i="3"/>
  <c r="F182" i="3"/>
  <c r="AB288" i="3"/>
  <c r="I183" i="3"/>
  <c r="I180" i="3"/>
  <c r="S292" i="3"/>
  <c r="C294" i="3"/>
  <c r="L182" i="3"/>
  <c r="L181" i="3"/>
  <c r="Q183" i="3"/>
  <c r="Q180" i="3"/>
  <c r="Z290" i="3"/>
  <c r="J292" i="3"/>
  <c r="B289" i="3"/>
  <c r="S186" i="3"/>
  <c r="S185" i="3"/>
  <c r="K182" i="3"/>
  <c r="K181" i="3"/>
  <c r="Y293" i="3"/>
  <c r="Y294" i="3"/>
  <c r="Y186" i="3"/>
  <c r="D295" i="3"/>
  <c r="D291" i="3"/>
  <c r="O290" i="3"/>
  <c r="X181" i="3"/>
  <c r="X180" i="3"/>
  <c r="K404" i="3"/>
  <c r="K402" i="3"/>
  <c r="K400" i="3"/>
  <c r="K398" i="3"/>
  <c r="K380" i="3"/>
  <c r="K403" i="3"/>
  <c r="K401" i="3"/>
  <c r="K399" i="3"/>
  <c r="K385" i="3"/>
  <c r="K389" i="3"/>
  <c r="K392" i="3"/>
  <c r="K386" i="3"/>
  <c r="K379" i="3"/>
  <c r="K390" i="3"/>
  <c r="K387" i="3"/>
  <c r="K388" i="3"/>
  <c r="K397" i="3"/>
  <c r="K391" i="3"/>
  <c r="W186" i="3"/>
  <c r="W184" i="3"/>
  <c r="W182" i="3"/>
  <c r="W180" i="3"/>
  <c r="W174" i="3"/>
  <c r="W172" i="3"/>
  <c r="W170" i="3"/>
  <c r="W168" i="3"/>
  <c r="W162" i="3"/>
  <c r="W187" i="3"/>
  <c r="W185" i="3"/>
  <c r="W183" i="3"/>
  <c r="W181" i="3"/>
  <c r="W175" i="3"/>
  <c r="W173" i="3"/>
  <c r="W171" i="3"/>
  <c r="W169" i="3"/>
  <c r="W163" i="3"/>
  <c r="P485" i="3"/>
  <c r="P508" i="3"/>
  <c r="P506" i="3"/>
  <c r="P504" i="3"/>
  <c r="P502" i="3"/>
  <c r="P496" i="3"/>
  <c r="P494" i="3"/>
  <c r="P492" i="3"/>
  <c r="P490" i="3"/>
  <c r="P509" i="3"/>
  <c r="P507" i="3"/>
  <c r="P505" i="3"/>
  <c r="P503" i="3"/>
  <c r="P497" i="3"/>
  <c r="P495" i="3"/>
  <c r="P493" i="3"/>
  <c r="P484" i="3"/>
  <c r="P491" i="3"/>
  <c r="R74" i="3"/>
  <c r="R68" i="3"/>
  <c r="R56" i="3"/>
  <c r="R77" i="3"/>
  <c r="R63" i="3"/>
  <c r="R80" i="3"/>
  <c r="R66" i="3"/>
  <c r="R75" i="3"/>
  <c r="R69" i="3"/>
  <c r="R57" i="3"/>
  <c r="R78" i="3"/>
  <c r="R64" i="3"/>
  <c r="R81" i="3"/>
  <c r="R67" i="3"/>
  <c r="R76" i="3"/>
  <c r="R62" i="3"/>
  <c r="R79" i="3"/>
  <c r="R65" i="3"/>
  <c r="Q77" i="3"/>
  <c r="Q63" i="3"/>
  <c r="Q80" i="3"/>
  <c r="Q66" i="3"/>
  <c r="Q75" i="3"/>
  <c r="Q69" i="3"/>
  <c r="Q57" i="3"/>
  <c r="Q78" i="3"/>
  <c r="Q64" i="3"/>
  <c r="Q81" i="3"/>
  <c r="Q67" i="3"/>
  <c r="Q76" i="3"/>
  <c r="Q62" i="3"/>
  <c r="Q79" i="3"/>
  <c r="Q65" i="3"/>
  <c r="Q74" i="3"/>
  <c r="Q68" i="3"/>
  <c r="Q56" i="3"/>
  <c r="H80" i="3"/>
  <c r="H66" i="3"/>
  <c r="H75" i="3"/>
  <c r="H69" i="3"/>
  <c r="H57" i="3"/>
  <c r="H78" i="3"/>
  <c r="H64" i="3"/>
  <c r="H81" i="3"/>
  <c r="H67" i="3"/>
  <c r="H76" i="3"/>
  <c r="H62" i="3"/>
  <c r="H79" i="3"/>
  <c r="H65" i="3"/>
  <c r="H74" i="3"/>
  <c r="H68" i="3"/>
  <c r="H56" i="3"/>
  <c r="H77" i="3"/>
  <c r="H63" i="3"/>
  <c r="G75" i="3"/>
  <c r="G69" i="3"/>
  <c r="G57" i="3"/>
  <c r="G78" i="3"/>
  <c r="G64" i="3"/>
  <c r="G81" i="3"/>
  <c r="G67" i="3"/>
  <c r="G76" i="3"/>
  <c r="G62" i="3"/>
  <c r="G79" i="3"/>
  <c r="G65" i="3"/>
  <c r="G74" i="3"/>
  <c r="G68" i="3"/>
  <c r="G56" i="3"/>
  <c r="G77" i="3"/>
  <c r="G63" i="3"/>
  <c r="G80" i="3"/>
  <c r="G66" i="3"/>
  <c r="F78" i="3"/>
  <c r="F64" i="3"/>
  <c r="F81" i="3"/>
  <c r="F67" i="3"/>
  <c r="F76" i="3"/>
  <c r="F62" i="3"/>
  <c r="F79" i="3"/>
  <c r="F65" i="3"/>
  <c r="F74" i="3"/>
  <c r="F68" i="3"/>
  <c r="F56" i="3"/>
  <c r="F77" i="3"/>
  <c r="F63" i="3"/>
  <c r="F80" i="3"/>
  <c r="F66" i="3"/>
  <c r="F75" i="3"/>
  <c r="F69" i="3"/>
  <c r="F57" i="3"/>
  <c r="U81" i="3"/>
  <c r="U67" i="3"/>
  <c r="U76" i="3"/>
  <c r="U62" i="3"/>
  <c r="U79" i="3"/>
  <c r="U65" i="3"/>
  <c r="U74" i="3"/>
  <c r="U68" i="3"/>
  <c r="U56" i="3"/>
  <c r="U77" i="3"/>
  <c r="U63" i="3"/>
  <c r="U80" i="3"/>
  <c r="U66" i="3"/>
  <c r="U75" i="3"/>
  <c r="U69" i="3"/>
  <c r="U57" i="3"/>
  <c r="U78" i="3"/>
  <c r="U64" i="3"/>
  <c r="V403" i="3"/>
  <c r="V401" i="3"/>
  <c r="V399" i="3"/>
  <c r="V385" i="3"/>
  <c r="V404" i="3"/>
  <c r="V402" i="3"/>
  <c r="V400" i="3"/>
  <c r="V386" i="3"/>
  <c r="V397" i="3"/>
  <c r="V389" i="3"/>
  <c r="V392" i="3"/>
  <c r="V379" i="3"/>
  <c r="V390" i="3"/>
  <c r="V387" i="3"/>
  <c r="V380" i="3"/>
  <c r="V398" i="3"/>
  <c r="V388" i="3"/>
  <c r="V391" i="3"/>
  <c r="AB403" i="3"/>
  <c r="AB401" i="3"/>
  <c r="AB399" i="3"/>
  <c r="AB397" i="3"/>
  <c r="AB391" i="3"/>
  <c r="AB389" i="3"/>
  <c r="AB404" i="3"/>
  <c r="AB402" i="3"/>
  <c r="AB400" i="3"/>
  <c r="AB398" i="3"/>
  <c r="AB392" i="3"/>
  <c r="AB390" i="3"/>
  <c r="AB388" i="3"/>
  <c r="AB379" i="3"/>
  <c r="AB380" i="3"/>
  <c r="AB385" i="3"/>
  <c r="AB386" i="3"/>
  <c r="AB387" i="3"/>
  <c r="T187" i="3"/>
  <c r="T185" i="3"/>
  <c r="T183" i="3"/>
  <c r="T181" i="3"/>
  <c r="T175" i="3"/>
  <c r="T173" i="3"/>
  <c r="T171" i="3"/>
  <c r="T169" i="3"/>
  <c r="T163" i="3"/>
  <c r="T186" i="3"/>
  <c r="T184" i="3"/>
  <c r="T182" i="3"/>
  <c r="T180" i="3"/>
  <c r="T174" i="3"/>
  <c r="T172" i="3"/>
  <c r="T170" i="3"/>
  <c r="T168" i="3"/>
  <c r="T162" i="3"/>
  <c r="AB180" i="13"/>
  <c r="AC180" i="13"/>
  <c r="O180" i="13"/>
  <c r="C180" i="13"/>
  <c r="P168" i="13"/>
  <c r="E180" i="13"/>
  <c r="E169" i="13"/>
  <c r="AB169" i="13"/>
  <c r="Z181" i="13"/>
  <c r="T182" i="13"/>
  <c r="H170" i="13"/>
  <c r="W182" i="13"/>
  <c r="AB170" i="13"/>
  <c r="J170" i="13"/>
  <c r="T171" i="13"/>
  <c r="AC171" i="13"/>
  <c r="R183" i="13"/>
  <c r="V171" i="13"/>
  <c r="P183" i="13"/>
  <c r="T163" i="13"/>
  <c r="M187" i="13"/>
  <c r="AB175" i="13"/>
  <c r="V175" i="13"/>
  <c r="P175" i="13"/>
  <c r="P184" i="13"/>
  <c r="H172" i="13"/>
  <c r="H185" i="13"/>
  <c r="Z46" i="9"/>
  <c r="M290" i="3"/>
  <c r="F187" i="3"/>
  <c r="AB295" i="3"/>
  <c r="L294" i="3"/>
  <c r="I185" i="3"/>
  <c r="AA295" i="3"/>
  <c r="S293" i="3"/>
  <c r="K294" i="3"/>
  <c r="L184" i="3"/>
  <c r="Q185" i="3"/>
  <c r="J293" i="3"/>
  <c r="K184" i="3"/>
  <c r="G288" i="3"/>
  <c r="G295" i="3"/>
  <c r="X183" i="3"/>
  <c r="AA152" i="9"/>
  <c r="AA474" i="9"/>
  <c r="AA473" i="9"/>
  <c r="AA46" i="9"/>
  <c r="AA45" i="9"/>
  <c r="AA151" i="9"/>
  <c r="AA259" i="9"/>
  <c r="AA369" i="9"/>
  <c r="AA368" i="9"/>
  <c r="AA260" i="9"/>
  <c r="S369" i="9"/>
  <c r="S260" i="9"/>
  <c r="S474" i="9"/>
  <c r="S473" i="9"/>
  <c r="S152" i="9"/>
  <c r="S151" i="9"/>
  <c r="S46" i="9"/>
  <c r="S259" i="9"/>
  <c r="S45" i="9"/>
  <c r="S368" i="9"/>
  <c r="S80" i="9"/>
  <c r="U82" i="13"/>
  <c r="A31" i="1"/>
  <c r="A49" i="1" s="1"/>
  <c r="A60" i="1" s="1"/>
  <c r="A32" i="1"/>
  <c r="A50" i="1" s="1"/>
  <c r="A61" i="1" s="1"/>
  <c r="A33" i="1"/>
  <c r="A51" i="1" s="1"/>
  <c r="A62" i="1" s="1"/>
  <c r="A34" i="1"/>
  <c r="A35" i="1"/>
  <c r="A52" i="1" s="1"/>
  <c r="A63" i="1" s="1"/>
  <c r="A36" i="1"/>
  <c r="A53" i="1" s="1"/>
  <c r="A64" i="1" s="1"/>
  <c r="A37" i="1"/>
  <c r="A54" i="1" s="1"/>
  <c r="A65" i="1" s="1"/>
  <c r="A38" i="1"/>
  <c r="A39" i="1"/>
  <c r="A55" i="1" s="1"/>
  <c r="A66" i="1" s="1"/>
  <c r="A40" i="1"/>
  <c r="A41" i="1"/>
  <c r="A42" i="1"/>
  <c r="A45" i="1"/>
  <c r="Q17" i="1"/>
  <c r="B36" i="1" s="1"/>
  <c r="R17" i="1"/>
  <c r="C36" i="1" s="1"/>
  <c r="S17" i="1"/>
  <c r="D36" i="1" s="1"/>
  <c r="T17" i="1"/>
  <c r="E36" i="1" s="1"/>
  <c r="U17" i="1"/>
  <c r="F36" i="1" s="1"/>
  <c r="V17" i="1"/>
  <c r="G36" i="1" s="1"/>
  <c r="W17" i="1"/>
  <c r="H36" i="1" s="1"/>
  <c r="X17" i="1"/>
  <c r="I36" i="1" s="1"/>
  <c r="Y17" i="1"/>
  <c r="J36" i="1" s="1"/>
  <c r="Z17" i="1"/>
  <c r="K36" i="1" s="1"/>
  <c r="AA17" i="1"/>
  <c r="L36" i="1" s="1"/>
  <c r="AB17" i="1"/>
  <c r="M36" i="1" s="1"/>
  <c r="AC17" i="1"/>
  <c r="N36" i="1" s="1"/>
  <c r="AD17" i="1"/>
  <c r="O36" i="1" s="1"/>
  <c r="AE17" i="1"/>
  <c r="P36" i="1" s="1"/>
  <c r="AF17" i="1"/>
  <c r="Q36" i="1" s="1"/>
  <c r="AG17" i="1"/>
  <c r="R36" i="1" s="1"/>
  <c r="AH17" i="1"/>
  <c r="S36" i="1" s="1"/>
  <c r="AI17" i="1"/>
  <c r="T36" i="1" s="1"/>
  <c r="AJ17" i="1"/>
  <c r="U36" i="1" s="1"/>
  <c r="AK17" i="1"/>
  <c r="V36" i="1" s="1"/>
  <c r="AL17" i="1"/>
  <c r="W36" i="1" s="1"/>
  <c r="AM17" i="1"/>
  <c r="X36" i="1" s="1"/>
  <c r="AN17" i="1"/>
  <c r="Y36" i="1" s="1"/>
  <c r="AO17" i="1"/>
  <c r="Z36" i="1" s="1"/>
  <c r="AP17" i="1"/>
  <c r="AA36" i="1" s="1"/>
  <c r="AQ17" i="1"/>
  <c r="AB36" i="1" s="1"/>
  <c r="AR17" i="1"/>
  <c r="AC36" i="1" s="1"/>
  <c r="A30" i="1"/>
  <c r="A48" i="1" s="1"/>
  <c r="A59" i="1" s="1"/>
  <c r="T165" i="13" l="1"/>
  <c r="H405" i="13"/>
  <c r="H408" i="13" s="1"/>
  <c r="K41" i="28" s="1"/>
  <c r="K405" i="13"/>
  <c r="G405" i="13"/>
  <c r="G408" i="13" s="1"/>
  <c r="J41" i="28" s="1"/>
  <c r="F82" i="13"/>
  <c r="F85" i="13" s="1"/>
  <c r="I37" i="28" s="1"/>
  <c r="S82" i="13"/>
  <c r="S85" i="13" s="1"/>
  <c r="V37" i="28" s="1"/>
  <c r="AC165" i="13"/>
  <c r="Z405" i="13"/>
  <c r="Z408" i="13" s="1"/>
  <c r="AC41" i="28" s="1"/>
  <c r="X188" i="13"/>
  <c r="X191" i="13" s="1"/>
  <c r="AA39" i="28" s="1"/>
  <c r="N405" i="13"/>
  <c r="N408" i="13" s="1"/>
  <c r="Q41" i="28" s="1"/>
  <c r="I165" i="13"/>
  <c r="B165" i="13"/>
  <c r="O165" i="13"/>
  <c r="H165" i="13"/>
  <c r="M165" i="13"/>
  <c r="P165" i="13"/>
  <c r="D165" i="13"/>
  <c r="V165" i="13"/>
  <c r="K165" i="13"/>
  <c r="J165" i="13"/>
  <c r="U165" i="13"/>
  <c r="O382" i="13"/>
  <c r="E165" i="13"/>
  <c r="AB165" i="13"/>
  <c r="W165" i="13"/>
  <c r="L165" i="13"/>
  <c r="Y165" i="13"/>
  <c r="N165" i="13"/>
  <c r="R165" i="13"/>
  <c r="Z165" i="13"/>
  <c r="S165" i="13"/>
  <c r="AA165" i="13"/>
  <c r="Q165" i="13"/>
  <c r="F165" i="13"/>
  <c r="C165" i="13"/>
  <c r="G165" i="13"/>
  <c r="Q296" i="13"/>
  <c r="Q297" i="13"/>
  <c r="E296" i="13"/>
  <c r="E297" i="13"/>
  <c r="AA82" i="13"/>
  <c r="AA83" i="13"/>
  <c r="J405" i="13"/>
  <c r="J406" i="13"/>
  <c r="D296" i="13"/>
  <c r="D297" i="13"/>
  <c r="S405" i="13"/>
  <c r="S406" i="13"/>
  <c r="C405" i="13"/>
  <c r="C406" i="13"/>
  <c r="S296" i="13"/>
  <c r="S297" i="13"/>
  <c r="L296" i="13"/>
  <c r="L297" i="13"/>
  <c r="AC296" i="13"/>
  <c r="AC297" i="13"/>
  <c r="X82" i="13"/>
  <c r="X83" i="13"/>
  <c r="O296" i="13"/>
  <c r="O297" i="13"/>
  <c r="V82" i="13"/>
  <c r="V83" i="13"/>
  <c r="J82" i="13"/>
  <c r="J83" i="13"/>
  <c r="W82" i="13"/>
  <c r="W83" i="13"/>
  <c r="I296" i="13"/>
  <c r="I297" i="13"/>
  <c r="Z82" i="13"/>
  <c r="Z83" i="13"/>
  <c r="I405" i="13"/>
  <c r="I406" i="13"/>
  <c r="C82" i="13"/>
  <c r="C83" i="13"/>
  <c r="N82" i="13"/>
  <c r="N83" i="13"/>
  <c r="L405" i="13"/>
  <c r="L406" i="13"/>
  <c r="P82" i="13"/>
  <c r="P83" i="13"/>
  <c r="C296" i="13"/>
  <c r="C297" i="13"/>
  <c r="K82" i="13"/>
  <c r="K83" i="13"/>
  <c r="T82" i="13"/>
  <c r="T83" i="13"/>
  <c r="O82" i="13"/>
  <c r="O83" i="13"/>
  <c r="I82" i="13"/>
  <c r="I83" i="13"/>
  <c r="X296" i="13"/>
  <c r="X297" i="13"/>
  <c r="E405" i="13"/>
  <c r="E406" i="13"/>
  <c r="M405" i="13"/>
  <c r="M406" i="13"/>
  <c r="F59" i="9"/>
  <c r="C59" i="9"/>
  <c r="K59" i="9"/>
  <c r="I177" i="3"/>
  <c r="I189" i="3" s="1"/>
  <c r="AB177" i="3"/>
  <c r="AB189" i="3" s="1"/>
  <c r="E59" i="9"/>
  <c r="Q165" i="3"/>
  <c r="D59" i="3"/>
  <c r="O59" i="9"/>
  <c r="G59" i="9"/>
  <c r="X165" i="3"/>
  <c r="H59" i="9"/>
  <c r="D59" i="9"/>
  <c r="I59" i="9"/>
  <c r="L59" i="3"/>
  <c r="C59" i="3"/>
  <c r="T59" i="9"/>
  <c r="U85" i="13"/>
  <c r="X37" i="28" s="1"/>
  <c r="S59" i="3"/>
  <c r="K285" i="3"/>
  <c r="J59" i="9"/>
  <c r="L177" i="3"/>
  <c r="H177" i="3"/>
  <c r="H189" i="3" s="1"/>
  <c r="Q177" i="3"/>
  <c r="Q189" i="3" s="1"/>
  <c r="J273" i="3"/>
  <c r="P177" i="13"/>
  <c r="P189" i="13" s="1"/>
  <c r="G71" i="3"/>
  <c r="G83" i="3" s="1"/>
  <c r="H71" i="3"/>
  <c r="H83" i="3" s="1"/>
  <c r="Q71" i="3"/>
  <c r="Q83" i="3" s="1"/>
  <c r="AC59" i="3"/>
  <c r="N59" i="3"/>
  <c r="Z59" i="3"/>
  <c r="D177" i="13"/>
  <c r="D189" i="13" s="1"/>
  <c r="V59" i="3"/>
  <c r="M177" i="3"/>
  <c r="M189" i="3" s="1"/>
  <c r="E394" i="3"/>
  <c r="K59" i="3"/>
  <c r="U177" i="3"/>
  <c r="U189" i="3" s="1"/>
  <c r="Q394" i="3"/>
  <c r="Q406" i="3" s="1"/>
  <c r="Q177" i="13"/>
  <c r="L285" i="3"/>
  <c r="L297" i="3" s="1"/>
  <c r="I59" i="3"/>
  <c r="J177" i="3"/>
  <c r="B59" i="9"/>
  <c r="V59" i="9"/>
  <c r="AB59" i="3"/>
  <c r="K71" i="3"/>
  <c r="K83" i="3" s="1"/>
  <c r="M59" i="3"/>
  <c r="J59" i="3"/>
  <c r="Q285" i="3"/>
  <c r="Q297" i="3" s="1"/>
  <c r="X59" i="9"/>
  <c r="U59" i="3"/>
  <c r="F59" i="3"/>
  <c r="R59" i="3"/>
  <c r="K177" i="3"/>
  <c r="K189" i="3" s="1"/>
  <c r="E59" i="3"/>
  <c r="F71" i="9"/>
  <c r="F83" i="9" s="1"/>
  <c r="AA71" i="9"/>
  <c r="L59" i="9"/>
  <c r="U59" i="9"/>
  <c r="O59" i="3"/>
  <c r="P59" i="3"/>
  <c r="W59" i="3"/>
  <c r="X59" i="3"/>
  <c r="C165" i="3"/>
  <c r="B382" i="3"/>
  <c r="Q382" i="3"/>
  <c r="Y273" i="3"/>
  <c r="K71" i="9"/>
  <c r="K83" i="9" s="1"/>
  <c r="R177" i="13"/>
  <c r="V177" i="13"/>
  <c r="AB71" i="3"/>
  <c r="I394" i="3"/>
  <c r="I406" i="3" s="1"/>
  <c r="G177" i="3"/>
  <c r="G189" i="3" s="1"/>
  <c r="M71" i="3"/>
  <c r="AA59" i="3"/>
  <c r="AC59" i="9"/>
  <c r="Q59" i="9"/>
  <c r="B59" i="3"/>
  <c r="Z71" i="9"/>
  <c r="Z83" i="9" s="1"/>
  <c r="G59" i="3"/>
  <c r="H59" i="3"/>
  <c r="Q59" i="3"/>
  <c r="Z71" i="3"/>
  <c r="Z83" i="3" s="1"/>
  <c r="AA394" i="3"/>
  <c r="AA406" i="3" s="1"/>
  <c r="B285" i="3"/>
  <c r="B297" i="3" s="1"/>
  <c r="M59" i="9"/>
  <c r="N59" i="9"/>
  <c r="AC285" i="3"/>
  <c r="AC297" i="3" s="1"/>
  <c r="Z59" i="9"/>
  <c r="S59" i="9"/>
  <c r="AB59" i="9"/>
  <c r="R59" i="9"/>
  <c r="Y59" i="9"/>
  <c r="AA59" i="9"/>
  <c r="V394" i="3"/>
  <c r="V406" i="3" s="1"/>
  <c r="R71" i="3"/>
  <c r="R83" i="3" s="1"/>
  <c r="O177" i="13"/>
  <c r="O189" i="13" s="1"/>
  <c r="Y59" i="3"/>
  <c r="L71" i="3"/>
  <c r="L83" i="3" s="1"/>
  <c r="X394" i="3"/>
  <c r="X406" i="3" s="1"/>
  <c r="E177" i="13"/>
  <c r="E189" i="13" s="1"/>
  <c r="D394" i="3"/>
  <c r="D406" i="3" s="1"/>
  <c r="I71" i="3"/>
  <c r="I83" i="3" s="1"/>
  <c r="P71" i="9"/>
  <c r="P83" i="9" s="1"/>
  <c r="Y177" i="13"/>
  <c r="Y189" i="13" s="1"/>
  <c r="F285" i="3"/>
  <c r="M71" i="9"/>
  <c r="AC71" i="9"/>
  <c r="AC83" i="9" s="1"/>
  <c r="S285" i="3"/>
  <c r="S297" i="3" s="1"/>
  <c r="C177" i="3"/>
  <c r="Z177" i="3"/>
  <c r="Z189" i="3" s="1"/>
  <c r="Z285" i="3"/>
  <c r="Z297" i="3" s="1"/>
  <c r="AC273" i="3"/>
  <c r="S165" i="3"/>
  <c r="G273" i="3"/>
  <c r="H165" i="3"/>
  <c r="N382" i="3"/>
  <c r="E382" i="3"/>
  <c r="X382" i="3"/>
  <c r="N177" i="3"/>
  <c r="N189" i="3" s="1"/>
  <c r="E273" i="3"/>
  <c r="U382" i="3"/>
  <c r="G71" i="9"/>
  <c r="G83" i="9" s="1"/>
  <c r="AA285" i="3"/>
  <c r="U177" i="13"/>
  <c r="U189" i="13" s="1"/>
  <c r="O394" i="13"/>
  <c r="O406" i="13" s="1"/>
  <c r="G382" i="3"/>
  <c r="J285" i="3"/>
  <c r="J297" i="3" s="1"/>
  <c r="F273" i="3"/>
  <c r="P382" i="3"/>
  <c r="O165" i="3"/>
  <c r="W273" i="3"/>
  <c r="E165" i="3"/>
  <c r="W71" i="9"/>
  <c r="W177" i="13"/>
  <c r="AB394" i="3"/>
  <c r="AB406" i="3" s="1"/>
  <c r="U71" i="3"/>
  <c r="U83" i="3" s="1"/>
  <c r="F71" i="3"/>
  <c r="F83" i="3" s="1"/>
  <c r="L177" i="13"/>
  <c r="L189" i="13" s="1"/>
  <c r="F394" i="3"/>
  <c r="F406" i="3" s="1"/>
  <c r="Z177" i="13"/>
  <c r="Z189" i="13" s="1"/>
  <c r="T71" i="3"/>
  <c r="M177" i="13"/>
  <c r="M189" i="13" s="1"/>
  <c r="AC177" i="13"/>
  <c r="AC189" i="13" s="1"/>
  <c r="W394" i="3"/>
  <c r="W406" i="3" s="1"/>
  <c r="I177" i="13"/>
  <c r="H285" i="3"/>
  <c r="H297" i="3" s="1"/>
  <c r="T71" i="9"/>
  <c r="T83" i="9" s="1"/>
  <c r="X285" i="3"/>
  <c r="W59" i="9"/>
  <c r="Y177" i="3"/>
  <c r="P285" i="3"/>
  <c r="P297" i="3" s="1"/>
  <c r="C285" i="3"/>
  <c r="D285" i="3"/>
  <c r="V285" i="3"/>
  <c r="V297" i="3" s="1"/>
  <c r="P165" i="3"/>
  <c r="R165" i="3"/>
  <c r="T382" i="3"/>
  <c r="AB165" i="3"/>
  <c r="F382" i="3"/>
  <c r="P273" i="3"/>
  <c r="T273" i="3"/>
  <c r="C273" i="3"/>
  <c r="F165" i="3"/>
  <c r="B71" i="9"/>
  <c r="B83" i="9" s="1"/>
  <c r="C382" i="3"/>
  <c r="Y71" i="9"/>
  <c r="Y83" i="9" s="1"/>
  <c r="H382" i="3"/>
  <c r="L382" i="3"/>
  <c r="AB177" i="13"/>
  <c r="AB189" i="13" s="1"/>
  <c r="C394" i="3"/>
  <c r="C406" i="3" s="1"/>
  <c r="S394" i="3"/>
  <c r="S406" i="3" s="1"/>
  <c r="G177" i="13"/>
  <c r="G189" i="13" s="1"/>
  <c r="AC177" i="3"/>
  <c r="AC189" i="3" s="1"/>
  <c r="Z394" i="3"/>
  <c r="Z406" i="3" s="1"/>
  <c r="O177" i="3"/>
  <c r="O189" i="3" s="1"/>
  <c r="I285" i="3"/>
  <c r="I297" i="3" s="1"/>
  <c r="I71" i="9"/>
  <c r="I83" i="9" s="1"/>
  <c r="F177" i="3"/>
  <c r="F189" i="3" s="1"/>
  <c r="C71" i="9"/>
  <c r="C83" i="9" s="1"/>
  <c r="B177" i="3"/>
  <c r="B189" i="3" s="1"/>
  <c r="R177" i="3"/>
  <c r="R189" i="3" s="1"/>
  <c r="J165" i="3"/>
  <c r="R382" i="3"/>
  <c r="K273" i="3"/>
  <c r="N165" i="3"/>
  <c r="D382" i="3"/>
  <c r="X71" i="9"/>
  <c r="X83" i="9" s="1"/>
  <c r="V71" i="9"/>
  <c r="W177" i="3"/>
  <c r="W189" i="3" s="1"/>
  <c r="D71" i="3"/>
  <c r="G394" i="3"/>
  <c r="G406" i="3" s="1"/>
  <c r="T177" i="13"/>
  <c r="T189" i="13" s="1"/>
  <c r="E71" i="3"/>
  <c r="E83" i="3" s="1"/>
  <c r="AA177" i="3"/>
  <c r="AA189" i="3" s="1"/>
  <c r="T285" i="3"/>
  <c r="AB71" i="9"/>
  <c r="AB83" i="9" s="1"/>
  <c r="D177" i="3"/>
  <c r="N177" i="13"/>
  <c r="N189" i="13" s="1"/>
  <c r="AB285" i="3"/>
  <c r="AB297" i="3" s="1"/>
  <c r="S382" i="3"/>
  <c r="AA165" i="3"/>
  <c r="O382" i="3"/>
  <c r="Y382" i="3"/>
  <c r="S273" i="3"/>
  <c r="Z273" i="3"/>
  <c r="M273" i="3"/>
  <c r="Q273" i="3"/>
  <c r="Q71" i="9"/>
  <c r="N71" i="9"/>
  <c r="R71" i="9"/>
  <c r="R83" i="9" s="1"/>
  <c r="F177" i="13"/>
  <c r="L71" i="9"/>
  <c r="K394" i="3"/>
  <c r="K406" i="3" s="1"/>
  <c r="O71" i="3"/>
  <c r="O83" i="3" s="1"/>
  <c r="P71" i="3"/>
  <c r="P83" i="3" s="1"/>
  <c r="Y71" i="3"/>
  <c r="Y83" i="3" s="1"/>
  <c r="AC394" i="3"/>
  <c r="AC406" i="3" s="1"/>
  <c r="W71" i="3"/>
  <c r="W83" i="3" s="1"/>
  <c r="X71" i="3"/>
  <c r="X83" i="3" s="1"/>
  <c r="E177" i="3"/>
  <c r="E189" i="3" s="1"/>
  <c r="T59" i="3"/>
  <c r="L394" i="3"/>
  <c r="L406" i="3" s="1"/>
  <c r="H394" i="3"/>
  <c r="H406" i="3" s="1"/>
  <c r="H177" i="13"/>
  <c r="AA71" i="3"/>
  <c r="AA83" i="3" s="1"/>
  <c r="P59" i="9"/>
  <c r="O285" i="3"/>
  <c r="W285" i="3"/>
  <c r="N285" i="3"/>
  <c r="U285" i="3"/>
  <c r="S177" i="3"/>
  <c r="S189" i="3" s="1"/>
  <c r="E285" i="3"/>
  <c r="K165" i="3"/>
  <c r="D273" i="3"/>
  <c r="J382" i="3"/>
  <c r="V273" i="3"/>
  <c r="AB273" i="3"/>
  <c r="U273" i="3"/>
  <c r="K382" i="3"/>
  <c r="R273" i="3"/>
  <c r="G165" i="3"/>
  <c r="AB382" i="3"/>
  <c r="T165" i="3"/>
  <c r="X273" i="3"/>
  <c r="H71" i="9"/>
  <c r="H83" i="9" s="1"/>
  <c r="AC71" i="3"/>
  <c r="N71" i="3"/>
  <c r="N83" i="3" s="1"/>
  <c r="V71" i="3"/>
  <c r="V83" i="3" s="1"/>
  <c r="C71" i="3"/>
  <c r="B394" i="3"/>
  <c r="B406" i="3" s="1"/>
  <c r="S71" i="3"/>
  <c r="S83" i="3" s="1"/>
  <c r="O394" i="3"/>
  <c r="O406" i="3" s="1"/>
  <c r="T394" i="3"/>
  <c r="J71" i="9"/>
  <c r="P177" i="3"/>
  <c r="P189" i="3" s="1"/>
  <c r="Y285" i="3"/>
  <c r="Y297" i="3" s="1"/>
  <c r="G285" i="3"/>
  <c r="K177" i="13"/>
  <c r="K189" i="13" s="1"/>
  <c r="E71" i="9"/>
  <c r="E83" i="9" s="1"/>
  <c r="M285" i="3"/>
  <c r="M297" i="3" s="1"/>
  <c r="X177" i="3"/>
  <c r="Y165" i="3"/>
  <c r="L273" i="3"/>
  <c r="AA382" i="3"/>
  <c r="O273" i="3"/>
  <c r="I165" i="3"/>
  <c r="I382" i="3"/>
  <c r="I273" i="3"/>
  <c r="Z165" i="3"/>
  <c r="V165" i="3"/>
  <c r="B273" i="3"/>
  <c r="AC165" i="3"/>
  <c r="AC382" i="3"/>
  <c r="L165" i="3"/>
  <c r="O71" i="9"/>
  <c r="O83" i="9" s="1"/>
  <c r="T177" i="3"/>
  <c r="T189" i="3" s="1"/>
  <c r="C177" i="13"/>
  <c r="C189" i="13" s="1"/>
  <c r="Y394" i="3"/>
  <c r="Y406" i="3" s="1"/>
  <c r="J394" i="3"/>
  <c r="J406" i="3" s="1"/>
  <c r="P394" i="3"/>
  <c r="P406" i="3" s="1"/>
  <c r="J177" i="13"/>
  <c r="J189" i="13" s="1"/>
  <c r="N394" i="3"/>
  <c r="N406" i="3" s="1"/>
  <c r="R394" i="3"/>
  <c r="R406" i="3" s="1"/>
  <c r="S177" i="13"/>
  <c r="S189" i="13" s="1"/>
  <c r="U394" i="3"/>
  <c r="U406" i="3" s="1"/>
  <c r="B71" i="3"/>
  <c r="M394" i="3"/>
  <c r="M406" i="3" s="1"/>
  <c r="J71" i="3"/>
  <c r="J83" i="3" s="1"/>
  <c r="AA177" i="13"/>
  <c r="AA189" i="13" s="1"/>
  <c r="AA273" i="3"/>
  <c r="B165" i="3"/>
  <c r="Z382" i="3"/>
  <c r="N273" i="3"/>
  <c r="H273" i="3"/>
  <c r="W382" i="3"/>
  <c r="V382" i="3"/>
  <c r="M165" i="3"/>
  <c r="B177" i="13"/>
  <c r="B189" i="13" s="1"/>
  <c r="D165" i="3"/>
  <c r="M382" i="3"/>
  <c r="V177" i="3"/>
  <c r="W165" i="3"/>
  <c r="R285" i="3"/>
  <c r="R297" i="3" s="1"/>
  <c r="U165" i="3"/>
  <c r="U71" i="9"/>
  <c r="D71" i="9"/>
  <c r="S71" i="9"/>
  <c r="AB82" i="13"/>
  <c r="AB85" i="13" s="1"/>
  <c r="AE37" i="28" s="1"/>
  <c r="E161" i="9"/>
  <c r="E165" i="9" s="1"/>
  <c r="E173" i="9"/>
  <c r="E185" i="9"/>
  <c r="AA402" i="9"/>
  <c r="AA390" i="9"/>
  <c r="AA378" i="9"/>
  <c r="AA382" i="9" s="1"/>
  <c r="S293" i="9"/>
  <c r="S269" i="9"/>
  <c r="S273" i="9" s="1"/>
  <c r="S281" i="9"/>
  <c r="F293" i="9"/>
  <c r="F269" i="9"/>
  <c r="F273" i="9" s="1"/>
  <c r="F281" i="9"/>
  <c r="V269" i="9"/>
  <c r="V273" i="9" s="1"/>
  <c r="V281" i="9"/>
  <c r="V293" i="9"/>
  <c r="O269" i="9"/>
  <c r="O273" i="9" s="1"/>
  <c r="O281" i="9"/>
  <c r="O293" i="9"/>
  <c r="Q185" i="9"/>
  <c r="Q161" i="9"/>
  <c r="Q165" i="9" s="1"/>
  <c r="Q173" i="9"/>
  <c r="I161" i="9"/>
  <c r="I165" i="9" s="1"/>
  <c r="I185" i="9"/>
  <c r="I173" i="9"/>
  <c r="O161" i="9"/>
  <c r="O165" i="9" s="1"/>
  <c r="O173" i="9"/>
  <c r="O185" i="9"/>
  <c r="AA495" i="9"/>
  <c r="AA507" i="9"/>
  <c r="AA483" i="9"/>
  <c r="AA487" i="9" s="1"/>
  <c r="M507" i="9"/>
  <c r="M495" i="9"/>
  <c r="M483" i="9"/>
  <c r="M487" i="9" s="1"/>
  <c r="O507" i="9"/>
  <c r="O483" i="9"/>
  <c r="O487" i="9" s="1"/>
  <c r="O495" i="9"/>
  <c r="J507" i="9"/>
  <c r="J483" i="9"/>
  <c r="J487" i="9" s="1"/>
  <c r="J495" i="9"/>
  <c r="S402" i="9"/>
  <c r="S390" i="9"/>
  <c r="S378" i="9"/>
  <c r="S382" i="9" s="1"/>
  <c r="J402" i="9"/>
  <c r="J390" i="9"/>
  <c r="J378" i="9"/>
  <c r="J382" i="9" s="1"/>
  <c r="W402" i="9"/>
  <c r="W378" i="9"/>
  <c r="W382" i="9" s="1"/>
  <c r="W390" i="9"/>
  <c r="AC483" i="9"/>
  <c r="AC487" i="9" s="1"/>
  <c r="AC495" i="9"/>
  <c r="AC507" i="9"/>
  <c r="P293" i="9"/>
  <c r="P269" i="9"/>
  <c r="P273" i="9" s="1"/>
  <c r="P281" i="9"/>
  <c r="D293" i="9"/>
  <c r="D269" i="9"/>
  <c r="D273" i="9" s="1"/>
  <c r="D281" i="9"/>
  <c r="T293" i="9"/>
  <c r="T269" i="9"/>
  <c r="T273" i="9" s="1"/>
  <c r="T281" i="9"/>
  <c r="AC269" i="9"/>
  <c r="AC273" i="9" s="1"/>
  <c r="AC281" i="9"/>
  <c r="AC293" i="9"/>
  <c r="U185" i="9"/>
  <c r="U161" i="9"/>
  <c r="U165" i="9" s="1"/>
  <c r="U173" i="9"/>
  <c r="D161" i="9"/>
  <c r="D165" i="9" s="1"/>
  <c r="D173" i="9"/>
  <c r="D185" i="9"/>
  <c r="C185" i="9"/>
  <c r="C161" i="9"/>
  <c r="C165" i="9" s="1"/>
  <c r="C173" i="9"/>
  <c r="V507" i="9"/>
  <c r="V483" i="9"/>
  <c r="V487" i="9" s="1"/>
  <c r="V495" i="9"/>
  <c r="B507" i="9"/>
  <c r="B483" i="9"/>
  <c r="B487" i="9" s="1"/>
  <c r="B495" i="9"/>
  <c r="E483" i="9"/>
  <c r="E487" i="9" s="1"/>
  <c r="E495" i="9"/>
  <c r="E507" i="9"/>
  <c r="H495" i="9"/>
  <c r="H507" i="9"/>
  <c r="H483" i="9"/>
  <c r="H487" i="9" s="1"/>
  <c r="Y402" i="9"/>
  <c r="Y390" i="9"/>
  <c r="Y378" i="9"/>
  <c r="Y382" i="9" s="1"/>
  <c r="Z378" i="9"/>
  <c r="Z382" i="9" s="1"/>
  <c r="Z390" i="9"/>
  <c r="Z402" i="9"/>
  <c r="Q402" i="9"/>
  <c r="Q390" i="9"/>
  <c r="Q378" i="9"/>
  <c r="Q382" i="9" s="1"/>
  <c r="B185" i="9"/>
  <c r="B161" i="9"/>
  <c r="B165" i="9" s="1"/>
  <c r="B173" i="9"/>
  <c r="L495" i="9"/>
  <c r="L507" i="9"/>
  <c r="L483" i="9"/>
  <c r="L487" i="9" s="1"/>
  <c r="AA293" i="9"/>
  <c r="AA269" i="9"/>
  <c r="AA273" i="9" s="1"/>
  <c r="AA281" i="9"/>
  <c r="E293" i="9"/>
  <c r="E281" i="9"/>
  <c r="E269" i="9"/>
  <c r="E273" i="9" s="1"/>
  <c r="Z293" i="9"/>
  <c r="Z269" i="9"/>
  <c r="Z273" i="9" s="1"/>
  <c r="Z281" i="9"/>
  <c r="S185" i="9"/>
  <c r="S161" i="9"/>
  <c r="S165" i="9" s="1"/>
  <c r="S173" i="9"/>
  <c r="Y161" i="9"/>
  <c r="Y165" i="9" s="1"/>
  <c r="Y173" i="9"/>
  <c r="Y185" i="9"/>
  <c r="R185" i="9"/>
  <c r="R161" i="9"/>
  <c r="R165" i="9" s="1"/>
  <c r="R173" i="9"/>
  <c r="P173" i="9"/>
  <c r="P185" i="9"/>
  <c r="P161" i="9"/>
  <c r="P165" i="9" s="1"/>
  <c r="U495" i="9"/>
  <c r="U507" i="9"/>
  <c r="U483" i="9"/>
  <c r="U487" i="9" s="1"/>
  <c r="D495" i="9"/>
  <c r="D483" i="9"/>
  <c r="D487" i="9" s="1"/>
  <c r="D507" i="9"/>
  <c r="C507" i="9"/>
  <c r="C483" i="9"/>
  <c r="C487" i="9" s="1"/>
  <c r="C495" i="9"/>
  <c r="T507" i="9"/>
  <c r="T483" i="9"/>
  <c r="T487" i="9" s="1"/>
  <c r="T495" i="9"/>
  <c r="N378" i="9"/>
  <c r="N382" i="9" s="1"/>
  <c r="N402" i="9"/>
  <c r="N390" i="9"/>
  <c r="P390" i="9"/>
  <c r="P378" i="9"/>
  <c r="P382" i="9" s="1"/>
  <c r="P402" i="9"/>
  <c r="F378" i="9"/>
  <c r="F382" i="9" s="1"/>
  <c r="F402" i="9"/>
  <c r="F390" i="9"/>
  <c r="B269" i="9"/>
  <c r="B273" i="9" s="1"/>
  <c r="B281" i="9"/>
  <c r="B293" i="9"/>
  <c r="T161" i="9"/>
  <c r="T165" i="9" s="1"/>
  <c r="T173" i="9"/>
  <c r="T185" i="9"/>
  <c r="F507" i="9"/>
  <c r="F483" i="9"/>
  <c r="F487" i="9" s="1"/>
  <c r="F495" i="9"/>
  <c r="M281" i="9"/>
  <c r="M293" i="9"/>
  <c r="M269" i="9"/>
  <c r="M273" i="9" s="1"/>
  <c r="K281" i="9"/>
  <c r="K269" i="9"/>
  <c r="K273" i="9" s="1"/>
  <c r="K293" i="9"/>
  <c r="G281" i="9"/>
  <c r="G293" i="9"/>
  <c r="G269" i="9"/>
  <c r="G273" i="9" s="1"/>
  <c r="H161" i="9"/>
  <c r="H165" i="9" s="1"/>
  <c r="H185" i="9"/>
  <c r="H173" i="9"/>
  <c r="N173" i="9"/>
  <c r="N185" i="9"/>
  <c r="N161" i="9"/>
  <c r="N165" i="9" s="1"/>
  <c r="F161" i="9"/>
  <c r="F165" i="9" s="1"/>
  <c r="F173" i="9"/>
  <c r="F185" i="9"/>
  <c r="J185" i="9"/>
  <c r="J161" i="9"/>
  <c r="J165" i="9" s="1"/>
  <c r="J173" i="9"/>
  <c r="AB483" i="9"/>
  <c r="AB487" i="9" s="1"/>
  <c r="AB507" i="9"/>
  <c r="AB495" i="9"/>
  <c r="K507" i="9"/>
  <c r="K483" i="9"/>
  <c r="K487" i="9" s="1"/>
  <c r="K495" i="9"/>
  <c r="R507" i="9"/>
  <c r="R483" i="9"/>
  <c r="R487" i="9" s="1"/>
  <c r="R495" i="9"/>
  <c r="C378" i="9"/>
  <c r="C382" i="9" s="1"/>
  <c r="C390" i="9"/>
  <c r="C402" i="9"/>
  <c r="V390" i="9"/>
  <c r="V378" i="9"/>
  <c r="V382" i="9" s="1"/>
  <c r="V402" i="9"/>
  <c r="G390" i="9"/>
  <c r="G378" i="9"/>
  <c r="G382" i="9" s="1"/>
  <c r="G402" i="9"/>
  <c r="O390" i="9"/>
  <c r="O378" i="9"/>
  <c r="O382" i="9" s="1"/>
  <c r="O402" i="9"/>
  <c r="X281" i="9"/>
  <c r="X293" i="9"/>
  <c r="X269" i="9"/>
  <c r="X273" i="9" s="1"/>
  <c r="R402" i="9"/>
  <c r="R390" i="9"/>
  <c r="R378" i="9"/>
  <c r="R382" i="9" s="1"/>
  <c r="J281" i="9"/>
  <c r="J293" i="9"/>
  <c r="J269" i="9"/>
  <c r="J273" i="9" s="1"/>
  <c r="N293" i="9"/>
  <c r="N269" i="9"/>
  <c r="N273" i="9" s="1"/>
  <c r="N281" i="9"/>
  <c r="Y293" i="9"/>
  <c r="Y269" i="9"/>
  <c r="Y273" i="9" s="1"/>
  <c r="Y281" i="9"/>
  <c r="AB161" i="9"/>
  <c r="AB165" i="9" s="1"/>
  <c r="AB173" i="9"/>
  <c r="AB185" i="9"/>
  <c r="Z185" i="9"/>
  <c r="Z161" i="9"/>
  <c r="Z165" i="9" s="1"/>
  <c r="Z173" i="9"/>
  <c r="V161" i="9"/>
  <c r="V165" i="9" s="1"/>
  <c r="V173" i="9"/>
  <c r="V185" i="9"/>
  <c r="X173" i="9"/>
  <c r="X185" i="9"/>
  <c r="X161" i="9"/>
  <c r="X165" i="9" s="1"/>
  <c r="S495" i="9"/>
  <c r="S507" i="9"/>
  <c r="S483" i="9"/>
  <c r="S487" i="9" s="1"/>
  <c r="Z507" i="9"/>
  <c r="Z483" i="9"/>
  <c r="Z487" i="9" s="1"/>
  <c r="Z495" i="9"/>
  <c r="Q507" i="9"/>
  <c r="Q483" i="9"/>
  <c r="Q487" i="9" s="1"/>
  <c r="Q495" i="9"/>
  <c r="B402" i="9"/>
  <c r="B390" i="9"/>
  <c r="B378" i="9"/>
  <c r="B382" i="9" s="1"/>
  <c r="H390" i="9"/>
  <c r="H378" i="9"/>
  <c r="H382" i="9" s="1"/>
  <c r="H402" i="9"/>
  <c r="E390" i="9"/>
  <c r="E378" i="9"/>
  <c r="E382" i="9" s="1"/>
  <c r="E402" i="9"/>
  <c r="D402" i="9"/>
  <c r="D390" i="9"/>
  <c r="D378" i="9"/>
  <c r="D382" i="9" s="1"/>
  <c r="Q269" i="9"/>
  <c r="Q273" i="9" s="1"/>
  <c r="Q281" i="9"/>
  <c r="Q293" i="9"/>
  <c r="I402" i="9"/>
  <c r="I390" i="9"/>
  <c r="I378" i="9"/>
  <c r="I382" i="9" s="1"/>
  <c r="U269" i="9"/>
  <c r="U273" i="9" s="1"/>
  <c r="U293" i="9"/>
  <c r="U281" i="9"/>
  <c r="I281" i="9"/>
  <c r="I269" i="9"/>
  <c r="I273" i="9" s="1"/>
  <c r="I293" i="9"/>
  <c r="AB281" i="9"/>
  <c r="AB293" i="9"/>
  <c r="AB269" i="9"/>
  <c r="AB273" i="9" s="1"/>
  <c r="M161" i="9"/>
  <c r="M165" i="9" s="1"/>
  <c r="M173" i="9"/>
  <c r="M185" i="9"/>
  <c r="K185" i="9"/>
  <c r="K161" i="9"/>
  <c r="K165" i="9" s="1"/>
  <c r="K173" i="9"/>
  <c r="G161" i="9"/>
  <c r="G165" i="9" s="1"/>
  <c r="G173" i="9"/>
  <c r="G185" i="9"/>
  <c r="W161" i="9"/>
  <c r="W165" i="9" s="1"/>
  <c r="W173" i="9"/>
  <c r="W185" i="9"/>
  <c r="W483" i="9"/>
  <c r="W487" i="9" s="1"/>
  <c r="W495" i="9"/>
  <c r="W507" i="9"/>
  <c r="Y507" i="9"/>
  <c r="Y483" i="9"/>
  <c r="Y487" i="9" s="1"/>
  <c r="Y495" i="9"/>
  <c r="P507" i="9"/>
  <c r="P483" i="9"/>
  <c r="P487" i="9" s="1"/>
  <c r="P495" i="9"/>
  <c r="X390" i="9"/>
  <c r="X402" i="9"/>
  <c r="X378" i="9"/>
  <c r="X382" i="9" s="1"/>
  <c r="L390" i="9"/>
  <c r="L378" i="9"/>
  <c r="L382" i="9" s="1"/>
  <c r="L402" i="9"/>
  <c r="M390" i="9"/>
  <c r="M378" i="9"/>
  <c r="M382" i="9" s="1"/>
  <c r="M402" i="9"/>
  <c r="U390" i="9"/>
  <c r="U378" i="9"/>
  <c r="U382" i="9" s="1"/>
  <c r="U402" i="9"/>
  <c r="C293" i="9"/>
  <c r="C269" i="9"/>
  <c r="C273" i="9" s="1"/>
  <c r="C281" i="9"/>
  <c r="I507" i="9"/>
  <c r="I483" i="9"/>
  <c r="I487" i="9" s="1"/>
  <c r="I495" i="9"/>
  <c r="H281" i="9"/>
  <c r="H293" i="9"/>
  <c r="H269" i="9"/>
  <c r="H273" i="9" s="1"/>
  <c r="W269" i="9"/>
  <c r="W273" i="9" s="1"/>
  <c r="W281" i="9"/>
  <c r="W293" i="9"/>
  <c r="L293" i="9"/>
  <c r="L269" i="9"/>
  <c r="L273" i="9" s="1"/>
  <c r="L281" i="9"/>
  <c r="R293" i="9"/>
  <c r="R269" i="9"/>
  <c r="R273" i="9" s="1"/>
  <c r="R281" i="9"/>
  <c r="L185" i="9"/>
  <c r="L173" i="9"/>
  <c r="L161" i="9"/>
  <c r="L165" i="9" s="1"/>
  <c r="AC173" i="9"/>
  <c r="AC185" i="9"/>
  <c r="AC161" i="9"/>
  <c r="AC165" i="9" s="1"/>
  <c r="AA173" i="9"/>
  <c r="AA161" i="9"/>
  <c r="AA165" i="9" s="1"/>
  <c r="AA185" i="9"/>
  <c r="N483" i="9"/>
  <c r="N487" i="9" s="1"/>
  <c r="N495" i="9"/>
  <c r="N507" i="9"/>
  <c r="X495" i="9"/>
  <c r="X507" i="9"/>
  <c r="X483" i="9"/>
  <c r="X487" i="9" s="1"/>
  <c r="G495" i="9"/>
  <c r="G483" i="9"/>
  <c r="G487" i="9" s="1"/>
  <c r="G507" i="9"/>
  <c r="AB402" i="9"/>
  <c r="AB390" i="9"/>
  <c r="AB378" i="9"/>
  <c r="AB382" i="9" s="1"/>
  <c r="AC390" i="9"/>
  <c r="AC378" i="9"/>
  <c r="AC382" i="9" s="1"/>
  <c r="AC402" i="9"/>
  <c r="K402" i="9"/>
  <c r="K390" i="9"/>
  <c r="K378" i="9"/>
  <c r="K382" i="9" s="1"/>
  <c r="T390" i="9"/>
  <c r="T378" i="9"/>
  <c r="T382" i="9" s="1"/>
  <c r="T402" i="9"/>
  <c r="Q487" i="3"/>
  <c r="Y487" i="3"/>
  <c r="G487" i="3"/>
  <c r="H487" i="3"/>
  <c r="I487" i="3"/>
  <c r="P487" i="3"/>
  <c r="O487" i="3"/>
  <c r="W487" i="3"/>
  <c r="T487" i="3"/>
  <c r="R405" i="13"/>
  <c r="R408" i="13" s="1"/>
  <c r="U41" i="28" s="1"/>
  <c r="J487" i="3"/>
  <c r="R487" i="3"/>
  <c r="V296" i="13"/>
  <c r="V299" i="13" s="1"/>
  <c r="Y40" i="28" s="1"/>
  <c r="Z296" i="13"/>
  <c r="Z299" i="13" s="1"/>
  <c r="AC40" i="28" s="1"/>
  <c r="Y296" i="13"/>
  <c r="Y299" i="13" s="1"/>
  <c r="AB40" i="28" s="1"/>
  <c r="M296" i="13"/>
  <c r="M299" i="13" s="1"/>
  <c r="P40" i="28" s="1"/>
  <c r="Z487" i="3"/>
  <c r="Z499" i="3"/>
  <c r="Z511" i="3" s="1"/>
  <c r="J499" i="3"/>
  <c r="J511" i="3" s="1"/>
  <c r="R499" i="3"/>
  <c r="R511" i="3" s="1"/>
  <c r="H499" i="3"/>
  <c r="H511" i="3" s="1"/>
  <c r="D405" i="13"/>
  <c r="D408" i="13" s="1"/>
  <c r="G41" i="28" s="1"/>
  <c r="B487" i="3"/>
  <c r="S487" i="3"/>
  <c r="M82" i="13"/>
  <c r="M85" i="13" s="1"/>
  <c r="P37" i="28" s="1"/>
  <c r="V405" i="13"/>
  <c r="V408" i="13" s="1"/>
  <c r="Y41" i="28" s="1"/>
  <c r="U405" i="13"/>
  <c r="U408" i="13" s="1"/>
  <c r="X41" i="28" s="1"/>
  <c r="M487" i="3"/>
  <c r="Q82" i="13"/>
  <c r="Q85" i="13" s="1"/>
  <c r="T37" i="28" s="1"/>
  <c r="X499" i="3"/>
  <c r="X511" i="3" s="1"/>
  <c r="V487" i="3"/>
  <c r="D487" i="3"/>
  <c r="D499" i="3"/>
  <c r="D511" i="3" s="1"/>
  <c r="I499" i="3"/>
  <c r="I511" i="3" s="1"/>
  <c r="AA487" i="3"/>
  <c r="L487" i="3"/>
  <c r="U499" i="3"/>
  <c r="F487" i="3"/>
  <c r="Y82" i="13"/>
  <c r="Y85" i="13" s="1"/>
  <c r="AB37" i="28" s="1"/>
  <c r="N487" i="3"/>
  <c r="Y499" i="3"/>
  <c r="Y511" i="3" s="1"/>
  <c r="T499" i="3"/>
  <c r="T511" i="3" s="1"/>
  <c r="W499" i="3"/>
  <c r="W511" i="3" s="1"/>
  <c r="O499" i="3"/>
  <c r="O511" i="3" s="1"/>
  <c r="U487" i="3"/>
  <c r="V499" i="3"/>
  <c r="V511" i="3" s="1"/>
  <c r="K487" i="3"/>
  <c r="K499" i="3"/>
  <c r="K511" i="3" s="1"/>
  <c r="AC499" i="3"/>
  <c r="AC511" i="3" s="1"/>
  <c r="E499" i="3"/>
  <c r="E511" i="3" s="1"/>
  <c r="L82" i="13"/>
  <c r="L85" i="13" s="1"/>
  <c r="O37" i="28" s="1"/>
  <c r="S499" i="3"/>
  <c r="S511" i="3" s="1"/>
  <c r="C487" i="3"/>
  <c r="C499" i="3"/>
  <c r="C511" i="3" s="1"/>
  <c r="G499" i="3"/>
  <c r="G511" i="3" s="1"/>
  <c r="M499" i="3"/>
  <c r="M511" i="3" s="1"/>
  <c r="AC487" i="3"/>
  <c r="E487" i="3"/>
  <c r="X487" i="3"/>
  <c r="P499" i="3"/>
  <c r="P511" i="3" s="1"/>
  <c r="Q499" i="3"/>
  <c r="Q511" i="3" s="1"/>
  <c r="F499" i="3"/>
  <c r="F511" i="3" s="1"/>
  <c r="AB487" i="3"/>
  <c r="L499" i="3"/>
  <c r="L511" i="3" s="1"/>
  <c r="N499" i="3"/>
  <c r="N511" i="3" s="1"/>
  <c r="AA499" i="3"/>
  <c r="AA511" i="3" s="1"/>
  <c r="B499" i="3"/>
  <c r="B511" i="3" s="1"/>
  <c r="AB499" i="3"/>
  <c r="AB511" i="3" s="1"/>
  <c r="D82" i="13"/>
  <c r="D85" i="13" s="1"/>
  <c r="G37" i="28" s="1"/>
  <c r="AB405" i="13"/>
  <c r="AB408" i="13" s="1"/>
  <c r="AE41" i="28" s="1"/>
  <c r="H296" i="13"/>
  <c r="H299" i="13" s="1"/>
  <c r="K40" i="28" s="1"/>
  <c r="H82" i="13"/>
  <c r="H85" i="13" s="1"/>
  <c r="K37" i="28" s="1"/>
  <c r="N296" i="13"/>
  <c r="N299" i="13" s="1"/>
  <c r="Q40" i="28" s="1"/>
  <c r="T405" i="13"/>
  <c r="T408" i="13" s="1"/>
  <c r="W41" i="28" s="1"/>
  <c r="K408" i="13"/>
  <c r="N41" i="28" s="1"/>
  <c r="E82" i="13"/>
  <c r="E85" i="13" s="1"/>
  <c r="H37" i="28" s="1"/>
  <c r="W405" i="13"/>
  <c r="W408" i="13" s="1"/>
  <c r="Z41" i="28" s="1"/>
  <c r="AA405" i="13"/>
  <c r="AA408" i="13" s="1"/>
  <c r="AD41" i="28" s="1"/>
  <c r="G82" i="13"/>
  <c r="G85" i="13" s="1"/>
  <c r="J37" i="28" s="1"/>
  <c r="J296" i="13"/>
  <c r="J299" i="13" s="1"/>
  <c r="M40" i="28" s="1"/>
  <c r="R82" i="13"/>
  <c r="R85" i="13" s="1"/>
  <c r="U37" i="28" s="1"/>
  <c r="AC82" i="13"/>
  <c r="AC85" i="13" s="1"/>
  <c r="AF37" i="28" s="1"/>
  <c r="B82" i="13"/>
  <c r="B85" i="13" s="1"/>
  <c r="E37" i="28" s="1"/>
  <c r="B296" i="13"/>
  <c r="B299" i="13" s="1"/>
  <c r="E40" i="28" s="1"/>
  <c r="F405" i="13"/>
  <c r="F408" i="13" s="1"/>
  <c r="I41" i="28" s="1"/>
  <c r="AB296" i="13"/>
  <c r="AB299" i="13" s="1"/>
  <c r="AE40" i="28" s="1"/>
  <c r="Y405" i="13"/>
  <c r="Y408" i="13" s="1"/>
  <c r="AB41" i="28" s="1"/>
  <c r="T296" i="13"/>
  <c r="T299" i="13" s="1"/>
  <c r="W40" i="28" s="1"/>
  <c r="R296" i="13"/>
  <c r="R299" i="13" s="1"/>
  <c r="U40" i="28" s="1"/>
  <c r="K296" i="13"/>
  <c r="K299" i="13" s="1"/>
  <c r="N40" i="28" s="1"/>
  <c r="G296" i="13"/>
  <c r="G299" i="13" s="1"/>
  <c r="J40" i="28" s="1"/>
  <c r="AC405" i="13"/>
  <c r="AC408" i="13" s="1"/>
  <c r="AF41" i="28" s="1"/>
  <c r="P296" i="13"/>
  <c r="P299" i="13" s="1"/>
  <c r="S40" i="28" s="1"/>
  <c r="W296" i="13"/>
  <c r="W299" i="13" s="1"/>
  <c r="Z40" i="28" s="1"/>
  <c r="F296" i="13"/>
  <c r="F299" i="13" s="1"/>
  <c r="I40" i="28" s="1"/>
  <c r="P405" i="13"/>
  <c r="P408" i="13" s="1"/>
  <c r="S41" i="28" s="1"/>
  <c r="Q405" i="13"/>
  <c r="Q408" i="13" s="1"/>
  <c r="T41" i="28" s="1"/>
  <c r="U296" i="13"/>
  <c r="U299" i="13" s="1"/>
  <c r="X40" i="28" s="1"/>
  <c r="AA296" i="13"/>
  <c r="AA299" i="13" s="1"/>
  <c r="AD40" i="28" s="1"/>
  <c r="B405" i="13"/>
  <c r="B408" i="13" s="1"/>
  <c r="E41" i="28" s="1"/>
  <c r="X405" i="13"/>
  <c r="X408" i="13" s="1"/>
  <c r="AA41" i="28" s="1"/>
  <c r="O53" i="1"/>
  <c r="AC53" i="1"/>
  <c r="U53" i="1"/>
  <c r="M53" i="1"/>
  <c r="E53" i="1"/>
  <c r="AB53" i="1"/>
  <c r="T53" i="1"/>
  <c r="L53" i="1"/>
  <c r="D53" i="1"/>
  <c r="W53" i="1"/>
  <c r="AA53" i="1"/>
  <c r="K53" i="1"/>
  <c r="C53" i="1"/>
  <c r="R53" i="1"/>
  <c r="I53" i="1"/>
  <c r="G53" i="1"/>
  <c r="S53" i="1"/>
  <c r="Z53" i="1"/>
  <c r="J53" i="1"/>
  <c r="Y53" i="1"/>
  <c r="Q53" i="1"/>
  <c r="X53" i="1"/>
  <c r="P53" i="1"/>
  <c r="H53" i="1"/>
  <c r="V53" i="1"/>
  <c r="N53" i="1"/>
  <c r="F53" i="1"/>
  <c r="A78" i="1"/>
  <c r="B53" i="1"/>
  <c r="A70" i="1"/>
  <c r="A77" i="1"/>
  <c r="A76" i="1"/>
  <c r="A71" i="1"/>
  <c r="A75" i="1"/>
  <c r="A74" i="1"/>
  <c r="A73" i="1"/>
  <c r="A72" i="1"/>
  <c r="Q12" i="1"/>
  <c r="B31" i="1" s="1"/>
  <c r="R12" i="1"/>
  <c r="C31" i="1" s="1"/>
  <c r="S12" i="1"/>
  <c r="D31" i="1" s="1"/>
  <c r="T12" i="1"/>
  <c r="E31" i="1" s="1"/>
  <c r="U12" i="1"/>
  <c r="F31" i="1" s="1"/>
  <c r="V12" i="1"/>
  <c r="G31" i="1" s="1"/>
  <c r="W12" i="1"/>
  <c r="H31" i="1" s="1"/>
  <c r="X12" i="1"/>
  <c r="I31" i="1" s="1"/>
  <c r="Y12" i="1"/>
  <c r="J31" i="1" s="1"/>
  <c r="Z12" i="1"/>
  <c r="K31" i="1" s="1"/>
  <c r="AA12" i="1"/>
  <c r="L31" i="1" s="1"/>
  <c r="AB12" i="1"/>
  <c r="M31" i="1" s="1"/>
  <c r="AC12" i="1"/>
  <c r="N31" i="1" s="1"/>
  <c r="AD12" i="1"/>
  <c r="O31" i="1" s="1"/>
  <c r="AE12" i="1"/>
  <c r="P31" i="1" s="1"/>
  <c r="AF12" i="1"/>
  <c r="Q31" i="1" s="1"/>
  <c r="AG12" i="1"/>
  <c r="R31" i="1" s="1"/>
  <c r="AH12" i="1"/>
  <c r="S31" i="1" s="1"/>
  <c r="AI12" i="1"/>
  <c r="T31" i="1" s="1"/>
  <c r="AJ12" i="1"/>
  <c r="U31" i="1" s="1"/>
  <c r="AK12" i="1"/>
  <c r="V31" i="1" s="1"/>
  <c r="AL12" i="1"/>
  <c r="W31" i="1" s="1"/>
  <c r="AM12" i="1"/>
  <c r="X31" i="1" s="1"/>
  <c r="AN12" i="1"/>
  <c r="Y31" i="1" s="1"/>
  <c r="AO12" i="1"/>
  <c r="Z31" i="1" s="1"/>
  <c r="AP12" i="1"/>
  <c r="AA31" i="1" s="1"/>
  <c r="AQ12" i="1"/>
  <c r="AB31" i="1" s="1"/>
  <c r="AR12" i="1"/>
  <c r="AC31" i="1" s="1"/>
  <c r="Q13" i="1"/>
  <c r="R13" i="1"/>
  <c r="C32" i="1" s="1"/>
  <c r="S13" i="1"/>
  <c r="D32" i="1" s="1"/>
  <c r="T13" i="1"/>
  <c r="E32" i="1" s="1"/>
  <c r="U13" i="1"/>
  <c r="F32" i="1" s="1"/>
  <c r="V13" i="1"/>
  <c r="G32" i="1" s="1"/>
  <c r="W13" i="1"/>
  <c r="H32" i="1" s="1"/>
  <c r="X13" i="1"/>
  <c r="I32" i="1" s="1"/>
  <c r="Y13" i="1"/>
  <c r="J32" i="1" s="1"/>
  <c r="Z13" i="1"/>
  <c r="K32" i="1" s="1"/>
  <c r="AA13" i="1"/>
  <c r="L32" i="1" s="1"/>
  <c r="AB13" i="1"/>
  <c r="M32" i="1" s="1"/>
  <c r="AC13" i="1"/>
  <c r="N32" i="1" s="1"/>
  <c r="AD13" i="1"/>
  <c r="O32" i="1" s="1"/>
  <c r="AE13" i="1"/>
  <c r="P32" i="1" s="1"/>
  <c r="AF13" i="1"/>
  <c r="Q32" i="1" s="1"/>
  <c r="AG13" i="1"/>
  <c r="R32" i="1" s="1"/>
  <c r="AH13" i="1"/>
  <c r="S32" i="1" s="1"/>
  <c r="AI13" i="1"/>
  <c r="T32" i="1" s="1"/>
  <c r="AJ13" i="1"/>
  <c r="U32" i="1" s="1"/>
  <c r="AK13" i="1"/>
  <c r="V32" i="1" s="1"/>
  <c r="AL13" i="1"/>
  <c r="W32" i="1" s="1"/>
  <c r="AM13" i="1"/>
  <c r="X32" i="1" s="1"/>
  <c r="AN13" i="1"/>
  <c r="Y32" i="1" s="1"/>
  <c r="AO13" i="1"/>
  <c r="Z32" i="1" s="1"/>
  <c r="AP13" i="1"/>
  <c r="AA32" i="1" s="1"/>
  <c r="AQ13" i="1"/>
  <c r="AB32" i="1" s="1"/>
  <c r="AR13" i="1"/>
  <c r="AC32" i="1" s="1"/>
  <c r="Q14" i="1"/>
  <c r="B33" i="1" s="1"/>
  <c r="R14" i="1"/>
  <c r="C33" i="1" s="1"/>
  <c r="S14" i="1"/>
  <c r="D33" i="1" s="1"/>
  <c r="T14" i="1"/>
  <c r="E33" i="1" s="1"/>
  <c r="U14" i="1"/>
  <c r="F33" i="1" s="1"/>
  <c r="V14" i="1"/>
  <c r="G33" i="1" s="1"/>
  <c r="W14" i="1"/>
  <c r="H33" i="1" s="1"/>
  <c r="X14" i="1"/>
  <c r="I33" i="1" s="1"/>
  <c r="Y14" i="1"/>
  <c r="J33" i="1" s="1"/>
  <c r="Z14" i="1"/>
  <c r="K33" i="1" s="1"/>
  <c r="AA14" i="1"/>
  <c r="L33" i="1" s="1"/>
  <c r="AB14" i="1"/>
  <c r="M33" i="1" s="1"/>
  <c r="AC14" i="1"/>
  <c r="N33" i="1" s="1"/>
  <c r="AD14" i="1"/>
  <c r="O33" i="1" s="1"/>
  <c r="AE14" i="1"/>
  <c r="P33" i="1" s="1"/>
  <c r="AF14" i="1"/>
  <c r="Q33" i="1" s="1"/>
  <c r="AG14" i="1"/>
  <c r="R33" i="1" s="1"/>
  <c r="AH14" i="1"/>
  <c r="S33" i="1" s="1"/>
  <c r="AI14" i="1"/>
  <c r="T33" i="1" s="1"/>
  <c r="AJ14" i="1"/>
  <c r="U33" i="1" s="1"/>
  <c r="AK14" i="1"/>
  <c r="V33" i="1" s="1"/>
  <c r="AL14" i="1"/>
  <c r="W33" i="1" s="1"/>
  <c r="AM14" i="1"/>
  <c r="X33" i="1" s="1"/>
  <c r="AN14" i="1"/>
  <c r="Y33" i="1" s="1"/>
  <c r="AO14" i="1"/>
  <c r="Z33" i="1" s="1"/>
  <c r="AP14" i="1"/>
  <c r="AA33" i="1" s="1"/>
  <c r="AQ14" i="1"/>
  <c r="AB33" i="1" s="1"/>
  <c r="AR14" i="1"/>
  <c r="AC33" i="1" s="1"/>
  <c r="Q15" i="1"/>
  <c r="R15" i="1"/>
  <c r="C34" i="1" s="1"/>
  <c r="S15" i="1"/>
  <c r="D34" i="1" s="1"/>
  <c r="T15" i="1"/>
  <c r="E34" i="1" s="1"/>
  <c r="U15" i="1"/>
  <c r="F34" i="1" s="1"/>
  <c r="V15" i="1"/>
  <c r="G34" i="1" s="1"/>
  <c r="W15" i="1"/>
  <c r="H34" i="1" s="1"/>
  <c r="X15" i="1"/>
  <c r="I34" i="1" s="1"/>
  <c r="Y15" i="1"/>
  <c r="J34" i="1" s="1"/>
  <c r="Z15" i="1"/>
  <c r="K34" i="1" s="1"/>
  <c r="AA15" i="1"/>
  <c r="L34" i="1" s="1"/>
  <c r="AB15" i="1"/>
  <c r="M34" i="1" s="1"/>
  <c r="AC15" i="1"/>
  <c r="N34" i="1" s="1"/>
  <c r="AD15" i="1"/>
  <c r="O34" i="1" s="1"/>
  <c r="AE15" i="1"/>
  <c r="P34" i="1" s="1"/>
  <c r="AF15" i="1"/>
  <c r="Q34" i="1" s="1"/>
  <c r="AG15" i="1"/>
  <c r="R34" i="1" s="1"/>
  <c r="AH15" i="1"/>
  <c r="S34" i="1" s="1"/>
  <c r="AI15" i="1"/>
  <c r="T34" i="1" s="1"/>
  <c r="AJ15" i="1"/>
  <c r="U34" i="1" s="1"/>
  <c r="AK15" i="1"/>
  <c r="V34" i="1" s="1"/>
  <c r="AL15" i="1"/>
  <c r="W34" i="1" s="1"/>
  <c r="AM15" i="1"/>
  <c r="X34" i="1" s="1"/>
  <c r="AN15" i="1"/>
  <c r="Y34" i="1" s="1"/>
  <c r="AO15" i="1"/>
  <c r="Z34" i="1" s="1"/>
  <c r="AP15" i="1"/>
  <c r="AA34" i="1" s="1"/>
  <c r="AQ15" i="1"/>
  <c r="AB34" i="1" s="1"/>
  <c r="AR15" i="1"/>
  <c r="AC34" i="1" s="1"/>
  <c r="Q16" i="1"/>
  <c r="R16" i="1"/>
  <c r="C35" i="1" s="1"/>
  <c r="S16" i="1"/>
  <c r="D35" i="1" s="1"/>
  <c r="T16" i="1"/>
  <c r="E35" i="1" s="1"/>
  <c r="U16" i="1"/>
  <c r="F35" i="1" s="1"/>
  <c r="V16" i="1"/>
  <c r="G35" i="1" s="1"/>
  <c r="W16" i="1"/>
  <c r="H35" i="1" s="1"/>
  <c r="X16" i="1"/>
  <c r="I35" i="1" s="1"/>
  <c r="Y16" i="1"/>
  <c r="J35" i="1" s="1"/>
  <c r="Z16" i="1"/>
  <c r="K35" i="1" s="1"/>
  <c r="AA16" i="1"/>
  <c r="L35" i="1" s="1"/>
  <c r="AB16" i="1"/>
  <c r="M35" i="1" s="1"/>
  <c r="AC16" i="1"/>
  <c r="N35" i="1" s="1"/>
  <c r="AD16" i="1"/>
  <c r="O35" i="1" s="1"/>
  <c r="AE16" i="1"/>
  <c r="P35" i="1" s="1"/>
  <c r="AF16" i="1"/>
  <c r="Q35" i="1" s="1"/>
  <c r="AG16" i="1"/>
  <c r="R35" i="1" s="1"/>
  <c r="AH16" i="1"/>
  <c r="S35" i="1" s="1"/>
  <c r="AI16" i="1"/>
  <c r="T35" i="1" s="1"/>
  <c r="AJ16" i="1"/>
  <c r="U35" i="1" s="1"/>
  <c r="AK16" i="1"/>
  <c r="V35" i="1" s="1"/>
  <c r="AL16" i="1"/>
  <c r="W35" i="1" s="1"/>
  <c r="AM16" i="1"/>
  <c r="X35" i="1" s="1"/>
  <c r="AN16" i="1"/>
  <c r="Y35" i="1" s="1"/>
  <c r="AO16" i="1"/>
  <c r="Z35" i="1" s="1"/>
  <c r="AP16" i="1"/>
  <c r="AA35" i="1" s="1"/>
  <c r="AQ16" i="1"/>
  <c r="AB35" i="1" s="1"/>
  <c r="AR16" i="1"/>
  <c r="AC35" i="1" s="1"/>
  <c r="Q18" i="1"/>
  <c r="R18" i="1"/>
  <c r="C37" i="1" s="1"/>
  <c r="S18" i="1"/>
  <c r="D37" i="1" s="1"/>
  <c r="T18" i="1"/>
  <c r="E37" i="1" s="1"/>
  <c r="U18" i="1"/>
  <c r="F37" i="1" s="1"/>
  <c r="V18" i="1"/>
  <c r="G37" i="1" s="1"/>
  <c r="W18" i="1"/>
  <c r="H37" i="1" s="1"/>
  <c r="X18" i="1"/>
  <c r="I37" i="1" s="1"/>
  <c r="Y18" i="1"/>
  <c r="J37" i="1" s="1"/>
  <c r="Z18" i="1"/>
  <c r="K37" i="1" s="1"/>
  <c r="AA18" i="1"/>
  <c r="L37" i="1" s="1"/>
  <c r="AB18" i="1"/>
  <c r="M37" i="1" s="1"/>
  <c r="AC18" i="1"/>
  <c r="N37" i="1" s="1"/>
  <c r="AD18" i="1"/>
  <c r="O37" i="1" s="1"/>
  <c r="AE18" i="1"/>
  <c r="P37" i="1" s="1"/>
  <c r="AF18" i="1"/>
  <c r="Q37" i="1" s="1"/>
  <c r="AG18" i="1"/>
  <c r="R37" i="1" s="1"/>
  <c r="AH18" i="1"/>
  <c r="S37" i="1" s="1"/>
  <c r="AI18" i="1"/>
  <c r="T37" i="1" s="1"/>
  <c r="AJ18" i="1"/>
  <c r="U37" i="1" s="1"/>
  <c r="AK18" i="1"/>
  <c r="V37" i="1" s="1"/>
  <c r="AL18" i="1"/>
  <c r="W37" i="1" s="1"/>
  <c r="AM18" i="1"/>
  <c r="X37" i="1" s="1"/>
  <c r="AN18" i="1"/>
  <c r="Y37" i="1" s="1"/>
  <c r="AO18" i="1"/>
  <c r="Z37" i="1" s="1"/>
  <c r="AP18" i="1"/>
  <c r="AA37" i="1" s="1"/>
  <c r="AQ18" i="1"/>
  <c r="AB37" i="1" s="1"/>
  <c r="AR18" i="1"/>
  <c r="AC37" i="1" s="1"/>
  <c r="Q19" i="1"/>
  <c r="R19" i="1"/>
  <c r="C38" i="1" s="1"/>
  <c r="S19" i="1"/>
  <c r="D38" i="1" s="1"/>
  <c r="T19" i="1"/>
  <c r="E38" i="1" s="1"/>
  <c r="U19" i="1"/>
  <c r="F38" i="1" s="1"/>
  <c r="V19" i="1"/>
  <c r="G38" i="1" s="1"/>
  <c r="W19" i="1"/>
  <c r="H38" i="1" s="1"/>
  <c r="X19" i="1"/>
  <c r="I38" i="1" s="1"/>
  <c r="Y19" i="1"/>
  <c r="J38" i="1" s="1"/>
  <c r="Z19" i="1"/>
  <c r="K38" i="1" s="1"/>
  <c r="AA19" i="1"/>
  <c r="L38" i="1" s="1"/>
  <c r="AB19" i="1"/>
  <c r="M38" i="1" s="1"/>
  <c r="AC19" i="1"/>
  <c r="N38" i="1" s="1"/>
  <c r="AD19" i="1"/>
  <c r="O38" i="1" s="1"/>
  <c r="AE19" i="1"/>
  <c r="P38" i="1" s="1"/>
  <c r="AF19" i="1"/>
  <c r="Q38" i="1" s="1"/>
  <c r="AG19" i="1"/>
  <c r="R38" i="1" s="1"/>
  <c r="AH19" i="1"/>
  <c r="S38" i="1" s="1"/>
  <c r="AI19" i="1"/>
  <c r="T38" i="1" s="1"/>
  <c r="AJ19" i="1"/>
  <c r="U38" i="1" s="1"/>
  <c r="AK19" i="1"/>
  <c r="V38" i="1" s="1"/>
  <c r="AL19" i="1"/>
  <c r="W38" i="1" s="1"/>
  <c r="AM19" i="1"/>
  <c r="X38" i="1" s="1"/>
  <c r="AN19" i="1"/>
  <c r="Y38" i="1" s="1"/>
  <c r="AO19" i="1"/>
  <c r="Z38" i="1" s="1"/>
  <c r="AP19" i="1"/>
  <c r="AA38" i="1" s="1"/>
  <c r="AQ19" i="1"/>
  <c r="AB38" i="1" s="1"/>
  <c r="AR19" i="1"/>
  <c r="AC38" i="1" s="1"/>
  <c r="Q20" i="1"/>
  <c r="R20" i="1"/>
  <c r="C39" i="1" s="1"/>
  <c r="S20" i="1"/>
  <c r="D39" i="1" s="1"/>
  <c r="T20" i="1"/>
  <c r="E39" i="1" s="1"/>
  <c r="U20" i="1"/>
  <c r="F39" i="1" s="1"/>
  <c r="V20" i="1"/>
  <c r="G39" i="1" s="1"/>
  <c r="W20" i="1"/>
  <c r="H39" i="1" s="1"/>
  <c r="X20" i="1"/>
  <c r="I39" i="1" s="1"/>
  <c r="Y20" i="1"/>
  <c r="J39" i="1" s="1"/>
  <c r="Z20" i="1"/>
  <c r="K39" i="1" s="1"/>
  <c r="AA20" i="1"/>
  <c r="L39" i="1" s="1"/>
  <c r="AB20" i="1"/>
  <c r="M39" i="1" s="1"/>
  <c r="AC20" i="1"/>
  <c r="N39" i="1" s="1"/>
  <c r="AD20" i="1"/>
  <c r="O39" i="1" s="1"/>
  <c r="AE20" i="1"/>
  <c r="P39" i="1" s="1"/>
  <c r="AF20" i="1"/>
  <c r="Q39" i="1" s="1"/>
  <c r="AG20" i="1"/>
  <c r="R39" i="1" s="1"/>
  <c r="AH20" i="1"/>
  <c r="S39" i="1" s="1"/>
  <c r="AI20" i="1"/>
  <c r="T39" i="1" s="1"/>
  <c r="AJ20" i="1"/>
  <c r="U39" i="1" s="1"/>
  <c r="AK20" i="1"/>
  <c r="V39" i="1" s="1"/>
  <c r="AL20" i="1"/>
  <c r="W39" i="1" s="1"/>
  <c r="AM20" i="1"/>
  <c r="X39" i="1" s="1"/>
  <c r="AN20" i="1"/>
  <c r="Y39" i="1" s="1"/>
  <c r="AO20" i="1"/>
  <c r="Z39" i="1" s="1"/>
  <c r="AP20" i="1"/>
  <c r="AA39" i="1" s="1"/>
  <c r="AQ20" i="1"/>
  <c r="AB39" i="1" s="1"/>
  <c r="AR20" i="1"/>
  <c r="AC39" i="1" s="1"/>
  <c r="Q21" i="1"/>
  <c r="R21" i="1"/>
  <c r="C40" i="1" s="1"/>
  <c r="S21" i="1"/>
  <c r="D40" i="1" s="1"/>
  <c r="T21" i="1"/>
  <c r="E40" i="1" s="1"/>
  <c r="U21" i="1"/>
  <c r="F40" i="1" s="1"/>
  <c r="V21" i="1"/>
  <c r="G40" i="1" s="1"/>
  <c r="W21" i="1"/>
  <c r="H40" i="1" s="1"/>
  <c r="X21" i="1"/>
  <c r="I40" i="1" s="1"/>
  <c r="Y21" i="1"/>
  <c r="J40" i="1" s="1"/>
  <c r="Z21" i="1"/>
  <c r="K40" i="1" s="1"/>
  <c r="AA21" i="1"/>
  <c r="L40" i="1" s="1"/>
  <c r="AB21" i="1"/>
  <c r="M40" i="1" s="1"/>
  <c r="AC21" i="1"/>
  <c r="N40" i="1" s="1"/>
  <c r="AD21" i="1"/>
  <c r="O40" i="1" s="1"/>
  <c r="AE21" i="1"/>
  <c r="P40" i="1" s="1"/>
  <c r="AF21" i="1"/>
  <c r="Q40" i="1" s="1"/>
  <c r="AG21" i="1"/>
  <c r="R40" i="1" s="1"/>
  <c r="AH21" i="1"/>
  <c r="S40" i="1" s="1"/>
  <c r="AI21" i="1"/>
  <c r="T40" i="1" s="1"/>
  <c r="AJ21" i="1"/>
  <c r="U40" i="1" s="1"/>
  <c r="AK21" i="1"/>
  <c r="V40" i="1" s="1"/>
  <c r="AL21" i="1"/>
  <c r="W40" i="1" s="1"/>
  <c r="AM21" i="1"/>
  <c r="X40" i="1" s="1"/>
  <c r="AN21" i="1"/>
  <c r="Y40" i="1" s="1"/>
  <c r="AO21" i="1"/>
  <c r="Z40" i="1" s="1"/>
  <c r="AP21" i="1"/>
  <c r="AA40" i="1" s="1"/>
  <c r="AQ21" i="1"/>
  <c r="AB40" i="1" s="1"/>
  <c r="AR21" i="1"/>
  <c r="AC40" i="1" s="1"/>
  <c r="Q22" i="1"/>
  <c r="R22" i="1"/>
  <c r="C41" i="1" s="1"/>
  <c r="S22" i="1"/>
  <c r="D41" i="1" s="1"/>
  <c r="T22" i="1"/>
  <c r="E41" i="1" s="1"/>
  <c r="U22" i="1"/>
  <c r="F41" i="1" s="1"/>
  <c r="V22" i="1"/>
  <c r="G41" i="1" s="1"/>
  <c r="W22" i="1"/>
  <c r="H41" i="1" s="1"/>
  <c r="X22" i="1"/>
  <c r="I41" i="1" s="1"/>
  <c r="Y22" i="1"/>
  <c r="J41" i="1" s="1"/>
  <c r="Z22" i="1"/>
  <c r="K41" i="1" s="1"/>
  <c r="AA22" i="1"/>
  <c r="L41" i="1" s="1"/>
  <c r="AB22" i="1"/>
  <c r="M41" i="1" s="1"/>
  <c r="AC22" i="1"/>
  <c r="N41" i="1" s="1"/>
  <c r="AD22" i="1"/>
  <c r="O41" i="1" s="1"/>
  <c r="AE22" i="1"/>
  <c r="P41" i="1" s="1"/>
  <c r="AF22" i="1"/>
  <c r="Q41" i="1" s="1"/>
  <c r="AG22" i="1"/>
  <c r="R41" i="1" s="1"/>
  <c r="AH22" i="1"/>
  <c r="S41" i="1" s="1"/>
  <c r="AI22" i="1"/>
  <c r="T41" i="1" s="1"/>
  <c r="AJ22" i="1"/>
  <c r="U41" i="1" s="1"/>
  <c r="AK22" i="1"/>
  <c r="V41" i="1" s="1"/>
  <c r="AL22" i="1"/>
  <c r="W41" i="1" s="1"/>
  <c r="AM22" i="1"/>
  <c r="X41" i="1" s="1"/>
  <c r="AN22" i="1"/>
  <c r="Y41" i="1" s="1"/>
  <c r="AO22" i="1"/>
  <c r="Z41" i="1" s="1"/>
  <c r="AP22" i="1"/>
  <c r="AA41" i="1" s="1"/>
  <c r="AQ22" i="1"/>
  <c r="AB41" i="1" s="1"/>
  <c r="AR22" i="1"/>
  <c r="AC41" i="1" s="1"/>
  <c r="Q23" i="1"/>
  <c r="R23" i="1"/>
  <c r="C42" i="1" s="1"/>
  <c r="C44" i="1" s="1"/>
  <c r="S23" i="1"/>
  <c r="D42" i="1" s="1"/>
  <c r="D44" i="1" s="1"/>
  <c r="T23" i="1"/>
  <c r="E42" i="1" s="1"/>
  <c r="E44" i="1" s="1"/>
  <c r="U23" i="1"/>
  <c r="F42" i="1" s="1"/>
  <c r="F44" i="1" s="1"/>
  <c r="V23" i="1"/>
  <c r="G42" i="1" s="1"/>
  <c r="G44" i="1" s="1"/>
  <c r="W23" i="1"/>
  <c r="H42" i="1" s="1"/>
  <c r="H44" i="1" s="1"/>
  <c r="X23" i="1"/>
  <c r="I42" i="1" s="1"/>
  <c r="I44" i="1" s="1"/>
  <c r="Y23" i="1"/>
  <c r="J42" i="1" s="1"/>
  <c r="J44" i="1" s="1"/>
  <c r="Z23" i="1"/>
  <c r="K42" i="1" s="1"/>
  <c r="K44" i="1" s="1"/>
  <c r="AA23" i="1"/>
  <c r="L42" i="1" s="1"/>
  <c r="L44" i="1" s="1"/>
  <c r="AB23" i="1"/>
  <c r="M42" i="1" s="1"/>
  <c r="M44" i="1" s="1"/>
  <c r="AC23" i="1"/>
  <c r="N42" i="1" s="1"/>
  <c r="N44" i="1" s="1"/>
  <c r="AD23" i="1"/>
  <c r="O42" i="1" s="1"/>
  <c r="O44" i="1" s="1"/>
  <c r="AE23" i="1"/>
  <c r="P42" i="1" s="1"/>
  <c r="P44" i="1" s="1"/>
  <c r="AF23" i="1"/>
  <c r="Q42" i="1" s="1"/>
  <c r="Q44" i="1" s="1"/>
  <c r="AG23" i="1"/>
  <c r="R42" i="1" s="1"/>
  <c r="R44" i="1" s="1"/>
  <c r="AH23" i="1"/>
  <c r="S42" i="1" s="1"/>
  <c r="S44" i="1" s="1"/>
  <c r="AI23" i="1"/>
  <c r="T42" i="1" s="1"/>
  <c r="T44" i="1" s="1"/>
  <c r="AJ23" i="1"/>
  <c r="U42" i="1" s="1"/>
  <c r="U44" i="1" s="1"/>
  <c r="AK23" i="1"/>
  <c r="V42" i="1" s="1"/>
  <c r="V44" i="1" s="1"/>
  <c r="AL23" i="1"/>
  <c r="W42" i="1" s="1"/>
  <c r="W44" i="1" s="1"/>
  <c r="AM23" i="1"/>
  <c r="X42" i="1" s="1"/>
  <c r="X44" i="1" s="1"/>
  <c r="AN23" i="1"/>
  <c r="Y42" i="1" s="1"/>
  <c r="Y44" i="1" s="1"/>
  <c r="AO23" i="1"/>
  <c r="Z42" i="1" s="1"/>
  <c r="Z44" i="1" s="1"/>
  <c r="AP23" i="1"/>
  <c r="AA42" i="1" s="1"/>
  <c r="AA44" i="1" s="1"/>
  <c r="AQ23" i="1"/>
  <c r="AB42" i="1" s="1"/>
  <c r="AB44" i="1" s="1"/>
  <c r="AR23" i="1"/>
  <c r="AC42" i="1" s="1"/>
  <c r="AC44" i="1" s="1"/>
  <c r="Q24" i="1"/>
  <c r="R24" i="1"/>
  <c r="C43" i="1" s="1"/>
  <c r="S24" i="1"/>
  <c r="T24" i="1"/>
  <c r="U24" i="1"/>
  <c r="V24" i="1"/>
  <c r="W24" i="1"/>
  <c r="X24" i="1"/>
  <c r="Y24" i="1"/>
  <c r="Z24" i="1"/>
  <c r="K43" i="1" s="1"/>
  <c r="AA24" i="1"/>
  <c r="L43" i="1" s="1"/>
  <c r="AB24" i="1"/>
  <c r="M43" i="1" s="1"/>
  <c r="AC24" i="1"/>
  <c r="AD24" i="1"/>
  <c r="AE24" i="1"/>
  <c r="AF24" i="1"/>
  <c r="AG24" i="1"/>
  <c r="AH24" i="1"/>
  <c r="AI24" i="1"/>
  <c r="AJ24" i="1"/>
  <c r="AK24" i="1"/>
  <c r="V43" i="1" s="1"/>
  <c r="AL24" i="1"/>
  <c r="AM24" i="1"/>
  <c r="AN24" i="1"/>
  <c r="AO24" i="1"/>
  <c r="AP24" i="1"/>
  <c r="AQ24" i="1"/>
  <c r="AB43" i="1" s="1"/>
  <c r="AR24" i="1"/>
  <c r="AC43" i="1" s="1"/>
  <c r="Q26" i="1"/>
  <c r="R26" i="1"/>
  <c r="C45" i="1" s="1"/>
  <c r="C75" i="1" s="1"/>
  <c r="S26" i="1"/>
  <c r="D45" i="1" s="1"/>
  <c r="D75" i="1" s="1"/>
  <c r="T26" i="1"/>
  <c r="E45" i="1" s="1"/>
  <c r="U26" i="1"/>
  <c r="F45" i="1" s="1"/>
  <c r="F64" i="1" s="1"/>
  <c r="V26" i="1"/>
  <c r="G45" i="1" s="1"/>
  <c r="W26" i="1"/>
  <c r="H45" i="1" s="1"/>
  <c r="X26" i="1"/>
  <c r="I45" i="1" s="1"/>
  <c r="I64" i="1" s="1"/>
  <c r="Y26" i="1"/>
  <c r="J45" i="1" s="1"/>
  <c r="J75" i="1" s="1"/>
  <c r="Z26" i="1"/>
  <c r="K45" i="1" s="1"/>
  <c r="K75" i="1" s="1"/>
  <c r="AA26" i="1"/>
  <c r="L45" i="1" s="1"/>
  <c r="L75" i="1" s="1"/>
  <c r="AB26" i="1"/>
  <c r="M45" i="1" s="1"/>
  <c r="AC26" i="1"/>
  <c r="N45" i="1" s="1"/>
  <c r="N64" i="1" s="1"/>
  <c r="AD26" i="1"/>
  <c r="O45" i="1" s="1"/>
  <c r="O64" i="1" s="1"/>
  <c r="AE26" i="1"/>
  <c r="P45" i="1" s="1"/>
  <c r="AF26" i="1"/>
  <c r="Q45" i="1" s="1"/>
  <c r="AG26" i="1"/>
  <c r="R45" i="1" s="1"/>
  <c r="AH26" i="1"/>
  <c r="S45" i="1" s="1"/>
  <c r="AI26" i="1"/>
  <c r="T45" i="1" s="1"/>
  <c r="AJ26" i="1"/>
  <c r="U45" i="1" s="1"/>
  <c r="AK26" i="1"/>
  <c r="V45" i="1" s="1"/>
  <c r="V64" i="1" s="1"/>
  <c r="AL26" i="1"/>
  <c r="W45" i="1" s="1"/>
  <c r="W75" i="1" s="1"/>
  <c r="AM26" i="1"/>
  <c r="X45" i="1" s="1"/>
  <c r="AN26" i="1"/>
  <c r="Y45" i="1" s="1"/>
  <c r="Y64" i="1" s="1"/>
  <c r="AO26" i="1"/>
  <c r="Z45" i="1" s="1"/>
  <c r="AP26" i="1"/>
  <c r="AA45" i="1" s="1"/>
  <c r="AQ26" i="1"/>
  <c r="AB45" i="1" s="1"/>
  <c r="AR26" i="1"/>
  <c r="AC45" i="1" s="1"/>
  <c r="Q11" i="1"/>
  <c r="R11" i="1"/>
  <c r="C30" i="1" s="1"/>
  <c r="S11" i="1"/>
  <c r="D30" i="1" s="1"/>
  <c r="T11" i="1"/>
  <c r="E30" i="1" s="1"/>
  <c r="U11" i="1"/>
  <c r="F30" i="1" s="1"/>
  <c r="V11" i="1"/>
  <c r="G30" i="1" s="1"/>
  <c r="W11" i="1"/>
  <c r="H30" i="1" s="1"/>
  <c r="X11" i="1"/>
  <c r="I30" i="1" s="1"/>
  <c r="Y11" i="1"/>
  <c r="J30" i="1" s="1"/>
  <c r="Z11" i="1"/>
  <c r="K30" i="1" s="1"/>
  <c r="AA11" i="1"/>
  <c r="L30" i="1" s="1"/>
  <c r="AB11" i="1"/>
  <c r="M30" i="1" s="1"/>
  <c r="AC11" i="1"/>
  <c r="N30" i="1" s="1"/>
  <c r="AD11" i="1"/>
  <c r="O30" i="1" s="1"/>
  <c r="AE11" i="1"/>
  <c r="P30" i="1" s="1"/>
  <c r="AF11" i="1"/>
  <c r="Q30" i="1" s="1"/>
  <c r="AG11" i="1"/>
  <c r="R30" i="1" s="1"/>
  <c r="AH11" i="1"/>
  <c r="S30" i="1" s="1"/>
  <c r="AI11" i="1"/>
  <c r="T30" i="1" s="1"/>
  <c r="AJ11" i="1"/>
  <c r="U30" i="1" s="1"/>
  <c r="AK11" i="1"/>
  <c r="V30" i="1" s="1"/>
  <c r="AL11" i="1"/>
  <c r="W30" i="1" s="1"/>
  <c r="AM11" i="1"/>
  <c r="X30" i="1" s="1"/>
  <c r="AN11" i="1"/>
  <c r="Y30" i="1" s="1"/>
  <c r="AO11" i="1"/>
  <c r="Z30" i="1" s="1"/>
  <c r="AP11" i="1"/>
  <c r="AA30" i="1" s="1"/>
  <c r="AQ11" i="1"/>
  <c r="AB30" i="1" s="1"/>
  <c r="AR11" i="1"/>
  <c r="AC30" i="1" s="1"/>
  <c r="S75" i="1" l="1"/>
  <c r="E43" i="1"/>
  <c r="U75" i="1"/>
  <c r="AA43" i="1"/>
  <c r="R75" i="1"/>
  <c r="F43" i="1"/>
  <c r="D43" i="1"/>
  <c r="T75" i="1"/>
  <c r="U43" i="1"/>
  <c r="T43" i="1"/>
  <c r="S43" i="1"/>
  <c r="AA75" i="1"/>
  <c r="G75" i="1"/>
  <c r="Z75" i="1"/>
  <c r="N43" i="1"/>
  <c r="Q82" i="3"/>
  <c r="Q85" i="3" s="1"/>
  <c r="T2" i="28" s="1"/>
  <c r="AB76" i="1"/>
  <c r="T76" i="1"/>
  <c r="L76" i="1"/>
  <c r="D76" i="1"/>
  <c r="Z296" i="3"/>
  <c r="Z299" i="3" s="1"/>
  <c r="AC4" i="28" s="1"/>
  <c r="S188" i="3"/>
  <c r="S191" i="3" s="1"/>
  <c r="V3" i="28" s="1"/>
  <c r="D299" i="13"/>
  <c r="G40" i="28" s="1"/>
  <c r="I85" i="13"/>
  <c r="L37" i="28" s="1"/>
  <c r="C299" i="13"/>
  <c r="F40" i="28" s="1"/>
  <c r="C85" i="13"/>
  <c r="F37" i="28" s="1"/>
  <c r="W85" i="13"/>
  <c r="Z37" i="28" s="1"/>
  <c r="X85" i="13"/>
  <c r="AA37" i="28" s="1"/>
  <c r="C408" i="13"/>
  <c r="F41" i="28" s="1"/>
  <c r="AA85" i="13"/>
  <c r="AD37" i="28" s="1"/>
  <c r="O299" i="13"/>
  <c r="R40" i="28" s="1"/>
  <c r="P296" i="3"/>
  <c r="P299" i="3" s="1"/>
  <c r="S4" i="28" s="1"/>
  <c r="E408" i="13"/>
  <c r="H41" i="28" s="1"/>
  <c r="L408" i="13"/>
  <c r="O41" i="28" s="1"/>
  <c r="Z85" i="13"/>
  <c r="AC37" i="28" s="1"/>
  <c r="V85" i="13"/>
  <c r="Y37" i="28" s="1"/>
  <c r="L299" i="13"/>
  <c r="O40" i="28" s="1"/>
  <c r="Q299" i="13"/>
  <c r="T40" i="28" s="1"/>
  <c r="M408" i="13"/>
  <c r="P41" i="28" s="1"/>
  <c r="O85" i="13"/>
  <c r="R37" i="28" s="1"/>
  <c r="P85" i="13"/>
  <c r="S37" i="28" s="1"/>
  <c r="I408" i="13"/>
  <c r="L41" i="28" s="1"/>
  <c r="J85" i="13"/>
  <c r="M37" i="28" s="1"/>
  <c r="AC299" i="13"/>
  <c r="AF40" i="28" s="1"/>
  <c r="S408" i="13"/>
  <c r="V41" i="28" s="1"/>
  <c r="E299" i="13"/>
  <c r="H40" i="28" s="1"/>
  <c r="N85" i="13"/>
  <c r="Q37" i="28" s="1"/>
  <c r="X299" i="13"/>
  <c r="AA40" i="28" s="1"/>
  <c r="K85" i="13"/>
  <c r="N37" i="28" s="1"/>
  <c r="I299" i="13"/>
  <c r="L40" i="28" s="1"/>
  <c r="S299" i="13"/>
  <c r="V40" i="28" s="1"/>
  <c r="J408" i="13"/>
  <c r="M41" i="28" s="1"/>
  <c r="U188" i="3"/>
  <c r="U191" i="3" s="1"/>
  <c r="X3" i="28" s="1"/>
  <c r="T85" i="13"/>
  <c r="W37" i="28" s="1"/>
  <c r="J82" i="9"/>
  <c r="J83" i="9"/>
  <c r="W188" i="13"/>
  <c r="W189" i="13"/>
  <c r="AA82" i="9"/>
  <c r="AA83" i="9"/>
  <c r="W82" i="9"/>
  <c r="W83" i="9"/>
  <c r="L82" i="9"/>
  <c r="L83" i="9"/>
  <c r="V82" i="9"/>
  <c r="V83" i="9"/>
  <c r="V188" i="13"/>
  <c r="V189" i="13"/>
  <c r="S82" i="9"/>
  <c r="S83" i="9"/>
  <c r="F188" i="13"/>
  <c r="F189" i="13"/>
  <c r="R188" i="13"/>
  <c r="R189" i="13"/>
  <c r="D82" i="9"/>
  <c r="D83" i="9"/>
  <c r="M82" i="9"/>
  <c r="M83" i="9"/>
  <c r="Q188" i="13"/>
  <c r="Q189" i="13"/>
  <c r="U82" i="9"/>
  <c r="U83" i="9"/>
  <c r="N82" i="9"/>
  <c r="N83" i="9"/>
  <c r="I188" i="13"/>
  <c r="I189" i="13"/>
  <c r="H188" i="13"/>
  <c r="H189" i="13"/>
  <c r="Q82" i="9"/>
  <c r="Q83" i="9"/>
  <c r="F188" i="3"/>
  <c r="F191" i="3" s="1"/>
  <c r="I3" i="28" s="1"/>
  <c r="N188" i="3"/>
  <c r="N191" i="3" s="1"/>
  <c r="Q3" i="28" s="1"/>
  <c r="N82" i="3"/>
  <c r="N85" i="3" s="1"/>
  <c r="Q2" i="28" s="1"/>
  <c r="I188" i="3"/>
  <c r="I191" i="3" s="1"/>
  <c r="L3" i="28" s="1"/>
  <c r="O296" i="3"/>
  <c r="O297" i="3"/>
  <c r="T296" i="3"/>
  <c r="T297" i="3"/>
  <c r="AA296" i="3"/>
  <c r="AA297" i="3"/>
  <c r="K296" i="3"/>
  <c r="K297" i="3"/>
  <c r="G296" i="3"/>
  <c r="G297" i="3"/>
  <c r="C82" i="3"/>
  <c r="C83" i="3"/>
  <c r="D296" i="3"/>
  <c r="D297" i="3"/>
  <c r="F296" i="3"/>
  <c r="F297" i="3"/>
  <c r="M82" i="3"/>
  <c r="M83" i="3"/>
  <c r="K82" i="9"/>
  <c r="K85" i="9" s="1"/>
  <c r="N17" i="28" s="1"/>
  <c r="E296" i="3"/>
  <c r="E297" i="3"/>
  <c r="C296" i="3"/>
  <c r="C297" i="3"/>
  <c r="L188" i="3"/>
  <c r="L189" i="3"/>
  <c r="U510" i="3"/>
  <c r="U511" i="3"/>
  <c r="V296" i="3"/>
  <c r="V299" i="3" s="1"/>
  <c r="Y4" i="28" s="1"/>
  <c r="B82" i="3"/>
  <c r="B83" i="3"/>
  <c r="AC82" i="3"/>
  <c r="AC83" i="3"/>
  <c r="U296" i="3"/>
  <c r="U297" i="3"/>
  <c r="D82" i="3"/>
  <c r="D83" i="3"/>
  <c r="Y188" i="3"/>
  <c r="Y189" i="3"/>
  <c r="E405" i="3"/>
  <c r="E406" i="3"/>
  <c r="V188" i="3"/>
  <c r="V189" i="3"/>
  <c r="X188" i="3"/>
  <c r="X189" i="3"/>
  <c r="T405" i="3"/>
  <c r="T406" i="3"/>
  <c r="N296" i="3"/>
  <c r="N297" i="3"/>
  <c r="D188" i="3"/>
  <c r="D189" i="3"/>
  <c r="T82" i="3"/>
  <c r="T83" i="3"/>
  <c r="C188" i="3"/>
  <c r="C189" i="3"/>
  <c r="AB82" i="3"/>
  <c r="AB83" i="3"/>
  <c r="J188" i="3"/>
  <c r="J189" i="3"/>
  <c r="K82" i="3"/>
  <c r="K85" i="3" s="1"/>
  <c r="N2" i="28" s="1"/>
  <c r="AA188" i="3"/>
  <c r="AA191" i="3" s="1"/>
  <c r="AD3" i="28" s="1"/>
  <c r="W296" i="3"/>
  <c r="W297" i="3"/>
  <c r="X296" i="3"/>
  <c r="X297" i="3"/>
  <c r="W285" i="9"/>
  <c r="W297" i="9" s="1"/>
  <c r="C285" i="9"/>
  <c r="C297" i="9" s="1"/>
  <c r="M394" i="9"/>
  <c r="E394" i="9"/>
  <c r="E406" i="9" s="1"/>
  <c r="G394" i="9"/>
  <c r="J177" i="9"/>
  <c r="J189" i="9" s="1"/>
  <c r="N177" i="9"/>
  <c r="N189" i="9" s="1"/>
  <c r="V499" i="9"/>
  <c r="G499" i="9"/>
  <c r="R285" i="9"/>
  <c r="W177" i="9"/>
  <c r="W189" i="9" s="1"/>
  <c r="I285" i="9"/>
  <c r="I297" i="9" s="1"/>
  <c r="Q285" i="9"/>
  <c r="Q297" i="9" s="1"/>
  <c r="H177" i="9"/>
  <c r="K285" i="9"/>
  <c r="K297" i="9" s="1"/>
  <c r="T177" i="9"/>
  <c r="H499" i="9"/>
  <c r="U177" i="9"/>
  <c r="AC499" i="9"/>
  <c r="O177" i="9"/>
  <c r="E177" i="9"/>
  <c r="AA177" i="9"/>
  <c r="AA189" i="9" s="1"/>
  <c r="Y499" i="9"/>
  <c r="Y511" i="9" s="1"/>
  <c r="M177" i="9"/>
  <c r="M189" i="9" s="1"/>
  <c r="U285" i="9"/>
  <c r="U297" i="9" s="1"/>
  <c r="Z499" i="9"/>
  <c r="Z511" i="9" s="1"/>
  <c r="X177" i="9"/>
  <c r="X189" i="9" s="1"/>
  <c r="AB177" i="9"/>
  <c r="X285" i="9"/>
  <c r="X297" i="9" s="1"/>
  <c r="K499" i="9"/>
  <c r="K511" i="9" s="1"/>
  <c r="C499" i="9"/>
  <c r="C511" i="9" s="1"/>
  <c r="U499" i="9"/>
  <c r="U511" i="9" s="1"/>
  <c r="Y177" i="9"/>
  <c r="Y189" i="9" s="1"/>
  <c r="L499" i="9"/>
  <c r="L511" i="9" s="1"/>
  <c r="Z394" i="9"/>
  <c r="D285" i="9"/>
  <c r="D297" i="9" s="1"/>
  <c r="S394" i="9"/>
  <c r="O285" i="9"/>
  <c r="O297" i="9" s="1"/>
  <c r="S285" i="9"/>
  <c r="AC394" i="9"/>
  <c r="L394" i="9"/>
  <c r="H394" i="9"/>
  <c r="H406" i="9" s="1"/>
  <c r="V394" i="9"/>
  <c r="P394" i="9"/>
  <c r="P406" i="9" s="1"/>
  <c r="E285" i="9"/>
  <c r="B177" i="9"/>
  <c r="E499" i="9"/>
  <c r="C177" i="9"/>
  <c r="W394" i="9"/>
  <c r="W406" i="9" s="1"/>
  <c r="M499" i="9"/>
  <c r="I177" i="9"/>
  <c r="I189" i="9" s="1"/>
  <c r="X499" i="9"/>
  <c r="X511" i="9" s="1"/>
  <c r="L285" i="9"/>
  <c r="L297" i="9" s="1"/>
  <c r="H285" i="9"/>
  <c r="H297" i="9" s="1"/>
  <c r="G177" i="9"/>
  <c r="G189" i="9" s="1"/>
  <c r="D394" i="9"/>
  <c r="V177" i="9"/>
  <c r="Y285" i="9"/>
  <c r="J285" i="9"/>
  <c r="J297" i="9" s="1"/>
  <c r="F177" i="9"/>
  <c r="M285" i="9"/>
  <c r="B285" i="9"/>
  <c r="B297" i="9" s="1"/>
  <c r="N394" i="9"/>
  <c r="S177" i="9"/>
  <c r="J499" i="9"/>
  <c r="J511" i="9" s="1"/>
  <c r="T394" i="9"/>
  <c r="T406" i="9" s="1"/>
  <c r="AB394" i="9"/>
  <c r="AC177" i="9"/>
  <c r="I499" i="9"/>
  <c r="U394" i="9"/>
  <c r="B394" i="9"/>
  <c r="B406" i="9" s="1"/>
  <c r="O394" i="9"/>
  <c r="O406" i="9" s="1"/>
  <c r="C394" i="9"/>
  <c r="AB499" i="9"/>
  <c r="F499" i="9"/>
  <c r="P177" i="9"/>
  <c r="AA285" i="9"/>
  <c r="Y394" i="9"/>
  <c r="B499" i="9"/>
  <c r="B511" i="9" s="1"/>
  <c r="AC285" i="9"/>
  <c r="P285" i="9"/>
  <c r="V285" i="9"/>
  <c r="N499" i="9"/>
  <c r="X394" i="9"/>
  <c r="X406" i="9" s="1"/>
  <c r="W499" i="9"/>
  <c r="W511" i="9" s="1"/>
  <c r="K177" i="9"/>
  <c r="AB285" i="9"/>
  <c r="I394" i="9"/>
  <c r="Z177" i="9"/>
  <c r="Z189" i="9" s="1"/>
  <c r="R394" i="9"/>
  <c r="G285" i="9"/>
  <c r="G297" i="9" s="1"/>
  <c r="F394" i="9"/>
  <c r="R177" i="9"/>
  <c r="Q177" i="9"/>
  <c r="Q189" i="9" s="1"/>
  <c r="AA394" i="9"/>
  <c r="K394" i="9"/>
  <c r="L177" i="9"/>
  <c r="L189" i="9" s="1"/>
  <c r="P499" i="9"/>
  <c r="P511" i="9" s="1"/>
  <c r="Q499" i="9"/>
  <c r="S499" i="9"/>
  <c r="N285" i="9"/>
  <c r="N297" i="9" s="1"/>
  <c r="R499" i="9"/>
  <c r="T499" i="9"/>
  <c r="D499" i="9"/>
  <c r="D511" i="9" s="1"/>
  <c r="Z285" i="9"/>
  <c r="Q394" i="9"/>
  <c r="Q406" i="9" s="1"/>
  <c r="D177" i="9"/>
  <c r="T285" i="9"/>
  <c r="J394" i="9"/>
  <c r="O499" i="9"/>
  <c r="O511" i="9" s="1"/>
  <c r="AA499" i="9"/>
  <c r="AA511" i="9" s="1"/>
  <c r="F285" i="9"/>
  <c r="F297" i="9" s="1"/>
  <c r="H82" i="9"/>
  <c r="H85" i="9" s="1"/>
  <c r="K17" i="28" s="1"/>
  <c r="R82" i="9"/>
  <c r="R85" i="9" s="1"/>
  <c r="U17" i="28" s="1"/>
  <c r="G82" i="9"/>
  <c r="G85" i="9" s="1"/>
  <c r="J17" i="28" s="1"/>
  <c r="X82" i="9"/>
  <c r="X85" i="9" s="1"/>
  <c r="AA17" i="28" s="1"/>
  <c r="Z82" i="9"/>
  <c r="Z85" i="9" s="1"/>
  <c r="AC17" i="28" s="1"/>
  <c r="Y82" i="9"/>
  <c r="Y85" i="9" s="1"/>
  <c r="AB17" i="28" s="1"/>
  <c r="Q296" i="3"/>
  <c r="Q299" i="3" s="1"/>
  <c r="T4" i="28" s="1"/>
  <c r="Q188" i="3"/>
  <c r="Q191" i="3" s="1"/>
  <c r="T3" i="28" s="1"/>
  <c r="J296" i="3"/>
  <c r="J299" i="3" s="1"/>
  <c r="M4" i="28" s="1"/>
  <c r="N188" i="13"/>
  <c r="N191" i="13" s="1"/>
  <c r="Q39" i="28" s="1"/>
  <c r="AA188" i="13"/>
  <c r="AA191" i="13" s="1"/>
  <c r="AD39" i="28" s="1"/>
  <c r="B188" i="13"/>
  <c r="B191" i="13" s="1"/>
  <c r="E39" i="28" s="1"/>
  <c r="S188" i="13"/>
  <c r="S191" i="13" s="1"/>
  <c r="V39" i="28" s="1"/>
  <c r="K188" i="13"/>
  <c r="K191" i="13" s="1"/>
  <c r="N39" i="28" s="1"/>
  <c r="Y188" i="13"/>
  <c r="Y191" i="13" s="1"/>
  <c r="AB39" i="28" s="1"/>
  <c r="B82" i="9"/>
  <c r="B85" i="9" s="1"/>
  <c r="E17" i="28" s="1"/>
  <c r="C82" i="9"/>
  <c r="C85" i="9" s="1"/>
  <c r="F17" i="28" s="1"/>
  <c r="AB82" i="9"/>
  <c r="AB85" i="9" s="1"/>
  <c r="AE17" i="28" s="1"/>
  <c r="O82" i="9"/>
  <c r="O85" i="9" s="1"/>
  <c r="R17" i="28" s="1"/>
  <c r="AC82" i="9"/>
  <c r="AC85" i="9" s="1"/>
  <c r="AF17" i="28" s="1"/>
  <c r="T82" i="9"/>
  <c r="T85" i="9" s="1"/>
  <c r="W17" i="28" s="1"/>
  <c r="R296" i="3"/>
  <c r="R299" i="3" s="1"/>
  <c r="U4" i="28" s="1"/>
  <c r="B188" i="3"/>
  <c r="B191" i="3" s="1"/>
  <c r="E3" i="28" s="1"/>
  <c r="L296" i="3"/>
  <c r="L299" i="3" s="1"/>
  <c r="O4" i="28" s="1"/>
  <c r="AB188" i="3"/>
  <c r="AB191" i="3" s="1"/>
  <c r="AE3" i="28" s="1"/>
  <c r="M296" i="3"/>
  <c r="M299" i="3" s="1"/>
  <c r="P4" i="28" s="1"/>
  <c r="Y296" i="3"/>
  <c r="Y299" i="3" s="1"/>
  <c r="AB4" i="28" s="1"/>
  <c r="S296" i="3"/>
  <c r="S299" i="3" s="1"/>
  <c r="V4" i="28" s="1"/>
  <c r="E188" i="13"/>
  <c r="E191" i="13" s="1"/>
  <c r="H39" i="28" s="1"/>
  <c r="L188" i="13"/>
  <c r="L191" i="13" s="1"/>
  <c r="O39" i="28" s="1"/>
  <c r="I82" i="9"/>
  <c r="I85" i="9" s="1"/>
  <c r="L17" i="28" s="1"/>
  <c r="E82" i="9"/>
  <c r="E85" i="9" s="1"/>
  <c r="H17" i="28" s="1"/>
  <c r="U188" i="13"/>
  <c r="U191" i="13" s="1"/>
  <c r="X39" i="28" s="1"/>
  <c r="K188" i="3"/>
  <c r="K191" i="3" s="1"/>
  <c r="N3" i="28" s="1"/>
  <c r="AB296" i="3"/>
  <c r="AB299" i="3" s="1"/>
  <c r="AE4" i="28" s="1"/>
  <c r="P188" i="3"/>
  <c r="P191" i="3" s="1"/>
  <c r="S3" i="28" s="1"/>
  <c r="R188" i="3"/>
  <c r="R191" i="3" s="1"/>
  <c r="U3" i="28" s="1"/>
  <c r="H188" i="3"/>
  <c r="H191" i="3" s="1"/>
  <c r="K3" i="28" s="1"/>
  <c r="Z510" i="3"/>
  <c r="Z513" i="3" s="1"/>
  <c r="AC6" i="28" s="1"/>
  <c r="B296" i="3"/>
  <c r="B299" i="3" s="1"/>
  <c r="E4" i="28" s="1"/>
  <c r="Z188" i="3"/>
  <c r="Z191" i="3" s="1"/>
  <c r="AC3" i="28" s="1"/>
  <c r="J82" i="3"/>
  <c r="J85" i="3" s="1"/>
  <c r="M2" i="28" s="1"/>
  <c r="F82" i="9"/>
  <c r="F85" i="9" s="1"/>
  <c r="I17" i="28" s="1"/>
  <c r="D188" i="13"/>
  <c r="D191" i="13" s="1"/>
  <c r="G39" i="28" s="1"/>
  <c r="M188" i="13"/>
  <c r="M191" i="13" s="1"/>
  <c r="P39" i="28" s="1"/>
  <c r="O405" i="13"/>
  <c r="O408" i="13" s="1"/>
  <c r="R41" i="28" s="1"/>
  <c r="J510" i="3"/>
  <c r="J513" i="3" s="1"/>
  <c r="M6" i="28" s="1"/>
  <c r="G188" i="13"/>
  <c r="G191" i="13" s="1"/>
  <c r="J39" i="28" s="1"/>
  <c r="H510" i="3"/>
  <c r="H513" i="3" s="1"/>
  <c r="K6" i="28" s="1"/>
  <c r="O188" i="13"/>
  <c r="O191" i="13" s="1"/>
  <c r="R39" i="28" s="1"/>
  <c r="AC296" i="3"/>
  <c r="AC299" i="3" s="1"/>
  <c r="AF4" i="28" s="1"/>
  <c r="J188" i="13"/>
  <c r="J191" i="13" s="1"/>
  <c r="M39" i="28" s="1"/>
  <c r="Z188" i="13"/>
  <c r="Z191" i="13" s="1"/>
  <c r="AC39" i="28" s="1"/>
  <c r="H296" i="3"/>
  <c r="H299" i="3" s="1"/>
  <c r="K4" i="28" s="1"/>
  <c r="Y405" i="3"/>
  <c r="Y408" i="3" s="1"/>
  <c r="AB5" i="28" s="1"/>
  <c r="AC188" i="13"/>
  <c r="AC191" i="13" s="1"/>
  <c r="AF39" i="28" s="1"/>
  <c r="I510" i="3"/>
  <c r="I513" i="3" s="1"/>
  <c r="L6" i="28" s="1"/>
  <c r="I296" i="3"/>
  <c r="I299" i="3" s="1"/>
  <c r="L4" i="28" s="1"/>
  <c r="AB188" i="13"/>
  <c r="AB191" i="13" s="1"/>
  <c r="AE39" i="28" s="1"/>
  <c r="K405" i="3"/>
  <c r="K408" i="3" s="1"/>
  <c r="N5" i="28" s="1"/>
  <c r="U82" i="3"/>
  <c r="U85" i="3" s="1"/>
  <c r="X2" i="28" s="1"/>
  <c r="R510" i="3"/>
  <c r="R513" i="3" s="1"/>
  <c r="U6" i="28" s="1"/>
  <c r="T188" i="13"/>
  <c r="T191" i="13" s="1"/>
  <c r="W39" i="28" s="1"/>
  <c r="D405" i="3"/>
  <c r="D408" i="3" s="1"/>
  <c r="G5" i="28" s="1"/>
  <c r="S82" i="3"/>
  <c r="S85" i="3" s="1"/>
  <c r="V2" i="28" s="1"/>
  <c r="D510" i="3"/>
  <c r="D513" i="3" s="1"/>
  <c r="G6" i="28" s="1"/>
  <c r="I405" i="3"/>
  <c r="I408" i="3" s="1"/>
  <c r="L5" i="28" s="1"/>
  <c r="P82" i="9"/>
  <c r="X510" i="3"/>
  <c r="X513" i="3" s="1"/>
  <c r="AA6" i="28" s="1"/>
  <c r="G82" i="3"/>
  <c r="G85" i="3" s="1"/>
  <c r="J2" i="28" s="1"/>
  <c r="C188" i="13"/>
  <c r="C191" i="13" s="1"/>
  <c r="F39" i="28" s="1"/>
  <c r="H82" i="3"/>
  <c r="H85" i="3" s="1"/>
  <c r="K2" i="28" s="1"/>
  <c r="P188" i="13"/>
  <c r="H405" i="3"/>
  <c r="E510" i="3"/>
  <c r="AA405" i="3"/>
  <c r="P405" i="3"/>
  <c r="W510" i="3"/>
  <c r="L405" i="3"/>
  <c r="P82" i="3"/>
  <c r="R82" i="3"/>
  <c r="X405" i="3"/>
  <c r="N405" i="3"/>
  <c r="F405" i="3"/>
  <c r="M188" i="3"/>
  <c r="S405" i="3"/>
  <c r="Y82" i="3"/>
  <c r="M405" i="3"/>
  <c r="C405" i="3"/>
  <c r="G188" i="3"/>
  <c r="O188" i="3"/>
  <c r="AC510" i="3"/>
  <c r="K510" i="3"/>
  <c r="B405" i="3"/>
  <c r="W188" i="3"/>
  <c r="N510" i="3"/>
  <c r="E82" i="3"/>
  <c r="W82" i="3"/>
  <c r="L510" i="3"/>
  <c r="S510" i="3"/>
  <c r="T510" i="3"/>
  <c r="J405" i="3"/>
  <c r="P510" i="3"/>
  <c r="W405" i="3"/>
  <c r="O510" i="3"/>
  <c r="AB405" i="3"/>
  <c r="V82" i="3"/>
  <c r="O82" i="3"/>
  <c r="X82" i="3"/>
  <c r="AB510" i="3"/>
  <c r="F510" i="3"/>
  <c r="Q510" i="3"/>
  <c r="T188" i="3"/>
  <c r="V405" i="3"/>
  <c r="Q405" i="3"/>
  <c r="E188" i="3"/>
  <c r="Z82" i="3"/>
  <c r="AA82" i="3"/>
  <c r="B510" i="3"/>
  <c r="G405" i="3"/>
  <c r="O405" i="3"/>
  <c r="M510" i="3"/>
  <c r="G510" i="3"/>
  <c r="AC188" i="3"/>
  <c r="U405" i="3"/>
  <c r="V510" i="3"/>
  <c r="Y510" i="3"/>
  <c r="I82" i="3"/>
  <c r="L82" i="3"/>
  <c r="F82" i="3"/>
  <c r="AA510" i="3"/>
  <c r="Z405" i="3"/>
  <c r="C510" i="3"/>
  <c r="R405" i="3"/>
  <c r="AC405" i="3"/>
  <c r="AA76" i="1"/>
  <c r="S76" i="1"/>
  <c r="K76" i="1"/>
  <c r="C76" i="1"/>
  <c r="F75" i="1"/>
  <c r="I43" i="1"/>
  <c r="Y43" i="1"/>
  <c r="Q43" i="1"/>
  <c r="V76" i="1"/>
  <c r="N76" i="1"/>
  <c r="F76" i="1"/>
  <c r="I75" i="1"/>
  <c r="AB72" i="1"/>
  <c r="AB70" i="1"/>
  <c r="AB73" i="1"/>
  <c r="AB71" i="1"/>
  <c r="R77" i="1"/>
  <c r="Y77" i="1"/>
  <c r="Q77" i="1"/>
  <c r="I77" i="1"/>
  <c r="AC76" i="1"/>
  <c r="U76" i="1"/>
  <c r="M76" i="1"/>
  <c r="E76" i="1"/>
  <c r="Y74" i="1"/>
  <c r="Q74" i="1"/>
  <c r="I74" i="1"/>
  <c r="AC72" i="1"/>
  <c r="AC70" i="1"/>
  <c r="AC71" i="1"/>
  <c r="AC73" i="1"/>
  <c r="U71" i="1"/>
  <c r="U72" i="1"/>
  <c r="U70" i="1"/>
  <c r="U73" i="1"/>
  <c r="M72" i="1"/>
  <c r="M70" i="1"/>
  <c r="M71" i="1"/>
  <c r="M73" i="1"/>
  <c r="E72" i="1"/>
  <c r="E71" i="1"/>
  <c r="E70" i="1"/>
  <c r="E73" i="1"/>
  <c r="H75" i="1"/>
  <c r="Y75" i="1"/>
  <c r="M75" i="1"/>
  <c r="P77" i="1"/>
  <c r="L72" i="1"/>
  <c r="L70" i="1"/>
  <c r="L73" i="1"/>
  <c r="L71" i="1"/>
  <c r="O77" i="1"/>
  <c r="W74" i="1"/>
  <c r="G74" i="1"/>
  <c r="S70" i="1"/>
  <c r="S73" i="1"/>
  <c r="S72" i="1"/>
  <c r="S71" i="1"/>
  <c r="C70" i="1"/>
  <c r="C73" i="1"/>
  <c r="C72" i="1"/>
  <c r="C71" i="1"/>
  <c r="Z43" i="1"/>
  <c r="R43" i="1"/>
  <c r="J43" i="1"/>
  <c r="V77" i="1"/>
  <c r="N77" i="1"/>
  <c r="F77" i="1"/>
  <c r="Z76" i="1"/>
  <c r="R76" i="1"/>
  <c r="J76" i="1"/>
  <c r="V74" i="1"/>
  <c r="N74" i="1"/>
  <c r="F74" i="1"/>
  <c r="Z70" i="1"/>
  <c r="Z72" i="1"/>
  <c r="Z73" i="1"/>
  <c r="Z71" i="1"/>
  <c r="R70" i="1"/>
  <c r="R73" i="1"/>
  <c r="R71" i="1"/>
  <c r="R72" i="1"/>
  <c r="J70" i="1"/>
  <c r="J72" i="1"/>
  <c r="J73" i="1"/>
  <c r="J71" i="1"/>
  <c r="T72" i="1"/>
  <c r="T70" i="1"/>
  <c r="T73" i="1"/>
  <c r="T71" i="1"/>
  <c r="W77" i="1"/>
  <c r="G77" i="1"/>
  <c r="O74" i="1"/>
  <c r="AA72" i="1"/>
  <c r="AA70" i="1"/>
  <c r="AA73" i="1"/>
  <c r="AA71" i="1"/>
  <c r="K72" i="1"/>
  <c r="K70" i="1"/>
  <c r="K73" i="1"/>
  <c r="K71" i="1"/>
  <c r="P75" i="1"/>
  <c r="AC77" i="1"/>
  <c r="U77" i="1"/>
  <c r="M77" i="1"/>
  <c r="E77" i="1"/>
  <c r="Y76" i="1"/>
  <c r="Q76" i="1"/>
  <c r="I76" i="1"/>
  <c r="AC74" i="1"/>
  <c r="U74" i="1"/>
  <c r="M74" i="1"/>
  <c r="E74" i="1"/>
  <c r="Y73" i="1"/>
  <c r="Y70" i="1"/>
  <c r="Y71" i="1"/>
  <c r="Y72" i="1"/>
  <c r="Q73" i="1"/>
  <c r="Q71" i="1"/>
  <c r="Q70" i="1"/>
  <c r="Q72" i="1"/>
  <c r="I73" i="1"/>
  <c r="I71" i="1"/>
  <c r="I70" i="1"/>
  <c r="I72" i="1"/>
  <c r="N75" i="1"/>
  <c r="X75" i="1"/>
  <c r="AB75" i="1"/>
  <c r="AC75" i="1"/>
  <c r="P74" i="1"/>
  <c r="X43" i="1"/>
  <c r="H43" i="1"/>
  <c r="T77" i="1"/>
  <c r="D77" i="1"/>
  <c r="P76" i="1"/>
  <c r="AB74" i="1"/>
  <c r="L74" i="1"/>
  <c r="D74" i="1"/>
  <c r="X73" i="1"/>
  <c r="X71" i="1"/>
  <c r="X72" i="1"/>
  <c r="X70" i="1"/>
  <c r="P71" i="1"/>
  <c r="P70" i="1"/>
  <c r="P72" i="1"/>
  <c r="P73" i="1"/>
  <c r="H71" i="1"/>
  <c r="H73" i="1"/>
  <c r="H72" i="1"/>
  <c r="H70" i="1"/>
  <c r="X77" i="1"/>
  <c r="H74" i="1"/>
  <c r="P43" i="1"/>
  <c r="AB77" i="1"/>
  <c r="L77" i="1"/>
  <c r="X76" i="1"/>
  <c r="H76" i="1"/>
  <c r="T74" i="1"/>
  <c r="W43" i="1"/>
  <c r="O43" i="1"/>
  <c r="G43" i="1"/>
  <c r="AA77" i="1"/>
  <c r="S77" i="1"/>
  <c r="K77" i="1"/>
  <c r="C77" i="1"/>
  <c r="W76" i="1"/>
  <c r="O76" i="1"/>
  <c r="G76" i="1"/>
  <c r="AA74" i="1"/>
  <c r="S74" i="1"/>
  <c r="K74" i="1"/>
  <c r="C74" i="1"/>
  <c r="W71" i="1"/>
  <c r="W73" i="1"/>
  <c r="W72" i="1"/>
  <c r="W70" i="1"/>
  <c r="O71" i="1"/>
  <c r="O73" i="1"/>
  <c r="O72" i="1"/>
  <c r="O70" i="1"/>
  <c r="G71" i="1"/>
  <c r="G72" i="1"/>
  <c r="G73" i="1"/>
  <c r="G70" i="1"/>
  <c r="V75" i="1"/>
  <c r="Q75" i="1"/>
  <c r="E75" i="1"/>
  <c r="O75" i="1"/>
  <c r="H77" i="1"/>
  <c r="X74" i="1"/>
  <c r="D72" i="1"/>
  <c r="D70" i="1"/>
  <c r="D73" i="1"/>
  <c r="D71" i="1"/>
  <c r="Z77" i="1"/>
  <c r="J77" i="1"/>
  <c r="Z74" i="1"/>
  <c r="R74" i="1"/>
  <c r="J74" i="1"/>
  <c r="V71" i="1"/>
  <c r="V72" i="1"/>
  <c r="V70" i="1"/>
  <c r="V73" i="1"/>
  <c r="N72" i="1"/>
  <c r="N71" i="1"/>
  <c r="N70" i="1"/>
  <c r="N73" i="1"/>
  <c r="F72" i="1"/>
  <c r="F70" i="1"/>
  <c r="F73" i="1"/>
  <c r="F71" i="1"/>
  <c r="Y65" i="1"/>
  <c r="Q65" i="1"/>
  <c r="I65" i="1"/>
  <c r="W65" i="1"/>
  <c r="O65" i="1"/>
  <c r="G65" i="1"/>
  <c r="AB64" i="1"/>
  <c r="S64" i="1"/>
  <c r="S66" i="1"/>
  <c r="AA63" i="1"/>
  <c r="W61" i="1"/>
  <c r="W60" i="1"/>
  <c r="W59" i="1"/>
  <c r="W62" i="1"/>
  <c r="Z64" i="1"/>
  <c r="R64" i="1"/>
  <c r="J64" i="1"/>
  <c r="Z66" i="1"/>
  <c r="R66" i="1"/>
  <c r="J66" i="1"/>
  <c r="V65" i="1"/>
  <c r="N65" i="1"/>
  <c r="F65" i="1"/>
  <c r="Z63" i="1"/>
  <c r="R63" i="1"/>
  <c r="J63" i="1"/>
  <c r="V61" i="1"/>
  <c r="V59" i="1"/>
  <c r="V62" i="1"/>
  <c r="V60" i="1"/>
  <c r="N61" i="1"/>
  <c r="N59" i="1"/>
  <c r="N62" i="1"/>
  <c r="N60" i="1"/>
  <c r="F61" i="1"/>
  <c r="F60" i="1"/>
  <c r="F59" i="1"/>
  <c r="F62" i="1"/>
  <c r="H64" i="1"/>
  <c r="K64" i="1"/>
  <c r="C66" i="1"/>
  <c r="S63" i="1"/>
  <c r="O61" i="1"/>
  <c r="O59" i="1"/>
  <c r="O60" i="1"/>
  <c r="O62" i="1"/>
  <c r="Y66" i="1"/>
  <c r="Q66" i="1"/>
  <c r="I66" i="1"/>
  <c r="AC65" i="1"/>
  <c r="U65" i="1"/>
  <c r="M65" i="1"/>
  <c r="E65" i="1"/>
  <c r="Y63" i="1"/>
  <c r="Q63" i="1"/>
  <c r="I63" i="1"/>
  <c r="AC61" i="1"/>
  <c r="AC59" i="1"/>
  <c r="AC62" i="1"/>
  <c r="AC60" i="1"/>
  <c r="U61" i="1"/>
  <c r="U59" i="1"/>
  <c r="U62" i="1"/>
  <c r="U60" i="1"/>
  <c r="M61" i="1"/>
  <c r="M59" i="1"/>
  <c r="M62" i="1"/>
  <c r="M60" i="1"/>
  <c r="E61" i="1"/>
  <c r="E59" i="1"/>
  <c r="E62" i="1"/>
  <c r="E60" i="1"/>
  <c r="E64" i="1"/>
  <c r="P64" i="1"/>
  <c r="AA64" i="1"/>
  <c r="K66" i="1"/>
  <c r="C63" i="1"/>
  <c r="X66" i="1"/>
  <c r="P66" i="1"/>
  <c r="H66" i="1"/>
  <c r="AB65" i="1"/>
  <c r="T65" i="1"/>
  <c r="L65" i="1"/>
  <c r="D65" i="1"/>
  <c r="X63" i="1"/>
  <c r="P63" i="1"/>
  <c r="H63" i="1"/>
  <c r="AB59" i="1"/>
  <c r="AB61" i="1"/>
  <c r="AB62" i="1"/>
  <c r="AB60" i="1"/>
  <c r="T59" i="1"/>
  <c r="T62" i="1"/>
  <c r="T60" i="1"/>
  <c r="T61" i="1"/>
  <c r="L59" i="1"/>
  <c r="L62" i="1"/>
  <c r="L61" i="1"/>
  <c r="L60" i="1"/>
  <c r="D61" i="1"/>
  <c r="D59" i="1"/>
  <c r="D62" i="1"/>
  <c r="D60" i="1"/>
  <c r="M64" i="1"/>
  <c r="X64" i="1"/>
  <c r="C64" i="1"/>
  <c r="AA66" i="1"/>
  <c r="K63" i="1"/>
  <c r="G61" i="1"/>
  <c r="G60" i="1"/>
  <c r="G59" i="1"/>
  <c r="G62" i="1"/>
  <c r="W66" i="1"/>
  <c r="O66" i="1"/>
  <c r="G66" i="1"/>
  <c r="AA65" i="1"/>
  <c r="S65" i="1"/>
  <c r="K65" i="1"/>
  <c r="C65" i="1"/>
  <c r="W63" i="1"/>
  <c r="O63" i="1"/>
  <c r="G63" i="1"/>
  <c r="AA59" i="1"/>
  <c r="AA62" i="1"/>
  <c r="AA60" i="1"/>
  <c r="AA61" i="1"/>
  <c r="S59" i="1"/>
  <c r="S62" i="1"/>
  <c r="S61" i="1"/>
  <c r="S60" i="1"/>
  <c r="K59" i="1"/>
  <c r="K62" i="1"/>
  <c r="K60" i="1"/>
  <c r="K61" i="1"/>
  <c r="C59" i="1"/>
  <c r="C62" i="1"/>
  <c r="C60" i="1"/>
  <c r="C61" i="1"/>
  <c r="U64" i="1"/>
  <c r="G64" i="1"/>
  <c r="V66" i="1"/>
  <c r="N66" i="1"/>
  <c r="F66" i="1"/>
  <c r="Z65" i="1"/>
  <c r="R65" i="1"/>
  <c r="J65" i="1"/>
  <c r="V63" i="1"/>
  <c r="N63" i="1"/>
  <c r="F63" i="1"/>
  <c r="Z62" i="1"/>
  <c r="Z60" i="1"/>
  <c r="Z59" i="1"/>
  <c r="Z61" i="1"/>
  <c r="R62" i="1"/>
  <c r="R60" i="1"/>
  <c r="R59" i="1"/>
  <c r="R61" i="1"/>
  <c r="J62" i="1"/>
  <c r="J59" i="1"/>
  <c r="J60" i="1"/>
  <c r="J61" i="1"/>
  <c r="D64" i="1"/>
  <c r="AC64" i="1"/>
  <c r="U66" i="1"/>
  <c r="E66" i="1"/>
  <c r="AC63" i="1"/>
  <c r="U63" i="1"/>
  <c r="E63" i="1"/>
  <c r="Y60" i="1"/>
  <c r="Y61" i="1"/>
  <c r="Y62" i="1"/>
  <c r="Y59" i="1"/>
  <c r="Q60" i="1"/>
  <c r="Q61" i="1"/>
  <c r="Q59" i="1"/>
  <c r="Q62" i="1"/>
  <c r="I60" i="1"/>
  <c r="I59" i="1"/>
  <c r="I62" i="1"/>
  <c r="I61" i="1"/>
  <c r="L64" i="1"/>
  <c r="W64" i="1"/>
  <c r="Q64" i="1"/>
  <c r="AC66" i="1"/>
  <c r="M66" i="1"/>
  <c r="M63" i="1"/>
  <c r="AB66" i="1"/>
  <c r="T66" i="1"/>
  <c r="L66" i="1"/>
  <c r="D66" i="1"/>
  <c r="X65" i="1"/>
  <c r="P65" i="1"/>
  <c r="H65" i="1"/>
  <c r="AB63" i="1"/>
  <c r="T63" i="1"/>
  <c r="L63" i="1"/>
  <c r="D63" i="1"/>
  <c r="X60" i="1"/>
  <c r="X61" i="1"/>
  <c r="X62" i="1"/>
  <c r="X59" i="1"/>
  <c r="X67" i="1" s="1"/>
  <c r="P60" i="1"/>
  <c r="P62" i="1"/>
  <c r="P61" i="1"/>
  <c r="P59" i="1"/>
  <c r="H60" i="1"/>
  <c r="H61" i="1"/>
  <c r="H62" i="1"/>
  <c r="H59" i="1"/>
  <c r="T64" i="1"/>
  <c r="Q54" i="1"/>
  <c r="X54" i="1"/>
  <c r="P54" i="1"/>
  <c r="H54" i="1"/>
  <c r="W54" i="1"/>
  <c r="O54" i="1"/>
  <c r="G54" i="1"/>
  <c r="Y54" i="1"/>
  <c r="V54" i="1"/>
  <c r="N54" i="1"/>
  <c r="F54" i="1"/>
  <c r="AC54" i="1"/>
  <c r="U54" i="1"/>
  <c r="M54" i="1"/>
  <c r="E54" i="1"/>
  <c r="AB54" i="1"/>
  <c r="T54" i="1"/>
  <c r="L54" i="1"/>
  <c r="D54" i="1"/>
  <c r="AA54" i="1"/>
  <c r="S54" i="1"/>
  <c r="K54" i="1"/>
  <c r="C54" i="1"/>
  <c r="I54" i="1"/>
  <c r="Z54" i="1"/>
  <c r="R54" i="1"/>
  <c r="J54" i="1"/>
  <c r="V52" i="1"/>
  <c r="AB52" i="1"/>
  <c r="T52" i="1"/>
  <c r="L52" i="1"/>
  <c r="D52" i="1"/>
  <c r="AA52" i="1"/>
  <c r="K52" i="1"/>
  <c r="C52" i="1"/>
  <c r="Z52" i="1"/>
  <c r="R52" i="1"/>
  <c r="J52" i="1"/>
  <c r="Y52" i="1"/>
  <c r="Q52" i="1"/>
  <c r="I52" i="1"/>
  <c r="S52" i="1"/>
  <c r="X52" i="1"/>
  <c r="P52" i="1"/>
  <c r="H52" i="1"/>
  <c r="W52" i="1"/>
  <c r="O52" i="1"/>
  <c r="G52" i="1"/>
  <c r="N52" i="1"/>
  <c r="F52" i="1"/>
  <c r="AC52" i="1"/>
  <c r="U52" i="1"/>
  <c r="M52" i="1"/>
  <c r="E52" i="1"/>
  <c r="AB51" i="1"/>
  <c r="AB50" i="1"/>
  <c r="T51" i="1"/>
  <c r="T50" i="1"/>
  <c r="L51" i="1"/>
  <c r="L50" i="1"/>
  <c r="D51" i="1"/>
  <c r="D50" i="1"/>
  <c r="E51" i="1"/>
  <c r="E50" i="1"/>
  <c r="AA51" i="1"/>
  <c r="AA50" i="1"/>
  <c r="S51" i="1"/>
  <c r="S50" i="1"/>
  <c r="K51" i="1"/>
  <c r="K50" i="1"/>
  <c r="C51" i="1"/>
  <c r="C50" i="1"/>
  <c r="AC51" i="1"/>
  <c r="AC50" i="1"/>
  <c r="Z50" i="1"/>
  <c r="Z51" i="1"/>
  <c r="R50" i="1"/>
  <c r="R51" i="1"/>
  <c r="J50" i="1"/>
  <c r="J51" i="1"/>
  <c r="U51" i="1"/>
  <c r="U50" i="1"/>
  <c r="Y50" i="1"/>
  <c r="Y51" i="1"/>
  <c r="Q50" i="1"/>
  <c r="Q51" i="1"/>
  <c r="I50" i="1"/>
  <c r="I51" i="1"/>
  <c r="M51" i="1"/>
  <c r="M50" i="1"/>
  <c r="X50" i="1"/>
  <c r="X51" i="1"/>
  <c r="P50" i="1"/>
  <c r="P51" i="1"/>
  <c r="H50" i="1"/>
  <c r="H51" i="1"/>
  <c r="W50" i="1"/>
  <c r="W51" i="1"/>
  <c r="O50" i="1"/>
  <c r="O51" i="1"/>
  <c r="G50" i="1"/>
  <c r="G51" i="1"/>
  <c r="V50" i="1"/>
  <c r="V51" i="1"/>
  <c r="N50" i="1"/>
  <c r="N51" i="1"/>
  <c r="F50" i="1"/>
  <c r="F51" i="1"/>
  <c r="V55" i="1"/>
  <c r="N55" i="1"/>
  <c r="F55" i="1"/>
  <c r="W55" i="1"/>
  <c r="AC55" i="1"/>
  <c r="U55" i="1"/>
  <c r="M55" i="1"/>
  <c r="E55" i="1"/>
  <c r="O55" i="1"/>
  <c r="AB55" i="1"/>
  <c r="T55" i="1"/>
  <c r="L55" i="1"/>
  <c r="D55" i="1"/>
  <c r="G55" i="1"/>
  <c r="AA55" i="1"/>
  <c r="S55" i="1"/>
  <c r="K55" i="1"/>
  <c r="C55" i="1"/>
  <c r="Z55" i="1"/>
  <c r="R55" i="1"/>
  <c r="J55" i="1"/>
  <c r="Y55" i="1"/>
  <c r="Q55" i="1"/>
  <c r="I55" i="1"/>
  <c r="X55" i="1"/>
  <c r="P55" i="1"/>
  <c r="H55" i="1"/>
  <c r="X49" i="1"/>
  <c r="X48" i="1"/>
  <c r="P49" i="1"/>
  <c r="P48" i="1"/>
  <c r="H49" i="1"/>
  <c r="H48" i="1"/>
  <c r="O48" i="1"/>
  <c r="O49" i="1"/>
  <c r="V48" i="1"/>
  <c r="V49" i="1"/>
  <c r="N48" i="1"/>
  <c r="N49" i="1"/>
  <c r="F48" i="1"/>
  <c r="F49" i="1"/>
  <c r="W48" i="1"/>
  <c r="W49" i="1"/>
  <c r="AC48" i="1"/>
  <c r="AC49" i="1"/>
  <c r="U48" i="1"/>
  <c r="U49" i="1"/>
  <c r="E48" i="1"/>
  <c r="E49" i="1"/>
  <c r="G48" i="1"/>
  <c r="G49" i="1"/>
  <c r="M48" i="1"/>
  <c r="M49" i="1"/>
  <c r="AB48" i="1"/>
  <c r="AB49" i="1"/>
  <c r="T48" i="1"/>
  <c r="T49" i="1"/>
  <c r="L48" i="1"/>
  <c r="L49" i="1"/>
  <c r="D48" i="1"/>
  <c r="D49" i="1"/>
  <c r="AA48" i="1"/>
  <c r="AA49" i="1"/>
  <c r="S48" i="1"/>
  <c r="S49" i="1"/>
  <c r="K48" i="1"/>
  <c r="K49" i="1"/>
  <c r="C48" i="1"/>
  <c r="C49" i="1"/>
  <c r="Z49" i="1"/>
  <c r="Z48" i="1"/>
  <c r="R49" i="1"/>
  <c r="R48" i="1"/>
  <c r="J49" i="1"/>
  <c r="J48" i="1"/>
  <c r="Y49" i="1"/>
  <c r="Y48" i="1"/>
  <c r="Q49" i="1"/>
  <c r="Q48" i="1"/>
  <c r="I49" i="1"/>
  <c r="I48" i="1"/>
  <c r="B45" i="1"/>
  <c r="B42" i="1"/>
  <c r="B44" i="1" s="1"/>
  <c r="B41" i="1"/>
  <c r="B40" i="1"/>
  <c r="B39" i="1"/>
  <c r="B38" i="1"/>
  <c r="B37" i="1"/>
  <c r="B35" i="1"/>
  <c r="B34" i="1"/>
  <c r="B32" i="1"/>
  <c r="B30" i="1"/>
  <c r="Q56" i="1" l="1"/>
  <c r="Y56" i="1"/>
  <c r="R56" i="1"/>
  <c r="Z56" i="1"/>
  <c r="P56" i="1"/>
  <c r="H67" i="1"/>
  <c r="Y67" i="1"/>
  <c r="H56" i="1"/>
  <c r="X56" i="1"/>
  <c r="I56" i="1"/>
  <c r="J56" i="1"/>
  <c r="P67" i="1"/>
  <c r="B59" i="1"/>
  <c r="B71" i="1"/>
  <c r="C56" i="1"/>
  <c r="K56" i="1"/>
  <c r="S56" i="1"/>
  <c r="AA56" i="1"/>
  <c r="D56" i="1"/>
  <c r="L56" i="1"/>
  <c r="T56" i="1"/>
  <c r="AB56" i="1"/>
  <c r="M56" i="1"/>
  <c r="G56" i="1"/>
  <c r="E56" i="1"/>
  <c r="U56" i="1"/>
  <c r="AC56" i="1"/>
  <c r="W56" i="1"/>
  <c r="F56" i="1"/>
  <c r="N56" i="1"/>
  <c r="V56" i="1"/>
  <c r="O56" i="1"/>
  <c r="I67" i="1"/>
  <c r="Q67" i="1"/>
  <c r="J67" i="1"/>
  <c r="R67" i="1"/>
  <c r="Z67" i="1"/>
  <c r="C67" i="1"/>
  <c r="K67" i="1"/>
  <c r="S67" i="1"/>
  <c r="AA67" i="1"/>
  <c r="G67" i="1"/>
  <c r="D67" i="1"/>
  <c r="L67" i="1"/>
  <c r="T67" i="1"/>
  <c r="AB67" i="1"/>
  <c r="E67" i="1"/>
  <c r="M67" i="1"/>
  <c r="U67" i="1"/>
  <c r="AC67" i="1"/>
  <c r="O67" i="1"/>
  <c r="F67" i="1"/>
  <c r="N67" i="1"/>
  <c r="V67" i="1"/>
  <c r="W67" i="1"/>
  <c r="AA85" i="9"/>
  <c r="AD17" i="28" s="1"/>
  <c r="N85" i="9"/>
  <c r="Q17" i="28" s="1"/>
  <c r="D85" i="9"/>
  <c r="G17" i="28" s="1"/>
  <c r="V191" i="13"/>
  <c r="Y39" i="28" s="1"/>
  <c r="Q191" i="13"/>
  <c r="T39" i="28" s="1"/>
  <c r="F191" i="13"/>
  <c r="I39" i="28" s="1"/>
  <c r="M85" i="9"/>
  <c r="P17" i="28" s="1"/>
  <c r="W299" i="3"/>
  <c r="Z4" i="28" s="1"/>
  <c r="C191" i="3"/>
  <c r="F3" i="28" s="1"/>
  <c r="T408" i="3"/>
  <c r="W5" i="28" s="1"/>
  <c r="Y191" i="3"/>
  <c r="AB3" i="28" s="1"/>
  <c r="B85" i="3"/>
  <c r="E2" i="28" s="1"/>
  <c r="D299" i="3"/>
  <c r="G4" i="28" s="1"/>
  <c r="AA299" i="3"/>
  <c r="AD4" i="28" s="1"/>
  <c r="M85" i="3"/>
  <c r="P2" i="28" s="1"/>
  <c r="W85" i="9"/>
  <c r="Z17" i="28" s="1"/>
  <c r="H191" i="13"/>
  <c r="K39" i="28" s="1"/>
  <c r="L85" i="9"/>
  <c r="O17" i="28" s="1"/>
  <c r="J85" i="9"/>
  <c r="M17" i="28" s="1"/>
  <c r="AB85" i="3"/>
  <c r="AE2" i="28" s="1"/>
  <c r="U299" i="3"/>
  <c r="X4" i="28" s="1"/>
  <c r="L191" i="3"/>
  <c r="O3" i="28" s="1"/>
  <c r="S85" i="9"/>
  <c r="V17" i="28" s="1"/>
  <c r="Q85" i="9"/>
  <c r="T17" i="28" s="1"/>
  <c r="U85" i="9"/>
  <c r="X17" i="28" s="1"/>
  <c r="V85" i="9"/>
  <c r="Y17" i="28" s="1"/>
  <c r="I191" i="13"/>
  <c r="L39" i="28" s="1"/>
  <c r="R191" i="13"/>
  <c r="U39" i="28" s="1"/>
  <c r="W191" i="13"/>
  <c r="Z39" i="28" s="1"/>
  <c r="E299" i="3"/>
  <c r="H4" i="28" s="1"/>
  <c r="S510" i="9"/>
  <c r="S511" i="9"/>
  <c r="P188" i="9"/>
  <c r="P189" i="9"/>
  <c r="Z405" i="9"/>
  <c r="Z406" i="9"/>
  <c r="K405" i="9"/>
  <c r="K406" i="9"/>
  <c r="P296" i="9"/>
  <c r="P297" i="9"/>
  <c r="C405" i="9"/>
  <c r="C406" i="9"/>
  <c r="V188" i="9"/>
  <c r="V189" i="9"/>
  <c r="L405" i="9"/>
  <c r="L406" i="9"/>
  <c r="H510" i="9"/>
  <c r="H511" i="9"/>
  <c r="G510" i="9"/>
  <c r="G511" i="9"/>
  <c r="AA296" i="9"/>
  <c r="AA297" i="9"/>
  <c r="Q510" i="9"/>
  <c r="Q511" i="9"/>
  <c r="AB188" i="9"/>
  <c r="AB189" i="9"/>
  <c r="F510" i="9"/>
  <c r="F511" i="9"/>
  <c r="V405" i="9"/>
  <c r="V406" i="9"/>
  <c r="T510" i="9"/>
  <c r="T511" i="9"/>
  <c r="I405" i="9"/>
  <c r="I406" i="9"/>
  <c r="AC296" i="9"/>
  <c r="AC297" i="9"/>
  <c r="S188" i="9"/>
  <c r="S189" i="9"/>
  <c r="D405" i="9"/>
  <c r="D406" i="9"/>
  <c r="C188" i="9"/>
  <c r="C189" i="9"/>
  <c r="AC405" i="9"/>
  <c r="AC406" i="9"/>
  <c r="T188" i="9"/>
  <c r="T189" i="9"/>
  <c r="V510" i="9"/>
  <c r="V511" i="9"/>
  <c r="I510" i="9"/>
  <c r="I511" i="9"/>
  <c r="AA405" i="9"/>
  <c r="AA406" i="9"/>
  <c r="S296" i="9"/>
  <c r="S297" i="9"/>
  <c r="D188" i="9"/>
  <c r="D189" i="9"/>
  <c r="R510" i="9"/>
  <c r="R511" i="9"/>
  <c r="AB296" i="9"/>
  <c r="AB297" i="9"/>
  <c r="N405" i="9"/>
  <c r="N406" i="9"/>
  <c r="E510" i="9"/>
  <c r="E511" i="9"/>
  <c r="J405" i="9"/>
  <c r="J406" i="9"/>
  <c r="K188" i="9"/>
  <c r="K189" i="9"/>
  <c r="Y405" i="9"/>
  <c r="Y406" i="9"/>
  <c r="U405" i="9"/>
  <c r="U406" i="9"/>
  <c r="B188" i="9"/>
  <c r="B189" i="9"/>
  <c r="H188" i="9"/>
  <c r="H189" i="9"/>
  <c r="T296" i="9"/>
  <c r="T297" i="9"/>
  <c r="E296" i="9"/>
  <c r="E297" i="9"/>
  <c r="S405" i="9"/>
  <c r="S406" i="9"/>
  <c r="E188" i="9"/>
  <c r="E189" i="9"/>
  <c r="G405" i="9"/>
  <c r="G406" i="9"/>
  <c r="M296" i="9"/>
  <c r="M297" i="9"/>
  <c r="F405" i="9"/>
  <c r="F406" i="9"/>
  <c r="AC188" i="9"/>
  <c r="AC189" i="9"/>
  <c r="O188" i="9"/>
  <c r="O189" i="9"/>
  <c r="AB405" i="9"/>
  <c r="AB406" i="9"/>
  <c r="M405" i="9"/>
  <c r="M406" i="9"/>
  <c r="R188" i="9"/>
  <c r="R189" i="9"/>
  <c r="F188" i="9"/>
  <c r="F189" i="9"/>
  <c r="N510" i="9"/>
  <c r="N511" i="9"/>
  <c r="AC510" i="9"/>
  <c r="AC511" i="9"/>
  <c r="Z296" i="9"/>
  <c r="Z297" i="9"/>
  <c r="R405" i="9"/>
  <c r="R406" i="9"/>
  <c r="V296" i="9"/>
  <c r="V297" i="9"/>
  <c r="AB510" i="9"/>
  <c r="AB511" i="9"/>
  <c r="Y296" i="9"/>
  <c r="Y297" i="9"/>
  <c r="M510" i="9"/>
  <c r="M511" i="9"/>
  <c r="U188" i="9"/>
  <c r="U189" i="9"/>
  <c r="R296" i="9"/>
  <c r="R297" i="9"/>
  <c r="J191" i="3"/>
  <c r="M3" i="28" s="1"/>
  <c r="D191" i="3"/>
  <c r="G3" i="28" s="1"/>
  <c r="G299" i="3"/>
  <c r="J4" i="28" s="1"/>
  <c r="O299" i="3"/>
  <c r="R4" i="28" s="1"/>
  <c r="Z510" i="9"/>
  <c r="Z513" i="9" s="1"/>
  <c r="AC21" i="28" s="1"/>
  <c r="V191" i="3"/>
  <c r="Y3" i="28" s="1"/>
  <c r="X299" i="3"/>
  <c r="AA4" i="28" s="1"/>
  <c r="N299" i="3"/>
  <c r="Q4" i="28" s="1"/>
  <c r="T85" i="3"/>
  <c r="W2" i="28" s="1"/>
  <c r="C85" i="3"/>
  <c r="F2" i="28" s="1"/>
  <c r="E408" i="3"/>
  <c r="H5" i="28" s="1"/>
  <c r="AC85" i="3"/>
  <c r="AF2" i="28" s="1"/>
  <c r="C296" i="9"/>
  <c r="C299" i="9" s="1"/>
  <c r="F19" i="28" s="1"/>
  <c r="H296" i="9"/>
  <c r="H299" i="9" s="1"/>
  <c r="K19" i="28" s="1"/>
  <c r="X191" i="3"/>
  <c r="AA3" i="28" s="1"/>
  <c r="D85" i="3"/>
  <c r="G2" i="28" s="1"/>
  <c r="U513" i="3"/>
  <c r="X6" i="28" s="1"/>
  <c r="T299" i="3"/>
  <c r="W4" i="28" s="1"/>
  <c r="C299" i="3"/>
  <c r="F4" i="28" s="1"/>
  <c r="F299" i="3"/>
  <c r="I4" i="28" s="1"/>
  <c r="K299" i="3"/>
  <c r="N4" i="28" s="1"/>
  <c r="J188" i="9"/>
  <c r="J191" i="9" s="1"/>
  <c r="M18" i="28" s="1"/>
  <c r="B296" i="9"/>
  <c r="B299" i="9" s="1"/>
  <c r="E19" i="28" s="1"/>
  <c r="L510" i="9"/>
  <c r="L513" i="9" s="1"/>
  <c r="O21" i="28" s="1"/>
  <c r="Y188" i="9"/>
  <c r="Y191" i="9" s="1"/>
  <c r="AB18" i="28" s="1"/>
  <c r="D296" i="9"/>
  <c r="D299" i="9" s="1"/>
  <c r="G19" i="28" s="1"/>
  <c r="X188" i="9"/>
  <c r="X191" i="9" s="1"/>
  <c r="AA18" i="28" s="1"/>
  <c r="I296" i="9"/>
  <c r="I299" i="9" s="1"/>
  <c r="L19" i="28" s="1"/>
  <c r="Y510" i="9"/>
  <c r="Y513" i="9" s="1"/>
  <c r="AB21" i="28" s="1"/>
  <c r="P405" i="9"/>
  <c r="P408" i="9" s="1"/>
  <c r="S20" i="28" s="1"/>
  <c r="E405" i="9"/>
  <c r="E408" i="9" s="1"/>
  <c r="H20" i="28" s="1"/>
  <c r="Q296" i="9"/>
  <c r="Q299" i="9" s="1"/>
  <c r="T19" i="28" s="1"/>
  <c r="X405" i="9"/>
  <c r="X408" i="9" s="1"/>
  <c r="AA20" i="28" s="1"/>
  <c r="B405" i="9"/>
  <c r="B408" i="9" s="1"/>
  <c r="E20" i="28" s="1"/>
  <c r="H405" i="9"/>
  <c r="H408" i="9" s="1"/>
  <c r="K20" i="28" s="1"/>
  <c r="X296" i="9"/>
  <c r="X299" i="9" s="1"/>
  <c r="AA19" i="28" s="1"/>
  <c r="K296" i="9"/>
  <c r="K299" i="9" s="1"/>
  <c r="N19" i="28" s="1"/>
  <c r="W510" i="9"/>
  <c r="W513" i="9" s="1"/>
  <c r="Z21" i="28" s="1"/>
  <c r="B510" i="9"/>
  <c r="B513" i="9" s="1"/>
  <c r="E21" i="28" s="1"/>
  <c r="Q188" i="9"/>
  <c r="Q191" i="9" s="1"/>
  <c r="T18" i="28" s="1"/>
  <c r="L188" i="9"/>
  <c r="L191" i="9" s="1"/>
  <c r="O18" i="28" s="1"/>
  <c r="AA510" i="9"/>
  <c r="AA513" i="9" s="1"/>
  <c r="AD21" i="28" s="1"/>
  <c r="W296" i="9"/>
  <c r="W299" i="9" s="1"/>
  <c r="Z19" i="28" s="1"/>
  <c r="W405" i="9"/>
  <c r="W408" i="9" s="1"/>
  <c r="Z20" i="28" s="1"/>
  <c r="T405" i="9"/>
  <c r="T408" i="9" s="1"/>
  <c r="W20" i="28" s="1"/>
  <c r="M188" i="9"/>
  <c r="M191" i="9" s="1"/>
  <c r="P18" i="28" s="1"/>
  <c r="O405" i="9"/>
  <c r="O408" i="9" s="1"/>
  <c r="R20" i="28" s="1"/>
  <c r="J510" i="9"/>
  <c r="J513" i="9" s="1"/>
  <c r="M21" i="28" s="1"/>
  <c r="Q408" i="3"/>
  <c r="T5" i="28" s="1"/>
  <c r="W191" i="3"/>
  <c r="Z3" i="28" s="1"/>
  <c r="Y85" i="3"/>
  <c r="AB2" i="28" s="1"/>
  <c r="G188" i="9"/>
  <c r="G191" i="9" s="1"/>
  <c r="J18" i="28" s="1"/>
  <c r="W188" i="9"/>
  <c r="W191" i="9" s="1"/>
  <c r="Z18" i="28" s="1"/>
  <c r="G296" i="9"/>
  <c r="G299" i="9" s="1"/>
  <c r="J19" i="28" s="1"/>
  <c r="O510" i="9"/>
  <c r="O513" i="9" s="1"/>
  <c r="R21" i="28" s="1"/>
  <c r="R408" i="3"/>
  <c r="U5" i="28" s="1"/>
  <c r="J408" i="3"/>
  <c r="M5" i="28" s="1"/>
  <c r="W85" i="3"/>
  <c r="Z2" i="28" s="1"/>
  <c r="D510" i="9"/>
  <c r="D513" i="9" s="1"/>
  <c r="G21" i="28" s="1"/>
  <c r="I188" i="9"/>
  <c r="I191" i="9" s="1"/>
  <c r="L18" i="28" s="1"/>
  <c r="J296" i="9"/>
  <c r="J299" i="9" s="1"/>
  <c r="M19" i="28" s="1"/>
  <c r="C510" i="9"/>
  <c r="C513" i="9" s="1"/>
  <c r="F21" i="28" s="1"/>
  <c r="B408" i="3"/>
  <c r="E5" i="28" s="1"/>
  <c r="Z408" i="3"/>
  <c r="AC5" i="28" s="1"/>
  <c r="I85" i="3"/>
  <c r="L2" i="28" s="1"/>
  <c r="O85" i="3"/>
  <c r="R2" i="28" s="1"/>
  <c r="P85" i="3"/>
  <c r="S2" i="28" s="1"/>
  <c r="L296" i="9"/>
  <c r="L299" i="9" s="1"/>
  <c r="O19" i="28" s="1"/>
  <c r="U510" i="9"/>
  <c r="U513" i="9" s="1"/>
  <c r="X21" i="28" s="1"/>
  <c r="Z188" i="9"/>
  <c r="Z191" i="9" s="1"/>
  <c r="AC18" i="28" s="1"/>
  <c r="N188" i="9"/>
  <c r="N191" i="9" s="1"/>
  <c r="Q18" i="28" s="1"/>
  <c r="O296" i="9"/>
  <c r="O299" i="9" s="1"/>
  <c r="R19" i="28" s="1"/>
  <c r="U296" i="9"/>
  <c r="U299" i="9" s="1"/>
  <c r="X19" i="28" s="1"/>
  <c r="U408" i="3"/>
  <c r="X5" i="28" s="1"/>
  <c r="O408" i="3"/>
  <c r="R5" i="28" s="1"/>
  <c r="X85" i="3"/>
  <c r="AA2" i="28" s="1"/>
  <c r="P408" i="3"/>
  <c r="S5" i="28" s="1"/>
  <c r="P191" i="13"/>
  <c r="S39" i="28" s="1"/>
  <c r="X510" i="9"/>
  <c r="X513" i="9" s="1"/>
  <c r="AA21" i="28" s="1"/>
  <c r="K510" i="9"/>
  <c r="K513" i="9" s="1"/>
  <c r="N21" i="28" s="1"/>
  <c r="AA188" i="9"/>
  <c r="AA191" i="9" s="1"/>
  <c r="AD18" i="28" s="1"/>
  <c r="X408" i="3"/>
  <c r="AA5" i="28" s="1"/>
  <c r="H408" i="3"/>
  <c r="K5" i="28" s="1"/>
  <c r="G408" i="3"/>
  <c r="J5" i="28" s="1"/>
  <c r="P510" i="9"/>
  <c r="P513" i="9" s="1"/>
  <c r="S21" i="28" s="1"/>
  <c r="AC408" i="3"/>
  <c r="AF5" i="28" s="1"/>
  <c r="V85" i="3"/>
  <c r="Y2" i="28" s="1"/>
  <c r="O191" i="3"/>
  <c r="R3" i="28" s="1"/>
  <c r="N408" i="3"/>
  <c r="Q5" i="28" s="1"/>
  <c r="L408" i="3"/>
  <c r="O5" i="28" s="1"/>
  <c r="F296" i="9"/>
  <c r="F299" i="9" s="1"/>
  <c r="I19" i="28" s="1"/>
  <c r="F85" i="3"/>
  <c r="I2" i="28" s="1"/>
  <c r="AA85" i="3"/>
  <c r="AD2" i="28" s="1"/>
  <c r="V408" i="3"/>
  <c r="Y5" i="28" s="1"/>
  <c r="AB408" i="3"/>
  <c r="AE5" i="28" s="1"/>
  <c r="G191" i="3"/>
  <c r="J3" i="28" s="1"/>
  <c r="S408" i="3"/>
  <c r="V5" i="28" s="1"/>
  <c r="Q405" i="9"/>
  <c r="Q408" i="9" s="1"/>
  <c r="T20" i="28" s="1"/>
  <c r="L85" i="3"/>
  <c r="O2" i="28" s="1"/>
  <c r="Z85" i="3"/>
  <c r="AC2" i="28" s="1"/>
  <c r="T191" i="3"/>
  <c r="W3" i="28" s="1"/>
  <c r="E85" i="3"/>
  <c r="H2" i="28" s="1"/>
  <c r="C408" i="3"/>
  <c r="F5" i="28" s="1"/>
  <c r="M191" i="3"/>
  <c r="P3" i="28" s="1"/>
  <c r="R85" i="3"/>
  <c r="U2" i="28" s="1"/>
  <c r="P85" i="9"/>
  <c r="S17" i="28" s="1"/>
  <c r="N296" i="9"/>
  <c r="N299" i="9" s="1"/>
  <c r="Q19" i="28" s="1"/>
  <c r="AC191" i="3"/>
  <c r="AF3" i="28" s="1"/>
  <c r="E191" i="3"/>
  <c r="H3" i="28" s="1"/>
  <c r="W408" i="3"/>
  <c r="Z5" i="28" s="1"/>
  <c r="M408" i="3"/>
  <c r="P5" i="28" s="1"/>
  <c r="F408" i="3"/>
  <c r="I5" i="28" s="1"/>
  <c r="AA408" i="3"/>
  <c r="AD5" i="28" s="1"/>
  <c r="T513" i="3"/>
  <c r="W6" i="28" s="1"/>
  <c r="AC513" i="3"/>
  <c r="AF6" i="28" s="1"/>
  <c r="V513" i="3"/>
  <c r="Y6" i="28" s="1"/>
  <c r="M513" i="3"/>
  <c r="P6" i="28" s="1"/>
  <c r="AB513" i="3"/>
  <c r="AE6" i="28" s="1"/>
  <c r="K513" i="3"/>
  <c r="N6" i="28" s="1"/>
  <c r="C513" i="3"/>
  <c r="F6" i="28" s="1"/>
  <c r="L513" i="3"/>
  <c r="O6" i="28" s="1"/>
  <c r="O513" i="3"/>
  <c r="R6" i="28" s="1"/>
  <c r="S513" i="3"/>
  <c r="V6" i="28" s="1"/>
  <c r="G513" i="3"/>
  <c r="J6" i="28" s="1"/>
  <c r="N513" i="3"/>
  <c r="Q6" i="28" s="1"/>
  <c r="AA513" i="3"/>
  <c r="AD6" i="28" s="1"/>
  <c r="Y513" i="3"/>
  <c r="AB6" i="28" s="1"/>
  <c r="Q513" i="3"/>
  <c r="T6" i="28" s="1"/>
  <c r="B513" i="3"/>
  <c r="E6" i="28" s="1"/>
  <c r="P513" i="3"/>
  <c r="S6" i="28" s="1"/>
  <c r="F513" i="3"/>
  <c r="I6" i="28" s="1"/>
  <c r="W513" i="3"/>
  <c r="Z6" i="28" s="1"/>
  <c r="E513" i="3"/>
  <c r="H6" i="28" s="1"/>
  <c r="B43" i="1"/>
  <c r="B75" i="1"/>
  <c r="B76" i="1"/>
  <c r="B77" i="1"/>
  <c r="B70" i="1"/>
  <c r="B73" i="1"/>
  <c r="B72" i="1"/>
  <c r="B74" i="1"/>
  <c r="B66" i="1"/>
  <c r="B63" i="1"/>
  <c r="B64" i="1"/>
  <c r="B65" i="1"/>
  <c r="B54" i="1"/>
  <c r="B55" i="1"/>
  <c r="B52" i="1"/>
  <c r="B62" i="1"/>
  <c r="B60" i="1"/>
  <c r="B61" i="1"/>
  <c r="B50" i="1"/>
  <c r="B51" i="1"/>
  <c r="B48" i="1"/>
  <c r="B49" i="1"/>
  <c r="T299" i="9" l="1"/>
  <c r="W19" i="28" s="1"/>
  <c r="N408" i="9"/>
  <c r="Q20" i="28" s="1"/>
  <c r="V408" i="9"/>
  <c r="Y20" i="28" s="1"/>
  <c r="AA299" i="9"/>
  <c r="AD19" i="28" s="1"/>
  <c r="J408" i="9"/>
  <c r="M20" i="28" s="1"/>
  <c r="B56" i="1"/>
  <c r="B67" i="1"/>
  <c r="B79" i="1" s="1"/>
  <c r="Z408" i="9"/>
  <c r="AC20" i="28" s="1"/>
  <c r="D191" i="9"/>
  <c r="G18" i="28" s="1"/>
  <c r="M408" i="9"/>
  <c r="P20" i="28" s="1"/>
  <c r="S408" i="9"/>
  <c r="V20" i="28" s="1"/>
  <c r="R513" i="9"/>
  <c r="U21" i="28" s="1"/>
  <c r="I513" i="9"/>
  <c r="L21" i="28" s="1"/>
  <c r="I408" i="9"/>
  <c r="L20" i="28" s="1"/>
  <c r="AB191" i="9"/>
  <c r="AE18" i="28" s="1"/>
  <c r="V299" i="9"/>
  <c r="Y19" i="28" s="1"/>
  <c r="AB408" i="9"/>
  <c r="AE20" i="28" s="1"/>
  <c r="E299" i="9"/>
  <c r="H19" i="28" s="1"/>
  <c r="U408" i="9"/>
  <c r="X20" i="28" s="1"/>
  <c r="L408" i="9"/>
  <c r="O20" i="28" s="1"/>
  <c r="H513" i="9"/>
  <c r="K21" i="28" s="1"/>
  <c r="P299" i="9"/>
  <c r="S19" i="28" s="1"/>
  <c r="Y299" i="9"/>
  <c r="AB19" i="28" s="1"/>
  <c r="Z299" i="9"/>
  <c r="AC19" i="28" s="1"/>
  <c r="F513" i="9"/>
  <c r="I21" i="28" s="1"/>
  <c r="F408" i="9"/>
  <c r="I20" i="28" s="1"/>
  <c r="B191" i="9"/>
  <c r="E18" i="28" s="1"/>
  <c r="S513" i="9"/>
  <c r="V21" i="28" s="1"/>
  <c r="T191" i="9"/>
  <c r="W18" i="28" s="1"/>
  <c r="R191" i="9"/>
  <c r="U18" i="28" s="1"/>
  <c r="AC191" i="9"/>
  <c r="AF18" i="28" s="1"/>
  <c r="E191" i="9"/>
  <c r="H18" i="28" s="1"/>
  <c r="H191" i="9"/>
  <c r="K18" i="28" s="1"/>
  <c r="K191" i="9"/>
  <c r="N18" i="28" s="1"/>
  <c r="AB299" i="9"/>
  <c r="AE19" i="28" s="1"/>
  <c r="AA408" i="9"/>
  <c r="AD20" i="28" s="1"/>
  <c r="AC408" i="9"/>
  <c r="AF20" i="28" s="1"/>
  <c r="AC299" i="9"/>
  <c r="AF19" i="28" s="1"/>
  <c r="C408" i="9"/>
  <c r="F20" i="28" s="1"/>
  <c r="P191" i="9"/>
  <c r="S18" i="28" s="1"/>
  <c r="N513" i="9"/>
  <c r="Q21" i="28" s="1"/>
  <c r="M299" i="9"/>
  <c r="P19" i="28" s="1"/>
  <c r="E513" i="9"/>
  <c r="H21" i="28" s="1"/>
  <c r="T513" i="9"/>
  <c r="W21" i="28" s="1"/>
  <c r="Q513" i="9"/>
  <c r="T21" i="28" s="1"/>
  <c r="K408" i="9"/>
  <c r="N20" i="28" s="1"/>
  <c r="U191" i="9"/>
  <c r="X18" i="28" s="1"/>
  <c r="V513" i="9"/>
  <c r="Y21" i="28" s="1"/>
  <c r="D408" i="9"/>
  <c r="G20" i="28" s="1"/>
  <c r="G513" i="9"/>
  <c r="J21" i="28" s="1"/>
  <c r="R408" i="9"/>
  <c r="U20" i="28" s="1"/>
  <c r="G408" i="9"/>
  <c r="J20" i="28" s="1"/>
  <c r="F191" i="9"/>
  <c r="I18" i="28" s="1"/>
  <c r="R299" i="9"/>
  <c r="U19" i="28" s="1"/>
  <c r="AB513" i="9"/>
  <c r="AE21" i="28" s="1"/>
  <c r="Y408" i="9"/>
  <c r="AB20" i="28" s="1"/>
  <c r="S299" i="9"/>
  <c r="V19" i="28" s="1"/>
  <c r="AC513" i="9"/>
  <c r="AF21" i="28" s="1"/>
  <c r="C191" i="9"/>
  <c r="F18" i="28" s="1"/>
  <c r="M513" i="9"/>
  <c r="P21" i="28" s="1"/>
  <c r="O191" i="9"/>
  <c r="R18" i="28" s="1"/>
  <c r="S191" i="9"/>
  <c r="V18" i="28" s="1"/>
  <c r="V191" i="9"/>
  <c r="Y18" i="28" s="1"/>
  <c r="G78" i="1"/>
  <c r="G79" i="1"/>
  <c r="P78" i="1"/>
  <c r="P79" i="1"/>
  <c r="AC79" i="1"/>
  <c r="AC78" i="1"/>
  <c r="AC80" i="1" s="1"/>
  <c r="T78" i="1"/>
  <c r="T79" i="1"/>
  <c r="E78" i="1"/>
  <c r="E79" i="1"/>
  <c r="AA78" i="1"/>
  <c r="AA79" i="1"/>
  <c r="D78" i="1"/>
  <c r="D79" i="1"/>
  <c r="U78" i="1"/>
  <c r="U79" i="1"/>
  <c r="AB78" i="1"/>
  <c r="AB79" i="1"/>
  <c r="Q78" i="1"/>
  <c r="Q79" i="1"/>
  <c r="K79" i="1"/>
  <c r="K78" i="1"/>
  <c r="R78" i="1"/>
  <c r="R79" i="1"/>
  <c r="L78" i="1"/>
  <c r="L79" i="1"/>
  <c r="M79" i="1"/>
  <c r="M78" i="1"/>
  <c r="M80" i="1" s="1"/>
  <c r="C78" i="1"/>
  <c r="C79" i="1"/>
  <c r="O78" i="1"/>
  <c r="O79" i="1"/>
  <c r="Y78" i="1"/>
  <c r="Y79" i="1"/>
  <c r="Z78" i="1"/>
  <c r="Z79" i="1"/>
  <c r="W78" i="1"/>
  <c r="W79" i="1"/>
  <c r="V78" i="1"/>
  <c r="V79" i="1"/>
  <c r="J78" i="1"/>
  <c r="J79" i="1"/>
  <c r="X78" i="1"/>
  <c r="X79" i="1"/>
  <c r="F78" i="1"/>
  <c r="F79" i="1"/>
  <c r="I78" i="1"/>
  <c r="I79" i="1"/>
  <c r="S78" i="1"/>
  <c r="S79" i="1"/>
  <c r="N78" i="1"/>
  <c r="N79" i="1"/>
  <c r="H78" i="1"/>
  <c r="H79" i="1"/>
  <c r="AB80" i="1" l="1"/>
  <c r="I80" i="1"/>
  <c r="S80" i="1"/>
  <c r="L80" i="1"/>
  <c r="K80" i="1"/>
  <c r="Y80" i="1"/>
  <c r="D80" i="1"/>
  <c r="J80" i="1"/>
  <c r="C80" i="1"/>
  <c r="E80" i="1"/>
  <c r="X80" i="1"/>
  <c r="AA80" i="1"/>
  <c r="P80" i="1"/>
  <c r="W80" i="1"/>
  <c r="Q80" i="1"/>
  <c r="H80" i="1"/>
  <c r="G80" i="1"/>
  <c r="Z80" i="1"/>
  <c r="F80" i="1"/>
  <c r="N80" i="1"/>
  <c r="V80" i="1"/>
  <c r="O80" i="1"/>
  <c r="R80" i="1"/>
  <c r="U80" i="1"/>
  <c r="T80" i="1"/>
  <c r="B78" i="1"/>
  <c r="B80" i="1" s="1"/>
</calcChain>
</file>

<file path=xl/sharedStrings.xml><?xml version="1.0" encoding="utf-8"?>
<sst xmlns="http://schemas.openxmlformats.org/spreadsheetml/2006/main" count="5192" uniqueCount="336">
  <si>
    <t>Fuel-specific</t>
  </si>
  <si>
    <t>Semi-trucking (5-axis)</t>
  </si>
  <si>
    <t>Input Sigmoid function</t>
  </si>
  <si>
    <t>Source</t>
  </si>
  <si>
    <t>Truck diesel</t>
  </si>
  <si>
    <t>Unit</t>
  </si>
  <si>
    <t>Truck hydrogen</t>
  </si>
  <si>
    <t>Truck battery</t>
  </si>
  <si>
    <t>midway</t>
  </si>
  <si>
    <t>a</t>
  </si>
  <si>
    <t>k</t>
  </si>
  <si>
    <t>Diesel</t>
  </si>
  <si>
    <t>Carbon permits</t>
  </si>
  <si>
    <t>[€/t]</t>
  </si>
  <si>
    <t>Capex costumization</t>
  </si>
  <si>
    <t>[€]</t>
  </si>
  <si>
    <t>b</t>
  </si>
  <si>
    <t>(prop.ly to other bulk, tractor trailer table 4.4)</t>
  </si>
  <si>
    <t>Capex vehicle</t>
  </si>
  <si>
    <t>(105484€; 115252€)</t>
  </si>
  <si>
    <t>CO2 content per mass</t>
  </si>
  <si>
    <t>kgCO2/kgfuel</t>
  </si>
  <si>
    <t>CO2 content per kWhel</t>
  </si>
  <si>
    <t>kg/kWh</t>
  </si>
  <si>
    <t>https://www.nowtricity.com/country/norway/</t>
  </si>
  <si>
    <t>Residual value (costumization)</t>
  </si>
  <si>
    <t>x</t>
  </si>
  <si>
    <t>(25%)</t>
  </si>
  <si>
    <t>Residual value (vehicle)</t>
  </si>
  <si>
    <t>c,x</t>
  </si>
  <si>
    <t>(18% of Capex, shrinking market)</t>
  </si>
  <si>
    <t>Energy density</t>
  </si>
  <si>
    <t>kWh/kg</t>
  </si>
  <si>
    <t>H2 production efficiency</t>
  </si>
  <si>
    <t>%</t>
  </si>
  <si>
    <t>Grid efficiency</t>
  </si>
  <si>
    <t>Heinemann, 2019</t>
  </si>
  <si>
    <t>Opex fix (admin, crew, insurance)</t>
  </si>
  <si>
    <t>[€/a]</t>
  </si>
  <si>
    <t>b,d</t>
  </si>
  <si>
    <t>(Meulen tab 4.4: staff + general; Martin: admin+driver+insurance)</t>
  </si>
  <si>
    <t>Lifetime vehicle</t>
  </si>
  <si>
    <t>[a]</t>
  </si>
  <si>
    <t>c</t>
  </si>
  <si>
    <t>(8 years)</t>
  </si>
  <si>
    <t>CO2 content per kWh</t>
  </si>
  <si>
    <t>kgCO2/kWh</t>
  </si>
  <si>
    <t>CO2 content per kWhH2</t>
  </si>
  <si>
    <t xml:space="preserve">Tonnage </t>
  </si>
  <si>
    <t>[t]</t>
  </si>
  <si>
    <t>f</t>
  </si>
  <si>
    <t>(25450 kg, not product specified)</t>
  </si>
  <si>
    <t>Opex maintenance &amp; repair</t>
  </si>
  <si>
    <t>(20471;20608 € per a)</t>
  </si>
  <si>
    <t>CO2 emission per km</t>
  </si>
  <si>
    <t>kg/km</t>
  </si>
  <si>
    <t>Market failure (av. utilization)</t>
  </si>
  <si>
    <t>[%]</t>
  </si>
  <si>
    <t>(p.29: slat, sand , gravel: 42%)</t>
  </si>
  <si>
    <t>Fuel Economy</t>
  </si>
  <si>
    <t>[kWh/km]</t>
  </si>
  <si>
    <t>(29.86; 23.47 kWh/km)</t>
  </si>
  <si>
    <t>CO2 emission cost per km</t>
  </si>
  <si>
    <t>€/km</t>
  </si>
  <si>
    <t>Annual Mileage</t>
  </si>
  <si>
    <t>[km/a]</t>
  </si>
  <si>
    <t>(p.29: slat, sand , gravel: same)</t>
  </si>
  <si>
    <t>Fuel Cost</t>
  </si>
  <si>
    <t>[€/kWh]</t>
  </si>
  <si>
    <t>j</t>
  </si>
  <si>
    <t>Lifetime costumization</t>
  </si>
  <si>
    <t>e</t>
  </si>
  <si>
    <t>(p.295: 12 years)</t>
  </si>
  <si>
    <t>Payload loss (fuel)</t>
  </si>
  <si>
    <t>same</t>
  </si>
  <si>
    <t>Opex var (mode-fees, cargo handling)</t>
  </si>
  <si>
    <t>[€/km]</t>
  </si>
  <si>
    <t>d</t>
  </si>
  <si>
    <t>(mode-specific: Road toll 13200€ per 120000km/a)</t>
  </si>
  <si>
    <t>WACC</t>
  </si>
  <si>
    <t>this study's  assumption</t>
  </si>
  <si>
    <t>Emission cost</t>
  </si>
  <si>
    <t>g</t>
  </si>
  <si>
    <t>(diesel 3.17 KgCO2/kgdiesel, CO2 price assumed)</t>
  </si>
  <si>
    <t>Transport and Environment, 2021</t>
  </si>
  <si>
    <t>van der Meulen et a.m 2020</t>
  </si>
  <si>
    <t>Noll et al, 2022</t>
  </si>
  <si>
    <t>Battery</t>
  </si>
  <si>
    <t>Martin et al., 2023</t>
  </si>
  <si>
    <t>(417255€;145346€)</t>
  </si>
  <si>
    <t>Reuß et al. 2017</t>
  </si>
  <si>
    <t>(18% of Capex, emerging market)</t>
  </si>
  <si>
    <t>Gray et al., 2021</t>
  </si>
  <si>
    <t>Statistics Norway 2021</t>
  </si>
  <si>
    <t>(14359 € per year)</t>
  </si>
  <si>
    <t>h</t>
  </si>
  <si>
    <t>(p.29: chemical products: 48%)</t>
  </si>
  <si>
    <t>i</t>
  </si>
  <si>
    <t>(p.29: chemical products: same)</t>
  </si>
  <si>
    <t>Zenith, Frederico et al., 2019</t>
  </si>
  <si>
    <t>(-25 - 9%, depending on the range needed)</t>
  </si>
  <si>
    <t>SSB 2023, electricity prices (energy intensive industry)</t>
  </si>
  <si>
    <t>(Norwegian electricity 0.022 KgCO2/kWhel; 95% grid efficiency; CO2 price assumed)</t>
  </si>
  <si>
    <t>Hydrogen</t>
  </si>
  <si>
    <t>(391802; 154,318€)</t>
  </si>
  <si>
    <t>(26324;18735€ per year)</t>
  </si>
  <si>
    <t>(same</t>
  </si>
  <si>
    <t>(p.29: containers: 46%)</t>
  </si>
  <si>
    <t>(p.29: containers: same)</t>
  </si>
  <si>
    <t>(p.29: miscellaneous goods: 46%)</t>
  </si>
  <si>
    <t>(p.29: miscellaneous goods: same)</t>
  </si>
  <si>
    <t>(p.29: base metals: 48%)</t>
  </si>
  <si>
    <t>(p.29: base metals: same)</t>
  </si>
  <si>
    <t>Railway</t>
  </si>
  <si>
    <t>Rail Diesel</t>
  </si>
  <si>
    <t>Rail hydrogen</t>
  </si>
  <si>
    <t>Rail catenary</t>
  </si>
  <si>
    <t>Rail battery</t>
  </si>
  <si>
    <t>b, x</t>
  </si>
  <si>
    <t>(table.6.2: prop.ly to other bulk 150T€/wagon)</t>
  </si>
  <si>
    <t>(p. 4: 2.95M$)</t>
  </si>
  <si>
    <t>(5%; long life, sold before security risk)</t>
  </si>
  <si>
    <t>(15%;5%; long life, shrinking markets)</t>
  </si>
  <si>
    <t>(staff costs 250T€, general 400T€)</t>
  </si>
  <si>
    <t>p. 4: same</t>
  </si>
  <si>
    <t>b,a</t>
  </si>
  <si>
    <t>(80t/wagon max, 28 wagons)</t>
  </si>
  <si>
    <t>(p. 4: 5.31$/km)</t>
  </si>
  <si>
    <t>(table 6.1: salt, sand, gravel, clay)</t>
  </si>
  <si>
    <t>(industry interview: "1,8 litres/km for the locomotive + 0,0041 litres/tonnkm for the freight cars"</t>
  </si>
  <si>
    <t>(table 6.1: different to c)</t>
  </si>
  <si>
    <t>c, x</t>
  </si>
  <si>
    <t>(industry interview: same)</t>
  </si>
  <si>
    <t>(table 6.2: 700T€/178500 km/a track access, shunting)</t>
  </si>
  <si>
    <t>Cargonet, Erik Halland</t>
  </si>
  <si>
    <t>Statistics Norway, 2021</t>
  </si>
  <si>
    <t>Catenary</t>
  </si>
  <si>
    <t>Noll 2021</t>
  </si>
  <si>
    <t>(table.6.2: prop.ly to other bulk 200T€/wagon)</t>
  </si>
  <si>
    <t>(4.1M$)</t>
  </si>
  <si>
    <t>(15%;15%; long life, stable markets)</t>
  </si>
  <si>
    <t>(staff costs 250T€, general 370T€)</t>
  </si>
  <si>
    <t>(3.03$/km)</t>
  </si>
  <si>
    <t>(table 6.1: chemicals)</t>
  </si>
  <si>
    <t>(Diesel economy:35% =&gt; Catenary:85%)</t>
  </si>
  <si>
    <t>kWh/l</t>
  </si>
  <si>
    <t>(table 6.2: 650T€/178500 km/a  track access, shunting)</t>
  </si>
  <si>
    <t>same+</t>
  </si>
  <si>
    <t>average number of wagons</t>
  </si>
  <si>
    <t>(table.6.2: prop.ly to other bulk 100T€/wagon)</t>
  </si>
  <si>
    <t>(5%;15%; long life, emerging markets)</t>
  </si>
  <si>
    <t>max. Payload per wagon</t>
  </si>
  <si>
    <t>t</t>
  </si>
  <si>
    <t>(table.6.2: staff costs 250T€, general 360T€)</t>
  </si>
  <si>
    <t>x,a</t>
  </si>
  <si>
    <t xml:space="preserve"> (oriented on a, diesel cat)</t>
  </si>
  <si>
    <t>(table 6.1: container)</t>
  </si>
  <si>
    <t>(Diesel economy:35% =&gt; Battery:80%)</t>
  </si>
  <si>
    <t>(assuming initially one wagon for battery technology)</t>
  </si>
  <si>
    <t>(table.6.2: staff costs 600T€, general 850T€)</t>
  </si>
  <si>
    <t>(table 6.1: miscellaneous goods)</t>
  </si>
  <si>
    <t>(Diesel economy:35% =&gt; Hydrogen:55-&gt;65%)</t>
  </si>
  <si>
    <t>(assuming initially half a wagon for battery technology)</t>
  </si>
  <si>
    <t>(table 6.2: 1.6M€/178500 km/a  track access, shunting)</t>
  </si>
  <si>
    <t>(table.6.2: prop.ly to other bulk 125T€/wagon)</t>
  </si>
  <si>
    <t>(table.6.2: staff costs 250T€, general 400T€)</t>
  </si>
  <si>
    <t>(table 6.1: base metals and metal products)</t>
  </si>
  <si>
    <t>(table 6.2: 700T€/178500 km/a  track access, shunting)</t>
  </si>
  <si>
    <t>Sea</t>
  </si>
  <si>
    <t>Sea MGO</t>
  </si>
  <si>
    <t>Sea hydrogen</t>
  </si>
  <si>
    <t>Sea ammonia</t>
  </si>
  <si>
    <t>Sea methanol</t>
  </si>
  <si>
    <t>Short-sea: Dry bulk</t>
  </si>
  <si>
    <t>(table.3.5: prop.ly to other bulk)</t>
  </si>
  <si>
    <t>(10%;10%; long life, stable)</t>
  </si>
  <si>
    <t>(10%;5%; long life, shrinking markets, interview)</t>
  </si>
  <si>
    <t>(28t/24h: assuming HFO equals MGO, improvements)</t>
  </si>
  <si>
    <t>(diesel 3.17 KgCO2/kgMGO, CO2 price assumed)</t>
  </si>
  <si>
    <t>Drewy 2013 (factored by 1.5)</t>
  </si>
  <si>
    <t>Short-sea: Container</t>
  </si>
  <si>
    <t>Confeeder</t>
  </si>
  <si>
    <t>(5%;10%; long life, emerging markets)</t>
  </si>
  <si>
    <t>(same: propotionally to diesel; efficiency gains)</t>
  </si>
  <si>
    <t>(assumed to achieve improvments in storage density)</t>
  </si>
  <si>
    <t>Short-sea: Break bulk</t>
  </si>
  <si>
    <t>Ammonia</t>
  </si>
  <si>
    <t>Methanol</t>
  </si>
  <si>
    <t>Short-sea:  Neo bulk</t>
  </si>
  <si>
    <t>(small adjustments compared to diesel)</t>
  </si>
  <si>
    <t>(assumed to be the same as for MGO combustion engine, improvements)</t>
  </si>
  <si>
    <t>(half of LH2 loss, no improvments assumed)</t>
  </si>
  <si>
    <t>Energy density methanol</t>
  </si>
  <si>
    <t>Mass</t>
  </si>
  <si>
    <t>Volume</t>
  </si>
  <si>
    <t xml:space="preserve">* Capex vehicle: Purchase cost of the non-costumized asset  </t>
  </si>
  <si>
    <t xml:space="preserve">** Capex installation: May include costumized trailer or application-specific features </t>
  </si>
  <si>
    <t>DO NOT CHANGE THE WHITE CELLS</t>
  </si>
  <si>
    <t>COSTUMIZE THE BLUE BOXES</t>
  </si>
  <si>
    <t>CALCULATOR OUTPUT</t>
  </si>
  <si>
    <t>Input parameter</t>
  </si>
  <si>
    <t>Applied cost change factor</t>
  </si>
  <si>
    <t>Start value</t>
  </si>
  <si>
    <t>End value</t>
  </si>
  <si>
    <t>min</t>
  </si>
  <si>
    <t>max</t>
  </si>
  <si>
    <t>Emission Cost</t>
  </si>
  <si>
    <t>Tonnage .</t>
  </si>
  <si>
    <t>Calulation</t>
  </si>
  <si>
    <t>€/a</t>
  </si>
  <si>
    <t>€/tkm</t>
  </si>
  <si>
    <t>Examplary Vehicle</t>
  </si>
  <si>
    <t>Comments</t>
  </si>
  <si>
    <t>Old fuels used in STraM:</t>
  </si>
  <si>
    <t>Road: Diesel, Hydrogen, Battery electric, Biodiesel, Biogas</t>
  </si>
  <si>
    <t>Sea: Hydrogen, Ammonia, HFO, MGO, LNG, Biodiesel (HVO), Biogas</t>
  </si>
  <si>
    <t>What fuel names to use? Some don't match with names in our model; see yellow cells</t>
  </si>
  <si>
    <t>Rail: Electric train (CL), Diesel, Hybrid, Battery train, Hydrogen, Biodiesel</t>
  </si>
  <si>
    <t>Short-sea sheets do not have liquid bulk (should it be included? discuss with Steffen)</t>
  </si>
  <si>
    <t>Mode</t>
  </si>
  <si>
    <t>Fuel</t>
  </si>
  <si>
    <t>Road</t>
  </si>
  <si>
    <t>Dry bulk</t>
  </si>
  <si>
    <t>Liquid bulk</t>
  </si>
  <si>
    <t>Container</t>
  </si>
  <si>
    <t>Break bulk</t>
  </si>
  <si>
    <t>Neo bulk</t>
  </si>
  <si>
    <t>Rail</t>
  </si>
  <si>
    <t>Long term: do all the calculations in python. Only maintain "parameter input" tab</t>
  </si>
  <si>
    <t>We don't use "Truck", right?</t>
  </si>
  <si>
    <t>effective tonnage 2023</t>
  </si>
  <si>
    <t>effective tonnage 2050</t>
  </si>
  <si>
    <t>Index</t>
  </si>
  <si>
    <t>emissions 2023 (g/tkm)</t>
  </si>
  <si>
    <t>emissions 2050 (g/tkm)</t>
  </si>
  <si>
    <t>sigmoid parameters in "Output emissions" are not linked to "parameter input" sheet</t>
  </si>
  <si>
    <t>Product class</t>
  </si>
  <si>
    <t>Product groups undifferentiated by time value (such as "Container") are called Product Classes in the code. The ones differentiated (such as "Container (fast)") are called Products in the code</t>
  </si>
  <si>
    <t>Global parameters</t>
  </si>
  <si>
    <t>Carbon price</t>
  </si>
  <si>
    <t>Is this the full fuel list? Ignore biofuels? How about LNG? MGO? Is "Diesel" for sea MDO?</t>
  </si>
  <si>
    <t>Update transfer costs for the new product groups (Jonas)</t>
  </si>
  <si>
    <t>Product</t>
  </si>
  <si>
    <t>Transfer type</t>
  </si>
  <si>
    <t>Transfer cost</t>
  </si>
  <si>
    <t>sea-rail</t>
  </si>
  <si>
    <t>sea-road</t>
  </si>
  <si>
    <t>rail-road</t>
  </si>
  <si>
    <t>Fish</t>
  </si>
  <si>
    <t>General cargo</t>
  </si>
  <si>
    <t>Industrial goods</t>
  </si>
  <si>
    <t>Other thermo</t>
  </si>
  <si>
    <t>Timber</t>
  </si>
  <si>
    <t>Wet bulk</t>
  </si>
  <si>
    <t>From</t>
  </si>
  <si>
    <t>To</t>
  </si>
  <si>
    <t>OLD TABLE:</t>
  </si>
  <si>
    <t>NUMBERS NEED TO BE UPDATED</t>
  </si>
  <si>
    <t>TO DO</t>
  </si>
  <si>
    <t>Transfer cost (NOK/Tonne)</t>
  </si>
  <si>
    <t>emissions 2023 (kg/km)</t>
  </si>
  <si>
    <t>emissions 2050 (kg/km)</t>
  </si>
  <si>
    <t>l</t>
  </si>
  <si>
    <t>FuelsEurope2022</t>
  </si>
  <si>
    <t>page 10</t>
  </si>
  <si>
    <t>g, m</t>
  </si>
  <si>
    <t>m</t>
  </si>
  <si>
    <t>Martin_policy</t>
  </si>
  <si>
    <t>f, m</t>
  </si>
  <si>
    <t>(-5 - 2%, depending on the range needed)</t>
  </si>
  <si>
    <t>Braun 2016</t>
  </si>
  <si>
    <t>n</t>
  </si>
  <si>
    <t>b,n</t>
  </si>
  <si>
    <t>Opex var (mode-fees)</t>
  </si>
  <si>
    <t>Product-specific</t>
  </si>
  <si>
    <t>Diesel combustion</t>
  </si>
  <si>
    <t>Battery electric</t>
  </si>
  <si>
    <t>Hydrogen fuel cell</t>
  </si>
  <si>
    <t>Road long-haul: Dry bulk</t>
  </si>
  <si>
    <t>Road long-haul: Liquid bulk</t>
  </si>
  <si>
    <t>Road long-haul: Container</t>
  </si>
  <si>
    <t>Road long-haul: Break bulk</t>
  </si>
  <si>
    <t>Road long-haul:  Neo bulk</t>
  </si>
  <si>
    <t>Railway long-haul: Dry bulk</t>
  </si>
  <si>
    <t>Railway long-haul: Liquid bulk</t>
  </si>
  <si>
    <t>Railway long-haul: Container</t>
  </si>
  <si>
    <t>Railway long-haul: Break bulk</t>
  </si>
  <si>
    <t>Railway long-haul:  Neo bulk</t>
  </si>
  <si>
    <t>Opex var (mode-fees, shunting)</t>
  </si>
  <si>
    <t>Sea HFO</t>
  </si>
  <si>
    <t>MGO</t>
  </si>
  <si>
    <t>HFO</t>
  </si>
  <si>
    <t>https://www.researchgate.net/publication/351748799_Assessing_the_Link_between_Vessel_Size_and_Maritime_Supply_Chain_Sustainable_Performance/figures?lo=1</t>
  </si>
  <si>
    <t>Ulstein 2019</t>
  </si>
  <si>
    <t>a,c,l</t>
  </si>
  <si>
    <t>(Drewy 2013 (harmonized by 1.5); minus costimization; Ulstein 12-15M $)</t>
  </si>
  <si>
    <t>same factor to fossil; minus costumization</t>
  </si>
  <si>
    <t>(HFO 3.20 KgCO2/kgHFO, CO2 price assumed)</t>
  </si>
  <si>
    <t>Martin _policy 2023</t>
  </si>
  <si>
    <t>(Norwegian electricity 0.022 KgCO2/kWhel; 61-70%  efficiency (fuel production); CO2 price assumed)</t>
  </si>
  <si>
    <t>(Norwegian electricity 0.022 KgCO2/kWhel; 61-70% efficiency (fuel production); CO2 price assumed)</t>
  </si>
  <si>
    <t>onshore wind scenario (production+distribution, without fuel station)</t>
  </si>
  <si>
    <t>onshore wind scenario (production+grid fee, without fuel station)</t>
  </si>
  <si>
    <t>a,x</t>
  </si>
  <si>
    <t>(Fig. 8, 600€/t maritime gas stock market prices 2015-2022, distribution neglected)</t>
  </si>
  <si>
    <t>(Fig. 8, 357€/t maritime gas stock market prices 2015-2022, distribution neglected)</t>
  </si>
  <si>
    <t>IRENA 2021</t>
  </si>
  <si>
    <t>(Norwegian electricity 0.022 KgCO2/kWhel; 45-56% efficiency (fuel production); CO2 price assumed)</t>
  </si>
  <si>
    <t>(Norwegian electricity 0.022 KgCO2/kWhel; 52-60% efficiency (fuel production); CO2 price assumed)</t>
  </si>
  <si>
    <t>Used for calculation of methanol costs:</t>
  </si>
  <si>
    <t>b,l,x</t>
  </si>
  <si>
    <t>(representative feeder, average short-sea capacity)</t>
  </si>
  <si>
    <t>(table 3.2: large; Coal, brown coal and cokes; inland waterway. +10% as adjustment to short sea shipping (see higher factor for long-sea in b))</t>
  </si>
  <si>
    <t>(table 3.2: large; Container; inland waterway.  +10% as adjustment to short sea shipping (see higher factor for long-sea in b))</t>
  </si>
  <si>
    <t>(table 3.2: large; Miscellaneous goods; inland waterway.  +10% as adjustment to short sea shipping (see higher factor for long-sea in b))</t>
  </si>
  <si>
    <t>(table 3.2: large; Base metals and metal products; inland waterway.  +10% as adjustment to short sea shipping (see higher factor for long-sea in b))</t>
  </si>
  <si>
    <t>c, b</t>
  </si>
  <si>
    <t>(Martin: 118231 km/a), van Meulen push barges</t>
  </si>
  <si>
    <t>(p.82 DAC only, 1800;460  USD/t MeOH; USD/EURO 0.85)</t>
  </si>
  <si>
    <t>(Push barges innland waterway: Port fee: 100000€/118231km/a, adjusted with the product-specific factor in the large ship table)</t>
  </si>
  <si>
    <t>(p. 60: Crew, Insurave, general expenses USD =&gt; Euro)</t>
  </si>
  <si>
    <t>(Drewy 2013 (Spares, Stores, Lubriciation, R&amp;M; from USD to Euro))</t>
  </si>
  <si>
    <t>(Drewy 2013 (Spares, Stores, !NO! Lubriciation, R&amp;M; from USD to Euro))</t>
  </si>
  <si>
    <t>k, m</t>
  </si>
  <si>
    <t>i,j,k, m</t>
  </si>
  <si>
    <t>Martin policy</t>
  </si>
  <si>
    <t>d,f,g, l</t>
  </si>
  <si>
    <t>d,f, l</t>
  </si>
  <si>
    <t>d,k, l</t>
  </si>
  <si>
    <t>g,i, m</t>
  </si>
  <si>
    <t>g,i,h, m</t>
  </si>
  <si>
    <t>a,c, l</t>
  </si>
  <si>
    <t>a, c, l</t>
  </si>
  <si>
    <t>a,d, l, c</t>
  </si>
  <si>
    <t>e,l, c</t>
  </si>
  <si>
    <t>a,b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</si>
</sst>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_);_(* \(#,##0.00\);_(* &quot;-&quot;_);_(@_)"/>
    <numFmt numFmtId="165" formatCode="_(* #,##0.0_);_(* \(#,##0.0\);_(* &quot;-&quot;_);_(@_)"/>
    <numFmt numFmtId="166" formatCode="0.000"/>
    <numFmt numFmtId="167" formatCode="0.0000"/>
    <numFmt numFmtId="168" formatCode="#,##0.0"/>
    <numFmt numFmtId="169" formatCode="#,##0.000"/>
    <numFmt numFmtId="170" formatCode="0.000000"/>
    <numFmt numFmtId="171" formatCode="0.0"/>
    <numFmt numFmtId="172" formatCode="_(* #,##0.0000_);_(* \(#,##0.0000\);_(* &quot;-&quot;_);_(@_)"/>
    <numFmt numFmtId="173" formatCode="#,##0\ [$€-1];[Red]\-#,##0\ [$€-1]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1"/>
      <color theme="0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9"/>
      <color theme="1"/>
      <name val="Calibri Light"/>
      <family val="2"/>
      <scheme val="major"/>
    </font>
    <font>
      <b/>
      <sz val="24"/>
      <color theme="0"/>
      <name val="Calibri Light"/>
      <family val="2"/>
      <scheme val="major"/>
    </font>
    <font>
      <b/>
      <u/>
      <sz val="11"/>
      <color theme="1"/>
      <name val="Calibri Light"/>
      <family val="2"/>
      <scheme val="major"/>
    </font>
    <font>
      <sz val="11"/>
      <color theme="0" tint="-0.24997711111789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 Light"/>
      <family val="2"/>
      <scheme val="major"/>
    </font>
    <font>
      <i/>
      <sz val="11"/>
      <color theme="0" tint="-0.14999847407452621"/>
      <name val="Calibri Light"/>
      <family val="2"/>
      <scheme val="major"/>
    </font>
    <font>
      <i/>
      <sz val="11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theme="6"/>
      <name val="Calibri"/>
      <family val="2"/>
      <scheme val="minor"/>
    </font>
    <font>
      <i/>
      <sz val="11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theme="4" tint="0.39991454817346722"/>
      </patternFill>
    </fill>
    <fill>
      <patternFill patternType="solid">
        <fgColor rgb="FFFFFF00"/>
        <bgColor theme="4" tint="0.399914548173467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57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/>
      <right/>
      <top style="medium">
        <color theme="8" tint="-0.249977111117893"/>
      </top>
      <bottom/>
      <diagonal/>
    </border>
    <border>
      <left/>
      <right/>
      <top/>
      <bottom style="medium">
        <color theme="8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3">
    <xf numFmtId="0" fontId="0" fillId="0" borderId="0" xfId="0"/>
    <xf numFmtId="0" fontId="6" fillId="2" borderId="14" xfId="0" applyFont="1" applyFill="1" applyBorder="1"/>
    <xf numFmtId="0" fontId="2" fillId="3" borderId="0" xfId="0" applyFont="1" applyFill="1"/>
    <xf numFmtId="0" fontId="3" fillId="3" borderId="0" xfId="0" applyFont="1" applyFill="1"/>
    <xf numFmtId="0" fontId="4" fillId="2" borderId="0" xfId="0" applyFont="1" applyFill="1"/>
    <xf numFmtId="0" fontId="5" fillId="3" borderId="10" xfId="0" applyFont="1" applyFill="1" applyBorder="1"/>
    <xf numFmtId="0" fontId="3" fillId="3" borderId="11" xfId="0" applyFont="1" applyFill="1" applyBorder="1" applyAlignment="1">
      <alignment horizontal="center"/>
    </xf>
    <xf numFmtId="0" fontId="6" fillId="3" borderId="12" xfId="0" applyFont="1" applyFill="1" applyBorder="1"/>
    <xf numFmtId="0" fontId="4" fillId="3" borderId="11" xfId="0" applyFont="1" applyFill="1" applyBorder="1"/>
    <xf numFmtId="0" fontId="4" fillId="3" borderId="12" xfId="0" applyFont="1" applyFill="1" applyBorder="1"/>
    <xf numFmtId="0" fontId="5" fillId="3" borderId="11" xfId="0" applyFont="1" applyFill="1" applyBorder="1"/>
    <xf numFmtId="0" fontId="3" fillId="3" borderId="11" xfId="0" applyFont="1" applyFill="1" applyBorder="1"/>
    <xf numFmtId="0" fontId="3" fillId="3" borderId="12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right"/>
    </xf>
    <xf numFmtId="0" fontId="6" fillId="3" borderId="15" xfId="0" applyFont="1" applyFill="1" applyBorder="1"/>
    <xf numFmtId="0" fontId="3" fillId="3" borderId="17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3" fillId="3" borderId="0" xfId="0" applyFont="1" applyFill="1" applyAlignment="1">
      <alignment horizontal="right"/>
    </xf>
    <xf numFmtId="0" fontId="3" fillId="3" borderId="14" xfId="0" applyFont="1" applyFill="1" applyBorder="1" applyAlignment="1">
      <alignment horizontal="right"/>
    </xf>
    <xf numFmtId="0" fontId="3" fillId="3" borderId="5" xfId="0" applyFont="1" applyFill="1" applyBorder="1"/>
    <xf numFmtId="0" fontId="3" fillId="3" borderId="3" xfId="0" applyFont="1" applyFill="1" applyBorder="1"/>
    <xf numFmtId="0" fontId="7" fillId="3" borderId="13" xfId="0" applyFont="1" applyFill="1" applyBorder="1"/>
    <xf numFmtId="0" fontId="8" fillId="2" borderId="0" xfId="0" applyFont="1" applyFill="1"/>
    <xf numFmtId="0" fontId="5" fillId="3" borderId="18" xfId="0" applyFont="1" applyFill="1" applyBorder="1"/>
    <xf numFmtId="0" fontId="5" fillId="3" borderId="6" xfId="0" applyFont="1" applyFill="1" applyBorder="1"/>
    <xf numFmtId="0" fontId="5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/>
    <xf numFmtId="0" fontId="7" fillId="2" borderId="19" xfId="0" applyFont="1" applyFill="1" applyBorder="1"/>
    <xf numFmtId="0" fontId="4" fillId="2" borderId="4" xfId="0" applyFont="1" applyFill="1" applyBorder="1"/>
    <xf numFmtId="0" fontId="9" fillId="2" borderId="0" xfId="0" applyFont="1" applyFill="1"/>
    <xf numFmtId="0" fontId="6" fillId="2" borderId="0" xfId="0" applyFont="1" applyFill="1"/>
    <xf numFmtId="41" fontId="4" fillId="4" borderId="23" xfId="1" applyNumberFormat="1" applyFont="1" applyFill="1" applyBorder="1" applyProtection="1"/>
    <xf numFmtId="0" fontId="4" fillId="2" borderId="21" xfId="0" applyFont="1" applyFill="1" applyBorder="1"/>
    <xf numFmtId="0" fontId="4" fillId="4" borderId="0" xfId="0" applyFont="1" applyFill="1" applyProtection="1">
      <protection locked="0"/>
    </xf>
    <xf numFmtId="0" fontId="4" fillId="2" borderId="19" xfId="0" applyFont="1" applyFill="1" applyBorder="1"/>
    <xf numFmtId="41" fontId="4" fillId="4" borderId="22" xfId="1" applyNumberFormat="1" applyFont="1" applyFill="1" applyBorder="1" applyAlignment="1" applyProtection="1">
      <alignment horizontal="left"/>
    </xf>
    <xf numFmtId="43" fontId="4" fillId="2" borderId="0" xfId="0" applyNumberFormat="1" applyFont="1" applyFill="1"/>
    <xf numFmtId="41" fontId="6" fillId="4" borderId="24" xfId="1" applyNumberFormat="1" applyFont="1" applyFill="1" applyBorder="1" applyProtection="1">
      <protection locked="0"/>
    </xf>
    <xf numFmtId="41" fontId="6" fillId="4" borderId="25" xfId="1" applyNumberFormat="1" applyFont="1" applyFill="1" applyBorder="1" applyProtection="1">
      <protection locked="0"/>
    </xf>
    <xf numFmtId="41" fontId="6" fillId="4" borderId="26" xfId="1" applyNumberFormat="1" applyFont="1" applyFill="1" applyBorder="1" applyProtection="1">
      <protection locked="0"/>
    </xf>
    <xf numFmtId="41" fontId="6" fillId="4" borderId="27" xfId="1" applyNumberFormat="1" applyFont="1" applyFill="1" applyBorder="1" applyProtection="1">
      <protection locked="0"/>
    </xf>
    <xf numFmtId="164" fontId="6" fillId="4" borderId="26" xfId="1" applyNumberFormat="1" applyFont="1" applyFill="1" applyBorder="1" applyProtection="1">
      <protection locked="0"/>
    </xf>
    <xf numFmtId="164" fontId="6" fillId="4" borderId="27" xfId="1" applyNumberFormat="1" applyFont="1" applyFill="1" applyBorder="1" applyProtection="1">
      <protection locked="0"/>
    </xf>
    <xf numFmtId="165" fontId="6" fillId="4" borderId="26" xfId="1" applyNumberFormat="1" applyFont="1" applyFill="1" applyBorder="1" applyProtection="1">
      <protection locked="0"/>
    </xf>
    <xf numFmtId="165" fontId="6" fillId="4" borderId="27" xfId="1" applyNumberFormat="1" applyFont="1" applyFill="1" applyBorder="1" applyProtection="1">
      <protection locked="0"/>
    </xf>
    <xf numFmtId="41" fontId="6" fillId="4" borderId="28" xfId="1" applyNumberFormat="1" applyFont="1" applyFill="1" applyBorder="1" applyProtection="1">
      <protection locked="0"/>
    </xf>
    <xf numFmtId="41" fontId="6" fillId="4" borderId="29" xfId="1" applyNumberFormat="1" applyFont="1" applyFill="1" applyBorder="1" applyProtection="1">
      <protection locked="0"/>
    </xf>
    <xf numFmtId="0" fontId="4" fillId="4" borderId="24" xfId="0" applyFont="1" applyFill="1" applyBorder="1" applyProtection="1">
      <protection locked="0"/>
    </xf>
    <xf numFmtId="0" fontId="4" fillId="4" borderId="30" xfId="0" applyFont="1" applyFill="1" applyBorder="1" applyProtection="1">
      <protection locked="0"/>
    </xf>
    <xf numFmtId="0" fontId="4" fillId="4" borderId="25" xfId="0" applyFont="1" applyFill="1" applyBorder="1" applyProtection="1">
      <protection locked="0"/>
    </xf>
    <xf numFmtId="0" fontId="4" fillId="4" borderId="26" xfId="0" applyFont="1" applyFill="1" applyBorder="1" applyProtection="1">
      <protection locked="0"/>
    </xf>
    <xf numFmtId="0" fontId="4" fillId="4" borderId="27" xfId="0" applyFont="1" applyFill="1" applyBorder="1" applyProtection="1">
      <protection locked="0"/>
    </xf>
    <xf numFmtId="0" fontId="4" fillId="4" borderId="28" xfId="0" applyFont="1" applyFill="1" applyBorder="1" applyProtection="1">
      <protection locked="0"/>
    </xf>
    <xf numFmtId="0" fontId="4" fillId="4" borderId="31" xfId="0" applyFont="1" applyFill="1" applyBorder="1" applyProtection="1">
      <protection locked="0"/>
    </xf>
    <xf numFmtId="0" fontId="4" fillId="4" borderId="29" xfId="0" applyFont="1" applyFill="1" applyBorder="1" applyProtection="1">
      <protection locked="0"/>
    </xf>
    <xf numFmtId="0" fontId="6" fillId="3" borderId="0" xfId="0" applyFont="1" applyFill="1"/>
    <xf numFmtId="3" fontId="6" fillId="4" borderId="26" xfId="1" applyNumberFormat="1" applyFont="1" applyFill="1" applyBorder="1" applyProtection="1">
      <protection locked="0"/>
    </xf>
    <xf numFmtId="3" fontId="6" fillId="4" borderId="27" xfId="1" applyNumberFormat="1" applyFont="1" applyFill="1" applyBorder="1" applyProtection="1">
      <protection locked="0"/>
    </xf>
    <xf numFmtId="1" fontId="6" fillId="2" borderId="0" xfId="1" applyNumberFormat="1" applyFont="1" applyFill="1" applyBorder="1" applyProtection="1"/>
    <xf numFmtId="1" fontId="4" fillId="2" borderId="0" xfId="0" applyNumberFormat="1" applyFont="1" applyFill="1"/>
    <xf numFmtId="1" fontId="6" fillId="2" borderId="20" xfId="0" applyNumberFormat="1" applyFont="1" applyFill="1" applyBorder="1"/>
    <xf numFmtId="2" fontId="4" fillId="2" borderId="0" xfId="0" applyNumberFormat="1" applyFont="1" applyFill="1"/>
    <xf numFmtId="2" fontId="6" fillId="2" borderId="0" xfId="1" applyNumberFormat="1" applyFont="1" applyFill="1" applyBorder="1" applyProtection="1"/>
    <xf numFmtId="2" fontId="6" fillId="2" borderId="20" xfId="0" applyNumberFormat="1" applyFont="1" applyFill="1" applyBorder="1"/>
    <xf numFmtId="166" fontId="6" fillId="2" borderId="0" xfId="1" applyNumberFormat="1" applyFont="1" applyFill="1" applyBorder="1" applyProtection="1"/>
    <xf numFmtId="167" fontId="6" fillId="2" borderId="0" xfId="1" applyNumberFormat="1" applyFont="1" applyFill="1" applyBorder="1" applyProtection="1"/>
    <xf numFmtId="41" fontId="6" fillId="5" borderId="26" xfId="1" applyNumberFormat="1" applyFont="1" applyFill="1" applyBorder="1" applyProtection="1">
      <protection locked="0"/>
    </xf>
    <xf numFmtId="41" fontId="6" fillId="5" borderId="27" xfId="1" applyNumberFormat="1" applyFont="1" applyFill="1" applyBorder="1" applyProtection="1">
      <protection locked="0"/>
    </xf>
    <xf numFmtId="164" fontId="6" fillId="5" borderId="26" xfId="1" applyNumberFormat="1" applyFont="1" applyFill="1" applyBorder="1" applyProtection="1">
      <protection locked="0"/>
    </xf>
    <xf numFmtId="164" fontId="6" fillId="5" borderId="27" xfId="1" applyNumberFormat="1" applyFont="1" applyFill="1" applyBorder="1" applyProtection="1">
      <protection locked="0"/>
    </xf>
    <xf numFmtId="41" fontId="6" fillId="5" borderId="28" xfId="1" applyNumberFormat="1" applyFont="1" applyFill="1" applyBorder="1" applyProtection="1">
      <protection locked="0"/>
    </xf>
    <xf numFmtId="41" fontId="6" fillId="5" borderId="29" xfId="1" applyNumberFormat="1" applyFont="1" applyFill="1" applyBorder="1" applyProtection="1">
      <protection locked="0"/>
    </xf>
    <xf numFmtId="166" fontId="6" fillId="2" borderId="20" xfId="0" applyNumberFormat="1" applyFont="1" applyFill="1" applyBorder="1"/>
    <xf numFmtId="167" fontId="6" fillId="2" borderId="20" xfId="0" applyNumberFormat="1" applyFont="1" applyFill="1" applyBorder="1"/>
    <xf numFmtId="168" fontId="6" fillId="4" borderId="26" xfId="1" applyNumberFormat="1" applyFont="1" applyFill="1" applyBorder="1" applyProtection="1">
      <protection locked="0"/>
    </xf>
    <xf numFmtId="169" fontId="6" fillId="4" borderId="26" xfId="1" applyNumberFormat="1" applyFont="1" applyFill="1" applyBorder="1" applyProtection="1">
      <protection locked="0"/>
    </xf>
    <xf numFmtId="0" fontId="4" fillId="2" borderId="32" xfId="0" applyFont="1" applyFill="1" applyBorder="1"/>
    <xf numFmtId="41" fontId="4" fillId="2" borderId="32" xfId="0" applyNumberFormat="1" applyFont="1" applyFill="1" applyBorder="1"/>
    <xf numFmtId="0" fontId="4" fillId="2" borderId="33" xfId="0" applyFont="1" applyFill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2" borderId="37" xfId="0" applyFont="1" applyFill="1" applyBorder="1"/>
    <xf numFmtId="0" fontId="4" fillId="2" borderId="38" xfId="0" applyFont="1" applyFill="1" applyBorder="1"/>
    <xf numFmtId="41" fontId="4" fillId="2" borderId="39" xfId="0" applyNumberFormat="1" applyFont="1" applyFill="1" applyBorder="1"/>
    <xf numFmtId="0" fontId="4" fillId="2" borderId="39" xfId="0" applyFont="1" applyFill="1" applyBorder="1"/>
    <xf numFmtId="0" fontId="4" fillId="2" borderId="40" xfId="0" applyFont="1" applyFill="1" applyBorder="1"/>
    <xf numFmtId="4" fontId="6" fillId="4" borderId="27" xfId="1" applyNumberFormat="1" applyFont="1" applyFill="1" applyBorder="1" applyProtection="1">
      <protection locked="0"/>
    </xf>
    <xf numFmtId="4" fontId="6" fillId="4" borderId="26" xfId="1" applyNumberFormat="1" applyFont="1" applyFill="1" applyBorder="1" applyProtection="1">
      <protection locked="0"/>
    </xf>
    <xf numFmtId="0" fontId="10" fillId="3" borderId="0" xfId="0" applyFont="1" applyFill="1"/>
    <xf numFmtId="9" fontId="4" fillId="2" borderId="0" xfId="0" applyNumberFormat="1" applyFont="1" applyFill="1"/>
    <xf numFmtId="0" fontId="11" fillId="2" borderId="0" xfId="0" applyFont="1" applyFill="1"/>
    <xf numFmtId="0" fontId="10" fillId="2" borderId="0" xfId="0" applyFont="1" applyFill="1"/>
    <xf numFmtId="170" fontId="6" fillId="2" borderId="20" xfId="0" applyNumberFormat="1" applyFont="1" applyFill="1" applyBorder="1"/>
    <xf numFmtId="171" fontId="6" fillId="2" borderId="0" xfId="1" applyNumberFormat="1" applyFont="1" applyFill="1" applyBorder="1" applyProtection="1"/>
    <xf numFmtId="0" fontId="8" fillId="2" borderId="4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4" fillId="2" borderId="44" xfId="0" applyFont="1" applyFill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2" borderId="47" xfId="0" applyFont="1" applyFill="1" applyBorder="1"/>
    <xf numFmtId="0" fontId="4" fillId="2" borderId="48" xfId="0" applyFont="1" applyFill="1" applyBorder="1"/>
    <xf numFmtId="0" fontId="4" fillId="7" borderId="0" xfId="0" applyFont="1" applyFill="1"/>
    <xf numFmtId="0" fontId="12" fillId="2" borderId="0" xfId="0" applyFont="1" applyFill="1"/>
    <xf numFmtId="0" fontId="4" fillId="2" borderId="0" xfId="0" applyFont="1" applyFill="1" applyAlignment="1">
      <alignment horizontal="center"/>
    </xf>
    <xf numFmtId="0" fontId="13" fillId="2" borderId="0" xfId="2" applyFill="1"/>
    <xf numFmtId="44" fontId="4" fillId="2" borderId="0" xfId="3" applyFont="1" applyFill="1"/>
    <xf numFmtId="43" fontId="4" fillId="2" borderId="0" xfId="1" applyFont="1" applyFill="1" applyBorder="1"/>
    <xf numFmtId="43" fontId="4" fillId="2" borderId="0" xfId="1" applyFont="1" applyFill="1"/>
    <xf numFmtId="171" fontId="4" fillId="2" borderId="0" xfId="0" applyNumberFormat="1" applyFont="1" applyFill="1"/>
    <xf numFmtId="172" fontId="6" fillId="4" borderId="26" xfId="1" applyNumberFormat="1" applyFont="1" applyFill="1" applyBorder="1" applyProtection="1">
      <protection locked="0"/>
    </xf>
    <xf numFmtId="172" fontId="6" fillId="4" borderId="27" xfId="1" applyNumberFormat="1" applyFont="1" applyFill="1" applyBorder="1" applyProtection="1">
      <protection locked="0"/>
    </xf>
    <xf numFmtId="0" fontId="14" fillId="2" borderId="0" xfId="0" applyFont="1" applyFill="1"/>
    <xf numFmtId="0" fontId="15" fillId="2" borderId="0" xfId="0" applyFont="1" applyFill="1"/>
    <xf numFmtId="0" fontId="15" fillId="2" borderId="0" xfId="0" quotePrefix="1" applyFont="1" applyFill="1"/>
    <xf numFmtId="173" fontId="15" fillId="2" borderId="0" xfId="0" applyNumberFormat="1" applyFont="1" applyFill="1"/>
    <xf numFmtId="9" fontId="15" fillId="2" borderId="0" xfId="0" applyNumberFormat="1" applyFont="1" applyFill="1"/>
    <xf numFmtId="9" fontId="15" fillId="2" borderId="0" xfId="0" quotePrefix="1" applyNumberFormat="1" applyFont="1" applyFill="1"/>
    <xf numFmtId="9" fontId="4" fillId="2" borderId="0" xfId="4" applyFont="1" applyFill="1" applyBorder="1"/>
    <xf numFmtId="0" fontId="16" fillId="2" borderId="0" xfId="0" applyFont="1" applyFill="1"/>
    <xf numFmtId="0" fontId="17" fillId="0" borderId="0" xfId="0" applyFont="1"/>
    <xf numFmtId="166" fontId="0" fillId="0" borderId="0" xfId="0" applyNumberFormat="1"/>
    <xf numFmtId="0" fontId="0" fillId="6" borderId="0" xfId="0" applyFill="1"/>
    <xf numFmtId="166" fontId="0" fillId="8" borderId="0" xfId="0" applyNumberFormat="1" applyFill="1"/>
    <xf numFmtId="0" fontId="0" fillId="8" borderId="0" xfId="0" applyFill="1"/>
    <xf numFmtId="0" fontId="17" fillId="9" borderId="0" xfId="0" applyFont="1" applyFill="1"/>
    <xf numFmtId="166" fontId="0" fillId="9" borderId="0" xfId="0" applyNumberFormat="1" applyFill="1"/>
    <xf numFmtId="0" fontId="0" fillId="10" borderId="0" xfId="0" applyFill="1"/>
    <xf numFmtId="0" fontId="8" fillId="11" borderId="41" xfId="0" applyFont="1" applyFill="1" applyBorder="1"/>
    <xf numFmtId="0" fontId="8" fillId="11" borderId="42" xfId="0" applyFont="1" applyFill="1" applyBorder="1"/>
    <xf numFmtId="0" fontId="8" fillId="11" borderId="43" xfId="0" applyFont="1" applyFill="1" applyBorder="1"/>
    <xf numFmtId="0" fontId="4" fillId="11" borderId="46" xfId="0" applyFont="1" applyFill="1" applyBorder="1"/>
    <xf numFmtId="0" fontId="4" fillId="11" borderId="47" xfId="0" applyFont="1" applyFill="1" applyBorder="1"/>
    <xf numFmtId="0" fontId="4" fillId="11" borderId="48" xfId="0" applyFont="1" applyFill="1" applyBorder="1"/>
    <xf numFmtId="0" fontId="17" fillId="12" borderId="0" xfId="0" applyFont="1" applyFill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18" fillId="0" borderId="0" xfId="0" applyFont="1"/>
    <xf numFmtId="0" fontId="19" fillId="12" borderId="0" xfId="0" applyFont="1" applyFill="1"/>
    <xf numFmtId="0" fontId="18" fillId="0" borderId="49" xfId="0" applyFont="1" applyBorder="1"/>
    <xf numFmtId="0" fontId="18" fillId="0" borderId="50" xfId="0" applyFont="1" applyBorder="1"/>
    <xf numFmtId="0" fontId="18" fillId="0" borderId="51" xfId="0" applyFont="1" applyBorder="1"/>
    <xf numFmtId="0" fontId="18" fillId="0" borderId="52" xfId="0" applyFont="1" applyBorder="1"/>
    <xf numFmtId="0" fontId="18" fillId="0" borderId="53" xfId="0" applyFont="1" applyBorder="1"/>
    <xf numFmtId="0" fontId="18" fillId="0" borderId="54" xfId="0" applyFont="1" applyBorder="1"/>
    <xf numFmtId="0" fontId="18" fillId="0" borderId="55" xfId="0" applyFont="1" applyBorder="1"/>
    <xf numFmtId="0" fontId="18" fillId="0" borderId="56" xfId="0" applyFont="1" applyBorder="1"/>
    <xf numFmtId="0" fontId="4" fillId="13" borderId="0" xfId="0" applyFont="1" applyFill="1"/>
    <xf numFmtId="167" fontId="4" fillId="2" borderId="0" xfId="0" applyNumberFormat="1" applyFont="1" applyFill="1"/>
    <xf numFmtId="0" fontId="4" fillId="14" borderId="0" xfId="0" applyFont="1" applyFill="1"/>
    <xf numFmtId="166" fontId="5" fillId="3" borderId="6" xfId="0" applyNumberFormat="1" applyFont="1" applyFill="1" applyBorder="1"/>
    <xf numFmtId="166" fontId="5" fillId="3" borderId="7" xfId="0" applyNumberFormat="1" applyFont="1" applyFill="1" applyBorder="1"/>
    <xf numFmtId="167" fontId="5" fillId="3" borderId="6" xfId="0" applyNumberFormat="1" applyFont="1" applyFill="1" applyBorder="1"/>
    <xf numFmtId="167" fontId="5" fillId="3" borderId="7" xfId="0" applyNumberFormat="1" applyFont="1" applyFill="1" applyBorder="1"/>
    <xf numFmtId="43" fontId="6" fillId="2" borderId="0" xfId="1" applyFont="1" applyFill="1" applyBorder="1" applyProtection="1"/>
    <xf numFmtId="9" fontId="4" fillId="2" borderId="0" xfId="4" applyFont="1" applyFill="1"/>
    <xf numFmtId="0" fontId="13" fillId="6" borderId="0" xfId="2" applyFill="1"/>
    <xf numFmtId="0" fontId="20" fillId="2" borderId="0" xfId="0" applyFont="1" applyFill="1"/>
    <xf numFmtId="2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1" fillId="8" borderId="0" xfId="0" applyFont="1" applyFill="1"/>
    <xf numFmtId="0" fontId="0" fillId="0" borderId="0" xfId="0" applyFill="1"/>
  </cellXfs>
  <cellStyles count="5">
    <cellStyle name="Comma" xfId="1" builtinId="3"/>
    <cellStyle name="Currency" xfId="3" builtinId="4"/>
    <cellStyle name="Hyperlink" xfId="2" builtinId="8"/>
    <cellStyle name="Normal" xfId="0" builtinId="0"/>
    <cellStyle name="Per 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'Semi-trailer truck (Diesel)'!$A$1</c:f>
              <c:strCache>
                <c:ptCount val="1"/>
                <c:pt idx="0">
                  <c:v>Road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(Diesel)'!$B$85:$AC$85</c:f>
              <c:numCache>
                <c:formatCode>0.00</c:formatCode>
                <c:ptCount val="28"/>
                <c:pt idx="0">
                  <c:v>0.23308732082245304</c:v>
                </c:pt>
                <c:pt idx="1">
                  <c:v>0.23310362128059528</c:v>
                </c:pt>
                <c:pt idx="2">
                  <c:v>0.23312691979661559</c:v>
                </c:pt>
                <c:pt idx="3">
                  <c:v>0.2331601760782315</c:v>
                </c:pt>
                <c:pt idx="4">
                  <c:v>0.23320755310925442</c:v>
                </c:pt>
                <c:pt idx="5">
                  <c:v>0.23327485561628755</c:v>
                </c:pt>
                <c:pt idx="6">
                  <c:v>0.2333700781751096</c:v>
                </c:pt>
                <c:pt idx="7">
                  <c:v>0.2335040438737824</c:v>
                </c:pt>
                <c:pt idx="8">
                  <c:v>0.23369106778795365</c:v>
                </c:pt>
                <c:pt idx="9">
                  <c:v>0.23394950906068337</c:v>
                </c:pt>
                <c:pt idx="10">
                  <c:v>0.23430197908223119</c:v>
                </c:pt>
                <c:pt idx="11">
                  <c:v>0.23477482174539976</c:v>
                </c:pt>
                <c:pt idx="12">
                  <c:v>0.23539618740852902</c:v>
                </c:pt>
                <c:pt idx="13">
                  <c:v>0.23619156844236872</c:v>
                </c:pt>
                <c:pt idx="14">
                  <c:v>0.2371755646194669</c:v>
                </c:pt>
                <c:pt idx="15">
                  <c:v>0.2383402121939428</c:v>
                </c:pt>
                <c:pt idx="16">
                  <c:v>0.23964425449338028</c:v>
                </c:pt>
                <c:pt idx="17">
                  <c:v>0.24101175643048153</c:v>
                </c:pt>
                <c:pt idx="18">
                  <c:v>0.24234648480292861</c:v>
                </c:pt>
                <c:pt idx="19">
                  <c:v>0.24355808237611862</c:v>
                </c:pt>
                <c:pt idx="20">
                  <c:v>0.24458589532973082</c:v>
                </c:pt>
                <c:pt idx="21">
                  <c:v>0.24540802276809126</c:v>
                </c:pt>
                <c:pt idx="22">
                  <c:v>0.24603486353558843</c:v>
                </c:pt>
                <c:pt idx="23">
                  <c:v>0.24649541144830039</c:v>
                </c:pt>
                <c:pt idx="24">
                  <c:v>0.24682458811058344</c:v>
                </c:pt>
                <c:pt idx="25">
                  <c:v>0.24705524204152049</c:v>
                </c:pt>
                <c:pt idx="26">
                  <c:v>0.24721461499227146</c:v>
                </c:pt>
                <c:pt idx="27">
                  <c:v>0.247323671315758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E-4734-B35F-7445C5BFD2B4}"/>
            </c:ext>
          </c:extLst>
        </c:ser>
        <c:ser>
          <c:idx val="1"/>
          <c:order val="1"/>
          <c:tx>
            <c:strRef>
              <c:f>'Semi-trailer truck (Diesel)'!$A$107</c:f>
              <c:strCache>
                <c:ptCount val="1"/>
                <c:pt idx="0">
                  <c:v>Road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(Diesel)'!$B$191:$AC$191</c:f>
              <c:numCache>
                <c:formatCode>0.00</c:formatCode>
                <c:ptCount val="28"/>
                <c:pt idx="0">
                  <c:v>0.1238055036767374</c:v>
                </c:pt>
                <c:pt idx="1">
                  <c:v>0.12380666380091311</c:v>
                </c:pt>
                <c:pt idx="2">
                  <c:v>0.12380844593782504</c:v>
                </c:pt>
                <c:pt idx="3">
                  <c:v>0.12381125012665511</c:v>
                </c:pt>
                <c:pt idx="4">
                  <c:v>0.12381578724235459</c:v>
                </c:pt>
                <c:pt idx="5">
                  <c:v>0.1238233478112778</c:v>
                </c:pt>
                <c:pt idx="6">
                  <c:v>0.1238362972404675</c:v>
                </c:pt>
                <c:pt idx="7">
                  <c:v>0.12385894707103991</c:v>
                </c:pt>
                <c:pt idx="8">
                  <c:v>0.12389897153274283</c:v>
                </c:pt>
                <c:pt idx="9">
                  <c:v>0.12396942730822411</c:v>
                </c:pt>
                <c:pt idx="10">
                  <c:v>0.12409102664009448</c:v>
                </c:pt>
                <c:pt idx="11">
                  <c:v>0.12429352195377036</c:v>
                </c:pt>
                <c:pt idx="12">
                  <c:v>0.12461420957879153</c:v>
                </c:pt>
                <c:pt idx="13">
                  <c:v>0.12509154902031946</c:v>
                </c:pt>
                <c:pt idx="14">
                  <c:v>0.12575353233323172</c:v>
                </c:pt>
                <c:pt idx="15">
                  <c:v>0.12660346596020158</c:v>
                </c:pt>
                <c:pt idx="16">
                  <c:v>0.12760905772865583</c:v>
                </c:pt>
                <c:pt idx="17">
                  <c:v>0.12870227119129912</c:v>
                </c:pt>
                <c:pt idx="18">
                  <c:v>0.12979418744019416</c:v>
                </c:pt>
                <c:pt idx="19">
                  <c:v>0.13080001709573127</c:v>
                </c:pt>
                <c:pt idx="20">
                  <c:v>0.13166128437891389</c:v>
                </c:pt>
                <c:pt idx="21">
                  <c:v>0.13235433783317396</c:v>
                </c:pt>
                <c:pt idx="22">
                  <c:v>0.13288481959219223</c:v>
                </c:pt>
                <c:pt idx="23">
                  <c:v>0.13327556027723336</c:v>
                </c:pt>
                <c:pt idx="24">
                  <c:v>0.13355530803851812</c:v>
                </c:pt>
                <c:pt idx="25">
                  <c:v>0.13375154330487515</c:v>
                </c:pt>
                <c:pt idx="26">
                  <c:v>0.13388723354782889</c:v>
                </c:pt>
                <c:pt idx="27">
                  <c:v>0.13398012944026955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E-4734-B35F-7445C5BFD2B4}"/>
            </c:ext>
          </c:extLst>
        </c:ser>
        <c:ser>
          <c:idx val="2"/>
          <c:order val="2"/>
          <c:tx>
            <c:strRef>
              <c:f>'Semi-trailer truck (Diesel)'!$A$215</c:f>
              <c:strCache>
                <c:ptCount val="1"/>
                <c:pt idx="0">
                  <c:v>Road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(Diesel)'!$B$299:$AC$299</c:f>
              <c:numCache>
                <c:formatCode>0.00</c:formatCode>
                <c:ptCount val="28"/>
                <c:pt idx="0">
                  <c:v>0.12998950809722276</c:v>
                </c:pt>
                <c:pt idx="1">
                  <c:v>0.12999136973122963</c:v>
                </c:pt>
                <c:pt idx="2">
                  <c:v>0.12999415377792561</c:v>
                </c:pt>
                <c:pt idx="3">
                  <c:v>0.12999838647472137</c:v>
                </c:pt>
                <c:pt idx="4">
                  <c:v>0.13000495528049205</c:v>
                </c:pt>
                <c:pt idx="5">
                  <c:v>0.13001539508531781</c:v>
                </c:pt>
                <c:pt idx="6">
                  <c:v>0.13003240419452344</c:v>
                </c:pt>
                <c:pt idx="7">
                  <c:v>0.13006073793851283</c:v>
                </c:pt>
                <c:pt idx="8">
                  <c:v>0.13010864527560395</c:v>
                </c:pt>
                <c:pt idx="9">
                  <c:v>0.13018990001464811</c:v>
                </c:pt>
                <c:pt idx="10">
                  <c:v>0.13032606885471082</c:v>
                </c:pt>
                <c:pt idx="11">
                  <c:v>0.1305478648101786</c:v>
                </c:pt>
                <c:pt idx="12">
                  <c:v>0.13089357648499411</c:v>
                </c:pt>
                <c:pt idx="13">
                  <c:v>0.13140253286935033</c:v>
                </c:pt>
                <c:pt idx="14">
                  <c:v>0.13210318692714937</c:v>
                </c:pt>
                <c:pt idx="15">
                  <c:v>0.13299847831433267</c:v>
                </c:pt>
                <c:pt idx="16">
                  <c:v>0.13405452166246148</c:v>
                </c:pt>
                <c:pt idx="17">
                  <c:v>0.13520040158533497</c:v>
                </c:pt>
                <c:pt idx="18">
                  <c:v>0.13634356741409487</c:v>
                </c:pt>
                <c:pt idx="19">
                  <c:v>0.13739582783582319</c:v>
                </c:pt>
                <c:pt idx="20">
                  <c:v>0.13829643315249715</c:v>
                </c:pt>
                <c:pt idx="21">
                  <c:v>0.13902092659815016</c:v>
                </c:pt>
                <c:pt idx="22">
                  <c:v>0.13957536738582349</c:v>
                </c:pt>
                <c:pt idx="23">
                  <c:v>0.13998370493237977</c:v>
                </c:pt>
                <c:pt idx="24">
                  <c:v>0.14027602715872478</c:v>
                </c:pt>
                <c:pt idx="25">
                  <c:v>0.14048107200427562</c:v>
                </c:pt>
                <c:pt idx="26">
                  <c:v>0.14062284870941757</c:v>
                </c:pt>
                <c:pt idx="27">
                  <c:v>0.14071990918801952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E-4734-B35F-7445C5BFD2B4}"/>
            </c:ext>
          </c:extLst>
        </c:ser>
        <c:ser>
          <c:idx val="3"/>
          <c:order val="3"/>
          <c:tx>
            <c:strRef>
              <c:f>'Semi-trailer truck (Diesel)'!$A$324</c:f>
              <c:strCache>
                <c:ptCount val="1"/>
                <c:pt idx="0">
                  <c:v>Road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(Diesel)'!$B$408:$AC$408</c:f>
              <c:numCache>
                <c:formatCode>0.00</c:formatCode>
                <c:ptCount val="28"/>
                <c:pt idx="0">
                  <c:v>0.16217363519855427</c:v>
                </c:pt>
                <c:pt idx="1">
                  <c:v>0.16218045497835451</c:v>
                </c:pt>
                <c:pt idx="2">
                  <c:v>0.16219027888131796</c:v>
                </c:pt>
                <c:pt idx="3">
                  <c:v>0.16220446173846079</c:v>
                </c:pt>
                <c:pt idx="4">
                  <c:v>0.16222500038984297</c:v>
                </c:pt>
                <c:pt idx="5">
                  <c:v>0.16225486335127973</c:v>
                </c:pt>
                <c:pt idx="6">
                  <c:v>0.1622985008815773</c:v>
                </c:pt>
                <c:pt idx="7">
                  <c:v>0.16236262037012802</c:v>
                </c:pt>
                <c:pt idx="8">
                  <c:v>0.1624573065886582</c:v>
                </c:pt>
                <c:pt idx="9">
                  <c:v>0.16259747142221767</c:v>
                </c:pt>
                <c:pt idx="10">
                  <c:v>0.16280433068468425</c:v>
                </c:pt>
                <c:pt idx="11">
                  <c:v>0.1631060615073974</c:v>
                </c:pt>
                <c:pt idx="12">
                  <c:v>0.16353616009359936</c:v>
                </c:pt>
                <c:pt idx="13">
                  <c:v>0.16412784281276716</c:v>
                </c:pt>
                <c:pt idx="14">
                  <c:v>0.16490380435594726</c:v>
                </c:pt>
                <c:pt idx="15">
                  <c:v>0.16586309638171237</c:v>
                </c:pt>
                <c:pt idx="16">
                  <c:v>0.16697039277948017</c:v>
                </c:pt>
                <c:pt idx="17">
                  <c:v>0.16815538105400091</c:v>
                </c:pt>
                <c:pt idx="18">
                  <c:v>0.16932729465771587</c:v>
                </c:pt>
                <c:pt idx="19">
                  <c:v>0.17040010932265268</c:v>
                </c:pt>
                <c:pt idx="20">
                  <c:v>0.17131512012837227</c:v>
                </c:pt>
                <c:pt idx="21">
                  <c:v>0.17204956865238641</c:v>
                </c:pt>
                <c:pt idx="22">
                  <c:v>0.17261082219626284</c:v>
                </c:pt>
                <c:pt idx="23">
                  <c:v>0.17302379093295614</c:v>
                </c:pt>
                <c:pt idx="24">
                  <c:v>0.17331924703413376</c:v>
                </c:pt>
                <c:pt idx="25">
                  <c:v>0.17352640599491848</c:v>
                </c:pt>
                <c:pt idx="26">
                  <c:v>0.17366960591193387</c:v>
                </c:pt>
                <c:pt idx="27">
                  <c:v>0.17376762314417327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9E-4734-B35F-7445C5BFD2B4}"/>
            </c:ext>
          </c:extLst>
        </c:ser>
        <c:ser>
          <c:idx val="4"/>
          <c:order val="4"/>
          <c:tx>
            <c:strRef>
              <c:f>'Semi-trailer truck (Diesel)'!$A$429</c:f>
              <c:strCache>
                <c:ptCount val="1"/>
                <c:pt idx="0">
                  <c:v>Road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(Diesel)'!$B$513:$AC$513</c:f>
              <c:numCache>
                <c:formatCode>0.00</c:formatCode>
                <c:ptCount val="28"/>
                <c:pt idx="0">
                  <c:v>0.13283842364910792</c:v>
                </c:pt>
                <c:pt idx="1">
                  <c:v>0.1328308849708526</c:v>
                </c:pt>
                <c:pt idx="2">
                  <c:v>0.13282018112841307</c:v>
                </c:pt>
                <c:pt idx="3">
                  <c:v>0.13386180306185688</c:v>
                </c:pt>
                <c:pt idx="4">
                  <c:v>0.13384056242559253</c:v>
                </c:pt>
                <c:pt idx="5">
                  <c:v>0.13381103023059535</c:v>
                </c:pt>
                <c:pt idx="6">
                  <c:v>0.13377054269605582</c:v>
                </c:pt>
                <c:pt idx="7">
                  <c:v>0.13371613178810349</c:v>
                </c:pt>
                <c:pt idx="8">
                  <c:v>0.13364500621999548</c:v>
                </c:pt>
                <c:pt idx="9">
                  <c:v>0.13355543558874475</c:v>
                </c:pt>
                <c:pt idx="10">
                  <c:v>0.13344795340236926</c:v>
                </c:pt>
                <c:pt idx="11">
                  <c:v>0.13332641537774004</c:v>
                </c:pt>
                <c:pt idx="12">
                  <c:v>0.13319810818379696</c:v>
                </c:pt>
                <c:pt idx="13">
                  <c:v>0.13307232583543882</c:v>
                </c:pt>
                <c:pt idx="14">
                  <c:v>0.13295782357468056</c:v>
                </c:pt>
                <c:pt idx="15">
                  <c:v>0.13286051295847151</c:v>
                </c:pt>
                <c:pt idx="16">
                  <c:v>0.13278258458223208</c:v>
                </c:pt>
                <c:pt idx="17">
                  <c:v>0.13272312177245318</c:v>
                </c:pt>
                <c:pt idx="18">
                  <c:v>0.1326794118383415</c:v>
                </c:pt>
                <c:pt idx="19">
                  <c:v>0.13264815986778855</c:v>
                </c:pt>
                <c:pt idx="20">
                  <c:v>0.13262625685171109</c:v>
                </c:pt>
                <c:pt idx="21">
                  <c:v>0.13261112052133689</c:v>
                </c:pt>
                <c:pt idx="22">
                  <c:v>0.13260076197618959</c:v>
                </c:pt>
                <c:pt idx="23">
                  <c:v>0.13259372042198014</c:v>
                </c:pt>
                <c:pt idx="24">
                  <c:v>0.13258895548060079</c:v>
                </c:pt>
                <c:pt idx="25">
                  <c:v>0.1325857410461716</c:v>
                </c:pt>
                <c:pt idx="26">
                  <c:v>0.13258357710488178</c:v>
                </c:pt>
                <c:pt idx="27">
                  <c:v>0.13258212239617762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9E-4734-B35F-7445C5BF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73968"/>
        <c:axId val="578529904"/>
      </c:lineChart>
      <c:catAx>
        <c:axId val="8883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78529904"/>
        <c:crosses val="autoZero"/>
        <c:auto val="1"/>
        <c:lblAlgn val="ctr"/>
        <c:lblOffset val="100"/>
        <c:tickLblSkip val="3"/>
        <c:noMultiLvlLbl val="0"/>
      </c:catAx>
      <c:valAx>
        <c:axId val="578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8883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'Semi-trailer truck (Battery)'!$A$1</c:f>
              <c:strCache>
                <c:ptCount val="1"/>
                <c:pt idx="0">
                  <c:v>Road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(Battery)'!$B$85:$AC$85</c:f>
              <c:numCache>
                <c:formatCode>0.00</c:formatCode>
                <c:ptCount val="28"/>
                <c:pt idx="0">
                  <c:v>0.28499642274443121</c:v>
                </c:pt>
                <c:pt idx="1">
                  <c:v>0.2833704965432034</c:v>
                </c:pt>
                <c:pt idx="2">
                  <c:v>0.28113972295377332</c:v>
                </c:pt>
                <c:pt idx="3">
                  <c:v>0.27813831488002055</c:v>
                </c:pt>
                <c:pt idx="4">
                  <c:v>0.27420789552246705</c:v>
                </c:pt>
                <c:pt idx="5">
                  <c:v>0.26924466921584633</c:v>
                </c:pt>
                <c:pt idx="6">
                  <c:v>0.26326406008373704</c:v>
                </c:pt>
                <c:pt idx="7">
                  <c:v>0.25645839017773808</c:v>
                </c:pt>
                <c:pt idx="8">
                  <c:v>0.24920507250856219</c:v>
                </c:pt>
                <c:pt idx="9">
                  <c:v>0.24199461614784287</c:v>
                </c:pt>
                <c:pt idx="10">
                  <c:v>0.23530002749777787</c:v>
                </c:pt>
                <c:pt idx="11">
                  <c:v>0.22945831470499203</c:v>
                </c:pt>
                <c:pt idx="12">
                  <c:v>0.22462356944205347</c:v>
                </c:pt>
                <c:pt idx="13">
                  <c:v>0.22079231968912133</c:v>
                </c:pt>
                <c:pt idx="14">
                  <c:v>0.21786119062885098</c:v>
                </c:pt>
                <c:pt idx="15">
                  <c:v>0.21568127943138421</c:v>
                </c:pt>
                <c:pt idx="16">
                  <c:v>0.21409600677802706</c:v>
                </c:pt>
                <c:pt idx="17">
                  <c:v>0.21296299860478266</c:v>
                </c:pt>
                <c:pt idx="18">
                  <c:v>0.21216391882471483</c:v>
                </c:pt>
                <c:pt idx="19">
                  <c:v>0.21160618969077527</c:v>
                </c:pt>
                <c:pt idx="20">
                  <c:v>0.21122022702364965</c:v>
                </c:pt>
                <c:pt idx="21">
                  <c:v>0.21095505474181395</c:v>
                </c:pt>
                <c:pt idx="22">
                  <c:v>0.2107739745457039</c:v>
                </c:pt>
                <c:pt idx="23">
                  <c:v>0.21065092914311354</c:v>
                </c:pt>
                <c:pt idx="24">
                  <c:v>0.21056764095832567</c:v>
                </c:pt>
                <c:pt idx="25">
                  <c:v>0.21051142706257792</c:v>
                </c:pt>
                <c:pt idx="26">
                  <c:v>0.21047356623397329</c:v>
                </c:pt>
                <c:pt idx="27">
                  <c:v>0.21044810447446827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1-491F-8AD3-BE9DD8D5BD76}"/>
            </c:ext>
          </c:extLst>
        </c:ser>
        <c:ser>
          <c:idx val="1"/>
          <c:order val="1"/>
          <c:tx>
            <c:strRef>
              <c:f>'Semi-trailer truck (Battery)'!$A$107</c:f>
              <c:strCache>
                <c:ptCount val="1"/>
                <c:pt idx="0">
                  <c:v>Road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(Battery)'!$B$191:$AC$191</c:f>
              <c:numCache>
                <c:formatCode>0.00</c:formatCode>
                <c:ptCount val="28"/>
                <c:pt idx="0">
                  <c:v>0.1386281241247968</c:v>
                </c:pt>
                <c:pt idx="1">
                  <c:v>0.13786724919569562</c:v>
                </c:pt>
                <c:pt idx="2">
                  <c:v>0.13682299372916365</c:v>
                </c:pt>
                <c:pt idx="3">
                  <c:v>0.13541730832227619</c:v>
                </c:pt>
                <c:pt idx="4">
                  <c:v>0.13357515863813166</c:v>
                </c:pt>
                <c:pt idx="5">
                  <c:v>0.13124630785179467</c:v>
                </c:pt>
                <c:pt idx="6">
                  <c:v>0.12843525675765546</c:v>
                </c:pt>
                <c:pt idx="7">
                  <c:v>0.12522812052521054</c:v>
                </c:pt>
                <c:pt idx="8">
                  <c:v>0.12179688305256134</c:v>
                </c:pt>
                <c:pt idx="9">
                  <c:v>0.11836692345142841</c:v>
                </c:pt>
                <c:pt idx="10">
                  <c:v>0.11515772775263271</c:v>
                </c:pt>
                <c:pt idx="11">
                  <c:v>0.11232904482653279</c:v>
                </c:pt>
                <c:pt idx="12">
                  <c:v>0.10995921194863457</c:v>
                </c:pt>
                <c:pt idx="13">
                  <c:v>0.10805544499014193</c:v>
                </c:pt>
                <c:pt idx="14">
                  <c:v>0.10657809618011764</c:v>
                </c:pt>
                <c:pt idx="15">
                  <c:v>0.1054637744580561</c:v>
                </c:pt>
                <c:pt idx="16">
                  <c:v>0.10464225141523162</c:v>
                </c:pt>
                <c:pt idx="17">
                  <c:v>0.1040472922187064</c:v>
                </c:pt>
                <c:pt idx="18">
                  <c:v>0.10362235582510801</c:v>
                </c:pt>
                <c:pt idx="19">
                  <c:v>0.10332227952025912</c:v>
                </c:pt>
                <c:pt idx="20">
                  <c:v>0.10311246765401647</c:v>
                </c:pt>
                <c:pt idx="21">
                  <c:v>0.10296707351193524</c:v>
                </c:pt>
                <c:pt idx="22">
                  <c:v>0.10286710955263563</c:v>
                </c:pt>
                <c:pt idx="23">
                  <c:v>0.10279883293606069</c:v>
                </c:pt>
                <c:pt idx="24">
                  <c:v>0.10275244321882988</c:v>
                </c:pt>
                <c:pt idx="25">
                  <c:v>0.10272104946631239</c:v>
                </c:pt>
                <c:pt idx="26">
                  <c:v>0.10269986581679304</c:v>
                </c:pt>
                <c:pt idx="27">
                  <c:v>0.10268560125959975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1-491F-8AD3-BE9DD8D5BD76}"/>
            </c:ext>
          </c:extLst>
        </c:ser>
        <c:ser>
          <c:idx val="2"/>
          <c:order val="2"/>
          <c:tx>
            <c:strRef>
              <c:f>'Semi-trailer truck (Battery)'!$A$215</c:f>
              <c:strCache>
                <c:ptCount val="1"/>
                <c:pt idx="0">
                  <c:v>Road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(Battery)'!$B$299:$AC$299</c:f>
              <c:numCache>
                <c:formatCode>0.00</c:formatCode>
                <c:ptCount val="28"/>
                <c:pt idx="0">
                  <c:v>0.14653677136251964</c:v>
                </c:pt>
                <c:pt idx="1">
                  <c:v>0.14571256346383762</c:v>
                </c:pt>
                <c:pt idx="2">
                  <c:v>0.14458146845849262</c:v>
                </c:pt>
                <c:pt idx="3">
                  <c:v>0.14305905288164317</c:v>
                </c:pt>
                <c:pt idx="4">
                  <c:v>0.14106425709413517</c:v>
                </c:pt>
                <c:pt idx="5">
                  <c:v>0.13854305893567234</c:v>
                </c:pt>
                <c:pt idx="6">
                  <c:v>0.13550097622804499</c:v>
                </c:pt>
                <c:pt idx="7">
                  <c:v>0.13203220244867886</c:v>
                </c:pt>
                <c:pt idx="8">
                  <c:v>0.12832410817084888</c:v>
                </c:pt>
                <c:pt idx="9">
                  <c:v>0.12462176948179993</c:v>
                </c:pt>
                <c:pt idx="10">
                  <c:v>0.12116331121117947</c:v>
                </c:pt>
                <c:pt idx="11">
                  <c:v>0.11812121013215086</c:v>
                </c:pt>
                <c:pt idx="12">
                  <c:v>0.11557876964854165</c:v>
                </c:pt>
                <c:pt idx="13">
                  <c:v>0.11354166179150864</c:v>
                </c:pt>
                <c:pt idx="14">
                  <c:v>0.11196486539305241</c:v>
                </c:pt>
                <c:pt idx="15">
                  <c:v>0.11077826801538718</c:v>
                </c:pt>
                <c:pt idx="16">
                  <c:v>0.10990517018541583</c:v>
                </c:pt>
                <c:pt idx="17">
                  <c:v>0.10927386930202865</c:v>
                </c:pt>
                <c:pt idx="18">
                  <c:v>0.10882355033812291</c:v>
                </c:pt>
                <c:pt idx="19">
                  <c:v>0.10850586601458109</c:v>
                </c:pt>
                <c:pt idx="20">
                  <c:v>0.10828391200193463</c:v>
                </c:pt>
                <c:pt idx="21">
                  <c:v>0.10813019144030803</c:v>
                </c:pt>
                <c:pt idx="22">
                  <c:v>0.10802454685203369</c:v>
                </c:pt>
                <c:pt idx="23">
                  <c:v>0.1079524118392004</c:v>
                </c:pt>
                <c:pt idx="24">
                  <c:v>0.10790341086647097</c:v>
                </c:pt>
                <c:pt idx="25">
                  <c:v>0.10787025479810862</c:v>
                </c:pt>
                <c:pt idx="26">
                  <c:v>0.10784788421893504</c:v>
                </c:pt>
                <c:pt idx="27">
                  <c:v>0.10783282143620151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1-491F-8AD3-BE9DD8D5BD76}"/>
            </c:ext>
          </c:extLst>
        </c:ser>
        <c:ser>
          <c:idx val="3"/>
          <c:order val="3"/>
          <c:tx>
            <c:strRef>
              <c:f>'Semi-trailer truck (Battery)'!$A$324</c:f>
              <c:strCache>
                <c:ptCount val="1"/>
                <c:pt idx="0">
                  <c:v>Road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(Battery)'!$B$408:$AC$408</c:f>
              <c:numCache>
                <c:formatCode>0.00</c:formatCode>
                <c:ptCount val="28"/>
                <c:pt idx="0">
                  <c:v>0.19093173634412192</c:v>
                </c:pt>
                <c:pt idx="1">
                  <c:v>0.18985230811579884</c:v>
                </c:pt>
                <c:pt idx="2">
                  <c:v>0.18837111479555452</c:v>
                </c:pt>
                <c:pt idx="3">
                  <c:v>0.18637778992973647</c:v>
                </c:pt>
                <c:pt idx="4">
                  <c:v>0.18376659227928466</c:v>
                </c:pt>
                <c:pt idx="5">
                  <c:v>0.18046753143068717</c:v>
                </c:pt>
                <c:pt idx="6">
                  <c:v>0.17648907870142466</c:v>
                </c:pt>
                <c:pt idx="7">
                  <c:v>0.17195638314508488</c:v>
                </c:pt>
                <c:pt idx="8">
                  <c:v>0.16711698435741421</c:v>
                </c:pt>
                <c:pt idx="9">
                  <c:v>0.16229381136446994</c:v>
                </c:pt>
                <c:pt idx="10">
                  <c:v>0.15779967508193177</c:v>
                </c:pt>
                <c:pt idx="11">
                  <c:v>0.15385965269632956</c:v>
                </c:pt>
                <c:pt idx="12">
                  <c:v>0.15058012287687014</c:v>
                </c:pt>
                <c:pt idx="13">
                  <c:v>0.14796456538484587</c:v>
                </c:pt>
                <c:pt idx="14">
                  <c:v>0.14595005590095736</c:v>
                </c:pt>
                <c:pt idx="15">
                  <c:v>0.14444184144190944</c:v>
                </c:pt>
                <c:pt idx="16">
                  <c:v>0.14333793963884492</c:v>
                </c:pt>
                <c:pt idx="17">
                  <c:v>0.14254405273403703</c:v>
                </c:pt>
                <c:pt idx="18">
                  <c:v>0.14198081927683018</c:v>
                </c:pt>
                <c:pt idx="19">
                  <c:v>0.14158554078196209</c:v>
                </c:pt>
                <c:pt idx="20">
                  <c:v>0.14131067038470743</c:v>
                </c:pt>
                <c:pt idx="21">
                  <c:v>0.14112105746488726</c:v>
                </c:pt>
                <c:pt idx="22">
                  <c:v>0.14099115919882316</c:v>
                </c:pt>
                <c:pt idx="23">
                  <c:v>0.14090267760167408</c:v>
                </c:pt>
                <c:pt idx="24">
                  <c:v>0.14084267878033935</c:v>
                </c:pt>
                <c:pt idx="25">
                  <c:v>0.14080213233134425</c:v>
                </c:pt>
                <c:pt idx="26">
                  <c:v>0.14077479956336375</c:v>
                </c:pt>
                <c:pt idx="27">
                  <c:v>0.1407564067971131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D1-491F-8AD3-BE9DD8D5BD76}"/>
            </c:ext>
          </c:extLst>
        </c:ser>
        <c:ser>
          <c:idx val="4"/>
          <c:order val="4"/>
          <c:tx>
            <c:strRef>
              <c:f>'Semi-trailer truck (Battery)'!$A$429</c:f>
              <c:strCache>
                <c:ptCount val="1"/>
                <c:pt idx="0">
                  <c:v>Road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(Battery)'!$B$513:$AC$513</c:f>
              <c:numCache>
                <c:formatCode>0.00</c:formatCode>
                <c:ptCount val="28"/>
                <c:pt idx="0">
                  <c:v>0.16113583044544258</c:v>
                </c:pt>
                <c:pt idx="1">
                  <c:v>0.16022529368876975</c:v>
                </c:pt>
                <c:pt idx="2">
                  <c:v>0.15897576787322945</c:v>
                </c:pt>
                <c:pt idx="3">
                  <c:v>0.15729403451255652</c:v>
                </c:pt>
                <c:pt idx="4">
                  <c:v>0.15509065940678368</c:v>
                </c:pt>
                <c:pt idx="5">
                  <c:v>0.15230617217157863</c:v>
                </c:pt>
                <c:pt idx="6">
                  <c:v>0.14894701366717947</c:v>
                </c:pt>
                <c:pt idx="7">
                  <c:v>0.14511774189270585</c:v>
                </c:pt>
                <c:pt idx="8">
                  <c:v>0.1410259595133935</c:v>
                </c:pt>
                <c:pt idx="9">
                  <c:v>0.13694298366889665</c:v>
                </c:pt>
                <c:pt idx="10">
                  <c:v>0.13313219417139022</c:v>
                </c:pt>
                <c:pt idx="11">
                  <c:v>0.12978398193245341</c:v>
                </c:pt>
                <c:pt idx="12">
                  <c:v>0.12698970251535394</c:v>
                </c:pt>
                <c:pt idx="13">
                  <c:v>0.1247545924738747</c:v>
                </c:pt>
                <c:pt idx="14">
                  <c:v>0.1230278431429834</c:v>
                </c:pt>
                <c:pt idx="15">
                  <c:v>0.12173116107344736</c:v>
                </c:pt>
                <c:pt idx="16">
                  <c:v>0.12077930947954127</c:v>
                </c:pt>
                <c:pt idx="17">
                  <c:v>0.12009284365230621</c:v>
                </c:pt>
                <c:pt idx="18">
                  <c:v>0.1196045144812706</c:v>
                </c:pt>
                <c:pt idx="19">
                  <c:v>0.1192609538987775</c:v>
                </c:pt>
                <c:pt idx="20">
                  <c:v>0.11902152548658541</c:v>
                </c:pt>
                <c:pt idx="21">
                  <c:v>0.1188560609229487</c:v>
                </c:pt>
                <c:pt idx="22">
                  <c:v>0.11874254307975671</c:v>
                </c:pt>
                <c:pt idx="23">
                  <c:v>0.11866513521778312</c:v>
                </c:pt>
                <c:pt idx="24">
                  <c:v>0.11861260383096321</c:v>
                </c:pt>
                <c:pt idx="25">
                  <c:v>0.11857708377158813</c:v>
                </c:pt>
                <c:pt idx="26">
                  <c:v>0.11855312992041879</c:v>
                </c:pt>
                <c:pt idx="27">
                  <c:v>0.11853700652287627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D1-491F-8AD3-BE9DD8D5B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903952"/>
        <c:axId val="1226895752"/>
      </c:lineChart>
      <c:catAx>
        <c:axId val="122690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1226895752"/>
        <c:crosses val="autoZero"/>
        <c:auto val="1"/>
        <c:lblAlgn val="ctr"/>
        <c:lblOffset val="100"/>
        <c:tickLblSkip val="3"/>
        <c:noMultiLvlLbl val="0"/>
      </c:catAx>
      <c:valAx>
        <c:axId val="122689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12269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'Semi-trailer truck (Hydrogen)'!$A$1</c:f>
              <c:strCache>
                <c:ptCount val="1"/>
                <c:pt idx="0">
                  <c:v>Road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(Hydrogen)'!$B$85:$AC$85</c:f>
              <c:numCache>
                <c:formatCode>0.00</c:formatCode>
                <c:ptCount val="28"/>
                <c:pt idx="0">
                  <c:v>0.33539943958717888</c:v>
                </c:pt>
                <c:pt idx="1">
                  <c:v>0.33376699542075478</c:v>
                </c:pt>
                <c:pt idx="2">
                  <c:v>0.33149481141307896</c:v>
                </c:pt>
                <c:pt idx="3">
                  <c:v>0.32837441203999962</c:v>
                </c:pt>
                <c:pt idx="4">
                  <c:v>0.32416986582620538</c:v>
                </c:pt>
                <c:pt idx="5">
                  <c:v>0.31865146735491051</c:v>
                </c:pt>
                <c:pt idx="6">
                  <c:v>0.31165921537435515</c:v>
                </c:pt>
                <c:pt idx="7">
                  <c:v>0.30319118872104744</c:v>
                </c:pt>
                <c:pt idx="8">
                  <c:v>0.29348531643059733</c:v>
                </c:pt>
                <c:pt idx="9">
                  <c:v>0.28303856832350471</c:v>
                </c:pt>
                <c:pt idx="10">
                  <c:v>0.27252133621880253</c:v>
                </c:pt>
                <c:pt idx="11">
                  <c:v>0.26261044524392907</c:v>
                </c:pt>
                <c:pt idx="12">
                  <c:v>0.25382690813077002</c:v>
                </c:pt>
                <c:pt idx="13">
                  <c:v>0.24645432989297678</c:v>
                </c:pt>
                <c:pt idx="14">
                  <c:v>0.24054782579282352</c:v>
                </c:pt>
                <c:pt idx="15">
                  <c:v>0.23599606911665036</c:v>
                </c:pt>
                <c:pt idx="16">
                  <c:v>0.23259635047252089</c:v>
                </c:pt>
                <c:pt idx="17">
                  <c:v>0.23011815818842773</c:v>
                </c:pt>
                <c:pt idx="18">
                  <c:v>0.22834497497943368</c:v>
                </c:pt>
                <c:pt idx="19">
                  <c:v>0.22709432131369309</c:v>
                </c:pt>
                <c:pt idx="20">
                  <c:v>0.22622226823530561</c:v>
                </c:pt>
                <c:pt idx="21">
                  <c:v>0.22561988435084906</c:v>
                </c:pt>
                <c:pt idx="22">
                  <c:v>0.22520695537804403</c:v>
                </c:pt>
                <c:pt idx="23">
                  <c:v>0.22492561710513401</c:v>
                </c:pt>
                <c:pt idx="24">
                  <c:v>0.22473483043157721</c:v>
                </c:pt>
                <c:pt idx="25">
                  <c:v>0.22460589939499351</c:v>
                </c:pt>
                <c:pt idx="26">
                  <c:v>0.2245189877765055</c:v>
                </c:pt>
                <c:pt idx="27">
                  <c:v>0.22446050479075447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D-423B-9053-80F36DF94FFC}"/>
            </c:ext>
          </c:extLst>
        </c:ser>
        <c:ser>
          <c:idx val="1"/>
          <c:order val="1"/>
          <c:tx>
            <c:strRef>
              <c:f>'Semi-trailer truck (Hydrogen)'!$A$107</c:f>
              <c:strCache>
                <c:ptCount val="1"/>
                <c:pt idx="0">
                  <c:v>Road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(Hydrogen)'!$B$191:$AC$191</c:f>
              <c:numCache>
                <c:formatCode>0.00</c:formatCode>
                <c:ptCount val="28"/>
                <c:pt idx="0">
                  <c:v>0.17725040901734032</c:v>
                </c:pt>
                <c:pt idx="1">
                  <c:v>0.17635240864526747</c:v>
                </c:pt>
                <c:pt idx="2">
                  <c:v>0.17510177334502289</c:v>
                </c:pt>
                <c:pt idx="3">
                  <c:v>0.17338274284863053</c:v>
                </c:pt>
                <c:pt idx="4">
                  <c:v>0.17106328167815307</c:v>
                </c:pt>
                <c:pt idx="5">
                  <c:v>0.16801266182689331</c:v>
                </c:pt>
                <c:pt idx="6">
                  <c:v>0.1641350943409465</c:v>
                </c:pt>
                <c:pt idx="7">
                  <c:v>0.15941716917250856</c:v>
                </c:pt>
                <c:pt idx="8">
                  <c:v>0.15397296169286925</c:v>
                </c:pt>
                <c:pt idx="9">
                  <c:v>0.14805770695271744</c:v>
                </c:pt>
                <c:pt idx="10">
                  <c:v>0.142027544187602</c:v>
                </c:pt>
                <c:pt idx="11">
                  <c:v>0.13625589947052072</c:v>
                </c:pt>
                <c:pt idx="12">
                  <c:v>0.1310484973223163</c:v>
                </c:pt>
                <c:pt idx="13">
                  <c:v>0.12659438306723636</c:v>
                </c:pt>
                <c:pt idx="14">
                  <c:v>0.12295984948047349</c:v>
                </c:pt>
                <c:pt idx="15">
                  <c:v>0.12011149500725031</c:v>
                </c:pt>
                <c:pt idx="16">
                  <c:v>0.11795234193693609</c:v>
                </c:pt>
                <c:pt idx="17">
                  <c:v>0.1163581456058688</c:v>
                </c:pt>
                <c:pt idx="18">
                  <c:v>0.11520483526271912</c:v>
                </c:pt>
                <c:pt idx="19">
                  <c:v>0.1143837516174097</c:v>
                </c:pt>
                <c:pt idx="20">
                  <c:v>0.11380679567715163</c:v>
                </c:pt>
                <c:pt idx="21">
                  <c:v>0.11340580009704235</c:v>
                </c:pt>
                <c:pt idx="22">
                  <c:v>0.11312962458490614</c:v>
                </c:pt>
                <c:pt idx="23">
                  <c:v>0.11294080282793317</c:v>
                </c:pt>
                <c:pt idx="24">
                  <c:v>0.11281243351671834</c:v>
                </c:pt>
                <c:pt idx="25">
                  <c:v>0.11272552964409528</c:v>
                </c:pt>
                <c:pt idx="26">
                  <c:v>0.11266687627387277</c:v>
                </c:pt>
                <c:pt idx="27">
                  <c:v>0.11262737501324478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D-423B-9053-80F36DF94FFC}"/>
            </c:ext>
          </c:extLst>
        </c:ser>
        <c:ser>
          <c:idx val="2"/>
          <c:order val="2"/>
          <c:tx>
            <c:strRef>
              <c:f>'Semi-trailer truck (Hydrogen)'!$A$215</c:f>
              <c:strCache>
                <c:ptCount val="1"/>
                <c:pt idx="0">
                  <c:v>Road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(Hydrogen)'!$B$299:$AC$299</c:f>
              <c:numCache>
                <c:formatCode>0.00</c:formatCode>
                <c:ptCount val="28"/>
                <c:pt idx="0">
                  <c:v>0.1873047309311551</c:v>
                </c:pt>
                <c:pt idx="1">
                  <c:v>0.18634296497837782</c:v>
                </c:pt>
                <c:pt idx="2">
                  <c:v>0.18500359503194588</c:v>
                </c:pt>
                <c:pt idx="3">
                  <c:v>0.18316274685772299</c:v>
                </c:pt>
                <c:pt idx="4">
                  <c:v>0.18067922944551343</c:v>
                </c:pt>
                <c:pt idx="5">
                  <c:v>0.17741345719712467</c:v>
                </c:pt>
                <c:pt idx="6">
                  <c:v>0.17326359223565516</c:v>
                </c:pt>
                <c:pt idx="7">
                  <c:v>0.16821646200965287</c:v>
                </c:pt>
                <c:pt idx="8">
                  <c:v>0.16239584899094861</c:v>
                </c:pt>
                <c:pt idx="9">
                  <c:v>0.15607682623198121</c:v>
                </c:pt>
                <c:pt idx="10">
                  <c:v>0.14964198032162129</c:v>
                </c:pt>
                <c:pt idx="11">
                  <c:v>0.14349107390775903</c:v>
                </c:pt>
                <c:pt idx="12">
                  <c:v>0.13794964027923731</c:v>
                </c:pt>
                <c:pt idx="13">
                  <c:v>0.1332169522220818</c:v>
                </c:pt>
                <c:pt idx="14">
                  <c:v>0.1293605841257138</c:v>
                </c:pt>
                <c:pt idx="15">
                  <c:v>0.12634215667351179</c:v>
                </c:pt>
                <c:pt idx="16">
                  <c:v>0.12405649062367384</c:v>
                </c:pt>
                <c:pt idx="17">
                  <c:v>0.12237034694560599</c:v>
                </c:pt>
                <c:pt idx="18">
                  <c:v>0.12115137978886585</c:v>
                </c:pt>
                <c:pt idx="19">
                  <c:v>0.12028404728134659</c:v>
                </c:pt>
                <c:pt idx="20">
                  <c:v>0.11967486833133945</c:v>
                </c:pt>
                <c:pt idx="21">
                  <c:v>0.11925162436055918</c:v>
                </c:pt>
                <c:pt idx="22">
                  <c:v>0.1189602016936626</c:v>
                </c:pt>
                <c:pt idx="23">
                  <c:v>0.11876099318333813</c:v>
                </c:pt>
                <c:pt idx="24">
                  <c:v>0.1186255807695709</c:v>
                </c:pt>
                <c:pt idx="25">
                  <c:v>0.11853391748291088</c:v>
                </c:pt>
                <c:pt idx="26">
                  <c:v>0.11847205590703479</c:v>
                </c:pt>
                <c:pt idx="27">
                  <c:v>0.11843039587370717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D-423B-9053-80F36DF94FFC}"/>
            </c:ext>
          </c:extLst>
        </c:ser>
        <c:ser>
          <c:idx val="3"/>
          <c:order val="3"/>
          <c:tx>
            <c:strRef>
              <c:f>'Semi-trailer truck (Hydrogen)'!$A$324</c:f>
              <c:strCache>
                <c:ptCount val="1"/>
                <c:pt idx="0">
                  <c:v>Road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(Hydrogen)'!$B$408:$AC$408</c:f>
              <c:numCache>
                <c:formatCode>0.00</c:formatCode>
                <c:ptCount val="28"/>
                <c:pt idx="0">
                  <c:v>0.23349522897530658</c:v>
                </c:pt>
                <c:pt idx="1">
                  <c:v>0.23233006628841413</c:v>
                </c:pt>
                <c:pt idx="2">
                  <c:v>0.2307078441150312</c:v>
                </c:pt>
                <c:pt idx="3">
                  <c:v>0.22847909535897121</c:v>
                </c:pt>
                <c:pt idx="4">
                  <c:v>0.22547403128897783</c:v>
                </c:pt>
                <c:pt idx="5">
                  <c:v>0.22152599693171629</c:v>
                </c:pt>
                <c:pt idx="6">
                  <c:v>0.21651598181503171</c:v>
                </c:pt>
                <c:pt idx="7">
                  <c:v>0.21043497083816151</c:v>
                </c:pt>
                <c:pt idx="8">
                  <c:v>0.20344238531314893</c:v>
                </c:pt>
                <c:pt idx="9">
                  <c:v>0.1958817106012829</c:v>
                </c:pt>
                <c:pt idx="10">
                  <c:v>0.18822362240185392</c:v>
                </c:pt>
                <c:pt idx="11">
                  <c:v>0.180951900434388</c:v>
                </c:pt>
                <c:pt idx="12">
                  <c:v>0.17445026085838566</c:v>
                </c:pt>
                <c:pt idx="13">
                  <c:v>0.16894157923782643</c:v>
                </c:pt>
                <c:pt idx="14">
                  <c:v>0.16448745642989479</c:v>
                </c:pt>
                <c:pt idx="15">
                  <c:v>0.16102565185352696</c:v>
                </c:pt>
                <c:pt idx="16">
                  <c:v>0.15842046018886494</c:v>
                </c:pt>
                <c:pt idx="17">
                  <c:v>0.15650892140407352</c:v>
                </c:pt>
                <c:pt idx="18">
                  <c:v>0.15513340916291468</c:v>
                </c:pt>
                <c:pt idx="19">
                  <c:v>0.15415854533675796</c:v>
                </c:pt>
                <c:pt idx="20">
                  <c:v>0.15347607230477001</c:v>
                </c:pt>
                <c:pt idx="21">
                  <c:v>0.15300313735978091</c:v>
                </c:pt>
                <c:pt idx="22">
                  <c:v>0.15267814923468384</c:v>
                </c:pt>
                <c:pt idx="23">
                  <c:v>0.15245632434878839</c:v>
                </c:pt>
                <c:pt idx="24">
                  <c:v>0.15230569880016917</c:v>
                </c:pt>
                <c:pt idx="25">
                  <c:v>0.1522038139248986</c:v>
                </c:pt>
                <c:pt idx="26">
                  <c:v>0.15213508982346621</c:v>
                </c:pt>
                <c:pt idx="27">
                  <c:v>0.15208882484074399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D-423B-9053-80F36DF94FFC}"/>
            </c:ext>
          </c:extLst>
        </c:ser>
        <c:ser>
          <c:idx val="4"/>
          <c:order val="4"/>
          <c:tx>
            <c:strRef>
              <c:f>'Semi-trailer truck (Hydrogen)'!$A$429</c:f>
              <c:strCache>
                <c:ptCount val="1"/>
                <c:pt idx="0">
                  <c:v>Road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(Hydrogen)'!$B$513:$AC$513</c:f>
              <c:numCache>
                <c:formatCode>0.00</c:formatCode>
                <c:ptCount val="28"/>
                <c:pt idx="0">
                  <c:v>0.20090182152776806</c:v>
                </c:pt>
                <c:pt idx="1">
                  <c:v>0.19988453144957086</c:v>
                </c:pt>
                <c:pt idx="2">
                  <c:v>0.19846801615884099</c:v>
                </c:pt>
                <c:pt idx="3">
                  <c:v>0.19652151865364809</c:v>
                </c:pt>
                <c:pt idx="4">
                  <c:v>0.19389625761321919</c:v>
                </c:pt>
                <c:pt idx="5">
                  <c:v>0.19044567837428594</c:v>
                </c:pt>
                <c:pt idx="6">
                  <c:v>0.18606400467005008</c:v>
                </c:pt>
                <c:pt idx="7">
                  <c:v>0.18074039333956196</c:v>
                </c:pt>
                <c:pt idx="8">
                  <c:v>0.17460998894326343</c:v>
                </c:pt>
                <c:pt idx="9">
                  <c:v>0.16796831997063055</c:v>
                </c:pt>
                <c:pt idx="10">
                  <c:v>0.16122329244432326</c:v>
                </c:pt>
                <c:pt idx="11">
                  <c:v>0.15479756666131753</c:v>
                </c:pt>
                <c:pt idx="12">
                  <c:v>0.1490307728720596</c:v>
                </c:pt>
                <c:pt idx="13">
                  <c:v>0.14412545422677714</c:v>
                </c:pt>
                <c:pt idx="14">
                  <c:v>0.14014404087905655</c:v>
                </c:pt>
                <c:pt idx="15">
                  <c:v>0.137038871501767</c:v>
                </c:pt>
                <c:pt idx="16">
                  <c:v>0.13469494088007586</c:v>
                </c:pt>
                <c:pt idx="17">
                  <c:v>0.13297057292591644</c:v>
                </c:pt>
                <c:pt idx="18">
                  <c:v>0.13172694527965206</c:v>
                </c:pt>
                <c:pt idx="19">
                  <c:v>0.13084386887842223</c:v>
                </c:pt>
                <c:pt idx="20">
                  <c:v>0.13022468097547873</c:v>
                </c:pt>
                <c:pt idx="21">
                  <c:v>0.12979506433241969</c:v>
                </c:pt>
                <c:pt idx="22">
                  <c:v>0.12949956080538072</c:v>
                </c:pt>
                <c:pt idx="23">
                  <c:v>0.1292977181821052</c:v>
                </c:pt>
                <c:pt idx="24">
                  <c:v>0.1291605913200454</c:v>
                </c:pt>
                <c:pt idx="25">
                  <c:v>0.129067803801546</c:v>
                </c:pt>
                <c:pt idx="26">
                  <c:v>0.12900520051469869</c:v>
                </c:pt>
                <c:pt idx="27">
                  <c:v>0.12896304884725901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D-423B-9053-80F36DF94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129776"/>
        <c:axId val="1081124200"/>
      </c:lineChart>
      <c:catAx>
        <c:axId val="108112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1081124200"/>
        <c:crosses val="autoZero"/>
        <c:auto val="1"/>
        <c:lblAlgn val="ctr"/>
        <c:lblOffset val="100"/>
        <c:tickLblSkip val="3"/>
        <c:noMultiLvlLbl val="0"/>
      </c:catAx>
      <c:valAx>
        <c:axId val="108112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108112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(Diesel)'!$A$1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(Diesel)'!$B$85:$AC$85</c:f>
              <c:numCache>
                <c:formatCode>0.000000</c:formatCode>
                <c:ptCount val="28"/>
                <c:pt idx="0">
                  <c:v>2.2773556508726353E-2</c:v>
                </c:pt>
                <c:pt idx="1">
                  <c:v>2.2778112014717557E-2</c:v>
                </c:pt>
                <c:pt idx="2">
                  <c:v>2.2784622675583854E-2</c:v>
                </c:pt>
                <c:pt idx="3">
                  <c:v>2.2793914727699448E-2</c:v>
                </c:pt>
                <c:pt idx="4">
                  <c:v>2.280714959883207E-2</c:v>
                </c:pt>
                <c:pt idx="5">
                  <c:v>2.2825945297412491E-2</c:v>
                </c:pt>
                <c:pt idx="6">
                  <c:v>2.2852527385357022E-2</c:v>
                </c:pt>
                <c:pt idx="7">
                  <c:v>2.2889903470972396E-2</c:v>
                </c:pt>
                <c:pt idx="8">
                  <c:v>2.2942042006709368E-2</c:v>
                </c:pt>
                <c:pt idx="9">
                  <c:v>2.3014016998626638E-2</c:v>
                </c:pt>
                <c:pt idx="10">
                  <c:v>2.3112055261760078E-2</c:v>
                </c:pt>
                <c:pt idx="11">
                  <c:v>2.3243384289252898E-2</c:v>
                </c:pt>
                <c:pt idx="12">
                  <c:v>2.341570055614467E-2</c:v>
                </c:pt>
                <c:pt idx="13">
                  <c:v>2.3635951164712905E-2</c:v>
                </c:pt>
                <c:pt idx="14">
                  <c:v>2.3908085939147984E-2</c:v>
                </c:pt>
                <c:pt idx="15">
                  <c:v>2.4229860505706063E-2</c:v>
                </c:pt>
                <c:pt idx="16">
                  <c:v>2.4589886833149124E-2</c:v>
                </c:pt>
                <c:pt idx="17">
                  <c:v>2.4967246256500032E-2</c:v>
                </c:pt>
                <c:pt idx="18">
                  <c:v>2.5335441409107623E-2</c:v>
                </c:pt>
                <c:pt idx="19">
                  <c:v>2.5669599132968592E-2</c:v>
                </c:pt>
                <c:pt idx="20">
                  <c:v>2.5953030444757746E-2</c:v>
                </c:pt>
                <c:pt idx="21">
                  <c:v>2.6179721555656225E-2</c:v>
                </c:pt>
                <c:pt idx="22">
                  <c:v>2.6352554927121474E-2</c:v>
                </c:pt>
                <c:pt idx="23">
                  <c:v>2.6479533026852443E-2</c:v>
                </c:pt>
                <c:pt idx="24">
                  <c:v>2.6570288381637511E-2</c:v>
                </c:pt>
                <c:pt idx="25">
                  <c:v>2.6633879570009313E-2</c:v>
                </c:pt>
                <c:pt idx="26">
                  <c:v>2.6677818142985553E-2</c:v>
                </c:pt>
                <c:pt idx="27">
                  <c:v>2.6707884376365485E-2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0-4956-BA32-7EB3AB7CA38C}"/>
            </c:ext>
          </c:extLst>
        </c:ser>
        <c:ser>
          <c:idx val="1"/>
          <c:order val="1"/>
          <c:tx>
            <c:strRef>
              <c:f>'Railway (Diesel)'!$A$107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(Diesel)'!$B$191:$AC$191</c:f>
              <c:numCache>
                <c:formatCode>0.00</c:formatCode>
                <c:ptCount val="28"/>
                <c:pt idx="0">
                  <c:v>3.4382464517395517E-2</c:v>
                </c:pt>
                <c:pt idx="1">
                  <c:v>3.4389297776382333E-2</c:v>
                </c:pt>
                <c:pt idx="2">
                  <c:v>3.4399063767681773E-2</c:v>
                </c:pt>
                <c:pt idx="3">
                  <c:v>3.4413001845855169E-2</c:v>
                </c:pt>
                <c:pt idx="4">
                  <c:v>3.4432854152554093E-2</c:v>
                </c:pt>
                <c:pt idx="5">
                  <c:v>3.4461047700424734E-2</c:v>
                </c:pt>
                <c:pt idx="6">
                  <c:v>3.450092083234152E-2</c:v>
                </c:pt>
                <c:pt idx="7">
                  <c:v>3.4556984960764592E-2</c:v>
                </c:pt>
                <c:pt idx="8">
                  <c:v>3.4635192764370056E-2</c:v>
                </c:pt>
                <c:pt idx="9">
                  <c:v>3.4743155252245944E-2</c:v>
                </c:pt>
                <c:pt idx="10">
                  <c:v>3.4890212646946112E-2</c:v>
                </c:pt>
                <c:pt idx="11">
                  <c:v>3.5087206188185345E-2</c:v>
                </c:pt>
                <c:pt idx="12">
                  <c:v>3.5345680588522992E-2</c:v>
                </c:pt>
                <c:pt idx="13">
                  <c:v>3.5676056501375342E-2</c:v>
                </c:pt>
                <c:pt idx="14">
                  <c:v>3.6084258663027974E-2</c:v>
                </c:pt>
                <c:pt idx="15">
                  <c:v>3.6566920512865086E-2</c:v>
                </c:pt>
                <c:pt idx="16">
                  <c:v>3.7106960004029681E-2</c:v>
                </c:pt>
                <c:pt idx="17">
                  <c:v>3.7672999139056043E-2</c:v>
                </c:pt>
                <c:pt idx="18">
                  <c:v>3.8225291867967429E-2</c:v>
                </c:pt>
                <c:pt idx="19">
                  <c:v>3.8726528453758874E-2</c:v>
                </c:pt>
                <c:pt idx="20">
                  <c:v>3.9151675421442607E-2</c:v>
                </c:pt>
                <c:pt idx="21">
                  <c:v>3.9491712087790329E-2</c:v>
                </c:pt>
                <c:pt idx="22">
                  <c:v>3.9750962144988203E-2</c:v>
                </c:pt>
                <c:pt idx="23">
                  <c:v>3.9941429294584656E-2</c:v>
                </c:pt>
                <c:pt idx="24">
                  <c:v>4.0077562326762253E-2</c:v>
                </c:pt>
                <c:pt idx="25">
                  <c:v>4.0172949109319969E-2</c:v>
                </c:pt>
                <c:pt idx="26">
                  <c:v>4.0238856968784327E-2</c:v>
                </c:pt>
                <c:pt idx="27">
                  <c:v>4.028395631885423E-2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0-4956-BA32-7EB3AB7CA38C}"/>
            </c:ext>
          </c:extLst>
        </c:ser>
        <c:ser>
          <c:idx val="2"/>
          <c:order val="2"/>
          <c:tx>
            <c:strRef>
              <c:f>'Railway (Diesel)'!$A$215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(Diesel)'!$B$299:$AC$299</c:f>
              <c:numCache>
                <c:formatCode>0.00</c:formatCode>
                <c:ptCount val="28"/>
                <c:pt idx="0">
                  <c:v>3.2685860428015773E-2</c:v>
                </c:pt>
                <c:pt idx="1">
                  <c:v>3.2692693687002589E-2</c:v>
                </c:pt>
                <c:pt idx="2">
                  <c:v>3.2702459678302036E-2</c:v>
                </c:pt>
                <c:pt idx="3">
                  <c:v>3.2716397756475418E-2</c:v>
                </c:pt>
                <c:pt idx="4">
                  <c:v>3.2736250063174349E-2</c:v>
                </c:pt>
                <c:pt idx="5">
                  <c:v>3.276444361104499E-2</c:v>
                </c:pt>
                <c:pt idx="6">
                  <c:v>3.2804316742961782E-2</c:v>
                </c:pt>
                <c:pt idx="7">
                  <c:v>3.2860380871384848E-2</c:v>
                </c:pt>
                <c:pt idx="8">
                  <c:v>3.2938588674990305E-2</c:v>
                </c:pt>
                <c:pt idx="9">
                  <c:v>3.30465511628662E-2</c:v>
                </c:pt>
                <c:pt idx="10">
                  <c:v>3.3193608557566368E-2</c:v>
                </c:pt>
                <c:pt idx="11">
                  <c:v>3.3390602098805594E-2</c:v>
                </c:pt>
                <c:pt idx="12">
                  <c:v>3.3649076499143254E-2</c:v>
                </c:pt>
                <c:pt idx="13">
                  <c:v>3.3979452411995612E-2</c:v>
                </c:pt>
                <c:pt idx="14">
                  <c:v>3.4387654573648237E-2</c:v>
                </c:pt>
                <c:pt idx="15">
                  <c:v>3.4870316423485342E-2</c:v>
                </c:pt>
                <c:pt idx="16">
                  <c:v>3.5410355914649937E-2</c:v>
                </c:pt>
                <c:pt idx="17">
                  <c:v>3.5976395049676306E-2</c:v>
                </c:pt>
                <c:pt idx="18">
                  <c:v>3.6528687778587692E-2</c:v>
                </c:pt>
                <c:pt idx="19">
                  <c:v>3.7029924364379137E-2</c:v>
                </c:pt>
                <c:pt idx="20">
                  <c:v>3.745507133206287E-2</c:v>
                </c:pt>
                <c:pt idx="21">
                  <c:v>3.7795107998410585E-2</c:v>
                </c:pt>
                <c:pt idx="22">
                  <c:v>3.8054358055608452E-2</c:v>
                </c:pt>
                <c:pt idx="23">
                  <c:v>3.8244825205204912E-2</c:v>
                </c:pt>
                <c:pt idx="24">
                  <c:v>3.8380958237382523E-2</c:v>
                </c:pt>
                <c:pt idx="25">
                  <c:v>3.8476345019940225E-2</c:v>
                </c:pt>
                <c:pt idx="26">
                  <c:v>3.8542252879404576E-2</c:v>
                </c:pt>
                <c:pt idx="27">
                  <c:v>3.8587352229474486E-2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0-4956-BA32-7EB3AB7CA38C}"/>
            </c:ext>
          </c:extLst>
        </c:ser>
        <c:ser>
          <c:idx val="3"/>
          <c:order val="3"/>
          <c:tx>
            <c:strRef>
              <c:f>'Railway (Diesel)'!$A$324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(Diesel)'!$B$408:$AC$408</c:f>
              <c:numCache>
                <c:formatCode>0.00</c:formatCode>
                <c:ptCount val="28"/>
                <c:pt idx="0">
                  <c:v>2.8108202021392074E-2</c:v>
                </c:pt>
                <c:pt idx="1">
                  <c:v>2.8112251360050921E-2</c:v>
                </c:pt>
                <c:pt idx="2">
                  <c:v>2.8118038614154298E-2</c:v>
                </c:pt>
                <c:pt idx="3">
                  <c:v>2.812629821603483E-2</c:v>
                </c:pt>
                <c:pt idx="4">
                  <c:v>2.813806254593049E-2</c:v>
                </c:pt>
                <c:pt idx="5">
                  <c:v>2.8154769833557535E-2</c:v>
                </c:pt>
                <c:pt idx="6">
                  <c:v>2.8178398356174895E-2</c:v>
                </c:pt>
                <c:pt idx="7">
                  <c:v>2.8211621543388556E-2</c:v>
                </c:pt>
                <c:pt idx="8">
                  <c:v>2.8257966908488089E-2</c:v>
                </c:pt>
                <c:pt idx="9">
                  <c:v>2.832194467908121E-2</c:v>
                </c:pt>
                <c:pt idx="10">
                  <c:v>2.8409089801866495E-2</c:v>
                </c:pt>
                <c:pt idx="11">
                  <c:v>2.852582671519345E-2</c:v>
                </c:pt>
                <c:pt idx="12">
                  <c:v>2.8678996730208357E-2</c:v>
                </c:pt>
                <c:pt idx="13">
                  <c:v>2.887477504893568E-2</c:v>
                </c:pt>
                <c:pt idx="14">
                  <c:v>2.9116672626211308E-2</c:v>
                </c:pt>
                <c:pt idx="15">
                  <c:v>2.9402694463151816E-2</c:v>
                </c:pt>
                <c:pt idx="16">
                  <c:v>2.9722717865323427E-2</c:v>
                </c:pt>
                <c:pt idx="17">
                  <c:v>3.0058148463857567E-2</c:v>
                </c:pt>
                <c:pt idx="18">
                  <c:v>3.0385433043953202E-2</c:v>
                </c:pt>
                <c:pt idx="19">
                  <c:v>3.0682462131829614E-2</c:v>
                </c:pt>
                <c:pt idx="20">
                  <c:v>3.0934401075642201E-2</c:v>
                </c:pt>
                <c:pt idx="21">
                  <c:v>3.1135904285329741E-2</c:v>
                </c:pt>
                <c:pt idx="22">
                  <c:v>3.1289533948854406E-2</c:v>
                </c:pt>
                <c:pt idx="23">
                  <c:v>3.1402403370837488E-2</c:v>
                </c:pt>
                <c:pt idx="24">
                  <c:v>3.1483074797313104E-2</c:v>
                </c:pt>
                <c:pt idx="25">
                  <c:v>3.1539600298088041E-2</c:v>
                </c:pt>
                <c:pt idx="26">
                  <c:v>3.1578656807400254E-2</c:v>
                </c:pt>
                <c:pt idx="27">
                  <c:v>3.1605382348182415E-2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0-4956-BA32-7EB3AB7CA38C}"/>
            </c:ext>
          </c:extLst>
        </c:ser>
        <c:ser>
          <c:idx val="4"/>
          <c:order val="4"/>
          <c:tx>
            <c:strRef>
              <c:f>'Railway (Diesel)'!$A$429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(Diesel)'!$B$513:$AC$513</c:f>
              <c:numCache>
                <c:formatCode>0.00</c:formatCode>
                <c:ptCount val="28"/>
                <c:pt idx="0">
                  <c:v>3.3806597394249023E-2</c:v>
                </c:pt>
                <c:pt idx="1">
                  <c:v>3.3813430653235832E-2</c:v>
                </c:pt>
                <c:pt idx="2">
                  <c:v>3.3823196644535272E-2</c:v>
                </c:pt>
                <c:pt idx="3">
                  <c:v>3.3837134722708676E-2</c:v>
                </c:pt>
                <c:pt idx="4">
                  <c:v>3.3856987029407606E-2</c:v>
                </c:pt>
                <c:pt idx="5">
                  <c:v>3.388518057727824E-2</c:v>
                </c:pt>
                <c:pt idx="6">
                  <c:v>3.392505370919504E-2</c:v>
                </c:pt>
                <c:pt idx="7">
                  <c:v>3.3981117837618091E-2</c:v>
                </c:pt>
                <c:pt idx="8">
                  <c:v>3.4059325641223555E-2</c:v>
                </c:pt>
                <c:pt idx="9">
                  <c:v>3.416728812909945E-2</c:v>
                </c:pt>
                <c:pt idx="10">
                  <c:v>3.4314345523799618E-2</c:v>
                </c:pt>
                <c:pt idx="11">
                  <c:v>3.4511339065038844E-2</c:v>
                </c:pt>
                <c:pt idx="12">
                  <c:v>3.4769813465376505E-2</c:v>
                </c:pt>
                <c:pt idx="13">
                  <c:v>3.5100189378228862E-2</c:v>
                </c:pt>
                <c:pt idx="14">
                  <c:v>3.550839153988148E-2</c:v>
                </c:pt>
                <c:pt idx="15">
                  <c:v>3.59910533897186E-2</c:v>
                </c:pt>
                <c:pt idx="16">
                  <c:v>3.653109288088318E-2</c:v>
                </c:pt>
                <c:pt idx="17">
                  <c:v>3.7097132015909549E-2</c:v>
                </c:pt>
                <c:pt idx="18">
                  <c:v>3.7649424744820935E-2</c:v>
                </c:pt>
                <c:pt idx="19">
                  <c:v>3.8150661330612387E-2</c:v>
                </c:pt>
                <c:pt idx="20">
                  <c:v>3.8575808298296113E-2</c:v>
                </c:pt>
                <c:pt idx="21">
                  <c:v>3.8915844964643835E-2</c:v>
                </c:pt>
                <c:pt idx="22">
                  <c:v>3.9175095021841709E-2</c:v>
                </c:pt>
                <c:pt idx="23">
                  <c:v>3.9365562171438162E-2</c:v>
                </c:pt>
                <c:pt idx="24">
                  <c:v>3.9501695203615766E-2</c:v>
                </c:pt>
                <c:pt idx="25">
                  <c:v>3.9597081986173469E-2</c:v>
                </c:pt>
                <c:pt idx="26">
                  <c:v>3.9662989845637833E-2</c:v>
                </c:pt>
                <c:pt idx="27">
                  <c:v>3.9708089195707737E-2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40-4956-BA32-7EB3AB7CA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480432"/>
        <c:axId val="818479120"/>
      </c:lineChart>
      <c:catAx>
        <c:axId val="8184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818479120"/>
        <c:crosses val="autoZero"/>
        <c:auto val="1"/>
        <c:lblAlgn val="ctr"/>
        <c:lblOffset val="100"/>
        <c:tickLblSkip val="3"/>
        <c:noMultiLvlLbl val="0"/>
      </c:catAx>
      <c:valAx>
        <c:axId val="8184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8184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Catenary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(Catenary)'!$A$1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(Catenary)'!$B$85:$AC$85</c:f>
              <c:numCache>
                <c:formatCode>0.000</c:formatCode>
                <c:ptCount val="28"/>
                <c:pt idx="0">
                  <c:v>1.6194682986731719E-2</c:v>
                </c:pt>
                <c:pt idx="1">
                  <c:v>1.619203923508623E-2</c:v>
                </c:pt>
                <c:pt idx="2">
                  <c:v>1.6188284878779411E-2</c:v>
                </c:pt>
                <c:pt idx="3">
                  <c:v>1.6182977171355806E-2</c:v>
                </c:pt>
                <c:pt idx="4">
                  <c:v>1.6175522542014122E-2</c:v>
                </c:pt>
                <c:pt idx="5">
                  <c:v>1.6165152258332056E-2</c:v>
                </c:pt>
                <c:pt idx="6">
                  <c:v>1.6150923343533789E-2</c:v>
                </c:pt>
                <c:pt idx="7">
                  <c:v>1.6131777563862436E-2</c:v>
                </c:pt>
                <c:pt idx="8">
                  <c:v>1.6106703395067926E-2</c:v>
                </c:pt>
                <c:pt idx="9">
                  <c:v>1.6075036367993997E-2</c:v>
                </c:pt>
                <c:pt idx="10">
                  <c:v>1.6036869883812064E-2</c:v>
                </c:pt>
                <c:pt idx="11">
                  <c:v>1.5993419377568638E-2</c:v>
                </c:pt>
                <c:pt idx="12">
                  <c:v>1.5947067120090183E-2</c:v>
                </c:pt>
                <c:pt idx="13">
                  <c:v>1.5900892708747515E-2</c:v>
                </c:pt>
                <c:pt idx="14">
                  <c:v>1.585783433581946E-2</c:v>
                </c:pt>
                <c:pt idx="15">
                  <c:v>1.5819946137750826E-2</c:v>
                </c:pt>
                <c:pt idx="16">
                  <c:v>1.578814032197606E-2</c:v>
                </c:pt>
                <c:pt idx="17">
                  <c:v>1.5762402614581981E-2</c:v>
                </c:pt>
                <c:pt idx="18">
                  <c:v>1.5742184231400089E-2</c:v>
                </c:pt>
                <c:pt idx="19">
                  <c:v>1.5726714004884162E-2</c:v>
                </c:pt>
                <c:pt idx="20">
                  <c:v>1.5715167268783168E-2</c:v>
                </c:pt>
                <c:pt idx="21">
                  <c:v>1.5706746802790154E-2</c:v>
                </c:pt>
                <c:pt idx="22">
                  <c:v>1.5700731072724718E-2</c:v>
                </c:pt>
                <c:pt idx="23">
                  <c:v>1.5696505932364976E-2</c:v>
                </c:pt>
                <c:pt idx="24">
                  <c:v>1.5693577717082883E-2</c:v>
                </c:pt>
                <c:pt idx="25">
                  <c:v>1.5691568469114601E-2</c:v>
                </c:pt>
                <c:pt idx="26">
                  <c:v>1.569019969711823E-2</c:v>
                </c:pt>
                <c:pt idx="27">
                  <c:v>1.5689271979090976E-2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8-4640-A4CC-AB5AB74DCFD8}"/>
            </c:ext>
          </c:extLst>
        </c:ser>
        <c:ser>
          <c:idx val="1"/>
          <c:order val="1"/>
          <c:tx>
            <c:strRef>
              <c:f>'Railway (Catenary)'!$A$107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(Catenary)'!$B$191:$AC$191</c:f>
              <c:numCache>
                <c:formatCode>0.00</c:formatCode>
                <c:ptCount val="28"/>
                <c:pt idx="0" formatCode="0.000">
                  <c:v>2.4514154234403569E-2</c:v>
                </c:pt>
                <c:pt idx="1">
                  <c:v>2.4510188606935334E-2</c:v>
                </c:pt>
                <c:pt idx="2">
                  <c:v>2.4504557072475109E-2</c:v>
                </c:pt>
                <c:pt idx="3">
                  <c:v>2.4496595511339696E-2</c:v>
                </c:pt>
                <c:pt idx="4">
                  <c:v>2.4485413567327169E-2</c:v>
                </c:pt>
                <c:pt idx="5">
                  <c:v>2.4469858141804073E-2</c:v>
                </c:pt>
                <c:pt idx="6">
                  <c:v>2.4448514769606675E-2</c:v>
                </c:pt>
                <c:pt idx="7">
                  <c:v>2.4419796100099648E-2</c:v>
                </c:pt>
                <c:pt idx="8">
                  <c:v>2.4382184846907878E-2</c:v>
                </c:pt>
                <c:pt idx="9">
                  <c:v>2.4334684306296983E-2</c:v>
                </c:pt>
                <c:pt idx="10">
                  <c:v>2.4277434580024085E-2</c:v>
                </c:pt>
                <c:pt idx="11">
                  <c:v>2.4212258820658947E-2</c:v>
                </c:pt>
                <c:pt idx="12">
                  <c:v>2.4142730434441269E-2</c:v>
                </c:pt>
                <c:pt idx="13">
                  <c:v>2.4073468817427258E-2</c:v>
                </c:pt>
                <c:pt idx="14">
                  <c:v>2.4008881258035183E-2</c:v>
                </c:pt>
                <c:pt idx="15">
                  <c:v>2.395204896093223E-2</c:v>
                </c:pt>
                <c:pt idx="16">
                  <c:v>2.3904340237270078E-2</c:v>
                </c:pt>
                <c:pt idx="17">
                  <c:v>2.386573367617896E-2</c:v>
                </c:pt>
                <c:pt idx="18">
                  <c:v>2.383540610140612E-2</c:v>
                </c:pt>
                <c:pt idx="19">
                  <c:v>2.3812200761632235E-2</c:v>
                </c:pt>
                <c:pt idx="20">
                  <c:v>2.3794880657480737E-2</c:v>
                </c:pt>
                <c:pt idx="21">
                  <c:v>2.3782249958491222E-2</c:v>
                </c:pt>
                <c:pt idx="22">
                  <c:v>2.3773226363393067E-2</c:v>
                </c:pt>
                <c:pt idx="23">
                  <c:v>2.3766888652853455E-2</c:v>
                </c:pt>
                <c:pt idx="24">
                  <c:v>2.3762496329930313E-2</c:v>
                </c:pt>
                <c:pt idx="25">
                  <c:v>2.3759482457977887E-2</c:v>
                </c:pt>
                <c:pt idx="26">
                  <c:v>2.3757429299983337E-2</c:v>
                </c:pt>
                <c:pt idx="27">
                  <c:v>2.3756037722942453E-2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8-4640-A4CC-AB5AB74DCFD8}"/>
            </c:ext>
          </c:extLst>
        </c:ser>
        <c:ser>
          <c:idx val="2"/>
          <c:order val="2"/>
          <c:tx>
            <c:strRef>
              <c:f>'Railway (Catenary)'!$A$215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(Catenary)'!$B$299:$AC$299</c:f>
              <c:numCache>
                <c:formatCode>0.00</c:formatCode>
                <c:ptCount val="28"/>
                <c:pt idx="0" formatCode="0.0000">
                  <c:v>2.2817550145023829E-2</c:v>
                </c:pt>
                <c:pt idx="1">
                  <c:v>2.2813584517555593E-2</c:v>
                </c:pt>
                <c:pt idx="2">
                  <c:v>2.2807952983095368E-2</c:v>
                </c:pt>
                <c:pt idx="3">
                  <c:v>2.2799991421959955E-2</c:v>
                </c:pt>
                <c:pt idx="4">
                  <c:v>2.2788809477947425E-2</c:v>
                </c:pt>
                <c:pt idx="5">
                  <c:v>2.2773254052424332E-2</c:v>
                </c:pt>
                <c:pt idx="6">
                  <c:v>2.2751910680226931E-2</c:v>
                </c:pt>
                <c:pt idx="7">
                  <c:v>2.2723192010719904E-2</c:v>
                </c:pt>
                <c:pt idx="8">
                  <c:v>2.2685580757528134E-2</c:v>
                </c:pt>
                <c:pt idx="9">
                  <c:v>2.2638080216917246E-2</c:v>
                </c:pt>
                <c:pt idx="10">
                  <c:v>2.2580830490644351E-2</c:v>
                </c:pt>
                <c:pt idx="11">
                  <c:v>2.25156547312792E-2</c:v>
                </c:pt>
                <c:pt idx="12">
                  <c:v>2.2446126345061525E-2</c:v>
                </c:pt>
                <c:pt idx="13">
                  <c:v>2.2376864728047518E-2</c:v>
                </c:pt>
                <c:pt idx="14">
                  <c:v>2.2312277168655439E-2</c:v>
                </c:pt>
                <c:pt idx="15">
                  <c:v>2.2255444871552489E-2</c:v>
                </c:pt>
                <c:pt idx="16">
                  <c:v>2.2207736147890341E-2</c:v>
                </c:pt>
                <c:pt idx="17">
                  <c:v>2.216912958679922E-2</c:v>
                </c:pt>
                <c:pt idx="18">
                  <c:v>2.2138802012026382E-2</c:v>
                </c:pt>
                <c:pt idx="19">
                  <c:v>2.2115596672252495E-2</c:v>
                </c:pt>
                <c:pt idx="20">
                  <c:v>2.2098276568100993E-2</c:v>
                </c:pt>
                <c:pt idx="21">
                  <c:v>2.2085645869111478E-2</c:v>
                </c:pt>
                <c:pt idx="22">
                  <c:v>2.2076622274013327E-2</c:v>
                </c:pt>
                <c:pt idx="23">
                  <c:v>2.2070284563473718E-2</c:v>
                </c:pt>
                <c:pt idx="24">
                  <c:v>2.2065892240550573E-2</c:v>
                </c:pt>
                <c:pt idx="25">
                  <c:v>2.2062878368598143E-2</c:v>
                </c:pt>
                <c:pt idx="26">
                  <c:v>2.2060825210603589E-2</c:v>
                </c:pt>
                <c:pt idx="27">
                  <c:v>2.2059433633562713E-2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8-4640-A4CC-AB5AB74DCFD8}"/>
            </c:ext>
          </c:extLst>
        </c:ser>
        <c:ser>
          <c:idx val="3"/>
          <c:order val="3"/>
          <c:tx>
            <c:strRef>
              <c:f>'Railway (Catenary)'!$A$324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(Catenary)'!$B$408:$AC$408</c:f>
              <c:numCache>
                <c:formatCode>0.00</c:formatCode>
                <c:ptCount val="28"/>
                <c:pt idx="0" formatCode="0.0000">
                  <c:v>2.2260314446285737E-2</c:v>
                </c:pt>
                <c:pt idx="1">
                  <c:v>2.2257964444823079E-2</c:v>
                </c:pt>
                <c:pt idx="2">
                  <c:v>2.2254627239217017E-2</c:v>
                </c:pt>
                <c:pt idx="3">
                  <c:v>2.2249909277062701E-2</c:v>
                </c:pt>
                <c:pt idx="4">
                  <c:v>2.2243282939870091E-2</c:v>
                </c:pt>
                <c:pt idx="5">
                  <c:v>2.2234064909930479E-2</c:v>
                </c:pt>
                <c:pt idx="6">
                  <c:v>2.2221416985665349E-2</c:v>
                </c:pt>
                <c:pt idx="7">
                  <c:v>2.2204398514846374E-2</c:v>
                </c:pt>
                <c:pt idx="8">
                  <c:v>2.2182110364806804E-2</c:v>
                </c:pt>
                <c:pt idx="9">
                  <c:v>2.2153961896296648E-2</c:v>
                </c:pt>
                <c:pt idx="10">
                  <c:v>2.2120036132579377E-2</c:v>
                </c:pt>
                <c:pt idx="11">
                  <c:v>2.2081413460362992E-2</c:v>
                </c:pt>
                <c:pt idx="12">
                  <c:v>2.2040211453715482E-2</c:v>
                </c:pt>
                <c:pt idx="13">
                  <c:v>2.1999167532521995E-2</c:v>
                </c:pt>
                <c:pt idx="14">
                  <c:v>2.1960893423252616E-2</c:v>
                </c:pt>
                <c:pt idx="15">
                  <c:v>2.1927215024969384E-2</c:v>
                </c:pt>
                <c:pt idx="16">
                  <c:v>2.1898943188725147E-2</c:v>
                </c:pt>
                <c:pt idx="17">
                  <c:v>2.1876065226597081E-2</c:v>
                </c:pt>
                <c:pt idx="18">
                  <c:v>2.1858093330435396E-2</c:v>
                </c:pt>
                <c:pt idx="19">
                  <c:v>2.18443420179768E-2</c:v>
                </c:pt>
                <c:pt idx="20">
                  <c:v>2.1834078252553686E-2</c:v>
                </c:pt>
                <c:pt idx="21">
                  <c:v>2.1826593393893229E-2</c:v>
                </c:pt>
                <c:pt idx="22">
                  <c:v>2.1821246078279514E-2</c:v>
                </c:pt>
                <c:pt idx="23">
                  <c:v>2.181749039795974E-2</c:v>
                </c:pt>
                <c:pt idx="24">
                  <c:v>2.1814887539931216E-2</c:v>
                </c:pt>
                <c:pt idx="25">
                  <c:v>2.1813101541737181E-2</c:v>
                </c:pt>
                <c:pt idx="26">
                  <c:v>2.1811884855518184E-2</c:v>
                </c:pt>
                <c:pt idx="27">
                  <c:v>2.1811060217271739E-2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A8-4640-A4CC-AB5AB74DCFD8}"/>
            </c:ext>
          </c:extLst>
        </c:ser>
        <c:ser>
          <c:idx val="4"/>
          <c:order val="4"/>
          <c:tx>
            <c:strRef>
              <c:f>'Railway (Catenary)'!$A$429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(Catenary)'!$B$513:$AC$513</c:f>
              <c:numCache>
                <c:formatCode>0.00</c:formatCode>
                <c:ptCount val="28"/>
                <c:pt idx="0" formatCode="0.000">
                  <c:v>2.3938287111257082E-2</c:v>
                </c:pt>
                <c:pt idx="1">
                  <c:v>2.3934321483788847E-2</c:v>
                </c:pt>
                <c:pt idx="2">
                  <c:v>2.3928689949328622E-2</c:v>
                </c:pt>
                <c:pt idx="3">
                  <c:v>2.3920728388193205E-2</c:v>
                </c:pt>
                <c:pt idx="4">
                  <c:v>2.3909546444180675E-2</c:v>
                </c:pt>
                <c:pt idx="5">
                  <c:v>2.3893991018657582E-2</c:v>
                </c:pt>
                <c:pt idx="6">
                  <c:v>2.3872647646460181E-2</c:v>
                </c:pt>
                <c:pt idx="7">
                  <c:v>2.3843928976953154E-2</c:v>
                </c:pt>
                <c:pt idx="8">
                  <c:v>2.3806317723761385E-2</c:v>
                </c:pt>
                <c:pt idx="9">
                  <c:v>2.37588171831505E-2</c:v>
                </c:pt>
                <c:pt idx="10">
                  <c:v>2.3701567456877598E-2</c:v>
                </c:pt>
                <c:pt idx="11">
                  <c:v>2.3636391697512454E-2</c:v>
                </c:pt>
                <c:pt idx="12">
                  <c:v>2.3566863311294779E-2</c:v>
                </c:pt>
                <c:pt idx="13">
                  <c:v>2.3497601694280768E-2</c:v>
                </c:pt>
                <c:pt idx="14">
                  <c:v>2.3433014134888693E-2</c:v>
                </c:pt>
                <c:pt idx="15">
                  <c:v>2.3376181837785736E-2</c:v>
                </c:pt>
                <c:pt idx="16">
                  <c:v>2.3328473114123591E-2</c:v>
                </c:pt>
                <c:pt idx="17">
                  <c:v>2.3289866553032473E-2</c:v>
                </c:pt>
                <c:pt idx="18">
                  <c:v>2.3259538978259633E-2</c:v>
                </c:pt>
                <c:pt idx="19">
                  <c:v>2.3236333638485745E-2</c:v>
                </c:pt>
                <c:pt idx="20">
                  <c:v>2.3219013534334247E-2</c:v>
                </c:pt>
                <c:pt idx="21">
                  <c:v>2.3206382835344732E-2</c:v>
                </c:pt>
                <c:pt idx="22">
                  <c:v>2.319735924024658E-2</c:v>
                </c:pt>
                <c:pt idx="23">
                  <c:v>2.3191021529706961E-2</c:v>
                </c:pt>
                <c:pt idx="24">
                  <c:v>2.318662920678382E-2</c:v>
                </c:pt>
                <c:pt idx="25">
                  <c:v>2.3183615334831396E-2</c:v>
                </c:pt>
                <c:pt idx="26">
                  <c:v>2.3181562176836843E-2</c:v>
                </c:pt>
                <c:pt idx="27">
                  <c:v>2.3180170599795959E-2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A8-4640-A4CC-AB5AB74D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581608"/>
        <c:axId val="768872032"/>
      </c:lineChart>
      <c:catAx>
        <c:axId val="77158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8872032"/>
        <c:crosses val="autoZero"/>
        <c:auto val="1"/>
        <c:lblAlgn val="ctr"/>
        <c:lblOffset val="100"/>
        <c:tickLblSkip val="3"/>
        <c:noMultiLvlLbl val="0"/>
      </c:catAx>
      <c:valAx>
        <c:axId val="7688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7158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(Battery)'!$A$1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(Battery)'!$B$85:$AC$85</c:f>
              <c:numCache>
                <c:formatCode>0.0000</c:formatCode>
                <c:ptCount val="28"/>
                <c:pt idx="0">
                  <c:v>2.2438985718900011E-2</c:v>
                </c:pt>
                <c:pt idx="1">
                  <c:v>2.2409421620467555E-2</c:v>
                </c:pt>
                <c:pt idx="2">
                  <c:v>2.2367449590163378E-2</c:v>
                </c:pt>
                <c:pt idx="3">
                  <c:v>2.2308135589394481E-2</c:v>
                </c:pt>
                <c:pt idx="4">
                  <c:v>2.2224878254764855E-2</c:v>
                </c:pt>
                <c:pt idx="5">
                  <c:v>2.2109155690213905E-2</c:v>
                </c:pt>
                <c:pt idx="6">
                  <c:v>2.1950570080301119E-2</c:v>
                </c:pt>
                <c:pt idx="7">
                  <c:v>2.1737564817713721E-2</c:v>
                </c:pt>
                <c:pt idx="8">
                  <c:v>2.1459320720740183E-2</c:v>
                </c:pt>
                <c:pt idx="9">
                  <c:v>2.1109216644062383E-2</c:v>
                </c:pt>
                <c:pt idx="10">
                  <c:v>2.068950075770918E-2</c:v>
                </c:pt>
                <c:pt idx="11">
                  <c:v>2.0215339481203094E-2</c:v>
                </c:pt>
                <c:pt idx="12">
                  <c:v>1.9715119976319605E-2</c:v>
                </c:pt>
                <c:pt idx="13">
                  <c:v>1.9224817110762151E-2</c:v>
                </c:pt>
                <c:pt idx="14">
                  <c:v>1.877812331097805E-2</c:v>
                </c:pt>
                <c:pt idx="15">
                  <c:v>1.8397660220454241E-2</c:v>
                </c:pt>
                <c:pt idx="16">
                  <c:v>1.8091772464806186E-2</c:v>
                </c:pt>
                <c:pt idx="17">
                  <c:v>1.7857010762152167E-2</c:v>
                </c:pt>
                <c:pt idx="18">
                  <c:v>1.768317051756715E-2</c:v>
                </c:pt>
                <c:pt idx="19">
                  <c:v>1.7557853182727956E-2</c:v>
                </c:pt>
                <c:pt idx="20">
                  <c:v>1.7469300888489053E-2</c:v>
                </c:pt>
                <c:pt idx="21">
                  <c:v>1.7407648542706183E-2</c:v>
                </c:pt>
                <c:pt idx="22">
                  <c:v>1.7365192698273225E-2</c:v>
                </c:pt>
                <c:pt idx="23">
                  <c:v>1.7336189878479541E-2</c:v>
                </c:pt>
                <c:pt idx="24">
                  <c:v>1.7316491494713794E-2</c:v>
                </c:pt>
                <c:pt idx="25">
                  <c:v>1.7303167362236301E-2</c:v>
                </c:pt>
                <c:pt idx="26">
                  <c:v>1.7294180634204358E-2</c:v>
                </c:pt>
                <c:pt idx="27">
                  <c:v>1.7288131353933017E-2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E-4252-84BF-9E0AAB52FEAF}"/>
            </c:ext>
          </c:extLst>
        </c:ser>
        <c:ser>
          <c:idx val="1"/>
          <c:order val="1"/>
          <c:tx>
            <c:strRef>
              <c:f>'Railway (Battery)'!$A$107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(Battery)'!$B$191:$AC$191</c:f>
              <c:numCache>
                <c:formatCode>0.00</c:formatCode>
                <c:ptCount val="28"/>
                <c:pt idx="0">
                  <c:v>3.3687755535076573E-2</c:v>
                </c:pt>
                <c:pt idx="1">
                  <c:v>3.3644223964452602E-2</c:v>
                </c:pt>
                <c:pt idx="2">
                  <c:v>3.3582419805535148E-2</c:v>
                </c:pt>
                <c:pt idx="3">
                  <c:v>3.3495074318995052E-2</c:v>
                </c:pt>
                <c:pt idx="4">
                  <c:v>3.3372459857965837E-2</c:v>
                </c:pt>
                <c:pt idx="5">
                  <c:v>3.3202013622940757E-2</c:v>
                </c:pt>
                <c:pt idx="6">
                  <c:v>3.2968397760063654E-2</c:v>
                </c:pt>
                <c:pt idx="7">
                  <c:v>3.2654547385889764E-2</c:v>
                </c:pt>
                <c:pt idx="8">
                  <c:v>3.2244454430081719E-2</c:v>
                </c:pt>
                <c:pt idx="9">
                  <c:v>3.1728261193530304E-2</c:v>
                </c:pt>
                <c:pt idx="10">
                  <c:v>3.1109154664594092E-2</c:v>
                </c:pt>
                <c:pt idx="11">
                  <c:v>3.0409372491027955E-2</c:v>
                </c:pt>
                <c:pt idx="12">
                  <c:v>2.9670710427587118E-2</c:v>
                </c:pt>
                <c:pt idx="13">
                  <c:v>2.8946267436759193E-2</c:v>
                </c:pt>
                <c:pt idx="14">
                  <c:v>2.8285886962941161E-2</c:v>
                </c:pt>
                <c:pt idx="15">
                  <c:v>2.7723133078475244E-2</c:v>
                </c:pt>
                <c:pt idx="16">
                  <c:v>2.72704853864646E-2</c:v>
                </c:pt>
                <c:pt idx="17">
                  <c:v>2.692295932471462E-2</c:v>
                </c:pt>
                <c:pt idx="18">
                  <c:v>2.6665538140978107E-2</c:v>
                </c:pt>
                <c:pt idx="19">
                  <c:v>2.6479922786883457E-2</c:v>
                </c:pt>
                <c:pt idx="20">
                  <c:v>2.6348736292521425E-2</c:v>
                </c:pt>
                <c:pt idx="21">
                  <c:v>2.6257386840209448E-2</c:v>
                </c:pt>
                <c:pt idx="22">
                  <c:v>2.619447328443017E-2</c:v>
                </c:pt>
                <c:pt idx="23">
                  <c:v>2.6151491559444063E-2</c:v>
                </c:pt>
                <c:pt idx="24">
                  <c:v>2.6122297092207938E-2</c:v>
                </c:pt>
                <c:pt idx="25">
                  <c:v>2.6102548898326649E-2</c:v>
                </c:pt>
                <c:pt idx="26">
                  <c:v>2.6089228941212059E-2</c:v>
                </c:pt>
                <c:pt idx="27">
                  <c:v>2.6080262632327007E-2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E-4252-84BF-9E0AAB52FEAF}"/>
            </c:ext>
          </c:extLst>
        </c:ser>
        <c:ser>
          <c:idx val="2"/>
          <c:order val="2"/>
          <c:tx>
            <c:strRef>
              <c:f>'Railway (Battery)'!$A$215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(Battery)'!$B$299:$AC$299</c:f>
              <c:numCache>
                <c:formatCode>0.00</c:formatCode>
                <c:ptCount val="28"/>
                <c:pt idx="0">
                  <c:v>3.197058232993006E-2</c:v>
                </c:pt>
                <c:pt idx="1">
                  <c:v>3.192711142811127E-2</c:v>
                </c:pt>
                <c:pt idx="2">
                  <c:v>3.1865393388390451E-2</c:v>
                </c:pt>
                <c:pt idx="3">
                  <c:v>3.1778169579427737E-2</c:v>
                </c:pt>
                <c:pt idx="4">
                  <c:v>3.1655725865334126E-2</c:v>
                </c:pt>
                <c:pt idx="5">
                  <c:v>3.1485516863396103E-2</c:v>
                </c:pt>
                <c:pt idx="6">
                  <c:v>3.1252225922606978E-2</c:v>
                </c:pt>
                <c:pt idx="7">
                  <c:v>3.0938811635062447E-2</c:v>
                </c:pt>
                <c:pt idx="8">
                  <c:v>3.0529287738708003E-2</c:v>
                </c:pt>
                <c:pt idx="9">
                  <c:v>3.0013809545152714E-2</c:v>
                </c:pt>
                <c:pt idx="10">
                  <c:v>2.9395558714562356E-2</c:v>
                </c:pt>
                <c:pt idx="11">
                  <c:v>2.8696741089890229E-2</c:v>
                </c:pt>
                <c:pt idx="12">
                  <c:v>2.7959093798778836E-2</c:v>
                </c:pt>
                <c:pt idx="13">
                  <c:v>2.7235642142038583E-2</c:v>
                </c:pt>
                <c:pt idx="14">
                  <c:v>2.6576161128440079E-2</c:v>
                </c:pt>
                <c:pt idx="15">
                  <c:v>2.601416944116304E-2</c:v>
                </c:pt>
                <c:pt idx="16">
                  <c:v>2.5562130670278273E-2</c:v>
                </c:pt>
                <c:pt idx="17">
                  <c:v>2.5215068370354234E-2</c:v>
                </c:pt>
                <c:pt idx="18">
                  <c:v>2.4957987608587244E-2</c:v>
                </c:pt>
                <c:pt idx="19">
                  <c:v>2.4772615402294487E-2</c:v>
                </c:pt>
                <c:pt idx="20">
                  <c:v>2.4641599195060818E-2</c:v>
                </c:pt>
                <c:pt idx="21">
                  <c:v>2.4550367362170891E-2</c:v>
                </c:pt>
                <c:pt idx="22">
                  <c:v>2.448753427123733E-2</c:v>
                </c:pt>
                <c:pt idx="23">
                  <c:v>2.4444607231839683E-2</c:v>
                </c:pt>
                <c:pt idx="24">
                  <c:v>2.4415449763775535E-2</c:v>
                </c:pt>
                <c:pt idx="25">
                  <c:v>2.4395726526858782E-2</c:v>
                </c:pt>
                <c:pt idx="26">
                  <c:v>2.4382423369416751E-2</c:v>
                </c:pt>
                <c:pt idx="27">
                  <c:v>2.4373468353547947E-2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9E-4252-84BF-9E0AAB52FEAF}"/>
            </c:ext>
          </c:extLst>
        </c:ser>
        <c:ser>
          <c:idx val="3"/>
          <c:order val="3"/>
          <c:tx>
            <c:strRef>
              <c:f>'Railway (Battery)'!$A$324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(Battery)'!$B$408:$AC$408</c:f>
              <c:numCache>
                <c:formatCode>0.00</c:formatCode>
                <c:ptCount val="28"/>
                <c:pt idx="0">
                  <c:v>2.8010602388861803E-2</c:v>
                </c:pt>
                <c:pt idx="1">
                  <c:v>2.7983679275775167E-2</c:v>
                </c:pt>
                <c:pt idx="2">
                  <c:v>2.7945457303670231E-2</c:v>
                </c:pt>
                <c:pt idx="3">
                  <c:v>2.7891444133317938E-2</c:v>
                </c:pt>
                <c:pt idx="4">
                  <c:v>2.781563004347596E-2</c:v>
                </c:pt>
                <c:pt idx="5">
                  <c:v>2.7710258228108072E-2</c:v>
                </c:pt>
                <c:pt idx="6">
                  <c:v>2.7565866882311114E-2</c:v>
                </c:pt>
                <c:pt idx="7">
                  <c:v>2.7371944343936135E-2</c:v>
                </c:pt>
                <c:pt idx="8">
                  <c:v>2.7118658122454876E-2</c:v>
                </c:pt>
                <c:pt idx="9">
                  <c:v>2.6800007036149771E-2</c:v>
                </c:pt>
                <c:pt idx="10">
                  <c:v>2.6418071282371572E-2</c:v>
                </c:pt>
                <c:pt idx="11">
                  <c:v>2.5986688564280904E-2</c:v>
                </c:pt>
                <c:pt idx="12">
                  <c:v>2.5531713675763488E-2</c:v>
                </c:pt>
                <c:pt idx="13">
                  <c:v>2.5085878161899642E-2</c:v>
                </c:pt>
                <c:pt idx="14">
                  <c:v>2.4679807491526349E-2</c:v>
                </c:pt>
                <c:pt idx="15">
                  <c:v>2.4334037972378958E-2</c:v>
                </c:pt>
                <c:pt idx="16">
                  <c:v>2.4056117524140386E-2</c:v>
                </c:pt>
                <c:pt idx="17">
                  <c:v>2.3842876108181366E-2</c:v>
                </c:pt>
                <c:pt idx="18">
                  <c:v>2.3685012017538001E-2</c:v>
                </c:pt>
                <c:pt idx="19">
                  <c:v>2.3571239047329266E-2</c:v>
                </c:pt>
                <c:pt idx="20">
                  <c:v>2.3490861744769755E-2</c:v>
                </c:pt>
                <c:pt idx="21">
                  <c:v>2.343491133069887E-2</c:v>
                </c:pt>
                <c:pt idx="22">
                  <c:v>2.3396387705024099E-2</c:v>
                </c:pt>
                <c:pt idx="23">
                  <c:v>2.3370074062632439E-2</c:v>
                </c:pt>
                <c:pt idx="24">
                  <c:v>2.3352203619383154E-2</c:v>
                </c:pt>
                <c:pt idx="25">
                  <c:v>2.3340116636778954E-2</c:v>
                </c:pt>
                <c:pt idx="26">
                  <c:v>2.3331964668597865E-2</c:v>
                </c:pt>
                <c:pt idx="27">
                  <c:v>2.3326477452239425E-2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9E-4252-84BF-9E0AAB52FEAF}"/>
            </c:ext>
          </c:extLst>
        </c:ser>
        <c:ser>
          <c:idx val="4"/>
          <c:order val="4"/>
          <c:tx>
            <c:strRef>
              <c:f>'Railway (Battery)'!$A$429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(Battery)'!$B$513:$AC$513</c:f>
              <c:numCache>
                <c:formatCode>0.00</c:formatCode>
                <c:ptCount val="28"/>
                <c:pt idx="0">
                  <c:v>3.2963848028086419E-2</c:v>
                </c:pt>
                <c:pt idx="1">
                  <c:v>3.2920937601952971E-2</c:v>
                </c:pt>
                <c:pt idx="2">
                  <c:v>3.2860013327051844E-2</c:v>
                </c:pt>
                <c:pt idx="3">
                  <c:v>3.2773907367644746E-2</c:v>
                </c:pt>
                <c:pt idx="4">
                  <c:v>3.2653025075310711E-2</c:v>
                </c:pt>
                <c:pt idx="5">
                  <c:v>3.2484971472726366E-2</c:v>
                </c:pt>
                <c:pt idx="6">
                  <c:v>3.225460616948711E-2</c:v>
                </c:pt>
                <c:pt idx="7">
                  <c:v>3.1945070328008841E-2</c:v>
                </c:pt>
                <c:pt idx="8">
                  <c:v>3.1540524450489452E-2</c:v>
                </c:pt>
                <c:pt idx="9">
                  <c:v>3.1031167784090669E-2</c:v>
                </c:pt>
                <c:pt idx="10">
                  <c:v>3.0420046825429245E-2</c:v>
                </c:pt>
                <c:pt idx="11">
                  <c:v>2.9729009763123138E-2</c:v>
                </c:pt>
                <c:pt idx="12">
                  <c:v>2.8999254485980296E-2</c:v>
                </c:pt>
                <c:pt idx="13">
                  <c:v>2.8283221562114345E-2</c:v>
                </c:pt>
                <c:pt idx="14">
                  <c:v>2.7630223205355197E-2</c:v>
                </c:pt>
                <c:pt idx="15">
                  <c:v>2.7073540761379581E-2</c:v>
                </c:pt>
                <c:pt idx="16">
                  <c:v>2.6625623607210672E-2</c:v>
                </c:pt>
                <c:pt idx="17">
                  <c:v>2.6281630457887662E-2</c:v>
                </c:pt>
                <c:pt idx="18">
                  <c:v>2.602676544823734E-2</c:v>
                </c:pt>
                <c:pt idx="19">
                  <c:v>2.5842957551116465E-2</c:v>
                </c:pt>
                <c:pt idx="20">
                  <c:v>2.5713028384873885E-2</c:v>
                </c:pt>
                <c:pt idx="21">
                  <c:v>2.5622543579078262E-2</c:v>
                </c:pt>
                <c:pt idx="22">
                  <c:v>2.5560219876840724E-2</c:v>
                </c:pt>
                <c:pt idx="23">
                  <c:v>2.5517638310525323E-2</c:v>
                </c:pt>
                <c:pt idx="24">
                  <c:v>2.5488714272415926E-2</c:v>
                </c:pt>
                <c:pt idx="25">
                  <c:v>2.5469148355829051E-2</c:v>
                </c:pt>
                <c:pt idx="26">
                  <c:v>2.5455951039062237E-2</c:v>
                </c:pt>
                <c:pt idx="27">
                  <c:v>2.5447067145162188E-2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9E-4252-84BF-9E0AAB52F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27192"/>
        <c:axId val="676326864"/>
      </c:lineChart>
      <c:catAx>
        <c:axId val="67632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26864"/>
        <c:crosses val="autoZero"/>
        <c:auto val="1"/>
        <c:lblAlgn val="ctr"/>
        <c:lblOffset val="100"/>
        <c:tickLblSkip val="3"/>
        <c:noMultiLvlLbl val="0"/>
      </c:catAx>
      <c:valAx>
        <c:axId val="6763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2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(Hydrogen)'!$A$1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(Hydrogen)'!$B$85:$AC$85</c:f>
              <c:numCache>
                <c:formatCode>0.0000</c:formatCode>
                <c:ptCount val="28"/>
                <c:pt idx="0">
                  <c:v>2.839890510115458E-2</c:v>
                </c:pt>
                <c:pt idx="1">
                  <c:v>2.8327171627153341E-2</c:v>
                </c:pt>
                <c:pt idx="2">
                  <c:v>2.8225390595848127E-2</c:v>
                </c:pt>
                <c:pt idx="3">
                  <c:v>2.8081673262938048E-2</c:v>
                </c:pt>
                <c:pt idx="4">
                  <c:v>2.7880173795556219E-2</c:v>
                </c:pt>
                <c:pt idx="5">
                  <c:v>2.7600553230270823E-2</c:v>
                </c:pt>
                <c:pt idx="6">
                  <c:v>2.7218216514762764E-2</c:v>
                </c:pt>
                <c:pt idx="7">
                  <c:v>2.6706235402363998E-2</c:v>
                </c:pt>
                <c:pt idx="8">
                  <c:v>2.6040141597833785E-2</c:v>
                </c:pt>
                <c:pt idx="9">
                  <c:v>2.520637454157644E-2</c:v>
                </c:pt>
                <c:pt idx="10">
                  <c:v>2.4213249103402178E-2</c:v>
                </c:pt>
                <c:pt idx="11">
                  <c:v>2.3099757961821302E-2</c:v>
                </c:pt>
                <c:pt idx="12">
                  <c:v>2.1934850560807562E-2</c:v>
                </c:pt>
                <c:pt idx="13">
                  <c:v>2.0802818246983927E-2</c:v>
                </c:pt>
                <c:pt idx="14">
                  <c:v>1.9779919608796822E-2</c:v>
                </c:pt>
                <c:pt idx="15">
                  <c:v>1.8915025941275868E-2</c:v>
                </c:pt>
                <c:pt idx="16">
                  <c:v>1.8223860295704653E-2</c:v>
                </c:pt>
                <c:pt idx="17">
                  <c:v>1.769590464312586E-2</c:v>
                </c:pt>
                <c:pt idx="18">
                  <c:v>1.7306316651402365E-2</c:v>
                </c:pt>
                <c:pt idx="19">
                  <c:v>1.7026164274446632E-2</c:v>
                </c:pt>
                <c:pt idx="20">
                  <c:v>1.6828536140104277E-2</c:v>
                </c:pt>
                <c:pt idx="21">
                  <c:v>1.6691098206532817E-2</c:v>
                </c:pt>
                <c:pt idx="22">
                  <c:v>1.6596524845269463E-2</c:v>
                </c:pt>
                <c:pt idx="23">
                  <c:v>1.6531950955174957E-2</c:v>
                </c:pt>
                <c:pt idx="24">
                  <c:v>1.6488107389032738E-2</c:v>
                </c:pt>
                <c:pt idx="25">
                  <c:v>1.6458457657262202E-2</c:v>
                </c:pt>
                <c:pt idx="26">
                  <c:v>1.6438462653265727E-2</c:v>
                </c:pt>
                <c:pt idx="27">
                  <c:v>1.6425004593815962E-2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F-44EA-8E38-87A247D90CE5}"/>
            </c:ext>
          </c:extLst>
        </c:ser>
        <c:ser>
          <c:idx val="1"/>
          <c:order val="1"/>
          <c:tx>
            <c:strRef>
              <c:f>'Railway (Hydrogen)'!$A$107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(Hydrogen)'!$B$191:$AC$191</c:f>
              <c:numCache>
                <c:formatCode>0.00</c:formatCode>
                <c:ptCount val="28"/>
                <c:pt idx="0">
                  <c:v>4.2698525335139244E-2</c:v>
                </c:pt>
                <c:pt idx="1">
                  <c:v>4.259123543476754E-2</c:v>
                </c:pt>
                <c:pt idx="2">
                  <c:v>4.2439004180663237E-2</c:v>
                </c:pt>
                <c:pt idx="3">
                  <c:v>4.2224049885694254E-2</c:v>
                </c:pt>
                <c:pt idx="4">
                  <c:v>4.1922672347782505E-2</c:v>
                </c:pt>
                <c:pt idx="5">
                  <c:v>4.1504451105760481E-2</c:v>
                </c:pt>
                <c:pt idx="6">
                  <c:v>4.0932599976473187E-2</c:v>
                </c:pt>
                <c:pt idx="7">
                  <c:v>4.0166843078368472E-2</c:v>
                </c:pt>
                <c:pt idx="8">
                  <c:v>3.9170583815572577E-2</c:v>
                </c:pt>
                <c:pt idx="9">
                  <c:v>3.7923540010088887E-2</c:v>
                </c:pt>
                <c:pt idx="10">
                  <c:v>3.643814799747714E-2</c:v>
                </c:pt>
                <c:pt idx="11">
                  <c:v>3.4772728117729815E-2</c:v>
                </c:pt>
                <c:pt idx="12">
                  <c:v>3.3030406269566145E-2</c:v>
                </c:pt>
                <c:pt idx="13">
                  <c:v>3.1337254838400226E-2</c:v>
                </c:pt>
                <c:pt idx="14">
                  <c:v>2.9807331821154991E-2</c:v>
                </c:pt>
                <c:pt idx="15">
                  <c:v>2.8513732748860668E-2</c:v>
                </c:pt>
                <c:pt idx="16">
                  <c:v>2.7479974182359243E-2</c:v>
                </c:pt>
                <c:pt idx="17">
                  <c:v>2.6690324577979502E-2</c:v>
                </c:pt>
                <c:pt idx="18">
                  <c:v>2.6107627902543014E-2</c:v>
                </c:pt>
                <c:pt idx="19">
                  <c:v>2.568861124357066E-2</c:v>
                </c:pt>
                <c:pt idx="20">
                  <c:v>2.5393023958283547E-2</c:v>
                </c:pt>
                <c:pt idx="21">
                  <c:v>2.5187461598374396E-2</c:v>
                </c:pt>
                <c:pt idx="22">
                  <c:v>2.5046010669794134E-2</c:v>
                </c:pt>
                <c:pt idx="23">
                  <c:v>2.4949429173758773E-2</c:v>
                </c:pt>
                <c:pt idx="24">
                  <c:v>2.4883853486691698E-2</c:v>
                </c:pt>
                <c:pt idx="25">
                  <c:v>2.4839507150312475E-2</c:v>
                </c:pt>
                <c:pt idx="26">
                  <c:v>2.4809601140369654E-2</c:v>
                </c:pt>
                <c:pt idx="27">
                  <c:v>2.47894722691883E-2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F-44EA-8E38-87A247D90CE5}"/>
            </c:ext>
          </c:extLst>
        </c:ser>
        <c:ser>
          <c:idx val="2"/>
          <c:order val="2"/>
          <c:tx>
            <c:strRef>
              <c:f>'Railway (Hydrogen)'!$A$215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(Hydrogen)'!$B$299:$AC$299</c:f>
              <c:numCache>
                <c:formatCode>0.00</c:formatCode>
                <c:ptCount val="28"/>
                <c:pt idx="0">
                  <c:v>4.0991754097091826E-2</c:v>
                </c:pt>
                <c:pt idx="1">
                  <c:v>4.0884464196720122E-2</c:v>
                </c:pt>
                <c:pt idx="2">
                  <c:v>4.0732232942615812E-2</c:v>
                </c:pt>
                <c:pt idx="3">
                  <c:v>4.0517278647646836E-2</c:v>
                </c:pt>
                <c:pt idx="4">
                  <c:v>4.021590110973508E-2</c:v>
                </c:pt>
                <c:pt idx="5">
                  <c:v>3.9797679867713057E-2</c:v>
                </c:pt>
                <c:pt idx="6">
                  <c:v>3.9225828738425762E-2</c:v>
                </c:pt>
                <c:pt idx="7">
                  <c:v>3.8460071840321054E-2</c:v>
                </c:pt>
                <c:pt idx="8">
                  <c:v>3.7463812577525159E-2</c:v>
                </c:pt>
                <c:pt idx="9">
                  <c:v>3.6216768772041455E-2</c:v>
                </c:pt>
                <c:pt idx="10">
                  <c:v>3.4731376759429715E-2</c:v>
                </c:pt>
                <c:pt idx="11">
                  <c:v>3.3065956879682397E-2</c:v>
                </c:pt>
                <c:pt idx="12">
                  <c:v>3.1323635031518721E-2</c:v>
                </c:pt>
                <c:pt idx="13">
                  <c:v>2.9630483600352805E-2</c:v>
                </c:pt>
                <c:pt idx="14">
                  <c:v>2.8100560583107566E-2</c:v>
                </c:pt>
                <c:pt idx="15">
                  <c:v>2.6806961510813247E-2</c:v>
                </c:pt>
                <c:pt idx="16">
                  <c:v>2.5773202944311815E-2</c:v>
                </c:pt>
                <c:pt idx="17">
                  <c:v>2.4983553339932081E-2</c:v>
                </c:pt>
                <c:pt idx="18">
                  <c:v>2.4400856664495596E-2</c:v>
                </c:pt>
                <c:pt idx="19">
                  <c:v>2.3981840005523235E-2</c:v>
                </c:pt>
                <c:pt idx="20">
                  <c:v>2.3686252720236126E-2</c:v>
                </c:pt>
                <c:pt idx="21">
                  <c:v>2.3480690360326975E-2</c:v>
                </c:pt>
                <c:pt idx="22">
                  <c:v>2.3339239431746716E-2</c:v>
                </c:pt>
                <c:pt idx="23">
                  <c:v>2.3242657935711352E-2</c:v>
                </c:pt>
                <c:pt idx="24">
                  <c:v>2.3177082248644277E-2</c:v>
                </c:pt>
                <c:pt idx="25">
                  <c:v>2.3132735912265053E-2</c:v>
                </c:pt>
                <c:pt idx="26">
                  <c:v>2.3102829902322233E-2</c:v>
                </c:pt>
                <c:pt idx="27">
                  <c:v>2.3082701031140882E-2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F-44EA-8E38-87A247D90CE5}"/>
            </c:ext>
          </c:extLst>
        </c:ser>
        <c:ser>
          <c:idx val="3"/>
          <c:order val="3"/>
          <c:tx>
            <c:strRef>
              <c:f>'Railway (Hydrogen)'!$A$324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(Hydrogen)'!$B$408:$AC$408</c:f>
              <c:numCache>
                <c:formatCode>0.00</c:formatCode>
                <c:ptCount val="28"/>
                <c:pt idx="0">
                  <c:v>3.3213188966237359E-2</c:v>
                </c:pt>
                <c:pt idx="1">
                  <c:v>3.3149356920318444E-2</c:v>
                </c:pt>
                <c:pt idx="2">
                  <c:v>3.3058787049635247E-2</c:v>
                </c:pt>
                <c:pt idx="3">
                  <c:v>3.2930900152738259E-2</c:v>
                </c:pt>
                <c:pt idx="4">
                  <c:v>3.2751595812140849E-2</c:v>
                </c:pt>
                <c:pt idx="5">
                  <c:v>3.2502775397241376E-2</c:v>
                </c:pt>
                <c:pt idx="6">
                  <c:v>3.2162552995906465E-2</c:v>
                </c:pt>
                <c:pt idx="7">
                  <c:v>3.1706966502553467E-2</c:v>
                </c:pt>
                <c:pt idx="8">
                  <c:v>3.1114242799860092E-2</c:v>
                </c:pt>
                <c:pt idx="9">
                  <c:v>3.0372315021208591E-2</c:v>
                </c:pt>
                <c:pt idx="10">
                  <c:v>2.9488582155131556E-2</c:v>
                </c:pt>
                <c:pt idx="11">
                  <c:v>2.849774184425433E-2</c:v>
                </c:pt>
                <c:pt idx="12">
                  <c:v>2.7461148764829461E-2</c:v>
                </c:pt>
                <c:pt idx="13">
                  <c:v>2.6453809588193E-2</c:v>
                </c:pt>
                <c:pt idx="14">
                  <c:v>2.5543583034241035E-2</c:v>
                </c:pt>
                <c:pt idx="15">
                  <c:v>2.4773957234447495E-2</c:v>
                </c:pt>
                <c:pt idx="16">
                  <c:v>2.4158923349083001E-2</c:v>
                </c:pt>
                <c:pt idx="17">
                  <c:v>2.3689121908015535E-2</c:v>
                </c:pt>
                <c:pt idx="18">
                  <c:v>2.3342446957117138E-2</c:v>
                </c:pt>
                <c:pt idx="19">
                  <c:v>2.3093153309498436E-2</c:v>
                </c:pt>
                <c:pt idx="20">
                  <c:v>2.2917293875366024E-2</c:v>
                </c:pt>
                <c:pt idx="21">
                  <c:v>2.2794994703202939E-2</c:v>
                </c:pt>
                <c:pt idx="22">
                  <c:v>2.2710838579121127E-2</c:v>
                </c:pt>
                <c:pt idx="23">
                  <c:v>2.2653377490346814E-2</c:v>
                </c:pt>
                <c:pt idx="24">
                  <c:v>2.2614363284410108E-2</c:v>
                </c:pt>
                <c:pt idx="25">
                  <c:v>2.2587979464774838E-2</c:v>
                </c:pt>
                <c:pt idx="26">
                  <c:v>2.2570186906544221E-2</c:v>
                </c:pt>
                <c:pt idx="27">
                  <c:v>2.2558211249701473E-2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F-44EA-8E38-87A247D90CE5}"/>
            </c:ext>
          </c:extLst>
        </c:ser>
        <c:ser>
          <c:idx val="4"/>
          <c:order val="4"/>
          <c:tx>
            <c:strRef>
              <c:f>'Railway (Hydrogen)'!$A$429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(Hydrogen)'!$B$513:$AC$513</c:f>
              <c:numCache>
                <c:formatCode>0.00</c:formatCode>
                <c:ptCount val="28"/>
                <c:pt idx="0">
                  <c:v>4.2030630258148627E-2</c:v>
                </c:pt>
                <c:pt idx="1">
                  <c:v>4.1923565220552385E-2</c:v>
                </c:pt>
                <c:pt idx="2">
                  <c:v>4.1771653019240483E-2</c:v>
                </c:pt>
                <c:pt idx="3">
                  <c:v>4.1557149234703494E-2</c:v>
                </c:pt>
                <c:pt idx="4">
                  <c:v>4.1256403336763475E-2</c:v>
                </c:pt>
                <c:pt idx="5">
                  <c:v>4.0839058620760336E-2</c:v>
                </c:pt>
                <c:pt idx="6">
                  <c:v>4.0268406001599713E-2</c:v>
                </c:pt>
                <c:pt idx="7">
                  <c:v>3.9504254009649659E-2</c:v>
                </c:pt>
                <c:pt idx="8">
                  <c:v>3.8510082749751887E-2</c:v>
                </c:pt>
                <c:pt idx="9">
                  <c:v>3.7265652552168439E-2</c:v>
                </c:pt>
                <c:pt idx="10">
                  <c:v>3.5783373687853524E-2</c:v>
                </c:pt>
                <c:pt idx="11">
                  <c:v>3.4121444266529397E-2</c:v>
                </c:pt>
                <c:pt idx="12">
                  <c:v>3.2382774051233076E-2</c:v>
                </c:pt>
                <c:pt idx="13">
                  <c:v>3.069317119946538E-2</c:v>
                </c:pt>
                <c:pt idx="14">
                  <c:v>2.9166454660506661E-2</c:v>
                </c:pt>
                <c:pt idx="15">
                  <c:v>2.787556676863779E-2</c:v>
                </c:pt>
                <c:pt idx="16">
                  <c:v>2.6843974797683749E-2</c:v>
                </c:pt>
                <c:pt idx="17">
                  <c:v>2.6055980174817372E-2</c:v>
                </c:pt>
                <c:pt idx="18">
                  <c:v>2.5474504740068408E-2</c:v>
                </c:pt>
                <c:pt idx="19">
                  <c:v>2.5056366274183894E-2</c:v>
                </c:pt>
                <c:pt idx="20">
                  <c:v>2.4761398493408693E-2</c:v>
                </c:pt>
                <c:pt idx="21">
                  <c:v>2.4556266959911165E-2</c:v>
                </c:pt>
                <c:pt idx="22">
                  <c:v>2.4415112490254638E-2</c:v>
                </c:pt>
                <c:pt idx="23">
                  <c:v>2.4318733413861593E-2</c:v>
                </c:pt>
                <c:pt idx="24">
                  <c:v>2.4253295163132384E-2</c:v>
                </c:pt>
                <c:pt idx="25">
                  <c:v>2.4209041769707208E-2</c:v>
                </c:pt>
                <c:pt idx="26">
                  <c:v>2.4179198438062856E-2</c:v>
                </c:pt>
                <c:pt idx="27">
                  <c:v>2.415911175383317E-2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0F-44EA-8E38-87A247D90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895760"/>
        <c:axId val="836896088"/>
      </c:lineChart>
      <c:catAx>
        <c:axId val="836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36896088"/>
        <c:crosses val="autoZero"/>
        <c:auto val="1"/>
        <c:lblAlgn val="ctr"/>
        <c:lblOffset val="100"/>
        <c:tickLblSkip val="3"/>
        <c:noMultiLvlLbl val="0"/>
      </c:catAx>
      <c:valAx>
        <c:axId val="83689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368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(MGO)'!$A$1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(MGO)'!$B$85:$AC$85</c:f>
              <c:numCache>
                <c:formatCode>0.0000</c:formatCode>
                <c:ptCount val="28"/>
                <c:pt idx="0">
                  <c:v>1.6720368033460047E-2</c:v>
                </c:pt>
                <c:pt idx="1">
                  <c:v>1.6727545667887068E-2</c:v>
                </c:pt>
                <c:pt idx="2">
                  <c:v>1.6737820291700428E-2</c:v>
                </c:pt>
                <c:pt idx="3">
                  <c:v>1.6752518863609286E-2</c:v>
                </c:pt>
                <c:pt idx="4">
                  <c:v>1.6773526366267961E-2</c:v>
                </c:pt>
                <c:pt idx="5">
                  <c:v>1.6803508612471485E-2</c:v>
                </c:pt>
                <c:pt idx="6">
                  <c:v>1.6846210686515428E-2</c:v>
                </c:pt>
                <c:pt idx="7">
                  <c:v>1.6906841510239162E-2</c:v>
                </c:pt>
                <c:pt idx="8">
                  <c:v>1.6992537353322488E-2</c:v>
                </c:pt>
                <c:pt idx="9">
                  <c:v>1.7112852770930408E-2</c:v>
                </c:pt>
                <c:pt idx="10">
                  <c:v>1.7280134877254466E-2</c:v>
                </c:pt>
                <c:pt idx="11">
                  <c:v>1.7509472386988703E-2</c:v>
                </c:pt>
                <c:pt idx="12">
                  <c:v>1.7817677425257503E-2</c:v>
                </c:pt>
                <c:pt idx="13">
                  <c:v>1.8220560951109372E-2</c:v>
                </c:pt>
                <c:pt idx="14">
                  <c:v>1.8727924655765518E-2</c:v>
                </c:pt>
                <c:pt idx="15">
                  <c:v>1.9336746537475469E-2</c:v>
                </c:pt>
                <c:pt idx="16">
                  <c:v>2.0025186281300157E-2</c:v>
                </c:pt>
                <c:pt idx="17">
                  <c:v>2.0751969294258689E-2</c:v>
                </c:pt>
                <c:pt idx="18">
                  <c:v>2.1464450576931693E-2</c:v>
                </c:pt>
                <c:pt idx="19">
                  <c:v>2.2113036953946227E-2</c:v>
                </c:pt>
                <c:pt idx="20">
                  <c:v>2.2664243013932373E-2</c:v>
                </c:pt>
                <c:pt idx="21">
                  <c:v>2.3105660352568898E-2</c:v>
                </c:pt>
                <c:pt idx="22">
                  <c:v>2.3442481373448131E-2</c:v>
                </c:pt>
                <c:pt idx="23">
                  <c:v>2.3690071836879288E-2</c:v>
                </c:pt>
                <c:pt idx="24">
                  <c:v>2.3867095436424436E-2</c:v>
                </c:pt>
                <c:pt idx="25">
                  <c:v>2.3991162836922278E-2</c:v>
                </c:pt>
                <c:pt idx="26">
                  <c:v>2.4076901036444675E-2</c:v>
                </c:pt>
                <c:pt idx="27">
                  <c:v>2.4135575958876221E-2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D-4141-A447-73549E6456BD}"/>
            </c:ext>
          </c:extLst>
        </c:ser>
        <c:ser>
          <c:idx val="1"/>
          <c:order val="1"/>
          <c:tx>
            <c:strRef>
              <c:f>'Short-sea (MGO)'!$A$107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(MGO)'!$B$191:$AC$191</c:f>
              <c:numCache>
                <c:formatCode>0.00</c:formatCode>
                <c:ptCount val="28"/>
                <c:pt idx="0" formatCode="0.000">
                  <c:v>2.0691815981929748E-2</c:v>
                </c:pt>
                <c:pt idx="1">
                  <c:v>2.0700328990203652E-2</c:v>
                </c:pt>
                <c:pt idx="2">
                  <c:v>2.0712515171935779E-2</c:v>
                </c:pt>
                <c:pt idx="3">
                  <c:v>2.0729948361874188E-2</c:v>
                </c:pt>
                <c:pt idx="4">
                  <c:v>2.0754864237120529E-2</c:v>
                </c:pt>
                <c:pt idx="5">
                  <c:v>2.0790424575640985E-2</c:v>
                </c:pt>
                <c:pt idx="6">
                  <c:v>2.0841071221600085E-2</c:v>
                </c:pt>
                <c:pt idx="7">
                  <c:v>2.0912982198574747E-2</c:v>
                </c:pt>
                <c:pt idx="8">
                  <c:v>2.1014621454324738E-2</c:v>
                </c:pt>
                <c:pt idx="9">
                  <c:v>2.115732113567366E-2</c:v>
                </c:pt>
                <c:pt idx="10">
                  <c:v>2.1355725494337077E-2</c:v>
                </c:pt>
                <c:pt idx="11">
                  <c:v>2.1627730447742806E-2</c:v>
                </c:pt>
                <c:pt idx="12">
                  <c:v>2.1993275958247661E-2</c:v>
                </c:pt>
                <c:pt idx="13">
                  <c:v>2.2471114558676619E-2</c:v>
                </c:pt>
                <c:pt idx="14">
                  <c:v>2.3072871510710653E-2</c:v>
                </c:pt>
                <c:pt idx="15">
                  <c:v>2.379496257971548E-2</c:v>
                </c:pt>
                <c:pt idx="16">
                  <c:v>2.4611484136344758E-2</c:v>
                </c:pt>
                <c:pt idx="17">
                  <c:v>2.5473482593574646E-2</c:v>
                </c:pt>
                <c:pt idx="18">
                  <c:v>2.6318518533489141E-2</c:v>
                </c:pt>
                <c:pt idx="19">
                  <c:v>2.7087772143436613E-2</c:v>
                </c:pt>
                <c:pt idx="20">
                  <c:v>2.7741528168071346E-2</c:v>
                </c:pt>
                <c:pt idx="21">
                  <c:v>2.8265069662733268E-2</c:v>
                </c:pt>
                <c:pt idx="22">
                  <c:v>2.8664555059590032E-2</c:v>
                </c:pt>
                <c:pt idx="23">
                  <c:v>2.8958208865054895E-2</c:v>
                </c:pt>
                <c:pt idx="24">
                  <c:v>2.9168167087771226E-2</c:v>
                </c:pt>
                <c:pt idx="25">
                  <c:v>2.9315316795338435E-2</c:v>
                </c:pt>
                <c:pt idx="26">
                  <c:v>2.9417006287795238E-2</c:v>
                </c:pt>
                <c:pt idx="27">
                  <c:v>2.9486597474865213E-2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D-4141-A447-73549E6456BD}"/>
            </c:ext>
          </c:extLst>
        </c:ser>
        <c:ser>
          <c:idx val="2"/>
          <c:order val="2"/>
          <c:tx>
            <c:strRef>
              <c:f>'Short-sea (MGO)'!$A$215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(MGO)'!$B$299:$AC$299</c:f>
              <c:numCache>
                <c:formatCode>0.00</c:formatCode>
                <c:ptCount val="28"/>
                <c:pt idx="0" formatCode="0.0000">
                  <c:v>2.186038879647699E-2</c:v>
                </c:pt>
                <c:pt idx="1">
                  <c:v>2.1869774933804625E-2</c:v>
                </c:pt>
                <c:pt idx="2">
                  <c:v>2.188321098032979E-2</c:v>
                </c:pt>
                <c:pt idx="3">
                  <c:v>2.1902432189749063E-2</c:v>
                </c:pt>
                <c:pt idx="4">
                  <c:v>2.1929903539379642E-2</c:v>
                </c:pt>
                <c:pt idx="5">
                  <c:v>2.1969111092107328E-2</c:v>
                </c:pt>
                <c:pt idx="6">
                  <c:v>2.2024952265857104E-2</c:v>
                </c:pt>
                <c:pt idx="7">
                  <c:v>2.2104238727649678E-2</c:v>
                </c:pt>
                <c:pt idx="8">
                  <c:v>2.2216302522450951E-2</c:v>
                </c:pt>
                <c:pt idx="9">
                  <c:v>2.2373638068553608E-2</c:v>
                </c:pt>
                <c:pt idx="10">
                  <c:v>2.2592391592208147E-2</c:v>
                </c:pt>
                <c:pt idx="11">
                  <c:v>2.289229448955292E-2</c:v>
                </c:pt>
                <c:pt idx="12">
                  <c:v>2.3295331847289047E-2</c:v>
                </c:pt>
                <c:pt idx="13">
                  <c:v>2.3822179534941489E-2</c:v>
                </c:pt>
                <c:pt idx="14">
                  <c:v>2.4485655148722602E-2</c:v>
                </c:pt>
                <c:pt idx="15">
                  <c:v>2.5281806840189457E-2</c:v>
                </c:pt>
                <c:pt idx="16">
                  <c:v>2.6182074197498666E-2</c:v>
                </c:pt>
                <c:pt idx="17">
                  <c:v>2.713248275290598E-2</c:v>
                </c:pt>
                <c:pt idx="18">
                  <c:v>2.8064189045632217E-2</c:v>
                </c:pt>
                <c:pt idx="19">
                  <c:v>2.8912340461728147E-2</c:v>
                </c:pt>
                <c:pt idx="20">
                  <c:v>2.9633148386325418E-2</c:v>
                </c:pt>
                <c:pt idx="21">
                  <c:v>3.0210386444542405E-2</c:v>
                </c:pt>
                <c:pt idx="22">
                  <c:v>3.0650844702615251E-2</c:v>
                </c:pt>
                <c:pt idx="23">
                  <c:v>3.0974616847102149E-2</c:v>
                </c:pt>
                <c:pt idx="24">
                  <c:v>3.1206109246507338E-2</c:v>
                </c:pt>
                <c:pt idx="25">
                  <c:v>3.1368351231773742E-2</c:v>
                </c:pt>
                <c:pt idx="26">
                  <c:v>3.1480470415764579E-2</c:v>
                </c:pt>
                <c:pt idx="27">
                  <c:v>3.1557199160482753E-2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D-4141-A447-73549E6456BD}"/>
            </c:ext>
          </c:extLst>
        </c:ser>
        <c:ser>
          <c:idx val="3"/>
          <c:order val="3"/>
          <c:tx>
            <c:strRef>
              <c:f>'Short-sea (MGO)'!$A$324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(MGO)'!$B$408:$AC$408</c:f>
              <c:numCache>
                <c:formatCode>0.00</c:formatCode>
                <c:ptCount val="28"/>
                <c:pt idx="0" formatCode="0.000">
                  <c:v>1.6713521644521938E-2</c:v>
                </c:pt>
                <c:pt idx="1">
                  <c:v>1.672069927894896E-2</c:v>
                </c:pt>
                <c:pt idx="2">
                  <c:v>1.6730973902762312E-2</c:v>
                </c:pt>
                <c:pt idx="3">
                  <c:v>1.6745672474671177E-2</c:v>
                </c:pt>
                <c:pt idx="4">
                  <c:v>1.6766679977329852E-2</c:v>
                </c:pt>
                <c:pt idx="5">
                  <c:v>1.6796662223533376E-2</c:v>
                </c:pt>
                <c:pt idx="6">
                  <c:v>1.6839364297577323E-2</c:v>
                </c:pt>
                <c:pt idx="7">
                  <c:v>1.6899995121301057E-2</c:v>
                </c:pt>
                <c:pt idx="8">
                  <c:v>1.6985690964384383E-2</c:v>
                </c:pt>
                <c:pt idx="9">
                  <c:v>1.7106006381992295E-2</c:v>
                </c:pt>
                <c:pt idx="10">
                  <c:v>1.7273288488316354E-2</c:v>
                </c:pt>
                <c:pt idx="11">
                  <c:v>1.7502625998050594E-2</c:v>
                </c:pt>
                <c:pt idx="12">
                  <c:v>1.7810831036319398E-2</c:v>
                </c:pt>
                <c:pt idx="13">
                  <c:v>1.8213714562171263E-2</c:v>
                </c:pt>
                <c:pt idx="14">
                  <c:v>1.8721078266827406E-2</c:v>
                </c:pt>
                <c:pt idx="15">
                  <c:v>1.932990014853736E-2</c:v>
                </c:pt>
                <c:pt idx="16">
                  <c:v>2.0018339892362045E-2</c:v>
                </c:pt>
                <c:pt idx="17">
                  <c:v>2.074512290532058E-2</c:v>
                </c:pt>
                <c:pt idx="18">
                  <c:v>2.1457604187993584E-2</c:v>
                </c:pt>
                <c:pt idx="19">
                  <c:v>2.2106190565008114E-2</c:v>
                </c:pt>
                <c:pt idx="20">
                  <c:v>2.2657396624994264E-2</c:v>
                </c:pt>
                <c:pt idx="21">
                  <c:v>2.3098813963630786E-2</c:v>
                </c:pt>
                <c:pt idx="22">
                  <c:v>2.3435634984510022E-2</c:v>
                </c:pt>
                <c:pt idx="23">
                  <c:v>2.3683225447941179E-2</c:v>
                </c:pt>
                <c:pt idx="24">
                  <c:v>2.3860249047486327E-2</c:v>
                </c:pt>
                <c:pt idx="25">
                  <c:v>2.3984316447984166E-2</c:v>
                </c:pt>
                <c:pt idx="26">
                  <c:v>2.407005464750657E-2</c:v>
                </c:pt>
                <c:pt idx="27">
                  <c:v>2.4128729569938112E-2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CD-4141-A447-73549E64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39000"/>
        <c:axId val="676332768"/>
      </c:lineChart>
      <c:catAx>
        <c:axId val="6763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32768"/>
        <c:crosses val="autoZero"/>
        <c:auto val="1"/>
        <c:lblAlgn val="ctr"/>
        <c:lblOffset val="100"/>
        <c:tickLblSkip val="3"/>
        <c:noMultiLvlLbl val="0"/>
      </c:catAx>
      <c:valAx>
        <c:axId val="6763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(Hydrogen)'!$A$1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(Hydrogen)'!$B$85:$AC$85</c:f>
              <c:numCache>
                <c:formatCode>0.00</c:formatCode>
                <c:ptCount val="28"/>
                <c:pt idx="0">
                  <c:v>3.4818804120443622E-2</c:v>
                </c:pt>
                <c:pt idx="1">
                  <c:v>3.4799586456667871E-2</c:v>
                </c:pt>
                <c:pt idx="2">
                  <c:v>3.4772082984067476E-2</c:v>
                </c:pt>
                <c:pt idx="3">
                  <c:v>3.473274999288356E-2</c:v>
                </c:pt>
                <c:pt idx="4">
                  <c:v>3.4676560338444136E-2</c:v>
                </c:pt>
                <c:pt idx="5">
                  <c:v>3.4596418277082944E-2</c:v>
                </c:pt>
                <c:pt idx="6">
                  <c:v>3.4482383333463394E-2</c:v>
                </c:pt>
                <c:pt idx="7">
                  <c:v>3.4320686022385069E-2</c:v>
                </c:pt>
                <c:pt idx="8">
                  <c:v>3.4092574511722554E-2</c:v>
                </c:pt>
                <c:pt idx="9">
                  <c:v>3.3773163778786683E-2</c:v>
                </c:pt>
                <c:pt idx="10">
                  <c:v>3.3330722876350596E-2</c:v>
                </c:pt>
                <c:pt idx="11">
                  <c:v>3.2727281010829723E-2</c:v>
                </c:pt>
                <c:pt idx="12">
                  <c:v>3.1922010247381075E-2</c:v>
                </c:pt>
                <c:pt idx="13">
                  <c:v>3.0879189773905309E-2</c:v>
                </c:pt>
                <c:pt idx="14">
                  <c:v>2.9581736902504784E-2</c:v>
                </c:pt>
                <c:pt idx="15">
                  <c:v>2.8048023608671816E-2</c:v>
                </c:pt>
                <c:pt idx="16">
                  <c:v>2.6344127020875758E-2</c:v>
                </c:pt>
                <c:pt idx="17">
                  <c:v>2.4580204501903902E-2</c:v>
                </c:pt>
                <c:pt idx="18">
                  <c:v>2.2885635334347291E-2</c:v>
                </c:pt>
                <c:pt idx="19">
                  <c:v>2.137275111976325E-2</c:v>
                </c:pt>
                <c:pt idx="20">
                  <c:v>2.0109205762675154E-2</c:v>
                </c:pt>
                <c:pt idx="21">
                  <c:v>1.9111993964244303E-2</c:v>
                </c:pt>
                <c:pt idx="22">
                  <c:v>1.8359828833850369E-2</c:v>
                </c:pt>
                <c:pt idx="23">
                  <c:v>1.7811749820646761E-2</c:v>
                </c:pt>
                <c:pt idx="24">
                  <c:v>1.7422383378027356E-2</c:v>
                </c:pt>
                <c:pt idx="25">
                  <c:v>1.7150737344181922E-2</c:v>
                </c:pt>
                <c:pt idx="26">
                  <c:v>1.6963611094181034E-2</c:v>
                </c:pt>
                <c:pt idx="27">
                  <c:v>1.6835832771061182E-2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C-4889-87C8-F3C9BFA93ABA}"/>
            </c:ext>
          </c:extLst>
        </c:ser>
        <c:ser>
          <c:idx val="1"/>
          <c:order val="1"/>
          <c:tx>
            <c:strRef>
              <c:f>'Short-sea (Hydrogen)'!$A$107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(Hydrogen)'!$B$191:$AC$191</c:f>
              <c:numCache>
                <c:formatCode>0.00</c:formatCode>
                <c:ptCount val="28"/>
                <c:pt idx="0">
                  <c:v>4.1853643866071648E-2</c:v>
                </c:pt>
                <c:pt idx="1">
                  <c:v>4.1831102664363753E-2</c:v>
                </c:pt>
                <c:pt idx="2">
                  <c:v>4.179884257526198E-2</c:v>
                </c:pt>
                <c:pt idx="3">
                  <c:v>4.1752706862619185E-2</c:v>
                </c:pt>
                <c:pt idx="4">
                  <c:v>4.1686798608898255E-2</c:v>
                </c:pt>
                <c:pt idx="5">
                  <c:v>4.1592794139783798E-2</c:v>
                </c:pt>
                <c:pt idx="6">
                  <c:v>4.1459032239879005E-2</c:v>
                </c:pt>
                <c:pt idx="7">
                  <c:v>4.1269358811652473E-2</c:v>
                </c:pt>
                <c:pt idx="8">
                  <c:v>4.1001772462790576E-2</c:v>
                </c:pt>
                <c:pt idx="9">
                  <c:v>4.062707164121717E-2</c:v>
                </c:pt>
                <c:pt idx="10">
                  <c:v>4.0108013406167833E-2</c:v>
                </c:pt>
                <c:pt idx="11">
                  <c:v>3.9400015980930292E-2</c:v>
                </c:pt>
                <c:pt idx="12">
                  <c:v>3.8455115186444448E-2</c:v>
                </c:pt>
                <c:pt idx="13">
                  <c:v>3.7231295485575876E-2</c:v>
                </c:pt>
                <c:pt idx="14">
                  <c:v>3.5708361740196717E-2</c:v>
                </c:pt>
                <c:pt idx="15">
                  <c:v>3.3907693319763677E-2</c:v>
                </c:pt>
                <c:pt idx="16">
                  <c:v>3.1906682373505232E-2</c:v>
                </c:pt>
                <c:pt idx="17">
                  <c:v>2.9834569644231743E-2</c:v>
                </c:pt>
                <c:pt idx="18">
                  <c:v>2.7843330497701942E-2</c:v>
                </c:pt>
                <c:pt idx="19">
                  <c:v>2.6065078014926954E-2</c:v>
                </c:pt>
                <c:pt idx="20">
                  <c:v>2.4579525834544726E-2</c:v>
                </c:pt>
                <c:pt idx="21">
                  <c:v>2.3406857422418586E-2</c:v>
                </c:pt>
                <c:pt idx="22">
                  <c:v>2.2522205665638357E-2</c:v>
                </c:pt>
                <c:pt idx="23">
                  <c:v>2.1877508153746682E-2</c:v>
                </c:pt>
                <c:pt idx="24">
                  <c:v>2.1419460779681834E-2</c:v>
                </c:pt>
                <c:pt idx="25">
                  <c:v>2.1099878292337303E-2</c:v>
                </c:pt>
                <c:pt idx="26">
                  <c:v>2.087972070694339E-2</c:v>
                </c:pt>
                <c:pt idx="27">
                  <c:v>2.072938247471668E-2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C-4889-87C8-F3C9BFA93ABA}"/>
            </c:ext>
          </c:extLst>
        </c:ser>
        <c:ser>
          <c:idx val="2"/>
          <c:order val="2"/>
          <c:tx>
            <c:strRef>
              <c:f>'Short-sea (Hydrogen)'!$A$215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(Hydrogen)'!$B$299:$AC$299</c:f>
              <c:numCache>
                <c:formatCode>0.00</c:formatCode>
                <c:ptCount val="28"/>
                <c:pt idx="0">
                  <c:v>4.4952684649922997E-2</c:v>
                </c:pt>
                <c:pt idx="1">
                  <c:v>4.4927985683394241E-2</c:v>
                </c:pt>
                <c:pt idx="2">
                  <c:v>4.4892637424670159E-2</c:v>
                </c:pt>
                <c:pt idx="3">
                  <c:v>4.4842085142835511E-2</c:v>
                </c:pt>
                <c:pt idx="4">
                  <c:v>4.4769867241822588E-2</c:v>
                </c:pt>
                <c:pt idx="5">
                  <c:v>4.4666862851045763E-2</c:v>
                </c:pt>
                <c:pt idx="6">
                  <c:v>4.4520293632378596E-2</c:v>
                </c:pt>
                <c:pt idx="7">
                  <c:v>4.431245740275358E-2</c:v>
                </c:pt>
                <c:pt idx="8">
                  <c:v>4.4019243222247484E-2</c:v>
                </c:pt>
                <c:pt idx="9">
                  <c:v>4.3608647456204477E-2</c:v>
                </c:pt>
                <c:pt idx="10">
                  <c:v>4.3039849276593913E-2</c:v>
                </c:pt>
                <c:pt idx="11">
                  <c:v>4.2263976100406671E-2</c:v>
                </c:pt>
                <c:pt idx="12">
                  <c:v>4.1228432861839949E-2</c:v>
                </c:pt>
                <c:pt idx="13">
                  <c:v>3.988712078586712E-2</c:v>
                </c:pt>
                <c:pt idx="14">
                  <c:v>3.8217828931837422E-2</c:v>
                </c:pt>
                <c:pt idx="15">
                  <c:v>3.6243894740024318E-2</c:v>
                </c:pt>
                <c:pt idx="16">
                  <c:v>3.4050060674016933E-2</c:v>
                </c:pt>
                <c:pt idx="17">
                  <c:v>3.177795707297789E-2</c:v>
                </c:pt>
                <c:pt idx="18">
                  <c:v>2.9594223426007534E-2</c:v>
                </c:pt>
                <c:pt idx="19">
                  <c:v>2.764380472185262E-2</c:v>
                </c:pt>
                <c:pt idx="20">
                  <c:v>2.6014232311384052E-2</c:v>
                </c:pt>
                <c:pt idx="21">
                  <c:v>2.4727751051356286E-2</c:v>
                </c:pt>
                <c:pt idx="22">
                  <c:v>2.3757165309429392E-2</c:v>
                </c:pt>
                <c:pt idx="23">
                  <c:v>2.3049801898697691E-2</c:v>
                </c:pt>
                <c:pt idx="24">
                  <c:v>2.254721034079496E-2</c:v>
                </c:pt>
                <c:pt idx="25">
                  <c:v>2.2196538681704923E-2</c:v>
                </c:pt>
                <c:pt idx="26">
                  <c:v>2.1954959035079727E-2</c:v>
                </c:pt>
                <c:pt idx="27">
                  <c:v>2.1789990044161572E-2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C-4889-87C8-F3C9BFA93ABA}"/>
            </c:ext>
          </c:extLst>
        </c:ser>
        <c:ser>
          <c:idx val="3"/>
          <c:order val="3"/>
          <c:tx>
            <c:strRef>
              <c:f>'Short-sea (Hydrogen)'!$A$324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(Hydrogen)'!$B$408:$AC$408</c:f>
              <c:numCache>
                <c:formatCode>0.00</c:formatCode>
                <c:ptCount val="28"/>
                <c:pt idx="0">
                  <c:v>3.481156995880387E-2</c:v>
                </c:pt>
                <c:pt idx="1">
                  <c:v>3.4792352376934628E-2</c:v>
                </c:pt>
                <c:pt idx="2">
                  <c:v>3.4764849021575533E-2</c:v>
                </c:pt>
                <c:pt idx="3">
                  <c:v>3.4725516198101242E-2</c:v>
                </c:pt>
                <c:pt idx="4">
                  <c:v>3.4669326783330713E-2</c:v>
                </c:pt>
                <c:pt idx="5">
                  <c:v>3.4589185063977512E-2</c:v>
                </c:pt>
                <c:pt idx="6">
                  <c:v>3.4475150607357175E-2</c:v>
                </c:pt>
                <c:pt idx="7">
                  <c:v>3.4313453987537823E-2</c:v>
                </c:pt>
                <c:pt idx="8">
                  <c:v>3.4085343453483255E-2</c:v>
                </c:pt>
                <c:pt idx="9">
                  <c:v>3.3765934090857375E-2</c:v>
                </c:pt>
                <c:pt idx="10">
                  <c:v>3.3323495092040453E-2</c:v>
                </c:pt>
                <c:pt idx="11">
                  <c:v>3.2720055833272504E-2</c:v>
                </c:pt>
                <c:pt idx="12">
                  <c:v>3.1914788567498978E-2</c:v>
                </c:pt>
                <c:pt idx="13">
                  <c:v>3.0871972656638717E-2</c:v>
                </c:pt>
                <c:pt idx="14">
                  <c:v>2.9574525515786779E-2</c:v>
                </c:pt>
                <c:pt idx="15">
                  <c:v>2.8040819076042243E-2</c:v>
                </c:pt>
                <c:pt idx="16">
                  <c:v>2.6336930209378138E-2</c:v>
                </c:pt>
                <c:pt idx="17">
                  <c:v>2.4573015808038258E-2</c:v>
                </c:pt>
                <c:pt idx="18">
                  <c:v>2.2878454565146276E-2</c:v>
                </c:pt>
                <c:pt idx="19">
                  <c:v>2.1365577536116176E-2</c:v>
                </c:pt>
                <c:pt idx="20">
                  <c:v>2.0102038264543886E-2</c:v>
                </c:pt>
                <c:pt idx="21">
                  <c:v>1.9104831325553996E-2</c:v>
                </c:pt>
                <c:pt idx="22">
                  <c:v>1.8352669894805353E-2</c:v>
                </c:pt>
                <c:pt idx="23">
                  <c:v>1.7804593596556565E-2</c:v>
                </c:pt>
                <c:pt idx="24">
                  <c:v>1.7415229092715947E-2</c:v>
                </c:pt>
                <c:pt idx="25">
                  <c:v>1.714358441648987E-2</c:v>
                </c:pt>
                <c:pt idx="26">
                  <c:v>1.6956459104120643E-2</c:v>
                </c:pt>
                <c:pt idx="27">
                  <c:v>1.6828681422402104E-2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C-4889-87C8-F3C9BFA9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70392"/>
        <c:axId val="888375936"/>
      </c:lineChart>
      <c:catAx>
        <c:axId val="76887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888375936"/>
        <c:crosses val="autoZero"/>
        <c:auto val="1"/>
        <c:lblAlgn val="ctr"/>
        <c:lblOffset val="100"/>
        <c:tickLblSkip val="3"/>
        <c:noMultiLvlLbl val="0"/>
      </c:catAx>
      <c:valAx>
        <c:axId val="8883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76887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Ammonia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(Ammonia)'!$A$1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(Ammonia)'!$B$85:$AC$85</c:f>
              <c:numCache>
                <c:formatCode>0.00</c:formatCode>
                <c:ptCount val="28"/>
                <c:pt idx="0">
                  <c:v>9.204177299743381E-2</c:v>
                </c:pt>
                <c:pt idx="1">
                  <c:v>9.1732295945566908E-2</c:v>
                </c:pt>
                <c:pt idx="2">
                  <c:v>9.1292886698491268E-2</c:v>
                </c:pt>
                <c:pt idx="3">
                  <c:v>9.0671539043705146E-2</c:v>
                </c:pt>
                <c:pt idx="4">
                  <c:v>8.9798009370582896E-2</c:v>
                </c:pt>
                <c:pt idx="5">
                  <c:v>8.857997835120289E-2</c:v>
                </c:pt>
                <c:pt idx="6">
                  <c:v>8.6900974241114426E-2</c:v>
                </c:pt>
                <c:pt idx="7">
                  <c:v>8.4623006520389427E-2</c:v>
                </c:pt>
                <c:pt idx="8">
                  <c:v>8.1598439804236644E-2</c:v>
                </c:pt>
                <c:pt idx="9">
                  <c:v>7.769622958027568E-2</c:v>
                </c:pt>
                <c:pt idx="10">
                  <c:v>7.2844695298628914E-2</c:v>
                </c:pt>
                <c:pt idx="11">
                  <c:v>6.7083667865339813E-2</c:v>
                </c:pt>
                <c:pt idx="12">
                  <c:v>6.0604362828533619E-2</c:v>
                </c:pt>
                <c:pt idx="13">
                  <c:v>5.3746680388498676E-2</c:v>
                </c:pt>
                <c:pt idx="14">
                  <c:v>4.6937303169918482E-2</c:v>
                </c:pt>
                <c:pt idx="15">
                  <c:v>4.0588330867889641E-2</c:v>
                </c:pt>
                <c:pt idx="16">
                  <c:v>3.5005412813902424E-2</c:v>
                </c:pt>
                <c:pt idx="17">
                  <c:v>3.0345541390791351E-2</c:v>
                </c:pt>
                <c:pt idx="18">
                  <c:v>2.6627919722806082E-2</c:v>
                </c:pt>
                <c:pt idx="19">
                  <c:v>2.3774215787363159E-2</c:v>
                </c:pt>
                <c:pt idx="20">
                  <c:v>2.165351218482436E-2</c:v>
                </c:pt>
                <c:pt idx="21">
                  <c:v>2.011882652979893E-2</c:v>
                </c:pt>
                <c:pt idx="22">
                  <c:v>1.9031340268377436E-2</c:v>
                </c:pt>
                <c:pt idx="23">
                  <c:v>1.8273025748779443E-2</c:v>
                </c:pt>
                <c:pt idx="24">
                  <c:v>1.7750488496743513E-2</c:v>
                </c:pt>
                <c:pt idx="25">
                  <c:v>1.7393482512700082E-2</c:v>
                </c:pt>
                <c:pt idx="26">
                  <c:v>1.7151033434792951E-2</c:v>
                </c:pt>
                <c:pt idx="27">
                  <c:v>1.6987067899606519E-2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6-4B14-92B2-91642923D2F0}"/>
            </c:ext>
          </c:extLst>
        </c:ser>
        <c:ser>
          <c:idx val="1"/>
          <c:order val="1"/>
          <c:tx>
            <c:strRef>
              <c:f>'Short-sea (Ammonia)'!$A$107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(Ammonia)'!$B$191:$AC$191</c:f>
              <c:numCache>
                <c:formatCode>0.00</c:formatCode>
                <c:ptCount val="28"/>
                <c:pt idx="0">
                  <c:v>0.10012674025274917</c:v>
                </c:pt>
                <c:pt idx="1">
                  <c:v>9.9807799776090708E-2</c:v>
                </c:pt>
                <c:pt idx="2">
                  <c:v>9.9354923916603485E-2</c:v>
                </c:pt>
                <c:pt idx="3">
                  <c:v>9.8714472768773098E-2</c:v>
                </c:pt>
                <c:pt idx="4">
                  <c:v>9.7813962869127163E-2</c:v>
                </c:pt>
                <c:pt idx="5">
                  <c:v>9.6558063573950359E-2</c:v>
                </c:pt>
                <c:pt idx="6">
                  <c:v>9.4826367375743431E-2</c:v>
                </c:pt>
                <c:pt idx="7">
                  <c:v>9.2475945269502993E-2</c:v>
                </c:pt>
                <c:pt idx="8">
                  <c:v>8.9353321877137348E-2</c:v>
                </c:pt>
                <c:pt idx="9">
                  <c:v>8.5321127613162823E-2</c:v>
                </c:pt>
                <c:pt idx="10">
                  <c:v>8.0301710160524148E-2</c:v>
                </c:pt>
                <c:pt idx="11">
                  <c:v>7.4330504336147546E-2</c:v>
                </c:pt>
                <c:pt idx="12">
                  <c:v>6.7597234881714457E-2</c:v>
                </c:pt>
                <c:pt idx="13">
                  <c:v>6.0444237810292165E-2</c:v>
                </c:pt>
                <c:pt idx="14">
                  <c:v>5.3305052991871299E-2</c:v>
                </c:pt>
                <c:pt idx="15">
                  <c:v>4.6603170569980541E-2</c:v>
                </c:pt>
                <c:pt idx="16">
                  <c:v>4.0659908017702806E-2</c:v>
                </c:pt>
                <c:pt idx="17">
                  <c:v>3.5650887548567316E-2</c:v>
                </c:pt>
                <c:pt idx="18">
                  <c:v>3.1613788098764917E-2</c:v>
                </c:pt>
                <c:pt idx="19">
                  <c:v>2.848443943746819E-2</c:v>
                </c:pt>
                <c:pt idx="20">
                  <c:v>2.6138803166265122E-2</c:v>
                </c:pt>
                <c:pt idx="21">
                  <c:v>2.4429324685136065E-2</c:v>
                </c:pt>
                <c:pt idx="22">
                  <c:v>2.3211341117918401E-2</c:v>
                </c:pt>
                <c:pt idx="23">
                  <c:v>2.2358577767833097E-2</c:v>
                </c:pt>
                <c:pt idx="24">
                  <c:v>2.1769241048091911E-2</c:v>
                </c:pt>
                <c:pt idx="25">
                  <c:v>2.1365769242664569E-2</c:v>
                </c:pt>
                <c:pt idx="26">
                  <c:v>2.1091374495399138E-2</c:v>
                </c:pt>
                <c:pt idx="27">
                  <c:v>2.0905623509992585E-2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6-4B14-92B2-91642923D2F0}"/>
            </c:ext>
          </c:extLst>
        </c:ser>
        <c:ser>
          <c:idx val="2"/>
          <c:order val="2"/>
          <c:tx>
            <c:strRef>
              <c:f>'Short-sea (Ammonia)'!$A$215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(Ammonia)'!$B$299:$AC$299</c:f>
              <c:numCache>
                <c:formatCode>0.00</c:formatCode>
                <c:ptCount val="28"/>
                <c:pt idx="0">
                  <c:v>0.10139892877426568</c:v>
                </c:pt>
                <c:pt idx="1">
                  <c:v>0.10108490610686717</c:v>
                </c:pt>
                <c:pt idx="2">
                  <c:v>0.10063899045121862</c:v>
                </c:pt>
                <c:pt idx="3">
                  <c:v>0.10000833604631734</c:v>
                </c:pt>
                <c:pt idx="4">
                  <c:v>9.9121507334776718E-2</c:v>
                </c:pt>
                <c:pt idx="5">
                  <c:v>9.7884500701249516E-2</c:v>
                </c:pt>
                <c:pt idx="6">
                  <c:v>9.6178481270665389E-2</c:v>
                </c:pt>
                <c:pt idx="7">
                  <c:v>9.3862178376452624E-2</c:v>
                </c:pt>
                <c:pt idx="8">
                  <c:v>9.07834773575487E-2</c:v>
                </c:pt>
                <c:pt idx="9">
                  <c:v>8.6805368097865584E-2</c:v>
                </c:pt>
                <c:pt idx="10">
                  <c:v>8.1848527990684344E-2</c:v>
                </c:pt>
                <c:pt idx="11">
                  <c:v>7.5943586977105182E-2</c:v>
                </c:pt>
                <c:pt idx="12">
                  <c:v>6.9271779738271325E-2</c:v>
                </c:pt>
                <c:pt idx="13">
                  <c:v>6.2164131950757352E-2</c:v>
                </c:pt>
                <c:pt idx="14">
                  <c:v>5.5042812594951793E-2</c:v>
                </c:pt>
                <c:pt idx="15">
                  <c:v>4.8323877570171828E-2</c:v>
                </c:pt>
                <c:pt idx="16">
                  <c:v>4.232850038812741E-2</c:v>
                </c:pt>
                <c:pt idx="17">
                  <c:v>3.7240093696976499E-2</c:v>
                </c:pt>
                <c:pt idx="18">
                  <c:v>3.3109319233372757E-2</c:v>
                </c:pt>
                <c:pt idx="19">
                  <c:v>2.9885536063346593E-2</c:v>
                </c:pt>
                <c:pt idx="20">
                  <c:v>2.7454847634949171E-2</c:v>
                </c:pt>
                <c:pt idx="21">
                  <c:v>2.5674928327416118E-2</c:v>
                </c:pt>
                <c:pt idx="22">
                  <c:v>2.4402120636323816E-2</c:v>
                </c:pt>
                <c:pt idx="23">
                  <c:v>2.3508576103250894E-2</c:v>
                </c:pt>
                <c:pt idx="24">
                  <c:v>2.2889869138291285E-2</c:v>
                </c:pt>
                <c:pt idx="25">
                  <c:v>2.2465719821397449E-2</c:v>
                </c:pt>
                <c:pt idx="26">
                  <c:v>2.2176994573177473E-2</c:v>
                </c:pt>
                <c:pt idx="27">
                  <c:v>2.1981418369349661E-2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6-4B14-92B2-91642923D2F0}"/>
            </c:ext>
          </c:extLst>
        </c:ser>
        <c:ser>
          <c:idx val="3"/>
          <c:order val="3"/>
          <c:tx>
            <c:strRef>
              <c:f>'Short-sea (Ammonia)'!$A$324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(Ammonia)'!$B$408:$AC$408</c:f>
              <c:numCache>
                <c:formatCode>0.00</c:formatCode>
                <c:ptCount val="28"/>
                <c:pt idx="0">
                  <c:v>9.2021098813500971E-2</c:v>
                </c:pt>
                <c:pt idx="1">
                  <c:v>9.1711681144489646E-2</c:v>
                </c:pt>
                <c:pt idx="2">
                  <c:v>9.1272356197442298E-2</c:v>
                </c:pt>
                <c:pt idx="3">
                  <c:v>9.0651127718080038E-2</c:v>
                </c:pt>
                <c:pt idx="4">
                  <c:v>8.977776553019115E-2</c:v>
                </c:pt>
                <c:pt idx="5">
                  <c:v>8.8559967930006783E-2</c:v>
                </c:pt>
                <c:pt idx="6">
                  <c:v>8.6881285342609235E-2</c:v>
                </c:pt>
                <c:pt idx="7">
                  <c:v>8.4603753381645844E-2</c:v>
                </c:pt>
                <c:pt idx="8">
                  <c:v>8.1579764356351128E-2</c:v>
                </c:pt>
                <c:pt idx="9">
                  <c:v>7.767829779046484E-2</c:v>
                </c:pt>
                <c:pt idx="10">
                  <c:v>7.2827685081480978E-2</c:v>
                </c:pt>
                <c:pt idx="11">
                  <c:v>6.7067746812640938E-2</c:v>
                </c:pt>
                <c:pt idx="12">
                  <c:v>6.0589658346323474E-2</c:v>
                </c:pt>
                <c:pt idx="13">
                  <c:v>5.3733250888120053E-2</c:v>
                </c:pt>
                <c:pt idx="14">
                  <c:v>4.6925122285842211E-2</c:v>
                </c:pt>
                <c:pt idx="15">
                  <c:v>4.0577292658540674E-2</c:v>
                </c:pt>
                <c:pt idx="16">
                  <c:v>3.4995355788344722E-2</c:v>
                </c:pt>
                <c:pt idx="17">
                  <c:v>3.0336280580673117E-2</c:v>
                </c:pt>
                <c:pt idx="18">
                  <c:v>2.6619274985410248E-2</c:v>
                </c:pt>
                <c:pt idx="19">
                  <c:v>2.3766029810674015E-2</c:v>
                </c:pt>
                <c:pt idx="20">
                  <c:v>2.1645657836566776E-2</c:v>
                </c:pt>
                <c:pt idx="21">
                  <c:v>2.0111206638640005E-2</c:v>
                </c:pt>
                <c:pt idx="22">
                  <c:v>1.902388347204655E-2</c:v>
                </c:pt>
                <c:pt idx="23">
                  <c:v>1.8265681103446996E-2</c:v>
                </c:pt>
                <c:pt idx="24">
                  <c:v>1.7743220350067656E-2</c:v>
                </c:pt>
                <c:pt idx="25">
                  <c:v>1.7386266255082331E-2</c:v>
                </c:pt>
                <c:pt idx="26">
                  <c:v>1.7143852238975268E-2</c:v>
                </c:pt>
                <c:pt idx="27">
                  <c:v>1.6979910333631037E-2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6-4B14-92B2-91642923D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13088"/>
        <c:axId val="676311120"/>
      </c:lineChart>
      <c:catAx>
        <c:axId val="6763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11120"/>
        <c:crosses val="autoZero"/>
        <c:auto val="1"/>
        <c:lblAlgn val="ctr"/>
        <c:lblOffset val="100"/>
        <c:tickLblSkip val="3"/>
        <c:noMultiLvlLbl val="0"/>
      </c:catAx>
      <c:valAx>
        <c:axId val="6763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Methanol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(Methanol)'!$A$1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(Methanol)'!$B$85:$AC$85</c:f>
              <c:numCache>
                <c:formatCode>0.00</c:formatCode>
                <c:ptCount val="28"/>
                <c:pt idx="0">
                  <c:v>5.9499036857833032E-2</c:v>
                </c:pt>
                <c:pt idx="1">
                  <c:v>5.9456565430009461E-2</c:v>
                </c:pt>
                <c:pt idx="2">
                  <c:v>5.9395777542624525E-2</c:v>
                </c:pt>
                <c:pt idx="3">
                  <c:v>5.9308834650385195E-2</c:v>
                </c:pt>
                <c:pt idx="4">
                  <c:v>5.918461178556636E-2</c:v>
                </c:pt>
                <c:pt idx="5">
                  <c:v>5.900739577573768E-2</c:v>
                </c:pt>
                <c:pt idx="6">
                  <c:v>5.8755152752450635E-2</c:v>
                </c:pt>
                <c:pt idx="7">
                  <c:v>5.8397318816796225E-2</c:v>
                </c:pt>
                <c:pt idx="8">
                  <c:v>5.7892185396301241E-2</c:v>
                </c:pt>
                <c:pt idx="9">
                  <c:v>5.718423338760719E-2</c:v>
                </c:pt>
                <c:pt idx="10">
                  <c:v>5.6202341958276406E-2</c:v>
                </c:pt>
                <c:pt idx="11">
                  <c:v>5.4860778790817785E-2</c:v>
                </c:pt>
                <c:pt idx="12">
                  <c:v>5.3066191327500865E-2</c:v>
                </c:pt>
                <c:pt idx="13">
                  <c:v>5.0734722681737829E-2</c:v>
                </c:pt>
                <c:pt idx="14">
                  <c:v>4.7821851572693502E-2</c:v>
                </c:pt>
                <c:pt idx="15">
                  <c:v>4.4360656496360985E-2</c:v>
                </c:pt>
                <c:pt idx="16">
                  <c:v>4.0491730647857875E-2</c:v>
                </c:pt>
                <c:pt idx="17">
                  <c:v>3.6459035152820653E-2</c:v>
                </c:pt>
                <c:pt idx="18">
                  <c:v>3.2557252798220235E-2</c:v>
                </c:pt>
                <c:pt idx="19">
                  <c:v>2.9049763672397231E-2</c:v>
                </c:pt>
                <c:pt idx="20">
                  <c:v>2.6102147703066465E-2</c:v>
                </c:pt>
                <c:pt idx="21">
                  <c:v>2.3763664946864584E-2</c:v>
                </c:pt>
                <c:pt idx="22">
                  <c:v>2.1992477965698056E-2</c:v>
                </c:pt>
                <c:pt idx="23">
                  <c:v>2.0697788405944308E-2</c:v>
                </c:pt>
                <c:pt idx="24">
                  <c:v>1.9775883311702935E-2</c:v>
                </c:pt>
                <c:pt idx="25">
                  <c:v>1.9131642140712404E-2</c:v>
                </c:pt>
                <c:pt idx="26">
                  <c:v>1.8687336306930792E-2</c:v>
                </c:pt>
                <c:pt idx="27">
                  <c:v>1.8383701708981876E-2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8-4AEF-AE10-C0A1428613FA}"/>
            </c:ext>
          </c:extLst>
        </c:ser>
        <c:ser>
          <c:idx val="1"/>
          <c:order val="1"/>
          <c:tx>
            <c:strRef>
              <c:f>'Short-sea (Methanol)'!$A$107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(Methanol)'!$B$191:$AC$191</c:f>
              <c:numCache>
                <c:formatCode>0.00</c:formatCode>
                <c:ptCount val="28"/>
                <c:pt idx="0">
                  <c:v>7.1215282670323621E-2</c:v>
                </c:pt>
                <c:pt idx="1">
                  <c:v>7.1165073997956185E-2</c:v>
                </c:pt>
                <c:pt idx="2">
                  <c:v>7.1093212059753927E-2</c:v>
                </c:pt>
                <c:pt idx="3">
                  <c:v>7.0990430321187084E-2</c:v>
                </c:pt>
                <c:pt idx="4">
                  <c:v>7.0843577120344781E-2</c:v>
                </c:pt>
                <c:pt idx="5">
                  <c:v>7.0634076733102888E-2</c:v>
                </c:pt>
                <c:pt idx="6">
                  <c:v>7.0335881264709313E-2</c:v>
                </c:pt>
                <c:pt idx="7">
                  <c:v>6.9912858829206115E-2</c:v>
                </c:pt>
                <c:pt idx="8">
                  <c:v>6.9315702582968403E-2</c:v>
                </c:pt>
                <c:pt idx="9">
                  <c:v>6.8478779214061383E-2</c:v>
                </c:pt>
                <c:pt idx="10">
                  <c:v>6.7318011432001737E-2</c:v>
                </c:pt>
                <c:pt idx="11">
                  <c:v>6.5732048609772831E-2</c:v>
                </c:pt>
                <c:pt idx="12">
                  <c:v>6.361053166066763E-2</c:v>
                </c:pt>
                <c:pt idx="13">
                  <c:v>6.0854327045735387E-2</c:v>
                </c:pt>
                <c:pt idx="14">
                  <c:v>5.7410802807036795E-2</c:v>
                </c:pt>
                <c:pt idx="15">
                  <c:v>5.3319063525058892E-2</c:v>
                </c:pt>
                <c:pt idx="16">
                  <c:v>4.8745315000559654E-2</c:v>
                </c:pt>
                <c:pt idx="17">
                  <c:v>4.397796204720248E-2</c:v>
                </c:pt>
                <c:pt idx="18">
                  <c:v>3.9365371373184938E-2</c:v>
                </c:pt>
                <c:pt idx="19">
                  <c:v>3.5218904409974251E-2</c:v>
                </c:pt>
                <c:pt idx="20">
                  <c:v>3.1734305656102281E-2</c:v>
                </c:pt>
                <c:pt idx="21">
                  <c:v>2.8969809133150459E-2</c:v>
                </c:pt>
                <c:pt idx="22">
                  <c:v>2.6875955655742276E-2</c:v>
                </c:pt>
                <c:pt idx="23">
                  <c:v>2.5345405654144469E-2</c:v>
                </c:pt>
                <c:pt idx="24">
                  <c:v>2.4255552234972264E-2</c:v>
                </c:pt>
                <c:pt idx="25">
                  <c:v>2.3493946243898636E-2</c:v>
                </c:pt>
                <c:pt idx="26">
                  <c:v>2.296869886742816E-2</c:v>
                </c:pt>
                <c:pt idx="27">
                  <c:v>2.2609749549520428E-2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8-4AEF-AE10-C0A1428613FA}"/>
            </c:ext>
          </c:extLst>
        </c:ser>
        <c:ser>
          <c:idx val="2"/>
          <c:order val="2"/>
          <c:tx>
            <c:strRef>
              <c:f>'Short-sea (Methanol)'!$A$215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(Methanol)'!$B$299:$AC$299</c:f>
              <c:numCache>
                <c:formatCode>0.00</c:formatCode>
                <c:ptCount val="28"/>
                <c:pt idx="0">
                  <c:v>7.7420553886611593E-2</c:v>
                </c:pt>
                <c:pt idx="1">
                  <c:v>7.7365286246657783E-2</c:v>
                </c:pt>
                <c:pt idx="2">
                  <c:v>7.7286183582921122E-2</c:v>
                </c:pt>
                <c:pt idx="3">
                  <c:v>7.7173045675601668E-2</c:v>
                </c:pt>
                <c:pt idx="4">
                  <c:v>7.7011395716590145E-2</c:v>
                </c:pt>
                <c:pt idx="5">
                  <c:v>7.678078631334731E-2</c:v>
                </c:pt>
                <c:pt idx="6">
                  <c:v>7.645254501546106E-2</c:v>
                </c:pt>
                <c:pt idx="7">
                  <c:v>7.5986899330056715E-2</c:v>
                </c:pt>
                <c:pt idx="8">
                  <c:v>7.5329574313141037E-2</c:v>
                </c:pt>
                <c:pt idx="9">
                  <c:v>7.4408323516402475E-2</c:v>
                </c:pt>
                <c:pt idx="10">
                  <c:v>7.3130598119097043E-2</c:v>
                </c:pt>
                <c:pt idx="11">
                  <c:v>7.1384835522595239E-2</c:v>
                </c:pt>
                <c:pt idx="12">
                  <c:v>6.9049556986628458E-2</c:v>
                </c:pt>
                <c:pt idx="13">
                  <c:v>6.6015640391854813E-2</c:v>
                </c:pt>
                <c:pt idx="14">
                  <c:v>6.2225150645305378E-2</c:v>
                </c:pt>
                <c:pt idx="15">
                  <c:v>5.7721132459636261E-2</c:v>
                </c:pt>
                <c:pt idx="16">
                  <c:v>5.2686538339293397E-2</c:v>
                </c:pt>
                <c:pt idx="17">
                  <c:v>4.743883243241933E-2</c:v>
                </c:pt>
                <c:pt idx="18">
                  <c:v>4.2361482472629067E-2</c:v>
                </c:pt>
                <c:pt idx="19">
                  <c:v>3.7797222308049494E-2</c:v>
                </c:pt>
                <c:pt idx="20">
                  <c:v>3.3961519425823664E-2</c:v>
                </c:pt>
                <c:pt idx="21">
                  <c:v>3.0918475439996883E-2</c:v>
                </c:pt>
                <c:pt idx="22">
                  <c:v>2.8613647715046077E-2</c:v>
                </c:pt>
                <c:pt idx="23">
                  <c:v>2.6928881270704065E-2</c:v>
                </c:pt>
                <c:pt idx="24">
                  <c:v>2.5729215485230938E-2</c:v>
                </c:pt>
                <c:pt idx="25">
                  <c:v>2.4890870957949132E-2</c:v>
                </c:pt>
                <c:pt idx="26">
                  <c:v>2.4312700265105167E-2</c:v>
                </c:pt>
                <c:pt idx="27">
                  <c:v>2.391758363030129E-2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8-4AEF-AE10-C0A1428613FA}"/>
            </c:ext>
          </c:extLst>
        </c:ser>
        <c:ser>
          <c:idx val="3"/>
          <c:order val="3"/>
          <c:tx>
            <c:strRef>
              <c:f>'Short-sea (Methanol)'!$A$324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(Methanol)'!$B$408:$AC$408</c:f>
              <c:numCache>
                <c:formatCode>0.00</c:formatCode>
                <c:ptCount val="28"/>
                <c:pt idx="0">
                  <c:v>5.9492044983129981E-2</c:v>
                </c:pt>
                <c:pt idx="1">
                  <c:v>5.9449573555306418E-2</c:v>
                </c:pt>
                <c:pt idx="2">
                  <c:v>5.9388785667921482E-2</c:v>
                </c:pt>
                <c:pt idx="3">
                  <c:v>5.9301842775682151E-2</c:v>
                </c:pt>
                <c:pt idx="4">
                  <c:v>5.9177619910863302E-2</c:v>
                </c:pt>
                <c:pt idx="5">
                  <c:v>5.9000403901034636E-2</c:v>
                </c:pt>
                <c:pt idx="6">
                  <c:v>5.8748160877747611E-2</c:v>
                </c:pt>
                <c:pt idx="7">
                  <c:v>5.8390326942093181E-2</c:v>
                </c:pt>
                <c:pt idx="8">
                  <c:v>5.788519352159819E-2</c:v>
                </c:pt>
                <c:pt idx="9">
                  <c:v>5.7177241512904146E-2</c:v>
                </c:pt>
                <c:pt idx="10">
                  <c:v>5.6195350083573369E-2</c:v>
                </c:pt>
                <c:pt idx="11">
                  <c:v>5.4853786916114734E-2</c:v>
                </c:pt>
                <c:pt idx="12">
                  <c:v>5.3059199452797835E-2</c:v>
                </c:pt>
                <c:pt idx="13">
                  <c:v>5.0727730807034778E-2</c:v>
                </c:pt>
                <c:pt idx="14">
                  <c:v>4.7814859697990458E-2</c:v>
                </c:pt>
                <c:pt idx="15">
                  <c:v>4.4353664621657941E-2</c:v>
                </c:pt>
                <c:pt idx="16">
                  <c:v>4.0484738773154831E-2</c:v>
                </c:pt>
                <c:pt idx="17">
                  <c:v>3.6452043278117609E-2</c:v>
                </c:pt>
                <c:pt idx="18">
                  <c:v>3.2550260923517177E-2</c:v>
                </c:pt>
                <c:pt idx="19">
                  <c:v>2.904277179769418E-2</c:v>
                </c:pt>
                <c:pt idx="20">
                  <c:v>2.6095155828363421E-2</c:v>
                </c:pt>
                <c:pt idx="21">
                  <c:v>2.375667307216154E-2</c:v>
                </c:pt>
                <c:pt idx="22">
                  <c:v>2.1985486090995009E-2</c:v>
                </c:pt>
                <c:pt idx="23">
                  <c:v>2.0690796531241271E-2</c:v>
                </c:pt>
                <c:pt idx="24">
                  <c:v>1.9768891436999891E-2</c:v>
                </c:pt>
                <c:pt idx="25">
                  <c:v>1.912465026600936E-2</c:v>
                </c:pt>
                <c:pt idx="26">
                  <c:v>1.8680344432227748E-2</c:v>
                </c:pt>
                <c:pt idx="27">
                  <c:v>1.8376709834278825E-2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8-4AEF-AE10-C0A14286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18336"/>
        <c:axId val="676321288"/>
      </c:lineChart>
      <c:catAx>
        <c:axId val="6763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21288"/>
        <c:crosses val="autoZero"/>
        <c:auto val="1"/>
        <c:lblAlgn val="ctr"/>
        <c:lblOffset val="100"/>
        <c:tickLblSkip val="3"/>
        <c:noMultiLvlLbl val="0"/>
      </c:catAx>
      <c:valAx>
        <c:axId val="67632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HFO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(HFO)'!$A$1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(HFO)'!$B$85:$AC$85</c:f>
              <c:numCache>
                <c:formatCode>0.0000</c:formatCode>
                <c:ptCount val="28"/>
                <c:pt idx="0">
                  <c:v>1.307496300747297E-2</c:v>
                </c:pt>
                <c:pt idx="1">
                  <c:v>1.3082816355765583E-2</c:v>
                </c:pt>
                <c:pt idx="2">
                  <c:v>1.3094058248927225E-2</c:v>
                </c:pt>
                <c:pt idx="3">
                  <c:v>1.311014056766022E-2</c:v>
                </c:pt>
                <c:pt idx="4">
                  <c:v>1.313312574986949E-2</c:v>
                </c:pt>
                <c:pt idx="5">
                  <c:v>1.3165930572185978E-2</c:v>
                </c:pt>
                <c:pt idx="6">
                  <c:v>1.3212652687068512E-2</c:v>
                </c:pt>
                <c:pt idx="7">
                  <c:v>1.3278991392502991E-2</c:v>
                </c:pt>
                <c:pt idx="8">
                  <c:v>1.3372754777892047E-2</c:v>
                </c:pt>
                <c:pt idx="9">
                  <c:v>1.3504396879346688E-2</c:v>
                </c:pt>
                <c:pt idx="10">
                  <c:v>1.3687427187931249E-2</c:v>
                </c:pt>
                <c:pt idx="11">
                  <c:v>1.3938354893823219E-2</c:v>
                </c:pt>
                <c:pt idx="12">
                  <c:v>1.4275574842216128E-2</c:v>
                </c:pt>
                <c:pt idx="13">
                  <c:v>1.4716386460868609E-2</c:v>
                </c:pt>
                <c:pt idx="14">
                  <c:v>1.5271514187727375E-2</c:v>
                </c:pt>
                <c:pt idx="15">
                  <c:v>1.5937651525014002E-2</c:v>
                </c:pt>
                <c:pt idx="16">
                  <c:v>1.6690902075972597E-2</c:v>
                </c:pt>
                <c:pt idx="17">
                  <c:v>1.7486105592110335E-2</c:v>
                </c:pt>
                <c:pt idx="18">
                  <c:v>1.8265660990436944E-2</c:v>
                </c:pt>
                <c:pt idx="19">
                  <c:v>1.8975306315554667E-2</c:v>
                </c:pt>
                <c:pt idx="20">
                  <c:v>1.9578403786467108E-2</c:v>
                </c:pt>
                <c:pt idx="21">
                  <c:v>2.0061376852030424E-2</c:v>
                </c:pt>
                <c:pt idx="22">
                  <c:v>2.0429906736929581E-2</c:v>
                </c:pt>
                <c:pt idx="23">
                  <c:v>2.0700805758469949E-2</c:v>
                </c:pt>
                <c:pt idx="24">
                  <c:v>2.0894494639866104E-2</c:v>
                </c:pt>
                <c:pt idx="25">
                  <c:v>2.1030241941818489E-2</c:v>
                </c:pt>
                <c:pt idx="26">
                  <c:v>2.1124051671148839E-2</c:v>
                </c:pt>
                <c:pt idx="27">
                  <c:v>2.118825034364772E-2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ABF-80F3-85097D6DC7C2}"/>
            </c:ext>
          </c:extLst>
        </c:ser>
        <c:ser>
          <c:idx val="1"/>
          <c:order val="1"/>
          <c:tx>
            <c:strRef>
              <c:f>'Short-sea (HFO)'!$A$107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(HFO)'!$B$191:$AC$191</c:f>
              <c:numCache>
                <c:formatCode>0.00</c:formatCode>
                <c:ptCount val="28"/>
                <c:pt idx="0" formatCode="0.000">
                  <c:v>1.6368196067386938E-2</c:v>
                </c:pt>
                <c:pt idx="1">
                  <c:v>1.6377510503733986E-2</c:v>
                </c:pt>
                <c:pt idx="2">
                  <c:v>1.6390843911902445E-2</c:v>
                </c:pt>
                <c:pt idx="3">
                  <c:v>1.6409918289934603E-2</c:v>
                </c:pt>
                <c:pt idx="4">
                  <c:v>1.6437179785113037E-2</c:v>
                </c:pt>
                <c:pt idx="5">
                  <c:v>1.6476087830186083E-2</c:v>
                </c:pt>
                <c:pt idx="6">
                  <c:v>1.653150243155839E-2</c:v>
                </c:pt>
                <c:pt idx="7">
                  <c:v>1.6610183221724865E-2</c:v>
                </c:pt>
                <c:pt idx="8">
                  <c:v>1.672139095788398E-2</c:v>
                </c:pt>
                <c:pt idx="9">
                  <c:v>1.6877524613097616E-2</c:v>
                </c:pt>
                <c:pt idx="10">
                  <c:v>1.7094607072116522E-2</c:v>
                </c:pt>
                <c:pt idx="11">
                  <c:v>1.7392219002360487E-2</c:v>
                </c:pt>
                <c:pt idx="12">
                  <c:v>1.7792177545803239E-2</c:v>
                </c:pt>
                <c:pt idx="13">
                  <c:v>1.8315000628391059E-2</c:v>
                </c:pt>
                <c:pt idx="14">
                  <c:v>1.8973407932339831E-2</c:v>
                </c:pt>
                <c:pt idx="15">
                  <c:v>1.9763477797493736E-2</c:v>
                </c:pt>
                <c:pt idx="16">
                  <c:v>2.0656867985839975E-2</c:v>
                </c:pt>
                <c:pt idx="17">
                  <c:v>2.1600016342189388E-2</c:v>
                </c:pt>
                <c:pt idx="18">
                  <c:v>2.2524605302995368E-2</c:v>
                </c:pt>
                <c:pt idx="19">
                  <c:v>2.3366277665344295E-2</c:v>
                </c:pt>
                <c:pt idx="20">
                  <c:v>2.4081579316891609E-2</c:v>
                </c:pt>
                <c:pt idx="21">
                  <c:v>2.465440783651322E-2</c:v>
                </c:pt>
                <c:pt idx="22">
                  <c:v>2.5091501420928496E-2</c:v>
                </c:pt>
                <c:pt idx="23">
                  <c:v>2.5412800260429864E-2</c:v>
                </c:pt>
                <c:pt idx="24">
                  <c:v>2.5642524282550878E-2</c:v>
                </c:pt>
                <c:pt idx="25">
                  <c:v>2.5803526896494407E-2</c:v>
                </c:pt>
                <c:pt idx="26">
                  <c:v>2.5914789598723426E-2</c:v>
                </c:pt>
                <c:pt idx="27">
                  <c:v>2.5990932210291862E-2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0-4ABF-80F3-85097D6DC7C2}"/>
            </c:ext>
          </c:extLst>
        </c:ser>
        <c:ser>
          <c:idx val="2"/>
          <c:order val="2"/>
          <c:tx>
            <c:strRef>
              <c:f>'Short-sea (HFO)'!$A$215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(HFO)'!$B$299:$AC$299</c:f>
              <c:numCache>
                <c:formatCode>0.00</c:formatCode>
                <c:ptCount val="28"/>
                <c:pt idx="0" formatCode="0.0000">
                  <c:v>1.7093320685570811E-2</c:v>
                </c:pt>
                <c:pt idx="1">
                  <c:v>1.7103590448722682E-2</c:v>
                </c:pt>
                <c:pt idx="2">
                  <c:v>1.7118291385934063E-2</c:v>
                </c:pt>
                <c:pt idx="3">
                  <c:v>1.7139322110431062E-2</c:v>
                </c:pt>
                <c:pt idx="4">
                  <c:v>1.7169379656397026E-2</c:v>
                </c:pt>
                <c:pt idx="5">
                  <c:v>1.7212278270195513E-2</c:v>
                </c:pt>
                <c:pt idx="6">
                  <c:v>1.7273376420426513E-2</c:v>
                </c:pt>
                <c:pt idx="7">
                  <c:v>1.7360127035225451E-2</c:v>
                </c:pt>
                <c:pt idx="8">
                  <c:v>1.7482740693041909E-2</c:v>
                </c:pt>
                <c:pt idx="9">
                  <c:v>1.7654888056482586E-2</c:v>
                </c:pt>
                <c:pt idx="10">
                  <c:v>1.7894235383093173E-2</c:v>
                </c:pt>
                <c:pt idx="11">
                  <c:v>1.8222371613874983E-2</c:v>
                </c:pt>
                <c:pt idx="12">
                  <c:v>1.8663351546388783E-2</c:v>
                </c:pt>
                <c:pt idx="13">
                  <c:v>1.9239797509242026E-2</c:v>
                </c:pt>
                <c:pt idx="14">
                  <c:v>1.9965733767441953E-2</c:v>
                </c:pt>
                <c:pt idx="15">
                  <c:v>2.0836836439278309E-2</c:v>
                </c:pt>
                <c:pt idx="16">
                  <c:v>2.1821856390531857E-2</c:v>
                </c:pt>
                <c:pt idx="17">
                  <c:v>2.2861737911635059E-2</c:v>
                </c:pt>
                <c:pt idx="18">
                  <c:v>2.3881156509446774E-2</c:v>
                </c:pt>
                <c:pt idx="19">
                  <c:v>2.4809154242293022E-2</c:v>
                </c:pt>
                <c:pt idx="20">
                  <c:v>2.559782016579391E-2</c:v>
                </c:pt>
                <c:pt idx="21">
                  <c:v>2.6229400328453636E-2</c:v>
                </c:pt>
                <c:pt idx="22">
                  <c:v>2.6711324024090988E-2</c:v>
                </c:pt>
                <c:pt idx="23">
                  <c:v>2.7065576590720709E-2</c:v>
                </c:pt>
                <c:pt idx="24">
                  <c:v>2.7318862051007975E-2</c:v>
                </c:pt>
                <c:pt idx="25">
                  <c:v>2.7496377753561101E-2</c:v>
                </c:pt>
                <c:pt idx="26">
                  <c:v>2.7619052014993102E-2</c:v>
                </c:pt>
                <c:pt idx="27">
                  <c:v>2.7703004125183936E-2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0-4ABF-80F3-85097D6DC7C2}"/>
            </c:ext>
          </c:extLst>
        </c:ser>
        <c:ser>
          <c:idx val="3"/>
          <c:order val="3"/>
          <c:tx>
            <c:strRef>
              <c:f>'Short-sea (HFO)'!$A$324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(HFO)'!$B$408:$AC$408</c:f>
              <c:numCache>
                <c:formatCode>0.00</c:formatCode>
                <c:ptCount val="28"/>
                <c:pt idx="0" formatCode="0.000">
                  <c:v>1.3068116618534862E-2</c:v>
                </c:pt>
                <c:pt idx="1">
                  <c:v>1.307596996682747E-2</c:v>
                </c:pt>
                <c:pt idx="2">
                  <c:v>1.3087211859989114E-2</c:v>
                </c:pt>
                <c:pt idx="3">
                  <c:v>1.3103294178722111E-2</c:v>
                </c:pt>
                <c:pt idx="4">
                  <c:v>1.312627936093138E-2</c:v>
                </c:pt>
                <c:pt idx="5">
                  <c:v>1.315908418324787E-2</c:v>
                </c:pt>
                <c:pt idx="6">
                  <c:v>1.3205806298130399E-2</c:v>
                </c:pt>
                <c:pt idx="7">
                  <c:v>1.3272145003564882E-2</c:v>
                </c:pt>
                <c:pt idx="8">
                  <c:v>1.3365908388953938E-2</c:v>
                </c:pt>
                <c:pt idx="9">
                  <c:v>1.3497550490408575E-2</c:v>
                </c:pt>
                <c:pt idx="10">
                  <c:v>1.3680580798993138E-2</c:v>
                </c:pt>
                <c:pt idx="11">
                  <c:v>1.3931508504885112E-2</c:v>
                </c:pt>
                <c:pt idx="12">
                  <c:v>1.4268728453278019E-2</c:v>
                </c:pt>
                <c:pt idx="13">
                  <c:v>1.4709540071930496E-2</c:v>
                </c:pt>
                <c:pt idx="14">
                  <c:v>1.5264667798789266E-2</c:v>
                </c:pt>
                <c:pt idx="15">
                  <c:v>1.5930805136075889E-2</c:v>
                </c:pt>
                <c:pt idx="16">
                  <c:v>1.6684055687034485E-2</c:v>
                </c:pt>
                <c:pt idx="17">
                  <c:v>1.7479259203172226E-2</c:v>
                </c:pt>
                <c:pt idx="18">
                  <c:v>1.8258814601498835E-2</c:v>
                </c:pt>
                <c:pt idx="19">
                  <c:v>1.8968459926616558E-2</c:v>
                </c:pt>
                <c:pt idx="20">
                  <c:v>1.9571557397528999E-2</c:v>
                </c:pt>
                <c:pt idx="21">
                  <c:v>2.0054530463092315E-2</c:v>
                </c:pt>
                <c:pt idx="22">
                  <c:v>2.0423060347991469E-2</c:v>
                </c:pt>
                <c:pt idx="23">
                  <c:v>2.0693959369531841E-2</c:v>
                </c:pt>
                <c:pt idx="24">
                  <c:v>2.0887648250927992E-2</c:v>
                </c:pt>
                <c:pt idx="25">
                  <c:v>2.1023395552880381E-2</c:v>
                </c:pt>
                <c:pt idx="26">
                  <c:v>2.1117205282210727E-2</c:v>
                </c:pt>
                <c:pt idx="27">
                  <c:v>2.1181403954709604E-2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90-4ABF-80F3-85097D6DC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39000"/>
        <c:axId val="676332768"/>
      </c:lineChart>
      <c:catAx>
        <c:axId val="6763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32768"/>
        <c:crosses val="autoZero"/>
        <c:auto val="1"/>
        <c:lblAlgn val="ctr"/>
        <c:lblOffset val="100"/>
        <c:tickLblSkip val="3"/>
        <c:noMultiLvlLbl val="0"/>
      </c:catAx>
      <c:valAx>
        <c:axId val="6763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763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5-4B1B-BB25-F959CC10D433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5-4B1B-BB25-F959CC10D433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5-4B1B-BB25-F959CC10D433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D5-4B1B-BB25-F959CC10D433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D5-4B1B-BB25-F959CC10D433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D5-4B1B-BB25-F959CC10D433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D5-4B1B-BB25-F959CC10D433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D5-4B1B-BB25-F959CC10D433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D5-4B1B-BB25-F959CC10D433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D5-4B1B-BB25-F959CC10D433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D5-4B1B-BB25-F959CC10D433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D5-4B1B-BB25-F959CC10D433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BD5-4B1B-BB25-F959CC10D433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D5-4B1B-BB25-F959CC10D433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BD5-4B1B-BB25-F959CC10D433}"/>
            </c:ext>
          </c:extLst>
        </c:ser>
        <c:ser>
          <c:idx val="15"/>
          <c:order val="15"/>
          <c:tx>
            <c:strRef>
              <c:f>'Semi-trailer truck (Diesel)'!$A$21</c:f>
              <c:strCache>
                <c:ptCount val="1"/>
                <c:pt idx="0">
                  <c:v>Emission Cost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(Diesel)'!$Q$21:$AR$21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A-4DC0-B3E7-945A97009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929147215628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F-43DA-955C-DA2F9840CFC1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3F-43DA-955C-DA2F9840CFC1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3F-43DA-955C-DA2F9840CFC1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3F-43DA-955C-DA2F9840CFC1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3F-43DA-955C-DA2F9840CFC1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3F-43DA-955C-DA2F9840CFC1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3F-43DA-955C-DA2F9840CFC1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3F-43DA-955C-DA2F9840CFC1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0.13633687757910018</c:v>
                </c:pt>
                <c:pt idx="1">
                  <c:v>0.13767602019902425</c:v>
                </c:pt>
                <c:pt idx="2">
                  <c:v>0.14459396086521706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3F-43DA-955C-DA2F9840CFC1}"/>
            </c:ext>
          </c:extLst>
        </c:ser>
        <c:ser>
          <c:idx val="9"/>
          <c:order val="9"/>
          <c:tx>
            <c:strRef>
              <c:f>'Semi-trailer truck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(Diesel)'!$B$83,'Semi-trailer truck (Diesel)'!$N$83,'Semi-trailer truck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3F-43DA-955C-DA2F9840CFC1}"/>
            </c:ext>
          </c:extLst>
        </c:ser>
        <c:ser>
          <c:idx val="10"/>
          <c:order val="10"/>
          <c:tx>
            <c:strRef>
              <c:f>'Semi-trailer truck (Diesel)'!$A$84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(Diesel)'!$B$84,'Semi-trailer truck (Diesel)'!$N$84,'Semi-trailer truck (Diesel)'!$AC$84)</c:f>
              <c:numCache>
                <c:formatCode>0.000</c:formatCode>
                <c:ptCount val="3"/>
                <c:pt idx="0">
                  <c:v>3.105564911133563E-3</c:v>
                </c:pt>
                <c:pt idx="1">
                  <c:v>3.9575677966395585E-3</c:v>
                </c:pt>
                <c:pt idx="2">
                  <c:v>8.8630828876566804E-3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0-40BB-A665-E63B6DD1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B41-AB21-91D4E524BC5D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C-4B41-AB21-91D4E524BC5D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C-4B41-AB21-91D4E524BC5D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0C-4B41-AB21-91D4E524BC5D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0C-4B41-AB21-91D4E524BC5D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0C-4B41-AB21-91D4E524BC5D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0C-4B41-AB21-91D4E524BC5D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0C-4B41-AB21-91D4E524BC5D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0C-4B41-AB21-91D4E524BC5D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0C-4B41-AB21-91D4E524BC5D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0C-4B41-AB21-91D4E524BC5D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0C-4B41-AB21-91D4E524BC5D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0C-4B41-AB21-91D4E524BC5D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0C-4B41-AB21-91D4E524BC5D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0C-4B41-AB21-91D4E524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3-427A-B00C-AE949F2D773B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3-427A-B00C-AE949F2D773B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3-427A-B00C-AE949F2D773B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3-427A-B00C-AE949F2D773B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D3-427A-B00C-AE949F2D773B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D3-427A-B00C-AE949F2D773B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3-427A-B00C-AE949F2D773B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D3-427A-B00C-AE949F2D773B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0.13633687757910018</c:v>
                </c:pt>
                <c:pt idx="1">
                  <c:v>0.13767602019902425</c:v>
                </c:pt>
                <c:pt idx="2">
                  <c:v>0.14459396086521706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D3-427A-B00C-AE949F2D773B}"/>
            </c:ext>
          </c:extLst>
        </c:ser>
        <c:ser>
          <c:idx val="9"/>
          <c:order val="9"/>
          <c:tx>
            <c:strRef>
              <c:f>'Semi-trailer truck (Diesel)'!$A$189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(Diesel)'!$B$189,'Semi-trailer truck (Diesel)'!$N$189,'Semi-trailer truck (Diesel)'!$AC$189)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D3-427A-B00C-AE949F2D773B}"/>
            </c:ext>
          </c:extLst>
        </c:ser>
        <c:ser>
          <c:idx val="10"/>
          <c:order val="10"/>
          <c:tx>
            <c:strRef>
              <c:f>'Semi-trailer truck (Diesel)'!$A$190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(Diesel)'!$B$190,'Semi-trailer truck (Diesel)'!$N$190,'Semi-trailer truck (Diesel)'!$AC$190)</c:f>
              <c:numCache>
                <c:formatCode>0.000</c:formatCode>
                <c:ptCount val="3"/>
                <c:pt idx="0">
                  <c:v>3.105564911133563E-3</c:v>
                </c:pt>
                <c:pt idx="1">
                  <c:v>3.9575677966395585E-3</c:v>
                </c:pt>
                <c:pt idx="2">
                  <c:v>8.8630828876566804E-3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2-4ED2-8525-07ACBF647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3-437F-B246-EE0D1C720D35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3-437F-B246-EE0D1C720D35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3-437F-B246-EE0D1C720D35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3-437F-B246-EE0D1C720D35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B3-437F-B246-EE0D1C720D35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B3-437F-B246-EE0D1C720D35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B3-437F-B246-EE0D1C720D35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B3-437F-B246-EE0D1C720D35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B3-437F-B246-EE0D1C720D35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B3-437F-B246-EE0D1C720D35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B3-437F-B246-EE0D1C720D35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B3-437F-B246-EE0D1C720D35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4B3-437F-B246-EE0D1C720D35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B3-437F-B246-EE0D1C720D35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4B3-437F-B246-EE0D1C720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9-4810-95A5-4CA2A7A8FD4D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9-4810-95A5-4CA2A7A8FD4D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19-4810-95A5-4CA2A7A8FD4D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19-4810-95A5-4CA2A7A8FD4D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19-4810-95A5-4CA2A7A8FD4D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19-4810-95A5-4CA2A7A8FD4D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19-4810-95A5-4CA2A7A8FD4D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19-4810-95A5-4CA2A7A8FD4D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0.13633687757910018</c:v>
                </c:pt>
                <c:pt idx="1">
                  <c:v>0.13767602019902425</c:v>
                </c:pt>
                <c:pt idx="2">
                  <c:v>0.14459396086521706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19-4810-95A5-4CA2A7A8FD4D}"/>
            </c:ext>
          </c:extLst>
        </c:ser>
        <c:ser>
          <c:idx val="9"/>
          <c:order val="9"/>
          <c:tx>
            <c:strRef>
              <c:f>'Semi-trailer truck (Diesel)'!$A$297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(Diesel)'!$B$297,'Semi-trailer truck (Diesel)'!$N$297,'Semi-trailer truck (Diesel)'!$AC$297)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19-4810-95A5-4CA2A7A8FD4D}"/>
            </c:ext>
          </c:extLst>
        </c:ser>
        <c:ser>
          <c:idx val="10"/>
          <c:order val="10"/>
          <c:tx>
            <c:strRef>
              <c:f>'Semi-trailer truck (Diesel)'!$A$298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(Diesel)'!$B$298,'Semi-trailer truck (Diesel)'!$N$298,'Semi-trailer truck (Diesel)'!$AC$298)</c:f>
              <c:numCache>
                <c:formatCode>0.000</c:formatCode>
                <c:ptCount val="3"/>
                <c:pt idx="0">
                  <c:v>3.1055649111335639E-3</c:v>
                </c:pt>
                <c:pt idx="1">
                  <c:v>3.9575677966395585E-3</c:v>
                </c:pt>
                <c:pt idx="2">
                  <c:v>8.8630828876566786E-3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F-4F66-85E8-E29291D5E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5-49B6-8DA7-D0578218743C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5-49B6-8DA7-D0578218743C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5-49B6-8DA7-D0578218743C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5-49B6-8DA7-D0578218743C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35-49B6-8DA7-D0578218743C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35-49B6-8DA7-D0578218743C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35-49B6-8DA7-D0578218743C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35-49B6-8DA7-D0578218743C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35-49B6-8DA7-D0578218743C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35-49B6-8DA7-D0578218743C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35-49B6-8DA7-D0578218743C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35-49B6-8DA7-D0578218743C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35-49B6-8DA7-D0578218743C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35-49B6-8DA7-D0578218743C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35-49B6-8DA7-D0578218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4-44D5-BC2A-7FB942D1E673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4-44D5-BC2A-7FB942D1E673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4-44D5-BC2A-7FB942D1E673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4-44D5-BC2A-7FB942D1E673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4-44D5-BC2A-7FB942D1E673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04-44D5-BC2A-7FB942D1E673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04-44D5-BC2A-7FB942D1E673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04-44D5-BC2A-7FB942D1E673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0.13633687757910018</c:v>
                </c:pt>
                <c:pt idx="1">
                  <c:v>0.13767602019902425</c:v>
                </c:pt>
                <c:pt idx="2">
                  <c:v>0.14459396086521706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04-44D5-BC2A-7FB942D1E673}"/>
            </c:ext>
          </c:extLst>
        </c:ser>
        <c:ser>
          <c:idx val="9"/>
          <c:order val="9"/>
          <c:tx>
            <c:strRef>
              <c:f>'Semi-trailer truck (Diesel)'!$A$406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(Diesel)'!$B$406,'Semi-trailer truck (Diesel)'!$N$406,'Semi-trailer truck (Diesel)'!$AC$406)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04-44D5-BC2A-7FB942D1E673}"/>
            </c:ext>
          </c:extLst>
        </c:ser>
        <c:ser>
          <c:idx val="10"/>
          <c:order val="10"/>
          <c:tx>
            <c:strRef>
              <c:f>'Semi-trailer truck (Diesel)'!$A$407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(Diesel)'!$B$407,'Semi-trailer truck (Diesel)'!$N$407,'Semi-trailer truck (Diesel)'!$AC$407)</c:f>
              <c:numCache>
                <c:formatCode>0.000</c:formatCode>
                <c:ptCount val="3"/>
                <c:pt idx="0">
                  <c:v>3.1055649111335639E-3</c:v>
                </c:pt>
                <c:pt idx="1">
                  <c:v>3.9575677966395585E-3</c:v>
                </c:pt>
                <c:pt idx="2">
                  <c:v>8.8630828876566786E-3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8-439D-88BC-B50A8FA0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7-4E19-8675-2B89731AE142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97-4E19-8675-2B89731AE142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97-4E19-8675-2B89731AE142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97-4E19-8675-2B89731AE142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97-4E19-8675-2B89731AE142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97-4E19-8675-2B89731AE142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97-4E19-8675-2B89731AE142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97-4E19-8675-2B89731AE142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97-4E19-8675-2B89731AE142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97-4E19-8675-2B89731AE142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97-4E19-8675-2B89731AE142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97-4E19-8675-2B89731AE142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97-4E19-8675-2B89731AE142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97-4E19-8675-2B89731AE142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97-4E19-8675-2B89731A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0-4440-B6DE-845650791E8A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0-4440-B6DE-845650791E8A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0-4440-B6DE-845650791E8A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20-4440-B6DE-845650791E8A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20-4440-B6DE-845650791E8A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20-4440-B6DE-845650791E8A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20-4440-B6DE-845650791E8A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20-4440-B6DE-845650791E8A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0.13633687757910018</c:v>
                </c:pt>
                <c:pt idx="1">
                  <c:v>0.13767602019902425</c:v>
                </c:pt>
                <c:pt idx="2">
                  <c:v>0.14459396086521706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20-4440-B6DE-845650791E8A}"/>
            </c:ext>
          </c:extLst>
        </c:ser>
        <c:ser>
          <c:idx val="9"/>
          <c:order val="9"/>
          <c:tx>
            <c:strRef>
              <c:f>'Semi-trailer truck (Diesel)'!$A$511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(Diesel)'!$B$511,'Semi-trailer truck (Diesel)'!$N$511,'Semi-trailer truck (Diesel)'!$AC$511)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20-4440-B6DE-845650791E8A}"/>
            </c:ext>
          </c:extLst>
        </c:ser>
        <c:ser>
          <c:idx val="10"/>
          <c:order val="10"/>
          <c:tx>
            <c:strRef>
              <c:f>'Semi-trailer truck (Diesel)'!$A$512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(Diesel)'!$B$512,'Semi-trailer truck (Diesel)'!$N$512,'Semi-trailer truck (Diesel)'!$AC$512)</c:f>
              <c:numCache>
                <c:formatCode>0.000</c:formatCode>
                <c:ptCount val="3"/>
                <c:pt idx="0">
                  <c:v>3.1055649111335639E-3</c:v>
                </c:pt>
                <c:pt idx="1">
                  <c:v>3.9575677966395576E-3</c:v>
                </c:pt>
                <c:pt idx="2">
                  <c:v>8.8630828876566786E-3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84-97D6-D64A48D83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9-4CE4-954D-5B0F9B45FA70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9-4CE4-954D-5B0F9B45FA70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9-4CE4-954D-5B0F9B45FA70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59-4CE4-954D-5B0F9B45FA70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59-4CE4-954D-5B0F9B45FA70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59-4CE4-954D-5B0F9B45FA70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59-4CE4-954D-5B0F9B45FA70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59-4CE4-954D-5B0F9B45FA70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59-4CE4-954D-5B0F9B45FA70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59-4CE4-954D-5B0F9B45FA70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59-4CE4-954D-5B0F9B45FA70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59-4CE4-954D-5B0F9B45FA70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59-4CE4-954D-5B0F9B45FA70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59-4CE4-954D-5B0F9B45FA70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59-4CE4-954D-5B0F9B45F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3-4F18-A893-6FD088711FBA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3-4F18-A893-6FD088711FBA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3-4F18-A893-6FD088711FBA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3-4F18-A893-6FD088711FBA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93-4F18-A893-6FD088711FBA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93-4F18-A893-6FD088711FBA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93-4F18-A893-6FD088711FBA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93-4F18-A893-6FD088711FBA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0.15907506174705863</c:v>
                </c:pt>
                <c:pt idx="1">
                  <c:v>0.1272077866771365</c:v>
                </c:pt>
                <c:pt idx="2">
                  <c:v>0.12053542189797735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93-4F18-A893-6FD088711FBA}"/>
            </c:ext>
          </c:extLst>
        </c:ser>
        <c:ser>
          <c:idx val="9"/>
          <c:order val="9"/>
          <c:tx>
            <c:strRef>
              <c:f>'Semi-trailer truck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(Battery)'!$B$83,'Semi-trailer truck (Battery)'!$N$83,'Semi-trailer truck (Battery)'!$AC$83)</c:f>
              <c:numCache>
                <c:formatCode>0.00</c:formatCode>
                <c:ptCount val="3"/>
                <c:pt idx="0">
                  <c:v>1.2705336115153232E-2</c:v>
                </c:pt>
                <c:pt idx="1">
                  <c:v>7.2760605195378025E-3</c:v>
                </c:pt>
                <c:pt idx="2">
                  <c:v>4.6046727573994528E-3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93-4F18-A893-6FD088711FBA}"/>
            </c:ext>
          </c:extLst>
        </c:ser>
        <c:ser>
          <c:idx val="10"/>
          <c:order val="10"/>
          <c:tx>
            <c:strRef>
              <c:f>'Semi-trailer truck (Battery)'!$A$84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(Battery)'!$B$84,'Semi-trailer truck (Battery)'!$N$84,'Semi-trailer truck (Battery)'!$AC$84)</c:f>
              <c:numCache>
                <c:formatCode>0.000</c:formatCode>
                <c:ptCount val="3"/>
                <c:pt idx="0" formatCode="0.00">
                  <c:v>1.4049076735721778E-4</c:v>
                </c:pt>
                <c:pt idx="1">
                  <c:v>1.2003839777505244E-4</c:v>
                </c:pt>
                <c:pt idx="2">
                  <c:v>2.2812758930212777E-6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B-417B-8EFE-6B914785A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4-413F-BD63-02A9D140A726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4-413F-BD63-02A9D140A726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B4-413F-BD63-02A9D140A726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B4-413F-BD63-02A9D140A726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B4-413F-BD63-02A9D140A726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B4-413F-BD63-02A9D140A726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B4-413F-BD63-02A9D140A726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B4-413F-BD63-02A9D140A726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B4-413F-BD63-02A9D140A726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CB4-413F-BD63-02A9D140A726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CB4-413F-BD63-02A9D140A726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CB4-413F-BD63-02A9D140A726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CB4-413F-BD63-02A9D140A726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CB4-413F-BD63-02A9D140A726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CB4-413F-BD63-02A9D140A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E-47E7-89C6-03E0C07743EE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E-47E7-89C6-03E0C07743EE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8E-47E7-89C6-03E0C07743EE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8E-47E7-89C6-03E0C07743EE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8E-47E7-89C6-03E0C07743EE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8E-47E7-89C6-03E0C07743EE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8E-47E7-89C6-03E0C07743EE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8E-47E7-89C6-03E0C07743EE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0.15907506174705863</c:v>
                </c:pt>
                <c:pt idx="1">
                  <c:v>0.1272077866771365</c:v>
                </c:pt>
                <c:pt idx="2">
                  <c:v>0.12053542189797735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8E-47E7-89C6-03E0C07743EE}"/>
            </c:ext>
          </c:extLst>
        </c:ser>
        <c:ser>
          <c:idx val="9"/>
          <c:order val="9"/>
          <c:tx>
            <c:strRef>
              <c:f>'Semi-trailer truck (Battery)'!$A$189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(Battery)'!$B$189,'Semi-trailer truck (Battery)'!$N$189,'Semi-trailer truck (Battery)'!$AC$189)</c:f>
              <c:numCache>
                <c:formatCode>0.00</c:formatCode>
                <c:ptCount val="3"/>
                <c:pt idx="0">
                  <c:v>7.0448133436563226E-3</c:v>
                </c:pt>
                <c:pt idx="1">
                  <c:v>4.0708739905393893E-3</c:v>
                </c:pt>
                <c:pt idx="2">
                  <c:v>2.5726284928699536E-3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8E-47E7-89C6-03E0C07743EE}"/>
            </c:ext>
          </c:extLst>
        </c:ser>
        <c:ser>
          <c:idx val="10"/>
          <c:order val="10"/>
          <c:tx>
            <c:strRef>
              <c:f>'Semi-trailer truck (Battery)'!$A$190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(Battery)'!$B$190,'Semi-trailer truck (Battery)'!$N$190,'Semi-trailer truck (Battery)'!$AC$190)</c:f>
              <c:numCache>
                <c:formatCode>0.000</c:formatCode>
                <c:ptCount val="3"/>
                <c:pt idx="0">
                  <c:v>1.4049076735721778E-4</c:v>
                </c:pt>
                <c:pt idx="1">
                  <c:v>1.2003839777505244E-4</c:v>
                </c:pt>
                <c:pt idx="2">
                  <c:v>2.2812758930212777E-6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9-4014-96CD-BF9FF8A84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E-4696-B42C-8610F8507980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E-4696-B42C-8610F8507980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CE-4696-B42C-8610F8507980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CE-4696-B42C-8610F8507980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CE-4696-B42C-8610F8507980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CE-4696-B42C-8610F8507980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CE-4696-B42C-8610F8507980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CE-4696-B42C-8610F8507980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CE-4696-B42C-8610F8507980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CE-4696-B42C-8610F8507980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CE-4696-B42C-8610F8507980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4CE-4696-B42C-8610F8507980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4CE-4696-B42C-8610F8507980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CE-4696-B42C-8610F8507980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4CE-4696-B42C-8610F8507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B-4176-84E4-9EDD525CA548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B-4176-84E4-9EDD525CA548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B-4176-84E4-9EDD525CA548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B-4176-84E4-9EDD525CA548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DB-4176-84E4-9EDD525CA548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DB-4176-84E4-9EDD525CA548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DB-4176-84E4-9EDD525CA548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B-4176-84E4-9EDD525CA548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0.15907506174705863</c:v>
                </c:pt>
                <c:pt idx="1">
                  <c:v>0.1272077866771365</c:v>
                </c:pt>
                <c:pt idx="2">
                  <c:v>0.12053542189797735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DB-4176-84E4-9EDD525CA548}"/>
            </c:ext>
          </c:extLst>
        </c:ser>
        <c:ser>
          <c:idx val="9"/>
          <c:order val="9"/>
          <c:tx>
            <c:strRef>
              <c:f>'Semi-trailer truck (Battery)'!$A$297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(Battery)'!$B$297,'Semi-trailer truck (Battery)'!$N$297,'Semi-trailer truck (Battery)'!$AC$297)</c:f>
              <c:numCache>
                <c:formatCode>0.00</c:formatCode>
                <c:ptCount val="3"/>
                <c:pt idx="0">
                  <c:v>7.1132539649722548E-3</c:v>
                </c:pt>
                <c:pt idx="1">
                  <c:v>4.0794801741904502E-3</c:v>
                </c:pt>
                <c:pt idx="2">
                  <c:v>2.5732025895309971E-3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DB-4176-84E4-9EDD525CA548}"/>
            </c:ext>
          </c:extLst>
        </c:ser>
        <c:ser>
          <c:idx val="10"/>
          <c:order val="10"/>
          <c:tx>
            <c:strRef>
              <c:f>'Semi-trailer truck (Battery)'!$A$298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(Battery)'!$B$298,'Semi-trailer truck (Battery)'!$N$298,'Semi-trailer truck (Battery)'!$AC$298)</c:f>
              <c:numCache>
                <c:formatCode>0.000</c:formatCode>
                <c:ptCount val="3"/>
                <c:pt idx="0">
                  <c:v>1.4049076735721778E-4</c:v>
                </c:pt>
                <c:pt idx="1">
                  <c:v>1.2003839777505247E-4</c:v>
                </c:pt>
                <c:pt idx="2">
                  <c:v>2.2812758930212777E-6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2-4FB8-A08E-B66768B2D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5-43FA-9BCF-2076B3569FBF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5-43FA-9BCF-2076B3569FBF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5-43FA-9BCF-2076B3569FBF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D5-43FA-9BCF-2076B3569FBF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D5-43FA-9BCF-2076B3569FBF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D5-43FA-9BCF-2076B3569FBF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D5-43FA-9BCF-2076B3569FBF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D5-43FA-9BCF-2076B3569FBF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D5-43FA-9BCF-2076B3569FBF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D5-43FA-9BCF-2076B3569FBF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D5-43FA-9BCF-2076B3569FBF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D5-43FA-9BCF-2076B3569FBF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D5-43FA-9BCF-2076B3569FBF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D5-43FA-9BCF-2076B3569FBF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D5-43FA-9BCF-2076B356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0-443C-981C-568BC6F7B274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0-443C-981C-568BC6F7B274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0-443C-981C-568BC6F7B274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0-443C-981C-568BC6F7B274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C0-443C-981C-568BC6F7B274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C0-443C-981C-568BC6F7B274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C0-443C-981C-568BC6F7B274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C0-443C-981C-568BC6F7B274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0.15907506174705863</c:v>
                </c:pt>
                <c:pt idx="1">
                  <c:v>0.1272077866771365</c:v>
                </c:pt>
                <c:pt idx="2">
                  <c:v>0.12053542189797735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C0-443C-981C-568BC6F7B274}"/>
            </c:ext>
          </c:extLst>
        </c:ser>
        <c:ser>
          <c:idx val="9"/>
          <c:order val="9"/>
          <c:tx>
            <c:strRef>
              <c:f>'Semi-trailer truck (Battery)'!$A$406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(Battery)'!$B$406,'Semi-trailer truck (Battery)'!$N$406,'Semi-trailer truck (Battery)'!$AC$406)</c:f>
              <c:numCache>
                <c:formatCode>0.00</c:formatCode>
                <c:ptCount val="3"/>
                <c:pt idx="0">
                  <c:v>9.2867356687296315E-3</c:v>
                </c:pt>
                <c:pt idx="1">
                  <c:v>5.3282850864200398E-3</c:v>
                </c:pt>
                <c:pt idx="2">
                  <c:v>3.3678594488747021E-3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C0-443C-981C-568BC6F7B274}"/>
            </c:ext>
          </c:extLst>
        </c:ser>
        <c:ser>
          <c:idx val="10"/>
          <c:order val="10"/>
          <c:tx>
            <c:strRef>
              <c:f>'Semi-trailer truck (Battery)'!$A$407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(Battery)'!$B$407,'Semi-trailer truck (Battery)'!$N$407,'Semi-trailer truck (Battery)'!$AC$407)</c:f>
              <c:numCache>
                <c:formatCode>0.000</c:formatCode>
                <c:ptCount val="3"/>
                <c:pt idx="0">
                  <c:v>1.4049076735721778E-4</c:v>
                </c:pt>
                <c:pt idx="1">
                  <c:v>1.2003839777505244E-4</c:v>
                </c:pt>
                <c:pt idx="2">
                  <c:v>2.2812758930212777E-6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1-4406-81EA-08CD1A5DB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E-4595-A087-50EC71B02AC1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E-4595-A087-50EC71B02AC1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E-4595-A087-50EC71B02AC1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0E-4595-A087-50EC71B02AC1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0E-4595-A087-50EC71B02AC1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0E-4595-A087-50EC71B02AC1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0E-4595-A087-50EC71B02AC1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0E-4595-A087-50EC71B02AC1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0E-4595-A087-50EC71B02AC1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0E-4595-A087-50EC71B02AC1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0E-4595-A087-50EC71B02AC1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0E-4595-A087-50EC71B02AC1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0E-4595-A087-50EC71B02AC1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0E-4595-A087-50EC71B02AC1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40E-4595-A087-50EC71B0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A-4679-B7DB-331C49F168D3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A-4679-B7DB-331C49F168D3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A-4679-B7DB-331C49F168D3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A-4679-B7DB-331C49F168D3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BA-4679-B7DB-331C49F168D3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BA-4679-B7DB-331C49F168D3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BA-4679-B7DB-331C49F168D3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BA-4679-B7DB-331C49F168D3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0.15907506174705863</c:v>
                </c:pt>
                <c:pt idx="1">
                  <c:v>0.1272077866771365</c:v>
                </c:pt>
                <c:pt idx="2">
                  <c:v>0.12053542189797735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A-4679-B7DB-331C49F168D3}"/>
            </c:ext>
          </c:extLst>
        </c:ser>
        <c:ser>
          <c:idx val="9"/>
          <c:order val="9"/>
          <c:tx>
            <c:strRef>
              <c:f>'Semi-trailer truck (Battery)'!$A$511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(Battery)'!$B$511,'Semi-trailer truck (Battery)'!$N$511,'Semi-trailer truck (Battery)'!$AC$511)</c:f>
              <c:numCache>
                <c:formatCode>0.00</c:formatCode>
                <c:ptCount val="3"/>
                <c:pt idx="0">
                  <c:v>8.1551199100547145E-3</c:v>
                </c:pt>
                <c:pt idx="1">
                  <c:v>4.6774442853161763E-3</c:v>
                </c:pt>
                <c:pt idx="2">
                  <c:v>2.9536028982929466E-3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A-4679-B7DB-331C49F168D3}"/>
            </c:ext>
          </c:extLst>
        </c:ser>
        <c:ser>
          <c:idx val="10"/>
          <c:order val="10"/>
          <c:tx>
            <c:strRef>
              <c:f>'Semi-trailer truck (Battery)'!$A$512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(Battery)'!$B$512,'Semi-trailer truck (Battery)'!$N$512,'Semi-trailer truck (Battery)'!$AC$512)</c:f>
              <c:numCache>
                <c:formatCode>0.000</c:formatCode>
                <c:ptCount val="3"/>
                <c:pt idx="0">
                  <c:v>1.4049076735721778E-4</c:v>
                </c:pt>
                <c:pt idx="1">
                  <c:v>1.2003839777505244E-4</c:v>
                </c:pt>
                <c:pt idx="2">
                  <c:v>2.2812758930212777E-6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B-444B-8046-15136314A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3-481B-9A23-1359A0931E2E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3-481B-9A23-1359A0931E2E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3-481B-9A23-1359A0931E2E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E3-481B-9A23-1359A0931E2E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E3-481B-9A23-1359A0931E2E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E3-481B-9A23-1359A0931E2E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E3-481B-9A23-1359A0931E2E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E3-481B-9A23-1359A0931E2E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E3-481B-9A23-1359A0931E2E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E3-481B-9A23-1359A0931E2E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E3-481B-9A23-1359A0931E2E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E3-481B-9A23-1359A0931E2E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E3-481B-9A23-1359A0931E2E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E3-481B-9A23-1359A0931E2E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5E3-481B-9A23-1359A0931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2-4522-9D83-5042DF9CD883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2-4522-9D83-5042DF9CD883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2-4522-9D83-5042DF9CD883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2-4522-9D83-5042DF9CD883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2-4522-9D83-5042DF9CD883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2-4522-9D83-5042DF9CD883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2-4522-9D83-5042DF9CD883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2-4522-9D83-5042DF9CD883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0.19148045910111161</c:v>
                </c:pt>
                <c:pt idx="1">
                  <c:v>0.14620952061485565</c:v>
                </c:pt>
                <c:pt idx="2">
                  <c:v>0.13021340696332451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2-4522-9D83-5042DF9CD883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7.2369782095337842E-3</c:v>
                </c:pt>
                <c:pt idx="1">
                  <c:v>3.717788970807559E-3</c:v>
                </c:pt>
                <c:pt idx="2">
                  <c:v>1.9308919265353247E-3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2-4522-9D83-5042DF9CD883}"/>
            </c:ext>
          </c:extLst>
        </c:ser>
        <c:ser>
          <c:idx val="10"/>
          <c:order val="10"/>
          <c:tx>
            <c:strRef>
              <c:f>'Semi-trailer truck (Hydrogen)'!$A$84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(Hydrogen)'!$B$84,'Semi-trailer truck (Hydrogen)'!$N$84,'Semi-trailer truck (Hydrogen)'!$AC$84)</c:f>
              <c:numCache>
                <c:formatCode>0.000</c:formatCode>
                <c:ptCount val="3"/>
                <c:pt idx="0">
                  <c:v>3.6418200964524684E-4</c:v>
                </c:pt>
                <c:pt idx="1">
                  <c:v>3.1116510898656003E-4</c:v>
                </c:pt>
                <c:pt idx="2">
                  <c:v>5.9135532882621105E-6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D-40CB-8763-A06BC754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7-4588-AA4E-3B4FB1104729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7-4588-AA4E-3B4FB1104729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7-4588-AA4E-3B4FB1104729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57-4588-AA4E-3B4FB1104729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57-4588-AA4E-3B4FB1104729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57-4588-AA4E-3B4FB1104729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57-4588-AA4E-3B4FB1104729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57-4588-AA4E-3B4FB1104729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57-4588-AA4E-3B4FB1104729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57-4588-AA4E-3B4FB1104729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57-4588-AA4E-3B4FB1104729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357-4588-AA4E-3B4FB1104729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357-4588-AA4E-3B4FB1104729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57-4588-AA4E-3B4FB1104729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57-4588-AA4E-3B4FB1104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967-B3FF-6F6B7AC54B71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967-B3FF-6F6B7AC54B71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967-B3FF-6F6B7AC54B71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967-B3FF-6F6B7AC54B71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967-B3FF-6F6B7AC54B71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967-B3FF-6F6B7AC54B71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967-B3FF-6F6B7AC54B71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967-B3FF-6F6B7AC54B71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0.19148045910111161</c:v>
                </c:pt>
                <c:pt idx="1">
                  <c:v>0.14620952061485565</c:v>
                </c:pt>
                <c:pt idx="2">
                  <c:v>0.13021340696332451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967-B3FF-6F6B7AC54B71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7.2369782095337842E-3</c:v>
                </c:pt>
                <c:pt idx="1">
                  <c:v>3.717788970807559E-3</c:v>
                </c:pt>
                <c:pt idx="2">
                  <c:v>1.9308919265353247E-3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967-B3FF-6F6B7AC54B71}"/>
            </c:ext>
          </c:extLst>
        </c:ser>
        <c:ser>
          <c:idx val="10"/>
          <c:order val="10"/>
          <c:tx>
            <c:strRef>
              <c:f>'Semi-trailer truck (Hydrogen)'!$A$190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(Hydrogen)'!$B$190,'Semi-trailer truck (Hydrogen)'!$N$190,'Semi-trailer truck (Hydrogen)'!$AC$190)</c:f>
              <c:numCache>
                <c:formatCode>0.000</c:formatCode>
                <c:ptCount val="3"/>
                <c:pt idx="0">
                  <c:v>3.6418200964524684E-4</c:v>
                </c:pt>
                <c:pt idx="1">
                  <c:v>3.1116510898656003E-4</c:v>
                </c:pt>
                <c:pt idx="2">
                  <c:v>5.9135532882621105E-6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42BF-9D15-085324D18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3-4013-8C0B-6EFFEEA5538F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3-4013-8C0B-6EFFEEA5538F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3-4013-8C0B-6EFFEEA5538F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B3-4013-8C0B-6EFFEEA5538F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B3-4013-8C0B-6EFFEEA5538F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B3-4013-8C0B-6EFFEEA5538F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B3-4013-8C0B-6EFFEEA5538F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B3-4013-8C0B-6EFFEEA5538F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B3-4013-8C0B-6EFFEEA5538F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B3-4013-8C0B-6EFFEEA5538F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B3-4013-8C0B-6EFFEEA5538F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B3-4013-8C0B-6EFFEEA5538F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1B3-4013-8C0B-6EFFEEA5538F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B3-4013-8C0B-6EFFEEA5538F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1B3-4013-8C0B-6EFFEEA5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D-4331-AA75-D36D0ABC75A1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D-4331-AA75-D36D0ABC75A1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2D-4331-AA75-D36D0ABC75A1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2D-4331-AA75-D36D0ABC75A1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2D-4331-AA75-D36D0ABC75A1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2D-4331-AA75-D36D0ABC75A1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2D-4331-AA75-D36D0ABC75A1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2D-4331-AA75-D36D0ABC75A1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0.19148045910111161</c:v>
                </c:pt>
                <c:pt idx="1">
                  <c:v>0.14620952061485565</c:v>
                </c:pt>
                <c:pt idx="2">
                  <c:v>0.13021340696332451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2D-4331-AA75-D36D0ABC75A1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7.2369782095337842E-3</c:v>
                </c:pt>
                <c:pt idx="1">
                  <c:v>3.717788970807559E-3</c:v>
                </c:pt>
                <c:pt idx="2">
                  <c:v>1.9308919265353247E-3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2D-4331-AA75-D36D0ABC75A1}"/>
            </c:ext>
          </c:extLst>
        </c:ser>
        <c:ser>
          <c:idx val="10"/>
          <c:order val="10"/>
          <c:tx>
            <c:strRef>
              <c:f>'Semi-trailer truck (Hydrogen)'!$A$298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(Hydrogen)'!$B$298,'Semi-trailer truck (Hydrogen)'!$N$298,'Semi-trailer truck (Hydrogen)'!$AC$298)</c:f>
              <c:numCache>
                <c:formatCode>0.000</c:formatCode>
                <c:ptCount val="3"/>
                <c:pt idx="0">
                  <c:v>3.6418200964524684E-4</c:v>
                </c:pt>
                <c:pt idx="1">
                  <c:v>3.1116510898656009E-4</c:v>
                </c:pt>
                <c:pt idx="2">
                  <c:v>5.9135532882621105E-6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7-4000-B302-197E1A21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3-479C-BFCD-5710896D315E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3-479C-BFCD-5710896D315E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C3-479C-BFCD-5710896D315E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C3-479C-BFCD-5710896D315E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C3-479C-BFCD-5710896D315E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C3-479C-BFCD-5710896D315E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C3-479C-BFCD-5710896D315E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C3-479C-BFCD-5710896D315E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C3-479C-BFCD-5710896D315E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C3-479C-BFCD-5710896D315E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C3-479C-BFCD-5710896D315E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C3-479C-BFCD-5710896D315E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C3-479C-BFCD-5710896D315E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C3-479C-BFCD-5710896D315E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C3-479C-BFCD-5710896D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C-49FD-8CCB-F23B9E1CDECD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C-49FD-8CCB-F23B9E1CDECD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C-49FD-8CCB-F23B9E1CDECD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0C-49FD-8CCB-F23B9E1CDECD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0C-49FD-8CCB-F23B9E1CDECD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0C-49FD-8CCB-F23B9E1CDECD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0C-49FD-8CCB-F23B9E1CDECD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0C-49FD-8CCB-F23B9E1CDECD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0.19148045910111161</c:v>
                </c:pt>
                <c:pt idx="1">
                  <c:v>0.14620952061485565</c:v>
                </c:pt>
                <c:pt idx="2">
                  <c:v>0.13021340696332451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0C-49FD-8CCB-F23B9E1CDECD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7.2369782095337842E-3</c:v>
                </c:pt>
                <c:pt idx="1">
                  <c:v>3.717788970807559E-3</c:v>
                </c:pt>
                <c:pt idx="2">
                  <c:v>1.9308919265353247E-3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0C-49FD-8CCB-F23B9E1CDECD}"/>
            </c:ext>
          </c:extLst>
        </c:ser>
        <c:ser>
          <c:idx val="10"/>
          <c:order val="10"/>
          <c:tx>
            <c:strRef>
              <c:f>'Semi-trailer truck (Hydrogen)'!$A$407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(Hydrogen)'!$B$407,'Semi-trailer truck (Hydrogen)'!$N$407,'Semi-trailer truck (Hydrogen)'!$AC$407)</c:f>
              <c:numCache>
                <c:formatCode>0.000</c:formatCode>
                <c:ptCount val="3"/>
                <c:pt idx="0">
                  <c:v>3.6418200964524684E-4</c:v>
                </c:pt>
                <c:pt idx="1">
                  <c:v>3.1116510898656009E-4</c:v>
                </c:pt>
                <c:pt idx="2">
                  <c:v>5.9135532882621105E-6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E-48C5-909D-D68FBAED9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6-4EC3-AF3D-4F3D86D1D8E5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86-4EC3-AF3D-4F3D86D1D8E5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86-4EC3-AF3D-4F3D86D1D8E5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86-4EC3-AF3D-4F3D86D1D8E5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86-4EC3-AF3D-4F3D86D1D8E5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86-4EC3-AF3D-4F3D86D1D8E5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86-4EC3-AF3D-4F3D86D1D8E5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86-4EC3-AF3D-4F3D86D1D8E5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86-4EC3-AF3D-4F3D86D1D8E5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86-4EC3-AF3D-4F3D86D1D8E5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86-4EC3-AF3D-4F3D86D1D8E5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86-4EC3-AF3D-4F3D86D1D8E5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86-4EC3-AF3D-4F3D86D1D8E5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86-4EC3-AF3D-4F3D86D1D8E5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86-4EC3-AF3D-4F3D86D1D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3-4675-8D39-4E7E464EF376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3-4675-8D39-4E7E464EF376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63-4675-8D39-4E7E464EF376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63-4675-8D39-4E7E464EF376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63-4675-8D39-4E7E464EF376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63-4675-8D39-4E7E464EF376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63-4675-8D39-4E7E464EF376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63-4675-8D39-4E7E464EF376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0.19148045910111161</c:v>
                </c:pt>
                <c:pt idx="1">
                  <c:v>0.14620952061485565</c:v>
                </c:pt>
                <c:pt idx="2">
                  <c:v>0.13021340696332451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63-4675-8D39-4E7E464EF376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7.2369782095337842E-3</c:v>
                </c:pt>
                <c:pt idx="1">
                  <c:v>3.717788970807559E-3</c:v>
                </c:pt>
                <c:pt idx="2">
                  <c:v>1.9308919265353247E-3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63-4675-8D39-4E7E464EF376}"/>
            </c:ext>
          </c:extLst>
        </c:ser>
        <c:ser>
          <c:idx val="10"/>
          <c:order val="10"/>
          <c:tx>
            <c:strRef>
              <c:f>'Semi-trailer truck (Hydrogen)'!$A$512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(Hydrogen)'!$B$512,'Semi-trailer truck (Hydrogen)'!$N$512,'Semi-trailer truck (Hydrogen)'!$AC$512)</c:f>
              <c:numCache>
                <c:formatCode>0.000</c:formatCode>
                <c:ptCount val="3"/>
                <c:pt idx="0">
                  <c:v>3.6418200964524684E-4</c:v>
                </c:pt>
                <c:pt idx="1">
                  <c:v>3.1116510898656003E-4</c:v>
                </c:pt>
                <c:pt idx="2">
                  <c:v>5.9135532882621105E-6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3-48F9-B402-D632047CA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7BA-88D6-B6A83B519F5C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7BA-88D6-B6A83B519F5C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C7-47BA-88D6-B6A83B519F5C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C7-47BA-88D6-B6A83B519F5C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C7-47BA-88D6-B6A83B519F5C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C7-47BA-88D6-B6A83B519F5C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C7-47BA-88D6-B6A83B519F5C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C7-47BA-88D6-B6A83B519F5C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C7-47BA-88D6-B6A83B519F5C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C7-47BA-88D6-B6A83B519F5C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C7-47BA-88D6-B6A83B519F5C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C7-47BA-88D6-B6A83B519F5C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C7-47BA-88D6-B6A83B519F5C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C7-47BA-88D6-B6A83B519F5C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DC7-47BA-88D6-B6A83B51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D-4C98-BAA8-69341C9A608B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D-4C98-BAA8-69341C9A608B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D-4C98-BAA8-69341C9A608B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D-4C98-BAA8-69341C9A608B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D-4C98-BAA8-69341C9A608B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5D-4C98-BAA8-69341C9A608B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5D-4C98-BAA8-69341C9A608B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5D-4C98-BAA8-69341C9A608B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1.1881931563082686E-2</c:v>
                </c:pt>
                <c:pt idx="1">
                  <c:v>1.2215846467740212E-2</c:v>
                </c:pt>
                <c:pt idx="2">
                  <c:v>1.3927782054255036E-2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5D-4C98-BAA8-69341C9A608B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5D-4C98-BAA8-69341C9A608B}"/>
            </c:ext>
          </c:extLst>
        </c:ser>
        <c:ser>
          <c:idx val="10"/>
          <c:order val="10"/>
          <c:tx>
            <c:strRef>
              <c:f>'Railway (Diesel)'!$A$84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(Diesel)'!$B$84,'Railway (Diesel)'!$N$84,'Railway (Diesel)'!$AC$84)</c:f>
              <c:numCache>
                <c:formatCode>0.0000</c:formatCode>
                <c:ptCount val="3"/>
                <c:pt idx="0">
                  <c:v>7.4298751127533757E-4</c:v>
                </c:pt>
                <c:pt idx="1">
                  <c:v>1.0113269265627047E-3</c:v>
                </c:pt>
                <c:pt idx="2">
                  <c:v>2.5563252752773664E-3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3-4620-B12E-94637DE69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2-42BD-B2F0-01671E4BE14E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2-42BD-B2F0-01671E4BE14E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92-42BD-B2F0-01671E4BE14E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92-42BD-B2F0-01671E4BE14E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92-42BD-B2F0-01671E4BE14E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92-42BD-B2F0-01671E4BE14E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92-42BD-B2F0-01671E4BE14E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92-42BD-B2F0-01671E4BE14E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92-42BD-B2F0-01671E4BE14E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92-42BD-B2F0-01671E4BE14E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92-42BD-B2F0-01671E4BE14E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92-42BD-B2F0-01671E4BE14E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92-42BD-B2F0-01671E4BE14E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92-42BD-B2F0-01671E4BE14E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92-42BD-B2F0-01671E4BE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C-417E-A6BF-1FBE9F401D82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C-417E-A6BF-1FBE9F401D82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C-417E-A6BF-1FBE9F401D82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C-417E-A6BF-1FBE9F401D82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BC-417E-A6BF-1FBE9F401D82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BC-417E-A6BF-1FBE9F401D82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BC-417E-A6BF-1FBE9F401D82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BC-417E-A6BF-1FBE9F401D82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1.1881931563082686E-2</c:v>
                </c:pt>
                <c:pt idx="1">
                  <c:v>1.2215846467740212E-2</c:v>
                </c:pt>
                <c:pt idx="2">
                  <c:v>1.3927782054255036E-2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BC-417E-A6BF-1FBE9F401D82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BC-417E-A6BF-1FBE9F401D82}"/>
            </c:ext>
          </c:extLst>
        </c:ser>
        <c:ser>
          <c:idx val="10"/>
          <c:order val="10"/>
          <c:tx>
            <c:strRef>
              <c:f>'Railway (Diesel)'!$A$190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(Diesel)'!$B$190,'Railway (Diesel)'!$N$190,'Railway (Diesel)'!$AC$190)</c:f>
              <c:numCache>
                <c:formatCode>0.0000</c:formatCode>
                <c:ptCount val="3"/>
                <c:pt idx="0">
                  <c:v>7.4298751127533757E-4</c:v>
                </c:pt>
                <c:pt idx="1">
                  <c:v>1.0113269265627047E-3</c:v>
                </c:pt>
                <c:pt idx="2">
                  <c:v>2.5563252752773664E-3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7-4F96-965A-089588A0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F-4BE6-B6E8-A3BCD617CD0F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F-4BE6-B6E8-A3BCD617CD0F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F-4BE6-B6E8-A3BCD617CD0F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EF-4BE6-B6E8-A3BCD617CD0F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EF-4BE6-B6E8-A3BCD617CD0F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EF-4BE6-B6E8-A3BCD617CD0F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EF-4BE6-B6E8-A3BCD617CD0F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EF-4BE6-B6E8-A3BCD617CD0F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EF-4BE6-B6E8-A3BCD617CD0F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EF-4BE6-B6E8-A3BCD617CD0F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EF-4BE6-B6E8-A3BCD617CD0F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EF-4BE6-B6E8-A3BCD617CD0F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EF-4BE6-B6E8-A3BCD617CD0F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CEF-4BE6-B6E8-A3BCD617CD0F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CEF-4BE6-B6E8-A3BCD617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D-4932-AD84-D402DC9C98FE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D-4932-AD84-D402DC9C98FE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D-4932-AD84-D402DC9C98FE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D-4932-AD84-D402DC9C98FE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2D-4932-AD84-D402DC9C98FE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2D-4932-AD84-D402DC9C98FE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2D-4932-AD84-D402DC9C98FE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2D-4932-AD84-D402DC9C98FE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1.1881931563082686E-2</c:v>
                </c:pt>
                <c:pt idx="1">
                  <c:v>1.2215846467740212E-2</c:v>
                </c:pt>
                <c:pt idx="2">
                  <c:v>1.3927782054255036E-2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2D-4932-AD84-D402DC9C98FE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2D-4932-AD84-D402DC9C98FE}"/>
            </c:ext>
          </c:extLst>
        </c:ser>
        <c:ser>
          <c:idx val="10"/>
          <c:order val="10"/>
          <c:tx>
            <c:strRef>
              <c:f>'Railway (Diesel)'!$A$298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(Diesel)'!$B$298,'Railway (Diesel)'!$N$298,'Railway (Diesel)'!$AC$298)</c:f>
              <c:numCache>
                <c:formatCode>0.00</c:formatCode>
                <c:ptCount val="3"/>
                <c:pt idx="0">
                  <c:v>7.4298751127533757E-4</c:v>
                </c:pt>
                <c:pt idx="1">
                  <c:v>1.0113269265627047E-3</c:v>
                </c:pt>
                <c:pt idx="2">
                  <c:v>2.5563252752773664E-3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F-4F5F-8066-0D623869C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E-4952-9F92-E58B8F03017B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E-4952-9F92-E58B8F03017B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E-4952-9F92-E58B8F03017B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E-4952-9F92-E58B8F03017B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3E-4952-9F92-E58B8F03017B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3E-4952-9F92-E58B8F03017B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3E-4952-9F92-E58B8F03017B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3E-4952-9F92-E58B8F03017B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3E-4952-9F92-E58B8F03017B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3E-4952-9F92-E58B8F03017B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3E-4952-9F92-E58B8F03017B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3E-4952-9F92-E58B8F03017B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3E-4952-9F92-E58B8F03017B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3E-4952-9F92-E58B8F03017B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3E-4952-9F92-E58B8F03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A-43C0-82D4-1B53BE3A7604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A-43C0-82D4-1B53BE3A7604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DA-43C0-82D4-1B53BE3A7604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DA-43C0-82D4-1B53BE3A7604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DA-43C0-82D4-1B53BE3A7604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DA-43C0-82D4-1B53BE3A7604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DA-43C0-82D4-1B53BE3A7604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DA-43C0-82D4-1B53BE3A7604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1.1881931563082686E-2</c:v>
                </c:pt>
                <c:pt idx="1">
                  <c:v>1.2215846467740212E-2</c:v>
                </c:pt>
                <c:pt idx="2">
                  <c:v>1.3927782054255036E-2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DA-43C0-82D4-1B53BE3A7604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DA-43C0-82D4-1B53BE3A7604}"/>
            </c:ext>
          </c:extLst>
        </c:ser>
        <c:ser>
          <c:idx val="10"/>
          <c:order val="10"/>
          <c:tx>
            <c:strRef>
              <c:f>'Railway (Diesel)'!$A$407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(Diesel)'!$B$407,'Railway (Diesel)'!$N$407,'Railway (Diesel)'!$AC$407)</c:f>
              <c:numCache>
                <c:formatCode>0.00</c:formatCode>
                <c:ptCount val="3"/>
                <c:pt idx="0">
                  <c:v>7.4298751127533757E-4</c:v>
                </c:pt>
                <c:pt idx="1">
                  <c:v>1.0113269265627047E-3</c:v>
                </c:pt>
                <c:pt idx="2">
                  <c:v>2.5563252752773664E-3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2-4DBF-9C7D-089A21539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7-42D9-BBEA-193749D6F7E1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7-42D9-BBEA-193749D6F7E1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7-42D9-BBEA-193749D6F7E1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D7-42D9-BBEA-193749D6F7E1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D7-42D9-BBEA-193749D6F7E1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D7-42D9-BBEA-193749D6F7E1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D7-42D9-BBEA-193749D6F7E1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D7-42D9-BBEA-193749D6F7E1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D7-42D9-BBEA-193749D6F7E1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D7-42D9-BBEA-193749D6F7E1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D7-42D9-BBEA-193749D6F7E1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D7-42D9-BBEA-193749D6F7E1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DD7-42D9-BBEA-193749D6F7E1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DD7-42D9-BBEA-193749D6F7E1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DD7-42D9-BBEA-193749D6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4-4FC4-8487-C480768F644D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4-4FC4-8487-C480768F644D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4-4FC4-8487-C480768F644D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4-4FC4-8487-C480768F644D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4-4FC4-8487-C480768F644D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4-4FC4-8487-C480768F644D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4-4FC4-8487-C480768F644D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F4-4FC4-8487-C480768F644D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1.1881931563082686E-2</c:v>
                </c:pt>
                <c:pt idx="1">
                  <c:v>1.2215846467740212E-2</c:v>
                </c:pt>
                <c:pt idx="2">
                  <c:v>1.3927782054255036E-2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F4-4FC4-8487-C480768F644D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F4-4FC4-8487-C480768F644D}"/>
            </c:ext>
          </c:extLst>
        </c:ser>
        <c:ser>
          <c:idx val="10"/>
          <c:order val="10"/>
          <c:tx>
            <c:strRef>
              <c:f>'Railway (Diesel)'!$A$512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(Diesel)'!$B$512,'Railway (Diesel)'!$N$512,'Railway (Diesel)'!$AC$512)</c:f>
              <c:numCache>
                <c:formatCode>0.0000</c:formatCode>
                <c:ptCount val="3"/>
                <c:pt idx="0">
                  <c:v>5.9439000902027008E-4</c:v>
                </c:pt>
                <c:pt idx="1">
                  <c:v>8.0906154125016375E-4</c:v>
                </c:pt>
                <c:pt idx="2">
                  <c:v>2.0450602202218928E-3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0-4114-B663-415E1E6D0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3-4862-B22D-EDD7A388E5C6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3-4862-B22D-EDD7A388E5C6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3-4862-B22D-EDD7A388E5C6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A3-4862-B22D-EDD7A388E5C6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A3-4862-B22D-EDD7A388E5C6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3-4862-B22D-EDD7A388E5C6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3-4862-B22D-EDD7A388E5C6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A3-4862-B22D-EDD7A388E5C6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A3-4862-B22D-EDD7A388E5C6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A3-4862-B22D-EDD7A388E5C6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A3-4862-B22D-EDD7A388E5C6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A3-4862-B22D-EDD7A388E5C6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A3-4862-B22D-EDD7A388E5C6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A3-4862-B22D-EDD7A388E5C6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A3-4862-B22D-EDD7A388E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E-44C3-A1E0-4D226AB27097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E-44C3-A1E0-4D226AB27097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E-44C3-A1E0-4D226AB27097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4E-44C3-A1E0-4D226AB27097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4E-44C3-A1E0-4D226AB27097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4E-44C3-A1E0-4D226AB27097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4E-44C3-A1E0-4D226AB27097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4E-44C3-A1E0-4D226AB27097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8.4609173316454768E-3</c:v>
                </c:pt>
                <c:pt idx="1">
                  <c:v>8.3321570809918796E-3</c:v>
                </c:pt>
                <c:pt idx="2">
                  <c:v>8.1981036076722927E-3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4E-44C3-A1E0-4D226AB27097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4E-44C3-A1E0-4D226AB27097}"/>
            </c:ext>
          </c:extLst>
        </c:ser>
        <c:ser>
          <c:idx val="10"/>
          <c:order val="10"/>
          <c:tx>
            <c:strRef>
              <c:f>'Railway (Catenary)'!$A$84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(Catenary)'!$B$84,'Railway (Catenary)'!$N$84,'Railway (Catenary)'!$AC$84)</c:f>
              <c:numCache>
                <c:formatCode>0.000</c:formatCode>
                <c:ptCount val="3"/>
                <c:pt idx="0">
                  <c:v>2.6370562862784274E-5</c:v>
                </c:pt>
                <c:pt idx="1">
                  <c:v>2.2531588189181431E-5</c:v>
                </c:pt>
                <c:pt idx="2">
                  <c:v>4.2820272446309834E-7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2-4C75-A6DF-4C5D2F3E4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0-4888-9676-746156764CC9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0-4888-9676-746156764CC9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0-4888-9676-746156764CC9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70-4888-9676-746156764CC9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70-4888-9676-746156764CC9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70-4888-9676-746156764CC9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70-4888-9676-746156764CC9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70-4888-9676-746156764CC9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70-4888-9676-746156764CC9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70-4888-9676-746156764CC9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70-4888-9676-746156764CC9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70-4888-9676-746156764CC9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70-4888-9676-746156764CC9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70-4888-9676-746156764CC9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70-4888-9676-74615676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C-47DF-B0F0-0465A1B82E35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C-47DF-B0F0-0465A1B82E35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C-47DF-B0F0-0465A1B82E35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C-47DF-B0F0-0465A1B82E35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C-47DF-B0F0-0465A1B82E35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C-47DF-B0F0-0465A1B82E35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C-47DF-B0F0-0465A1B82E35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C-47DF-B0F0-0465A1B82E35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8.4609173316454768E-3</c:v>
                </c:pt>
                <c:pt idx="1">
                  <c:v>8.3321570809918796E-3</c:v>
                </c:pt>
                <c:pt idx="2">
                  <c:v>8.1981036076722927E-3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C-47DF-B0F0-0465A1B82E35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C-47DF-B0F0-0465A1B82E35}"/>
            </c:ext>
          </c:extLst>
        </c:ser>
        <c:ser>
          <c:idx val="10"/>
          <c:order val="10"/>
          <c:tx>
            <c:strRef>
              <c:f>'Railway (Catenary)'!$A$190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(Catenary)'!$B$190,'Railway (Catenary)'!$N$190,'Railway (Catenary)'!$AC$190)</c:f>
              <c:numCache>
                <c:formatCode>0.000</c:formatCode>
                <c:ptCount val="3"/>
                <c:pt idx="0">
                  <c:v>2.6370562862784274E-5</c:v>
                </c:pt>
                <c:pt idx="1">
                  <c:v>2.2531588189181431E-5</c:v>
                </c:pt>
                <c:pt idx="2">
                  <c:v>4.2820272446309834E-7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4-4117-9E3A-FFAC96523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E-4FEB-9327-0524F72704EF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E-4FEB-9327-0524F72704EF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E-4FEB-9327-0524F72704EF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E-4FEB-9327-0524F72704EF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E-4FEB-9327-0524F72704EF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E-4FEB-9327-0524F72704EF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E-4FEB-9327-0524F72704EF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BE-4FEB-9327-0524F72704EF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BE-4FEB-9327-0524F72704EF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BE-4FEB-9327-0524F72704EF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9BE-4FEB-9327-0524F72704EF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9BE-4FEB-9327-0524F72704EF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9BE-4FEB-9327-0524F72704EF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9BE-4FEB-9327-0524F72704EF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BE-4FEB-9327-0524F7270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C-4963-9688-BB2BDD10D58A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C-4963-9688-BB2BDD10D58A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C-4963-9688-BB2BDD10D58A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C-4963-9688-BB2BDD10D58A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2C-4963-9688-BB2BDD10D58A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2C-4963-9688-BB2BDD10D58A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2C-4963-9688-BB2BDD10D58A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2C-4963-9688-BB2BDD10D58A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8.4609173316454768E-3</c:v>
                </c:pt>
                <c:pt idx="1">
                  <c:v>8.3321570809918796E-3</c:v>
                </c:pt>
                <c:pt idx="2">
                  <c:v>8.1981036076722927E-3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2C-4963-9688-BB2BDD10D58A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2C-4963-9688-BB2BDD10D58A}"/>
            </c:ext>
          </c:extLst>
        </c:ser>
        <c:ser>
          <c:idx val="10"/>
          <c:order val="10"/>
          <c:tx>
            <c:strRef>
              <c:f>'Railway (Catenary)'!$A$298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(Catenary)'!$B$298,'Railway (Catenary)'!$N$298,'Railway (Catenary)'!$AC$298)</c:f>
              <c:numCache>
                <c:formatCode>0.000</c:formatCode>
                <c:ptCount val="3"/>
                <c:pt idx="0">
                  <c:v>2.6370562862784274E-5</c:v>
                </c:pt>
                <c:pt idx="1">
                  <c:v>2.2531588189181431E-5</c:v>
                </c:pt>
                <c:pt idx="2">
                  <c:v>4.2820272446309834E-7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B-4E41-ADCA-D9ED21E7E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C-4077-9DEE-98C295A2F534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C-4077-9DEE-98C295A2F534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9C-4077-9DEE-98C295A2F534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9C-4077-9DEE-98C295A2F534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9C-4077-9DEE-98C295A2F534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9C-4077-9DEE-98C295A2F534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9C-4077-9DEE-98C295A2F534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9C-4077-9DEE-98C295A2F534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9C-4077-9DEE-98C295A2F534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9C-4077-9DEE-98C295A2F534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9C-4077-9DEE-98C295A2F534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9C-4077-9DEE-98C295A2F534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9C-4077-9DEE-98C295A2F534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9C-4077-9DEE-98C295A2F534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9C-4077-9DEE-98C295A2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A-4823-B73B-ED0F7B91C56A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A-4823-B73B-ED0F7B91C56A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A-4823-B73B-ED0F7B91C56A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A-4823-B73B-ED0F7B91C56A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3A-4823-B73B-ED0F7B91C56A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3A-4823-B73B-ED0F7B91C56A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3A-4823-B73B-ED0F7B91C56A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A-4823-B73B-ED0F7B91C56A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8.4609173316454768E-3</c:v>
                </c:pt>
                <c:pt idx="1">
                  <c:v>8.3321570809918796E-3</c:v>
                </c:pt>
                <c:pt idx="2">
                  <c:v>8.1981036076722927E-3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A-4823-B73B-ED0F7B91C56A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A-4823-B73B-ED0F7B91C56A}"/>
            </c:ext>
          </c:extLst>
        </c:ser>
        <c:ser>
          <c:idx val="10"/>
          <c:order val="10"/>
          <c:tx>
            <c:strRef>
              <c:f>'Railway (Catenary)'!$A$407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(Catenary)'!$B$407,'Railway (Catenary)'!$N$407,'Railway (Catenary)'!$AC$407)</c:f>
              <c:numCache>
                <c:formatCode>0.000</c:formatCode>
                <c:ptCount val="3"/>
                <c:pt idx="0">
                  <c:v>2.6370562862784274E-5</c:v>
                </c:pt>
                <c:pt idx="1">
                  <c:v>2.2531588189181431E-5</c:v>
                </c:pt>
                <c:pt idx="2">
                  <c:v>4.2820272446309834E-7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4-4020-A673-816BD1B9A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3-450D-886E-FD50B22BCB7F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3-450D-886E-FD50B22BCB7F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D3-450D-886E-FD50B22BCB7F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D3-450D-886E-FD50B22BCB7F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D3-450D-886E-FD50B22BCB7F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D3-450D-886E-FD50B22BCB7F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D3-450D-886E-FD50B22BCB7F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D3-450D-886E-FD50B22BCB7F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D3-450D-886E-FD50B22BCB7F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D3-450D-886E-FD50B22BCB7F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D3-450D-886E-FD50B22BCB7F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D3-450D-886E-FD50B22BCB7F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D3-450D-886E-FD50B22BCB7F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D3-450D-886E-FD50B22BCB7F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D3-450D-886E-FD50B22B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6-4F84-830D-07E493B86E71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6-4F84-830D-07E493B86E71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6-4F84-830D-07E493B86E71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06-4F84-830D-07E493B86E71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06-4F84-830D-07E493B86E71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06-4F84-830D-07E493B86E71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06-4F84-830D-07E493B86E71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06-4F84-830D-07E493B86E71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8.4609173316454768E-3</c:v>
                </c:pt>
                <c:pt idx="1">
                  <c:v>8.3321570809918796E-3</c:v>
                </c:pt>
                <c:pt idx="2">
                  <c:v>8.1981036076722927E-3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06-4F84-830D-07E493B86E71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06-4F84-830D-07E493B86E71}"/>
            </c:ext>
          </c:extLst>
        </c:ser>
        <c:ser>
          <c:idx val="10"/>
          <c:order val="10"/>
          <c:tx>
            <c:strRef>
              <c:f>'Railway (Catenary)'!$A$512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(Catenary)'!$B$512,'Railway (Catenary)'!$N$512,'Railway (Catenary)'!$AC$512)</c:f>
              <c:numCache>
                <c:formatCode>0.000</c:formatCode>
                <c:ptCount val="3"/>
                <c:pt idx="0">
                  <c:v>2.1096450290227417E-5</c:v>
                </c:pt>
                <c:pt idx="1">
                  <c:v>1.8025270551345146E-5</c:v>
                </c:pt>
                <c:pt idx="2">
                  <c:v>3.4256217957047868E-7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E-4F3E-ABF6-3FA8B7164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8-4C79-9656-4F3D02CA1FAE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8-4C79-9656-4F3D02CA1FAE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8-4C79-9656-4F3D02CA1FAE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38-4C79-9656-4F3D02CA1FAE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8-4C79-9656-4F3D02CA1FAE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38-4C79-9656-4F3D02CA1FAE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38-4C79-9656-4F3D02CA1FAE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38-4C79-9656-4F3D02CA1FAE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38-4C79-9656-4F3D02CA1FAE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38-4C79-9656-4F3D02CA1FAE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38-4C79-9656-4F3D02CA1FAE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38-4C79-9656-4F3D02CA1FAE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338-4C79-9656-4F3D02CA1FAE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38-4C79-9656-4F3D02CA1FAE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338-4C79-9656-4F3D02CA1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2-4105-98E8-0EC41112B3FC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2-4105-98E8-0EC41112B3FC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2-4105-98E8-0EC41112B3FC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2-4105-98E8-0EC41112B3FC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82-4105-98E8-0EC41112B3FC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82-4105-98E8-0EC41112B3FC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82-4105-98E8-0EC41112B3FC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82-4105-98E8-0EC41112B3FC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1.1504824322419243E-2</c:v>
                </c:pt>
                <c:pt idx="1">
                  <c:v>1.0160610296746414E-2</c:v>
                </c:pt>
                <c:pt idx="2">
                  <c:v>8.9512137644664324E-3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82-4105-98E8-0EC41112B3FC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3.9063544221873935E-4</c:v>
                </c:pt>
                <c:pt idx="1">
                  <c:v>2.5179667208608328E-4</c:v>
                </c:pt>
                <c:pt idx="2">
                  <c:v>1.5057061177638394E-4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82-4105-98E8-0EC41112B3FC}"/>
            </c:ext>
          </c:extLst>
        </c:ser>
        <c:ser>
          <c:idx val="10"/>
          <c:order val="10"/>
          <c:tx>
            <c:strRef>
              <c:f>'Railway (Battery)'!$A$84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(Battery)'!$B$84,'Railway (Battery)'!$N$84,'Railway (Battery)'!$AC$84)</c:f>
              <c:numCache>
                <c:formatCode>0.000</c:formatCode>
                <c:ptCount val="3"/>
                <c:pt idx="0">
                  <c:v>2.8018723041708291E-5</c:v>
                </c:pt>
                <c:pt idx="1">
                  <c:v>2.3939812451005268E-5</c:v>
                </c:pt>
                <c:pt idx="2">
                  <c:v>4.5496539474204176E-7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6-4F24-A6ED-F725E2330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9-43ED-9A7C-D194E98DB7C3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9-43ED-9A7C-D194E98DB7C3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9-43ED-9A7C-D194E98DB7C3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29-43ED-9A7C-D194E98DB7C3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29-43ED-9A7C-D194E98DB7C3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29-43ED-9A7C-D194E98DB7C3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29-43ED-9A7C-D194E98DB7C3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29-43ED-9A7C-D194E98DB7C3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29-43ED-9A7C-D194E98DB7C3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29-43ED-9A7C-D194E98DB7C3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29-43ED-9A7C-D194E98DB7C3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29-43ED-9A7C-D194E98DB7C3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29-43ED-9A7C-D194E98DB7C3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29-43ED-9A7C-D194E98DB7C3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29-43ED-9A7C-D194E98DB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B-4D7A-8B6E-6A8482632A5B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B-4D7A-8B6E-6A8482632A5B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B-4D7A-8B6E-6A8482632A5B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B-4D7A-8B6E-6A8482632A5B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9B-4D7A-8B6E-6A8482632A5B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9B-4D7A-8B6E-6A8482632A5B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9B-4D7A-8B6E-6A8482632A5B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B-4D7A-8B6E-6A8482632A5B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1.1504824322419243E-2</c:v>
                </c:pt>
                <c:pt idx="1">
                  <c:v>1.0160610296746414E-2</c:v>
                </c:pt>
                <c:pt idx="2">
                  <c:v>8.9512137644664324E-3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9B-4D7A-8B6E-6A8482632A5B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3.9063544221873935E-4</c:v>
                </c:pt>
                <c:pt idx="1">
                  <c:v>2.5179667208608328E-4</c:v>
                </c:pt>
                <c:pt idx="2">
                  <c:v>1.5057061177638394E-4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9B-4D7A-8B6E-6A8482632A5B}"/>
            </c:ext>
          </c:extLst>
        </c:ser>
        <c:ser>
          <c:idx val="10"/>
          <c:order val="10"/>
          <c:tx>
            <c:strRef>
              <c:f>'Railway (Battery)'!$A$190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(Battery)'!$B$190,'Railway (Battery)'!$N$190,'Railway (Battery)'!$AC$190)</c:f>
              <c:numCache>
                <c:formatCode>0.000</c:formatCode>
                <c:ptCount val="3"/>
                <c:pt idx="0">
                  <c:v>2.8018723041708291E-5</c:v>
                </c:pt>
                <c:pt idx="1">
                  <c:v>2.3939812451005268E-5</c:v>
                </c:pt>
                <c:pt idx="2">
                  <c:v>4.5496539474204176E-7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B-41AC-83D1-0B05607B7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A-4F01-919C-06109563D12E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A-4F01-919C-06109563D12E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A-4F01-919C-06109563D12E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8A-4F01-919C-06109563D12E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8A-4F01-919C-06109563D12E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8A-4F01-919C-06109563D12E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8A-4F01-919C-06109563D12E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8A-4F01-919C-06109563D12E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8A-4F01-919C-06109563D12E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8A-4F01-919C-06109563D12E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8A-4F01-919C-06109563D12E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8A-4F01-919C-06109563D12E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8A-4F01-919C-06109563D12E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8A-4F01-919C-06109563D12E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D8A-4F01-919C-06109563D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F-4E6F-BC1B-9802EECBD5F9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F-4E6F-BC1B-9802EECBD5F9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F-4E6F-BC1B-9802EECBD5F9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F-4E6F-BC1B-9802EECBD5F9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8F-4E6F-BC1B-9802EECBD5F9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8F-4E6F-BC1B-9802EECBD5F9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8F-4E6F-BC1B-9802EECBD5F9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8F-4E6F-BC1B-9802EECBD5F9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1.1504824322419243E-2</c:v>
                </c:pt>
                <c:pt idx="1">
                  <c:v>1.0160610296746414E-2</c:v>
                </c:pt>
                <c:pt idx="2">
                  <c:v>8.9512137644664324E-3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8F-4E6F-BC1B-9802EECBD5F9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3.9063544221873935E-4</c:v>
                </c:pt>
                <c:pt idx="1">
                  <c:v>2.5179667208608328E-4</c:v>
                </c:pt>
                <c:pt idx="2">
                  <c:v>1.5057061177638394E-4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8F-4E6F-BC1B-9802EECBD5F9}"/>
            </c:ext>
          </c:extLst>
        </c:ser>
        <c:ser>
          <c:idx val="10"/>
          <c:order val="10"/>
          <c:tx>
            <c:strRef>
              <c:f>'Railway (Battery)'!$A$298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(Battery)'!$B$298,'Railway (Battery)'!$N$298,'Railway (Battery)'!$AC$298)</c:f>
              <c:numCache>
                <c:formatCode>0.000</c:formatCode>
                <c:ptCount val="3"/>
                <c:pt idx="0">
                  <c:v>2.8018723041708291E-5</c:v>
                </c:pt>
                <c:pt idx="1">
                  <c:v>2.3939812451005268E-5</c:v>
                </c:pt>
                <c:pt idx="2">
                  <c:v>4.5496539474204176E-7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9-414D-8B51-2F4C0551D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A-4D87-A2D2-65857608AB30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A-4D87-A2D2-65857608AB30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A-4D87-A2D2-65857608AB30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4A-4D87-A2D2-65857608AB30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4A-4D87-A2D2-65857608AB30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4A-4D87-A2D2-65857608AB30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4A-4D87-A2D2-65857608AB30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4A-4D87-A2D2-65857608AB30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4A-4D87-A2D2-65857608AB30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4A-4D87-A2D2-65857608AB30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4A-4D87-A2D2-65857608AB30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4A-4D87-A2D2-65857608AB30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4A-4D87-A2D2-65857608AB30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4A-4D87-A2D2-65857608AB30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4A-4D87-A2D2-65857608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3-4E8D-9405-3EC9AF73DE43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3-4E8D-9405-3EC9AF73DE43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3-4E8D-9405-3EC9AF73DE43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3-4E8D-9405-3EC9AF73DE43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13-4E8D-9405-3EC9AF73DE43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3-4E8D-9405-3EC9AF73DE43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3-4E8D-9405-3EC9AF73DE43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13-4E8D-9405-3EC9AF73DE43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1.1504824322419243E-2</c:v>
                </c:pt>
                <c:pt idx="1">
                  <c:v>1.0160610296746414E-2</c:v>
                </c:pt>
                <c:pt idx="2">
                  <c:v>8.9512137644664324E-3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13-4E8D-9405-3EC9AF73DE43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3.9063544221873935E-4</c:v>
                </c:pt>
                <c:pt idx="1">
                  <c:v>2.5179667208608328E-4</c:v>
                </c:pt>
                <c:pt idx="2">
                  <c:v>1.5057061177638394E-4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13-4E8D-9405-3EC9AF73DE43}"/>
            </c:ext>
          </c:extLst>
        </c:ser>
        <c:ser>
          <c:idx val="10"/>
          <c:order val="10"/>
          <c:tx>
            <c:strRef>
              <c:f>'Railway (Battery)'!$A$407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(Battery)'!$B$407,'Railway (Battery)'!$N$407,'Railway (Battery)'!$AC$407)</c:f>
              <c:numCache>
                <c:formatCode>0.000</c:formatCode>
                <c:ptCount val="3"/>
                <c:pt idx="0">
                  <c:v>2.8018723041708291E-5</c:v>
                </c:pt>
                <c:pt idx="1">
                  <c:v>2.3939812451005268E-5</c:v>
                </c:pt>
                <c:pt idx="2">
                  <c:v>4.5496539474204176E-7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D-430E-9D29-52238F294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8-4FED-846B-3719F1CAE2DA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8-4FED-846B-3719F1CAE2DA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E8-4FED-846B-3719F1CAE2DA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E8-4FED-846B-3719F1CAE2DA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E8-4FED-846B-3719F1CAE2DA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E8-4FED-846B-3719F1CAE2DA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E8-4FED-846B-3719F1CAE2DA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E8-4FED-846B-3719F1CAE2DA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E8-4FED-846B-3719F1CAE2DA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E8-4FED-846B-3719F1CAE2DA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E8-4FED-846B-3719F1CAE2DA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E8-4FED-846B-3719F1CAE2DA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E8-4FED-846B-3719F1CAE2DA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E8-4FED-846B-3719F1CAE2DA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E8-4FED-846B-3719F1CA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9-4833-A7D9-841B0BDF08F1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9-4833-A7D9-841B0BDF08F1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9-4833-A7D9-841B0BDF08F1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89-4833-A7D9-841B0BDF08F1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89-4833-A7D9-841B0BDF08F1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89-4833-A7D9-841B0BDF08F1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89-4833-A7D9-841B0BDF08F1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89-4833-A7D9-841B0BDF08F1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1.1504824322419243E-2</c:v>
                </c:pt>
                <c:pt idx="1">
                  <c:v>1.0160610296746414E-2</c:v>
                </c:pt>
                <c:pt idx="2">
                  <c:v>8.9512137644664324E-3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89-4833-A7D9-841B0BDF08F1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3.9063544221873935E-4</c:v>
                </c:pt>
                <c:pt idx="1">
                  <c:v>2.5179667208608328E-4</c:v>
                </c:pt>
                <c:pt idx="2">
                  <c:v>1.5057061177638394E-4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89-4833-A7D9-841B0BDF08F1}"/>
            </c:ext>
          </c:extLst>
        </c:ser>
        <c:ser>
          <c:idx val="10"/>
          <c:order val="10"/>
          <c:tx>
            <c:strRef>
              <c:f>'Railway (Battery)'!$A$512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(Battery)'!$B$512,'Railway (Battery)'!$N$512,'Railway (Battery)'!$AC$512)</c:f>
              <c:numCache>
                <c:formatCode>0.000</c:formatCode>
                <c:ptCount val="3"/>
                <c:pt idx="0">
                  <c:v>2.2414978433366635E-5</c:v>
                </c:pt>
                <c:pt idx="1">
                  <c:v>1.9151849960804213E-5</c:v>
                </c:pt>
                <c:pt idx="2">
                  <c:v>3.6397231579363343E-7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5-4FAE-995F-C67C88D3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C-4B26-99EA-21EE51B59872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C-4B26-99EA-21EE51B59872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FC-4B26-99EA-21EE51B59872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FC-4B26-99EA-21EE51B59872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FC-4B26-99EA-21EE51B59872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FC-4B26-99EA-21EE51B59872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FC-4B26-99EA-21EE51B59872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FC-4B26-99EA-21EE51B59872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FC-4B26-99EA-21EE51B59872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FC-4B26-99EA-21EE51B59872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FC-4B26-99EA-21EE51B59872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FC-4B26-99EA-21EE51B59872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FC-4B26-99EA-21EE51B59872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FC-4B26-99EA-21EE51B59872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FC-4B26-99EA-21EE51B59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2-48FE-BAF9-04FAB2EBF7B2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2-48FE-BAF9-04FAB2EBF7B2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2-48FE-BAF9-04FAB2EBF7B2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2-48FE-BAF9-04FAB2EBF7B2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42-48FE-BAF9-04FAB2EBF7B2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42-48FE-BAF9-04FAB2EBF7B2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42-48FE-BAF9-04FAB2EBF7B2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42-48FE-BAF9-04FAB2EBF7B2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1.4679005149837691E-2</c:v>
                </c:pt>
                <c:pt idx="1">
                  <c:v>1.1346778043602564E-2</c:v>
                </c:pt>
                <c:pt idx="2">
                  <c:v>8.5064464888808689E-3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42-48FE-BAF9-04FAB2EBF7B2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2.4636092559168071E-4</c:v>
                </c:pt>
                <c:pt idx="1">
                  <c:v>1.9043543569682679E-4</c:v>
                </c:pt>
                <c:pt idx="2">
                  <c:v>1.4276553547772075E-4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42-48FE-BAF9-04FAB2EBF7B2}"/>
            </c:ext>
          </c:extLst>
        </c:ser>
        <c:ser>
          <c:idx val="10"/>
          <c:order val="10"/>
          <c:tx>
            <c:strRef>
              <c:f>'Railway (Hydrogen)'!$A$84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(Hydrogen)'!$B$84,'Railway (Hydrogen)'!$N$84,'Railway (Hydrogen)'!$AC$84)</c:f>
              <c:numCache>
                <c:formatCode>0.000</c:formatCode>
                <c:ptCount val="3"/>
                <c:pt idx="0">
                  <c:v>6.3470132672722201E-5</c:v>
                </c:pt>
                <c:pt idx="1">
                  <c:v>5.4230275596912073E-5</c:v>
                </c:pt>
                <c:pt idx="2">
                  <c:v>1.0306220566436748E-6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5-4DBC-A6D6-CC5F3AB80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A-4683-A4A1-4BF79C4364FC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A-4683-A4A1-4BF79C4364FC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6A-4683-A4A1-4BF79C4364FC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6A-4683-A4A1-4BF79C4364FC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6A-4683-A4A1-4BF79C4364FC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6A-4683-A4A1-4BF79C4364FC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6A-4683-A4A1-4BF79C4364FC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6A-4683-A4A1-4BF79C4364FC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6A-4683-A4A1-4BF79C4364FC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6A-4683-A4A1-4BF79C4364FC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6A-4683-A4A1-4BF79C4364FC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A6A-4683-A4A1-4BF79C4364FC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A6A-4683-A4A1-4BF79C4364FC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6A-4683-A4A1-4BF79C4364FC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A6A-4683-A4A1-4BF79C436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2-43E5-979E-5222732E1249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2-43E5-979E-5222732E1249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2-43E5-979E-5222732E1249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2-43E5-979E-5222732E1249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B2-43E5-979E-5222732E1249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B2-43E5-979E-5222732E1249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B2-43E5-979E-5222732E1249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B2-43E5-979E-5222732E1249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1.4679005149837691E-2</c:v>
                </c:pt>
                <c:pt idx="1">
                  <c:v>1.1346778043602564E-2</c:v>
                </c:pt>
                <c:pt idx="2">
                  <c:v>8.5064464888808689E-3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B2-43E5-979E-5222732E1249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2.4636092559168071E-4</c:v>
                </c:pt>
                <c:pt idx="1">
                  <c:v>1.9043543569682679E-4</c:v>
                </c:pt>
                <c:pt idx="2">
                  <c:v>1.4276553547772075E-4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B2-43E5-979E-5222732E1249}"/>
            </c:ext>
          </c:extLst>
        </c:ser>
        <c:ser>
          <c:idx val="10"/>
          <c:order val="10"/>
          <c:tx>
            <c:strRef>
              <c:f>'Railway (Hydrogen)'!$A$190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'Railway (Hydrogen)'!$B$190</c:f>
              <c:numCache>
                <c:formatCode>0.000</c:formatCode>
                <c:ptCount val="1"/>
                <c:pt idx="0">
                  <c:v>6.3470132672722201E-5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F-4A18-878B-C0196A8CB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9-498E-99B6-FE0475734110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9-498E-99B6-FE0475734110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9-498E-99B6-FE0475734110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59-498E-99B6-FE0475734110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59-498E-99B6-FE0475734110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59-498E-99B6-FE0475734110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59-498E-99B6-FE0475734110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59-498E-99B6-FE0475734110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59-498E-99B6-FE0475734110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59-498E-99B6-FE0475734110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59-498E-99B6-FE0475734110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59-498E-99B6-FE0475734110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59-498E-99B6-FE0475734110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59-498E-99B6-FE0475734110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59-498E-99B6-FE0475734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1-497D-8C3D-D7E43BB89E71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1-497D-8C3D-D7E43BB89E71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A1-497D-8C3D-D7E43BB89E71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A1-497D-8C3D-D7E43BB89E71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A1-497D-8C3D-D7E43BB89E71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A1-497D-8C3D-D7E43BB89E71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A1-497D-8C3D-D7E43BB89E71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A1-497D-8C3D-D7E43BB89E71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1.4679005149837691E-2</c:v>
                </c:pt>
                <c:pt idx="1">
                  <c:v>1.1346778043602564E-2</c:v>
                </c:pt>
                <c:pt idx="2">
                  <c:v>8.5064464888808689E-3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A1-497D-8C3D-D7E43BB89E71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2.4636092559168071E-4</c:v>
                </c:pt>
                <c:pt idx="1">
                  <c:v>1.9043543569682679E-4</c:v>
                </c:pt>
                <c:pt idx="2">
                  <c:v>1.4276553547772075E-4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A1-497D-8C3D-D7E43BB89E71}"/>
            </c:ext>
          </c:extLst>
        </c:ser>
        <c:ser>
          <c:idx val="10"/>
          <c:order val="10"/>
          <c:tx>
            <c:strRef>
              <c:f>'Railway (Hydrogen)'!$A$298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(Hydrogen)'!$B$298,'Railway (Hydrogen)'!$N$298,'Railway (Hydrogen)'!$AC$298)</c:f>
              <c:numCache>
                <c:formatCode>0.000</c:formatCode>
                <c:ptCount val="3"/>
                <c:pt idx="0">
                  <c:v>6.3470132672722201E-5</c:v>
                </c:pt>
                <c:pt idx="1">
                  <c:v>5.4230275596912073E-5</c:v>
                </c:pt>
                <c:pt idx="2">
                  <c:v>1.0306220566436748E-6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0-475F-9CBB-10718AB8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8-4324-9ADB-A744EC39608C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8-4324-9ADB-A744EC39608C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8-4324-9ADB-A744EC39608C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08-4324-9ADB-A744EC39608C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08-4324-9ADB-A744EC39608C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08-4324-9ADB-A744EC39608C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08-4324-9ADB-A744EC39608C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08-4324-9ADB-A744EC39608C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E08-4324-9ADB-A744EC39608C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08-4324-9ADB-A744EC39608C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E08-4324-9ADB-A744EC39608C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E08-4324-9ADB-A744EC39608C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E08-4324-9ADB-A744EC39608C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E08-4324-9ADB-A744EC39608C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E08-4324-9ADB-A744EC39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7-44D5-8D52-F07D534292B2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7-44D5-8D52-F07D534292B2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7-44D5-8D52-F07D534292B2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7-44D5-8D52-F07D534292B2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17-44D5-8D52-F07D534292B2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7-44D5-8D52-F07D534292B2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17-44D5-8D52-F07D534292B2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17-44D5-8D52-F07D534292B2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1.4679005149837691E-2</c:v>
                </c:pt>
                <c:pt idx="1">
                  <c:v>1.1346778043602564E-2</c:v>
                </c:pt>
                <c:pt idx="2">
                  <c:v>8.5064464888808689E-3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17-44D5-8D52-F07D534292B2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2.4636092559168071E-4</c:v>
                </c:pt>
                <c:pt idx="1">
                  <c:v>1.9043543569682679E-4</c:v>
                </c:pt>
                <c:pt idx="2">
                  <c:v>1.4276553547772075E-4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17-44D5-8D52-F07D534292B2}"/>
            </c:ext>
          </c:extLst>
        </c:ser>
        <c:ser>
          <c:idx val="10"/>
          <c:order val="10"/>
          <c:tx>
            <c:strRef>
              <c:f>'Railway (Hydrogen)'!$A$407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(Hydrogen)'!$B$407,'Railway (Hydrogen)'!$N$407,'Railway (Hydrogen)'!$AC$407)</c:f>
              <c:numCache>
                <c:formatCode>0.000</c:formatCode>
                <c:ptCount val="3"/>
                <c:pt idx="0">
                  <c:v>6.3470132672722201E-5</c:v>
                </c:pt>
                <c:pt idx="1">
                  <c:v>5.4230275596912073E-5</c:v>
                </c:pt>
                <c:pt idx="2">
                  <c:v>1.0306220566436748E-6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3-43A3-808D-55B2A724F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8-46A8-BF55-A5892207382A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8-46A8-BF55-A5892207382A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8-46A8-BF55-A5892207382A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E8-46A8-BF55-A5892207382A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E8-46A8-BF55-A5892207382A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E8-46A8-BF55-A5892207382A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E8-46A8-BF55-A5892207382A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E8-46A8-BF55-A5892207382A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E8-46A8-BF55-A5892207382A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E8-46A8-BF55-A5892207382A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E8-46A8-BF55-A5892207382A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E8-46A8-BF55-A5892207382A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E8-46A8-BF55-A5892207382A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E8-46A8-BF55-A5892207382A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E8-46A8-BF55-A58922073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6-4C5E-8E8B-2DCAB9D68994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6-4C5E-8E8B-2DCAB9D68994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6-4C5E-8E8B-2DCAB9D68994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66-4C5E-8E8B-2DCAB9D68994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66-4C5E-8E8B-2DCAB9D68994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66-4C5E-8E8B-2DCAB9D68994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66-4C5E-8E8B-2DCAB9D68994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66-4C5E-8E8B-2DCAB9D68994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1.4679005149837691E-2</c:v>
                </c:pt>
                <c:pt idx="1">
                  <c:v>1.1346778043602564E-2</c:v>
                </c:pt>
                <c:pt idx="2">
                  <c:v>8.5064464888808689E-3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66-4C5E-8E8B-2DCAB9D68994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2.4636092559168071E-4</c:v>
                </c:pt>
                <c:pt idx="1">
                  <c:v>1.9043543569682679E-4</c:v>
                </c:pt>
                <c:pt idx="2">
                  <c:v>1.4276553547772075E-4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66-4C5E-8E8B-2DCAB9D68994}"/>
            </c:ext>
          </c:extLst>
        </c:ser>
        <c:ser>
          <c:idx val="10"/>
          <c:order val="10"/>
          <c:tx>
            <c:strRef>
              <c:f>'Railway (Hydrogen)'!$A$512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(Hydrogen)'!$B$512,'Railway (Hydrogen)'!$N$512,'Railway (Hydrogen)'!$AC$512)</c:f>
              <c:numCache>
                <c:formatCode>0.000</c:formatCode>
                <c:ptCount val="3"/>
                <c:pt idx="0">
                  <c:v>5.0776106138177758E-5</c:v>
                </c:pt>
                <c:pt idx="1">
                  <c:v>4.3384220477529656E-5</c:v>
                </c:pt>
                <c:pt idx="2">
                  <c:v>8.2449764531493981E-7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8-47C3-B6A2-1953B30AE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6-4509-9A40-18765C91BBAF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6-4509-9A40-18765C91BBAF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6-4509-9A40-18765C91BBAF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C6-4509-9A40-18765C91BBAF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C6-4509-9A40-18765C91BBAF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C6-4509-9A40-18765C91BBAF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C6-4509-9A40-18765C91BBAF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C6-4509-9A40-18765C91BBAF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C6-4509-9A40-18765C91BBAF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C6-4509-9A40-18765C91BBAF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C6-4509-9A40-18765C91BBAF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C6-4509-9A40-18765C91BBAF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C6-4509-9A40-18765C91BBAF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C6-4509-9A40-18765C91BBAF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C6-4509-9A40-18765C91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7-4A28-B620-F3262053A6E2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7-4A28-B620-F3262053A6E2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F7-4A28-B620-F3262053A6E2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F7-4A28-B620-F3262053A6E2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F7-4A28-B620-F3262053A6E2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7-4A28-B620-F3262053A6E2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7-4A28-B620-F3262053A6E2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F7-4A28-B620-F3262053A6E2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6.4134922073344211E-3</c:v>
                </c:pt>
                <c:pt idx="1">
                  <c:v>7.0017920063585688E-3</c:v>
                </c:pt>
                <c:pt idx="2">
                  <c:v>1.0389003002060049E-2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F7-4A28-B620-F3262053A6E2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F7-4A28-B620-F3262053A6E2}"/>
            </c:ext>
          </c:extLst>
        </c:ser>
        <c:ser>
          <c:idx val="10"/>
          <c:order val="10"/>
          <c:tx>
            <c:strRef>
              <c:f>'Short-sea (HFO)'!$A$84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(HFO)'!$B$84,'Short-sea (HFO)'!$N$84,'Short-sea (HFO)'!$AC$84)</c:f>
              <c:numCache>
                <c:formatCode>0.000</c:formatCode>
                <c:ptCount val="3"/>
                <c:pt idx="0">
                  <c:v>1.9330162494961441E-3</c:v>
                </c:pt>
                <c:pt idx="1">
                  <c:v>2.5604979100940593E-3</c:v>
                </c:pt>
                <c:pt idx="2">
                  <c:v>6.1733034624737292E-3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F7-4A28-B620-F3262053A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C-4564-B839-3EFB1AF219FD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C-4564-B839-3EFB1AF219FD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C-4564-B839-3EFB1AF219FD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EC-4564-B839-3EFB1AF219FD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EC-4564-B839-3EFB1AF219FD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EC-4564-B839-3EFB1AF219FD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EC-4564-B839-3EFB1AF219FD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EC-4564-B839-3EFB1AF219FD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EC-4564-B839-3EFB1AF219FD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EC-4564-B839-3EFB1AF219FD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EC-4564-B839-3EFB1AF219FD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EC-4564-B839-3EFB1AF219FD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EC-4564-B839-3EFB1AF219FD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EC-4564-B839-3EFB1AF219FD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EC-4564-B839-3EFB1AF21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8-4A60-B005-7CB105BD7A65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8-4A60-B005-7CB105BD7A65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8-4A60-B005-7CB105BD7A65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B8-4A60-B005-7CB105BD7A65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B8-4A60-B005-7CB105BD7A65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B8-4A60-B005-7CB105BD7A65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B8-4A60-B005-7CB105BD7A65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B8-4A60-B005-7CB105BD7A65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6.4134922073344211E-3</c:v>
                </c:pt>
                <c:pt idx="1">
                  <c:v>7.0017920063585688E-3</c:v>
                </c:pt>
                <c:pt idx="2">
                  <c:v>1.0389003002060049E-2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B8-4A60-B005-7CB105BD7A65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B8-4A60-B005-7CB105BD7A65}"/>
            </c:ext>
          </c:extLst>
        </c:ser>
        <c:ser>
          <c:idx val="10"/>
          <c:order val="10"/>
          <c:tx>
            <c:strRef>
              <c:f>'Short-sea (HFO)'!$A$190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(HFO)'!$B$190,'Short-sea (HFO)'!$N$190,'Short-sea (HFO)'!$AC$190)</c:f>
              <c:numCache>
                <c:formatCode>0.000</c:formatCode>
                <c:ptCount val="3"/>
                <c:pt idx="0" formatCode="0.0000">
                  <c:v>1.9330162494961441E-3</c:v>
                </c:pt>
                <c:pt idx="1">
                  <c:v>2.5604979100940593E-3</c:v>
                </c:pt>
                <c:pt idx="2">
                  <c:v>6.1733034624737292E-3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B8-4A60-B005-7CB105BD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F-434F-9482-0D5ADD06AC80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F-434F-9482-0D5ADD06AC80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F-434F-9482-0D5ADD06AC80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AF-434F-9482-0D5ADD06AC80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AF-434F-9482-0D5ADD06AC80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AF-434F-9482-0D5ADD06AC80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AF-434F-9482-0D5ADD06AC80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AF-434F-9482-0D5ADD06AC80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AF-434F-9482-0D5ADD06AC80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AF-434F-9482-0D5ADD06AC80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1AF-434F-9482-0D5ADD06AC80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1AF-434F-9482-0D5ADD06AC80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1AF-434F-9482-0D5ADD06AC80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1AF-434F-9482-0D5ADD06AC80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1AF-434F-9482-0D5ADD06A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9-4011-A603-DB225F32065D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9-4011-A603-DB225F32065D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9-4011-A603-DB225F32065D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9-4011-A603-DB225F32065D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09-4011-A603-DB225F32065D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09-4011-A603-DB225F32065D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09-4011-A603-DB225F32065D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09-4011-A603-DB225F32065D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6.4134922073344211E-3</c:v>
                </c:pt>
                <c:pt idx="1">
                  <c:v>7.0017920063585688E-3</c:v>
                </c:pt>
                <c:pt idx="2">
                  <c:v>1.0389003002060049E-2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09-4011-A603-DB225F32065D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09-4011-A603-DB225F32065D}"/>
            </c:ext>
          </c:extLst>
        </c:ser>
        <c:ser>
          <c:idx val="10"/>
          <c:order val="10"/>
          <c:tx>
            <c:strRef>
              <c:f>'Short-sea (HFO)'!$A$298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(HFO)'!$B$298,'Short-sea (HFO)'!$N$298,'Short-sea (HFO)'!$AC$298)</c:f>
              <c:numCache>
                <c:formatCode>0.000</c:formatCode>
                <c:ptCount val="3"/>
                <c:pt idx="0">
                  <c:v>1.9330162494961441E-3</c:v>
                </c:pt>
                <c:pt idx="1">
                  <c:v>2.5604979100940593E-3</c:v>
                </c:pt>
                <c:pt idx="2">
                  <c:v>6.1733034624737292E-3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09-4011-A603-DB225F320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A-4AF2-8BE2-01944DD08679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3A-4AF2-8BE2-01944DD08679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3A-4AF2-8BE2-01944DD08679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3A-4AF2-8BE2-01944DD08679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3A-4AF2-8BE2-01944DD08679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3A-4AF2-8BE2-01944DD08679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3A-4AF2-8BE2-01944DD08679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3A-4AF2-8BE2-01944DD08679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3A-4AF2-8BE2-01944DD08679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3A-4AF2-8BE2-01944DD08679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3A-4AF2-8BE2-01944DD08679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3A-4AF2-8BE2-01944DD08679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3A-4AF2-8BE2-01944DD08679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3A-4AF2-8BE2-01944DD08679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3A-4AF2-8BE2-01944DD08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6-4117-BDE9-C9D958F00767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6-4117-BDE9-C9D958F00767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E6-4117-BDE9-C9D958F00767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E6-4117-BDE9-C9D958F00767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E6-4117-BDE9-C9D958F00767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E6-4117-BDE9-C9D958F00767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E6-4117-BDE9-C9D958F00767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E6-4117-BDE9-C9D958F00767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6.4134922073344211E-3</c:v>
                </c:pt>
                <c:pt idx="1">
                  <c:v>7.0017920063585688E-3</c:v>
                </c:pt>
                <c:pt idx="2">
                  <c:v>1.0389003002060049E-2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E6-4117-BDE9-C9D958F00767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E6-4117-BDE9-C9D958F00767}"/>
            </c:ext>
          </c:extLst>
        </c:ser>
        <c:ser>
          <c:idx val="10"/>
          <c:order val="10"/>
          <c:tx>
            <c:strRef>
              <c:f>'Short-sea (HFO)'!$A$407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(HFO)'!$B$407,'Short-sea (HFO)'!$N$407,'Short-sea (HFO)'!$AC$407)</c:f>
              <c:numCache>
                <c:formatCode>0.000</c:formatCode>
                <c:ptCount val="3"/>
                <c:pt idx="0">
                  <c:v>1.9330162494961441E-3</c:v>
                </c:pt>
                <c:pt idx="1">
                  <c:v>2.5604979100940593E-3</c:v>
                </c:pt>
                <c:pt idx="2">
                  <c:v>6.1733034624737292E-3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E6-4117-BDE9-C9D958F00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A-4228-A85E-AA4DCC03883B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A-4228-A85E-AA4DCC03883B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A-4228-A85E-AA4DCC03883B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A-4228-A85E-AA4DCC03883B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6A-4228-A85E-AA4DCC03883B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6A-4228-A85E-AA4DCC03883B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A-4228-A85E-AA4DCC03883B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6A-4228-A85E-AA4DCC03883B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6A-4228-A85E-AA4DCC03883B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6A-4228-A85E-AA4DCC03883B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6A-4228-A85E-AA4DCC03883B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6A-4228-A85E-AA4DCC03883B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6A-4228-A85E-AA4DCC03883B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6A-4228-A85E-AA4DCC03883B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6A-4228-A85E-AA4DCC03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2-44B3-AA23-C83296541D6D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2-44B3-AA23-C83296541D6D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2-44B3-AA23-C83296541D6D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2-44B3-AA23-C83296541D6D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B2-44B3-AA23-C83296541D6D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B2-44B3-AA23-C83296541D6D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B2-44B3-AA23-C83296541D6D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B2-44B3-AA23-C83296541D6D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8.1997406700680883E-3</c:v>
                </c:pt>
                <c:pt idx="1">
                  <c:v>8.7374222720488434E-3</c:v>
                </c:pt>
                <c:pt idx="2">
                  <c:v>1.1833192553522012E-2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B2-44B3-AA23-C83296541D6D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B2-44B3-AA23-C83296541D6D}"/>
            </c:ext>
          </c:extLst>
        </c:ser>
        <c:ser>
          <c:idx val="10"/>
          <c:order val="10"/>
          <c:tx>
            <c:strRef>
              <c:f>'Short-sea (MGO)'!$A$84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(MGO)'!$B$84,'Short-sea (MGO)'!$N$84,'Short-sea (MGO)'!$AC$84)</c:f>
              <c:numCache>
                <c:formatCode>0.000</c:formatCode>
                <c:ptCount val="3"/>
                <c:pt idx="0">
                  <c:v>1.8343688133195604E-3</c:v>
                </c:pt>
                <c:pt idx="1">
                  <c:v>2.4298282614389497E-3</c:v>
                </c:pt>
                <c:pt idx="2">
                  <c:v>5.8582618483787648E-3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A-4124-A37A-FC8976F8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9-4019-A079-1BEF786858C4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9-4019-A079-1BEF786858C4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9-4019-A079-1BEF786858C4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9-4019-A079-1BEF786858C4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9-4019-A079-1BEF786858C4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9-4019-A079-1BEF786858C4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9-4019-A079-1BEF786858C4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9-4019-A079-1BEF786858C4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9-4019-A079-1BEF786858C4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9-4019-A079-1BEF786858C4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F9-4019-A079-1BEF786858C4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F9-4019-A079-1BEF786858C4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F9-4019-A079-1BEF786858C4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F9-4019-A079-1BEF786858C4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F9-4019-A079-1BEF78685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A-4C07-92B9-CBE69A820DA1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A-4C07-92B9-CBE69A820DA1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A-4C07-92B9-CBE69A820DA1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A-4C07-92B9-CBE69A820DA1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7A-4C07-92B9-CBE69A820DA1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7A-4C07-92B9-CBE69A820DA1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7A-4C07-92B9-CBE69A820DA1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7A-4C07-92B9-CBE69A820DA1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8.1997406700680883E-3</c:v>
                </c:pt>
                <c:pt idx="1">
                  <c:v>8.7374222720488434E-3</c:v>
                </c:pt>
                <c:pt idx="2">
                  <c:v>1.1833192553522012E-2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7A-4C07-92B9-CBE69A820DA1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7A-4C07-92B9-CBE69A820DA1}"/>
            </c:ext>
          </c:extLst>
        </c:ser>
        <c:ser>
          <c:idx val="10"/>
          <c:order val="10"/>
          <c:tx>
            <c:strRef>
              <c:f>'Short-sea (MGO)'!$A$190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(MGO)'!$B$190,'Short-sea (MGO)'!$N$190,'Short-sea (MGO)'!$AC$190)</c:f>
              <c:numCache>
                <c:formatCode>0.000</c:formatCode>
                <c:ptCount val="3"/>
                <c:pt idx="0">
                  <c:v>1.8343688133195604E-3</c:v>
                </c:pt>
                <c:pt idx="1">
                  <c:v>2.4298282614389497E-3</c:v>
                </c:pt>
                <c:pt idx="2">
                  <c:v>5.8582618483787648E-3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0-405D-983D-3C4F95FC6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9-4BEF-ADFF-89FA72C67DD8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9-4BEF-ADFF-89FA72C67DD8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9-4BEF-ADFF-89FA72C67DD8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69-4BEF-ADFF-89FA72C67DD8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69-4BEF-ADFF-89FA72C67DD8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69-4BEF-ADFF-89FA72C67DD8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69-4BEF-ADFF-89FA72C67DD8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69-4BEF-ADFF-89FA72C67DD8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69-4BEF-ADFF-89FA72C67DD8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69-4BEF-ADFF-89FA72C67DD8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69-4BEF-ADFF-89FA72C67DD8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69-4BEF-ADFF-89FA72C67DD8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C69-4BEF-ADFF-89FA72C67DD8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69-4BEF-ADFF-89FA72C67DD8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C69-4BEF-ADFF-89FA72C67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8-459C-B852-A56F31C35D23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8-459C-B852-A56F31C35D23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8-459C-B852-A56F31C35D23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08-459C-B852-A56F31C35D23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08-459C-B852-A56F31C35D23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08-459C-B852-A56F31C35D23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08-459C-B852-A56F31C35D23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08-459C-B852-A56F31C35D23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8.1997406700680883E-3</c:v>
                </c:pt>
                <c:pt idx="1">
                  <c:v>8.7374222720488434E-3</c:v>
                </c:pt>
                <c:pt idx="2">
                  <c:v>1.1833192553522012E-2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08-459C-B852-A56F31C35D23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08-459C-B852-A56F31C35D23}"/>
            </c:ext>
          </c:extLst>
        </c:ser>
        <c:ser>
          <c:idx val="10"/>
          <c:order val="10"/>
          <c:tx>
            <c:strRef>
              <c:f>'Short-sea (MGO)'!$A$298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(MGO)'!$B$298,'Short-sea (MGO)'!$N$298,'Short-sea (MGO)'!$AC$298)</c:f>
              <c:numCache>
                <c:formatCode>0.000</c:formatCode>
                <c:ptCount val="3"/>
                <c:pt idx="0">
                  <c:v>1.8343688133195604E-3</c:v>
                </c:pt>
                <c:pt idx="1">
                  <c:v>2.4298282614389497E-3</c:v>
                </c:pt>
                <c:pt idx="2">
                  <c:v>5.8582618483787648E-3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E-47F1-B877-00A32C268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D-4F07-B681-ED0C3CBA9E2B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D-4F07-B681-ED0C3CBA9E2B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D-4F07-B681-ED0C3CBA9E2B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D-4F07-B681-ED0C3CBA9E2B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3D-4F07-B681-ED0C3CBA9E2B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3D-4F07-B681-ED0C3CBA9E2B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3D-4F07-B681-ED0C3CBA9E2B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3D-4F07-B681-ED0C3CBA9E2B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3D-4F07-B681-ED0C3CBA9E2B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3D-4F07-B681-ED0C3CBA9E2B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33D-4F07-B681-ED0C3CBA9E2B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33D-4F07-B681-ED0C3CBA9E2B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33D-4F07-B681-ED0C3CBA9E2B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3D-4F07-B681-ED0C3CBA9E2B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33D-4F07-B681-ED0C3CBA9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C-44D5-B42B-589144BC1338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C-44D5-B42B-589144BC1338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C-44D5-B42B-589144BC1338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C-44D5-B42B-589144BC1338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C-44D5-B42B-589144BC1338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C-44D5-B42B-589144BC1338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1C-44D5-B42B-589144BC1338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C-44D5-B42B-589144BC1338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8.1997406700680883E-3</c:v>
                </c:pt>
                <c:pt idx="1">
                  <c:v>8.7374222720488434E-3</c:v>
                </c:pt>
                <c:pt idx="2">
                  <c:v>1.1833192553522012E-2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1C-44D5-B42B-589144BC1338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1C-44D5-B42B-589144BC1338}"/>
            </c:ext>
          </c:extLst>
        </c:ser>
        <c:ser>
          <c:idx val="10"/>
          <c:order val="10"/>
          <c:tx>
            <c:strRef>
              <c:f>'Short-sea (MGO)'!$A$407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(MGO)'!$B$407,'Short-sea (MGO)'!$N$407,'Short-sea (MGO)'!$AC$407)</c:f>
              <c:numCache>
                <c:formatCode>0.000</c:formatCode>
                <c:ptCount val="3"/>
                <c:pt idx="0">
                  <c:v>1.8343688133195604E-3</c:v>
                </c:pt>
                <c:pt idx="1">
                  <c:v>2.4298282614389497E-3</c:v>
                </c:pt>
                <c:pt idx="2">
                  <c:v>5.8582618483787648E-3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A-4D9A-A3A8-416D095FF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D-434D-88D1-5419540AF7C8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D-434D-88D1-5419540AF7C8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D-434D-88D1-5419540AF7C8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FD-434D-88D1-5419540AF7C8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FD-434D-88D1-5419540AF7C8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FD-434D-88D1-5419540AF7C8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FD-434D-88D1-5419540AF7C8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FD-434D-88D1-5419540AF7C8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FD-434D-88D1-5419540AF7C8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FD-434D-88D1-5419540AF7C8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FD-434D-88D1-5419540AF7C8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FD-434D-88D1-5419540AF7C8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FD-434D-88D1-5419540AF7C8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FD-434D-88D1-5419540AF7C8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FD-434D-88D1-5419540A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1-44F3-B839-670879166B65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1-44F3-B839-670879166B65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E1-44F3-B839-670879166B65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E1-44F3-B839-670879166B65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E1-44F3-B839-670879166B65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E1-44F3-B839-670879166B65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E1-44F3-B839-670879166B65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E1-44F3-B839-670879166B65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1.6153079876186895E-2</c:v>
                </c:pt>
                <c:pt idx="1">
                  <c:v>1.4835333269317663E-2</c:v>
                </c:pt>
                <c:pt idx="2">
                  <c:v>7.9042387107316255E-3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E1-44F3-B839-670879166B65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1.8671315847002927E-3</c:v>
                </c:pt>
                <c:pt idx="1">
                  <c:v>1.6596165011667965E-3</c:v>
                </c:pt>
                <c:pt idx="2">
                  <c:v>7.1852996073677906E-4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E1-44F3-B839-670879166B65}"/>
            </c:ext>
          </c:extLst>
        </c:ser>
        <c:ser>
          <c:idx val="10"/>
          <c:order val="10"/>
          <c:tx>
            <c:strRef>
              <c:f>'Short-sea (Hydrogen)'!$A$84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(Hydrogen)'!$B$84,'Short-sea (Hydrogen)'!$N$84,'Short-sea (Hydrogen)'!$AC$84)</c:f>
              <c:numCache>
                <c:formatCode>0.000</c:formatCode>
                <c:ptCount val="3"/>
                <c:pt idx="0">
                  <c:v>2.5815196033431064E-4</c:v>
                </c:pt>
                <c:pt idx="1">
                  <c:v>2.2057070570500738E-4</c:v>
                </c:pt>
                <c:pt idx="2">
                  <c:v>4.1918473001819709E-6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5-4CC9-8126-E3B665C4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4-454C-8BB8-F02D1AF947D0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4-454C-8BB8-F02D1AF947D0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4-454C-8BB8-F02D1AF947D0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A4-454C-8BB8-F02D1AF947D0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A4-454C-8BB8-F02D1AF947D0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A4-454C-8BB8-F02D1AF947D0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A4-454C-8BB8-F02D1AF947D0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A4-454C-8BB8-F02D1AF947D0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A4-454C-8BB8-F02D1AF947D0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A4-454C-8BB8-F02D1AF947D0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A4-454C-8BB8-F02D1AF947D0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A4-454C-8BB8-F02D1AF947D0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A4-454C-8BB8-F02D1AF947D0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A4-454C-8BB8-F02D1AF947D0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A4-454C-8BB8-F02D1AF9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4-487D-90FD-7CBCDC1C8E8A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4-487D-90FD-7CBCDC1C8E8A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A4-487D-90FD-7CBCDC1C8E8A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A4-487D-90FD-7CBCDC1C8E8A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A4-487D-90FD-7CBCDC1C8E8A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A4-487D-90FD-7CBCDC1C8E8A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A4-487D-90FD-7CBCDC1C8E8A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A4-487D-90FD-7CBCDC1C8E8A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1.6153079876186895E-2</c:v>
                </c:pt>
                <c:pt idx="1">
                  <c:v>1.4835333269317663E-2</c:v>
                </c:pt>
                <c:pt idx="2">
                  <c:v>7.9042387107316255E-3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A4-487D-90FD-7CBCDC1C8E8A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1.8671315847002927E-3</c:v>
                </c:pt>
                <c:pt idx="1">
                  <c:v>1.6596165011667965E-3</c:v>
                </c:pt>
                <c:pt idx="2">
                  <c:v>7.1852996073677906E-4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A4-487D-90FD-7CBCDC1C8E8A}"/>
            </c:ext>
          </c:extLst>
        </c:ser>
        <c:ser>
          <c:idx val="10"/>
          <c:order val="10"/>
          <c:tx>
            <c:strRef>
              <c:f>'Short-sea (Hydrogen)'!$A$190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(Hydrogen)'!$B$190,'Short-sea (Hydrogen)'!$N$190,'Short-sea (Hydrogen)'!$AC$190)</c:f>
              <c:numCache>
                <c:formatCode>0.000</c:formatCode>
                <c:ptCount val="3"/>
                <c:pt idx="0">
                  <c:v>2.5815196033431064E-4</c:v>
                </c:pt>
                <c:pt idx="1">
                  <c:v>2.2057070570500738E-4</c:v>
                </c:pt>
                <c:pt idx="2">
                  <c:v>4.1918473001819709E-6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1-41D1-9B9D-3202D4A6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4-4DFE-9CBC-3CEBD8A28A9D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4-4DFE-9CBC-3CEBD8A28A9D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4-4DFE-9CBC-3CEBD8A28A9D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4-4DFE-9CBC-3CEBD8A28A9D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64-4DFE-9CBC-3CEBD8A28A9D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64-4DFE-9CBC-3CEBD8A28A9D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64-4DFE-9CBC-3CEBD8A28A9D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64-4DFE-9CBC-3CEBD8A28A9D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64-4DFE-9CBC-3CEBD8A28A9D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64-4DFE-9CBC-3CEBD8A28A9D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64-4DFE-9CBC-3CEBD8A28A9D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64-4DFE-9CBC-3CEBD8A28A9D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64-4DFE-9CBC-3CEBD8A28A9D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164-4DFE-9CBC-3CEBD8A28A9D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164-4DFE-9CBC-3CEBD8A28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0-4C5E-9A3F-DC60A6C66D69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0-4C5E-9A3F-DC60A6C66D69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0-4C5E-9A3F-DC60A6C66D69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0-4C5E-9A3F-DC60A6C66D69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20-4C5E-9A3F-DC60A6C66D69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20-4C5E-9A3F-DC60A6C66D69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20-4C5E-9A3F-DC60A6C66D69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20-4C5E-9A3F-DC60A6C66D69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1.6153079876186895E-2</c:v>
                </c:pt>
                <c:pt idx="1">
                  <c:v>1.4835333269317663E-2</c:v>
                </c:pt>
                <c:pt idx="2">
                  <c:v>7.9042387107316255E-3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20-4C5E-9A3F-DC60A6C66D69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1.8671315847002927E-3</c:v>
                </c:pt>
                <c:pt idx="1">
                  <c:v>1.6596165011667965E-3</c:v>
                </c:pt>
                <c:pt idx="2">
                  <c:v>7.1852996073677906E-4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20-4C5E-9A3F-DC60A6C66D69}"/>
            </c:ext>
          </c:extLst>
        </c:ser>
        <c:ser>
          <c:idx val="10"/>
          <c:order val="10"/>
          <c:tx>
            <c:strRef>
              <c:f>'Short-sea (Hydrogen)'!$A$298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(Hydrogen)'!$B$298,'Short-sea (Hydrogen)'!$N$298,'Short-sea (Hydrogen)'!$AC$298)</c:f>
              <c:numCache>
                <c:formatCode>0.000</c:formatCode>
                <c:ptCount val="3"/>
                <c:pt idx="0">
                  <c:v>2.5815196033431064E-4</c:v>
                </c:pt>
                <c:pt idx="1">
                  <c:v>2.2057070570500738E-4</c:v>
                </c:pt>
                <c:pt idx="2">
                  <c:v>4.1918473001819709E-6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3-4063-907E-B073EB45E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9-4A1F-852F-23374949943A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9-4A1F-852F-23374949943A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9-4A1F-852F-23374949943A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9-4A1F-852F-23374949943A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9-4A1F-852F-23374949943A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29-4A1F-852F-23374949943A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29-4A1F-852F-23374949943A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29-4A1F-852F-23374949943A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29-4A1F-852F-23374949943A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29-4A1F-852F-23374949943A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29-4A1F-852F-23374949943A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29-4A1F-852F-23374949943A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029-4A1F-852F-23374949943A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29-4A1F-852F-23374949943A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029-4A1F-852F-233749499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0-4A44-8799-09C541C493D3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0-4A44-8799-09C541C493D3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0-4A44-8799-09C541C493D3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0-4A44-8799-09C541C493D3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40-4A44-8799-09C541C493D3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40-4A44-8799-09C541C493D3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40-4A44-8799-09C541C493D3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40-4A44-8799-09C541C493D3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1.6153079876186895E-2</c:v>
                </c:pt>
                <c:pt idx="1">
                  <c:v>1.4835333269317663E-2</c:v>
                </c:pt>
                <c:pt idx="2">
                  <c:v>7.9042387107316255E-3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40-4A44-8799-09C541C493D3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1.8671315847002927E-3</c:v>
                </c:pt>
                <c:pt idx="1">
                  <c:v>1.6596165011667965E-3</c:v>
                </c:pt>
                <c:pt idx="2">
                  <c:v>7.1852996073677906E-4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40-4A44-8799-09C541C493D3}"/>
            </c:ext>
          </c:extLst>
        </c:ser>
        <c:ser>
          <c:idx val="10"/>
          <c:order val="10"/>
          <c:tx>
            <c:strRef>
              <c:f>'Short-sea (Hydrogen)'!$A$407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(Hydrogen)'!$B$407,'Short-sea (Hydrogen)'!$N$407,'Short-sea (Hydrogen)'!$AC$407)</c:f>
              <c:numCache>
                <c:formatCode>0.000</c:formatCode>
                <c:ptCount val="3"/>
                <c:pt idx="0">
                  <c:v>2.5815196033431064E-4</c:v>
                </c:pt>
                <c:pt idx="1">
                  <c:v>2.2057070570500738E-4</c:v>
                </c:pt>
                <c:pt idx="2">
                  <c:v>4.1918473001819709E-6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D-4C29-81DD-9A8523EA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0-470A-BF26-BA5976C0C816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0-470A-BF26-BA5976C0C816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0-470A-BF26-BA5976C0C816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0-470A-BF26-BA5976C0C816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80-470A-BF26-BA5976C0C816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80-470A-BF26-BA5976C0C816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0A-BF26-BA5976C0C816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0A-BF26-BA5976C0C816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0A-BF26-BA5976C0C816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0A-BF26-BA5976C0C816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80-470A-BF26-BA5976C0C816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80-470A-BF26-BA5976C0C816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180-470A-BF26-BA5976C0C816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180-470A-BF26-BA5976C0C816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180-470A-BF26-BA5976C0C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B-489F-B952-B5BE9AB42088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CB-489F-B952-B5BE9AB42088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CB-489F-B952-B5BE9AB42088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CB-489F-B952-B5BE9AB42088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CB-489F-B952-B5BE9AB42088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CB-489F-B952-B5BE9AB42088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CB-489F-B952-B5BE9AB42088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CB-489F-B952-B5BE9AB42088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1.4937548943097472E-2</c:v>
                </c:pt>
                <c:pt idx="1">
                  <c:v>1.3829633047256613E-2</c:v>
                </c:pt>
                <c:pt idx="2">
                  <c:v>7.968256277461578E-3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CB-489F-B952-B5BE9AB42088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6.1570775835342366E-2</c:v>
                </c:pt>
                <c:pt idx="1">
                  <c:v>3.2394418515096994E-2</c:v>
                </c:pt>
                <c:pt idx="2">
                  <c:v>7.3911699391485813E-4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CB-489F-B952-B5BE9AB42088}"/>
            </c:ext>
          </c:extLst>
        </c:ser>
        <c:ser>
          <c:idx val="10"/>
          <c:order val="10"/>
          <c:tx>
            <c:strRef>
              <c:f>'Short-sea (Ammonia)'!$A$84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(Ammonia)'!$B$84,'Short-sea (Ammonia)'!$N$84,'Short-sea (Ammonia)'!$AC$84)</c:f>
              <c:numCache>
                <c:formatCode>0.000</c:formatCode>
                <c:ptCount val="3"/>
                <c:pt idx="0">
                  <c:v>2.6311642110997044E-4</c:v>
                </c:pt>
                <c:pt idx="1">
                  <c:v>2.2481245004548822E-4</c:v>
                </c:pt>
                <c:pt idx="2">
                  <c:v>4.2724597482624145E-6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C-4881-B1D9-3BEDFE83E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3-4648-A706-0FEC0A582761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3-4648-A706-0FEC0A582761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3-4648-A706-0FEC0A582761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3-4648-A706-0FEC0A582761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3-4648-A706-0FEC0A582761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E3-4648-A706-0FEC0A582761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E3-4648-A706-0FEC0A582761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E3-4648-A706-0FEC0A582761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E3-4648-A706-0FEC0A582761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E3-4648-A706-0FEC0A582761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E3-4648-A706-0FEC0A582761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E3-4648-A706-0FEC0A582761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E3-4648-A706-0FEC0A582761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E3-4648-A706-0FEC0A582761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E3-4648-A706-0FEC0A58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0-485B-8A38-0D777947D31A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0-485B-8A38-0D777947D31A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0-485B-8A38-0D777947D31A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0-485B-8A38-0D777947D31A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60-485B-8A38-0D777947D31A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60-485B-8A38-0D777947D31A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60-485B-8A38-0D777947D31A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60-485B-8A38-0D777947D31A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1.4937548943097472E-2</c:v>
                </c:pt>
                <c:pt idx="1">
                  <c:v>1.3829633047256613E-2</c:v>
                </c:pt>
                <c:pt idx="2">
                  <c:v>7.968256277461578E-3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60-485B-8A38-0D777947D31A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6.1570775835342366E-2</c:v>
                </c:pt>
                <c:pt idx="1">
                  <c:v>3.2394418515096994E-2</c:v>
                </c:pt>
                <c:pt idx="2">
                  <c:v>7.3911699391485813E-4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60-485B-8A38-0D777947D31A}"/>
            </c:ext>
          </c:extLst>
        </c:ser>
        <c:ser>
          <c:idx val="10"/>
          <c:order val="10"/>
          <c:tx>
            <c:strRef>
              <c:f>'Short-sea (Ammonia)'!$A$190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(Ammonia)'!$B$190,'Short-sea (Ammonia)'!$N$190,'Short-sea (Ammonia)'!$AC$190)</c:f>
              <c:numCache>
                <c:formatCode>0.000</c:formatCode>
                <c:ptCount val="3"/>
                <c:pt idx="0">
                  <c:v>2.6311642110997044E-4</c:v>
                </c:pt>
                <c:pt idx="1">
                  <c:v>2.2481245004548822E-4</c:v>
                </c:pt>
                <c:pt idx="2">
                  <c:v>4.2724597482624145E-6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1-43D8-B832-AD2024FBA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1-43E8-9832-C11234B95E2F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1-43E8-9832-C11234B95E2F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1-43E8-9832-C11234B95E2F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1-43E8-9832-C11234B95E2F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91-43E8-9832-C11234B95E2F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91-43E8-9832-C11234B95E2F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91-43E8-9832-C11234B95E2F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91-43E8-9832-C11234B95E2F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91-43E8-9832-C11234B95E2F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91-43E8-9832-C11234B95E2F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91-43E8-9832-C11234B95E2F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1-43E8-9832-C11234B95E2F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91-43E8-9832-C11234B95E2F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291-43E8-9832-C11234B95E2F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291-43E8-9832-C11234B9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3-46EE-9AF8-681E5E9138C8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3-46EE-9AF8-681E5E9138C8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23-46EE-9AF8-681E5E9138C8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23-46EE-9AF8-681E5E9138C8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23-46EE-9AF8-681E5E9138C8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23-46EE-9AF8-681E5E9138C8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23-46EE-9AF8-681E5E9138C8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23-46EE-9AF8-681E5E9138C8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1.4937548943097472E-2</c:v>
                </c:pt>
                <c:pt idx="1">
                  <c:v>1.3829633047256613E-2</c:v>
                </c:pt>
                <c:pt idx="2">
                  <c:v>7.968256277461578E-3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23-46EE-9AF8-681E5E9138C8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6.1570775835342366E-2</c:v>
                </c:pt>
                <c:pt idx="1">
                  <c:v>3.2394418515096994E-2</c:v>
                </c:pt>
                <c:pt idx="2">
                  <c:v>7.3911699391485813E-4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23-46EE-9AF8-681E5E9138C8}"/>
            </c:ext>
          </c:extLst>
        </c:ser>
        <c:ser>
          <c:idx val="10"/>
          <c:order val="10"/>
          <c:tx>
            <c:strRef>
              <c:f>'Short-sea (Ammonia)'!$A$298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(Ammonia)'!$B$298,'Short-sea (Ammonia)'!$N$298,'Short-sea (Ammonia)'!$AC$298)</c:f>
              <c:numCache>
                <c:formatCode>0.000</c:formatCode>
                <c:ptCount val="3"/>
                <c:pt idx="0">
                  <c:v>2.6311642110997044E-4</c:v>
                </c:pt>
                <c:pt idx="1">
                  <c:v>2.2481245004548822E-4</c:v>
                </c:pt>
                <c:pt idx="2">
                  <c:v>4.2724597482624145E-6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9A2-B263-F85FD9D2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8-4184-B591-ACBCF5098F3A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8-4184-B591-ACBCF5098F3A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8-4184-B591-ACBCF5098F3A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8-4184-B591-ACBCF5098F3A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8-4184-B591-ACBCF5098F3A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8-4184-B591-ACBCF5098F3A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48-4184-B591-ACBCF5098F3A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48-4184-B591-ACBCF5098F3A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48-4184-B591-ACBCF5098F3A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48-4184-B591-ACBCF5098F3A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48-4184-B591-ACBCF5098F3A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48-4184-B591-ACBCF5098F3A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48-4184-B591-ACBCF5098F3A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48-4184-B591-ACBCF5098F3A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48-4184-B591-ACBCF509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C-4C36-86A1-DC6B4A6864DA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C-4C36-86A1-DC6B4A6864DA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C-4C36-86A1-DC6B4A6864DA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C-4C36-86A1-DC6B4A6864DA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C-4C36-86A1-DC6B4A6864DA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FC-4C36-86A1-DC6B4A6864DA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FC-4C36-86A1-DC6B4A6864DA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FC-4C36-86A1-DC6B4A6864DA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1.4937548943097472E-2</c:v>
                </c:pt>
                <c:pt idx="1">
                  <c:v>1.3829633047256613E-2</c:v>
                </c:pt>
                <c:pt idx="2">
                  <c:v>7.968256277461578E-3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FC-4C36-86A1-DC6B4A6864DA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6.1570775835342366E-2</c:v>
                </c:pt>
                <c:pt idx="1">
                  <c:v>3.2394418515096994E-2</c:v>
                </c:pt>
                <c:pt idx="2">
                  <c:v>7.3911699391485813E-4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FC-4C36-86A1-DC6B4A6864DA}"/>
            </c:ext>
          </c:extLst>
        </c:ser>
        <c:ser>
          <c:idx val="10"/>
          <c:order val="10"/>
          <c:tx>
            <c:strRef>
              <c:f>'Short-sea (Ammonia)'!$A$407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(Ammonia)'!$B$407,'Short-sea (Ammonia)'!$N$407,'Short-sea (Ammonia)'!$AC$407)</c:f>
              <c:numCache>
                <c:formatCode>0.000</c:formatCode>
                <c:ptCount val="3"/>
                <c:pt idx="0">
                  <c:v>2.6311642110997044E-4</c:v>
                </c:pt>
                <c:pt idx="1">
                  <c:v>2.2481245004548822E-4</c:v>
                </c:pt>
                <c:pt idx="2">
                  <c:v>4.2724597482624145E-6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6-40E6-9C9C-F89DF2F8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8-4522-817B-218508071BC7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48-4522-817B-218508071BC7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48-4522-817B-218508071BC7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48-4522-817B-218508071BC7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48-4522-817B-218508071BC7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48-4522-817B-218508071BC7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48-4522-817B-218508071BC7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48-4522-817B-218508071BC7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48-4522-817B-218508071BC7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48-4522-817B-218508071BC7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48-4522-817B-218508071BC7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48-4522-817B-218508071BC7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848-4522-817B-218508071BC7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48-4522-817B-218508071BC7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848-4522-817B-21850807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4BA0-A2EE-AE15797B0A73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4-4BA0-A2EE-AE15797B0A73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4-4BA0-A2EE-AE15797B0A73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4-4BA0-A2EE-AE15797B0A73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F4-4BA0-A2EE-AE15797B0A73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F4-4BA0-A2EE-AE15797B0A73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F4-4BA0-A2EE-AE15797B0A73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F4-4BA0-A2EE-AE15797B0A73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2.855450515937415E-2</c:v>
                </c:pt>
                <c:pt idx="1">
                  <c:v>2.5467999103204984E-2</c:v>
                </c:pt>
                <c:pt idx="2">
                  <c:v>8.8271962507454425E-3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F4-4BA0-A2EE-AE15797B0A73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1.2383331319116356E-3</c:v>
                </c:pt>
                <c:pt idx="1">
                  <c:v>1.1044795529451153E-3</c:v>
                </c:pt>
                <c:pt idx="2">
                  <c:v>3.8281208230273554E-4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F4-4BA0-A2EE-AE15797B0A73}"/>
            </c:ext>
          </c:extLst>
        </c:ser>
        <c:ser>
          <c:idx val="10"/>
          <c:order val="10"/>
          <c:tx>
            <c:strRef>
              <c:f>'Short-sea (Methanol)'!$A$84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(Methanol)'!$B$84,'Short-sea (Methanol)'!$N$84,'Short-sea (Methanol)'!$AC$84)</c:f>
              <c:numCache>
                <c:formatCode>0.000</c:formatCode>
                <c:ptCount val="3"/>
                <c:pt idx="0">
                  <c:v>3.3398562051778328E-4</c:v>
                </c:pt>
                <c:pt idx="1">
                  <c:v>2.8536465079533697E-4</c:v>
                </c:pt>
                <c:pt idx="2">
                  <c:v>5.4232271560286516E-6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E-4F22-9EE9-E619C3F02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3-4BA6-B1C4-30BDA11CA618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3-4BA6-B1C4-30BDA11CA618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3-4BA6-B1C4-30BDA11CA618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53-4BA6-B1C4-30BDA11CA618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53-4BA6-B1C4-30BDA11CA618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53-4BA6-B1C4-30BDA11CA618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53-4BA6-B1C4-30BDA11CA618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53-4BA6-B1C4-30BDA11CA618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53-4BA6-B1C4-30BDA11CA618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53-4BA6-B1C4-30BDA11CA618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53-4BA6-B1C4-30BDA11CA618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53-4BA6-B1C4-30BDA11CA618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53-4BA6-B1C4-30BDA11CA618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53-4BA6-B1C4-30BDA11CA618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53-4BA6-B1C4-30BDA11C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7-4746-9C2D-C6930AC356E1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7-4746-9C2D-C6930AC356E1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7-4746-9C2D-C6930AC356E1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47-4746-9C2D-C6930AC356E1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47-4746-9C2D-C6930AC356E1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47-4746-9C2D-C6930AC356E1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47-4746-9C2D-C6930AC356E1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47-4746-9C2D-C6930AC356E1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2.855450515937415E-2</c:v>
                </c:pt>
                <c:pt idx="1">
                  <c:v>2.5467999103204984E-2</c:v>
                </c:pt>
                <c:pt idx="2">
                  <c:v>8.8271962507454425E-3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47-4746-9C2D-C6930AC356E1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1.2383331319116356E-3</c:v>
                </c:pt>
                <c:pt idx="1">
                  <c:v>1.1044795529451153E-3</c:v>
                </c:pt>
                <c:pt idx="2">
                  <c:v>3.8281208230273554E-4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47-4746-9C2D-C6930AC356E1}"/>
            </c:ext>
          </c:extLst>
        </c:ser>
        <c:ser>
          <c:idx val="10"/>
          <c:order val="10"/>
          <c:tx>
            <c:strRef>
              <c:f>'Short-sea (Methanol)'!$A$190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(Methanol)'!$B$190,'Short-sea (Methanol)'!$N$190,'Short-sea (Methanol)'!$AC$190)</c:f>
              <c:numCache>
                <c:formatCode>0.000</c:formatCode>
                <c:ptCount val="3"/>
                <c:pt idx="0">
                  <c:v>3.3398562051778328E-4</c:v>
                </c:pt>
                <c:pt idx="1">
                  <c:v>2.8536465079533697E-4</c:v>
                </c:pt>
                <c:pt idx="2">
                  <c:v>5.4232271560286516E-6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A-4389-82B0-B94A4E1F6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5-4B6A-B511-452E27A6C8E9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5-4B6A-B511-452E27A6C8E9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A5-4B6A-B511-452E27A6C8E9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A5-4B6A-B511-452E27A6C8E9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A5-4B6A-B511-452E27A6C8E9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A5-4B6A-B511-452E27A6C8E9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A5-4B6A-B511-452E27A6C8E9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A5-4B6A-B511-452E27A6C8E9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A5-4B6A-B511-452E27A6C8E9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A5-4B6A-B511-452E27A6C8E9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A5-4B6A-B511-452E27A6C8E9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A5-4B6A-B511-452E27A6C8E9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A5-4B6A-B511-452E27A6C8E9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A5-4B6A-B511-452E27A6C8E9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A5-4B6A-B511-452E27A6C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C-4C38-BD1D-B29FCC6157BB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1C-4C38-BD1D-B29FCC6157BB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1C-4C38-BD1D-B29FCC6157BB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1C-4C38-BD1D-B29FCC6157BB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1C-4C38-BD1D-B29FCC6157BB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1C-4C38-BD1D-B29FCC6157BB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1C-4C38-BD1D-B29FCC6157BB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1C-4C38-BD1D-B29FCC6157BB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2.855450515937415E-2</c:v>
                </c:pt>
                <c:pt idx="1">
                  <c:v>2.5467999103204984E-2</c:v>
                </c:pt>
                <c:pt idx="2">
                  <c:v>8.8271962507454425E-3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1C-4C38-BD1D-B29FCC6157BB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1.2383331319116356E-3</c:v>
                </c:pt>
                <c:pt idx="1">
                  <c:v>1.1044795529451153E-3</c:v>
                </c:pt>
                <c:pt idx="2">
                  <c:v>3.8281208230273554E-4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1C-4C38-BD1D-B29FCC6157BB}"/>
            </c:ext>
          </c:extLst>
        </c:ser>
        <c:ser>
          <c:idx val="10"/>
          <c:order val="10"/>
          <c:tx>
            <c:strRef>
              <c:f>'Short-sea (Methanol)'!$A$298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(Methanol)'!$B$298,'Short-sea (Methanol)'!$N$298,'Short-sea (Methanol)'!$AC$298)</c:f>
              <c:numCache>
                <c:formatCode>0.000</c:formatCode>
                <c:ptCount val="3"/>
                <c:pt idx="0">
                  <c:v>3.3398562051778328E-4</c:v>
                </c:pt>
                <c:pt idx="1">
                  <c:v>2.8536465079533697E-4</c:v>
                </c:pt>
                <c:pt idx="2">
                  <c:v>5.4232271560286516E-6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B-4884-B621-184349B4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7-4C72-9D64-E4E6A2C7CB2B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7-4C72-9D64-E4E6A2C7CB2B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7-4C72-9D64-E4E6A2C7CB2B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87-4C72-9D64-E4E6A2C7CB2B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87-4C72-9D64-E4E6A2C7CB2B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87-4C72-9D64-E4E6A2C7CB2B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87-4C72-9D64-E4E6A2C7CB2B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87-4C72-9D64-E4E6A2C7CB2B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87-4C72-9D64-E4E6A2C7CB2B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87-4C72-9D64-E4E6A2C7CB2B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87-4C72-9D64-E4E6A2C7CB2B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87-4C72-9D64-E4E6A2C7CB2B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87-4C72-9D64-E4E6A2C7CB2B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87-4C72-9D64-E4E6A2C7CB2B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F87-4C72-9D64-E4E6A2C7C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F-4F6B-B724-0CE5BD2EDE13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F-4F6B-B724-0CE5BD2EDE13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F-4F6B-B724-0CE5BD2EDE13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4F-4F6B-B724-0CE5BD2EDE13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4F-4F6B-B724-0CE5BD2EDE13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4F-4F6B-B724-0CE5BD2EDE13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4F-4F6B-B724-0CE5BD2EDE13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4F-4F6B-B724-0CE5BD2EDE13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2.855450515937415E-2</c:v>
                </c:pt>
                <c:pt idx="1">
                  <c:v>2.5467999103204984E-2</c:v>
                </c:pt>
                <c:pt idx="2">
                  <c:v>8.8271962507454425E-3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4F-4F6B-B724-0CE5BD2EDE13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1.2383331319116356E-3</c:v>
                </c:pt>
                <c:pt idx="1">
                  <c:v>1.1044795529451153E-3</c:v>
                </c:pt>
                <c:pt idx="2">
                  <c:v>3.8281208230273554E-4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4F-4F6B-B724-0CE5BD2EDE13}"/>
            </c:ext>
          </c:extLst>
        </c:ser>
        <c:ser>
          <c:idx val="10"/>
          <c:order val="10"/>
          <c:tx>
            <c:strRef>
              <c:f>'Short-sea (Methanol)'!$A$407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(Methanol)'!$B$407,'Short-sea (Methanol)'!$N$407,'Short-sea (Methanol)'!$AC$407)</c:f>
              <c:numCache>
                <c:formatCode>0.000</c:formatCode>
                <c:ptCount val="3"/>
                <c:pt idx="0">
                  <c:v>3.3398562051778328E-4</c:v>
                </c:pt>
                <c:pt idx="1">
                  <c:v>2.8536465079533697E-4</c:v>
                </c:pt>
                <c:pt idx="2">
                  <c:v>5.4232271560286516E-6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C-4BAB-9D2E-FAAD7EE2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Template_Cost_Calculator!$A$11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Template_Cost_Calculator!$Q$11:$AR$11</c:f>
              <c:numCache>
                <c:formatCode>General</c:formatCode>
                <c:ptCount val="28"/>
                <c:pt idx="0">
                  <c:v>0.98870000318069773</c:v>
                </c:pt>
                <c:pt idx="1">
                  <c:v>0.97864686803622136</c:v>
                </c:pt>
                <c:pt idx="2">
                  <c:v>0.95982538467280665</c:v>
                </c:pt>
                <c:pt idx="3">
                  <c:v>0.92512705484006208</c:v>
                </c:pt>
                <c:pt idx="4">
                  <c:v>0.86323195930299401</c:v>
                </c:pt>
                <c:pt idx="5">
                  <c:v>0.76000101689477173</c:v>
                </c:pt>
                <c:pt idx="6">
                  <c:v>0.60815171131295576</c:v>
                </c:pt>
                <c:pt idx="7">
                  <c:v>0.42565082250148245</c:v>
                </c:pt>
                <c:pt idx="8">
                  <c:v>0.25686721291665371</c:v>
                </c:pt>
                <c:pt idx="9">
                  <c:v>0.13681012326750519</c:v>
                </c:pt>
                <c:pt idx="10">
                  <c:v>6.7110874479454963E-2</c:v>
                </c:pt>
                <c:pt idx="11">
                  <c:v>3.1457259534366733E-2</c:v>
                </c:pt>
                <c:pt idx="12">
                  <c:v>1.4415036328376152E-2</c:v>
                </c:pt>
                <c:pt idx="13">
                  <c:v>6.5354046097677587E-3</c:v>
                </c:pt>
                <c:pt idx="14">
                  <c:v>2.9484794129613912E-3</c:v>
                </c:pt>
                <c:pt idx="15">
                  <c:v>1.3272611400154677E-3</c:v>
                </c:pt>
                <c:pt idx="16">
                  <c:v>5.9686760508315118E-4</c:v>
                </c:pt>
                <c:pt idx="17">
                  <c:v>2.6828910235687786E-4</c:v>
                </c:pt>
                <c:pt idx="18">
                  <c:v>1.2057010364630028E-4</c:v>
                </c:pt>
                <c:pt idx="19">
                  <c:v>5.4179686630462243E-5</c:v>
                </c:pt>
                <c:pt idx="20">
                  <c:v>2.4345319607821381E-5</c:v>
                </c:pt>
                <c:pt idx="21">
                  <c:v>1.0939222225947454E-5</c:v>
                </c:pt>
                <c:pt idx="22">
                  <c:v>4.9153427019721363E-6</c:v>
                </c:pt>
                <c:pt idx="23">
                  <c:v>2.2086125700537806E-6</c:v>
                </c:pt>
                <c:pt idx="24">
                  <c:v>9.9239495610081718E-7</c:v>
                </c:pt>
                <c:pt idx="25">
                  <c:v>4.4591207160049606E-7</c:v>
                </c:pt>
                <c:pt idx="26">
                  <c:v>2.0036126446854041E-7</c:v>
                </c:pt>
                <c:pt idx="27">
                  <c:v>9.0028130617092472E-8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1-420A-891B-2CFE87D672A6}"/>
            </c:ext>
          </c:extLst>
        </c:ser>
        <c:ser>
          <c:idx val="13"/>
          <c:order val="1"/>
          <c:tx>
            <c:strRef>
              <c:f>Template_Cost_Calculator!$A$12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Template_Cost_Calculator!$Q$12:$AR$12</c:f>
              <c:numCache>
                <c:formatCode>General</c:formatCode>
                <c:ptCount val="28"/>
                <c:pt idx="0">
                  <c:v>0.99403190884795445</c:v>
                </c:pt>
                <c:pt idx="1">
                  <c:v>0.98870000318069773</c:v>
                </c:pt>
                <c:pt idx="2">
                  <c:v>0.97864686803622136</c:v>
                </c:pt>
                <c:pt idx="3">
                  <c:v>0.95982538467280665</c:v>
                </c:pt>
                <c:pt idx="4">
                  <c:v>0.92512705484006208</c:v>
                </c:pt>
                <c:pt idx="5">
                  <c:v>0.86323195930299401</c:v>
                </c:pt>
                <c:pt idx="6">
                  <c:v>0.76000101689477173</c:v>
                </c:pt>
                <c:pt idx="7">
                  <c:v>0.60815171131295576</c:v>
                </c:pt>
                <c:pt idx="8">
                  <c:v>0.42565082250148245</c:v>
                </c:pt>
                <c:pt idx="9">
                  <c:v>0.25686721291665371</c:v>
                </c:pt>
                <c:pt idx="10">
                  <c:v>0.13681012326750519</c:v>
                </c:pt>
                <c:pt idx="11">
                  <c:v>6.7110874479454963E-2</c:v>
                </c:pt>
                <c:pt idx="12">
                  <c:v>3.1457259534366733E-2</c:v>
                </c:pt>
                <c:pt idx="13">
                  <c:v>1.4415036328376152E-2</c:v>
                </c:pt>
                <c:pt idx="14">
                  <c:v>6.5354046097677587E-3</c:v>
                </c:pt>
                <c:pt idx="15">
                  <c:v>2.9484794129613912E-3</c:v>
                </c:pt>
                <c:pt idx="16">
                  <c:v>1.3272611400154677E-3</c:v>
                </c:pt>
                <c:pt idx="17">
                  <c:v>5.9686760508315118E-4</c:v>
                </c:pt>
                <c:pt idx="18">
                  <c:v>2.6828910235687786E-4</c:v>
                </c:pt>
                <c:pt idx="19">
                  <c:v>1.2057010364630028E-4</c:v>
                </c:pt>
                <c:pt idx="20">
                  <c:v>5.4179686630462243E-5</c:v>
                </c:pt>
                <c:pt idx="21">
                  <c:v>2.4345319607821381E-5</c:v>
                </c:pt>
                <c:pt idx="22">
                  <c:v>1.0939222225947454E-5</c:v>
                </c:pt>
                <c:pt idx="23">
                  <c:v>4.9153427019721363E-6</c:v>
                </c:pt>
                <c:pt idx="24">
                  <c:v>2.2086125700537806E-6</c:v>
                </c:pt>
                <c:pt idx="25">
                  <c:v>9.9239495610081718E-7</c:v>
                </c:pt>
                <c:pt idx="26">
                  <c:v>4.4591207160049606E-7</c:v>
                </c:pt>
                <c:pt idx="27">
                  <c:v>2.0036126446854041E-7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6-40BD-9A28-C337470B4C77}"/>
            </c:ext>
          </c:extLst>
        </c:ser>
        <c:ser>
          <c:idx val="1"/>
          <c:order val="2"/>
          <c:tx>
            <c:strRef>
              <c:f>Template_Cost_Calculator!$A$13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Template_Cost_Calculator!$Q$13:$AR$13</c:f>
              <c:numCache>
                <c:formatCode>General</c:formatCode>
                <c:ptCount val="28"/>
                <c:pt idx="0">
                  <c:v>0.99685076919798865</c:v>
                </c:pt>
                <c:pt idx="1">
                  <c:v>0.99403190884795445</c:v>
                </c:pt>
                <c:pt idx="2">
                  <c:v>0.98870000318069773</c:v>
                </c:pt>
                <c:pt idx="3">
                  <c:v>0.97864686803622136</c:v>
                </c:pt>
                <c:pt idx="4">
                  <c:v>0.95982538467280665</c:v>
                </c:pt>
                <c:pt idx="5">
                  <c:v>0.92512705484006208</c:v>
                </c:pt>
                <c:pt idx="6">
                  <c:v>0.86323195930299401</c:v>
                </c:pt>
                <c:pt idx="7">
                  <c:v>0.76000101689477173</c:v>
                </c:pt>
                <c:pt idx="8">
                  <c:v>0.60815171131295576</c:v>
                </c:pt>
                <c:pt idx="9">
                  <c:v>0.42565082250148245</c:v>
                </c:pt>
                <c:pt idx="10">
                  <c:v>0.25686721291665371</c:v>
                </c:pt>
                <c:pt idx="11">
                  <c:v>0.13681012326750519</c:v>
                </c:pt>
                <c:pt idx="12">
                  <c:v>6.7110874479454963E-2</c:v>
                </c:pt>
                <c:pt idx="13">
                  <c:v>3.1457259534366733E-2</c:v>
                </c:pt>
                <c:pt idx="14">
                  <c:v>1.4415036328376152E-2</c:v>
                </c:pt>
                <c:pt idx="15">
                  <c:v>6.5354046097677587E-3</c:v>
                </c:pt>
                <c:pt idx="16">
                  <c:v>2.9484794129613912E-3</c:v>
                </c:pt>
                <c:pt idx="17">
                  <c:v>1.3272611400154677E-3</c:v>
                </c:pt>
                <c:pt idx="18">
                  <c:v>5.9686760508315118E-4</c:v>
                </c:pt>
                <c:pt idx="19">
                  <c:v>2.6828910235687786E-4</c:v>
                </c:pt>
                <c:pt idx="20">
                  <c:v>1.2057010364630028E-4</c:v>
                </c:pt>
                <c:pt idx="21">
                  <c:v>5.4179686630462243E-5</c:v>
                </c:pt>
                <c:pt idx="22">
                  <c:v>2.4345319607821381E-5</c:v>
                </c:pt>
                <c:pt idx="23">
                  <c:v>1.0939222225947454E-5</c:v>
                </c:pt>
                <c:pt idx="24">
                  <c:v>4.9153427019721363E-6</c:v>
                </c:pt>
                <c:pt idx="25">
                  <c:v>2.2086125700537806E-6</c:v>
                </c:pt>
                <c:pt idx="26">
                  <c:v>9.9239495610081718E-7</c:v>
                </c:pt>
                <c:pt idx="27">
                  <c:v>4.4591207160049606E-7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1-420A-891B-2CFE87D672A6}"/>
            </c:ext>
          </c:extLst>
        </c:ser>
        <c:ser>
          <c:idx val="14"/>
          <c:order val="3"/>
          <c:tx>
            <c:strRef>
              <c:f>Template_Cost_Calculator!$A$14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Template_Cost_Calculator!$Q$14:$AR$14</c:f>
              <c:numCache>
                <c:formatCode>General</c:formatCode>
                <c:ptCount val="28"/>
                <c:pt idx="0">
                  <c:v>0.99833888850453545</c:v>
                </c:pt>
                <c:pt idx="1">
                  <c:v>0.99685076919798865</c:v>
                </c:pt>
                <c:pt idx="2">
                  <c:v>0.99403190884795445</c:v>
                </c:pt>
                <c:pt idx="3">
                  <c:v>0.98870000318069773</c:v>
                </c:pt>
                <c:pt idx="4">
                  <c:v>0.97864686803622136</c:v>
                </c:pt>
                <c:pt idx="5">
                  <c:v>0.95982538467280665</c:v>
                </c:pt>
                <c:pt idx="6">
                  <c:v>0.92512705484006208</c:v>
                </c:pt>
                <c:pt idx="7">
                  <c:v>0.86323195930299401</c:v>
                </c:pt>
                <c:pt idx="8">
                  <c:v>0.76000101689477173</c:v>
                </c:pt>
                <c:pt idx="9">
                  <c:v>0.60815171131295576</c:v>
                </c:pt>
                <c:pt idx="10">
                  <c:v>0.42565082250148245</c:v>
                </c:pt>
                <c:pt idx="11">
                  <c:v>0.25686721291665371</c:v>
                </c:pt>
                <c:pt idx="12">
                  <c:v>0.13681012326750519</c:v>
                </c:pt>
                <c:pt idx="13">
                  <c:v>6.7110874479454963E-2</c:v>
                </c:pt>
                <c:pt idx="14">
                  <c:v>3.1457259534366733E-2</c:v>
                </c:pt>
                <c:pt idx="15">
                  <c:v>1.4415036328376152E-2</c:v>
                </c:pt>
                <c:pt idx="16">
                  <c:v>6.5354046097677587E-3</c:v>
                </c:pt>
                <c:pt idx="17">
                  <c:v>2.9484794129613912E-3</c:v>
                </c:pt>
                <c:pt idx="18">
                  <c:v>1.3272611400154677E-3</c:v>
                </c:pt>
                <c:pt idx="19">
                  <c:v>5.9686760508315118E-4</c:v>
                </c:pt>
                <c:pt idx="20">
                  <c:v>2.6828910235687786E-4</c:v>
                </c:pt>
                <c:pt idx="21">
                  <c:v>1.2057010364630028E-4</c:v>
                </c:pt>
                <c:pt idx="22">
                  <c:v>5.4179686630462243E-5</c:v>
                </c:pt>
                <c:pt idx="23">
                  <c:v>2.4345319607821381E-5</c:v>
                </c:pt>
                <c:pt idx="24">
                  <c:v>1.0939222225947454E-5</c:v>
                </c:pt>
                <c:pt idx="25">
                  <c:v>4.9153427019721363E-6</c:v>
                </c:pt>
                <c:pt idx="26">
                  <c:v>2.2086125700537806E-6</c:v>
                </c:pt>
                <c:pt idx="27">
                  <c:v>9.9239495610081718E-7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6-40BD-9A28-C337470B4C77}"/>
            </c:ext>
          </c:extLst>
        </c:ser>
        <c:ser>
          <c:idx val="2"/>
          <c:order val="4"/>
          <c:tx>
            <c:strRef>
              <c:f>Template_Cost_Calculator!$A$15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Template_Cost_Calculator!$Q$15:$AR$15</c:f>
              <c:numCache>
                <c:formatCode>General</c:formatCode>
                <c:ptCount val="28"/>
                <c:pt idx="0">
                  <c:v>0.99912397907241213</c:v>
                </c:pt>
                <c:pt idx="1">
                  <c:v>0.99833888850453545</c:v>
                </c:pt>
                <c:pt idx="2">
                  <c:v>0.99685076919798865</c:v>
                </c:pt>
                <c:pt idx="3">
                  <c:v>0.99403190884795445</c:v>
                </c:pt>
                <c:pt idx="4">
                  <c:v>0.98870000318069773</c:v>
                </c:pt>
                <c:pt idx="5">
                  <c:v>0.97864686803622136</c:v>
                </c:pt>
                <c:pt idx="6">
                  <c:v>0.95982538467280665</c:v>
                </c:pt>
                <c:pt idx="7">
                  <c:v>0.92512705484006208</c:v>
                </c:pt>
                <c:pt idx="8">
                  <c:v>0.86323195930299401</c:v>
                </c:pt>
                <c:pt idx="9">
                  <c:v>0.76000101689477173</c:v>
                </c:pt>
                <c:pt idx="10">
                  <c:v>0.60815171131295576</c:v>
                </c:pt>
                <c:pt idx="11">
                  <c:v>0.42565082250148245</c:v>
                </c:pt>
                <c:pt idx="12">
                  <c:v>0.25686721291665371</c:v>
                </c:pt>
                <c:pt idx="13">
                  <c:v>0.13681012326750519</c:v>
                </c:pt>
                <c:pt idx="14">
                  <c:v>6.7110874479454963E-2</c:v>
                </c:pt>
                <c:pt idx="15">
                  <c:v>3.1457259534366733E-2</c:v>
                </c:pt>
                <c:pt idx="16">
                  <c:v>1.4415036328376152E-2</c:v>
                </c:pt>
                <c:pt idx="17">
                  <c:v>6.5354046097677587E-3</c:v>
                </c:pt>
                <c:pt idx="18">
                  <c:v>2.9484794129613912E-3</c:v>
                </c:pt>
                <c:pt idx="19">
                  <c:v>1.3272611400154677E-3</c:v>
                </c:pt>
                <c:pt idx="20">
                  <c:v>5.9686760508315118E-4</c:v>
                </c:pt>
                <c:pt idx="21">
                  <c:v>2.6828910235687786E-4</c:v>
                </c:pt>
                <c:pt idx="22">
                  <c:v>1.2057010364630028E-4</c:v>
                </c:pt>
                <c:pt idx="23">
                  <c:v>5.4179686630462243E-5</c:v>
                </c:pt>
                <c:pt idx="24">
                  <c:v>2.4345319607821381E-5</c:v>
                </c:pt>
                <c:pt idx="25">
                  <c:v>1.0939222225947454E-5</c:v>
                </c:pt>
                <c:pt idx="26">
                  <c:v>4.9153427019721363E-6</c:v>
                </c:pt>
                <c:pt idx="27">
                  <c:v>2.2086125700537806E-6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F1-420A-891B-2CFE87D672A6}"/>
            </c:ext>
          </c:extLst>
        </c:ser>
        <c:ser>
          <c:idx val="3"/>
          <c:order val="5"/>
          <c:tx>
            <c:strRef>
              <c:f>Template_Cost_Calculator!$A$16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Template_Cost_Calculator!$Q$16:$AR$16</c:f>
              <c:numCache>
                <c:formatCode>General</c:formatCode>
                <c:ptCount val="28"/>
                <c:pt idx="0">
                  <c:v>0.9995380501308736</c:v>
                </c:pt>
                <c:pt idx="1">
                  <c:v>0.99912397907241213</c:v>
                </c:pt>
                <c:pt idx="2">
                  <c:v>0.99833888850453545</c:v>
                </c:pt>
                <c:pt idx="3">
                  <c:v>0.99685076919798865</c:v>
                </c:pt>
                <c:pt idx="4">
                  <c:v>0.99403190884795445</c:v>
                </c:pt>
                <c:pt idx="5">
                  <c:v>0.98870000318069773</c:v>
                </c:pt>
                <c:pt idx="6">
                  <c:v>0.97864686803622136</c:v>
                </c:pt>
                <c:pt idx="7">
                  <c:v>0.95982538467280665</c:v>
                </c:pt>
                <c:pt idx="8">
                  <c:v>0.92512705484006208</c:v>
                </c:pt>
                <c:pt idx="9">
                  <c:v>0.86323195930299401</c:v>
                </c:pt>
                <c:pt idx="10">
                  <c:v>0.76000101689477173</c:v>
                </c:pt>
                <c:pt idx="11">
                  <c:v>0.60815171131295576</c:v>
                </c:pt>
                <c:pt idx="12">
                  <c:v>0.42565082250148245</c:v>
                </c:pt>
                <c:pt idx="13">
                  <c:v>0.25686721291665371</c:v>
                </c:pt>
                <c:pt idx="14">
                  <c:v>0.13681012326750519</c:v>
                </c:pt>
                <c:pt idx="15">
                  <c:v>6.7110874479454963E-2</c:v>
                </c:pt>
                <c:pt idx="16">
                  <c:v>3.1457259534366733E-2</c:v>
                </c:pt>
                <c:pt idx="17">
                  <c:v>1.4415036328376152E-2</c:v>
                </c:pt>
                <c:pt idx="18">
                  <c:v>6.5354046097677587E-3</c:v>
                </c:pt>
                <c:pt idx="19">
                  <c:v>2.9484794129613912E-3</c:v>
                </c:pt>
                <c:pt idx="20">
                  <c:v>1.3272611400154677E-3</c:v>
                </c:pt>
                <c:pt idx="21">
                  <c:v>5.9686760508315118E-4</c:v>
                </c:pt>
                <c:pt idx="22">
                  <c:v>2.6828910235687786E-4</c:v>
                </c:pt>
                <c:pt idx="23">
                  <c:v>1.2057010364630028E-4</c:v>
                </c:pt>
                <c:pt idx="24">
                  <c:v>5.4179686630462243E-5</c:v>
                </c:pt>
                <c:pt idx="25">
                  <c:v>2.4345319607821381E-5</c:v>
                </c:pt>
                <c:pt idx="26">
                  <c:v>1.0939222225947454E-5</c:v>
                </c:pt>
                <c:pt idx="27">
                  <c:v>4.9153427019721363E-6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F1-420A-891B-2CFE87D672A6}"/>
            </c:ext>
          </c:extLst>
        </c:ser>
        <c:ser>
          <c:idx val="4"/>
          <c:order val="6"/>
          <c:tx>
            <c:strRef>
              <c:f>Template_Cost_Calculator!$A$18</c:f>
              <c:strCache>
                <c:ptCount val="1"/>
                <c:pt idx="0">
                  <c:v>Opex var (mode-fees, cargo handling)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Template_Cost_Calculator!$Q$18:$AR$18</c:f>
              <c:numCache>
                <c:formatCode>General</c:formatCode>
                <c:ptCount val="28"/>
                <c:pt idx="0">
                  <c:v>0.99987155515136772</c:v>
                </c:pt>
                <c:pt idx="1">
                  <c:v>0.99975641006619353</c:v>
                </c:pt>
                <c:pt idx="2">
                  <c:v>0.9995380501308736</c:v>
                </c:pt>
                <c:pt idx="3">
                  <c:v>0.99912397907241213</c:v>
                </c:pt>
                <c:pt idx="4">
                  <c:v>0.99833888850453545</c:v>
                </c:pt>
                <c:pt idx="5">
                  <c:v>0.99685076919798865</c:v>
                </c:pt>
                <c:pt idx="6">
                  <c:v>0.99403190884795445</c:v>
                </c:pt>
                <c:pt idx="7">
                  <c:v>0.98870000318069773</c:v>
                </c:pt>
                <c:pt idx="8">
                  <c:v>0.97864686803622136</c:v>
                </c:pt>
                <c:pt idx="9">
                  <c:v>0.95982538467280665</c:v>
                </c:pt>
                <c:pt idx="10">
                  <c:v>0.92512705484006208</c:v>
                </c:pt>
                <c:pt idx="11">
                  <c:v>0.86323195930299401</c:v>
                </c:pt>
                <c:pt idx="12">
                  <c:v>0.76000101689477173</c:v>
                </c:pt>
                <c:pt idx="13">
                  <c:v>0.60815171131295576</c:v>
                </c:pt>
                <c:pt idx="14">
                  <c:v>0.42565082250148245</c:v>
                </c:pt>
                <c:pt idx="15">
                  <c:v>0.25686721291665371</c:v>
                </c:pt>
                <c:pt idx="16">
                  <c:v>0.13681012326750519</c:v>
                </c:pt>
                <c:pt idx="17">
                  <c:v>6.7110874479454963E-2</c:v>
                </c:pt>
                <c:pt idx="18">
                  <c:v>3.1457259534366733E-2</c:v>
                </c:pt>
                <c:pt idx="19">
                  <c:v>1.4415036328376152E-2</c:v>
                </c:pt>
                <c:pt idx="20">
                  <c:v>6.5354046097677587E-3</c:v>
                </c:pt>
                <c:pt idx="21">
                  <c:v>2.9484794129613912E-3</c:v>
                </c:pt>
                <c:pt idx="22">
                  <c:v>1.3272611400154677E-3</c:v>
                </c:pt>
                <c:pt idx="23">
                  <c:v>5.9686760508315118E-4</c:v>
                </c:pt>
                <c:pt idx="24">
                  <c:v>2.6828910235687786E-4</c:v>
                </c:pt>
                <c:pt idx="25">
                  <c:v>1.2057010364630028E-4</c:v>
                </c:pt>
                <c:pt idx="26">
                  <c:v>5.4179686630462243E-5</c:v>
                </c:pt>
                <c:pt idx="27">
                  <c:v>2.4345319607821381E-5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F1-420A-891B-2CFE87D672A6}"/>
            </c:ext>
          </c:extLst>
        </c:ser>
        <c:ser>
          <c:idx val="5"/>
          <c:order val="7"/>
          <c:tx>
            <c:strRef>
              <c:f>Template_Cost_Calculator!$A$19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Template_Cost_Calculator!$Q$19:$AR$19</c:f>
              <c:numCache>
                <c:formatCode>General</c:formatCode>
                <c:ptCount val="28"/>
                <c:pt idx="0">
                  <c:v>0.99993227159641906</c:v>
                </c:pt>
                <c:pt idx="1">
                  <c:v>0.99987155515136772</c:v>
                </c:pt>
                <c:pt idx="2">
                  <c:v>0.99975641006619353</c:v>
                </c:pt>
                <c:pt idx="3">
                  <c:v>0.9995380501308736</c:v>
                </c:pt>
                <c:pt idx="4">
                  <c:v>0.99912397907241213</c:v>
                </c:pt>
                <c:pt idx="5">
                  <c:v>0.99833888850453545</c:v>
                </c:pt>
                <c:pt idx="6">
                  <c:v>0.99685076919798865</c:v>
                </c:pt>
                <c:pt idx="7">
                  <c:v>0.99403190884795445</c:v>
                </c:pt>
                <c:pt idx="8">
                  <c:v>0.98870000318069773</c:v>
                </c:pt>
                <c:pt idx="9">
                  <c:v>0.97864686803622136</c:v>
                </c:pt>
                <c:pt idx="10">
                  <c:v>0.95982538467280665</c:v>
                </c:pt>
                <c:pt idx="11">
                  <c:v>0.92512705484006208</c:v>
                </c:pt>
                <c:pt idx="12">
                  <c:v>0.86323195930299401</c:v>
                </c:pt>
                <c:pt idx="13">
                  <c:v>0.76000101689477173</c:v>
                </c:pt>
                <c:pt idx="14">
                  <c:v>0.60815171131295576</c:v>
                </c:pt>
                <c:pt idx="15">
                  <c:v>0.42565082250148245</c:v>
                </c:pt>
                <c:pt idx="16">
                  <c:v>0.25686721291665371</c:v>
                </c:pt>
                <c:pt idx="17">
                  <c:v>0.13681012326750519</c:v>
                </c:pt>
                <c:pt idx="18">
                  <c:v>6.7110874479454963E-2</c:v>
                </c:pt>
                <c:pt idx="19">
                  <c:v>3.1457259534366733E-2</c:v>
                </c:pt>
                <c:pt idx="20">
                  <c:v>1.4415036328376152E-2</c:v>
                </c:pt>
                <c:pt idx="21">
                  <c:v>6.5354046097677587E-3</c:v>
                </c:pt>
                <c:pt idx="22">
                  <c:v>2.9484794129613912E-3</c:v>
                </c:pt>
                <c:pt idx="23">
                  <c:v>1.3272611400154677E-3</c:v>
                </c:pt>
                <c:pt idx="24">
                  <c:v>5.9686760508315118E-4</c:v>
                </c:pt>
                <c:pt idx="25">
                  <c:v>2.6828910235687786E-4</c:v>
                </c:pt>
                <c:pt idx="26">
                  <c:v>1.2057010364630028E-4</c:v>
                </c:pt>
                <c:pt idx="27">
                  <c:v>5.4179686630462243E-5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F1-420A-891B-2CFE87D672A6}"/>
            </c:ext>
          </c:extLst>
        </c:ser>
        <c:ser>
          <c:idx val="6"/>
          <c:order val="8"/>
          <c:tx>
            <c:strRef>
              <c:f>Template_Cost_Calculator!$A$20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Template_Cost_Calculator!$Q$20:$AR$20</c:f>
              <c:numCache>
                <c:formatCode>General</c:formatCode>
                <c:ptCount val="28"/>
                <c:pt idx="0">
                  <c:v>0.99996428722923425</c:v>
                </c:pt>
                <c:pt idx="1">
                  <c:v>0.99993227159641906</c:v>
                </c:pt>
                <c:pt idx="2">
                  <c:v>0.99987155515136772</c:v>
                </c:pt>
                <c:pt idx="3">
                  <c:v>0.99975641006619353</c:v>
                </c:pt>
                <c:pt idx="4">
                  <c:v>0.9995380501308736</c:v>
                </c:pt>
                <c:pt idx="5">
                  <c:v>0.99912397907241213</c:v>
                </c:pt>
                <c:pt idx="6">
                  <c:v>0.99833888850453545</c:v>
                </c:pt>
                <c:pt idx="7">
                  <c:v>0.99685076919798865</c:v>
                </c:pt>
                <c:pt idx="8">
                  <c:v>0.99403190884795445</c:v>
                </c:pt>
                <c:pt idx="9">
                  <c:v>0.98870000318069773</c:v>
                </c:pt>
                <c:pt idx="10">
                  <c:v>0.97864686803622136</c:v>
                </c:pt>
                <c:pt idx="11">
                  <c:v>0.95982538467280665</c:v>
                </c:pt>
                <c:pt idx="12">
                  <c:v>0.92512705484006208</c:v>
                </c:pt>
                <c:pt idx="13">
                  <c:v>0.86323195930299401</c:v>
                </c:pt>
                <c:pt idx="14">
                  <c:v>0.76000101689477173</c:v>
                </c:pt>
                <c:pt idx="15">
                  <c:v>0.60815171131295576</c:v>
                </c:pt>
                <c:pt idx="16">
                  <c:v>0.42565082250148245</c:v>
                </c:pt>
                <c:pt idx="17">
                  <c:v>0.25686721291665371</c:v>
                </c:pt>
                <c:pt idx="18">
                  <c:v>0.13681012326750519</c:v>
                </c:pt>
                <c:pt idx="19">
                  <c:v>6.7110874479454963E-2</c:v>
                </c:pt>
                <c:pt idx="20">
                  <c:v>3.1457259534366733E-2</c:v>
                </c:pt>
                <c:pt idx="21">
                  <c:v>1.4415036328376152E-2</c:v>
                </c:pt>
                <c:pt idx="22">
                  <c:v>6.5354046097677587E-3</c:v>
                </c:pt>
                <c:pt idx="23">
                  <c:v>2.9484794129613912E-3</c:v>
                </c:pt>
                <c:pt idx="24">
                  <c:v>1.3272611400154677E-3</c:v>
                </c:pt>
                <c:pt idx="25">
                  <c:v>5.9686760508315118E-4</c:v>
                </c:pt>
                <c:pt idx="26">
                  <c:v>2.6828910235687786E-4</c:v>
                </c:pt>
                <c:pt idx="27">
                  <c:v>1.2057010364630028E-4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F1-420A-891B-2CFE87D672A6}"/>
            </c:ext>
          </c:extLst>
        </c:ser>
        <c:ser>
          <c:idx val="7"/>
          <c:order val="9"/>
          <c:tx>
            <c:strRef>
              <c:f>Template_Cost_Calculator!$A$21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Template_Cost_Calculator!$Q$21:$AR$21</c:f>
              <c:numCache>
                <c:formatCode>General</c:formatCode>
                <c:ptCount val="28"/>
                <c:pt idx="0">
                  <c:v>0.99998116890363087</c:v>
                </c:pt>
                <c:pt idx="1">
                  <c:v>0.99996428722923425</c:v>
                </c:pt>
                <c:pt idx="2">
                  <c:v>0.99993227159641906</c:v>
                </c:pt>
                <c:pt idx="3">
                  <c:v>0.99987155515136772</c:v>
                </c:pt>
                <c:pt idx="4">
                  <c:v>0.99975641006619353</c:v>
                </c:pt>
                <c:pt idx="5">
                  <c:v>0.9995380501308736</c:v>
                </c:pt>
                <c:pt idx="6">
                  <c:v>0.99912397907241213</c:v>
                </c:pt>
                <c:pt idx="7">
                  <c:v>0.99833888850453545</c:v>
                </c:pt>
                <c:pt idx="8">
                  <c:v>0.99685076919798865</c:v>
                </c:pt>
                <c:pt idx="9">
                  <c:v>0.99403190884795445</c:v>
                </c:pt>
                <c:pt idx="10">
                  <c:v>0.98870000318069773</c:v>
                </c:pt>
                <c:pt idx="11">
                  <c:v>0.97864686803622136</c:v>
                </c:pt>
                <c:pt idx="12">
                  <c:v>0.95982538467280665</c:v>
                </c:pt>
                <c:pt idx="13">
                  <c:v>0.92512705484006208</c:v>
                </c:pt>
                <c:pt idx="14">
                  <c:v>0.86323195930299401</c:v>
                </c:pt>
                <c:pt idx="15">
                  <c:v>0.76000101689477173</c:v>
                </c:pt>
                <c:pt idx="16">
                  <c:v>0.60815171131295576</c:v>
                </c:pt>
                <c:pt idx="17">
                  <c:v>0.42565082250148245</c:v>
                </c:pt>
                <c:pt idx="18">
                  <c:v>0.25686721291665371</c:v>
                </c:pt>
                <c:pt idx="19">
                  <c:v>0.13681012326750519</c:v>
                </c:pt>
                <c:pt idx="20">
                  <c:v>6.7110874479454963E-2</c:v>
                </c:pt>
                <c:pt idx="21">
                  <c:v>3.1457259534366733E-2</c:v>
                </c:pt>
                <c:pt idx="22">
                  <c:v>1.4415036328376152E-2</c:v>
                </c:pt>
                <c:pt idx="23">
                  <c:v>6.5354046097677587E-3</c:v>
                </c:pt>
                <c:pt idx="24">
                  <c:v>2.9484794129613912E-3</c:v>
                </c:pt>
                <c:pt idx="25">
                  <c:v>1.3272611400154677E-3</c:v>
                </c:pt>
                <c:pt idx="26">
                  <c:v>5.9686760508315118E-4</c:v>
                </c:pt>
                <c:pt idx="27">
                  <c:v>2.6828910235687786E-4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F1-420A-891B-2CFE87D672A6}"/>
            </c:ext>
          </c:extLst>
        </c:ser>
        <c:ser>
          <c:idx val="8"/>
          <c:order val="10"/>
          <c:tx>
            <c:strRef>
              <c:f>Template_Cost_Calculator!$A$22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Template_Cost_Calculator!$Q$22:$AR$22</c:f>
              <c:numCache>
                <c:formatCode>General</c:formatCode>
                <c:ptCount val="28"/>
                <c:pt idx="0">
                  <c:v>0.99999007050012179</c:v>
                </c:pt>
                <c:pt idx="1">
                  <c:v>0.99998116890363087</c:v>
                </c:pt>
                <c:pt idx="2">
                  <c:v>0.99996428722923425</c:v>
                </c:pt>
                <c:pt idx="3">
                  <c:v>0.99993227159641906</c:v>
                </c:pt>
                <c:pt idx="4">
                  <c:v>0.99987155515136772</c:v>
                </c:pt>
                <c:pt idx="5">
                  <c:v>0.99975641006619353</c:v>
                </c:pt>
                <c:pt idx="6">
                  <c:v>0.9995380501308736</c:v>
                </c:pt>
                <c:pt idx="7">
                  <c:v>0.99912397907241213</c:v>
                </c:pt>
                <c:pt idx="8">
                  <c:v>0.99833888850453545</c:v>
                </c:pt>
                <c:pt idx="9">
                  <c:v>0.99685076919798865</c:v>
                </c:pt>
                <c:pt idx="10">
                  <c:v>0.99403190884795445</c:v>
                </c:pt>
                <c:pt idx="11">
                  <c:v>0.98870000318069773</c:v>
                </c:pt>
                <c:pt idx="12">
                  <c:v>0.97864686803622136</c:v>
                </c:pt>
                <c:pt idx="13">
                  <c:v>0.95982538467280665</c:v>
                </c:pt>
                <c:pt idx="14">
                  <c:v>0.92512705484006208</c:v>
                </c:pt>
                <c:pt idx="15">
                  <c:v>0.86323195930299401</c:v>
                </c:pt>
                <c:pt idx="16">
                  <c:v>0.76000101689477173</c:v>
                </c:pt>
                <c:pt idx="17">
                  <c:v>0.60815171131295576</c:v>
                </c:pt>
                <c:pt idx="18">
                  <c:v>0.42565082250148245</c:v>
                </c:pt>
                <c:pt idx="19">
                  <c:v>0.25686721291665371</c:v>
                </c:pt>
                <c:pt idx="20">
                  <c:v>0.13681012326750519</c:v>
                </c:pt>
                <c:pt idx="21">
                  <c:v>6.7110874479454963E-2</c:v>
                </c:pt>
                <c:pt idx="22">
                  <c:v>3.1457259534366733E-2</c:v>
                </c:pt>
                <c:pt idx="23">
                  <c:v>1.4415036328376152E-2</c:v>
                </c:pt>
                <c:pt idx="24">
                  <c:v>6.5354046097677587E-3</c:v>
                </c:pt>
                <c:pt idx="25">
                  <c:v>2.9484794129613912E-3</c:v>
                </c:pt>
                <c:pt idx="26">
                  <c:v>1.3272611400154677E-3</c:v>
                </c:pt>
                <c:pt idx="27">
                  <c:v>5.9686760508315118E-4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F1-420A-891B-2CFE87D672A6}"/>
            </c:ext>
          </c:extLst>
        </c:ser>
        <c:ser>
          <c:idx val="9"/>
          <c:order val="11"/>
          <c:tx>
            <c:strRef>
              <c:f>Template_Cost_Calculator!$A$23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Template_Cost_Calculator!$Q$23:$AR$23</c:f>
              <c:numCache>
                <c:formatCode>General</c:formatCode>
                <c:ptCount val="28"/>
                <c:pt idx="0">
                  <c:v>0.99999476424865408</c:v>
                </c:pt>
                <c:pt idx="1">
                  <c:v>0.99999007050012179</c:v>
                </c:pt>
                <c:pt idx="2">
                  <c:v>0.99998116890363087</c:v>
                </c:pt>
                <c:pt idx="3">
                  <c:v>0.99996428722923425</c:v>
                </c:pt>
                <c:pt idx="4">
                  <c:v>0.99993227159641906</c:v>
                </c:pt>
                <c:pt idx="5">
                  <c:v>0.99987155515136772</c:v>
                </c:pt>
                <c:pt idx="6">
                  <c:v>0.99975641006619353</c:v>
                </c:pt>
                <c:pt idx="7">
                  <c:v>0.9995380501308736</c:v>
                </c:pt>
                <c:pt idx="8">
                  <c:v>0.99912397907241213</c:v>
                </c:pt>
                <c:pt idx="9">
                  <c:v>0.99833888850453545</c:v>
                </c:pt>
                <c:pt idx="10">
                  <c:v>0.99685076919798865</c:v>
                </c:pt>
                <c:pt idx="11">
                  <c:v>0.99403190884795445</c:v>
                </c:pt>
                <c:pt idx="12">
                  <c:v>0.98870000318069773</c:v>
                </c:pt>
                <c:pt idx="13">
                  <c:v>0.97864686803622136</c:v>
                </c:pt>
                <c:pt idx="14">
                  <c:v>0.95982538467280665</c:v>
                </c:pt>
                <c:pt idx="15">
                  <c:v>0.92512705484006208</c:v>
                </c:pt>
                <c:pt idx="16">
                  <c:v>0.86323195930299401</c:v>
                </c:pt>
                <c:pt idx="17">
                  <c:v>0.76000101689477173</c:v>
                </c:pt>
                <c:pt idx="18">
                  <c:v>0.60815171131295576</c:v>
                </c:pt>
                <c:pt idx="19">
                  <c:v>0.42565082250148245</c:v>
                </c:pt>
                <c:pt idx="20">
                  <c:v>0.25686721291665371</c:v>
                </c:pt>
                <c:pt idx="21">
                  <c:v>0.13681012326750519</c:v>
                </c:pt>
                <c:pt idx="22">
                  <c:v>6.7110874479454963E-2</c:v>
                </c:pt>
                <c:pt idx="23">
                  <c:v>3.1457259534366733E-2</c:v>
                </c:pt>
                <c:pt idx="24">
                  <c:v>1.4415036328376152E-2</c:v>
                </c:pt>
                <c:pt idx="25">
                  <c:v>6.5354046097677587E-3</c:v>
                </c:pt>
                <c:pt idx="26">
                  <c:v>2.9484794129613912E-3</c:v>
                </c:pt>
                <c:pt idx="27">
                  <c:v>1.3272611400154677E-3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F1-420A-891B-2CFE87D672A6}"/>
            </c:ext>
          </c:extLst>
        </c:ser>
        <c:ser>
          <c:idx val="10"/>
          <c:order val="12"/>
          <c:tx>
            <c:strRef>
              <c:f>Template_Cost_Calculator!$A$24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Template_Cost_Calculator!$Q$24:$AR$24</c:f>
              <c:numCache>
                <c:formatCode>General</c:formatCode>
                <c:ptCount val="28"/>
                <c:pt idx="0">
                  <c:v>0.99999723922767647</c:v>
                </c:pt>
                <c:pt idx="1">
                  <c:v>0.99999476424865408</c:v>
                </c:pt>
                <c:pt idx="2">
                  <c:v>0.99999007050012179</c:v>
                </c:pt>
                <c:pt idx="3">
                  <c:v>0.99998116890363087</c:v>
                </c:pt>
                <c:pt idx="4">
                  <c:v>0.99996428722923425</c:v>
                </c:pt>
                <c:pt idx="5">
                  <c:v>0.99993227159641906</c:v>
                </c:pt>
                <c:pt idx="6">
                  <c:v>0.99987155515136772</c:v>
                </c:pt>
                <c:pt idx="7">
                  <c:v>0.99975641006619353</c:v>
                </c:pt>
                <c:pt idx="8">
                  <c:v>0.9995380501308736</c:v>
                </c:pt>
                <c:pt idx="9">
                  <c:v>0.99912397907241213</c:v>
                </c:pt>
                <c:pt idx="10">
                  <c:v>0.99833888850453545</c:v>
                </c:pt>
                <c:pt idx="11">
                  <c:v>0.99685076919798865</c:v>
                </c:pt>
                <c:pt idx="12">
                  <c:v>0.99403190884795445</c:v>
                </c:pt>
                <c:pt idx="13">
                  <c:v>0.98870000318069773</c:v>
                </c:pt>
                <c:pt idx="14">
                  <c:v>0.97864686803622136</c:v>
                </c:pt>
                <c:pt idx="15">
                  <c:v>0.95982538467280665</c:v>
                </c:pt>
                <c:pt idx="16">
                  <c:v>0.92512705484006208</c:v>
                </c:pt>
                <c:pt idx="17">
                  <c:v>0.86323195930299401</c:v>
                </c:pt>
                <c:pt idx="18">
                  <c:v>0.76000101689477173</c:v>
                </c:pt>
                <c:pt idx="19">
                  <c:v>0.60815171131295576</c:v>
                </c:pt>
                <c:pt idx="20">
                  <c:v>0.42565082250148245</c:v>
                </c:pt>
                <c:pt idx="21">
                  <c:v>0.25686721291665371</c:v>
                </c:pt>
                <c:pt idx="22">
                  <c:v>0.13681012326750519</c:v>
                </c:pt>
                <c:pt idx="23">
                  <c:v>6.7110874479454963E-2</c:v>
                </c:pt>
                <c:pt idx="24">
                  <c:v>3.1457259534366733E-2</c:v>
                </c:pt>
                <c:pt idx="25">
                  <c:v>1.4415036328376152E-2</c:v>
                </c:pt>
                <c:pt idx="26">
                  <c:v>6.5354046097677587E-3</c:v>
                </c:pt>
                <c:pt idx="27">
                  <c:v>2.9484794129613912E-3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F1-420A-891B-2CFE87D672A6}"/>
            </c:ext>
          </c:extLst>
        </c:ser>
        <c:ser>
          <c:idx val="11"/>
          <c:order val="13"/>
          <c:tx>
            <c:strRef>
              <c:f>Template_Cost_Calculator!$A$26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Template_Cost_Calculator!$Q$26:$AR$26</c:f>
              <c:numCache>
                <c:formatCode>General</c:formatCode>
                <c:ptCount val="28"/>
                <c:pt idx="0">
                  <c:v>0.99999923240226085</c:v>
                </c:pt>
                <c:pt idx="1">
                  <c:v>0.9999985442655972</c:v>
                </c:pt>
                <c:pt idx="2">
                  <c:v>0.99999723922767647</c:v>
                </c:pt>
                <c:pt idx="3">
                  <c:v>0.99999476424865408</c:v>
                </c:pt>
                <c:pt idx="4">
                  <c:v>0.99999007050012179</c:v>
                </c:pt>
                <c:pt idx="5">
                  <c:v>0.99998116890363087</c:v>
                </c:pt>
                <c:pt idx="6">
                  <c:v>0.99996428722923425</c:v>
                </c:pt>
                <c:pt idx="7">
                  <c:v>0.99993227159641906</c:v>
                </c:pt>
                <c:pt idx="8">
                  <c:v>0.99987155515136772</c:v>
                </c:pt>
                <c:pt idx="9">
                  <c:v>0.99975641006619353</c:v>
                </c:pt>
                <c:pt idx="10">
                  <c:v>0.9995380501308736</c:v>
                </c:pt>
                <c:pt idx="11">
                  <c:v>0.99912397907241213</c:v>
                </c:pt>
                <c:pt idx="12">
                  <c:v>0.99833888850453545</c:v>
                </c:pt>
                <c:pt idx="13">
                  <c:v>0.99685076919798865</c:v>
                </c:pt>
                <c:pt idx="14">
                  <c:v>0.99403190884795445</c:v>
                </c:pt>
                <c:pt idx="15">
                  <c:v>0.98870000318069773</c:v>
                </c:pt>
                <c:pt idx="16">
                  <c:v>0.97864686803622136</c:v>
                </c:pt>
                <c:pt idx="17">
                  <c:v>0.95982538467280665</c:v>
                </c:pt>
                <c:pt idx="18">
                  <c:v>0.92512705484006208</c:v>
                </c:pt>
                <c:pt idx="19">
                  <c:v>0.86323195930299401</c:v>
                </c:pt>
                <c:pt idx="20">
                  <c:v>0.76000101689477173</c:v>
                </c:pt>
                <c:pt idx="21">
                  <c:v>0.60815171131295576</c:v>
                </c:pt>
                <c:pt idx="22">
                  <c:v>0.42565082250148245</c:v>
                </c:pt>
                <c:pt idx="23">
                  <c:v>0.25686721291665371</c:v>
                </c:pt>
                <c:pt idx="24">
                  <c:v>0.13681012326750519</c:v>
                </c:pt>
                <c:pt idx="25">
                  <c:v>6.7110874479454963E-2</c:v>
                </c:pt>
                <c:pt idx="26">
                  <c:v>3.1457259534366733E-2</c:v>
                </c:pt>
                <c:pt idx="27">
                  <c:v>1.4415036328376152E-2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F1-420A-891B-2CFE87D672A6}"/>
            </c:ext>
          </c:extLst>
        </c:ser>
        <c:ser>
          <c:idx val="12"/>
          <c:order val="14"/>
          <c:tx>
            <c:strRef>
              <c:f>Template_Cost_Calculator!$A$17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Template_Cost_Calculator!$Q$17:$AR$17</c:f>
              <c:numCache>
                <c:formatCode>General</c:formatCode>
                <c:ptCount val="28"/>
                <c:pt idx="0">
                  <c:v>0.99975641006619353</c:v>
                </c:pt>
                <c:pt idx="1">
                  <c:v>0.9995380501308736</c:v>
                </c:pt>
                <c:pt idx="2">
                  <c:v>0.99912397907241213</c:v>
                </c:pt>
                <c:pt idx="3">
                  <c:v>0.99833888850453545</c:v>
                </c:pt>
                <c:pt idx="4">
                  <c:v>0.99685076919798865</c:v>
                </c:pt>
                <c:pt idx="5">
                  <c:v>0.99403190884795445</c:v>
                </c:pt>
                <c:pt idx="6">
                  <c:v>0.98870000318069773</c:v>
                </c:pt>
                <c:pt idx="7">
                  <c:v>0.97864686803622136</c:v>
                </c:pt>
                <c:pt idx="8">
                  <c:v>0.95982538467280665</c:v>
                </c:pt>
                <c:pt idx="9">
                  <c:v>0.92512705484006208</c:v>
                </c:pt>
                <c:pt idx="10">
                  <c:v>0.86323195930299401</c:v>
                </c:pt>
                <c:pt idx="11">
                  <c:v>0.76000101689477173</c:v>
                </c:pt>
                <c:pt idx="12">
                  <c:v>0.60815171131295576</c:v>
                </c:pt>
                <c:pt idx="13">
                  <c:v>0.42565082250148245</c:v>
                </c:pt>
                <c:pt idx="14">
                  <c:v>0.25686721291665371</c:v>
                </c:pt>
                <c:pt idx="15">
                  <c:v>0.13681012326750519</c:v>
                </c:pt>
                <c:pt idx="16">
                  <c:v>6.7110874479454963E-2</c:v>
                </c:pt>
                <c:pt idx="17">
                  <c:v>3.1457259534366733E-2</c:v>
                </c:pt>
                <c:pt idx="18">
                  <c:v>1.4415036328376152E-2</c:v>
                </c:pt>
                <c:pt idx="19">
                  <c:v>6.5354046097677587E-3</c:v>
                </c:pt>
                <c:pt idx="20">
                  <c:v>2.9484794129613912E-3</c:v>
                </c:pt>
                <c:pt idx="21">
                  <c:v>1.3272611400154677E-3</c:v>
                </c:pt>
                <c:pt idx="22">
                  <c:v>5.9686760508315118E-4</c:v>
                </c:pt>
                <c:pt idx="23">
                  <c:v>2.6828910235687786E-4</c:v>
                </c:pt>
                <c:pt idx="24">
                  <c:v>1.2057010364630028E-4</c:v>
                </c:pt>
                <c:pt idx="25">
                  <c:v>5.4179686630462243E-5</c:v>
                </c:pt>
                <c:pt idx="26">
                  <c:v>2.4345319607821381E-5</c:v>
                </c:pt>
                <c:pt idx="27">
                  <c:v>1.0939222225947454E-5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E-4752-B232-216416889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Template_Cost_Calculator!$A$70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(Template_Cost_Calculator!$B$70,Template_Cost_Calculator!$N$70,Template_Cost_Calculator!$AC$70)</c:f>
              <c:numCache>
                <c:formatCode>0.00</c:formatCode>
                <c:ptCount val="3"/>
                <c:pt idx="0">
                  <c:v>7.7962693080850364E-3</c:v>
                </c:pt>
                <c:pt idx="1">
                  <c:v>7.7962693080850364E-3</c:v>
                </c:pt>
                <c:pt idx="2">
                  <c:v>7.7962693080850364E-3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3-40E9-BC88-58E4E384C134}"/>
            </c:ext>
          </c:extLst>
        </c:ser>
        <c:ser>
          <c:idx val="1"/>
          <c:order val="1"/>
          <c:tx>
            <c:strRef>
              <c:f>Template_Cost_Calculator!$A$71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(Template_Cost_Calculator!$B$71,Template_Cost_Calculator!$N$71,Template_Cost_Calculator!$AC$71)</c:f>
              <c:numCache>
                <c:formatCode>0.00</c:formatCode>
                <c:ptCount val="3"/>
                <c:pt idx="0" formatCode="0.000">
                  <c:v>-2.3388807924255108E-3</c:v>
                </c:pt>
                <c:pt idx="1">
                  <c:v>-2.3388807924255108E-3</c:v>
                </c:pt>
                <c:pt idx="2">
                  <c:v>-2.3388807924255108E-3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3-40E9-BC88-58E4E384C134}"/>
            </c:ext>
          </c:extLst>
        </c:ser>
        <c:ser>
          <c:idx val="2"/>
          <c:order val="2"/>
          <c:tx>
            <c:strRef>
              <c:f>Template_Cost_Calculator!$A$72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(Template_Cost_Calculator!$B$72,Template_Cost_Calculator!$N$72,Template_Cost_Calculator!$AC$72)</c:f>
              <c:numCache>
                <c:formatCode>0.00</c:formatCode>
                <c:ptCount val="3"/>
                <c:pt idx="0">
                  <c:v>1.9585719110125381E-3</c:v>
                </c:pt>
                <c:pt idx="1">
                  <c:v>1.9585719110125381E-3</c:v>
                </c:pt>
                <c:pt idx="2">
                  <c:v>1.9585719110125381E-3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3-40E9-BC88-58E4E384C134}"/>
            </c:ext>
          </c:extLst>
        </c:ser>
        <c:ser>
          <c:idx val="3"/>
          <c:order val="3"/>
          <c:tx>
            <c:strRef>
              <c:f>Template_Cost_Calculator!$A$73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(Template_Cost_Calculator!$B$73,Template_Cost_Calculator!$N$73,Template_Cost_Calculator!$AC$73)</c:f>
              <c:numCache>
                <c:formatCode>0.00</c:formatCode>
                <c:ptCount val="3"/>
                <c:pt idx="0" formatCode="0.0000">
                  <c:v>-1.9585719110125376E-4</c:v>
                </c:pt>
                <c:pt idx="1">
                  <c:v>-1.9585719110125376E-4</c:v>
                </c:pt>
                <c:pt idx="2">
                  <c:v>-1.9585719110125376E-4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3-40E9-BC88-58E4E384C134}"/>
            </c:ext>
          </c:extLst>
        </c:ser>
        <c:ser>
          <c:idx val="4"/>
          <c:order val="4"/>
          <c:tx>
            <c:strRef>
              <c:f>Template_Cost_Calculator!$A$74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(Template_Cost_Calculator!$B$74,Template_Cost_Calculator!$N$74,Template_Cost_Calculator!$AC$74)</c:f>
              <c:numCache>
                <c:formatCode>0.00</c:formatCode>
                <c:ptCount val="3"/>
                <c:pt idx="0">
                  <c:v>2.7914614121510674E-2</c:v>
                </c:pt>
                <c:pt idx="1">
                  <c:v>2.7914614121510674E-2</c:v>
                </c:pt>
                <c:pt idx="2">
                  <c:v>2.7914614121510674E-2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43-40E9-BC88-58E4E384C134}"/>
            </c:ext>
          </c:extLst>
        </c:ser>
        <c:ser>
          <c:idx val="5"/>
          <c:order val="5"/>
          <c:tx>
            <c:strRef>
              <c:f>Template_Cost_Calculator!$A$75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(Template_Cost_Calculator!$B$75,Template_Cost_Calculator!$N$75,Template_Cost_Calculator!$AC$75)</c:f>
              <c:numCache>
                <c:formatCode>0.00</c:formatCode>
                <c:ptCount val="3"/>
                <c:pt idx="0">
                  <c:v>6.5681444991789817E-3</c:v>
                </c:pt>
                <c:pt idx="1">
                  <c:v>6.5681444991789817E-3</c:v>
                </c:pt>
                <c:pt idx="2">
                  <c:v>6.5681444991789817E-3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43-40E9-BC88-58E4E384C134}"/>
            </c:ext>
          </c:extLst>
        </c:ser>
        <c:ser>
          <c:idx val="6"/>
          <c:order val="6"/>
          <c:tx>
            <c:strRef>
              <c:f>Template_Cost_Calculator!$A$76</c:f>
              <c:strCache>
                <c:ptCount val="1"/>
                <c:pt idx="0">
                  <c:v>Opex var (mode-fees, cargo handling)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(Template_Cost_Calculator!$B$76,Template_Cost_Calculator!$N$76,Template_Cost_Calculator!$AC$76)</c:f>
              <c:numCache>
                <c:formatCode>0.00</c:formatCode>
                <c:ptCount val="3"/>
                <c:pt idx="0">
                  <c:v>3.2840722495894911E-4</c:v>
                </c:pt>
                <c:pt idx="1">
                  <c:v>3.2840722495894911E-4</c:v>
                </c:pt>
                <c:pt idx="2">
                  <c:v>3.2840722495894911E-4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43-40E9-BC88-58E4E384C134}"/>
            </c:ext>
          </c:extLst>
        </c:ser>
        <c:ser>
          <c:idx val="7"/>
          <c:order val="7"/>
          <c:tx>
            <c:strRef>
              <c:f>Template_Cost_Calculator!$A$77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(Template_Cost_Calculator!$B$77,Template_Cost_Calculator!$N$77,Template_Cost_Calculator!$AC$77)</c:f>
              <c:numCache>
                <c:formatCode>0.00</c:formatCode>
                <c:ptCount val="3"/>
                <c:pt idx="0">
                  <c:v>1.4482758620689654E-2</c:v>
                </c:pt>
                <c:pt idx="1">
                  <c:v>1.4482758620689654E-2</c:v>
                </c:pt>
                <c:pt idx="2">
                  <c:v>1.4482758620689654E-2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43-40E9-BC88-58E4E384C134}"/>
            </c:ext>
          </c:extLst>
        </c:ser>
        <c:ser>
          <c:idx val="8"/>
          <c:order val="8"/>
          <c:tx>
            <c:strRef>
              <c:f>Template_Cost_Calculator!$A$78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(Template_Cost_Calculator!$B$78,Template_Cost_Calculator!$N$78,Template_Cost_Calculator!$AC$78)</c:f>
              <c:numCache>
                <c:formatCode>0.00</c:formatCode>
                <c:ptCount val="3"/>
                <c:pt idx="0">
                  <c:v>6.6802392881348371E-2</c:v>
                </c:pt>
                <c:pt idx="1">
                  <c:v>6.6802392881348371E-2</c:v>
                </c:pt>
                <c:pt idx="2">
                  <c:v>6.6802392881348371E-2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43-40E9-BC88-58E4E384C134}"/>
            </c:ext>
          </c:extLst>
        </c:ser>
        <c:ser>
          <c:idx val="9"/>
          <c:order val="9"/>
          <c:tx>
            <c:strRef>
              <c:f>Template_Cost_Calculator!$A$79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(Template_Cost_Calculator!$B$79,Template_Cost_Calculator!$N$79,Template_Cost_Calculator!$AC$79)</c:f>
              <c:numCache>
                <c:formatCode>0.00</c:formatCode>
                <c:ptCount val="3"/>
                <c:pt idx="0">
                  <c:v>1.5086357922617075E-2</c:v>
                </c:pt>
                <c:pt idx="1">
                  <c:v>1.5086357922617075E-2</c:v>
                </c:pt>
                <c:pt idx="2">
                  <c:v>1.5086357922617075E-2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43-40E9-BC88-58E4E384C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l-N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10" Type="http://schemas.openxmlformats.org/officeDocument/2006/relationships/chart" Target="../charts/chart42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10" Type="http://schemas.openxmlformats.org/officeDocument/2006/relationships/chart" Target="../charts/chart72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10" Type="http://schemas.openxmlformats.org/officeDocument/2006/relationships/chart" Target="../charts/chart82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0.xml"/><Relationship Id="rId3" Type="http://schemas.openxmlformats.org/officeDocument/2006/relationships/chart" Target="../charts/chart85.xml"/><Relationship Id="rId7" Type="http://schemas.openxmlformats.org/officeDocument/2006/relationships/chart" Target="../charts/chart89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6" Type="http://schemas.openxmlformats.org/officeDocument/2006/relationships/chart" Target="../charts/chart88.xml"/><Relationship Id="rId5" Type="http://schemas.openxmlformats.org/officeDocument/2006/relationships/chart" Target="../charts/chart87.xml"/><Relationship Id="rId4" Type="http://schemas.openxmlformats.org/officeDocument/2006/relationships/chart" Target="../charts/chart8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6.xml"/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4.xml"/><Relationship Id="rId3" Type="http://schemas.openxmlformats.org/officeDocument/2006/relationships/chart" Target="../charts/chart109.xml"/><Relationship Id="rId7" Type="http://schemas.openxmlformats.org/officeDocument/2006/relationships/chart" Target="../charts/chart113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6" Type="http://schemas.openxmlformats.org/officeDocument/2006/relationships/chart" Target="../charts/chart112.xml"/><Relationship Id="rId5" Type="http://schemas.openxmlformats.org/officeDocument/2006/relationships/chart" Target="../charts/chart111.xml"/><Relationship Id="rId4" Type="http://schemas.openxmlformats.org/officeDocument/2006/relationships/chart" Target="../charts/chart11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60859</xdr:colOff>
      <xdr:row>41</xdr:row>
      <xdr:rowOff>46261</xdr:rowOff>
    </xdr:from>
    <xdr:to>
      <xdr:col>26</xdr:col>
      <xdr:colOff>560920</xdr:colOff>
      <xdr:row>60</xdr:row>
      <xdr:rowOff>81854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B0611-2BC6-4278-B160-30E32671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546985</xdr:colOff>
      <xdr:row>21</xdr:row>
      <xdr:rowOff>166687</xdr:rowOff>
    </xdr:from>
    <xdr:to>
      <xdr:col>32</xdr:col>
      <xdr:colOff>975050</xdr:colOff>
      <xdr:row>41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94B02-CEFC-4B79-B35E-160144045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556090</xdr:colOff>
      <xdr:row>41</xdr:row>
      <xdr:rowOff>5603</xdr:rowOff>
    </xdr:from>
    <xdr:to>
      <xdr:col>32</xdr:col>
      <xdr:colOff>984155</xdr:colOff>
      <xdr:row>60</xdr:row>
      <xdr:rowOff>43703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0C9BE3-F648-4183-8574-4B3F022C2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293639</xdr:colOff>
      <xdr:row>95</xdr:row>
      <xdr:rowOff>128182</xdr:rowOff>
    </xdr:from>
    <xdr:to>
      <xdr:col>27</xdr:col>
      <xdr:colOff>303252</xdr:colOff>
      <xdr:row>114</xdr:row>
      <xdr:rowOff>143623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DB95D3-E026-4989-AC34-158BF3656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295739</xdr:colOff>
      <xdr:row>114</xdr:row>
      <xdr:rowOff>153037</xdr:rowOff>
    </xdr:from>
    <xdr:to>
      <xdr:col>27</xdr:col>
      <xdr:colOff>297732</xdr:colOff>
      <xdr:row>134</xdr:row>
      <xdr:rowOff>15676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0D0A43-9107-4F93-8A87-3F168B6B7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304093</xdr:colOff>
      <xdr:row>115</xdr:row>
      <xdr:rowOff>4218</xdr:rowOff>
    </xdr:from>
    <xdr:to>
      <xdr:col>32</xdr:col>
      <xdr:colOff>1355795</xdr:colOff>
      <xdr:row>134</xdr:row>
      <xdr:rowOff>42318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4CBBE0-8F42-4EA2-B22F-ACE372601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298292</xdr:colOff>
      <xdr:row>95</xdr:row>
      <xdr:rowOff>128464</xdr:rowOff>
    </xdr:from>
    <xdr:to>
      <xdr:col>32</xdr:col>
      <xdr:colOff>1332849</xdr:colOff>
      <xdr:row>114</xdr:row>
      <xdr:rowOff>142000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A7F5D75-7C88-4046-AAA5-7092B829B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833805</xdr:colOff>
      <xdr:row>163</xdr:row>
      <xdr:rowOff>159772</xdr:rowOff>
    </xdr:from>
    <xdr:to>
      <xdr:col>27</xdr:col>
      <xdr:colOff>844360</xdr:colOff>
      <xdr:row>176</xdr:row>
      <xdr:rowOff>119456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07A876-58FC-4CC2-A312-6162EC69B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842346</xdr:colOff>
      <xdr:row>177</xdr:row>
      <xdr:rowOff>22103</xdr:rowOff>
    </xdr:from>
    <xdr:to>
      <xdr:col>27</xdr:col>
      <xdr:colOff>857698</xdr:colOff>
      <xdr:row>190</xdr:row>
      <xdr:rowOff>50537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CE3956-C2BD-4FFE-9BE1-651715B9B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873833</xdr:colOff>
      <xdr:row>177</xdr:row>
      <xdr:rowOff>71044</xdr:rowOff>
    </xdr:from>
    <xdr:to>
      <xdr:col>33</xdr:col>
      <xdr:colOff>222548</xdr:colOff>
      <xdr:row>189</xdr:row>
      <xdr:rowOff>71043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EDD5CBA-7144-4BF1-AE66-F34D4C923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853550</xdr:colOff>
      <xdr:row>190</xdr:row>
      <xdr:rowOff>168087</xdr:rowOff>
    </xdr:from>
    <xdr:to>
      <xdr:col>27</xdr:col>
      <xdr:colOff>850301</xdr:colOff>
      <xdr:row>204</xdr:row>
      <xdr:rowOff>16920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107B0D-577F-43A6-B996-D90B8B8B1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912939</xdr:colOff>
      <xdr:row>163</xdr:row>
      <xdr:rowOff>158346</xdr:rowOff>
    </xdr:from>
    <xdr:to>
      <xdr:col>33</xdr:col>
      <xdr:colOff>257741</xdr:colOff>
      <xdr:row>176</xdr:row>
      <xdr:rowOff>156882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F93A9D-C912-45AD-A96D-6762789C7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E1D0E-7B92-4816-AC53-0F2935958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EE0C3-6F71-4ED9-BFB3-9EADE1B8A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FE8A91-47F9-4213-977F-05EB4BC74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36B953-1583-4A3A-9658-41A31E9EF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976D51-A4F3-4A42-A0FA-D0769A2DC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DA4AA5-2DC6-4857-B32C-B6CD783A8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F680DE-01FA-48BF-AF47-7BA978116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27D337-8F54-48F9-8E05-BC5BE7EB3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EDDE905-28BC-4D22-B22C-D193BDE2B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ED51C7-E314-4D23-9D73-44F13DA7F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13AA3-463A-4973-B3B9-CD279E3B9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3CFA6-D1DF-4632-AE69-9BE244EA4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02422-4D76-4263-B158-14AB6E5B0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90BB89-6D7D-43A0-83C0-DAC716EE1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EB4549-ED82-4793-8D01-2A226A6A8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94869F-16CF-436B-B39A-AF7731B55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8E44F3-6E37-4E56-B70A-9B4447207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47FB78-9231-45B0-A841-1C81B44CD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838FE5D-ED24-4D3E-B86A-A36FA125D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6A0A2E-C574-4B07-8EA6-3A3FCA2EE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6CBC3-2CFC-4017-8306-56D6059A4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1300B-C5A7-4EB7-B1D7-712141476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A4B1D-C0ED-4330-92A6-045835F19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AE68A5-6E35-456C-8A71-07ED5EBBD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AE9FE9-DB8A-45CB-BB51-B87E16973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F6E0E5-184A-4736-902C-27C583E81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7B2C35-D5E7-4961-98E5-F19FC2FFF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C9D6AE-364D-43DF-AA65-D61FD02FB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F0C97F-1A4F-48DC-B061-B04C8609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77C3BB-96FD-43DD-BA89-5D22AB4DF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84C1B-5BBF-409A-9CA6-69D341F67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E4A72-53B0-43CE-A97E-AFE281CDD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7C2426-C508-47C1-A501-9A49E276F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D4AC2E-EDA5-4016-A843-25815D64C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1FAF64-1757-439A-8ED0-89FA5E35B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B1D5EA-347D-4A1F-8A32-07444CD18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C9AE02-4E67-40CC-A380-872937EA9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ECC122-0CEB-4AE1-9F36-9FF819C8A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54591E-46F8-4276-A7D9-67B32B647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A9CA1C3-CE46-4F41-9CE3-0D3E21AA6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534CA-5DCB-4EAA-9B7A-53828E6BD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0DCB2D-F05A-419B-8B7B-147B81AF6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52EA8-8CD1-44F6-9DB1-CA6CE6607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EDC0F5-9485-4AD4-ABEA-320ADE0F9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A4671C-BE19-49FF-93A1-CE84245D3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666AC7-020C-457B-A761-F5541FF03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7749E2-22D6-400E-A215-308BE173D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78CDE9-DD11-48FF-BB65-314F31312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D32FFF-DAB3-4A17-B5D0-63DD86AB8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BD3F17A-DEAA-45CC-BE4B-B0A96257C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69EF6-8900-4743-ADD5-D943B5F01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EC7B6-EBE0-4396-96BD-D47F50C09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13766-0D0A-4584-A177-43D801B15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2CEE17-E375-4EDB-86A6-6F6F17D68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84FA4F-ACF1-4CD2-AE04-99A531883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C3514A-1C76-4DAA-97BB-450198735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BDCC3-0036-490B-889B-B7CAC3F31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54BF7A-5E42-4D22-A24F-7FD484B71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AFDDA3-8C0A-4FFB-AFF4-4FD2BC72C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16956AC-73E3-464D-88FE-CE01AB7BE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E02CF-8EDF-489F-8A92-070E26B8E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69FDA-5FD6-4E5E-BA23-ACE9379C0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B8A8A8-A80C-41F2-AE5F-C33F1DC65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CB247C-5D0E-4580-A2DE-801B81201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EBA693-13DC-4B8E-A773-0B7F74325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5F4FEB-C236-4C44-9880-907F74614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BE181C-1358-4127-8C6A-09563EB90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E33B7E8-35AB-4043-81EA-56DE692E2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26EFB5-C44B-4BAE-8EBE-4149BA6F7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C7381E-6DAF-400B-834E-A99FD2FFC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541D4-77C9-441F-854A-44C609048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E01EE-6AC3-4D65-92E2-EC9FDBEA1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54EFC-A539-42AB-AABC-1DF89C88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30405E-7B4F-4BC9-90F6-BC1FB433F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414A21-58F1-405C-A119-0B253CDD3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0C009A-3B5C-42A5-AB83-32012B41C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1E0E98-BE97-42A6-8F41-89B70D8E9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10C8FB4-A86D-478D-B3E8-7C9EE8C89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65D5C-6C74-41FD-9A6C-191D78F41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F5FEB-76DF-4E18-9E66-4EC1438AD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1F6C6-6067-4C2A-80B8-98E9C90F0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CE6FA1-970F-42AD-BA5D-E103FE669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38353A-B9A9-4F33-ADF8-A221D6CE9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0B777B-163F-4792-8F10-3533299B1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0B32BD6-0A99-49E8-BFC7-9F2708303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C10BA26-3C76-4B6B-B50F-56F1C5B9A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DEBF6-D4EF-4313-856E-46A1A990E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0A19D-66BF-436F-A5DD-F6FD4DD8E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CC235B-BAC3-4A32-9AF3-18E279EE6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E9C034-DB08-4D5F-96E4-5EB9EB3C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ED2C9D-D53A-4D85-A2D6-0C645879F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17585B-C463-460F-9A7E-1D9BB7817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92BEB1-CD57-4B78-8B68-37D73CD55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2C15492-7FB1-423A-A7C4-9FC66EC16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4C79A-DE61-4142-B928-487F137A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9C374-B94F-4F58-B0EB-5BFF7F1BB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707940-4F72-400E-AFAA-7E6B14648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E990C-458B-4804-A730-D3847C6D2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5176F1-29E1-4A59-9B1D-8CC03949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8836A6-5FA5-4B94-A8A3-D9B5BD6D9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6D318F-44D0-4F64-94F1-15A81DE62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379C86-6412-42D7-9037-FB8DB1277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69DA7-0216-4427-96F3-A99C134ED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EF6CB-1FDD-4EF1-8D19-A4093CA0A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72250-7D5F-4C28-89B2-9C62E84F2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5E64FC-045A-4B55-AF6C-60F2757D9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8597DC-65A3-4C17-BF02-5047D4518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5A7C92F-8FBE-4DBF-82DA-0CDB25A4D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1B2979-4393-4679-B99C-062BBBEDE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61B4E8-2DC6-44A3-AAF5-9A95E6493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26</xdr:row>
      <xdr:rowOff>40820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79BD6-CA5C-4466-8943-7544CC766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81</xdr:row>
      <xdr:rowOff>15479</xdr:rowOff>
    </xdr:from>
    <xdr:to>
      <xdr:col>10</xdr:col>
      <xdr:colOff>623173</xdr:colOff>
      <xdr:row>96</xdr:row>
      <xdr:rowOff>85487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C87B1F-8E5B-4D7C-9E75-E022686A5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researchgate.net/publication/351748799_Assessing_the_Link_between_Vessel_Size_and_Maritime_Supply_Chain_Sustainable_Performance/figures?lo=1" TargetMode="External"/><Relationship Id="rId1" Type="http://schemas.openxmlformats.org/officeDocument/2006/relationships/hyperlink" Target="https://www.nowtricity.com/country/norway/" TargetMode="External"/><Relationship Id="rId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807C-2C66-4D3C-B0A2-660CDF521613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258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35B6-39CB-4644-A730-665E7DAC12F7}">
  <dimension ref="A1:S23"/>
  <sheetViews>
    <sheetView workbookViewId="0">
      <selection activeCell="F2" sqref="F2"/>
    </sheetView>
  </sheetViews>
  <sheetFormatPr defaultRowHeight="14.4" x14ac:dyDescent="0.3"/>
  <cols>
    <col min="1" max="1" width="6" bestFit="1" customWidth="1"/>
    <col min="2" max="2" width="15.33203125" bestFit="1" customWidth="1"/>
    <col min="3" max="3" width="12.6640625" bestFit="1" customWidth="1"/>
    <col min="4" max="4" width="5.5546875" bestFit="1" customWidth="1"/>
    <col min="5" max="5" width="5.44140625" bestFit="1" customWidth="1"/>
    <col min="6" max="6" width="12.33203125" bestFit="1" customWidth="1"/>
  </cols>
  <sheetData>
    <row r="1" spans="1:19" x14ac:dyDescent="0.3">
      <c r="A1" s="125" t="s">
        <v>232</v>
      </c>
      <c r="B1" s="139" t="s">
        <v>236</v>
      </c>
      <c r="C1" s="139" t="s">
        <v>243</v>
      </c>
      <c r="D1" s="139" t="s">
        <v>254</v>
      </c>
      <c r="E1" s="139" t="s">
        <v>255</v>
      </c>
      <c r="F1" s="139" t="s">
        <v>259</v>
      </c>
    </row>
    <row r="2" spans="1:19" x14ac:dyDescent="0.3">
      <c r="A2">
        <v>1</v>
      </c>
      <c r="B2" s="140" t="s">
        <v>222</v>
      </c>
      <c r="C2" s="141" t="s">
        <v>245</v>
      </c>
      <c r="D2" s="141" t="s">
        <v>168</v>
      </c>
      <c r="E2" s="141" t="s">
        <v>227</v>
      </c>
      <c r="F2" s="142">
        <v>106</v>
      </c>
      <c r="M2" s="148" t="s">
        <v>256</v>
      </c>
      <c r="O2" s="149" t="s">
        <v>242</v>
      </c>
      <c r="P2" s="149" t="s">
        <v>243</v>
      </c>
      <c r="Q2" s="149" t="s">
        <v>254</v>
      </c>
      <c r="R2" s="149" t="s">
        <v>255</v>
      </c>
      <c r="S2" s="149" t="s">
        <v>244</v>
      </c>
    </row>
    <row r="3" spans="1:19" x14ac:dyDescent="0.3">
      <c r="A3">
        <v>2</v>
      </c>
      <c r="B3" s="143" t="s">
        <v>222</v>
      </c>
      <c r="C3" t="s">
        <v>246</v>
      </c>
      <c r="D3" t="s">
        <v>168</v>
      </c>
      <c r="E3" t="s">
        <v>221</v>
      </c>
      <c r="F3" s="144">
        <v>108</v>
      </c>
      <c r="O3" s="150" t="s">
        <v>222</v>
      </c>
      <c r="P3" s="151" t="s">
        <v>245</v>
      </c>
      <c r="Q3" s="151" t="s">
        <v>168</v>
      </c>
      <c r="R3" s="151" t="s">
        <v>227</v>
      </c>
      <c r="S3" s="152">
        <v>106</v>
      </c>
    </row>
    <row r="4" spans="1:19" x14ac:dyDescent="0.3">
      <c r="A4">
        <v>3</v>
      </c>
      <c r="B4" s="143" t="s">
        <v>222</v>
      </c>
      <c r="C4" t="s">
        <v>247</v>
      </c>
      <c r="D4" t="s">
        <v>227</v>
      </c>
      <c r="E4" t="s">
        <v>221</v>
      </c>
      <c r="F4" s="144">
        <v>4</v>
      </c>
      <c r="O4" s="153" t="s">
        <v>222</v>
      </c>
      <c r="P4" s="148" t="s">
        <v>246</v>
      </c>
      <c r="Q4" s="148" t="s">
        <v>168</v>
      </c>
      <c r="R4" s="148" t="s">
        <v>221</v>
      </c>
      <c r="S4" s="154">
        <v>108</v>
      </c>
    </row>
    <row r="5" spans="1:19" x14ac:dyDescent="0.3">
      <c r="A5">
        <v>4</v>
      </c>
      <c r="B5" s="140" t="s">
        <v>223</v>
      </c>
      <c r="C5" s="141" t="s">
        <v>245</v>
      </c>
      <c r="D5" s="141" t="s">
        <v>168</v>
      </c>
      <c r="E5" s="141" t="s">
        <v>227</v>
      </c>
      <c r="F5" s="142">
        <v>106</v>
      </c>
      <c r="H5" t="s">
        <v>257</v>
      </c>
      <c r="N5" s="148"/>
      <c r="O5" s="155" t="s">
        <v>222</v>
      </c>
      <c r="P5" s="156" t="s">
        <v>247</v>
      </c>
      <c r="Q5" s="156" t="s">
        <v>227</v>
      </c>
      <c r="R5" s="156" t="s">
        <v>221</v>
      </c>
      <c r="S5" s="157">
        <v>4</v>
      </c>
    </row>
    <row r="6" spans="1:19" x14ac:dyDescent="0.3">
      <c r="A6">
        <v>5</v>
      </c>
      <c r="B6" s="143" t="s">
        <v>223</v>
      </c>
      <c r="C6" t="s">
        <v>246</v>
      </c>
      <c r="D6" t="s">
        <v>168</v>
      </c>
      <c r="E6" t="s">
        <v>221</v>
      </c>
      <c r="F6" s="144">
        <v>108</v>
      </c>
      <c r="O6" s="150" t="s">
        <v>248</v>
      </c>
      <c r="P6" s="151" t="s">
        <v>245</v>
      </c>
      <c r="Q6" s="151" t="s">
        <v>168</v>
      </c>
      <c r="R6" s="151" t="s">
        <v>227</v>
      </c>
      <c r="S6" s="152">
        <v>66</v>
      </c>
    </row>
    <row r="7" spans="1:19" x14ac:dyDescent="0.3">
      <c r="A7">
        <v>6</v>
      </c>
      <c r="B7" s="145" t="s">
        <v>223</v>
      </c>
      <c r="C7" s="146" t="s">
        <v>247</v>
      </c>
      <c r="D7" s="146" t="s">
        <v>227</v>
      </c>
      <c r="E7" s="146" t="s">
        <v>221</v>
      </c>
      <c r="F7" s="144">
        <v>4</v>
      </c>
      <c r="O7" s="153" t="s">
        <v>248</v>
      </c>
      <c r="P7" s="148" t="s">
        <v>246</v>
      </c>
      <c r="Q7" s="148" t="s">
        <v>168</v>
      </c>
      <c r="R7" s="148" t="s">
        <v>221</v>
      </c>
      <c r="S7" s="154">
        <v>356</v>
      </c>
    </row>
    <row r="8" spans="1:19" x14ac:dyDescent="0.3">
      <c r="A8">
        <v>7</v>
      </c>
      <c r="B8" s="143" t="s">
        <v>224</v>
      </c>
      <c r="C8" t="s">
        <v>245</v>
      </c>
      <c r="D8" t="s">
        <v>168</v>
      </c>
      <c r="E8" t="s">
        <v>227</v>
      </c>
      <c r="F8" s="142">
        <v>106</v>
      </c>
      <c r="O8" s="155" t="s">
        <v>248</v>
      </c>
      <c r="P8" s="156" t="s">
        <v>247</v>
      </c>
      <c r="Q8" s="156" t="s">
        <v>227</v>
      </c>
      <c r="R8" s="156" t="s">
        <v>221</v>
      </c>
      <c r="S8" s="157">
        <v>381</v>
      </c>
    </row>
    <row r="9" spans="1:19" x14ac:dyDescent="0.3">
      <c r="A9">
        <v>8</v>
      </c>
      <c r="B9" s="143" t="s">
        <v>224</v>
      </c>
      <c r="C9" t="s">
        <v>246</v>
      </c>
      <c r="D9" t="s">
        <v>168</v>
      </c>
      <c r="E9" t="s">
        <v>221</v>
      </c>
      <c r="F9" s="144">
        <v>108</v>
      </c>
      <c r="O9" s="150" t="s">
        <v>249</v>
      </c>
      <c r="P9" s="151" t="s">
        <v>245</v>
      </c>
      <c r="Q9" s="151" t="s">
        <v>168</v>
      </c>
      <c r="R9" s="151" t="s">
        <v>227</v>
      </c>
      <c r="S9" s="152">
        <v>66</v>
      </c>
    </row>
    <row r="10" spans="1:19" x14ac:dyDescent="0.3">
      <c r="A10">
        <v>9</v>
      </c>
      <c r="B10" s="143" t="s">
        <v>224</v>
      </c>
      <c r="C10" t="s">
        <v>247</v>
      </c>
      <c r="D10" t="s">
        <v>227</v>
      </c>
      <c r="E10" t="s">
        <v>221</v>
      </c>
      <c r="F10" s="144">
        <v>4</v>
      </c>
      <c r="O10" s="153" t="s">
        <v>249</v>
      </c>
      <c r="P10" s="148" t="s">
        <v>246</v>
      </c>
      <c r="Q10" s="148" t="s">
        <v>168</v>
      </c>
      <c r="R10" s="148" t="s">
        <v>221</v>
      </c>
      <c r="S10" s="154">
        <v>26</v>
      </c>
    </row>
    <row r="11" spans="1:19" x14ac:dyDescent="0.3">
      <c r="A11">
        <v>10</v>
      </c>
      <c r="B11" s="140" t="s">
        <v>225</v>
      </c>
      <c r="C11" s="141" t="s">
        <v>245</v>
      </c>
      <c r="D11" s="141" t="s">
        <v>168</v>
      </c>
      <c r="E11" s="141" t="s">
        <v>227</v>
      </c>
      <c r="F11" s="142">
        <v>106</v>
      </c>
      <c r="O11" s="155" t="s">
        <v>249</v>
      </c>
      <c r="P11" s="156" t="s">
        <v>247</v>
      </c>
      <c r="Q11" s="156" t="s">
        <v>227</v>
      </c>
      <c r="R11" s="156" t="s">
        <v>221</v>
      </c>
      <c r="S11" s="157">
        <v>57</v>
      </c>
    </row>
    <row r="12" spans="1:19" x14ac:dyDescent="0.3">
      <c r="A12">
        <v>11</v>
      </c>
      <c r="B12" s="143" t="s">
        <v>225</v>
      </c>
      <c r="C12" t="s">
        <v>246</v>
      </c>
      <c r="D12" t="s">
        <v>168</v>
      </c>
      <c r="E12" t="s">
        <v>221</v>
      </c>
      <c r="F12" s="144">
        <v>108</v>
      </c>
      <c r="O12" s="150" t="s">
        <v>250</v>
      </c>
      <c r="P12" s="151" t="s">
        <v>245</v>
      </c>
      <c r="Q12" s="151" t="s">
        <v>168</v>
      </c>
      <c r="R12" s="151" t="s">
        <v>227</v>
      </c>
      <c r="S12" s="152">
        <v>293</v>
      </c>
    </row>
    <row r="13" spans="1:19" x14ac:dyDescent="0.3">
      <c r="A13">
        <v>12</v>
      </c>
      <c r="B13" s="145" t="s">
        <v>225</v>
      </c>
      <c r="C13" s="146" t="s">
        <v>247</v>
      </c>
      <c r="D13" s="146" t="s">
        <v>227</v>
      </c>
      <c r="E13" s="146" t="s">
        <v>221</v>
      </c>
      <c r="F13" s="144">
        <v>4</v>
      </c>
      <c r="O13" s="153" t="s">
        <v>250</v>
      </c>
      <c r="P13" s="148" t="s">
        <v>246</v>
      </c>
      <c r="Q13" s="148" t="s">
        <v>168</v>
      </c>
      <c r="R13" s="148" t="s">
        <v>221</v>
      </c>
      <c r="S13" s="154">
        <v>254</v>
      </c>
    </row>
    <row r="14" spans="1:19" x14ac:dyDescent="0.3">
      <c r="A14">
        <v>13</v>
      </c>
      <c r="B14" s="140" t="s">
        <v>226</v>
      </c>
      <c r="C14" s="141" t="s">
        <v>245</v>
      </c>
      <c r="D14" s="141" t="s">
        <v>168</v>
      </c>
      <c r="E14" s="141" t="s">
        <v>227</v>
      </c>
      <c r="F14" s="142">
        <v>106</v>
      </c>
      <c r="O14" s="155" t="s">
        <v>250</v>
      </c>
      <c r="P14" s="156" t="s">
        <v>247</v>
      </c>
      <c r="Q14" s="156" t="s">
        <v>227</v>
      </c>
      <c r="R14" s="156" t="s">
        <v>221</v>
      </c>
      <c r="S14" s="157">
        <v>57</v>
      </c>
    </row>
    <row r="15" spans="1:19" x14ac:dyDescent="0.3">
      <c r="A15">
        <v>14</v>
      </c>
      <c r="B15" s="143" t="s">
        <v>226</v>
      </c>
      <c r="C15" t="s">
        <v>246</v>
      </c>
      <c r="D15" t="s">
        <v>168</v>
      </c>
      <c r="E15" t="s">
        <v>221</v>
      </c>
      <c r="F15" s="144">
        <v>108</v>
      </c>
      <c r="O15" s="150" t="s">
        <v>251</v>
      </c>
      <c r="P15" s="151" t="s">
        <v>245</v>
      </c>
      <c r="Q15" s="151" t="s">
        <v>168</v>
      </c>
      <c r="R15" s="151" t="s">
        <v>227</v>
      </c>
      <c r="S15" s="152">
        <v>66</v>
      </c>
    </row>
    <row r="16" spans="1:19" x14ac:dyDescent="0.3">
      <c r="A16">
        <v>15</v>
      </c>
      <c r="B16" s="145" t="s">
        <v>226</v>
      </c>
      <c r="C16" s="146" t="s">
        <v>247</v>
      </c>
      <c r="D16" s="146" t="s">
        <v>227</v>
      </c>
      <c r="E16" s="146" t="s">
        <v>221</v>
      </c>
      <c r="F16" s="147">
        <v>4</v>
      </c>
      <c r="O16" s="153" t="s">
        <v>251</v>
      </c>
      <c r="P16" s="148" t="s">
        <v>246</v>
      </c>
      <c r="Q16" s="148" t="s">
        <v>168</v>
      </c>
      <c r="R16" s="148" t="s">
        <v>221</v>
      </c>
      <c r="S16" s="154">
        <v>356</v>
      </c>
    </row>
    <row r="17" spans="15:19" x14ac:dyDescent="0.3">
      <c r="O17" s="155" t="s">
        <v>251</v>
      </c>
      <c r="P17" s="156" t="s">
        <v>247</v>
      </c>
      <c r="Q17" s="156" t="s">
        <v>227</v>
      </c>
      <c r="R17" s="156" t="s">
        <v>221</v>
      </c>
      <c r="S17" s="157">
        <v>381</v>
      </c>
    </row>
    <row r="18" spans="15:19" x14ac:dyDescent="0.3">
      <c r="O18" s="150" t="s">
        <v>252</v>
      </c>
      <c r="P18" s="151" t="s">
        <v>245</v>
      </c>
      <c r="Q18" s="151" t="s">
        <v>168</v>
      </c>
      <c r="R18" s="151" t="s">
        <v>227</v>
      </c>
      <c r="S18" s="152">
        <v>133.5</v>
      </c>
    </row>
    <row r="19" spans="15:19" x14ac:dyDescent="0.3">
      <c r="O19" s="153" t="s">
        <v>252</v>
      </c>
      <c r="P19" s="148" t="s">
        <v>246</v>
      </c>
      <c r="Q19" s="148" t="s">
        <v>168</v>
      </c>
      <c r="R19" s="148" t="s">
        <v>221</v>
      </c>
      <c r="S19" s="154">
        <v>112</v>
      </c>
    </row>
    <row r="20" spans="15:19" x14ac:dyDescent="0.3">
      <c r="O20" s="155" t="s">
        <v>252</v>
      </c>
      <c r="P20" s="156" t="s">
        <v>247</v>
      </c>
      <c r="Q20" s="156" t="s">
        <v>227</v>
      </c>
      <c r="R20" s="156" t="s">
        <v>221</v>
      </c>
      <c r="S20" s="157">
        <v>35.5</v>
      </c>
    </row>
    <row r="21" spans="15:19" x14ac:dyDescent="0.3">
      <c r="O21" s="150" t="s">
        <v>253</v>
      </c>
      <c r="P21" s="151" t="s">
        <v>245</v>
      </c>
      <c r="Q21" s="151" t="s">
        <v>168</v>
      </c>
      <c r="R21" s="151" t="s">
        <v>227</v>
      </c>
      <c r="S21" s="152">
        <v>111</v>
      </c>
    </row>
    <row r="22" spans="15:19" x14ac:dyDescent="0.3">
      <c r="O22" s="153" t="s">
        <v>253</v>
      </c>
      <c r="P22" s="148" t="s">
        <v>246</v>
      </c>
      <c r="Q22" s="148" t="s">
        <v>168</v>
      </c>
      <c r="R22" s="148" t="s">
        <v>221</v>
      </c>
      <c r="S22" s="154">
        <v>116</v>
      </c>
    </row>
    <row r="23" spans="15:19" x14ac:dyDescent="0.3">
      <c r="O23" s="155" t="s">
        <v>253</v>
      </c>
      <c r="P23" s="156" t="s">
        <v>247</v>
      </c>
      <c r="Q23" s="156" t="s">
        <v>227</v>
      </c>
      <c r="R23" s="156" t="s">
        <v>221</v>
      </c>
      <c r="S23" s="157">
        <v>17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7BC15-4EA9-4CE0-8790-9314B23FDF92}">
  <dimension ref="A1:M62"/>
  <sheetViews>
    <sheetView tabSelected="1" topLeftCell="A35" workbookViewId="0">
      <selection activeCell="F52" sqref="F52"/>
    </sheetView>
  </sheetViews>
  <sheetFormatPr defaultRowHeight="14.4" x14ac:dyDescent="0.3"/>
  <cols>
    <col min="1" max="1" width="8.33203125" bestFit="1" customWidth="1"/>
    <col min="4" max="4" width="13.5546875" bestFit="1" customWidth="1"/>
    <col min="5" max="6" width="23.33203125" bestFit="1" customWidth="1"/>
    <col min="7" max="8" width="23.88671875" bestFit="1" customWidth="1"/>
    <col min="9" max="10" width="24.109375" bestFit="1" customWidth="1"/>
    <col min="11" max="11" width="8" bestFit="1" customWidth="1"/>
    <col min="12" max="13" width="4" bestFit="1" customWidth="1"/>
  </cols>
  <sheetData>
    <row r="1" spans="1:13" x14ac:dyDescent="0.3">
      <c r="A1" s="125" t="s">
        <v>232</v>
      </c>
      <c r="B1" s="125" t="s">
        <v>219</v>
      </c>
      <c r="C1" s="125" t="s">
        <v>220</v>
      </c>
      <c r="D1" s="125" t="s">
        <v>236</v>
      </c>
      <c r="E1" s="125" t="s">
        <v>260</v>
      </c>
      <c r="F1" s="125" t="s">
        <v>261</v>
      </c>
      <c r="G1" s="125" t="s">
        <v>230</v>
      </c>
      <c r="H1" s="125" t="s">
        <v>231</v>
      </c>
      <c r="I1" s="130" t="s">
        <v>233</v>
      </c>
      <c r="J1" s="130" t="s">
        <v>234</v>
      </c>
      <c r="K1" s="125" t="s">
        <v>8</v>
      </c>
      <c r="L1" s="125" t="s">
        <v>9</v>
      </c>
      <c r="M1" s="125" t="s">
        <v>10</v>
      </c>
    </row>
    <row r="2" spans="1:13" x14ac:dyDescent="0.3">
      <c r="A2">
        <v>1</v>
      </c>
      <c r="B2" t="s">
        <v>221</v>
      </c>
      <c r="C2" t="s">
        <v>11</v>
      </c>
      <c r="D2" t="s">
        <v>222</v>
      </c>
      <c r="E2" s="126">
        <f>'Parameter Input'!X$11</f>
        <v>0.77317073170731698</v>
      </c>
      <c r="F2" s="126">
        <f>'Parameter Input'!Y$11</f>
        <v>0.63986543313708999</v>
      </c>
      <c r="G2">
        <f>'Parameter Input'!B$11*'Parameter Input'!B$12</f>
        <v>10.5</v>
      </c>
      <c r="H2">
        <f>'Parameter Input'!C$11*'Parameter Input'!C$12</f>
        <v>10.5</v>
      </c>
      <c r="I2" s="131">
        <f>E2/(G2)*1000</f>
        <v>73.635307781649246</v>
      </c>
      <c r="J2" s="131">
        <f>F2/H2*1000</f>
        <v>60.939565060675235</v>
      </c>
      <c r="K2">
        <v>12</v>
      </c>
      <c r="L2">
        <v>0.9</v>
      </c>
      <c r="M2">
        <v>0.4</v>
      </c>
    </row>
    <row r="3" spans="1:13" x14ac:dyDescent="0.3">
      <c r="A3">
        <v>2</v>
      </c>
      <c r="B3" t="s">
        <v>221</v>
      </c>
      <c r="C3" t="s">
        <v>11</v>
      </c>
      <c r="D3" t="s">
        <v>223</v>
      </c>
      <c r="E3" s="126">
        <f>'Parameter Input'!X$11</f>
        <v>0.77317073170731698</v>
      </c>
      <c r="F3" s="126">
        <f>'Parameter Input'!Y$11</f>
        <v>0.63986543313708999</v>
      </c>
      <c r="G3">
        <f>'Parameter Input'!B$23*'Parameter Input'!B$24</f>
        <v>12</v>
      </c>
      <c r="H3">
        <f>'Parameter Input'!C$23*'Parameter Input'!C$24</f>
        <v>12</v>
      </c>
      <c r="I3" s="131">
        <f t="shared" ref="I3:I61" si="0">E3/(G3)*1000</f>
        <v>64.430894308943081</v>
      </c>
      <c r="J3" s="131">
        <f t="shared" ref="J3:J61" si="1">F3/H3*1000</f>
        <v>53.322119428090836</v>
      </c>
      <c r="K3">
        <v>12</v>
      </c>
      <c r="L3">
        <v>0.9</v>
      </c>
      <c r="M3">
        <v>0.4</v>
      </c>
    </row>
    <row r="4" spans="1:13" x14ac:dyDescent="0.3">
      <c r="A4">
        <v>3</v>
      </c>
      <c r="B4" t="s">
        <v>221</v>
      </c>
      <c r="C4" t="s">
        <v>11</v>
      </c>
      <c r="D4" t="s">
        <v>224</v>
      </c>
      <c r="E4" s="126">
        <f>'Parameter Input'!X$11</f>
        <v>0.77317073170731698</v>
      </c>
      <c r="F4" s="126">
        <f>'Parameter Input'!Y$11</f>
        <v>0.63986543313708999</v>
      </c>
      <c r="G4">
        <f>'Parameter Input'!B$36*'Parameter Input'!B$37</f>
        <v>11.5</v>
      </c>
      <c r="H4">
        <f>'Parameter Input'!C$36*'Parameter Input'!C$37</f>
        <v>11.5</v>
      </c>
      <c r="I4" s="131">
        <f t="shared" si="0"/>
        <v>67.232237539766686</v>
      </c>
      <c r="J4" s="131">
        <f t="shared" si="1"/>
        <v>55.640472446703477</v>
      </c>
      <c r="K4">
        <v>12</v>
      </c>
      <c r="L4">
        <v>0.9</v>
      </c>
      <c r="M4">
        <v>0.4</v>
      </c>
    </row>
    <row r="5" spans="1:13" x14ac:dyDescent="0.3">
      <c r="A5">
        <v>4</v>
      </c>
      <c r="B5" t="s">
        <v>221</v>
      </c>
      <c r="C5" t="s">
        <v>11</v>
      </c>
      <c r="D5" t="s">
        <v>225</v>
      </c>
      <c r="E5" s="126">
        <f>'Parameter Input'!X$11</f>
        <v>0.77317073170731698</v>
      </c>
      <c r="F5" s="126">
        <f>'Parameter Input'!Y$11</f>
        <v>0.63986543313708999</v>
      </c>
      <c r="G5">
        <f>'Parameter Input'!B$49*'Parameter Input'!B$50</f>
        <v>11.5</v>
      </c>
      <c r="H5">
        <f>'Parameter Input'!C$49*'Parameter Input'!C$50</f>
        <v>11.5</v>
      </c>
      <c r="I5" s="131">
        <f t="shared" si="0"/>
        <v>67.232237539766686</v>
      </c>
      <c r="J5" s="131">
        <f t="shared" si="1"/>
        <v>55.640472446703477</v>
      </c>
      <c r="K5">
        <v>12</v>
      </c>
      <c r="L5">
        <v>0.9</v>
      </c>
      <c r="M5">
        <v>0.4</v>
      </c>
    </row>
    <row r="6" spans="1:13" x14ac:dyDescent="0.3">
      <c r="A6">
        <v>5</v>
      </c>
      <c r="B6" t="s">
        <v>221</v>
      </c>
      <c r="C6" t="s">
        <v>11</v>
      </c>
      <c r="D6" t="s">
        <v>226</v>
      </c>
      <c r="E6" s="126">
        <f>'Parameter Input'!X$11</f>
        <v>0.77317073170731698</v>
      </c>
      <c r="F6" s="126">
        <f>'Parameter Input'!Y$11</f>
        <v>0.63986543313708999</v>
      </c>
      <c r="G6">
        <f>'Parameter Input'!B$63*'Parameter Input'!B$64</f>
        <v>12</v>
      </c>
      <c r="H6">
        <f>'Parameter Input'!C$63*'Parameter Input'!C$64</f>
        <v>12</v>
      </c>
      <c r="I6" s="131">
        <f t="shared" si="0"/>
        <v>64.430894308943081</v>
      </c>
      <c r="J6" s="131">
        <f t="shared" si="1"/>
        <v>53.322119428090836</v>
      </c>
      <c r="K6">
        <v>12</v>
      </c>
      <c r="L6">
        <v>0.9</v>
      </c>
      <c r="M6">
        <v>0.4</v>
      </c>
    </row>
    <row r="7" spans="1:13" x14ac:dyDescent="0.3">
      <c r="A7">
        <v>6</v>
      </c>
      <c r="B7" t="s">
        <v>221</v>
      </c>
      <c r="C7" s="127" t="s">
        <v>87</v>
      </c>
      <c r="D7" t="s">
        <v>222</v>
      </c>
      <c r="E7" s="126">
        <f>'Parameter Input'!AH$11</f>
        <v>3.5200000000000002E-2</v>
      </c>
      <c r="F7" s="126">
        <f>'Parameter Input'!AI$11</f>
        <v>0</v>
      </c>
      <c r="G7">
        <f>'Parameter Input'!B$11*'Parameter Input'!B$12</f>
        <v>10.5</v>
      </c>
      <c r="H7">
        <f>'Parameter Input'!C$11*'Parameter Input'!C$12</f>
        <v>10.5</v>
      </c>
      <c r="I7" s="131">
        <f t="shared" si="0"/>
        <v>3.3523809523809525</v>
      </c>
      <c r="J7" s="131">
        <f t="shared" si="1"/>
        <v>0</v>
      </c>
      <c r="K7">
        <v>12</v>
      </c>
      <c r="L7">
        <v>0.9</v>
      </c>
      <c r="M7">
        <v>0.4</v>
      </c>
    </row>
    <row r="8" spans="1:13" x14ac:dyDescent="0.3">
      <c r="A8">
        <v>7</v>
      </c>
      <c r="B8" t="s">
        <v>221</v>
      </c>
      <c r="C8" s="127" t="s">
        <v>87</v>
      </c>
      <c r="D8" t="s">
        <v>223</v>
      </c>
      <c r="E8" s="126">
        <f>'Parameter Input'!AH$11</f>
        <v>3.5200000000000002E-2</v>
      </c>
      <c r="F8" s="126">
        <f>'Parameter Input'!AI$11</f>
        <v>0</v>
      </c>
      <c r="G8">
        <f>'Parameter Input'!B$23*'Parameter Input'!B$24</f>
        <v>12</v>
      </c>
      <c r="H8">
        <f>'Parameter Input'!C$23*'Parameter Input'!C$24</f>
        <v>12</v>
      </c>
      <c r="I8" s="131">
        <f t="shared" si="0"/>
        <v>2.9333333333333336</v>
      </c>
      <c r="J8" s="131">
        <f t="shared" si="1"/>
        <v>0</v>
      </c>
      <c r="K8">
        <v>12</v>
      </c>
      <c r="L8">
        <v>0.9</v>
      </c>
      <c r="M8">
        <v>0.4</v>
      </c>
    </row>
    <row r="9" spans="1:13" x14ac:dyDescent="0.3">
      <c r="A9">
        <v>8</v>
      </c>
      <c r="B9" t="s">
        <v>221</v>
      </c>
      <c r="C9" s="127" t="s">
        <v>87</v>
      </c>
      <c r="D9" t="s">
        <v>224</v>
      </c>
      <c r="E9" s="126">
        <f>'Parameter Input'!AH$11</f>
        <v>3.5200000000000002E-2</v>
      </c>
      <c r="F9" s="126">
        <f>'Parameter Input'!AI$11</f>
        <v>0</v>
      </c>
      <c r="G9">
        <f>'Parameter Input'!B$36*'Parameter Input'!B$37</f>
        <v>11.5</v>
      </c>
      <c r="H9">
        <f>'Parameter Input'!C$36*'Parameter Input'!C$37</f>
        <v>11.5</v>
      </c>
      <c r="I9" s="131">
        <f t="shared" si="0"/>
        <v>3.0608695652173914</v>
      </c>
      <c r="J9" s="131">
        <f t="shared" si="1"/>
        <v>0</v>
      </c>
      <c r="K9">
        <v>12</v>
      </c>
      <c r="L9">
        <v>0.9</v>
      </c>
      <c r="M9">
        <v>0.4</v>
      </c>
    </row>
    <row r="10" spans="1:13" x14ac:dyDescent="0.3">
      <c r="A10">
        <v>9</v>
      </c>
      <c r="B10" t="s">
        <v>221</v>
      </c>
      <c r="C10" s="127" t="s">
        <v>87</v>
      </c>
      <c r="D10" t="s">
        <v>225</v>
      </c>
      <c r="E10" s="126">
        <f>'Parameter Input'!AH$11</f>
        <v>3.5200000000000002E-2</v>
      </c>
      <c r="F10" s="126">
        <f>'Parameter Input'!AI$11</f>
        <v>0</v>
      </c>
      <c r="G10">
        <f>'Parameter Input'!B$49*'Parameter Input'!B$50</f>
        <v>11.5</v>
      </c>
      <c r="H10">
        <f>'Parameter Input'!C$49*'Parameter Input'!C$50</f>
        <v>11.5</v>
      </c>
      <c r="I10" s="131">
        <f t="shared" si="0"/>
        <v>3.0608695652173914</v>
      </c>
      <c r="J10" s="131">
        <f t="shared" si="1"/>
        <v>0</v>
      </c>
      <c r="K10">
        <v>12</v>
      </c>
      <c r="L10">
        <v>0.9</v>
      </c>
      <c r="M10">
        <v>0.4</v>
      </c>
    </row>
    <row r="11" spans="1:13" x14ac:dyDescent="0.3">
      <c r="A11">
        <v>10</v>
      </c>
      <c r="B11" t="s">
        <v>221</v>
      </c>
      <c r="C11" s="127" t="s">
        <v>87</v>
      </c>
      <c r="D11" t="s">
        <v>226</v>
      </c>
      <c r="E11" s="126">
        <f>'Parameter Input'!AH$11</f>
        <v>3.5200000000000002E-2</v>
      </c>
      <c r="F11" s="126">
        <f>'Parameter Input'!AI$11</f>
        <v>0</v>
      </c>
      <c r="G11">
        <f>'Parameter Input'!B$63*'Parameter Input'!B$64</f>
        <v>12</v>
      </c>
      <c r="H11">
        <f>'Parameter Input'!C$63*'Parameter Input'!C$64</f>
        <v>12</v>
      </c>
      <c r="I11" s="131">
        <f t="shared" si="0"/>
        <v>2.9333333333333336</v>
      </c>
      <c r="J11" s="131">
        <f t="shared" si="1"/>
        <v>0</v>
      </c>
      <c r="K11">
        <v>12</v>
      </c>
      <c r="L11">
        <v>0.9</v>
      </c>
      <c r="M11">
        <v>0.4</v>
      </c>
    </row>
    <row r="12" spans="1:13" x14ac:dyDescent="0.3">
      <c r="A12">
        <v>11</v>
      </c>
      <c r="B12" t="s">
        <v>221</v>
      </c>
      <c r="C12" t="s">
        <v>103</v>
      </c>
      <c r="D12" t="s">
        <v>222</v>
      </c>
      <c r="E12" s="126">
        <f>'Parameter Input'!AC$11</f>
        <v>9.1245901639344248E-2</v>
      </c>
      <c r="F12" s="126">
        <f>'Parameter Input'!AD$11</f>
        <v>0</v>
      </c>
      <c r="G12">
        <f>'Parameter Input'!B$11*'Parameter Input'!B$12</f>
        <v>10.5</v>
      </c>
      <c r="H12">
        <f>'Parameter Input'!C$11*'Parameter Input'!C$12</f>
        <v>10.5</v>
      </c>
      <c r="I12" s="131">
        <f t="shared" si="0"/>
        <v>8.6900858704137374</v>
      </c>
      <c r="J12" s="131">
        <f t="shared" si="1"/>
        <v>0</v>
      </c>
      <c r="K12">
        <v>12</v>
      </c>
      <c r="L12">
        <v>0.9</v>
      </c>
      <c r="M12">
        <v>0.4</v>
      </c>
    </row>
    <row r="13" spans="1:13" x14ac:dyDescent="0.3">
      <c r="A13">
        <v>12</v>
      </c>
      <c r="B13" t="s">
        <v>221</v>
      </c>
      <c r="C13" t="s">
        <v>103</v>
      </c>
      <c r="D13" t="s">
        <v>223</v>
      </c>
      <c r="E13" s="126">
        <f>'Parameter Input'!AC$11</f>
        <v>9.1245901639344248E-2</v>
      </c>
      <c r="F13" s="126">
        <f>'Parameter Input'!AD$11</f>
        <v>0</v>
      </c>
      <c r="G13">
        <f>'Parameter Input'!B$23*'Parameter Input'!B$24</f>
        <v>12</v>
      </c>
      <c r="H13">
        <f>'Parameter Input'!C$23*'Parameter Input'!C$24</f>
        <v>12</v>
      </c>
      <c r="I13" s="131">
        <f t="shared" si="0"/>
        <v>7.6038251366120209</v>
      </c>
      <c r="J13" s="131">
        <f t="shared" si="1"/>
        <v>0</v>
      </c>
      <c r="K13">
        <v>12</v>
      </c>
      <c r="L13">
        <v>0.9</v>
      </c>
      <c r="M13">
        <v>0.4</v>
      </c>
    </row>
    <row r="14" spans="1:13" x14ac:dyDescent="0.3">
      <c r="A14">
        <v>13</v>
      </c>
      <c r="B14" t="s">
        <v>221</v>
      </c>
      <c r="C14" t="s">
        <v>103</v>
      </c>
      <c r="D14" t="s">
        <v>224</v>
      </c>
      <c r="E14" s="126">
        <f>'Parameter Input'!AC$11</f>
        <v>9.1245901639344248E-2</v>
      </c>
      <c r="F14" s="126">
        <f>'Parameter Input'!AD$11</f>
        <v>0</v>
      </c>
      <c r="G14">
        <f>'Parameter Input'!B$36*'Parameter Input'!B$37</f>
        <v>11.5</v>
      </c>
      <c r="H14">
        <f>'Parameter Input'!C$36*'Parameter Input'!C$37</f>
        <v>11.5</v>
      </c>
      <c r="I14" s="131">
        <f t="shared" si="0"/>
        <v>7.9344262295081949</v>
      </c>
      <c r="J14" s="131">
        <f t="shared" si="1"/>
        <v>0</v>
      </c>
      <c r="K14">
        <v>12</v>
      </c>
      <c r="L14">
        <v>0.9</v>
      </c>
      <c r="M14">
        <v>0.4</v>
      </c>
    </row>
    <row r="15" spans="1:13" x14ac:dyDescent="0.3">
      <c r="A15">
        <v>14</v>
      </c>
      <c r="B15" t="s">
        <v>221</v>
      </c>
      <c r="C15" t="s">
        <v>103</v>
      </c>
      <c r="D15" t="s">
        <v>225</v>
      </c>
      <c r="E15" s="126">
        <f>'Parameter Input'!AC$11</f>
        <v>9.1245901639344248E-2</v>
      </c>
      <c r="F15" s="126">
        <f>'Parameter Input'!AD$11</f>
        <v>0</v>
      </c>
      <c r="G15">
        <f>'Parameter Input'!B$49*'Parameter Input'!B$50</f>
        <v>11.5</v>
      </c>
      <c r="H15">
        <f>'Parameter Input'!C$49*'Parameter Input'!C$50</f>
        <v>11.5</v>
      </c>
      <c r="I15" s="131">
        <f t="shared" si="0"/>
        <v>7.9344262295081949</v>
      </c>
      <c r="J15" s="131">
        <f t="shared" si="1"/>
        <v>0</v>
      </c>
      <c r="K15">
        <v>12</v>
      </c>
      <c r="L15">
        <v>0.9</v>
      </c>
      <c r="M15">
        <v>0.4</v>
      </c>
    </row>
    <row r="16" spans="1:13" x14ac:dyDescent="0.3">
      <c r="A16">
        <v>15</v>
      </c>
      <c r="B16" t="s">
        <v>221</v>
      </c>
      <c r="C16" t="s">
        <v>103</v>
      </c>
      <c r="D16" t="s">
        <v>226</v>
      </c>
      <c r="E16" s="126">
        <f>'Parameter Input'!AC$11</f>
        <v>9.1245901639344248E-2</v>
      </c>
      <c r="F16" s="126">
        <f>'Parameter Input'!AD$11</f>
        <v>0</v>
      </c>
      <c r="G16">
        <f>'Parameter Input'!B$63*'Parameter Input'!B$64</f>
        <v>12</v>
      </c>
      <c r="H16">
        <f>'Parameter Input'!C$63*'Parameter Input'!C$64</f>
        <v>12</v>
      </c>
      <c r="I16" s="131">
        <f t="shared" si="0"/>
        <v>7.6038251366120209</v>
      </c>
      <c r="J16" s="131">
        <f t="shared" si="1"/>
        <v>0</v>
      </c>
      <c r="K16">
        <v>12</v>
      </c>
      <c r="L16">
        <v>0.9</v>
      </c>
      <c r="M16">
        <v>0.4</v>
      </c>
    </row>
    <row r="17" spans="1:13" x14ac:dyDescent="0.3">
      <c r="A17">
        <v>16</v>
      </c>
      <c r="B17" t="s">
        <v>227</v>
      </c>
      <c r="C17" t="s">
        <v>11</v>
      </c>
      <c r="D17" t="s">
        <v>222</v>
      </c>
      <c r="E17" s="126">
        <f>'Parameter Input'!X$80</f>
        <v>16.552039024390243</v>
      </c>
      <c r="F17" s="126">
        <f>'Parameter Input'!Y$80</f>
        <v>16.552039024390243</v>
      </c>
      <c r="G17">
        <f>'Parameter Input'!B$80*'Parameter Input'!B$81</f>
        <v>1075.2</v>
      </c>
      <c r="H17">
        <f>'Parameter Input'!C$80*'Parameter Input'!C$81</f>
        <v>1075.2</v>
      </c>
      <c r="I17" s="131">
        <f t="shared" si="0"/>
        <v>15.394381533101045</v>
      </c>
      <c r="J17" s="131">
        <f t="shared" si="1"/>
        <v>15.394381533101045</v>
      </c>
      <c r="K17">
        <v>12</v>
      </c>
      <c r="L17">
        <v>0.9</v>
      </c>
      <c r="M17">
        <v>0.4</v>
      </c>
    </row>
    <row r="18" spans="1:13" x14ac:dyDescent="0.3">
      <c r="A18">
        <v>17</v>
      </c>
      <c r="B18" t="s">
        <v>227</v>
      </c>
      <c r="C18" t="s">
        <v>11</v>
      </c>
      <c r="D18" t="s">
        <v>223</v>
      </c>
      <c r="E18" s="126">
        <f>'Parameter Input'!X$80</f>
        <v>16.552039024390243</v>
      </c>
      <c r="F18" s="126">
        <f>'Parameter Input'!Y$80</f>
        <v>16.552039024390243</v>
      </c>
      <c r="G18">
        <f>'Parameter Input'!B$92*'Parameter Input'!B$93</f>
        <v>716.80000000000007</v>
      </c>
      <c r="H18">
        <f>'Parameter Input'!C$92*'Parameter Input'!C$93</f>
        <v>716.80000000000007</v>
      </c>
      <c r="I18" s="131">
        <f t="shared" si="0"/>
        <v>23.091572299651567</v>
      </c>
      <c r="J18" s="131">
        <f t="shared" si="1"/>
        <v>23.091572299651567</v>
      </c>
      <c r="K18">
        <v>12</v>
      </c>
      <c r="L18">
        <v>0.9</v>
      </c>
      <c r="M18">
        <v>0.4</v>
      </c>
    </row>
    <row r="19" spans="1:13" x14ac:dyDescent="0.3">
      <c r="A19">
        <v>18</v>
      </c>
      <c r="B19" t="s">
        <v>227</v>
      </c>
      <c r="C19" t="s">
        <v>11</v>
      </c>
      <c r="D19" t="s">
        <v>224</v>
      </c>
      <c r="E19" s="126">
        <f>'Parameter Input'!X$80</f>
        <v>16.552039024390243</v>
      </c>
      <c r="F19" s="126">
        <f>'Parameter Input'!Y$80</f>
        <v>16.552039024390243</v>
      </c>
      <c r="G19">
        <f>'Parameter Input'!B$104*'Parameter Input'!B$105</f>
        <v>716.80000000000007</v>
      </c>
      <c r="H19">
        <f>'Parameter Input'!C$104*'Parameter Input'!C$105</f>
        <v>716.80000000000007</v>
      </c>
      <c r="I19" s="131">
        <f t="shared" si="0"/>
        <v>23.091572299651567</v>
      </c>
      <c r="J19" s="131">
        <f t="shared" si="1"/>
        <v>23.091572299651567</v>
      </c>
      <c r="K19">
        <v>12</v>
      </c>
      <c r="L19">
        <v>0.9</v>
      </c>
      <c r="M19">
        <v>0.4</v>
      </c>
    </row>
    <row r="20" spans="1:13" x14ac:dyDescent="0.3">
      <c r="A20">
        <v>19</v>
      </c>
      <c r="B20" t="s">
        <v>227</v>
      </c>
      <c r="C20" t="s">
        <v>11</v>
      </c>
      <c r="D20" t="s">
        <v>225</v>
      </c>
      <c r="E20" s="126">
        <f>'Parameter Input'!X$80</f>
        <v>16.552039024390243</v>
      </c>
      <c r="F20" s="126">
        <f>'Parameter Input'!Y$80</f>
        <v>16.552039024390243</v>
      </c>
      <c r="G20">
        <f>'Parameter Input'!B$116*'Parameter Input'!B$117</f>
        <v>1209.6000000000001</v>
      </c>
      <c r="H20">
        <f>'Parameter Input'!C$116*'Parameter Input'!C$117</f>
        <v>1209.6000000000001</v>
      </c>
      <c r="I20" s="131">
        <f t="shared" si="0"/>
        <v>13.683894696089816</v>
      </c>
      <c r="J20" s="131">
        <f t="shared" si="1"/>
        <v>13.683894696089816</v>
      </c>
      <c r="K20">
        <v>12</v>
      </c>
      <c r="L20">
        <v>0.9</v>
      </c>
      <c r="M20">
        <v>0.4</v>
      </c>
    </row>
    <row r="21" spans="1:13" x14ac:dyDescent="0.3">
      <c r="A21">
        <v>20</v>
      </c>
      <c r="B21" t="s">
        <v>227</v>
      </c>
      <c r="C21" t="s">
        <v>11</v>
      </c>
      <c r="D21" t="s">
        <v>226</v>
      </c>
      <c r="E21" s="126">
        <f>'Parameter Input'!X$80</f>
        <v>16.552039024390243</v>
      </c>
      <c r="F21" s="126">
        <f>'Parameter Input'!Y$80</f>
        <v>16.552039024390243</v>
      </c>
      <c r="G21">
        <f>'Parameter Input'!B$127*'Parameter Input'!B$128</f>
        <v>896</v>
      </c>
      <c r="H21">
        <f>'Parameter Input'!C$127*'Parameter Input'!C$128</f>
        <v>896</v>
      </c>
      <c r="I21" s="131">
        <f t="shared" si="0"/>
        <v>18.473257839721253</v>
      </c>
      <c r="J21" s="131">
        <f t="shared" si="1"/>
        <v>18.473257839721253</v>
      </c>
      <c r="K21">
        <v>12</v>
      </c>
      <c r="L21">
        <v>0.9</v>
      </c>
      <c r="M21">
        <v>0.4</v>
      </c>
    </row>
    <row r="22" spans="1:13" x14ac:dyDescent="0.3">
      <c r="A22">
        <v>21</v>
      </c>
      <c r="B22" t="s">
        <v>227</v>
      </c>
      <c r="C22" t="s">
        <v>136</v>
      </c>
      <c r="D22" t="s">
        <v>222</v>
      </c>
      <c r="E22" s="126">
        <f>'Parameter Input'!AH$80</f>
        <v>0.59200079256965954</v>
      </c>
      <c r="F22" s="126">
        <f>'Parameter Input'!AI$80</f>
        <v>0</v>
      </c>
      <c r="G22">
        <f>'Parameter Input'!B$80*'Parameter Input'!B$81</f>
        <v>1075.2</v>
      </c>
      <c r="H22">
        <f>'Parameter Input'!C$80*'Parameter Input'!C$81</f>
        <v>1075.2</v>
      </c>
      <c r="I22" s="131">
        <f t="shared" si="0"/>
        <v>0.55059597523219828</v>
      </c>
      <c r="J22" s="131">
        <f t="shared" si="1"/>
        <v>0</v>
      </c>
      <c r="K22">
        <v>12</v>
      </c>
      <c r="L22">
        <v>0.9</v>
      </c>
      <c r="M22">
        <v>0.4</v>
      </c>
    </row>
    <row r="23" spans="1:13" x14ac:dyDescent="0.3">
      <c r="A23">
        <v>22</v>
      </c>
      <c r="B23" t="s">
        <v>227</v>
      </c>
      <c r="C23" t="s">
        <v>136</v>
      </c>
      <c r="D23" t="s">
        <v>223</v>
      </c>
      <c r="E23" s="126">
        <f>'Parameter Input'!AH$80</f>
        <v>0.59200079256965954</v>
      </c>
      <c r="F23" s="126">
        <f>'Parameter Input'!AI$80</f>
        <v>0</v>
      </c>
      <c r="G23">
        <f>'Parameter Input'!B$92*'Parameter Input'!B$93</f>
        <v>716.80000000000007</v>
      </c>
      <c r="H23">
        <f>'Parameter Input'!C$92*'Parameter Input'!C$93</f>
        <v>716.80000000000007</v>
      </c>
      <c r="I23" s="131">
        <f t="shared" si="0"/>
        <v>0.8258939628482973</v>
      </c>
      <c r="J23" s="131">
        <f t="shared" si="1"/>
        <v>0</v>
      </c>
      <c r="K23">
        <v>12</v>
      </c>
      <c r="L23">
        <v>0.9</v>
      </c>
      <c r="M23">
        <v>0.4</v>
      </c>
    </row>
    <row r="24" spans="1:13" x14ac:dyDescent="0.3">
      <c r="A24">
        <v>23</v>
      </c>
      <c r="B24" t="s">
        <v>227</v>
      </c>
      <c r="C24" t="s">
        <v>136</v>
      </c>
      <c r="D24" t="s">
        <v>224</v>
      </c>
      <c r="E24" s="126">
        <f>'Parameter Input'!AH$80</f>
        <v>0.59200079256965954</v>
      </c>
      <c r="F24" s="126">
        <f>'Parameter Input'!AI$80</f>
        <v>0</v>
      </c>
      <c r="G24">
        <f>'Parameter Input'!B$104*'Parameter Input'!B$105</f>
        <v>716.80000000000007</v>
      </c>
      <c r="H24">
        <f>'Parameter Input'!C$104*'Parameter Input'!C$105</f>
        <v>716.80000000000007</v>
      </c>
      <c r="I24" s="131">
        <f t="shared" si="0"/>
        <v>0.8258939628482973</v>
      </c>
      <c r="J24" s="131">
        <f t="shared" si="1"/>
        <v>0</v>
      </c>
      <c r="K24">
        <v>12</v>
      </c>
      <c r="L24">
        <v>0.9</v>
      </c>
      <c r="M24">
        <v>0.4</v>
      </c>
    </row>
    <row r="25" spans="1:13" x14ac:dyDescent="0.3">
      <c r="A25">
        <v>24</v>
      </c>
      <c r="B25" t="s">
        <v>227</v>
      </c>
      <c r="C25" t="s">
        <v>136</v>
      </c>
      <c r="D25" t="s">
        <v>225</v>
      </c>
      <c r="E25" s="126">
        <f>'Parameter Input'!AH$80</f>
        <v>0.59200079256965954</v>
      </c>
      <c r="F25" s="126">
        <f>'Parameter Input'!AI$80</f>
        <v>0</v>
      </c>
      <c r="G25">
        <f>'Parameter Input'!B$116*'Parameter Input'!B$117</f>
        <v>1209.6000000000001</v>
      </c>
      <c r="H25">
        <f>'Parameter Input'!C$116*'Parameter Input'!C$117</f>
        <v>1209.6000000000001</v>
      </c>
      <c r="I25" s="131">
        <f t="shared" si="0"/>
        <v>0.48941864465084284</v>
      </c>
      <c r="J25" s="131">
        <f t="shared" si="1"/>
        <v>0</v>
      </c>
      <c r="K25">
        <v>12</v>
      </c>
      <c r="L25">
        <v>0.9</v>
      </c>
      <c r="M25">
        <v>0.4</v>
      </c>
    </row>
    <row r="26" spans="1:13" x14ac:dyDescent="0.3">
      <c r="A26">
        <v>25</v>
      </c>
      <c r="B26" t="s">
        <v>227</v>
      </c>
      <c r="C26" t="s">
        <v>136</v>
      </c>
      <c r="D26" t="s">
        <v>226</v>
      </c>
      <c r="E26" s="126">
        <f>'Parameter Input'!AH$80</f>
        <v>0.59200079256965954</v>
      </c>
      <c r="F26" s="126">
        <f>'Parameter Input'!AI$80</f>
        <v>0</v>
      </c>
      <c r="G26">
        <f>'Parameter Input'!B$127*'Parameter Input'!B$128</f>
        <v>896</v>
      </c>
      <c r="H26">
        <f>'Parameter Input'!C$127*'Parameter Input'!C$128</f>
        <v>896</v>
      </c>
      <c r="I26" s="131">
        <f t="shared" si="0"/>
        <v>0.6607151702786378</v>
      </c>
      <c r="J26" s="131">
        <f t="shared" si="1"/>
        <v>0</v>
      </c>
      <c r="K26">
        <v>12</v>
      </c>
      <c r="L26">
        <v>0.9</v>
      </c>
      <c r="M26">
        <v>0.4</v>
      </c>
    </row>
    <row r="27" spans="1:13" x14ac:dyDescent="0.3">
      <c r="A27">
        <v>26</v>
      </c>
      <c r="B27" t="s">
        <v>227</v>
      </c>
      <c r="C27" t="s">
        <v>87</v>
      </c>
      <c r="D27" t="s">
        <v>222</v>
      </c>
      <c r="E27" s="126">
        <f>'Parameter Input'!AM$80</f>
        <v>0.62900084210526319</v>
      </c>
      <c r="F27" s="126">
        <f>'Parameter Input'!AN$80</f>
        <v>0</v>
      </c>
      <c r="G27">
        <f>'Parameter Input'!B$80*'Parameter Input'!B$81</f>
        <v>1075.2</v>
      </c>
      <c r="H27">
        <f>'Parameter Input'!C$80*'Parameter Input'!C$81</f>
        <v>1075.2</v>
      </c>
      <c r="I27" s="131">
        <f t="shared" si="0"/>
        <v>0.58500822368421046</v>
      </c>
      <c r="J27" s="131">
        <f t="shared" si="1"/>
        <v>0</v>
      </c>
      <c r="K27">
        <v>12</v>
      </c>
      <c r="L27">
        <v>0.9</v>
      </c>
      <c r="M27">
        <v>0.4</v>
      </c>
    </row>
    <row r="28" spans="1:13" x14ac:dyDescent="0.3">
      <c r="A28">
        <v>27</v>
      </c>
      <c r="B28" t="s">
        <v>227</v>
      </c>
      <c r="C28" t="s">
        <v>87</v>
      </c>
      <c r="D28" t="s">
        <v>223</v>
      </c>
      <c r="E28" s="126">
        <f>'Parameter Input'!AM$80</f>
        <v>0.62900084210526319</v>
      </c>
      <c r="F28" s="126">
        <f>'Parameter Input'!AN$80</f>
        <v>0</v>
      </c>
      <c r="G28">
        <f>'Parameter Input'!B$92*'Parameter Input'!B$93</f>
        <v>716.80000000000007</v>
      </c>
      <c r="H28">
        <f>'Parameter Input'!C$92*'Parameter Input'!C$93</f>
        <v>716.80000000000007</v>
      </c>
      <c r="I28" s="131">
        <f t="shared" si="0"/>
        <v>0.87751233552631569</v>
      </c>
      <c r="J28" s="131">
        <f t="shared" si="1"/>
        <v>0</v>
      </c>
      <c r="K28">
        <v>12</v>
      </c>
      <c r="L28">
        <v>0.9</v>
      </c>
      <c r="M28">
        <v>0.4</v>
      </c>
    </row>
    <row r="29" spans="1:13" x14ac:dyDescent="0.3">
      <c r="A29">
        <v>28</v>
      </c>
      <c r="B29" t="s">
        <v>227</v>
      </c>
      <c r="C29" t="s">
        <v>87</v>
      </c>
      <c r="D29" t="s">
        <v>224</v>
      </c>
      <c r="E29" s="126">
        <f>'Parameter Input'!AM$80</f>
        <v>0.62900084210526319</v>
      </c>
      <c r="F29" s="126">
        <f>'Parameter Input'!AN$80</f>
        <v>0</v>
      </c>
      <c r="G29">
        <f>'Parameter Input'!B$104*'Parameter Input'!B$105</f>
        <v>716.80000000000007</v>
      </c>
      <c r="H29">
        <f>'Parameter Input'!C$104*'Parameter Input'!C$105</f>
        <v>716.80000000000007</v>
      </c>
      <c r="I29" s="131">
        <f t="shared" si="0"/>
        <v>0.87751233552631569</v>
      </c>
      <c r="J29" s="131">
        <f t="shared" si="1"/>
        <v>0</v>
      </c>
      <c r="K29">
        <v>12</v>
      </c>
      <c r="L29">
        <v>0.9</v>
      </c>
      <c r="M29">
        <v>0.4</v>
      </c>
    </row>
    <row r="30" spans="1:13" x14ac:dyDescent="0.3">
      <c r="A30">
        <v>29</v>
      </c>
      <c r="B30" t="s">
        <v>227</v>
      </c>
      <c r="C30" t="s">
        <v>87</v>
      </c>
      <c r="D30" t="s">
        <v>225</v>
      </c>
      <c r="E30" s="126">
        <f>'Parameter Input'!AM$80</f>
        <v>0.62900084210526319</v>
      </c>
      <c r="F30" s="126">
        <f>'Parameter Input'!AN$80</f>
        <v>0</v>
      </c>
      <c r="G30">
        <f>'Parameter Input'!B$116*'Parameter Input'!B$117</f>
        <v>1209.6000000000001</v>
      </c>
      <c r="H30">
        <f>'Parameter Input'!C$116*'Parameter Input'!C$117</f>
        <v>1209.6000000000001</v>
      </c>
      <c r="I30" s="131">
        <f t="shared" si="0"/>
        <v>0.52000730994152045</v>
      </c>
      <c r="J30" s="131">
        <f t="shared" si="1"/>
        <v>0</v>
      </c>
      <c r="K30">
        <v>12</v>
      </c>
      <c r="L30">
        <v>0.9</v>
      </c>
      <c r="M30">
        <v>0.4</v>
      </c>
    </row>
    <row r="31" spans="1:13" x14ac:dyDescent="0.3">
      <c r="A31">
        <v>30</v>
      </c>
      <c r="B31" t="s">
        <v>227</v>
      </c>
      <c r="C31" t="s">
        <v>87</v>
      </c>
      <c r="D31" t="s">
        <v>226</v>
      </c>
      <c r="E31" s="126">
        <f>'Parameter Input'!AM$80</f>
        <v>0.62900084210526319</v>
      </c>
      <c r="F31" s="126">
        <f>'Parameter Input'!AN$80</f>
        <v>0</v>
      </c>
      <c r="G31">
        <f>'Parameter Input'!B$127*'Parameter Input'!B$128</f>
        <v>896</v>
      </c>
      <c r="H31">
        <f>'Parameter Input'!C$127*'Parameter Input'!C$128</f>
        <v>896</v>
      </c>
      <c r="I31" s="131">
        <f t="shared" si="0"/>
        <v>0.70200986842105273</v>
      </c>
      <c r="J31" s="131">
        <f t="shared" si="1"/>
        <v>0</v>
      </c>
      <c r="K31">
        <v>12</v>
      </c>
      <c r="L31">
        <v>0.9</v>
      </c>
      <c r="M31">
        <v>0.4</v>
      </c>
    </row>
    <row r="32" spans="1:13" x14ac:dyDescent="0.3">
      <c r="A32">
        <v>31</v>
      </c>
      <c r="B32" t="s">
        <v>227</v>
      </c>
      <c r="C32" t="s">
        <v>103</v>
      </c>
      <c r="D32" t="s">
        <v>222</v>
      </c>
      <c r="E32" s="126">
        <f>'Parameter Input'!AC$80</f>
        <v>1.4248603278688523</v>
      </c>
      <c r="F32" s="126">
        <f>'Parameter Input'!AD$80</f>
        <v>0</v>
      </c>
      <c r="G32">
        <f>'Parameter Input'!B$80*'Parameter Input'!B$81</f>
        <v>1075.2</v>
      </c>
      <c r="H32">
        <f>'Parameter Input'!C$80*'Parameter Input'!C$81</f>
        <v>1075.2</v>
      </c>
      <c r="I32" s="131">
        <f t="shared" si="0"/>
        <v>1.3252049180327867</v>
      </c>
      <c r="J32" s="131">
        <f t="shared" si="1"/>
        <v>0</v>
      </c>
      <c r="K32">
        <v>12</v>
      </c>
      <c r="L32">
        <v>0.9</v>
      </c>
      <c r="M32">
        <v>0.4</v>
      </c>
    </row>
    <row r="33" spans="1:13" x14ac:dyDescent="0.3">
      <c r="A33">
        <v>32</v>
      </c>
      <c r="B33" t="s">
        <v>227</v>
      </c>
      <c r="C33" t="s">
        <v>103</v>
      </c>
      <c r="D33" t="s">
        <v>223</v>
      </c>
      <c r="E33" s="126">
        <f>'Parameter Input'!AC$80</f>
        <v>1.4248603278688523</v>
      </c>
      <c r="F33" s="126">
        <f>'Parameter Input'!AD$80</f>
        <v>0</v>
      </c>
      <c r="G33">
        <f>'Parameter Input'!B$92*'Parameter Input'!B$93</f>
        <v>716.80000000000007</v>
      </c>
      <c r="H33">
        <f>'Parameter Input'!C$92*'Parameter Input'!C$93</f>
        <v>716.80000000000007</v>
      </c>
      <c r="I33" s="131">
        <f t="shared" si="0"/>
        <v>1.98780737704918</v>
      </c>
      <c r="J33" s="131">
        <f t="shared" si="1"/>
        <v>0</v>
      </c>
      <c r="K33">
        <v>12</v>
      </c>
      <c r="L33">
        <v>0.9</v>
      </c>
      <c r="M33">
        <v>0.4</v>
      </c>
    </row>
    <row r="34" spans="1:13" x14ac:dyDescent="0.3">
      <c r="A34">
        <v>33</v>
      </c>
      <c r="B34" t="s">
        <v>227</v>
      </c>
      <c r="C34" s="172" t="s">
        <v>103</v>
      </c>
      <c r="D34" t="s">
        <v>224</v>
      </c>
      <c r="E34" s="126">
        <f>'Parameter Input'!AC$80</f>
        <v>1.4248603278688523</v>
      </c>
      <c r="F34" s="126">
        <f>'Parameter Input'!AD$80</f>
        <v>0</v>
      </c>
      <c r="G34">
        <f>'Parameter Input'!B$104*'Parameter Input'!B$105</f>
        <v>716.80000000000007</v>
      </c>
      <c r="H34">
        <f>'Parameter Input'!C$104*'Parameter Input'!C$105</f>
        <v>716.80000000000007</v>
      </c>
      <c r="I34" s="131">
        <f t="shared" si="0"/>
        <v>1.98780737704918</v>
      </c>
      <c r="J34" s="131">
        <f t="shared" si="1"/>
        <v>0</v>
      </c>
      <c r="K34">
        <v>12</v>
      </c>
      <c r="L34">
        <v>0.9</v>
      </c>
      <c r="M34">
        <v>0.4</v>
      </c>
    </row>
    <row r="35" spans="1:13" x14ac:dyDescent="0.3">
      <c r="A35">
        <v>34</v>
      </c>
      <c r="B35" t="s">
        <v>227</v>
      </c>
      <c r="C35" s="172" t="s">
        <v>103</v>
      </c>
      <c r="D35" t="s">
        <v>225</v>
      </c>
      <c r="E35" s="126">
        <f>'Parameter Input'!AC$80</f>
        <v>1.4248603278688523</v>
      </c>
      <c r="F35" s="126">
        <f>'Parameter Input'!AD$80</f>
        <v>0</v>
      </c>
      <c r="G35">
        <f>'Parameter Input'!B$116*'Parameter Input'!B$117</f>
        <v>1209.6000000000001</v>
      </c>
      <c r="H35">
        <f>'Parameter Input'!C$116*'Parameter Input'!C$117</f>
        <v>1209.6000000000001</v>
      </c>
      <c r="I35" s="131">
        <f t="shared" si="0"/>
        <v>1.1779599271402548</v>
      </c>
      <c r="J35" s="131">
        <f t="shared" si="1"/>
        <v>0</v>
      </c>
      <c r="K35">
        <v>12</v>
      </c>
      <c r="L35">
        <v>0.9</v>
      </c>
      <c r="M35">
        <v>0.4</v>
      </c>
    </row>
    <row r="36" spans="1:13" x14ac:dyDescent="0.3">
      <c r="A36">
        <v>35</v>
      </c>
      <c r="B36" t="s">
        <v>227</v>
      </c>
      <c r="C36" s="172" t="s">
        <v>103</v>
      </c>
      <c r="D36" t="s">
        <v>226</v>
      </c>
      <c r="E36" s="126">
        <f>'Parameter Input'!AC$80</f>
        <v>1.4248603278688523</v>
      </c>
      <c r="F36" s="126">
        <f>'Parameter Input'!AD$80</f>
        <v>0</v>
      </c>
      <c r="G36">
        <f>'Parameter Input'!B$127*'Parameter Input'!B$128</f>
        <v>896</v>
      </c>
      <c r="H36">
        <f>'Parameter Input'!C$127*'Parameter Input'!C$128</f>
        <v>896</v>
      </c>
      <c r="I36" s="131">
        <f>E36/(G36)*1000</f>
        <v>1.590245901639344</v>
      </c>
      <c r="J36" s="131">
        <f t="shared" si="1"/>
        <v>0</v>
      </c>
      <c r="K36">
        <v>12</v>
      </c>
      <c r="L36">
        <v>0.9</v>
      </c>
      <c r="M36">
        <v>0.4</v>
      </c>
    </row>
    <row r="37" spans="1:13" x14ac:dyDescent="0.3">
      <c r="A37">
        <v>36</v>
      </c>
      <c r="B37" t="s">
        <v>168</v>
      </c>
      <c r="C37" s="172" t="s">
        <v>290</v>
      </c>
      <c r="D37" t="s">
        <v>222</v>
      </c>
      <c r="E37" s="126">
        <f>'Parameter Input'!X$145</f>
        <v>172.49705634987384</v>
      </c>
      <c r="F37" s="126">
        <f>'Parameter Input'!Y$145</f>
        <v>159.9663582842725</v>
      </c>
      <c r="G37">
        <f>'Parameter Input'!B$145*'Parameter Input'!B$146</f>
        <v>4819.5</v>
      </c>
      <c r="H37">
        <f>'Parameter Input'!C$145*'Parameter Input'!C$146</f>
        <v>4819.5</v>
      </c>
      <c r="I37" s="131">
        <f t="shared" si="0"/>
        <v>35.791483836471386</v>
      </c>
      <c r="J37" s="131">
        <f t="shared" si="1"/>
        <v>33.191484237840548</v>
      </c>
      <c r="K37">
        <v>12</v>
      </c>
      <c r="L37">
        <v>0.9</v>
      </c>
      <c r="M37">
        <v>0.4</v>
      </c>
    </row>
    <row r="38" spans="1:13" x14ac:dyDescent="0.3">
      <c r="A38">
        <v>37</v>
      </c>
      <c r="B38" t="s">
        <v>168</v>
      </c>
      <c r="C38" s="172" t="s">
        <v>290</v>
      </c>
      <c r="D38" t="s">
        <v>223</v>
      </c>
      <c r="E38" s="126">
        <f>'Parameter Input'!X$145</f>
        <v>172.49705634987384</v>
      </c>
      <c r="F38" s="126">
        <f>'Parameter Input'!Y$145</f>
        <v>159.9663582842725</v>
      </c>
      <c r="G38" s="129"/>
      <c r="H38" s="129"/>
      <c r="I38" s="131"/>
      <c r="J38" s="131"/>
      <c r="K38">
        <v>12</v>
      </c>
      <c r="L38">
        <v>0.9</v>
      </c>
      <c r="M38">
        <v>0.4</v>
      </c>
    </row>
    <row r="39" spans="1:13" x14ac:dyDescent="0.3">
      <c r="A39">
        <v>38</v>
      </c>
      <c r="B39" t="s">
        <v>168</v>
      </c>
      <c r="C39" s="172" t="s">
        <v>290</v>
      </c>
      <c r="D39" t="s">
        <v>224</v>
      </c>
      <c r="E39" s="126">
        <f>'Parameter Input'!X$145</f>
        <v>172.49705634987384</v>
      </c>
      <c r="F39" s="126">
        <f>'Parameter Input'!Y$145</f>
        <v>159.9663582842725</v>
      </c>
      <c r="G39">
        <f>'Parameter Input'!B$157*'Parameter Input'!B$158</f>
        <v>4063.5</v>
      </c>
      <c r="H39">
        <f>'Parameter Input'!C$157*'Parameter Input'!C$158</f>
        <v>4063.5</v>
      </c>
      <c r="I39" s="131">
        <f t="shared" si="0"/>
        <v>42.450364550233502</v>
      </c>
      <c r="J39" s="131">
        <f t="shared" si="1"/>
        <v>39.366644096043437</v>
      </c>
      <c r="K39">
        <v>12</v>
      </c>
      <c r="L39">
        <v>0.9</v>
      </c>
      <c r="M39">
        <v>0.4</v>
      </c>
    </row>
    <row r="40" spans="1:13" x14ac:dyDescent="0.3">
      <c r="A40">
        <v>39</v>
      </c>
      <c r="B40" t="s">
        <v>168</v>
      </c>
      <c r="C40" s="172" t="s">
        <v>290</v>
      </c>
      <c r="D40" t="s">
        <v>225</v>
      </c>
      <c r="E40" s="126">
        <f>'Parameter Input'!X$145</f>
        <v>172.49705634987384</v>
      </c>
      <c r="F40" s="126">
        <f>'Parameter Input'!Y$145</f>
        <v>159.9663582842725</v>
      </c>
      <c r="G40">
        <f>'Parameter Input'!B$169*'Parameter Input'!B$170</f>
        <v>3685.5</v>
      </c>
      <c r="H40">
        <f>'Parameter Input'!C$169*'Parameter Input'!C$170</f>
        <v>3685.5</v>
      </c>
      <c r="I40" s="131">
        <f t="shared" si="0"/>
        <v>46.804248093847193</v>
      </c>
      <c r="J40" s="131">
        <f t="shared" si="1"/>
        <v>43.404248618714561</v>
      </c>
      <c r="K40">
        <v>12</v>
      </c>
      <c r="L40">
        <v>0.9</v>
      </c>
      <c r="M40">
        <v>0.4</v>
      </c>
    </row>
    <row r="41" spans="1:13" x14ac:dyDescent="0.3">
      <c r="A41">
        <v>40</v>
      </c>
      <c r="B41" t="s">
        <v>168</v>
      </c>
      <c r="C41" s="172" t="s">
        <v>290</v>
      </c>
      <c r="D41" t="s">
        <v>226</v>
      </c>
      <c r="E41" s="126">
        <f>'Parameter Input'!X$145</f>
        <v>172.49705634987384</v>
      </c>
      <c r="F41" s="126">
        <f>'Parameter Input'!Y$145</f>
        <v>159.9663582842725</v>
      </c>
      <c r="G41">
        <f>'Parameter Input'!B$182*'Parameter Input'!B$183</f>
        <v>4819.5</v>
      </c>
      <c r="H41">
        <f>'Parameter Input'!C$182*'Parameter Input'!C$183</f>
        <v>4819.5</v>
      </c>
      <c r="I41" s="131">
        <f t="shared" si="0"/>
        <v>35.791483836471386</v>
      </c>
      <c r="J41" s="131">
        <f t="shared" si="1"/>
        <v>33.191484237840548</v>
      </c>
      <c r="K41">
        <v>12</v>
      </c>
      <c r="L41">
        <v>0.9</v>
      </c>
      <c r="M41">
        <v>0.4</v>
      </c>
    </row>
    <row r="42" spans="1:13" x14ac:dyDescent="0.3">
      <c r="A42">
        <v>41</v>
      </c>
      <c r="B42" t="s">
        <v>168</v>
      </c>
      <c r="C42" s="172" t="s">
        <v>291</v>
      </c>
      <c r="D42" t="s">
        <v>222</v>
      </c>
      <c r="E42" s="126">
        <f>'Parameter Input'!AC$145</f>
        <v>181.77348551360842</v>
      </c>
      <c r="F42" s="126">
        <f>'Parameter Input'!AD$145</f>
        <v>168.56892010535557</v>
      </c>
      <c r="G42">
        <f>'Parameter Input'!B$145*'Parameter Input'!B$146</f>
        <v>4819.5</v>
      </c>
      <c r="H42">
        <f>'Parameter Input'!C$145*'Parameter Input'!C$146</f>
        <v>4819.5</v>
      </c>
      <c r="I42" s="131">
        <f t="shared" si="0"/>
        <v>37.716253867332384</v>
      </c>
      <c r="J42" s="131">
        <f t="shared" si="1"/>
        <v>34.976433261822919</v>
      </c>
      <c r="K42">
        <v>12</v>
      </c>
      <c r="L42">
        <v>0.9</v>
      </c>
      <c r="M42">
        <v>0.4</v>
      </c>
    </row>
    <row r="43" spans="1:13" x14ac:dyDescent="0.3">
      <c r="A43">
        <v>42</v>
      </c>
      <c r="B43" t="s">
        <v>168</v>
      </c>
      <c r="C43" s="172" t="s">
        <v>291</v>
      </c>
      <c r="D43" t="s">
        <v>223</v>
      </c>
      <c r="E43" s="126">
        <f>'Parameter Input'!AC$145</f>
        <v>181.77348551360842</v>
      </c>
      <c r="F43" s="126">
        <f>'Parameter Input'!AD$145</f>
        <v>168.56892010535557</v>
      </c>
      <c r="G43" s="171"/>
      <c r="H43" s="171"/>
      <c r="I43" s="131"/>
      <c r="J43" s="131"/>
      <c r="K43">
        <v>12</v>
      </c>
      <c r="L43">
        <v>0.9</v>
      </c>
      <c r="M43">
        <v>0.4</v>
      </c>
    </row>
    <row r="44" spans="1:13" x14ac:dyDescent="0.3">
      <c r="A44">
        <v>43</v>
      </c>
      <c r="B44" t="s">
        <v>168</v>
      </c>
      <c r="C44" s="172" t="s">
        <v>291</v>
      </c>
      <c r="D44" t="s">
        <v>224</v>
      </c>
      <c r="E44" s="126">
        <f>'Parameter Input'!AC$145</f>
        <v>181.77348551360842</v>
      </c>
      <c r="F44" s="126">
        <f>'Parameter Input'!AD$145</f>
        <v>168.56892010535557</v>
      </c>
      <c r="G44">
        <f>'Parameter Input'!B$157*'Parameter Input'!B$158</f>
        <v>4063.5</v>
      </c>
      <c r="H44">
        <f>'Parameter Input'!C$157*'Parameter Input'!C$158</f>
        <v>4063.5</v>
      </c>
      <c r="I44" s="131">
        <f t="shared" si="0"/>
        <v>44.733231331022132</v>
      </c>
      <c r="J44" s="131">
        <f t="shared" si="1"/>
        <v>41.483676659371376</v>
      </c>
      <c r="K44">
        <v>12</v>
      </c>
      <c r="L44">
        <v>0.9</v>
      </c>
      <c r="M44">
        <v>0.4</v>
      </c>
    </row>
    <row r="45" spans="1:13" x14ac:dyDescent="0.3">
      <c r="A45">
        <v>44</v>
      </c>
      <c r="B45" t="s">
        <v>168</v>
      </c>
      <c r="C45" s="172" t="s">
        <v>291</v>
      </c>
      <c r="D45" t="s">
        <v>225</v>
      </c>
      <c r="E45" s="126">
        <f>'Parameter Input'!AC$145</f>
        <v>181.77348551360842</v>
      </c>
      <c r="F45" s="126">
        <f>'Parameter Input'!AD$145</f>
        <v>168.56892010535557</v>
      </c>
      <c r="G45">
        <f>'Parameter Input'!B$169*'Parameter Input'!B$170</f>
        <v>3685.5</v>
      </c>
      <c r="H45">
        <f>'Parameter Input'!C$169*'Parameter Input'!C$170</f>
        <v>3685.5</v>
      </c>
      <c r="I45" s="131">
        <f t="shared" si="0"/>
        <v>49.321255057280808</v>
      </c>
      <c r="J45" s="131">
        <f t="shared" si="1"/>
        <v>45.738412726999201</v>
      </c>
      <c r="K45">
        <v>12</v>
      </c>
      <c r="L45">
        <v>0.9</v>
      </c>
      <c r="M45">
        <v>0.4</v>
      </c>
    </row>
    <row r="46" spans="1:13" x14ac:dyDescent="0.3">
      <c r="A46">
        <v>45</v>
      </c>
      <c r="B46" t="s">
        <v>168</v>
      </c>
      <c r="C46" s="172" t="s">
        <v>291</v>
      </c>
      <c r="D46" t="s">
        <v>226</v>
      </c>
      <c r="E46" s="126">
        <f>'Parameter Input'!AC$145</f>
        <v>181.77348551360842</v>
      </c>
      <c r="F46" s="126">
        <f>'Parameter Input'!AD$145</f>
        <v>168.56892010535557</v>
      </c>
      <c r="G46">
        <f>'Parameter Input'!B$182*'Parameter Input'!B$183</f>
        <v>4819.5</v>
      </c>
      <c r="H46">
        <f>'Parameter Input'!C$182*'Parameter Input'!C$183</f>
        <v>4819.5</v>
      </c>
      <c r="I46" s="131">
        <f t="shared" si="0"/>
        <v>37.716253867332384</v>
      </c>
      <c r="J46" s="131">
        <f t="shared" si="1"/>
        <v>34.976433261822919</v>
      </c>
      <c r="K46">
        <v>12</v>
      </c>
      <c r="L46">
        <v>0.9</v>
      </c>
      <c r="M46">
        <v>0.4</v>
      </c>
    </row>
    <row r="47" spans="1:13" x14ac:dyDescent="0.3">
      <c r="A47">
        <v>46</v>
      </c>
      <c r="B47" t="s">
        <v>168</v>
      </c>
      <c r="C47" s="172" t="s">
        <v>103</v>
      </c>
      <c r="D47" t="s">
        <v>222</v>
      </c>
      <c r="E47" s="126">
        <f>'Parameter Input'!AH$145</f>
        <v>24.449056603773585</v>
      </c>
      <c r="F47" s="126">
        <f>'Parameter Input'!AI$145</f>
        <v>0</v>
      </c>
      <c r="G47">
        <f>'Parameter Input'!B$145*'Parameter Input'!B$146</f>
        <v>4819.5</v>
      </c>
      <c r="H47">
        <f>'Parameter Input'!C$145*'Parameter Input'!C$146</f>
        <v>4819.5</v>
      </c>
      <c r="I47" s="131">
        <f t="shared" si="0"/>
        <v>5.07294462159427</v>
      </c>
      <c r="J47" s="131">
        <f t="shared" si="1"/>
        <v>0</v>
      </c>
      <c r="K47">
        <v>12</v>
      </c>
      <c r="L47">
        <v>0.9</v>
      </c>
      <c r="M47">
        <v>0.4</v>
      </c>
    </row>
    <row r="48" spans="1:13" x14ac:dyDescent="0.3">
      <c r="A48">
        <v>47</v>
      </c>
      <c r="B48" t="s">
        <v>168</v>
      </c>
      <c r="C48" s="172" t="s">
        <v>103</v>
      </c>
      <c r="D48" t="s">
        <v>223</v>
      </c>
      <c r="E48" s="126">
        <f>'Parameter Input'!AH$145</f>
        <v>24.449056603773585</v>
      </c>
      <c r="F48" s="126">
        <f>'Parameter Input'!AI$145</f>
        <v>0</v>
      </c>
      <c r="G48" s="129"/>
      <c r="H48" s="129"/>
      <c r="I48" s="131"/>
      <c r="J48" s="131"/>
      <c r="K48">
        <v>12</v>
      </c>
      <c r="L48">
        <v>0.9</v>
      </c>
      <c r="M48">
        <v>0.4</v>
      </c>
    </row>
    <row r="49" spans="1:13" x14ac:dyDescent="0.3">
      <c r="A49">
        <v>48</v>
      </c>
      <c r="B49" t="s">
        <v>168</v>
      </c>
      <c r="C49" s="172" t="s">
        <v>103</v>
      </c>
      <c r="D49" t="s">
        <v>224</v>
      </c>
      <c r="E49" s="126">
        <f>'Parameter Input'!AH$145</f>
        <v>24.449056603773585</v>
      </c>
      <c r="F49" s="126">
        <f>'Parameter Input'!AI$145</f>
        <v>0</v>
      </c>
      <c r="G49">
        <f>'Parameter Input'!B$157*'Parameter Input'!B$158</f>
        <v>4063.5</v>
      </c>
      <c r="H49">
        <f>'Parameter Input'!C$157*'Parameter Input'!C$158</f>
        <v>4063.5</v>
      </c>
      <c r="I49" s="131">
        <f t="shared" si="0"/>
        <v>6.0167482721234364</v>
      </c>
      <c r="J49" s="131">
        <f t="shared" si="1"/>
        <v>0</v>
      </c>
      <c r="K49">
        <v>12</v>
      </c>
      <c r="L49">
        <v>0.9</v>
      </c>
      <c r="M49">
        <v>0.4</v>
      </c>
    </row>
    <row r="50" spans="1:13" x14ac:dyDescent="0.3">
      <c r="A50">
        <v>49</v>
      </c>
      <c r="B50" t="s">
        <v>168</v>
      </c>
      <c r="C50" t="s">
        <v>103</v>
      </c>
      <c r="D50" t="s">
        <v>225</v>
      </c>
      <c r="E50" s="126">
        <f>'Parameter Input'!AH$145</f>
        <v>24.449056603773585</v>
      </c>
      <c r="F50" s="126">
        <f>'Parameter Input'!AI$145</f>
        <v>0</v>
      </c>
      <c r="G50">
        <f>'Parameter Input'!B$169*'Parameter Input'!B$170</f>
        <v>3685.5</v>
      </c>
      <c r="H50">
        <f>'Parameter Input'!C$169*'Parameter Input'!C$170</f>
        <v>3685.5</v>
      </c>
      <c r="I50" s="131">
        <f t="shared" si="0"/>
        <v>6.6338506590078916</v>
      </c>
      <c r="J50" s="131">
        <f t="shared" si="1"/>
        <v>0</v>
      </c>
      <c r="K50">
        <v>12</v>
      </c>
      <c r="L50">
        <v>0.9</v>
      </c>
      <c r="M50">
        <v>0.4</v>
      </c>
    </row>
    <row r="51" spans="1:13" x14ac:dyDescent="0.3">
      <c r="A51">
        <v>50</v>
      </c>
      <c r="B51" t="s">
        <v>168</v>
      </c>
      <c r="C51" t="s">
        <v>103</v>
      </c>
      <c r="D51" t="s">
        <v>226</v>
      </c>
      <c r="E51" s="126">
        <f>'Parameter Input'!AH$145</f>
        <v>24.449056603773585</v>
      </c>
      <c r="F51" s="126">
        <f>'Parameter Input'!AI$145</f>
        <v>0</v>
      </c>
      <c r="G51">
        <f>'Parameter Input'!B$182*'Parameter Input'!B$183</f>
        <v>4819.5</v>
      </c>
      <c r="H51">
        <f>'Parameter Input'!C$182*'Parameter Input'!C$183</f>
        <v>4819.5</v>
      </c>
      <c r="I51" s="131">
        <f t="shared" si="0"/>
        <v>5.07294462159427</v>
      </c>
      <c r="J51" s="131">
        <f t="shared" si="1"/>
        <v>0</v>
      </c>
      <c r="K51">
        <v>12</v>
      </c>
      <c r="L51">
        <v>0.9</v>
      </c>
      <c r="M51">
        <v>0.4</v>
      </c>
    </row>
    <row r="52" spans="1:13" x14ac:dyDescent="0.3">
      <c r="A52">
        <v>51</v>
      </c>
      <c r="B52" t="s">
        <v>168</v>
      </c>
      <c r="C52" t="s">
        <v>186</v>
      </c>
      <c r="D52" t="s">
        <v>222</v>
      </c>
      <c r="E52" s="126">
        <f>'Parameter Input'!AM$145</f>
        <v>24.919230769230765</v>
      </c>
      <c r="F52" s="126">
        <f>'Parameter Input'!AN$145</f>
        <v>0</v>
      </c>
      <c r="G52">
        <f>'Parameter Input'!B$145*'Parameter Input'!B$146</f>
        <v>4819.5</v>
      </c>
      <c r="H52">
        <f>'Parameter Input'!C$145*'Parameter Input'!C$146</f>
        <v>4819.5</v>
      </c>
      <c r="I52" s="131">
        <f t="shared" si="0"/>
        <v>5.1705012489326201</v>
      </c>
      <c r="J52" s="131">
        <f t="shared" si="1"/>
        <v>0</v>
      </c>
      <c r="K52">
        <v>12</v>
      </c>
      <c r="L52">
        <v>0.9</v>
      </c>
      <c r="M52">
        <v>0.4</v>
      </c>
    </row>
    <row r="53" spans="1:13" x14ac:dyDescent="0.3">
      <c r="A53">
        <v>52</v>
      </c>
      <c r="B53" t="s">
        <v>168</v>
      </c>
      <c r="C53" t="s">
        <v>186</v>
      </c>
      <c r="D53" t="s">
        <v>223</v>
      </c>
      <c r="E53" s="126">
        <f>'Parameter Input'!AM$145</f>
        <v>24.919230769230765</v>
      </c>
      <c r="F53" s="126">
        <f>'Parameter Input'!AN$145</f>
        <v>0</v>
      </c>
      <c r="G53" s="129"/>
      <c r="H53" s="129"/>
      <c r="I53" s="131"/>
      <c r="J53" s="131"/>
      <c r="K53">
        <v>12</v>
      </c>
      <c r="L53">
        <v>0.9</v>
      </c>
      <c r="M53">
        <v>0.4</v>
      </c>
    </row>
    <row r="54" spans="1:13" x14ac:dyDescent="0.3">
      <c r="A54">
        <v>53</v>
      </c>
      <c r="B54" t="s">
        <v>168</v>
      </c>
      <c r="C54" t="s">
        <v>186</v>
      </c>
      <c r="D54" t="s">
        <v>224</v>
      </c>
      <c r="E54" s="126">
        <f>'Parameter Input'!AM$145</f>
        <v>24.919230769230765</v>
      </c>
      <c r="F54" s="126">
        <f>'Parameter Input'!AN$145</f>
        <v>0</v>
      </c>
      <c r="G54">
        <f>'Parameter Input'!B$157*'Parameter Input'!B$158</f>
        <v>4063.5</v>
      </c>
      <c r="H54">
        <f>'Parameter Input'!C$157*'Parameter Input'!C$158</f>
        <v>4063.5</v>
      </c>
      <c r="I54" s="131">
        <f t="shared" si="0"/>
        <v>6.1324549696642707</v>
      </c>
      <c r="J54" s="131">
        <f t="shared" si="1"/>
        <v>0</v>
      </c>
      <c r="K54">
        <v>12</v>
      </c>
      <c r="L54">
        <v>0.9</v>
      </c>
      <c r="M54">
        <v>0.4</v>
      </c>
    </row>
    <row r="55" spans="1:13" x14ac:dyDescent="0.3">
      <c r="A55" s="172">
        <v>54</v>
      </c>
      <c r="B55" s="172" t="s">
        <v>168</v>
      </c>
      <c r="C55" s="172" t="s">
        <v>186</v>
      </c>
      <c r="D55" s="172" t="s">
        <v>225</v>
      </c>
      <c r="E55" s="126">
        <f>'Parameter Input'!AM$145</f>
        <v>24.919230769230765</v>
      </c>
      <c r="F55" s="126">
        <f>'Parameter Input'!AN$145</f>
        <v>0</v>
      </c>
      <c r="G55">
        <f>'Parameter Input'!B$169*'Parameter Input'!B$170</f>
        <v>3685.5</v>
      </c>
      <c r="H55">
        <f>'Parameter Input'!C$169*'Parameter Input'!C$170</f>
        <v>3685.5</v>
      </c>
      <c r="I55" s="131">
        <f t="shared" si="0"/>
        <v>6.7614247101426574</v>
      </c>
      <c r="J55" s="131">
        <f t="shared" si="1"/>
        <v>0</v>
      </c>
      <c r="K55">
        <v>12</v>
      </c>
      <c r="L55">
        <v>0.9</v>
      </c>
      <c r="M55">
        <v>0.4</v>
      </c>
    </row>
    <row r="56" spans="1:13" x14ac:dyDescent="0.3">
      <c r="A56" s="172">
        <v>55</v>
      </c>
      <c r="B56" s="172" t="s">
        <v>168</v>
      </c>
      <c r="C56" s="172" t="s">
        <v>186</v>
      </c>
      <c r="D56" s="172" t="s">
        <v>226</v>
      </c>
      <c r="E56" s="126">
        <f>'Parameter Input'!AM$145</f>
        <v>24.919230769230765</v>
      </c>
      <c r="F56" s="126">
        <f>'Parameter Input'!AN$145</f>
        <v>0</v>
      </c>
      <c r="G56">
        <f>'Parameter Input'!B$182*'Parameter Input'!B$183</f>
        <v>4819.5</v>
      </c>
      <c r="H56">
        <f>'Parameter Input'!C$182*'Parameter Input'!C$183</f>
        <v>4819.5</v>
      </c>
      <c r="I56" s="131">
        <f t="shared" si="0"/>
        <v>5.1705012489326201</v>
      </c>
      <c r="J56" s="131">
        <f t="shared" si="1"/>
        <v>0</v>
      </c>
      <c r="K56">
        <v>12</v>
      </c>
      <c r="L56">
        <v>0.9</v>
      </c>
      <c r="M56">
        <v>0.4</v>
      </c>
    </row>
    <row r="57" spans="1:13" x14ac:dyDescent="0.3">
      <c r="A57" s="172">
        <v>56</v>
      </c>
      <c r="B57" s="172" t="s">
        <v>168</v>
      </c>
      <c r="C57" s="172" t="s">
        <v>187</v>
      </c>
      <c r="D57" s="172" t="s">
        <v>222</v>
      </c>
      <c r="E57" s="126">
        <f>'Parameter Input'!AR$145</f>
        <v>31.631111111111107</v>
      </c>
      <c r="F57" s="126">
        <f>'Parameter Input'!AS$145</f>
        <v>0</v>
      </c>
      <c r="G57">
        <f>'Parameter Input'!B$145*'Parameter Input'!B$146</f>
        <v>4819.5</v>
      </c>
      <c r="H57">
        <f>'Parameter Input'!C$145*'Parameter Input'!C$146</f>
        <v>4819.5</v>
      </c>
      <c r="I57" s="131">
        <f t="shared" si="0"/>
        <v>6.563152009775103</v>
      </c>
      <c r="J57" s="131">
        <f t="shared" si="1"/>
        <v>0</v>
      </c>
      <c r="K57">
        <v>12</v>
      </c>
      <c r="L57">
        <v>0.9</v>
      </c>
      <c r="M57">
        <v>0.4</v>
      </c>
    </row>
    <row r="58" spans="1:13" x14ac:dyDescent="0.3">
      <c r="A58" s="172">
        <v>57</v>
      </c>
      <c r="B58" s="172" t="s">
        <v>168</v>
      </c>
      <c r="C58" s="172" t="s">
        <v>187</v>
      </c>
      <c r="D58" s="172" t="s">
        <v>223</v>
      </c>
      <c r="E58" s="126">
        <f>'Parameter Input'!AR$145</f>
        <v>31.631111111111107</v>
      </c>
      <c r="F58" s="126">
        <f>'Parameter Input'!AS$145</f>
        <v>0</v>
      </c>
      <c r="G58" s="129"/>
      <c r="H58" s="129"/>
      <c r="I58" s="131"/>
      <c r="J58" s="131"/>
      <c r="K58">
        <v>12</v>
      </c>
      <c r="L58">
        <v>0.9</v>
      </c>
      <c r="M58">
        <v>0.4</v>
      </c>
    </row>
    <row r="59" spans="1:13" x14ac:dyDescent="0.3">
      <c r="A59" s="172">
        <v>58</v>
      </c>
      <c r="B59" s="172" t="s">
        <v>168</v>
      </c>
      <c r="C59" s="172" t="s">
        <v>187</v>
      </c>
      <c r="D59" s="172" t="s">
        <v>224</v>
      </c>
      <c r="E59" s="126">
        <f>'Parameter Input'!AR$145</f>
        <v>31.631111111111107</v>
      </c>
      <c r="F59" s="126">
        <f>'Parameter Input'!AS$145</f>
        <v>0</v>
      </c>
      <c r="G59">
        <f>'Parameter Input'!B$157*'Parameter Input'!B$158</f>
        <v>4063.5</v>
      </c>
      <c r="H59">
        <f>'Parameter Input'!C$157*'Parameter Input'!C$158</f>
        <v>4063.5</v>
      </c>
      <c r="I59" s="131">
        <f t="shared" si="0"/>
        <v>7.7842035464774471</v>
      </c>
      <c r="J59" s="131">
        <f t="shared" si="1"/>
        <v>0</v>
      </c>
      <c r="K59">
        <v>12</v>
      </c>
      <c r="L59">
        <v>0.9</v>
      </c>
      <c r="M59">
        <v>0.4</v>
      </c>
    </row>
    <row r="60" spans="1:13" x14ac:dyDescent="0.3">
      <c r="A60" s="172">
        <v>59</v>
      </c>
      <c r="B60" s="172" t="s">
        <v>168</v>
      </c>
      <c r="C60" s="172" t="s">
        <v>187</v>
      </c>
      <c r="D60" s="172" t="s">
        <v>225</v>
      </c>
      <c r="E60" s="126">
        <f>'Parameter Input'!AR$145</f>
        <v>31.631111111111107</v>
      </c>
      <c r="F60" s="126">
        <f>'Parameter Input'!AS$145</f>
        <v>0</v>
      </c>
      <c r="G60">
        <f>'Parameter Input'!B$169*'Parameter Input'!B$170</f>
        <v>3685.5</v>
      </c>
      <c r="H60">
        <f>'Parameter Input'!C$169*'Parameter Input'!C$170</f>
        <v>3685.5</v>
      </c>
      <c r="I60" s="131">
        <f t="shared" si="0"/>
        <v>8.5825833973982117</v>
      </c>
      <c r="J60" s="131">
        <f t="shared" si="1"/>
        <v>0</v>
      </c>
      <c r="K60">
        <v>12</v>
      </c>
      <c r="L60">
        <v>0.9</v>
      </c>
      <c r="M60">
        <v>0.4</v>
      </c>
    </row>
    <row r="61" spans="1:13" x14ac:dyDescent="0.3">
      <c r="A61" s="172">
        <v>60</v>
      </c>
      <c r="B61" s="172" t="s">
        <v>168</v>
      </c>
      <c r="C61" s="172" t="s">
        <v>187</v>
      </c>
      <c r="D61" s="172" t="s">
        <v>226</v>
      </c>
      <c r="E61" s="126">
        <f>'Parameter Input'!AR$145</f>
        <v>31.631111111111107</v>
      </c>
      <c r="F61" s="126">
        <f>'Parameter Input'!AS$145</f>
        <v>0</v>
      </c>
      <c r="G61">
        <f>'Parameter Input'!B$182*'Parameter Input'!B$183</f>
        <v>4819.5</v>
      </c>
      <c r="H61">
        <f>'Parameter Input'!C$182*'Parameter Input'!C$183</f>
        <v>4819.5</v>
      </c>
      <c r="I61" s="131">
        <f t="shared" si="0"/>
        <v>6.563152009775103</v>
      </c>
      <c r="J61" s="131">
        <f t="shared" si="1"/>
        <v>0</v>
      </c>
      <c r="K61">
        <v>12</v>
      </c>
      <c r="L61">
        <v>0.9</v>
      </c>
      <c r="M61">
        <v>0.4</v>
      </c>
    </row>
    <row r="62" spans="1:13" x14ac:dyDescent="0.3">
      <c r="A62" s="172"/>
      <c r="B62" s="172"/>
      <c r="C62" s="172"/>
      <c r="D62" s="172"/>
    </row>
  </sheetData>
  <autoFilter ref="A1:J62" xr:uid="{B107BC15-4EA9-4CE0-8790-9314B23FDF92}">
    <sortState xmlns:xlrd2="http://schemas.microsoft.com/office/spreadsheetml/2017/richdata2" ref="A2:J62">
      <sortCondition ref="A1:A62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668B1-9741-4E7F-A2AD-F09AFC561265}">
  <dimension ref="A1:AF61"/>
  <sheetViews>
    <sheetView topLeftCell="A38" workbookViewId="0">
      <selection activeCell="D14" sqref="D14"/>
    </sheetView>
  </sheetViews>
  <sheetFormatPr defaultRowHeight="14.4" x14ac:dyDescent="0.3"/>
  <cols>
    <col min="3" max="3" width="9.5546875" bestFit="1" customWidth="1"/>
    <col min="4" max="4" width="13.5546875" bestFit="1" customWidth="1"/>
  </cols>
  <sheetData>
    <row r="1" spans="1:32" x14ac:dyDescent="0.3">
      <c r="A1" s="125" t="s">
        <v>232</v>
      </c>
      <c r="B1" s="125" t="s">
        <v>219</v>
      </c>
      <c r="C1" s="125" t="s">
        <v>220</v>
      </c>
      <c r="D1" s="125" t="s">
        <v>236</v>
      </c>
      <c r="E1" s="125">
        <v>2023</v>
      </c>
      <c r="F1" s="125">
        <v>2024</v>
      </c>
      <c r="G1" s="125">
        <v>2025</v>
      </c>
      <c r="H1" s="125">
        <v>2026</v>
      </c>
      <c r="I1" s="125">
        <v>2027</v>
      </c>
      <c r="J1" s="125">
        <v>2028</v>
      </c>
      <c r="K1" s="125">
        <v>2029</v>
      </c>
      <c r="L1" s="125">
        <v>2030</v>
      </c>
      <c r="M1" s="125">
        <v>2031</v>
      </c>
      <c r="N1" s="125">
        <v>2032</v>
      </c>
      <c r="O1" s="125">
        <v>2033</v>
      </c>
      <c r="P1" s="125">
        <v>2034</v>
      </c>
      <c r="Q1" s="125">
        <v>2035</v>
      </c>
      <c r="R1" s="125">
        <v>2036</v>
      </c>
      <c r="S1" s="125">
        <v>2037</v>
      </c>
      <c r="T1" s="125">
        <v>2038</v>
      </c>
      <c r="U1" s="125">
        <v>2039</v>
      </c>
      <c r="V1" s="125">
        <v>2040</v>
      </c>
      <c r="W1" s="125">
        <v>2041</v>
      </c>
      <c r="X1" s="125">
        <v>2042</v>
      </c>
      <c r="Y1" s="125">
        <v>2043</v>
      </c>
      <c r="Z1" s="125">
        <v>2044</v>
      </c>
      <c r="AA1" s="125">
        <v>2045</v>
      </c>
      <c r="AB1" s="125">
        <v>2046</v>
      </c>
      <c r="AC1" s="125">
        <v>2047</v>
      </c>
      <c r="AD1" s="125">
        <v>2048</v>
      </c>
      <c r="AE1" s="125">
        <v>2049</v>
      </c>
      <c r="AF1" s="125">
        <v>2050</v>
      </c>
    </row>
    <row r="2" spans="1:32" x14ac:dyDescent="0.3">
      <c r="A2">
        <v>1</v>
      </c>
      <c r="B2" t="s">
        <v>221</v>
      </c>
      <c r="C2" t="s">
        <v>11</v>
      </c>
      <c r="D2" t="s">
        <v>222</v>
      </c>
      <c r="E2" s="126">
        <f>'Semi-trailer truck (Diesel)'!B$85</f>
        <v>0.23308732082245304</v>
      </c>
      <c r="F2" s="126">
        <f>'Semi-trailer truck (Diesel)'!C$85</f>
        <v>0.23310362128059528</v>
      </c>
      <c r="G2" s="126">
        <f>'Semi-trailer truck (Diesel)'!D$85</f>
        <v>0.23312691979661559</v>
      </c>
      <c r="H2" s="126">
        <f>'Semi-trailer truck (Diesel)'!E$85</f>
        <v>0.2331601760782315</v>
      </c>
      <c r="I2" s="126">
        <f>'Semi-trailer truck (Diesel)'!F$85</f>
        <v>0.23320755310925442</v>
      </c>
      <c r="J2" s="126">
        <f>'Semi-trailer truck (Diesel)'!G$85</f>
        <v>0.23327485561628755</v>
      </c>
      <c r="K2" s="126">
        <f>'Semi-trailer truck (Diesel)'!H$85</f>
        <v>0.2333700781751096</v>
      </c>
      <c r="L2" s="126">
        <f>'Semi-trailer truck (Diesel)'!I$85</f>
        <v>0.2335040438737824</v>
      </c>
      <c r="M2" s="126">
        <f>'Semi-trailer truck (Diesel)'!J$85</f>
        <v>0.23369106778795365</v>
      </c>
      <c r="N2" s="126">
        <f>'Semi-trailer truck (Diesel)'!K$85</f>
        <v>0.23394950906068337</v>
      </c>
      <c r="O2" s="126">
        <f>'Semi-trailer truck (Diesel)'!L$85</f>
        <v>0.23430197908223119</v>
      </c>
      <c r="P2" s="126">
        <f>'Semi-trailer truck (Diesel)'!M$85</f>
        <v>0.23477482174539976</v>
      </c>
      <c r="Q2" s="126">
        <f>'Semi-trailer truck (Diesel)'!N$85</f>
        <v>0.23539618740852902</v>
      </c>
      <c r="R2" s="126">
        <f>'Semi-trailer truck (Diesel)'!O$85</f>
        <v>0.23619156844236872</v>
      </c>
      <c r="S2" s="126">
        <f>'Semi-trailer truck (Diesel)'!P$85</f>
        <v>0.2371755646194669</v>
      </c>
      <c r="T2" s="126">
        <f>'Semi-trailer truck (Diesel)'!Q$85</f>
        <v>0.2383402121939428</v>
      </c>
      <c r="U2" s="126">
        <f>'Semi-trailer truck (Diesel)'!R$85</f>
        <v>0.23964425449338028</v>
      </c>
      <c r="V2" s="126">
        <f>'Semi-trailer truck (Diesel)'!S$85</f>
        <v>0.24101175643048153</v>
      </c>
      <c r="W2" s="126">
        <f>'Semi-trailer truck (Diesel)'!T$85</f>
        <v>0.24234648480292861</v>
      </c>
      <c r="X2" s="126">
        <f>'Semi-trailer truck (Diesel)'!U$85</f>
        <v>0.24355808237611862</v>
      </c>
      <c r="Y2" s="126">
        <f>'Semi-trailer truck (Diesel)'!V$85</f>
        <v>0.24458589532973082</v>
      </c>
      <c r="Z2" s="126">
        <f>'Semi-trailer truck (Diesel)'!W$85</f>
        <v>0.24540802276809126</v>
      </c>
      <c r="AA2" s="126">
        <f>'Semi-trailer truck (Diesel)'!X$85</f>
        <v>0.24603486353558843</v>
      </c>
      <c r="AB2" s="126">
        <f>'Semi-trailer truck (Diesel)'!Y$85</f>
        <v>0.24649541144830039</v>
      </c>
      <c r="AC2" s="126">
        <f>'Semi-trailer truck (Diesel)'!Z$85</f>
        <v>0.24682458811058344</v>
      </c>
      <c r="AD2" s="126">
        <f>'Semi-trailer truck (Diesel)'!AA$85</f>
        <v>0.24705524204152049</v>
      </c>
      <c r="AE2" s="126">
        <f>'Semi-trailer truck (Diesel)'!AB$85</f>
        <v>0.24721461499227146</v>
      </c>
      <c r="AF2" s="126">
        <f>'Semi-trailer truck (Diesel)'!AC$85</f>
        <v>0.247323671315758</v>
      </c>
    </row>
    <row r="3" spans="1:32" x14ac:dyDescent="0.3">
      <c r="A3">
        <v>2</v>
      </c>
      <c r="B3" t="s">
        <v>221</v>
      </c>
      <c r="C3" t="s">
        <v>11</v>
      </c>
      <c r="D3" t="s">
        <v>223</v>
      </c>
      <c r="E3" s="126">
        <f>'Semi-trailer truck (Diesel)'!B$191</f>
        <v>0.1238055036767374</v>
      </c>
      <c r="F3" s="126">
        <f>'Semi-trailer truck (Diesel)'!C$191</f>
        <v>0.12380666380091311</v>
      </c>
      <c r="G3" s="126">
        <f>'Semi-trailer truck (Diesel)'!D$191</f>
        <v>0.12380844593782504</v>
      </c>
      <c r="H3" s="126">
        <f>'Semi-trailer truck (Diesel)'!E$191</f>
        <v>0.12381125012665511</v>
      </c>
      <c r="I3" s="126">
        <f>'Semi-trailer truck (Diesel)'!F$191</f>
        <v>0.12381578724235459</v>
      </c>
      <c r="J3" s="126">
        <f>'Semi-trailer truck (Diesel)'!G$191</f>
        <v>0.1238233478112778</v>
      </c>
      <c r="K3" s="126">
        <f>'Semi-trailer truck (Diesel)'!H$191</f>
        <v>0.1238362972404675</v>
      </c>
      <c r="L3" s="126">
        <f>'Semi-trailer truck (Diesel)'!I$191</f>
        <v>0.12385894707103991</v>
      </c>
      <c r="M3" s="126">
        <f>'Semi-trailer truck (Diesel)'!J$191</f>
        <v>0.12389897153274283</v>
      </c>
      <c r="N3" s="126">
        <f>'Semi-trailer truck (Diesel)'!K$191</f>
        <v>0.12396942730822411</v>
      </c>
      <c r="O3" s="126">
        <f>'Semi-trailer truck (Diesel)'!L$191</f>
        <v>0.12409102664009448</v>
      </c>
      <c r="P3" s="126">
        <f>'Semi-trailer truck (Diesel)'!M$191</f>
        <v>0.12429352195377036</v>
      </c>
      <c r="Q3" s="126">
        <f>'Semi-trailer truck (Diesel)'!N$191</f>
        <v>0.12461420957879153</v>
      </c>
      <c r="R3" s="126">
        <f>'Semi-trailer truck (Diesel)'!O$191</f>
        <v>0.12509154902031946</v>
      </c>
      <c r="S3" s="126">
        <f>'Semi-trailer truck (Diesel)'!P$191</f>
        <v>0.12575353233323172</v>
      </c>
      <c r="T3" s="126">
        <f>'Semi-trailer truck (Diesel)'!Q$191</f>
        <v>0.12660346596020158</v>
      </c>
      <c r="U3" s="126">
        <f>'Semi-trailer truck (Diesel)'!R$191</f>
        <v>0.12760905772865583</v>
      </c>
      <c r="V3" s="126">
        <f>'Semi-trailer truck (Diesel)'!S$191</f>
        <v>0.12870227119129912</v>
      </c>
      <c r="W3" s="126">
        <f>'Semi-trailer truck (Diesel)'!T$191</f>
        <v>0.12979418744019416</v>
      </c>
      <c r="X3" s="126">
        <f>'Semi-trailer truck (Diesel)'!U$191</f>
        <v>0.13080001709573127</v>
      </c>
      <c r="Y3" s="126">
        <f>'Semi-trailer truck (Diesel)'!V$191</f>
        <v>0.13166128437891389</v>
      </c>
      <c r="Z3" s="126">
        <f>'Semi-trailer truck (Diesel)'!W$191</f>
        <v>0.13235433783317396</v>
      </c>
      <c r="AA3" s="126">
        <f>'Semi-trailer truck (Diesel)'!X$191</f>
        <v>0.13288481959219223</v>
      </c>
      <c r="AB3" s="126">
        <f>'Semi-trailer truck (Diesel)'!Y$191</f>
        <v>0.13327556027723336</v>
      </c>
      <c r="AC3" s="126">
        <f>'Semi-trailer truck (Diesel)'!Z$191</f>
        <v>0.13355530803851812</v>
      </c>
      <c r="AD3" s="126">
        <f>'Semi-trailer truck (Diesel)'!AA$191</f>
        <v>0.13375154330487515</v>
      </c>
      <c r="AE3" s="126">
        <f>'Semi-trailer truck (Diesel)'!AB$191</f>
        <v>0.13388723354782889</v>
      </c>
      <c r="AF3" s="126">
        <f>'Semi-trailer truck (Diesel)'!AC$191</f>
        <v>0.13398012944026955</v>
      </c>
    </row>
    <row r="4" spans="1:32" x14ac:dyDescent="0.3">
      <c r="A4">
        <v>3</v>
      </c>
      <c r="B4" t="s">
        <v>221</v>
      </c>
      <c r="C4" t="s">
        <v>11</v>
      </c>
      <c r="D4" t="s">
        <v>224</v>
      </c>
      <c r="E4" s="126">
        <f>'Semi-trailer truck (Diesel)'!B$299</f>
        <v>0.12998950809722276</v>
      </c>
      <c r="F4" s="126">
        <f>'Semi-trailer truck (Diesel)'!C$299</f>
        <v>0.12999136973122963</v>
      </c>
      <c r="G4" s="126">
        <f>'Semi-trailer truck (Diesel)'!D$299</f>
        <v>0.12999415377792561</v>
      </c>
      <c r="H4" s="126">
        <f>'Semi-trailer truck (Diesel)'!E$299</f>
        <v>0.12999838647472137</v>
      </c>
      <c r="I4" s="126">
        <f>'Semi-trailer truck (Diesel)'!F$299</f>
        <v>0.13000495528049205</v>
      </c>
      <c r="J4" s="126">
        <f>'Semi-trailer truck (Diesel)'!G$299</f>
        <v>0.13001539508531781</v>
      </c>
      <c r="K4" s="126">
        <f>'Semi-trailer truck (Diesel)'!H$299</f>
        <v>0.13003240419452344</v>
      </c>
      <c r="L4" s="126">
        <f>'Semi-trailer truck (Diesel)'!I$299</f>
        <v>0.13006073793851283</v>
      </c>
      <c r="M4" s="126">
        <f>'Semi-trailer truck (Diesel)'!J$299</f>
        <v>0.13010864527560395</v>
      </c>
      <c r="N4" s="126">
        <f>'Semi-trailer truck (Diesel)'!K$299</f>
        <v>0.13018990001464811</v>
      </c>
      <c r="O4" s="126">
        <f>'Semi-trailer truck (Diesel)'!L$299</f>
        <v>0.13032606885471082</v>
      </c>
      <c r="P4" s="126">
        <f>'Semi-trailer truck (Diesel)'!M$299</f>
        <v>0.1305478648101786</v>
      </c>
      <c r="Q4" s="126">
        <f>'Semi-trailer truck (Diesel)'!N$299</f>
        <v>0.13089357648499411</v>
      </c>
      <c r="R4" s="126">
        <f>'Semi-trailer truck (Diesel)'!O$299</f>
        <v>0.13140253286935033</v>
      </c>
      <c r="S4" s="126">
        <f>'Semi-trailer truck (Diesel)'!P$299</f>
        <v>0.13210318692714937</v>
      </c>
      <c r="T4" s="126">
        <f>'Semi-trailer truck (Diesel)'!Q$299</f>
        <v>0.13299847831433267</v>
      </c>
      <c r="U4" s="126">
        <f>'Semi-trailer truck (Diesel)'!R$299</f>
        <v>0.13405452166246148</v>
      </c>
      <c r="V4" s="126">
        <f>'Semi-trailer truck (Diesel)'!S$299</f>
        <v>0.13520040158533497</v>
      </c>
      <c r="W4" s="126">
        <f>'Semi-trailer truck (Diesel)'!T$299</f>
        <v>0.13634356741409487</v>
      </c>
      <c r="X4" s="126">
        <f>'Semi-trailer truck (Diesel)'!U$299</f>
        <v>0.13739582783582319</v>
      </c>
      <c r="Y4" s="126">
        <f>'Semi-trailer truck (Diesel)'!V$299</f>
        <v>0.13829643315249715</v>
      </c>
      <c r="Z4" s="126">
        <f>'Semi-trailer truck (Diesel)'!W$299</f>
        <v>0.13902092659815016</v>
      </c>
      <c r="AA4" s="126">
        <f>'Semi-trailer truck (Diesel)'!X$299</f>
        <v>0.13957536738582349</v>
      </c>
      <c r="AB4" s="126">
        <f>'Semi-trailer truck (Diesel)'!Y$299</f>
        <v>0.13998370493237977</v>
      </c>
      <c r="AC4" s="126">
        <f>'Semi-trailer truck (Diesel)'!Z$299</f>
        <v>0.14027602715872478</v>
      </c>
      <c r="AD4" s="126">
        <f>'Semi-trailer truck (Diesel)'!AA$299</f>
        <v>0.14048107200427562</v>
      </c>
      <c r="AE4" s="126">
        <f>'Semi-trailer truck (Diesel)'!AB$299</f>
        <v>0.14062284870941757</v>
      </c>
      <c r="AF4" s="126">
        <f>'Semi-trailer truck (Diesel)'!AC$299</f>
        <v>0.14071990918801952</v>
      </c>
    </row>
    <row r="5" spans="1:32" x14ac:dyDescent="0.3">
      <c r="A5">
        <v>4</v>
      </c>
      <c r="B5" t="s">
        <v>221</v>
      </c>
      <c r="C5" t="s">
        <v>11</v>
      </c>
      <c r="D5" t="s">
        <v>225</v>
      </c>
      <c r="E5" s="126">
        <f>'Semi-trailer truck (Diesel)'!B$408</f>
        <v>0.16217363519855427</v>
      </c>
      <c r="F5" s="126">
        <f>'Semi-trailer truck (Diesel)'!C$408</f>
        <v>0.16218045497835451</v>
      </c>
      <c r="G5" s="126">
        <f>'Semi-trailer truck (Diesel)'!D$408</f>
        <v>0.16219027888131796</v>
      </c>
      <c r="H5" s="126">
        <f>'Semi-trailer truck (Diesel)'!E$408</f>
        <v>0.16220446173846079</v>
      </c>
      <c r="I5" s="126">
        <f>'Semi-trailer truck (Diesel)'!F$408</f>
        <v>0.16222500038984297</v>
      </c>
      <c r="J5" s="126">
        <f>'Semi-trailer truck (Diesel)'!G$408</f>
        <v>0.16225486335127973</v>
      </c>
      <c r="K5" s="126">
        <f>'Semi-trailer truck (Diesel)'!H$408</f>
        <v>0.1622985008815773</v>
      </c>
      <c r="L5" s="126">
        <f>'Semi-trailer truck (Diesel)'!I$408</f>
        <v>0.16236262037012802</v>
      </c>
      <c r="M5" s="126">
        <f>'Semi-trailer truck (Diesel)'!J$408</f>
        <v>0.1624573065886582</v>
      </c>
      <c r="N5" s="126">
        <f>'Semi-trailer truck (Diesel)'!K$408</f>
        <v>0.16259747142221767</v>
      </c>
      <c r="O5" s="126">
        <f>'Semi-trailer truck (Diesel)'!L$408</f>
        <v>0.16280433068468425</v>
      </c>
      <c r="P5" s="126">
        <f>'Semi-trailer truck (Diesel)'!M$408</f>
        <v>0.1631060615073974</v>
      </c>
      <c r="Q5" s="126">
        <f>'Semi-trailer truck (Diesel)'!N$408</f>
        <v>0.16353616009359936</v>
      </c>
      <c r="R5" s="126">
        <f>'Semi-trailer truck (Diesel)'!O$408</f>
        <v>0.16412784281276716</v>
      </c>
      <c r="S5" s="126">
        <f>'Semi-trailer truck (Diesel)'!P$408</f>
        <v>0.16490380435594726</v>
      </c>
      <c r="T5" s="126">
        <f>'Semi-trailer truck (Diesel)'!Q$408</f>
        <v>0.16586309638171237</v>
      </c>
      <c r="U5" s="126">
        <f>'Semi-trailer truck (Diesel)'!R$408</f>
        <v>0.16697039277948017</v>
      </c>
      <c r="V5" s="126">
        <f>'Semi-trailer truck (Diesel)'!S$408</f>
        <v>0.16815538105400091</v>
      </c>
      <c r="W5" s="126">
        <f>'Semi-trailer truck (Diesel)'!T$408</f>
        <v>0.16932729465771587</v>
      </c>
      <c r="X5" s="126">
        <f>'Semi-trailer truck (Diesel)'!U$408</f>
        <v>0.17040010932265268</v>
      </c>
      <c r="Y5" s="126">
        <f>'Semi-trailer truck (Diesel)'!V$408</f>
        <v>0.17131512012837227</v>
      </c>
      <c r="Z5" s="126">
        <f>'Semi-trailer truck (Diesel)'!W$408</f>
        <v>0.17204956865238641</v>
      </c>
      <c r="AA5" s="126">
        <f>'Semi-trailer truck (Diesel)'!X$408</f>
        <v>0.17261082219626284</v>
      </c>
      <c r="AB5" s="126">
        <f>'Semi-trailer truck (Diesel)'!Y$408</f>
        <v>0.17302379093295614</v>
      </c>
      <c r="AC5" s="126">
        <f>'Semi-trailer truck (Diesel)'!Z$408</f>
        <v>0.17331924703413376</v>
      </c>
      <c r="AD5" s="126">
        <f>'Semi-trailer truck (Diesel)'!AA$408</f>
        <v>0.17352640599491848</v>
      </c>
      <c r="AE5" s="126">
        <f>'Semi-trailer truck (Diesel)'!AB$408</f>
        <v>0.17366960591193387</v>
      </c>
      <c r="AF5" s="126">
        <f>'Semi-trailer truck (Diesel)'!AC$408</f>
        <v>0.17376762314417327</v>
      </c>
    </row>
    <row r="6" spans="1:32" x14ac:dyDescent="0.3">
      <c r="A6">
        <v>5</v>
      </c>
      <c r="B6" t="s">
        <v>221</v>
      </c>
      <c r="C6" s="172" t="s">
        <v>11</v>
      </c>
      <c r="D6" t="s">
        <v>226</v>
      </c>
      <c r="E6" s="126">
        <f>'Semi-trailer truck (Diesel)'!B$513</f>
        <v>0.13283842364910792</v>
      </c>
      <c r="F6" s="126">
        <f>'Semi-trailer truck (Diesel)'!C$513</f>
        <v>0.1328308849708526</v>
      </c>
      <c r="G6" s="126">
        <f>'Semi-trailer truck (Diesel)'!D$513</f>
        <v>0.13282018112841307</v>
      </c>
      <c r="H6" s="126">
        <f>'Semi-trailer truck (Diesel)'!E$513</f>
        <v>0.13386180306185688</v>
      </c>
      <c r="I6" s="126">
        <f>'Semi-trailer truck (Diesel)'!F$513</f>
        <v>0.13384056242559253</v>
      </c>
      <c r="J6" s="126">
        <f>'Semi-trailer truck (Diesel)'!G$513</f>
        <v>0.13381103023059535</v>
      </c>
      <c r="K6" s="126">
        <f>'Semi-trailer truck (Diesel)'!H$513</f>
        <v>0.13377054269605582</v>
      </c>
      <c r="L6" s="126">
        <f>'Semi-trailer truck (Diesel)'!I$513</f>
        <v>0.13371613178810349</v>
      </c>
      <c r="M6" s="126">
        <f>'Semi-trailer truck (Diesel)'!J$513</f>
        <v>0.13364500621999548</v>
      </c>
      <c r="N6" s="126">
        <f>'Semi-trailer truck (Diesel)'!K$513</f>
        <v>0.13355543558874475</v>
      </c>
      <c r="O6" s="126">
        <f>'Semi-trailer truck (Diesel)'!L$513</f>
        <v>0.13344795340236926</v>
      </c>
      <c r="P6" s="126">
        <f>'Semi-trailer truck (Diesel)'!M$513</f>
        <v>0.13332641537774004</v>
      </c>
      <c r="Q6" s="126">
        <f>'Semi-trailer truck (Diesel)'!N$513</f>
        <v>0.13319810818379696</v>
      </c>
      <c r="R6" s="126">
        <f>'Semi-trailer truck (Diesel)'!O$513</f>
        <v>0.13307232583543882</v>
      </c>
      <c r="S6" s="126">
        <f>'Semi-trailer truck (Diesel)'!P$513</f>
        <v>0.13295782357468056</v>
      </c>
      <c r="T6" s="126">
        <f>'Semi-trailer truck (Diesel)'!Q$513</f>
        <v>0.13286051295847151</v>
      </c>
      <c r="U6" s="126">
        <f>'Semi-trailer truck (Diesel)'!R$513</f>
        <v>0.13278258458223208</v>
      </c>
      <c r="V6" s="126">
        <f>'Semi-trailer truck (Diesel)'!S$513</f>
        <v>0.13272312177245318</v>
      </c>
      <c r="W6" s="126">
        <f>'Semi-trailer truck (Diesel)'!T$513</f>
        <v>0.1326794118383415</v>
      </c>
      <c r="X6" s="126">
        <f>'Semi-trailer truck (Diesel)'!U$513</f>
        <v>0.13264815986778855</v>
      </c>
      <c r="Y6" s="126">
        <f>'Semi-trailer truck (Diesel)'!V$513</f>
        <v>0.13262625685171109</v>
      </c>
      <c r="Z6" s="126">
        <f>'Semi-trailer truck (Diesel)'!W$513</f>
        <v>0.13261112052133689</v>
      </c>
      <c r="AA6" s="126">
        <f>'Semi-trailer truck (Diesel)'!X$513</f>
        <v>0.13260076197618959</v>
      </c>
      <c r="AB6" s="126">
        <f>'Semi-trailer truck (Diesel)'!Y$513</f>
        <v>0.13259372042198014</v>
      </c>
      <c r="AC6" s="126">
        <f>'Semi-trailer truck (Diesel)'!Z$513</f>
        <v>0.13258895548060079</v>
      </c>
      <c r="AD6" s="126">
        <f>'Semi-trailer truck (Diesel)'!AA$513</f>
        <v>0.1325857410461716</v>
      </c>
      <c r="AE6" s="126">
        <f>'Semi-trailer truck (Diesel)'!AB$513</f>
        <v>0.13258357710488178</v>
      </c>
      <c r="AF6" s="126">
        <f>'Semi-trailer truck (Diesel)'!AC$513</f>
        <v>0.13258212239617762</v>
      </c>
    </row>
    <row r="7" spans="1:32" x14ac:dyDescent="0.3">
      <c r="A7">
        <v>6</v>
      </c>
      <c r="B7" t="s">
        <v>221</v>
      </c>
      <c r="C7" s="172" t="s">
        <v>87</v>
      </c>
      <c r="D7" t="s">
        <v>222</v>
      </c>
      <c r="E7" s="126">
        <f>'Semi-trailer truck (Battery)'!B$85</f>
        <v>0.28499642274443121</v>
      </c>
      <c r="F7" s="126">
        <f>'Semi-trailer truck (Battery)'!C$85</f>
        <v>0.2833704965432034</v>
      </c>
      <c r="G7" s="126">
        <f>'Semi-trailer truck (Battery)'!D$85</f>
        <v>0.28113972295377332</v>
      </c>
      <c r="H7" s="126">
        <f>'Semi-trailer truck (Battery)'!E$85</f>
        <v>0.27813831488002055</v>
      </c>
      <c r="I7" s="126">
        <f>'Semi-trailer truck (Battery)'!F$85</f>
        <v>0.27420789552246705</v>
      </c>
      <c r="J7" s="126">
        <f>'Semi-trailer truck (Battery)'!G$85</f>
        <v>0.26924466921584633</v>
      </c>
      <c r="K7" s="126">
        <f>'Semi-trailer truck (Battery)'!H$85</f>
        <v>0.26326406008373704</v>
      </c>
      <c r="L7" s="126">
        <f>'Semi-trailer truck (Battery)'!I$85</f>
        <v>0.25645839017773808</v>
      </c>
      <c r="M7" s="126">
        <f>'Semi-trailer truck (Battery)'!J$85</f>
        <v>0.24920507250856219</v>
      </c>
      <c r="N7" s="126">
        <f>'Semi-trailer truck (Battery)'!K$85</f>
        <v>0.24199461614784287</v>
      </c>
      <c r="O7" s="126">
        <f>'Semi-trailer truck (Battery)'!L$85</f>
        <v>0.23530002749777787</v>
      </c>
      <c r="P7" s="126">
        <f>'Semi-trailer truck (Battery)'!M$85</f>
        <v>0.22945831470499203</v>
      </c>
      <c r="Q7" s="126">
        <f>'Semi-trailer truck (Battery)'!N$85</f>
        <v>0.22462356944205347</v>
      </c>
      <c r="R7" s="126">
        <f>'Semi-trailer truck (Battery)'!O$85</f>
        <v>0.22079231968912133</v>
      </c>
      <c r="S7" s="126">
        <f>'Semi-trailer truck (Battery)'!P$85</f>
        <v>0.21786119062885098</v>
      </c>
      <c r="T7" s="126">
        <f>'Semi-trailer truck (Battery)'!Q$85</f>
        <v>0.21568127943138421</v>
      </c>
      <c r="U7" s="126">
        <f>'Semi-trailer truck (Battery)'!R$85</f>
        <v>0.21409600677802706</v>
      </c>
      <c r="V7" s="126">
        <f>'Semi-trailer truck (Battery)'!S$85</f>
        <v>0.21296299860478266</v>
      </c>
      <c r="W7" s="126">
        <f>'Semi-trailer truck (Battery)'!T$85</f>
        <v>0.21216391882471483</v>
      </c>
      <c r="X7" s="126">
        <f>'Semi-trailer truck (Battery)'!U$85</f>
        <v>0.21160618969077527</v>
      </c>
      <c r="Y7" s="126">
        <f>'Semi-trailer truck (Battery)'!V$85</f>
        <v>0.21122022702364965</v>
      </c>
      <c r="Z7" s="126">
        <f>'Semi-trailer truck (Battery)'!W$85</f>
        <v>0.21095505474181395</v>
      </c>
      <c r="AA7" s="126">
        <f>'Semi-trailer truck (Battery)'!X$85</f>
        <v>0.2107739745457039</v>
      </c>
      <c r="AB7" s="126">
        <f>'Semi-trailer truck (Battery)'!Y$85</f>
        <v>0.21065092914311354</v>
      </c>
      <c r="AC7" s="126">
        <f>'Semi-trailer truck (Battery)'!Z$85</f>
        <v>0.21056764095832567</v>
      </c>
      <c r="AD7" s="126">
        <f>'Semi-trailer truck (Battery)'!AA$85</f>
        <v>0.21051142706257792</v>
      </c>
      <c r="AE7" s="126">
        <f>'Semi-trailer truck (Battery)'!AB$85</f>
        <v>0.21047356623397329</v>
      </c>
      <c r="AF7" s="126">
        <f>'Semi-trailer truck (Battery)'!AC$85</f>
        <v>0.21044810447446827</v>
      </c>
    </row>
    <row r="8" spans="1:32" x14ac:dyDescent="0.3">
      <c r="A8">
        <v>7</v>
      </c>
      <c r="B8" t="s">
        <v>221</v>
      </c>
      <c r="C8" s="172" t="s">
        <v>87</v>
      </c>
      <c r="D8" t="s">
        <v>223</v>
      </c>
      <c r="E8" s="126">
        <f>'Semi-trailer truck (Battery)'!B$191</f>
        <v>0.1386281241247968</v>
      </c>
      <c r="F8" s="126">
        <f>'Semi-trailer truck (Battery)'!C$191</f>
        <v>0.13786724919569562</v>
      </c>
      <c r="G8" s="126">
        <f>'Semi-trailer truck (Battery)'!D$191</f>
        <v>0.13682299372916365</v>
      </c>
      <c r="H8" s="126">
        <f>'Semi-trailer truck (Battery)'!E$191</f>
        <v>0.13541730832227619</v>
      </c>
      <c r="I8" s="126">
        <f>'Semi-trailer truck (Battery)'!F$191</f>
        <v>0.13357515863813166</v>
      </c>
      <c r="J8" s="126">
        <f>'Semi-trailer truck (Battery)'!G$191</f>
        <v>0.13124630785179467</v>
      </c>
      <c r="K8" s="126">
        <f>'Semi-trailer truck (Battery)'!H$191</f>
        <v>0.12843525675765546</v>
      </c>
      <c r="L8" s="126">
        <f>'Semi-trailer truck (Battery)'!I$191</f>
        <v>0.12522812052521054</v>
      </c>
      <c r="M8" s="126">
        <f>'Semi-trailer truck (Battery)'!J$191</f>
        <v>0.12179688305256134</v>
      </c>
      <c r="N8" s="126">
        <f>'Semi-trailer truck (Battery)'!K$191</f>
        <v>0.11836692345142841</v>
      </c>
      <c r="O8" s="126">
        <f>'Semi-trailer truck (Battery)'!L$191</f>
        <v>0.11515772775263271</v>
      </c>
      <c r="P8" s="126">
        <f>'Semi-trailer truck (Battery)'!M$191</f>
        <v>0.11232904482653279</v>
      </c>
      <c r="Q8" s="126">
        <f>'Semi-trailer truck (Battery)'!N$191</f>
        <v>0.10995921194863457</v>
      </c>
      <c r="R8" s="126">
        <f>'Semi-trailer truck (Battery)'!O$191</f>
        <v>0.10805544499014193</v>
      </c>
      <c r="S8" s="126">
        <f>'Semi-trailer truck (Battery)'!P$191</f>
        <v>0.10657809618011764</v>
      </c>
      <c r="T8" s="126">
        <f>'Semi-trailer truck (Battery)'!Q$191</f>
        <v>0.1054637744580561</v>
      </c>
      <c r="U8" s="126">
        <f>'Semi-trailer truck (Battery)'!R$191</f>
        <v>0.10464225141523162</v>
      </c>
      <c r="V8" s="126">
        <f>'Semi-trailer truck (Battery)'!S$191</f>
        <v>0.1040472922187064</v>
      </c>
      <c r="W8" s="126">
        <f>'Semi-trailer truck (Battery)'!T$191</f>
        <v>0.10362235582510801</v>
      </c>
      <c r="X8" s="126">
        <f>'Semi-trailer truck (Battery)'!U$191</f>
        <v>0.10332227952025912</v>
      </c>
      <c r="Y8" s="126">
        <f>'Semi-trailer truck (Battery)'!V$191</f>
        <v>0.10311246765401647</v>
      </c>
      <c r="Z8" s="126">
        <f>'Semi-trailer truck (Battery)'!W$191</f>
        <v>0.10296707351193524</v>
      </c>
      <c r="AA8" s="126">
        <f>'Semi-trailer truck (Battery)'!X$191</f>
        <v>0.10286710955263563</v>
      </c>
      <c r="AB8" s="126">
        <f>'Semi-trailer truck (Battery)'!Y$191</f>
        <v>0.10279883293606069</v>
      </c>
      <c r="AC8" s="126">
        <f>'Semi-trailer truck (Battery)'!Z$191</f>
        <v>0.10275244321882988</v>
      </c>
      <c r="AD8" s="126">
        <f>'Semi-trailer truck (Battery)'!AA$191</f>
        <v>0.10272104946631239</v>
      </c>
      <c r="AE8" s="126">
        <f>'Semi-trailer truck (Battery)'!AB$191</f>
        <v>0.10269986581679304</v>
      </c>
      <c r="AF8" s="126">
        <f>'Semi-trailer truck (Battery)'!AC$191</f>
        <v>0.10268560125959975</v>
      </c>
    </row>
    <row r="9" spans="1:32" x14ac:dyDescent="0.3">
      <c r="A9">
        <v>8</v>
      </c>
      <c r="B9" t="s">
        <v>221</v>
      </c>
      <c r="C9" s="172" t="s">
        <v>87</v>
      </c>
      <c r="D9" t="s">
        <v>224</v>
      </c>
      <c r="E9" s="126">
        <f>'Semi-trailer truck (Battery)'!B$299</f>
        <v>0.14653677136251964</v>
      </c>
      <c r="F9" s="126">
        <f>'Semi-trailer truck (Battery)'!C$299</f>
        <v>0.14571256346383762</v>
      </c>
      <c r="G9" s="126">
        <f>'Semi-trailer truck (Battery)'!D$299</f>
        <v>0.14458146845849262</v>
      </c>
      <c r="H9" s="126">
        <f>'Semi-trailer truck (Battery)'!E$299</f>
        <v>0.14305905288164317</v>
      </c>
      <c r="I9" s="126">
        <f>'Semi-trailer truck (Battery)'!F$299</f>
        <v>0.14106425709413517</v>
      </c>
      <c r="J9" s="126">
        <f>'Semi-trailer truck (Battery)'!G$299</f>
        <v>0.13854305893567234</v>
      </c>
      <c r="K9" s="126">
        <f>'Semi-trailer truck (Battery)'!H$299</f>
        <v>0.13550097622804499</v>
      </c>
      <c r="L9" s="126">
        <f>'Semi-trailer truck (Battery)'!I$299</f>
        <v>0.13203220244867886</v>
      </c>
      <c r="M9" s="126">
        <f>'Semi-trailer truck (Battery)'!J$299</f>
        <v>0.12832410817084888</v>
      </c>
      <c r="N9" s="126">
        <f>'Semi-trailer truck (Battery)'!K$299</f>
        <v>0.12462176948179993</v>
      </c>
      <c r="O9" s="126">
        <f>'Semi-trailer truck (Battery)'!L$299</f>
        <v>0.12116331121117947</v>
      </c>
      <c r="P9" s="126">
        <f>'Semi-trailer truck (Battery)'!M$299</f>
        <v>0.11812121013215086</v>
      </c>
      <c r="Q9" s="126">
        <f>'Semi-trailer truck (Battery)'!N$299</f>
        <v>0.11557876964854165</v>
      </c>
      <c r="R9" s="126">
        <f>'Semi-trailer truck (Battery)'!O$299</f>
        <v>0.11354166179150864</v>
      </c>
      <c r="S9" s="126">
        <f>'Semi-trailer truck (Battery)'!P$299</f>
        <v>0.11196486539305241</v>
      </c>
      <c r="T9" s="126">
        <f>'Semi-trailer truck (Battery)'!Q$299</f>
        <v>0.11077826801538718</v>
      </c>
      <c r="U9" s="126">
        <f>'Semi-trailer truck (Battery)'!R$299</f>
        <v>0.10990517018541583</v>
      </c>
      <c r="V9" s="126">
        <f>'Semi-trailer truck (Battery)'!S$299</f>
        <v>0.10927386930202865</v>
      </c>
      <c r="W9" s="126">
        <f>'Semi-trailer truck (Battery)'!T$299</f>
        <v>0.10882355033812291</v>
      </c>
      <c r="X9" s="126">
        <f>'Semi-trailer truck (Battery)'!U$299</f>
        <v>0.10850586601458109</v>
      </c>
      <c r="Y9" s="126">
        <f>'Semi-trailer truck (Battery)'!V$299</f>
        <v>0.10828391200193463</v>
      </c>
      <c r="Z9" s="126">
        <f>'Semi-trailer truck (Battery)'!W$299</f>
        <v>0.10813019144030803</v>
      </c>
      <c r="AA9" s="126">
        <f>'Semi-trailer truck (Battery)'!X$299</f>
        <v>0.10802454685203369</v>
      </c>
      <c r="AB9" s="126">
        <f>'Semi-trailer truck (Battery)'!Y$299</f>
        <v>0.1079524118392004</v>
      </c>
      <c r="AC9" s="126">
        <f>'Semi-trailer truck (Battery)'!Z$299</f>
        <v>0.10790341086647097</v>
      </c>
      <c r="AD9" s="126">
        <f>'Semi-trailer truck (Battery)'!AA$299</f>
        <v>0.10787025479810862</v>
      </c>
      <c r="AE9" s="126">
        <f>'Semi-trailer truck (Battery)'!AB$299</f>
        <v>0.10784788421893504</v>
      </c>
      <c r="AF9" s="126">
        <f>'Semi-trailer truck (Battery)'!AC$299</f>
        <v>0.10783282143620151</v>
      </c>
    </row>
    <row r="10" spans="1:32" x14ac:dyDescent="0.3">
      <c r="A10">
        <v>9</v>
      </c>
      <c r="B10" t="s">
        <v>221</v>
      </c>
      <c r="C10" s="172" t="s">
        <v>87</v>
      </c>
      <c r="D10" t="s">
        <v>225</v>
      </c>
      <c r="E10" s="126">
        <f>'Semi-trailer truck (Battery)'!B$408</f>
        <v>0.19093173634412192</v>
      </c>
      <c r="F10" s="126">
        <f>'Semi-trailer truck (Battery)'!C$408</f>
        <v>0.18985230811579884</v>
      </c>
      <c r="G10" s="126">
        <f>'Semi-trailer truck (Battery)'!D$408</f>
        <v>0.18837111479555452</v>
      </c>
      <c r="H10" s="126">
        <f>'Semi-trailer truck (Battery)'!E$408</f>
        <v>0.18637778992973647</v>
      </c>
      <c r="I10" s="126">
        <f>'Semi-trailer truck (Battery)'!F$408</f>
        <v>0.18376659227928466</v>
      </c>
      <c r="J10" s="126">
        <f>'Semi-trailer truck (Battery)'!G$408</f>
        <v>0.18046753143068717</v>
      </c>
      <c r="K10" s="126">
        <f>'Semi-trailer truck (Battery)'!H$408</f>
        <v>0.17648907870142466</v>
      </c>
      <c r="L10" s="126">
        <f>'Semi-trailer truck (Battery)'!I$408</f>
        <v>0.17195638314508488</v>
      </c>
      <c r="M10" s="126">
        <f>'Semi-trailer truck (Battery)'!J$408</f>
        <v>0.16711698435741421</v>
      </c>
      <c r="N10" s="126">
        <f>'Semi-trailer truck (Battery)'!K$408</f>
        <v>0.16229381136446994</v>
      </c>
      <c r="O10" s="126">
        <f>'Semi-trailer truck (Battery)'!L$408</f>
        <v>0.15779967508193177</v>
      </c>
      <c r="P10" s="126">
        <f>'Semi-trailer truck (Battery)'!M$408</f>
        <v>0.15385965269632956</v>
      </c>
      <c r="Q10" s="126">
        <f>'Semi-trailer truck (Battery)'!N$408</f>
        <v>0.15058012287687014</v>
      </c>
      <c r="R10" s="126">
        <f>'Semi-trailer truck (Battery)'!O$408</f>
        <v>0.14796456538484587</v>
      </c>
      <c r="S10" s="126">
        <f>'Semi-trailer truck (Battery)'!P$408</f>
        <v>0.14595005590095736</v>
      </c>
      <c r="T10" s="126">
        <f>'Semi-trailer truck (Battery)'!Q$408</f>
        <v>0.14444184144190944</v>
      </c>
      <c r="U10" s="126">
        <f>'Semi-trailer truck (Battery)'!R$408</f>
        <v>0.14333793963884492</v>
      </c>
      <c r="V10" s="126">
        <f>'Semi-trailer truck (Battery)'!S$408</f>
        <v>0.14254405273403703</v>
      </c>
      <c r="W10" s="126">
        <f>'Semi-trailer truck (Battery)'!T$408</f>
        <v>0.14198081927683018</v>
      </c>
      <c r="X10" s="126">
        <f>'Semi-trailer truck (Battery)'!U$408</f>
        <v>0.14158554078196209</v>
      </c>
      <c r="Y10" s="126">
        <f>'Semi-trailer truck (Battery)'!V$408</f>
        <v>0.14131067038470743</v>
      </c>
      <c r="Z10" s="126">
        <f>'Semi-trailer truck (Battery)'!W$408</f>
        <v>0.14112105746488726</v>
      </c>
      <c r="AA10" s="126">
        <f>'Semi-trailer truck (Battery)'!X$408</f>
        <v>0.14099115919882316</v>
      </c>
      <c r="AB10" s="126">
        <f>'Semi-trailer truck (Battery)'!Y$408</f>
        <v>0.14090267760167408</v>
      </c>
      <c r="AC10" s="126">
        <f>'Semi-trailer truck (Battery)'!Z$408</f>
        <v>0.14084267878033935</v>
      </c>
      <c r="AD10" s="126">
        <f>'Semi-trailer truck (Battery)'!AA$408</f>
        <v>0.14080213233134425</v>
      </c>
      <c r="AE10" s="126">
        <f>'Semi-trailer truck (Battery)'!AB$408</f>
        <v>0.14077479956336375</v>
      </c>
      <c r="AF10" s="126">
        <f>'Semi-trailer truck (Battery)'!AC$408</f>
        <v>0.1407564067971131</v>
      </c>
    </row>
    <row r="11" spans="1:32" x14ac:dyDescent="0.3">
      <c r="A11">
        <v>10</v>
      </c>
      <c r="B11" t="s">
        <v>221</v>
      </c>
      <c r="C11" s="172" t="s">
        <v>87</v>
      </c>
      <c r="D11" t="s">
        <v>226</v>
      </c>
      <c r="E11" s="126">
        <f>'Semi-trailer truck (Battery)'!B$513</f>
        <v>0.16113583044544258</v>
      </c>
      <c r="F11" s="126">
        <f>'Semi-trailer truck (Battery)'!C$513</f>
        <v>0.16022529368876975</v>
      </c>
      <c r="G11" s="126">
        <f>'Semi-trailer truck (Battery)'!D$513</f>
        <v>0.15897576787322945</v>
      </c>
      <c r="H11" s="126">
        <f>'Semi-trailer truck (Battery)'!E$513</f>
        <v>0.15729403451255652</v>
      </c>
      <c r="I11" s="126">
        <f>'Semi-trailer truck (Battery)'!F$513</f>
        <v>0.15509065940678368</v>
      </c>
      <c r="J11" s="126">
        <f>'Semi-trailer truck (Battery)'!G$513</f>
        <v>0.15230617217157863</v>
      </c>
      <c r="K11" s="126">
        <f>'Semi-trailer truck (Battery)'!H$513</f>
        <v>0.14894701366717947</v>
      </c>
      <c r="L11" s="126">
        <f>'Semi-trailer truck (Battery)'!I$513</f>
        <v>0.14511774189270585</v>
      </c>
      <c r="M11" s="126">
        <f>'Semi-trailer truck (Battery)'!J$513</f>
        <v>0.1410259595133935</v>
      </c>
      <c r="N11" s="126">
        <f>'Semi-trailer truck (Battery)'!K$513</f>
        <v>0.13694298366889665</v>
      </c>
      <c r="O11" s="126">
        <f>'Semi-trailer truck (Battery)'!L$513</f>
        <v>0.13313219417139022</v>
      </c>
      <c r="P11" s="126">
        <f>'Semi-trailer truck (Battery)'!M$513</f>
        <v>0.12978398193245341</v>
      </c>
      <c r="Q11" s="126">
        <f>'Semi-trailer truck (Battery)'!N$513</f>
        <v>0.12698970251535394</v>
      </c>
      <c r="R11" s="126">
        <f>'Semi-trailer truck (Battery)'!O$513</f>
        <v>0.1247545924738747</v>
      </c>
      <c r="S11" s="126">
        <f>'Semi-trailer truck (Battery)'!P$513</f>
        <v>0.1230278431429834</v>
      </c>
      <c r="T11" s="126">
        <f>'Semi-trailer truck (Battery)'!Q$513</f>
        <v>0.12173116107344736</v>
      </c>
      <c r="U11" s="126">
        <f>'Semi-trailer truck (Battery)'!R$513</f>
        <v>0.12077930947954127</v>
      </c>
      <c r="V11" s="126">
        <f>'Semi-trailer truck (Battery)'!S$513</f>
        <v>0.12009284365230621</v>
      </c>
      <c r="W11" s="126">
        <f>'Semi-trailer truck (Battery)'!T$513</f>
        <v>0.1196045144812706</v>
      </c>
      <c r="X11" s="126">
        <f>'Semi-trailer truck (Battery)'!U$513</f>
        <v>0.1192609538987775</v>
      </c>
      <c r="Y11" s="126">
        <f>'Semi-trailer truck (Battery)'!V$513</f>
        <v>0.11902152548658541</v>
      </c>
      <c r="Z11" s="126">
        <f>'Semi-trailer truck (Battery)'!W$513</f>
        <v>0.1188560609229487</v>
      </c>
      <c r="AA11" s="126">
        <f>'Semi-trailer truck (Battery)'!X$513</f>
        <v>0.11874254307975671</v>
      </c>
      <c r="AB11" s="126">
        <f>'Semi-trailer truck (Battery)'!Y$513</f>
        <v>0.11866513521778312</v>
      </c>
      <c r="AC11" s="126">
        <f>'Semi-trailer truck (Battery)'!Z$513</f>
        <v>0.11861260383096321</v>
      </c>
      <c r="AD11" s="126">
        <f>'Semi-trailer truck (Battery)'!AA$513</f>
        <v>0.11857708377158813</v>
      </c>
      <c r="AE11" s="126">
        <f>'Semi-trailer truck (Battery)'!AB$513</f>
        <v>0.11855312992041879</v>
      </c>
      <c r="AF11" s="126">
        <f>'Semi-trailer truck (Battery)'!AC$513</f>
        <v>0.11853700652287627</v>
      </c>
    </row>
    <row r="12" spans="1:32" x14ac:dyDescent="0.3">
      <c r="A12">
        <v>11</v>
      </c>
      <c r="B12" t="s">
        <v>221</v>
      </c>
      <c r="C12" s="172" t="s">
        <v>103</v>
      </c>
      <c r="D12" t="s">
        <v>222</v>
      </c>
      <c r="E12" s="126">
        <f>'Semi-trailer truck (Hydrogen)'!B$85</f>
        <v>0.33539943958717888</v>
      </c>
      <c r="F12" s="126">
        <f>'Semi-trailer truck (Hydrogen)'!C$85</f>
        <v>0.33376699542075478</v>
      </c>
      <c r="G12" s="126">
        <f>'Semi-trailer truck (Hydrogen)'!D$85</f>
        <v>0.33149481141307896</v>
      </c>
      <c r="H12" s="126">
        <f>'Semi-trailer truck (Hydrogen)'!E$85</f>
        <v>0.32837441203999962</v>
      </c>
      <c r="I12" s="126">
        <f>'Semi-trailer truck (Hydrogen)'!F$85</f>
        <v>0.32416986582620538</v>
      </c>
      <c r="J12" s="126">
        <f>'Semi-trailer truck (Hydrogen)'!G$85</f>
        <v>0.31865146735491051</v>
      </c>
      <c r="K12" s="126">
        <f>'Semi-trailer truck (Hydrogen)'!H$85</f>
        <v>0.31165921537435515</v>
      </c>
      <c r="L12" s="126">
        <f>'Semi-trailer truck (Hydrogen)'!I$85</f>
        <v>0.30319118872104744</v>
      </c>
      <c r="M12" s="126">
        <f>'Semi-trailer truck (Hydrogen)'!J$85</f>
        <v>0.29348531643059733</v>
      </c>
      <c r="N12" s="126">
        <f>'Semi-trailer truck (Hydrogen)'!K$85</f>
        <v>0.28303856832350471</v>
      </c>
      <c r="O12" s="126">
        <f>'Semi-trailer truck (Hydrogen)'!L$85</f>
        <v>0.27252133621880253</v>
      </c>
      <c r="P12" s="126">
        <f>'Semi-trailer truck (Hydrogen)'!M$85</f>
        <v>0.26261044524392907</v>
      </c>
      <c r="Q12" s="126">
        <f>'Semi-trailer truck (Hydrogen)'!N$85</f>
        <v>0.25382690813077002</v>
      </c>
      <c r="R12" s="126">
        <f>'Semi-trailer truck (Hydrogen)'!O$85</f>
        <v>0.24645432989297678</v>
      </c>
      <c r="S12" s="126">
        <f>'Semi-trailer truck (Hydrogen)'!P$85</f>
        <v>0.24054782579282352</v>
      </c>
      <c r="T12" s="126">
        <f>'Semi-trailer truck (Hydrogen)'!Q$85</f>
        <v>0.23599606911665036</v>
      </c>
      <c r="U12" s="126">
        <f>'Semi-trailer truck (Hydrogen)'!R$85</f>
        <v>0.23259635047252089</v>
      </c>
      <c r="V12" s="126">
        <f>'Semi-trailer truck (Hydrogen)'!S$85</f>
        <v>0.23011815818842773</v>
      </c>
      <c r="W12" s="126">
        <f>'Semi-trailer truck (Hydrogen)'!T$85</f>
        <v>0.22834497497943368</v>
      </c>
      <c r="X12" s="126">
        <f>'Semi-trailer truck (Hydrogen)'!U$85</f>
        <v>0.22709432131369309</v>
      </c>
      <c r="Y12" s="126">
        <f>'Semi-trailer truck (Hydrogen)'!V$85</f>
        <v>0.22622226823530561</v>
      </c>
      <c r="Z12" s="126">
        <f>'Semi-trailer truck (Hydrogen)'!W$85</f>
        <v>0.22561988435084906</v>
      </c>
      <c r="AA12" s="126">
        <f>'Semi-trailer truck (Hydrogen)'!X$85</f>
        <v>0.22520695537804403</v>
      </c>
      <c r="AB12" s="126">
        <f>'Semi-trailer truck (Hydrogen)'!Y$85</f>
        <v>0.22492561710513401</v>
      </c>
      <c r="AC12" s="126">
        <f>'Semi-trailer truck (Hydrogen)'!Z$85</f>
        <v>0.22473483043157721</v>
      </c>
      <c r="AD12" s="126">
        <f>'Semi-trailer truck (Hydrogen)'!AA$85</f>
        <v>0.22460589939499351</v>
      </c>
      <c r="AE12" s="126">
        <f>'Semi-trailer truck (Hydrogen)'!AB$85</f>
        <v>0.2245189877765055</v>
      </c>
      <c r="AF12" s="126">
        <f>'Semi-trailer truck (Hydrogen)'!AC$85</f>
        <v>0.22446050479075447</v>
      </c>
    </row>
    <row r="13" spans="1:32" x14ac:dyDescent="0.3">
      <c r="A13">
        <v>12</v>
      </c>
      <c r="B13" t="s">
        <v>221</v>
      </c>
      <c r="C13" s="172" t="s">
        <v>103</v>
      </c>
      <c r="D13" t="s">
        <v>223</v>
      </c>
      <c r="E13" s="126">
        <f>'Semi-trailer truck (Hydrogen)'!B$191</f>
        <v>0.17725040901734032</v>
      </c>
      <c r="F13" s="126">
        <f>'Semi-trailer truck (Hydrogen)'!C$191</f>
        <v>0.17635240864526747</v>
      </c>
      <c r="G13" s="126">
        <f>'Semi-trailer truck (Hydrogen)'!D$191</f>
        <v>0.17510177334502289</v>
      </c>
      <c r="H13" s="126">
        <f>'Semi-trailer truck (Hydrogen)'!E$191</f>
        <v>0.17338274284863053</v>
      </c>
      <c r="I13" s="126">
        <f>'Semi-trailer truck (Hydrogen)'!F$191</f>
        <v>0.17106328167815307</v>
      </c>
      <c r="J13" s="126">
        <f>'Semi-trailer truck (Hydrogen)'!G$191</f>
        <v>0.16801266182689331</v>
      </c>
      <c r="K13" s="126">
        <f>'Semi-trailer truck (Hydrogen)'!H$191</f>
        <v>0.1641350943409465</v>
      </c>
      <c r="L13" s="126">
        <f>'Semi-trailer truck (Hydrogen)'!I$191</f>
        <v>0.15941716917250856</v>
      </c>
      <c r="M13" s="126">
        <f>'Semi-trailer truck (Hydrogen)'!J$191</f>
        <v>0.15397296169286925</v>
      </c>
      <c r="N13" s="126">
        <f>'Semi-trailer truck (Hydrogen)'!K$191</f>
        <v>0.14805770695271744</v>
      </c>
      <c r="O13" s="126">
        <f>'Semi-trailer truck (Hydrogen)'!L$191</f>
        <v>0.142027544187602</v>
      </c>
      <c r="P13" s="126">
        <f>'Semi-trailer truck (Hydrogen)'!M$191</f>
        <v>0.13625589947052072</v>
      </c>
      <c r="Q13" s="126">
        <f>'Semi-trailer truck (Hydrogen)'!N$191</f>
        <v>0.1310484973223163</v>
      </c>
      <c r="R13" s="126">
        <f>'Semi-trailer truck (Hydrogen)'!O$191</f>
        <v>0.12659438306723636</v>
      </c>
      <c r="S13" s="126">
        <f>'Semi-trailer truck (Hydrogen)'!P$191</f>
        <v>0.12295984948047349</v>
      </c>
      <c r="T13" s="126">
        <f>'Semi-trailer truck (Hydrogen)'!Q$191</f>
        <v>0.12011149500725031</v>
      </c>
      <c r="U13" s="126">
        <f>'Semi-trailer truck (Hydrogen)'!R$191</f>
        <v>0.11795234193693609</v>
      </c>
      <c r="V13" s="126">
        <f>'Semi-trailer truck (Hydrogen)'!S$191</f>
        <v>0.1163581456058688</v>
      </c>
      <c r="W13" s="126">
        <f>'Semi-trailer truck (Hydrogen)'!T$191</f>
        <v>0.11520483526271912</v>
      </c>
      <c r="X13" s="126">
        <f>'Semi-trailer truck (Hydrogen)'!U$191</f>
        <v>0.1143837516174097</v>
      </c>
      <c r="Y13" s="126">
        <f>'Semi-trailer truck (Hydrogen)'!V$191</f>
        <v>0.11380679567715163</v>
      </c>
      <c r="Z13" s="126">
        <f>'Semi-trailer truck (Hydrogen)'!W$191</f>
        <v>0.11340580009704235</v>
      </c>
      <c r="AA13" s="126">
        <f>'Semi-trailer truck (Hydrogen)'!X$191</f>
        <v>0.11312962458490614</v>
      </c>
      <c r="AB13" s="126">
        <f>'Semi-trailer truck (Hydrogen)'!Y$191</f>
        <v>0.11294080282793317</v>
      </c>
      <c r="AC13" s="126">
        <f>'Semi-trailer truck (Hydrogen)'!Z$191</f>
        <v>0.11281243351671834</v>
      </c>
      <c r="AD13" s="126">
        <f>'Semi-trailer truck (Hydrogen)'!AA$191</f>
        <v>0.11272552964409528</v>
      </c>
      <c r="AE13" s="126">
        <f>'Semi-trailer truck (Hydrogen)'!AB$191</f>
        <v>0.11266687627387277</v>
      </c>
      <c r="AF13" s="126">
        <f>'Semi-trailer truck (Hydrogen)'!AC$191</f>
        <v>0.11262737501324478</v>
      </c>
    </row>
    <row r="14" spans="1:32" x14ac:dyDescent="0.3">
      <c r="A14">
        <v>13</v>
      </c>
      <c r="B14" t="s">
        <v>221</v>
      </c>
      <c r="C14" t="s">
        <v>103</v>
      </c>
      <c r="D14" t="s">
        <v>224</v>
      </c>
      <c r="E14" s="126">
        <f>'Semi-trailer truck (Hydrogen)'!B$299</f>
        <v>0.1873047309311551</v>
      </c>
      <c r="F14" s="126">
        <f>'Semi-trailer truck (Hydrogen)'!C$299</f>
        <v>0.18634296497837782</v>
      </c>
      <c r="G14" s="126">
        <f>'Semi-trailer truck (Hydrogen)'!D$299</f>
        <v>0.18500359503194588</v>
      </c>
      <c r="H14" s="126">
        <f>'Semi-trailer truck (Hydrogen)'!E$299</f>
        <v>0.18316274685772299</v>
      </c>
      <c r="I14" s="126">
        <f>'Semi-trailer truck (Hydrogen)'!F$299</f>
        <v>0.18067922944551343</v>
      </c>
      <c r="J14" s="126">
        <f>'Semi-trailer truck (Hydrogen)'!G$299</f>
        <v>0.17741345719712467</v>
      </c>
      <c r="K14" s="126">
        <f>'Semi-trailer truck (Hydrogen)'!H$299</f>
        <v>0.17326359223565516</v>
      </c>
      <c r="L14" s="126">
        <f>'Semi-trailer truck (Hydrogen)'!I$299</f>
        <v>0.16821646200965287</v>
      </c>
      <c r="M14" s="126">
        <f>'Semi-trailer truck (Hydrogen)'!J$299</f>
        <v>0.16239584899094861</v>
      </c>
      <c r="N14" s="126">
        <f>'Semi-trailer truck (Hydrogen)'!K$299</f>
        <v>0.15607682623198121</v>
      </c>
      <c r="O14" s="126">
        <f>'Semi-trailer truck (Hydrogen)'!L$299</f>
        <v>0.14964198032162129</v>
      </c>
      <c r="P14" s="126">
        <f>'Semi-trailer truck (Hydrogen)'!M$299</f>
        <v>0.14349107390775903</v>
      </c>
      <c r="Q14" s="126">
        <f>'Semi-trailer truck (Hydrogen)'!N$299</f>
        <v>0.13794964027923731</v>
      </c>
      <c r="R14" s="126">
        <f>'Semi-trailer truck (Hydrogen)'!O$299</f>
        <v>0.1332169522220818</v>
      </c>
      <c r="S14" s="126">
        <f>'Semi-trailer truck (Hydrogen)'!P$299</f>
        <v>0.1293605841257138</v>
      </c>
      <c r="T14" s="126">
        <f>'Semi-trailer truck (Hydrogen)'!Q$299</f>
        <v>0.12634215667351179</v>
      </c>
      <c r="U14" s="126">
        <f>'Semi-trailer truck (Hydrogen)'!R$299</f>
        <v>0.12405649062367384</v>
      </c>
      <c r="V14" s="126">
        <f>'Semi-trailer truck (Hydrogen)'!S$299</f>
        <v>0.12237034694560599</v>
      </c>
      <c r="W14" s="126">
        <f>'Semi-trailer truck (Hydrogen)'!T$299</f>
        <v>0.12115137978886585</v>
      </c>
      <c r="X14" s="126">
        <f>'Semi-trailer truck (Hydrogen)'!U$299</f>
        <v>0.12028404728134659</v>
      </c>
      <c r="Y14" s="126">
        <f>'Semi-trailer truck (Hydrogen)'!V$299</f>
        <v>0.11967486833133945</v>
      </c>
      <c r="Z14" s="126">
        <f>'Semi-trailer truck (Hydrogen)'!W$299</f>
        <v>0.11925162436055918</v>
      </c>
      <c r="AA14" s="126">
        <f>'Semi-trailer truck (Hydrogen)'!X$299</f>
        <v>0.1189602016936626</v>
      </c>
      <c r="AB14" s="126">
        <f>'Semi-trailer truck (Hydrogen)'!Y$299</f>
        <v>0.11876099318333813</v>
      </c>
      <c r="AC14" s="126">
        <f>'Semi-trailer truck (Hydrogen)'!Z$299</f>
        <v>0.1186255807695709</v>
      </c>
      <c r="AD14" s="126">
        <f>'Semi-trailer truck (Hydrogen)'!AA$299</f>
        <v>0.11853391748291088</v>
      </c>
      <c r="AE14" s="126">
        <f>'Semi-trailer truck (Hydrogen)'!AB$299</f>
        <v>0.11847205590703479</v>
      </c>
      <c r="AF14" s="126">
        <f>'Semi-trailer truck (Hydrogen)'!AC$299</f>
        <v>0.11843039587370717</v>
      </c>
    </row>
    <row r="15" spans="1:32" x14ac:dyDescent="0.3">
      <c r="A15">
        <v>14</v>
      </c>
      <c r="B15" t="s">
        <v>221</v>
      </c>
      <c r="C15" t="s">
        <v>103</v>
      </c>
      <c r="D15" t="s">
        <v>225</v>
      </c>
      <c r="E15" s="126">
        <f>'Semi-trailer truck (Hydrogen)'!B$408</f>
        <v>0.23349522897530658</v>
      </c>
      <c r="F15" s="126">
        <f>'Semi-trailer truck (Hydrogen)'!C$408</f>
        <v>0.23233006628841413</v>
      </c>
      <c r="G15" s="126">
        <f>'Semi-trailer truck (Hydrogen)'!D$408</f>
        <v>0.2307078441150312</v>
      </c>
      <c r="H15" s="126">
        <f>'Semi-trailer truck (Hydrogen)'!E$408</f>
        <v>0.22847909535897121</v>
      </c>
      <c r="I15" s="126">
        <f>'Semi-trailer truck (Hydrogen)'!F$408</f>
        <v>0.22547403128897783</v>
      </c>
      <c r="J15" s="126">
        <f>'Semi-trailer truck (Hydrogen)'!G$408</f>
        <v>0.22152599693171629</v>
      </c>
      <c r="K15" s="126">
        <f>'Semi-trailer truck (Hydrogen)'!H$408</f>
        <v>0.21651598181503171</v>
      </c>
      <c r="L15" s="126">
        <f>'Semi-trailer truck (Hydrogen)'!I$408</f>
        <v>0.21043497083816151</v>
      </c>
      <c r="M15" s="126">
        <f>'Semi-trailer truck (Hydrogen)'!J$408</f>
        <v>0.20344238531314893</v>
      </c>
      <c r="N15" s="126">
        <f>'Semi-trailer truck (Hydrogen)'!K$408</f>
        <v>0.1958817106012829</v>
      </c>
      <c r="O15" s="126">
        <f>'Semi-trailer truck (Hydrogen)'!L$408</f>
        <v>0.18822362240185392</v>
      </c>
      <c r="P15" s="126">
        <f>'Semi-trailer truck (Hydrogen)'!M$408</f>
        <v>0.180951900434388</v>
      </c>
      <c r="Q15" s="126">
        <f>'Semi-trailer truck (Hydrogen)'!N$408</f>
        <v>0.17445026085838566</v>
      </c>
      <c r="R15" s="126">
        <f>'Semi-trailer truck (Hydrogen)'!O$408</f>
        <v>0.16894157923782643</v>
      </c>
      <c r="S15" s="126">
        <f>'Semi-trailer truck (Hydrogen)'!P$408</f>
        <v>0.16448745642989479</v>
      </c>
      <c r="T15" s="126">
        <f>'Semi-trailer truck (Hydrogen)'!Q$408</f>
        <v>0.16102565185352696</v>
      </c>
      <c r="U15" s="126">
        <f>'Semi-trailer truck (Hydrogen)'!R$408</f>
        <v>0.15842046018886494</v>
      </c>
      <c r="V15" s="126">
        <f>'Semi-trailer truck (Hydrogen)'!S$408</f>
        <v>0.15650892140407352</v>
      </c>
      <c r="W15" s="126">
        <f>'Semi-trailer truck (Hydrogen)'!T$408</f>
        <v>0.15513340916291468</v>
      </c>
      <c r="X15" s="126">
        <f>'Semi-trailer truck (Hydrogen)'!U$408</f>
        <v>0.15415854533675796</v>
      </c>
      <c r="Y15" s="126">
        <f>'Semi-trailer truck (Hydrogen)'!V$408</f>
        <v>0.15347607230477001</v>
      </c>
      <c r="Z15" s="126">
        <f>'Semi-trailer truck (Hydrogen)'!W$408</f>
        <v>0.15300313735978091</v>
      </c>
      <c r="AA15" s="126">
        <f>'Semi-trailer truck (Hydrogen)'!X$408</f>
        <v>0.15267814923468384</v>
      </c>
      <c r="AB15" s="126">
        <f>'Semi-trailer truck (Hydrogen)'!Y$408</f>
        <v>0.15245632434878839</v>
      </c>
      <c r="AC15" s="126">
        <f>'Semi-trailer truck (Hydrogen)'!Z$408</f>
        <v>0.15230569880016917</v>
      </c>
      <c r="AD15" s="126">
        <f>'Semi-trailer truck (Hydrogen)'!AA$408</f>
        <v>0.1522038139248986</v>
      </c>
      <c r="AE15" s="126">
        <f>'Semi-trailer truck (Hydrogen)'!AB$408</f>
        <v>0.15213508982346621</v>
      </c>
      <c r="AF15" s="126">
        <f>'Semi-trailer truck (Hydrogen)'!AC$408</f>
        <v>0.15208882484074399</v>
      </c>
    </row>
    <row r="16" spans="1:32" x14ac:dyDescent="0.3">
      <c r="A16">
        <v>15</v>
      </c>
      <c r="B16" t="s">
        <v>221</v>
      </c>
      <c r="C16" t="s">
        <v>103</v>
      </c>
      <c r="D16" t="s">
        <v>226</v>
      </c>
      <c r="E16" s="126">
        <f>'Semi-trailer truck (Hydrogen)'!B$513</f>
        <v>0.20090182152776806</v>
      </c>
      <c r="F16" s="126">
        <f>'Semi-trailer truck (Hydrogen)'!C$513</f>
        <v>0.19988453144957086</v>
      </c>
      <c r="G16" s="126">
        <f>'Semi-trailer truck (Hydrogen)'!D$513</f>
        <v>0.19846801615884099</v>
      </c>
      <c r="H16" s="126">
        <f>'Semi-trailer truck (Hydrogen)'!E$513</f>
        <v>0.19652151865364809</v>
      </c>
      <c r="I16" s="126">
        <f>'Semi-trailer truck (Hydrogen)'!F$513</f>
        <v>0.19389625761321919</v>
      </c>
      <c r="J16" s="126">
        <f>'Semi-trailer truck (Hydrogen)'!G$513</f>
        <v>0.19044567837428594</v>
      </c>
      <c r="K16" s="126">
        <f>'Semi-trailer truck (Hydrogen)'!H$513</f>
        <v>0.18606400467005008</v>
      </c>
      <c r="L16" s="126">
        <f>'Semi-trailer truck (Hydrogen)'!I$513</f>
        <v>0.18074039333956196</v>
      </c>
      <c r="M16" s="126">
        <f>'Semi-trailer truck (Hydrogen)'!J$513</f>
        <v>0.17460998894326343</v>
      </c>
      <c r="N16" s="126">
        <f>'Semi-trailer truck (Hydrogen)'!K$513</f>
        <v>0.16796831997063055</v>
      </c>
      <c r="O16" s="126">
        <f>'Semi-trailer truck (Hydrogen)'!L$513</f>
        <v>0.16122329244432326</v>
      </c>
      <c r="P16" s="126">
        <f>'Semi-trailer truck (Hydrogen)'!M$513</f>
        <v>0.15479756666131753</v>
      </c>
      <c r="Q16" s="126">
        <f>'Semi-trailer truck (Hydrogen)'!N$513</f>
        <v>0.1490307728720596</v>
      </c>
      <c r="R16" s="126">
        <f>'Semi-trailer truck (Hydrogen)'!O$513</f>
        <v>0.14412545422677714</v>
      </c>
      <c r="S16" s="126">
        <f>'Semi-trailer truck (Hydrogen)'!P$513</f>
        <v>0.14014404087905655</v>
      </c>
      <c r="T16" s="126">
        <f>'Semi-trailer truck (Hydrogen)'!Q$513</f>
        <v>0.137038871501767</v>
      </c>
      <c r="U16" s="126">
        <f>'Semi-trailer truck (Hydrogen)'!R$513</f>
        <v>0.13469494088007586</v>
      </c>
      <c r="V16" s="126">
        <f>'Semi-trailer truck (Hydrogen)'!S$513</f>
        <v>0.13297057292591644</v>
      </c>
      <c r="W16" s="126">
        <f>'Semi-trailer truck (Hydrogen)'!T$513</f>
        <v>0.13172694527965206</v>
      </c>
      <c r="X16" s="126">
        <f>'Semi-trailer truck (Hydrogen)'!U$513</f>
        <v>0.13084386887842223</v>
      </c>
      <c r="Y16" s="126">
        <f>'Semi-trailer truck (Hydrogen)'!V$513</f>
        <v>0.13022468097547873</v>
      </c>
      <c r="Z16" s="126">
        <f>'Semi-trailer truck (Hydrogen)'!W$513</f>
        <v>0.12979506433241969</v>
      </c>
      <c r="AA16" s="126">
        <f>'Semi-trailer truck (Hydrogen)'!X$513</f>
        <v>0.12949956080538072</v>
      </c>
      <c r="AB16" s="126">
        <f>'Semi-trailer truck (Hydrogen)'!Y$513</f>
        <v>0.1292977181821052</v>
      </c>
      <c r="AC16" s="126">
        <f>'Semi-trailer truck (Hydrogen)'!Z$513</f>
        <v>0.1291605913200454</v>
      </c>
      <c r="AD16" s="126">
        <f>'Semi-trailer truck (Hydrogen)'!AA$513</f>
        <v>0.129067803801546</v>
      </c>
      <c r="AE16" s="126">
        <f>'Semi-trailer truck (Hydrogen)'!AB$513</f>
        <v>0.12900520051469869</v>
      </c>
      <c r="AF16" s="126">
        <f>'Semi-trailer truck (Hydrogen)'!AC$513</f>
        <v>0.12896304884725901</v>
      </c>
    </row>
    <row r="17" spans="1:32" x14ac:dyDescent="0.3">
      <c r="A17">
        <v>16</v>
      </c>
      <c r="B17" t="s">
        <v>227</v>
      </c>
      <c r="C17" t="s">
        <v>11</v>
      </c>
      <c r="D17" t="s">
        <v>222</v>
      </c>
      <c r="E17" s="126">
        <f>'Railway (Diesel)'!B$85</f>
        <v>2.2773556508726353E-2</v>
      </c>
      <c r="F17" s="126">
        <f>'Railway (Diesel)'!C$85</f>
        <v>2.2778112014717557E-2</v>
      </c>
      <c r="G17" s="126">
        <f>'Railway (Diesel)'!D$85</f>
        <v>2.2784622675583854E-2</v>
      </c>
      <c r="H17" s="126">
        <f>'Railway (Diesel)'!E$85</f>
        <v>2.2793914727699448E-2</v>
      </c>
      <c r="I17" s="126">
        <f>'Railway (Diesel)'!F$85</f>
        <v>2.280714959883207E-2</v>
      </c>
      <c r="J17" s="126">
        <f>'Railway (Diesel)'!G$85</f>
        <v>2.2825945297412491E-2</v>
      </c>
      <c r="K17" s="126">
        <f>'Railway (Diesel)'!H$85</f>
        <v>2.2852527385357022E-2</v>
      </c>
      <c r="L17" s="126">
        <f>'Railway (Diesel)'!I$85</f>
        <v>2.2889903470972396E-2</v>
      </c>
      <c r="M17" s="126">
        <f>'Railway (Diesel)'!J$85</f>
        <v>2.2942042006709368E-2</v>
      </c>
      <c r="N17" s="126">
        <f>'Railway (Diesel)'!K$85</f>
        <v>2.3014016998626638E-2</v>
      </c>
      <c r="O17" s="126">
        <f>'Railway (Diesel)'!L$85</f>
        <v>2.3112055261760078E-2</v>
      </c>
      <c r="P17" s="126">
        <f>'Railway (Diesel)'!M$85</f>
        <v>2.3243384289252898E-2</v>
      </c>
      <c r="Q17" s="126">
        <f>'Railway (Diesel)'!N$85</f>
        <v>2.341570055614467E-2</v>
      </c>
      <c r="R17" s="126">
        <f>'Railway (Diesel)'!O$85</f>
        <v>2.3635951164712905E-2</v>
      </c>
      <c r="S17" s="126">
        <f>'Railway (Diesel)'!P$85</f>
        <v>2.3908085939147984E-2</v>
      </c>
      <c r="T17" s="126">
        <f>'Railway (Diesel)'!Q$85</f>
        <v>2.4229860505706063E-2</v>
      </c>
      <c r="U17" s="126">
        <f>'Railway (Diesel)'!R$85</f>
        <v>2.4589886833149124E-2</v>
      </c>
      <c r="V17" s="126">
        <f>'Railway (Diesel)'!S$85</f>
        <v>2.4967246256500032E-2</v>
      </c>
      <c r="W17" s="126">
        <f>'Railway (Diesel)'!T$85</f>
        <v>2.5335441409107623E-2</v>
      </c>
      <c r="X17" s="126">
        <f>'Railway (Diesel)'!U$85</f>
        <v>2.5669599132968592E-2</v>
      </c>
      <c r="Y17" s="126">
        <f>'Railway (Diesel)'!V$85</f>
        <v>2.5953030444757746E-2</v>
      </c>
      <c r="Z17" s="126">
        <f>'Railway (Diesel)'!W$85</f>
        <v>2.6179721555656225E-2</v>
      </c>
      <c r="AA17" s="126">
        <f>'Railway (Diesel)'!X$85</f>
        <v>2.6352554927121474E-2</v>
      </c>
      <c r="AB17" s="126">
        <f>'Railway (Diesel)'!Y$85</f>
        <v>2.6479533026852443E-2</v>
      </c>
      <c r="AC17" s="126">
        <f>'Railway (Diesel)'!Z$85</f>
        <v>2.6570288381637511E-2</v>
      </c>
      <c r="AD17" s="126">
        <f>'Railway (Diesel)'!AA$85</f>
        <v>2.6633879570009313E-2</v>
      </c>
      <c r="AE17" s="126">
        <f>'Railway (Diesel)'!AB$85</f>
        <v>2.6677818142985553E-2</v>
      </c>
      <c r="AF17" s="126">
        <f>'Railway (Diesel)'!AC$85</f>
        <v>2.6707884376365485E-2</v>
      </c>
    </row>
    <row r="18" spans="1:32" x14ac:dyDescent="0.3">
      <c r="A18">
        <v>17</v>
      </c>
      <c r="B18" t="s">
        <v>227</v>
      </c>
      <c r="C18" t="s">
        <v>11</v>
      </c>
      <c r="D18" t="s">
        <v>223</v>
      </c>
      <c r="E18" s="126">
        <f>'Railway (Diesel)'!B$191</f>
        <v>3.4382464517395517E-2</v>
      </c>
      <c r="F18" s="126">
        <f>'Railway (Diesel)'!C$191</f>
        <v>3.4389297776382333E-2</v>
      </c>
      <c r="G18" s="126">
        <f>'Railway (Diesel)'!D$191</f>
        <v>3.4399063767681773E-2</v>
      </c>
      <c r="H18" s="126">
        <f>'Railway (Diesel)'!E$191</f>
        <v>3.4413001845855169E-2</v>
      </c>
      <c r="I18" s="126">
        <f>'Railway (Diesel)'!F$191</f>
        <v>3.4432854152554093E-2</v>
      </c>
      <c r="J18" s="126">
        <f>'Railway (Diesel)'!G$191</f>
        <v>3.4461047700424734E-2</v>
      </c>
      <c r="K18" s="126">
        <f>'Railway (Diesel)'!H$191</f>
        <v>3.450092083234152E-2</v>
      </c>
      <c r="L18" s="126">
        <f>'Railway (Diesel)'!I$191</f>
        <v>3.4556984960764592E-2</v>
      </c>
      <c r="M18" s="126">
        <f>'Railway (Diesel)'!J$191</f>
        <v>3.4635192764370056E-2</v>
      </c>
      <c r="N18" s="126">
        <f>'Railway (Diesel)'!K$191</f>
        <v>3.4743155252245944E-2</v>
      </c>
      <c r="O18" s="126">
        <f>'Railway (Diesel)'!L$191</f>
        <v>3.4890212646946112E-2</v>
      </c>
      <c r="P18" s="126">
        <f>'Railway (Diesel)'!M$191</f>
        <v>3.5087206188185345E-2</v>
      </c>
      <c r="Q18" s="126">
        <f>'Railway (Diesel)'!N$191</f>
        <v>3.5345680588522992E-2</v>
      </c>
      <c r="R18" s="126">
        <f>'Railway (Diesel)'!O$191</f>
        <v>3.5676056501375342E-2</v>
      </c>
      <c r="S18" s="126">
        <f>'Railway (Diesel)'!P$191</f>
        <v>3.6084258663027974E-2</v>
      </c>
      <c r="T18" s="126">
        <f>'Railway (Diesel)'!Q$191</f>
        <v>3.6566920512865086E-2</v>
      </c>
      <c r="U18" s="126">
        <f>'Railway (Diesel)'!R$191</f>
        <v>3.7106960004029681E-2</v>
      </c>
      <c r="V18" s="126">
        <f>'Railway (Diesel)'!S$191</f>
        <v>3.7672999139056043E-2</v>
      </c>
      <c r="W18" s="126">
        <f>'Railway (Diesel)'!T$191</f>
        <v>3.8225291867967429E-2</v>
      </c>
      <c r="X18" s="126">
        <f>'Railway (Diesel)'!U$191</f>
        <v>3.8726528453758874E-2</v>
      </c>
      <c r="Y18" s="126">
        <f>'Railway (Diesel)'!V$191</f>
        <v>3.9151675421442607E-2</v>
      </c>
      <c r="Z18" s="126">
        <f>'Railway (Diesel)'!W$191</f>
        <v>3.9491712087790329E-2</v>
      </c>
      <c r="AA18" s="126">
        <f>'Railway (Diesel)'!X$191</f>
        <v>3.9750962144988203E-2</v>
      </c>
      <c r="AB18" s="126">
        <f>'Railway (Diesel)'!Y$191</f>
        <v>3.9941429294584656E-2</v>
      </c>
      <c r="AC18" s="126">
        <f>'Railway (Diesel)'!Z$191</f>
        <v>4.0077562326762253E-2</v>
      </c>
      <c r="AD18" s="126">
        <f>'Railway (Diesel)'!AA$191</f>
        <v>4.0172949109319969E-2</v>
      </c>
      <c r="AE18" s="126">
        <f>'Railway (Diesel)'!AB$191</f>
        <v>4.0238856968784327E-2</v>
      </c>
      <c r="AF18" s="126">
        <f>'Railway (Diesel)'!AC$191</f>
        <v>4.028395631885423E-2</v>
      </c>
    </row>
    <row r="19" spans="1:32" x14ac:dyDescent="0.3">
      <c r="A19">
        <v>18</v>
      </c>
      <c r="B19" t="s">
        <v>227</v>
      </c>
      <c r="C19" t="s">
        <v>11</v>
      </c>
      <c r="D19" t="s">
        <v>224</v>
      </c>
      <c r="E19" s="126">
        <f>'Railway (Diesel)'!B$299</f>
        <v>3.2685860428015773E-2</v>
      </c>
      <c r="F19" s="126">
        <f>'Railway (Diesel)'!C$299</f>
        <v>3.2692693687002589E-2</v>
      </c>
      <c r="G19" s="126">
        <f>'Railway (Diesel)'!D$299</f>
        <v>3.2702459678302036E-2</v>
      </c>
      <c r="H19" s="126">
        <f>'Railway (Diesel)'!E$299</f>
        <v>3.2716397756475418E-2</v>
      </c>
      <c r="I19" s="126">
        <f>'Railway (Diesel)'!F$299</f>
        <v>3.2736250063174349E-2</v>
      </c>
      <c r="J19" s="126">
        <f>'Railway (Diesel)'!G$299</f>
        <v>3.276444361104499E-2</v>
      </c>
      <c r="K19" s="126">
        <f>'Railway (Diesel)'!H$299</f>
        <v>3.2804316742961782E-2</v>
      </c>
      <c r="L19" s="126">
        <f>'Railway (Diesel)'!I$299</f>
        <v>3.2860380871384848E-2</v>
      </c>
      <c r="M19" s="126">
        <f>'Railway (Diesel)'!J$299</f>
        <v>3.2938588674990305E-2</v>
      </c>
      <c r="N19" s="126">
        <f>'Railway (Diesel)'!K$299</f>
        <v>3.30465511628662E-2</v>
      </c>
      <c r="O19" s="126">
        <f>'Railway (Diesel)'!L$299</f>
        <v>3.3193608557566368E-2</v>
      </c>
      <c r="P19" s="126">
        <f>'Railway (Diesel)'!M$299</f>
        <v>3.3390602098805594E-2</v>
      </c>
      <c r="Q19" s="126">
        <f>'Railway (Diesel)'!N$299</f>
        <v>3.3649076499143254E-2</v>
      </c>
      <c r="R19" s="126">
        <f>'Railway (Diesel)'!O$299</f>
        <v>3.3979452411995612E-2</v>
      </c>
      <c r="S19" s="126">
        <f>'Railway (Diesel)'!P$299</f>
        <v>3.4387654573648237E-2</v>
      </c>
      <c r="T19" s="126">
        <f>'Railway (Diesel)'!Q$299</f>
        <v>3.4870316423485342E-2</v>
      </c>
      <c r="U19" s="126">
        <f>'Railway (Diesel)'!R$299</f>
        <v>3.5410355914649937E-2</v>
      </c>
      <c r="V19" s="126">
        <f>'Railway (Diesel)'!S$299</f>
        <v>3.5976395049676306E-2</v>
      </c>
      <c r="W19" s="126">
        <f>'Railway (Diesel)'!T$299</f>
        <v>3.6528687778587692E-2</v>
      </c>
      <c r="X19" s="126">
        <f>'Railway (Diesel)'!U$299</f>
        <v>3.7029924364379137E-2</v>
      </c>
      <c r="Y19" s="126">
        <f>'Railway (Diesel)'!V$299</f>
        <v>3.745507133206287E-2</v>
      </c>
      <c r="Z19" s="126">
        <f>'Railway (Diesel)'!W$299</f>
        <v>3.7795107998410585E-2</v>
      </c>
      <c r="AA19" s="126">
        <f>'Railway (Diesel)'!X$299</f>
        <v>3.8054358055608452E-2</v>
      </c>
      <c r="AB19" s="126">
        <f>'Railway (Diesel)'!Y$299</f>
        <v>3.8244825205204912E-2</v>
      </c>
      <c r="AC19" s="126">
        <f>'Railway (Diesel)'!Z$299</f>
        <v>3.8380958237382523E-2</v>
      </c>
      <c r="AD19" s="126">
        <f>'Railway (Diesel)'!AA$299</f>
        <v>3.8476345019940225E-2</v>
      </c>
      <c r="AE19" s="126">
        <f>'Railway (Diesel)'!AB$299</f>
        <v>3.8542252879404576E-2</v>
      </c>
      <c r="AF19" s="126">
        <f>'Railway (Diesel)'!AC$299</f>
        <v>3.8587352229474486E-2</v>
      </c>
    </row>
    <row r="20" spans="1:32" x14ac:dyDescent="0.3">
      <c r="A20">
        <v>19</v>
      </c>
      <c r="B20" t="s">
        <v>227</v>
      </c>
      <c r="C20" t="s">
        <v>11</v>
      </c>
      <c r="D20" t="s">
        <v>225</v>
      </c>
      <c r="E20" s="126">
        <f>'Railway (Diesel)'!B$408</f>
        <v>2.8108202021392074E-2</v>
      </c>
      <c r="F20" s="126">
        <f>'Railway (Diesel)'!C$408</f>
        <v>2.8112251360050921E-2</v>
      </c>
      <c r="G20" s="126">
        <f>'Railway (Diesel)'!D$408</f>
        <v>2.8118038614154298E-2</v>
      </c>
      <c r="H20" s="126">
        <f>'Railway (Diesel)'!E$408</f>
        <v>2.812629821603483E-2</v>
      </c>
      <c r="I20" s="126">
        <f>'Railway (Diesel)'!F$408</f>
        <v>2.813806254593049E-2</v>
      </c>
      <c r="J20" s="126">
        <f>'Railway (Diesel)'!G$408</f>
        <v>2.8154769833557535E-2</v>
      </c>
      <c r="K20" s="126">
        <f>'Railway (Diesel)'!H$408</f>
        <v>2.8178398356174895E-2</v>
      </c>
      <c r="L20" s="126">
        <f>'Railway (Diesel)'!I$408</f>
        <v>2.8211621543388556E-2</v>
      </c>
      <c r="M20" s="126">
        <f>'Railway (Diesel)'!J$408</f>
        <v>2.8257966908488089E-2</v>
      </c>
      <c r="N20" s="126">
        <f>'Railway (Diesel)'!K$408</f>
        <v>2.832194467908121E-2</v>
      </c>
      <c r="O20" s="126">
        <f>'Railway (Diesel)'!L$408</f>
        <v>2.8409089801866495E-2</v>
      </c>
      <c r="P20" s="126">
        <f>'Railway (Diesel)'!M$408</f>
        <v>2.852582671519345E-2</v>
      </c>
      <c r="Q20" s="126">
        <f>'Railway (Diesel)'!N$408</f>
        <v>2.8678996730208357E-2</v>
      </c>
      <c r="R20" s="126">
        <f>'Railway (Diesel)'!O$408</f>
        <v>2.887477504893568E-2</v>
      </c>
      <c r="S20" s="126">
        <f>'Railway (Diesel)'!P$408</f>
        <v>2.9116672626211308E-2</v>
      </c>
      <c r="T20" s="126">
        <f>'Railway (Diesel)'!Q$408</f>
        <v>2.9402694463151816E-2</v>
      </c>
      <c r="U20" s="126">
        <f>'Railway (Diesel)'!R$408</f>
        <v>2.9722717865323427E-2</v>
      </c>
      <c r="V20" s="126">
        <f>'Railway (Diesel)'!S$408</f>
        <v>3.0058148463857567E-2</v>
      </c>
      <c r="W20" s="126">
        <f>'Railway (Diesel)'!T$408</f>
        <v>3.0385433043953202E-2</v>
      </c>
      <c r="X20" s="126">
        <f>'Railway (Diesel)'!U$408</f>
        <v>3.0682462131829614E-2</v>
      </c>
      <c r="Y20" s="126">
        <f>'Railway (Diesel)'!V$408</f>
        <v>3.0934401075642201E-2</v>
      </c>
      <c r="Z20" s="126">
        <f>'Railway (Diesel)'!W$408</f>
        <v>3.1135904285329741E-2</v>
      </c>
      <c r="AA20" s="126">
        <f>'Railway (Diesel)'!X$408</f>
        <v>3.1289533948854406E-2</v>
      </c>
      <c r="AB20" s="126">
        <f>'Railway (Diesel)'!Y$408</f>
        <v>3.1402403370837488E-2</v>
      </c>
      <c r="AC20" s="126">
        <f>'Railway (Diesel)'!Z$408</f>
        <v>3.1483074797313104E-2</v>
      </c>
      <c r="AD20" s="126">
        <f>'Railway (Diesel)'!AA$408</f>
        <v>3.1539600298088041E-2</v>
      </c>
      <c r="AE20" s="126">
        <f>'Railway (Diesel)'!AB$408</f>
        <v>3.1578656807400254E-2</v>
      </c>
      <c r="AF20" s="126">
        <f>'Railway (Diesel)'!AC$408</f>
        <v>3.1605382348182415E-2</v>
      </c>
    </row>
    <row r="21" spans="1:32" x14ac:dyDescent="0.3">
      <c r="A21">
        <v>20</v>
      </c>
      <c r="B21" t="s">
        <v>227</v>
      </c>
      <c r="C21" t="s">
        <v>11</v>
      </c>
      <c r="D21" t="s">
        <v>226</v>
      </c>
      <c r="E21" s="126">
        <f>'Railway (Diesel)'!B$513</f>
        <v>3.3806597394249023E-2</v>
      </c>
      <c r="F21" s="126">
        <f>'Railway (Diesel)'!C$513</f>
        <v>3.3813430653235832E-2</v>
      </c>
      <c r="G21" s="126">
        <f>'Railway (Diesel)'!D$513</f>
        <v>3.3823196644535272E-2</v>
      </c>
      <c r="H21" s="126">
        <f>'Railway (Diesel)'!E$513</f>
        <v>3.3837134722708676E-2</v>
      </c>
      <c r="I21" s="126">
        <f>'Railway (Diesel)'!F$513</f>
        <v>3.3856987029407606E-2</v>
      </c>
      <c r="J21" s="126">
        <f>'Railway (Diesel)'!G$513</f>
        <v>3.388518057727824E-2</v>
      </c>
      <c r="K21" s="126">
        <f>'Railway (Diesel)'!H$513</f>
        <v>3.392505370919504E-2</v>
      </c>
      <c r="L21" s="126">
        <f>'Railway (Diesel)'!I$513</f>
        <v>3.3981117837618091E-2</v>
      </c>
      <c r="M21" s="126">
        <f>'Railway (Diesel)'!J$513</f>
        <v>3.4059325641223555E-2</v>
      </c>
      <c r="N21" s="126">
        <f>'Railway (Diesel)'!K$513</f>
        <v>3.416728812909945E-2</v>
      </c>
      <c r="O21" s="126">
        <f>'Railway (Diesel)'!L$513</f>
        <v>3.4314345523799618E-2</v>
      </c>
      <c r="P21" s="126">
        <f>'Railway (Diesel)'!M$513</f>
        <v>3.4511339065038844E-2</v>
      </c>
      <c r="Q21" s="126">
        <f>'Railway (Diesel)'!N$513</f>
        <v>3.4769813465376505E-2</v>
      </c>
      <c r="R21" s="126">
        <f>'Railway (Diesel)'!O$513</f>
        <v>3.5100189378228862E-2</v>
      </c>
      <c r="S21" s="126">
        <f>'Railway (Diesel)'!P$513</f>
        <v>3.550839153988148E-2</v>
      </c>
      <c r="T21" s="126">
        <f>'Railway (Diesel)'!Q$513</f>
        <v>3.59910533897186E-2</v>
      </c>
      <c r="U21" s="126">
        <f>'Railway (Diesel)'!R$513</f>
        <v>3.653109288088318E-2</v>
      </c>
      <c r="V21" s="126">
        <f>'Railway (Diesel)'!S$513</f>
        <v>3.7097132015909549E-2</v>
      </c>
      <c r="W21" s="126">
        <f>'Railway (Diesel)'!T$513</f>
        <v>3.7649424744820935E-2</v>
      </c>
      <c r="X21" s="126">
        <f>'Railway (Diesel)'!U$513</f>
        <v>3.8150661330612387E-2</v>
      </c>
      <c r="Y21" s="126">
        <f>'Railway (Diesel)'!V$513</f>
        <v>3.8575808298296113E-2</v>
      </c>
      <c r="Z21" s="126">
        <f>'Railway (Diesel)'!W$513</f>
        <v>3.8915844964643835E-2</v>
      </c>
      <c r="AA21" s="126">
        <f>'Railway (Diesel)'!X$513</f>
        <v>3.9175095021841709E-2</v>
      </c>
      <c r="AB21" s="126">
        <f>'Railway (Diesel)'!Y$513</f>
        <v>3.9365562171438162E-2</v>
      </c>
      <c r="AC21" s="126">
        <f>'Railway (Diesel)'!Z$513</f>
        <v>3.9501695203615766E-2</v>
      </c>
      <c r="AD21" s="126">
        <f>'Railway (Diesel)'!AA$513</f>
        <v>3.9597081986173469E-2</v>
      </c>
      <c r="AE21" s="126">
        <f>'Railway (Diesel)'!AB$513</f>
        <v>3.9662989845637833E-2</v>
      </c>
      <c r="AF21" s="126">
        <f>'Railway (Diesel)'!AC$513</f>
        <v>3.9708089195707737E-2</v>
      </c>
    </row>
    <row r="22" spans="1:32" x14ac:dyDescent="0.3">
      <c r="A22">
        <v>21</v>
      </c>
      <c r="B22" t="s">
        <v>227</v>
      </c>
      <c r="C22" t="s">
        <v>136</v>
      </c>
      <c r="D22" t="s">
        <v>222</v>
      </c>
      <c r="E22" s="126">
        <f>'Railway (Catenary)'!B$85</f>
        <v>1.6194682986731719E-2</v>
      </c>
      <c r="F22" s="126">
        <f>'Railway (Catenary)'!C$85</f>
        <v>1.619203923508623E-2</v>
      </c>
      <c r="G22" s="126">
        <f>'Railway (Catenary)'!D$85</f>
        <v>1.6188284878779411E-2</v>
      </c>
      <c r="H22" s="126">
        <f>'Railway (Catenary)'!E$85</f>
        <v>1.6182977171355806E-2</v>
      </c>
      <c r="I22" s="126">
        <f>'Railway (Catenary)'!F$85</f>
        <v>1.6175522542014122E-2</v>
      </c>
      <c r="J22" s="126">
        <f>'Railway (Catenary)'!G$85</f>
        <v>1.6165152258332056E-2</v>
      </c>
      <c r="K22" s="126">
        <f>'Railway (Catenary)'!H$85</f>
        <v>1.6150923343533789E-2</v>
      </c>
      <c r="L22" s="126">
        <f>'Railway (Catenary)'!I$85</f>
        <v>1.6131777563862436E-2</v>
      </c>
      <c r="M22" s="126">
        <f>'Railway (Catenary)'!J$85</f>
        <v>1.6106703395067926E-2</v>
      </c>
      <c r="N22" s="126">
        <f>'Railway (Catenary)'!K$85</f>
        <v>1.6075036367993997E-2</v>
      </c>
      <c r="O22" s="126">
        <f>'Railway (Catenary)'!L$85</f>
        <v>1.6036869883812064E-2</v>
      </c>
      <c r="P22" s="126">
        <f>'Railway (Catenary)'!M$85</f>
        <v>1.5993419377568638E-2</v>
      </c>
      <c r="Q22" s="126">
        <f>'Railway (Catenary)'!N$85</f>
        <v>1.5947067120090183E-2</v>
      </c>
      <c r="R22" s="126">
        <f>'Railway (Catenary)'!O$85</f>
        <v>1.5900892708747515E-2</v>
      </c>
      <c r="S22" s="126">
        <f>'Railway (Catenary)'!P$85</f>
        <v>1.585783433581946E-2</v>
      </c>
      <c r="T22" s="126">
        <f>'Railway (Catenary)'!Q$85</f>
        <v>1.5819946137750826E-2</v>
      </c>
      <c r="U22" s="126">
        <f>'Railway (Catenary)'!R$85</f>
        <v>1.578814032197606E-2</v>
      </c>
      <c r="V22" s="126">
        <f>'Railway (Catenary)'!S$85</f>
        <v>1.5762402614581981E-2</v>
      </c>
      <c r="W22" s="126">
        <f>'Railway (Catenary)'!T$85</f>
        <v>1.5742184231400089E-2</v>
      </c>
      <c r="X22" s="126">
        <f>'Railway (Catenary)'!U$85</f>
        <v>1.5726714004884162E-2</v>
      </c>
      <c r="Y22" s="126">
        <f>'Railway (Catenary)'!V$85</f>
        <v>1.5715167268783168E-2</v>
      </c>
      <c r="Z22" s="126">
        <f>'Railway (Catenary)'!W$85</f>
        <v>1.5706746802790154E-2</v>
      </c>
      <c r="AA22" s="126">
        <f>'Railway (Catenary)'!X$85</f>
        <v>1.5700731072724718E-2</v>
      </c>
      <c r="AB22" s="126">
        <f>'Railway (Catenary)'!Y$85</f>
        <v>1.5696505932364976E-2</v>
      </c>
      <c r="AC22" s="126">
        <f>'Railway (Catenary)'!Z$85</f>
        <v>1.5693577717082883E-2</v>
      </c>
      <c r="AD22" s="126">
        <f>'Railway (Catenary)'!AA$85</f>
        <v>1.5691568469114601E-2</v>
      </c>
      <c r="AE22" s="126">
        <f>'Railway (Catenary)'!AB$85</f>
        <v>1.569019969711823E-2</v>
      </c>
      <c r="AF22" s="126">
        <f>'Railway (Catenary)'!AC$85</f>
        <v>1.5689271979090976E-2</v>
      </c>
    </row>
    <row r="23" spans="1:32" x14ac:dyDescent="0.3">
      <c r="A23">
        <v>22</v>
      </c>
      <c r="B23" t="s">
        <v>227</v>
      </c>
      <c r="C23" t="s">
        <v>136</v>
      </c>
      <c r="D23" t="s">
        <v>223</v>
      </c>
      <c r="E23" s="126">
        <f>'Railway (Catenary)'!B$191</f>
        <v>2.4514154234403569E-2</v>
      </c>
      <c r="F23" s="126">
        <f>'Railway (Catenary)'!C$191</f>
        <v>2.4510188606935334E-2</v>
      </c>
      <c r="G23" s="126">
        <f>'Railway (Catenary)'!D$191</f>
        <v>2.4504557072475109E-2</v>
      </c>
      <c r="H23" s="126">
        <f>'Railway (Catenary)'!E$191</f>
        <v>2.4496595511339696E-2</v>
      </c>
      <c r="I23" s="126">
        <f>'Railway (Catenary)'!F$191</f>
        <v>2.4485413567327169E-2</v>
      </c>
      <c r="J23" s="126">
        <f>'Railway (Catenary)'!G$191</f>
        <v>2.4469858141804073E-2</v>
      </c>
      <c r="K23" s="126">
        <f>'Railway (Catenary)'!H$191</f>
        <v>2.4448514769606675E-2</v>
      </c>
      <c r="L23" s="126">
        <f>'Railway (Catenary)'!I$191</f>
        <v>2.4419796100099648E-2</v>
      </c>
      <c r="M23" s="126">
        <f>'Railway (Catenary)'!J$191</f>
        <v>2.4382184846907878E-2</v>
      </c>
      <c r="N23" s="126">
        <f>'Railway (Catenary)'!K$191</f>
        <v>2.4334684306296983E-2</v>
      </c>
      <c r="O23" s="126">
        <f>'Railway (Catenary)'!L$191</f>
        <v>2.4277434580024085E-2</v>
      </c>
      <c r="P23" s="126">
        <f>'Railway (Catenary)'!M$191</f>
        <v>2.4212258820658947E-2</v>
      </c>
      <c r="Q23" s="126">
        <f>'Railway (Catenary)'!N$191</f>
        <v>2.4142730434441269E-2</v>
      </c>
      <c r="R23" s="126">
        <f>'Railway (Catenary)'!O$191</f>
        <v>2.4073468817427258E-2</v>
      </c>
      <c r="S23" s="126">
        <f>'Railway (Catenary)'!P$191</f>
        <v>2.4008881258035183E-2</v>
      </c>
      <c r="T23" s="126">
        <f>'Railway (Catenary)'!Q$191</f>
        <v>2.395204896093223E-2</v>
      </c>
      <c r="U23" s="126">
        <f>'Railway (Catenary)'!R$191</f>
        <v>2.3904340237270078E-2</v>
      </c>
      <c r="V23" s="126">
        <f>'Railway (Catenary)'!S$191</f>
        <v>2.386573367617896E-2</v>
      </c>
      <c r="W23" s="126">
        <f>'Railway (Catenary)'!T$191</f>
        <v>2.383540610140612E-2</v>
      </c>
      <c r="X23" s="126">
        <f>'Railway (Catenary)'!U$191</f>
        <v>2.3812200761632235E-2</v>
      </c>
      <c r="Y23" s="126">
        <f>'Railway (Catenary)'!V$191</f>
        <v>2.3794880657480737E-2</v>
      </c>
      <c r="Z23" s="126">
        <f>'Railway (Catenary)'!W$191</f>
        <v>2.3782249958491222E-2</v>
      </c>
      <c r="AA23" s="126">
        <f>'Railway (Catenary)'!X$191</f>
        <v>2.3773226363393067E-2</v>
      </c>
      <c r="AB23" s="126">
        <f>'Railway (Catenary)'!Y$191</f>
        <v>2.3766888652853455E-2</v>
      </c>
      <c r="AC23" s="126">
        <f>'Railway (Catenary)'!Z$191</f>
        <v>2.3762496329930313E-2</v>
      </c>
      <c r="AD23" s="126">
        <f>'Railway (Catenary)'!AA$191</f>
        <v>2.3759482457977887E-2</v>
      </c>
      <c r="AE23" s="126">
        <f>'Railway (Catenary)'!AB$191</f>
        <v>2.3757429299983337E-2</v>
      </c>
      <c r="AF23" s="126">
        <f>'Railway (Catenary)'!AC$191</f>
        <v>2.3756037722942453E-2</v>
      </c>
    </row>
    <row r="24" spans="1:32" x14ac:dyDescent="0.3">
      <c r="A24">
        <v>23</v>
      </c>
      <c r="B24" t="s">
        <v>227</v>
      </c>
      <c r="C24" t="s">
        <v>136</v>
      </c>
      <c r="D24" t="s">
        <v>224</v>
      </c>
      <c r="E24" s="126">
        <f>'Railway (Catenary)'!B$299</f>
        <v>2.2817550145023829E-2</v>
      </c>
      <c r="F24" s="126">
        <f>'Railway (Catenary)'!C$299</f>
        <v>2.2813584517555593E-2</v>
      </c>
      <c r="G24" s="126">
        <f>'Railway (Catenary)'!D$299</f>
        <v>2.2807952983095368E-2</v>
      </c>
      <c r="H24" s="126">
        <f>'Railway (Catenary)'!E$299</f>
        <v>2.2799991421959955E-2</v>
      </c>
      <c r="I24" s="126">
        <f>'Railway (Catenary)'!F$299</f>
        <v>2.2788809477947425E-2</v>
      </c>
      <c r="J24" s="126">
        <f>'Railway (Catenary)'!G$299</f>
        <v>2.2773254052424332E-2</v>
      </c>
      <c r="K24" s="126">
        <f>'Railway (Catenary)'!H$299</f>
        <v>2.2751910680226931E-2</v>
      </c>
      <c r="L24" s="126">
        <f>'Railway (Catenary)'!I$299</f>
        <v>2.2723192010719904E-2</v>
      </c>
      <c r="M24" s="126">
        <f>'Railway (Catenary)'!J$299</f>
        <v>2.2685580757528134E-2</v>
      </c>
      <c r="N24" s="126">
        <f>'Railway (Catenary)'!K$299</f>
        <v>2.2638080216917246E-2</v>
      </c>
      <c r="O24" s="126">
        <f>'Railway (Catenary)'!L$299</f>
        <v>2.2580830490644351E-2</v>
      </c>
      <c r="P24" s="126">
        <f>'Railway (Catenary)'!M$299</f>
        <v>2.25156547312792E-2</v>
      </c>
      <c r="Q24" s="126">
        <f>'Railway (Catenary)'!N$299</f>
        <v>2.2446126345061525E-2</v>
      </c>
      <c r="R24" s="126">
        <f>'Railway (Catenary)'!O$299</f>
        <v>2.2376864728047518E-2</v>
      </c>
      <c r="S24" s="126">
        <f>'Railway (Catenary)'!P$299</f>
        <v>2.2312277168655439E-2</v>
      </c>
      <c r="T24" s="126">
        <f>'Railway (Catenary)'!Q$299</f>
        <v>2.2255444871552489E-2</v>
      </c>
      <c r="U24" s="126">
        <f>'Railway (Catenary)'!R$299</f>
        <v>2.2207736147890341E-2</v>
      </c>
      <c r="V24" s="126">
        <f>'Railway (Catenary)'!S$299</f>
        <v>2.216912958679922E-2</v>
      </c>
      <c r="W24" s="126">
        <f>'Railway (Catenary)'!T$299</f>
        <v>2.2138802012026382E-2</v>
      </c>
      <c r="X24" s="126">
        <f>'Railway (Catenary)'!U$299</f>
        <v>2.2115596672252495E-2</v>
      </c>
      <c r="Y24" s="126">
        <f>'Railway (Catenary)'!V$299</f>
        <v>2.2098276568100993E-2</v>
      </c>
      <c r="Z24" s="126">
        <f>'Railway (Catenary)'!W$299</f>
        <v>2.2085645869111478E-2</v>
      </c>
      <c r="AA24" s="126">
        <f>'Railway (Catenary)'!X$299</f>
        <v>2.2076622274013327E-2</v>
      </c>
      <c r="AB24" s="126">
        <f>'Railway (Catenary)'!Y$299</f>
        <v>2.2070284563473718E-2</v>
      </c>
      <c r="AC24" s="126">
        <f>'Railway (Catenary)'!Z$299</f>
        <v>2.2065892240550573E-2</v>
      </c>
      <c r="AD24" s="126">
        <f>'Railway (Catenary)'!AA$299</f>
        <v>2.2062878368598143E-2</v>
      </c>
      <c r="AE24" s="126">
        <f>'Railway (Catenary)'!AB$299</f>
        <v>2.2060825210603589E-2</v>
      </c>
      <c r="AF24" s="126">
        <f>'Railway (Catenary)'!AC$299</f>
        <v>2.2059433633562713E-2</v>
      </c>
    </row>
    <row r="25" spans="1:32" x14ac:dyDescent="0.3">
      <c r="A25">
        <v>24</v>
      </c>
      <c r="B25" t="s">
        <v>227</v>
      </c>
      <c r="C25" t="s">
        <v>136</v>
      </c>
      <c r="D25" t="s">
        <v>225</v>
      </c>
      <c r="E25" s="126">
        <f>'Railway (Catenary)'!B$408</f>
        <v>2.2260314446285737E-2</v>
      </c>
      <c r="F25" s="126">
        <f>'Railway (Catenary)'!C$408</f>
        <v>2.2257964444823079E-2</v>
      </c>
      <c r="G25" s="126">
        <f>'Railway (Catenary)'!D$408</f>
        <v>2.2254627239217017E-2</v>
      </c>
      <c r="H25" s="126">
        <f>'Railway (Catenary)'!E$408</f>
        <v>2.2249909277062701E-2</v>
      </c>
      <c r="I25" s="126">
        <f>'Railway (Catenary)'!F$408</f>
        <v>2.2243282939870091E-2</v>
      </c>
      <c r="J25" s="126">
        <f>'Railway (Catenary)'!G$408</f>
        <v>2.2234064909930479E-2</v>
      </c>
      <c r="K25" s="126">
        <f>'Railway (Catenary)'!H$408</f>
        <v>2.2221416985665349E-2</v>
      </c>
      <c r="L25" s="126">
        <f>'Railway (Catenary)'!I$408</f>
        <v>2.2204398514846374E-2</v>
      </c>
      <c r="M25" s="126">
        <f>'Railway (Catenary)'!J$408</f>
        <v>2.2182110364806804E-2</v>
      </c>
      <c r="N25" s="126">
        <f>'Railway (Catenary)'!K$408</f>
        <v>2.2153961896296648E-2</v>
      </c>
      <c r="O25" s="126">
        <f>'Railway (Catenary)'!L$408</f>
        <v>2.2120036132579377E-2</v>
      </c>
      <c r="P25" s="126">
        <f>'Railway (Catenary)'!M$408</f>
        <v>2.2081413460362992E-2</v>
      </c>
      <c r="Q25" s="126">
        <f>'Railway (Catenary)'!N$408</f>
        <v>2.2040211453715482E-2</v>
      </c>
      <c r="R25" s="126">
        <f>'Railway (Catenary)'!O$408</f>
        <v>2.1999167532521995E-2</v>
      </c>
      <c r="S25" s="126">
        <f>'Railway (Catenary)'!P$408</f>
        <v>2.1960893423252616E-2</v>
      </c>
      <c r="T25" s="126">
        <f>'Railway (Catenary)'!Q$408</f>
        <v>2.1927215024969384E-2</v>
      </c>
      <c r="U25" s="126">
        <f>'Railway (Catenary)'!R$408</f>
        <v>2.1898943188725147E-2</v>
      </c>
      <c r="V25" s="126">
        <f>'Railway (Catenary)'!S$408</f>
        <v>2.1876065226597081E-2</v>
      </c>
      <c r="W25" s="126">
        <f>'Railway (Catenary)'!T$408</f>
        <v>2.1858093330435396E-2</v>
      </c>
      <c r="X25" s="126">
        <f>'Railway (Catenary)'!U$408</f>
        <v>2.18443420179768E-2</v>
      </c>
      <c r="Y25" s="126">
        <f>'Railway (Catenary)'!V$408</f>
        <v>2.1834078252553686E-2</v>
      </c>
      <c r="Z25" s="126">
        <f>'Railway (Catenary)'!W$408</f>
        <v>2.1826593393893229E-2</v>
      </c>
      <c r="AA25" s="126">
        <f>'Railway (Catenary)'!X$408</f>
        <v>2.1821246078279514E-2</v>
      </c>
      <c r="AB25" s="126">
        <f>'Railway (Catenary)'!Y$408</f>
        <v>2.181749039795974E-2</v>
      </c>
      <c r="AC25" s="126">
        <f>'Railway (Catenary)'!Z$408</f>
        <v>2.1814887539931216E-2</v>
      </c>
      <c r="AD25" s="126">
        <f>'Railway (Catenary)'!AA$408</f>
        <v>2.1813101541737181E-2</v>
      </c>
      <c r="AE25" s="126">
        <f>'Railway (Catenary)'!AB$408</f>
        <v>2.1811884855518184E-2</v>
      </c>
      <c r="AF25" s="126">
        <f>'Railway (Catenary)'!AC$408</f>
        <v>2.1811060217271739E-2</v>
      </c>
    </row>
    <row r="26" spans="1:32" x14ac:dyDescent="0.3">
      <c r="A26">
        <v>25</v>
      </c>
      <c r="B26" t="s">
        <v>227</v>
      </c>
      <c r="C26" t="s">
        <v>136</v>
      </c>
      <c r="D26" t="s">
        <v>226</v>
      </c>
      <c r="E26" s="126">
        <f>'Railway (Catenary)'!B$513</f>
        <v>2.3938287111257082E-2</v>
      </c>
      <c r="F26" s="126">
        <f>'Railway (Catenary)'!C$513</f>
        <v>2.3934321483788847E-2</v>
      </c>
      <c r="G26" s="126">
        <f>'Railway (Catenary)'!D$513</f>
        <v>2.3928689949328622E-2</v>
      </c>
      <c r="H26" s="126">
        <f>'Railway (Catenary)'!E$513</f>
        <v>2.3920728388193205E-2</v>
      </c>
      <c r="I26" s="126">
        <f>'Railway (Catenary)'!F$513</f>
        <v>2.3909546444180675E-2</v>
      </c>
      <c r="J26" s="126">
        <f>'Railway (Catenary)'!G$513</f>
        <v>2.3893991018657582E-2</v>
      </c>
      <c r="K26" s="126">
        <f>'Railway (Catenary)'!H$513</f>
        <v>2.3872647646460181E-2</v>
      </c>
      <c r="L26" s="126">
        <f>'Railway (Catenary)'!I$513</f>
        <v>2.3843928976953154E-2</v>
      </c>
      <c r="M26" s="126">
        <f>'Railway (Catenary)'!J$513</f>
        <v>2.3806317723761385E-2</v>
      </c>
      <c r="N26" s="126">
        <f>'Railway (Catenary)'!K$513</f>
        <v>2.37588171831505E-2</v>
      </c>
      <c r="O26" s="126">
        <f>'Railway (Catenary)'!L$513</f>
        <v>2.3701567456877598E-2</v>
      </c>
      <c r="P26" s="126">
        <f>'Railway (Catenary)'!M$513</f>
        <v>2.3636391697512454E-2</v>
      </c>
      <c r="Q26" s="126">
        <f>'Railway (Catenary)'!N$513</f>
        <v>2.3566863311294779E-2</v>
      </c>
      <c r="R26" s="126">
        <f>'Railway (Catenary)'!O$513</f>
        <v>2.3497601694280768E-2</v>
      </c>
      <c r="S26" s="126">
        <f>'Railway (Catenary)'!P$513</f>
        <v>2.3433014134888693E-2</v>
      </c>
      <c r="T26" s="126">
        <f>'Railway (Catenary)'!Q$513</f>
        <v>2.3376181837785736E-2</v>
      </c>
      <c r="U26" s="126">
        <f>'Railway (Catenary)'!R$513</f>
        <v>2.3328473114123591E-2</v>
      </c>
      <c r="V26" s="126">
        <f>'Railway (Catenary)'!S$513</f>
        <v>2.3289866553032473E-2</v>
      </c>
      <c r="W26" s="126">
        <f>'Railway (Catenary)'!T$513</f>
        <v>2.3259538978259633E-2</v>
      </c>
      <c r="X26" s="126">
        <f>'Railway (Catenary)'!U$513</f>
        <v>2.3236333638485745E-2</v>
      </c>
      <c r="Y26" s="126">
        <f>'Railway (Catenary)'!V$513</f>
        <v>2.3219013534334247E-2</v>
      </c>
      <c r="Z26" s="126">
        <f>'Railway (Catenary)'!W$513</f>
        <v>2.3206382835344732E-2</v>
      </c>
      <c r="AA26" s="126">
        <f>'Railway (Catenary)'!X$513</f>
        <v>2.319735924024658E-2</v>
      </c>
      <c r="AB26" s="126">
        <f>'Railway (Catenary)'!Y$513</f>
        <v>2.3191021529706961E-2</v>
      </c>
      <c r="AC26" s="126">
        <f>'Railway (Catenary)'!Z$513</f>
        <v>2.318662920678382E-2</v>
      </c>
      <c r="AD26" s="126">
        <f>'Railway (Catenary)'!AA$513</f>
        <v>2.3183615334831396E-2</v>
      </c>
      <c r="AE26" s="126">
        <f>'Railway (Catenary)'!AB$513</f>
        <v>2.3181562176836843E-2</v>
      </c>
      <c r="AF26" s="126">
        <f>'Railway (Catenary)'!AC$513</f>
        <v>2.3180170599795959E-2</v>
      </c>
    </row>
    <row r="27" spans="1:32" x14ac:dyDescent="0.3">
      <c r="A27">
        <v>26</v>
      </c>
      <c r="B27" t="s">
        <v>227</v>
      </c>
      <c r="C27" t="s">
        <v>87</v>
      </c>
      <c r="D27" t="s">
        <v>222</v>
      </c>
      <c r="E27" s="126">
        <f>'Railway (Battery)'!B$85</f>
        <v>2.2438985718900011E-2</v>
      </c>
      <c r="F27" s="126">
        <f>'Railway (Battery)'!C$85</f>
        <v>2.2409421620467555E-2</v>
      </c>
      <c r="G27" s="126">
        <f>'Railway (Battery)'!D$85</f>
        <v>2.2367449590163378E-2</v>
      </c>
      <c r="H27" s="126">
        <f>'Railway (Battery)'!E$85</f>
        <v>2.2308135589394481E-2</v>
      </c>
      <c r="I27" s="126">
        <f>'Railway (Battery)'!F$85</f>
        <v>2.2224878254764855E-2</v>
      </c>
      <c r="J27" s="126">
        <f>'Railway (Battery)'!G$85</f>
        <v>2.2109155690213905E-2</v>
      </c>
      <c r="K27" s="126">
        <f>'Railway (Battery)'!H$85</f>
        <v>2.1950570080301119E-2</v>
      </c>
      <c r="L27" s="126">
        <f>'Railway (Battery)'!I$85</f>
        <v>2.1737564817713721E-2</v>
      </c>
      <c r="M27" s="126">
        <f>'Railway (Battery)'!J$85</f>
        <v>2.1459320720740183E-2</v>
      </c>
      <c r="N27" s="126">
        <f>'Railway (Battery)'!K$85</f>
        <v>2.1109216644062383E-2</v>
      </c>
      <c r="O27" s="126">
        <f>'Railway (Battery)'!L$85</f>
        <v>2.068950075770918E-2</v>
      </c>
      <c r="P27" s="126">
        <f>'Railway (Battery)'!M$85</f>
        <v>2.0215339481203094E-2</v>
      </c>
      <c r="Q27" s="126">
        <f>'Railway (Battery)'!N$85</f>
        <v>1.9715119976319605E-2</v>
      </c>
      <c r="R27" s="126">
        <f>'Railway (Battery)'!O$85</f>
        <v>1.9224817110762151E-2</v>
      </c>
      <c r="S27" s="126">
        <f>'Railway (Battery)'!P$85</f>
        <v>1.877812331097805E-2</v>
      </c>
      <c r="T27" s="126">
        <f>'Railway (Battery)'!Q$85</f>
        <v>1.8397660220454241E-2</v>
      </c>
      <c r="U27" s="126">
        <f>'Railway (Battery)'!R$85</f>
        <v>1.8091772464806186E-2</v>
      </c>
      <c r="V27" s="126">
        <f>'Railway (Battery)'!S$85</f>
        <v>1.7857010762152167E-2</v>
      </c>
      <c r="W27" s="126">
        <f>'Railway (Battery)'!T$85</f>
        <v>1.768317051756715E-2</v>
      </c>
      <c r="X27" s="126">
        <f>'Railway (Battery)'!U$85</f>
        <v>1.7557853182727956E-2</v>
      </c>
      <c r="Y27" s="126">
        <f>'Railway (Battery)'!V$85</f>
        <v>1.7469300888489053E-2</v>
      </c>
      <c r="Z27" s="126">
        <f>'Railway (Battery)'!W$85</f>
        <v>1.7407648542706183E-2</v>
      </c>
      <c r="AA27" s="126">
        <f>'Railway (Battery)'!X$85</f>
        <v>1.7365192698273225E-2</v>
      </c>
      <c r="AB27" s="126">
        <f>'Railway (Battery)'!Y$85</f>
        <v>1.7336189878479541E-2</v>
      </c>
      <c r="AC27" s="126">
        <f>'Railway (Battery)'!Z$85</f>
        <v>1.7316491494713794E-2</v>
      </c>
      <c r="AD27" s="126">
        <f>'Railway (Battery)'!AA$85</f>
        <v>1.7303167362236301E-2</v>
      </c>
      <c r="AE27" s="126">
        <f>'Railway (Battery)'!AB$85</f>
        <v>1.7294180634204358E-2</v>
      </c>
      <c r="AF27" s="126">
        <f>'Railway (Battery)'!AC$85</f>
        <v>1.7288131353933017E-2</v>
      </c>
    </row>
    <row r="28" spans="1:32" x14ac:dyDescent="0.3">
      <c r="A28">
        <v>27</v>
      </c>
      <c r="B28" t="s">
        <v>227</v>
      </c>
      <c r="C28" t="s">
        <v>87</v>
      </c>
      <c r="D28" t="s">
        <v>223</v>
      </c>
      <c r="E28" s="126">
        <f>'Railway (Battery)'!B$191</f>
        <v>3.3687755535076573E-2</v>
      </c>
      <c r="F28" s="126">
        <f>'Railway (Battery)'!C$191</f>
        <v>3.3644223964452602E-2</v>
      </c>
      <c r="G28" s="126">
        <f>'Railway (Battery)'!D$191</f>
        <v>3.3582419805535148E-2</v>
      </c>
      <c r="H28" s="126">
        <f>'Railway (Battery)'!E$191</f>
        <v>3.3495074318995052E-2</v>
      </c>
      <c r="I28" s="126">
        <f>'Railway (Battery)'!F$191</f>
        <v>3.3372459857965837E-2</v>
      </c>
      <c r="J28" s="126">
        <f>'Railway (Battery)'!G$191</f>
        <v>3.3202013622940757E-2</v>
      </c>
      <c r="K28" s="126">
        <f>'Railway (Battery)'!H$191</f>
        <v>3.2968397760063654E-2</v>
      </c>
      <c r="L28" s="126">
        <f>'Railway (Battery)'!I$191</f>
        <v>3.2654547385889764E-2</v>
      </c>
      <c r="M28" s="126">
        <f>'Railway (Battery)'!J$191</f>
        <v>3.2244454430081719E-2</v>
      </c>
      <c r="N28" s="126">
        <f>'Railway (Battery)'!K$191</f>
        <v>3.1728261193530304E-2</v>
      </c>
      <c r="O28" s="126">
        <f>'Railway (Battery)'!L$191</f>
        <v>3.1109154664594092E-2</v>
      </c>
      <c r="P28" s="126">
        <f>'Railway (Battery)'!M$191</f>
        <v>3.0409372491027955E-2</v>
      </c>
      <c r="Q28" s="126">
        <f>'Railway (Battery)'!N$191</f>
        <v>2.9670710427587118E-2</v>
      </c>
      <c r="R28" s="126">
        <f>'Railway (Battery)'!O$191</f>
        <v>2.8946267436759193E-2</v>
      </c>
      <c r="S28" s="126">
        <f>'Railway (Battery)'!P$191</f>
        <v>2.8285886962941161E-2</v>
      </c>
      <c r="T28" s="126">
        <f>'Railway (Battery)'!Q$191</f>
        <v>2.7723133078475244E-2</v>
      </c>
      <c r="U28" s="126">
        <f>'Railway (Battery)'!R$191</f>
        <v>2.72704853864646E-2</v>
      </c>
      <c r="V28" s="126">
        <f>'Railway (Battery)'!S$191</f>
        <v>2.692295932471462E-2</v>
      </c>
      <c r="W28" s="126">
        <f>'Railway (Battery)'!T$191</f>
        <v>2.6665538140978107E-2</v>
      </c>
      <c r="X28" s="126">
        <f>'Railway (Battery)'!U$191</f>
        <v>2.6479922786883457E-2</v>
      </c>
      <c r="Y28" s="126">
        <f>'Railway (Battery)'!V$191</f>
        <v>2.6348736292521425E-2</v>
      </c>
      <c r="Z28" s="126">
        <f>'Railway (Battery)'!W$191</f>
        <v>2.6257386840209448E-2</v>
      </c>
      <c r="AA28" s="126">
        <f>'Railway (Battery)'!X$191</f>
        <v>2.619447328443017E-2</v>
      </c>
      <c r="AB28" s="126">
        <f>'Railway (Battery)'!Y$191</f>
        <v>2.6151491559444063E-2</v>
      </c>
      <c r="AC28" s="126">
        <f>'Railway (Battery)'!Z$191</f>
        <v>2.6122297092207938E-2</v>
      </c>
      <c r="AD28" s="126">
        <f>'Railway (Battery)'!AA$191</f>
        <v>2.6102548898326649E-2</v>
      </c>
      <c r="AE28" s="126">
        <f>'Railway (Battery)'!AB$191</f>
        <v>2.6089228941212059E-2</v>
      </c>
      <c r="AF28" s="126">
        <f>'Railway (Battery)'!AC$191</f>
        <v>2.6080262632327007E-2</v>
      </c>
    </row>
    <row r="29" spans="1:32" x14ac:dyDescent="0.3">
      <c r="A29">
        <v>28</v>
      </c>
      <c r="B29" t="s">
        <v>227</v>
      </c>
      <c r="C29" t="s">
        <v>87</v>
      </c>
      <c r="D29" t="s">
        <v>224</v>
      </c>
      <c r="E29" s="126">
        <f>'Railway (Battery)'!B$299</f>
        <v>3.197058232993006E-2</v>
      </c>
      <c r="F29" s="126">
        <f>'Railway (Battery)'!C$299</f>
        <v>3.192711142811127E-2</v>
      </c>
      <c r="G29" s="126">
        <f>'Railway (Battery)'!D$299</f>
        <v>3.1865393388390451E-2</v>
      </c>
      <c r="H29" s="126">
        <f>'Railway (Battery)'!E$299</f>
        <v>3.1778169579427737E-2</v>
      </c>
      <c r="I29" s="126">
        <f>'Railway (Battery)'!F$299</f>
        <v>3.1655725865334126E-2</v>
      </c>
      <c r="J29" s="126">
        <f>'Railway (Battery)'!G$299</f>
        <v>3.1485516863396103E-2</v>
      </c>
      <c r="K29" s="126">
        <f>'Railway (Battery)'!H$299</f>
        <v>3.1252225922606978E-2</v>
      </c>
      <c r="L29" s="126">
        <f>'Railway (Battery)'!I$299</f>
        <v>3.0938811635062447E-2</v>
      </c>
      <c r="M29" s="126">
        <f>'Railway (Battery)'!J$299</f>
        <v>3.0529287738708003E-2</v>
      </c>
      <c r="N29" s="126">
        <f>'Railway (Battery)'!K$299</f>
        <v>3.0013809545152714E-2</v>
      </c>
      <c r="O29" s="126">
        <f>'Railway (Battery)'!L$299</f>
        <v>2.9395558714562356E-2</v>
      </c>
      <c r="P29" s="126">
        <f>'Railway (Battery)'!M$299</f>
        <v>2.8696741089890229E-2</v>
      </c>
      <c r="Q29" s="126">
        <f>'Railway (Battery)'!N$299</f>
        <v>2.7959093798778836E-2</v>
      </c>
      <c r="R29" s="126">
        <f>'Railway (Battery)'!O$299</f>
        <v>2.7235642142038583E-2</v>
      </c>
      <c r="S29" s="126">
        <f>'Railway (Battery)'!P$299</f>
        <v>2.6576161128440079E-2</v>
      </c>
      <c r="T29" s="126">
        <f>'Railway (Battery)'!Q$299</f>
        <v>2.601416944116304E-2</v>
      </c>
      <c r="U29" s="126">
        <f>'Railway (Battery)'!R$299</f>
        <v>2.5562130670278273E-2</v>
      </c>
      <c r="V29" s="126">
        <f>'Railway (Battery)'!S$299</f>
        <v>2.5215068370354234E-2</v>
      </c>
      <c r="W29" s="126">
        <f>'Railway (Battery)'!T$299</f>
        <v>2.4957987608587244E-2</v>
      </c>
      <c r="X29" s="126">
        <f>'Railway (Battery)'!U$299</f>
        <v>2.4772615402294487E-2</v>
      </c>
      <c r="Y29" s="126">
        <f>'Railway (Battery)'!V$299</f>
        <v>2.4641599195060818E-2</v>
      </c>
      <c r="Z29" s="126">
        <f>'Railway (Battery)'!W$299</f>
        <v>2.4550367362170891E-2</v>
      </c>
      <c r="AA29" s="126">
        <f>'Railway (Battery)'!X$299</f>
        <v>2.448753427123733E-2</v>
      </c>
      <c r="AB29" s="126">
        <f>'Railway (Battery)'!Y$299</f>
        <v>2.4444607231839683E-2</v>
      </c>
      <c r="AC29" s="126">
        <f>'Railway (Battery)'!Z$299</f>
        <v>2.4415449763775535E-2</v>
      </c>
      <c r="AD29" s="126">
        <f>'Railway (Battery)'!AA$299</f>
        <v>2.4395726526858782E-2</v>
      </c>
      <c r="AE29" s="126">
        <f>'Railway (Battery)'!AB$299</f>
        <v>2.4382423369416751E-2</v>
      </c>
      <c r="AF29" s="126">
        <f>'Railway (Battery)'!AC$299</f>
        <v>2.4373468353547947E-2</v>
      </c>
    </row>
    <row r="30" spans="1:32" x14ac:dyDescent="0.3">
      <c r="A30">
        <v>29</v>
      </c>
      <c r="B30" t="s">
        <v>227</v>
      </c>
      <c r="C30" t="s">
        <v>87</v>
      </c>
      <c r="D30" t="s">
        <v>225</v>
      </c>
      <c r="E30" s="126">
        <f>'Railway (Battery)'!B$408</f>
        <v>2.8010602388861803E-2</v>
      </c>
      <c r="F30" s="126">
        <f>'Railway (Battery)'!C$408</f>
        <v>2.7983679275775167E-2</v>
      </c>
      <c r="G30" s="126">
        <f>'Railway (Battery)'!D$408</f>
        <v>2.7945457303670231E-2</v>
      </c>
      <c r="H30" s="126">
        <f>'Railway (Battery)'!E$408</f>
        <v>2.7891444133317938E-2</v>
      </c>
      <c r="I30" s="126">
        <f>'Railway (Battery)'!F$408</f>
        <v>2.781563004347596E-2</v>
      </c>
      <c r="J30" s="126">
        <f>'Railway (Battery)'!G$408</f>
        <v>2.7710258228108072E-2</v>
      </c>
      <c r="K30" s="126">
        <f>'Railway (Battery)'!H$408</f>
        <v>2.7565866882311114E-2</v>
      </c>
      <c r="L30" s="126">
        <f>'Railway (Battery)'!I$408</f>
        <v>2.7371944343936135E-2</v>
      </c>
      <c r="M30" s="126">
        <f>'Railway (Battery)'!J$408</f>
        <v>2.7118658122454876E-2</v>
      </c>
      <c r="N30" s="126">
        <f>'Railway (Battery)'!K$408</f>
        <v>2.6800007036149771E-2</v>
      </c>
      <c r="O30" s="126">
        <f>'Railway (Battery)'!L$408</f>
        <v>2.6418071282371572E-2</v>
      </c>
      <c r="P30" s="126">
        <f>'Railway (Battery)'!M$408</f>
        <v>2.5986688564280904E-2</v>
      </c>
      <c r="Q30" s="126">
        <f>'Railway (Battery)'!N$408</f>
        <v>2.5531713675763488E-2</v>
      </c>
      <c r="R30" s="126">
        <f>'Railway (Battery)'!O$408</f>
        <v>2.5085878161899642E-2</v>
      </c>
      <c r="S30" s="126">
        <f>'Railway (Battery)'!P$408</f>
        <v>2.4679807491526349E-2</v>
      </c>
      <c r="T30" s="126">
        <f>'Railway (Battery)'!Q$408</f>
        <v>2.4334037972378958E-2</v>
      </c>
      <c r="U30" s="126">
        <f>'Railway (Battery)'!R$408</f>
        <v>2.4056117524140386E-2</v>
      </c>
      <c r="V30" s="126">
        <f>'Railway (Battery)'!S$408</f>
        <v>2.3842876108181366E-2</v>
      </c>
      <c r="W30" s="126">
        <f>'Railway (Battery)'!T$408</f>
        <v>2.3685012017538001E-2</v>
      </c>
      <c r="X30" s="126">
        <f>'Railway (Battery)'!U$408</f>
        <v>2.3571239047329266E-2</v>
      </c>
      <c r="Y30" s="126">
        <f>'Railway (Battery)'!V$408</f>
        <v>2.3490861744769755E-2</v>
      </c>
      <c r="Z30" s="126">
        <f>'Railway (Battery)'!W$408</f>
        <v>2.343491133069887E-2</v>
      </c>
      <c r="AA30" s="126">
        <f>'Railway (Battery)'!X$408</f>
        <v>2.3396387705024099E-2</v>
      </c>
      <c r="AB30" s="126">
        <f>'Railway (Battery)'!Y$408</f>
        <v>2.3370074062632439E-2</v>
      </c>
      <c r="AC30" s="126">
        <f>'Railway (Battery)'!Z$408</f>
        <v>2.3352203619383154E-2</v>
      </c>
      <c r="AD30" s="126">
        <f>'Railway (Battery)'!AA$408</f>
        <v>2.3340116636778954E-2</v>
      </c>
      <c r="AE30" s="126">
        <f>'Railway (Battery)'!AB$408</f>
        <v>2.3331964668597865E-2</v>
      </c>
      <c r="AF30" s="126">
        <f>'Railway (Battery)'!AC$408</f>
        <v>2.3326477452239425E-2</v>
      </c>
    </row>
    <row r="31" spans="1:32" x14ac:dyDescent="0.3">
      <c r="A31">
        <v>30</v>
      </c>
      <c r="B31" t="s">
        <v>227</v>
      </c>
      <c r="C31" t="s">
        <v>87</v>
      </c>
      <c r="D31" t="s">
        <v>226</v>
      </c>
      <c r="E31" s="126">
        <f>'Railway (Battery)'!B$513</f>
        <v>3.2963848028086419E-2</v>
      </c>
      <c r="F31" s="126">
        <f>'Railway (Battery)'!C$513</f>
        <v>3.2920937601952971E-2</v>
      </c>
      <c r="G31" s="126">
        <f>'Railway (Battery)'!D$513</f>
        <v>3.2860013327051844E-2</v>
      </c>
      <c r="H31" s="126">
        <f>'Railway (Battery)'!E$513</f>
        <v>3.2773907367644746E-2</v>
      </c>
      <c r="I31" s="126">
        <f>'Railway (Battery)'!F$513</f>
        <v>3.2653025075310711E-2</v>
      </c>
      <c r="J31" s="126">
        <f>'Railway (Battery)'!G$513</f>
        <v>3.2484971472726366E-2</v>
      </c>
      <c r="K31" s="126">
        <f>'Railway (Battery)'!H$513</f>
        <v>3.225460616948711E-2</v>
      </c>
      <c r="L31" s="126">
        <f>'Railway (Battery)'!I$513</f>
        <v>3.1945070328008841E-2</v>
      </c>
      <c r="M31" s="126">
        <f>'Railway (Battery)'!J$513</f>
        <v>3.1540524450489452E-2</v>
      </c>
      <c r="N31" s="126">
        <f>'Railway (Battery)'!K$513</f>
        <v>3.1031167784090669E-2</v>
      </c>
      <c r="O31" s="126">
        <f>'Railway (Battery)'!L$513</f>
        <v>3.0420046825429245E-2</v>
      </c>
      <c r="P31" s="126">
        <f>'Railway (Battery)'!M$513</f>
        <v>2.9729009763123138E-2</v>
      </c>
      <c r="Q31" s="126">
        <f>'Railway (Battery)'!N$513</f>
        <v>2.8999254485980296E-2</v>
      </c>
      <c r="R31" s="126">
        <f>'Railway (Battery)'!O$513</f>
        <v>2.8283221562114345E-2</v>
      </c>
      <c r="S31" s="126">
        <f>'Railway (Battery)'!P$513</f>
        <v>2.7630223205355197E-2</v>
      </c>
      <c r="T31" s="126">
        <f>'Railway (Battery)'!Q$513</f>
        <v>2.7073540761379581E-2</v>
      </c>
      <c r="U31" s="126">
        <f>'Railway (Battery)'!R$513</f>
        <v>2.6625623607210672E-2</v>
      </c>
      <c r="V31" s="126">
        <f>'Railway (Battery)'!S$513</f>
        <v>2.6281630457887662E-2</v>
      </c>
      <c r="W31" s="126">
        <f>'Railway (Battery)'!T$513</f>
        <v>2.602676544823734E-2</v>
      </c>
      <c r="X31" s="126">
        <f>'Railway (Battery)'!U$513</f>
        <v>2.5842957551116465E-2</v>
      </c>
      <c r="Y31" s="126">
        <f>'Railway (Battery)'!V$513</f>
        <v>2.5713028384873885E-2</v>
      </c>
      <c r="Z31" s="126">
        <f>'Railway (Battery)'!W$513</f>
        <v>2.5622543579078262E-2</v>
      </c>
      <c r="AA31" s="126">
        <f>'Railway (Battery)'!X$513</f>
        <v>2.5560219876840724E-2</v>
      </c>
      <c r="AB31" s="126">
        <f>'Railway (Battery)'!Y$513</f>
        <v>2.5517638310525323E-2</v>
      </c>
      <c r="AC31" s="126">
        <f>'Railway (Battery)'!Z$513</f>
        <v>2.5488714272415926E-2</v>
      </c>
      <c r="AD31" s="126">
        <f>'Railway (Battery)'!AA$513</f>
        <v>2.5469148355829051E-2</v>
      </c>
      <c r="AE31" s="126">
        <f>'Railway (Battery)'!AB$513</f>
        <v>2.5455951039062237E-2</v>
      </c>
      <c r="AF31" s="126">
        <f>'Railway (Battery)'!AC$513</f>
        <v>2.5447067145162188E-2</v>
      </c>
    </row>
    <row r="32" spans="1:32" x14ac:dyDescent="0.3">
      <c r="A32">
        <v>31</v>
      </c>
      <c r="B32" t="s">
        <v>227</v>
      </c>
      <c r="C32" t="s">
        <v>103</v>
      </c>
      <c r="D32" t="s">
        <v>222</v>
      </c>
      <c r="E32" s="126">
        <f>'Railway (Hydrogen)'!B$85</f>
        <v>2.839890510115458E-2</v>
      </c>
      <c r="F32" s="126">
        <f>'Railway (Hydrogen)'!C$85</f>
        <v>2.8327171627153341E-2</v>
      </c>
      <c r="G32" s="126">
        <f>'Railway (Hydrogen)'!D$85</f>
        <v>2.8225390595848127E-2</v>
      </c>
      <c r="H32" s="126">
        <f>'Railway (Hydrogen)'!E$85</f>
        <v>2.8081673262938048E-2</v>
      </c>
      <c r="I32" s="126">
        <f>'Railway (Hydrogen)'!F$85</f>
        <v>2.7880173795556219E-2</v>
      </c>
      <c r="J32" s="126">
        <f>'Railway (Hydrogen)'!G$85</f>
        <v>2.7600553230270823E-2</v>
      </c>
      <c r="K32" s="126">
        <f>'Railway (Hydrogen)'!H$85</f>
        <v>2.7218216514762764E-2</v>
      </c>
      <c r="L32" s="126">
        <f>'Railway (Hydrogen)'!I$85</f>
        <v>2.6706235402363998E-2</v>
      </c>
      <c r="M32" s="126">
        <f>'Railway (Hydrogen)'!J$85</f>
        <v>2.6040141597833785E-2</v>
      </c>
      <c r="N32" s="126">
        <f>'Railway (Hydrogen)'!K$85</f>
        <v>2.520637454157644E-2</v>
      </c>
      <c r="O32" s="126">
        <f>'Railway (Hydrogen)'!L$85</f>
        <v>2.4213249103402178E-2</v>
      </c>
      <c r="P32" s="126">
        <f>'Railway (Hydrogen)'!M$85</f>
        <v>2.3099757961821302E-2</v>
      </c>
      <c r="Q32" s="126">
        <f>'Railway (Hydrogen)'!N$85</f>
        <v>2.1934850560807562E-2</v>
      </c>
      <c r="R32" s="126">
        <f>'Railway (Hydrogen)'!O$85</f>
        <v>2.0802818246983927E-2</v>
      </c>
      <c r="S32" s="126">
        <f>'Railway (Hydrogen)'!P$85</f>
        <v>1.9779919608796822E-2</v>
      </c>
      <c r="T32" s="126">
        <f>'Railway (Hydrogen)'!Q$85</f>
        <v>1.8915025941275868E-2</v>
      </c>
      <c r="U32" s="126">
        <f>'Railway (Hydrogen)'!R$85</f>
        <v>1.8223860295704653E-2</v>
      </c>
      <c r="V32" s="126">
        <f>'Railway (Hydrogen)'!S$85</f>
        <v>1.769590464312586E-2</v>
      </c>
      <c r="W32" s="126">
        <f>'Railway (Hydrogen)'!T$85</f>
        <v>1.7306316651402365E-2</v>
      </c>
      <c r="X32" s="126">
        <f>'Railway (Hydrogen)'!U$85</f>
        <v>1.7026164274446632E-2</v>
      </c>
      <c r="Y32" s="126">
        <f>'Railway (Hydrogen)'!V$85</f>
        <v>1.6828536140104277E-2</v>
      </c>
      <c r="Z32" s="126">
        <f>'Railway (Hydrogen)'!W$85</f>
        <v>1.6691098206532817E-2</v>
      </c>
      <c r="AA32" s="126">
        <f>'Railway (Hydrogen)'!X$85</f>
        <v>1.6596524845269463E-2</v>
      </c>
      <c r="AB32" s="126">
        <f>'Railway (Hydrogen)'!Y$85</f>
        <v>1.6531950955174957E-2</v>
      </c>
      <c r="AC32" s="126">
        <f>'Railway (Hydrogen)'!Z$85</f>
        <v>1.6488107389032738E-2</v>
      </c>
      <c r="AD32" s="126">
        <f>'Railway (Hydrogen)'!AA$85</f>
        <v>1.6458457657262202E-2</v>
      </c>
      <c r="AE32" s="126">
        <f>'Railway (Hydrogen)'!AB$85</f>
        <v>1.6438462653265727E-2</v>
      </c>
      <c r="AF32" s="126">
        <f>'Railway (Hydrogen)'!AC$85</f>
        <v>1.6425004593815962E-2</v>
      </c>
    </row>
    <row r="33" spans="1:32" x14ac:dyDescent="0.3">
      <c r="A33">
        <v>32</v>
      </c>
      <c r="B33" t="s">
        <v>227</v>
      </c>
      <c r="C33" t="s">
        <v>103</v>
      </c>
      <c r="D33" t="s">
        <v>223</v>
      </c>
      <c r="E33" s="126">
        <f>'Railway (Hydrogen)'!B$191</f>
        <v>4.2698525335139244E-2</v>
      </c>
      <c r="F33" s="126">
        <f>'Railway (Hydrogen)'!C$191</f>
        <v>4.259123543476754E-2</v>
      </c>
      <c r="G33" s="126">
        <f>'Railway (Hydrogen)'!D$191</f>
        <v>4.2439004180663237E-2</v>
      </c>
      <c r="H33" s="126">
        <f>'Railway (Hydrogen)'!E$191</f>
        <v>4.2224049885694254E-2</v>
      </c>
      <c r="I33" s="126">
        <f>'Railway (Hydrogen)'!F$191</f>
        <v>4.1922672347782505E-2</v>
      </c>
      <c r="J33" s="126">
        <f>'Railway (Hydrogen)'!G$191</f>
        <v>4.1504451105760481E-2</v>
      </c>
      <c r="K33" s="126">
        <f>'Railway (Hydrogen)'!H$191</f>
        <v>4.0932599976473187E-2</v>
      </c>
      <c r="L33" s="126">
        <f>'Railway (Hydrogen)'!I$191</f>
        <v>4.0166843078368472E-2</v>
      </c>
      <c r="M33" s="126">
        <f>'Railway (Hydrogen)'!J$191</f>
        <v>3.9170583815572577E-2</v>
      </c>
      <c r="N33" s="126">
        <f>'Railway (Hydrogen)'!K$191</f>
        <v>3.7923540010088887E-2</v>
      </c>
      <c r="O33" s="126">
        <f>'Railway (Hydrogen)'!L$191</f>
        <v>3.643814799747714E-2</v>
      </c>
      <c r="P33" s="126">
        <f>'Railway (Hydrogen)'!M$191</f>
        <v>3.4772728117729815E-2</v>
      </c>
      <c r="Q33" s="126">
        <f>'Railway (Hydrogen)'!N$191</f>
        <v>3.3030406269566145E-2</v>
      </c>
      <c r="R33" s="126">
        <f>'Railway (Hydrogen)'!O$191</f>
        <v>3.1337254838400226E-2</v>
      </c>
      <c r="S33" s="126">
        <f>'Railway (Hydrogen)'!P$191</f>
        <v>2.9807331821154991E-2</v>
      </c>
      <c r="T33" s="126">
        <f>'Railway (Hydrogen)'!Q$191</f>
        <v>2.8513732748860668E-2</v>
      </c>
      <c r="U33" s="126">
        <f>'Railway (Hydrogen)'!R$191</f>
        <v>2.7479974182359243E-2</v>
      </c>
      <c r="V33" s="126">
        <f>'Railway (Hydrogen)'!S$191</f>
        <v>2.6690324577979502E-2</v>
      </c>
      <c r="W33" s="126">
        <f>'Railway (Hydrogen)'!T$191</f>
        <v>2.6107627902543014E-2</v>
      </c>
      <c r="X33" s="126">
        <f>'Railway (Hydrogen)'!U$191</f>
        <v>2.568861124357066E-2</v>
      </c>
      <c r="Y33" s="126">
        <f>'Railway (Hydrogen)'!V$191</f>
        <v>2.5393023958283547E-2</v>
      </c>
      <c r="Z33" s="126">
        <f>'Railway (Hydrogen)'!W$191</f>
        <v>2.5187461598374396E-2</v>
      </c>
      <c r="AA33" s="126">
        <f>'Railway (Hydrogen)'!X$191</f>
        <v>2.5046010669794134E-2</v>
      </c>
      <c r="AB33" s="126">
        <f>'Railway (Hydrogen)'!Y$191</f>
        <v>2.4949429173758773E-2</v>
      </c>
      <c r="AC33" s="126">
        <f>'Railway (Hydrogen)'!Z$191</f>
        <v>2.4883853486691698E-2</v>
      </c>
      <c r="AD33" s="126">
        <f>'Railway (Hydrogen)'!AA$191</f>
        <v>2.4839507150312475E-2</v>
      </c>
      <c r="AE33" s="126">
        <f>'Railway (Hydrogen)'!AB$191</f>
        <v>2.4809601140369654E-2</v>
      </c>
      <c r="AF33" s="126">
        <f>'Railway (Hydrogen)'!AC$191</f>
        <v>2.47894722691883E-2</v>
      </c>
    </row>
    <row r="34" spans="1:32" x14ac:dyDescent="0.3">
      <c r="A34">
        <v>33</v>
      </c>
      <c r="B34" t="s">
        <v>227</v>
      </c>
      <c r="C34" t="s">
        <v>103</v>
      </c>
      <c r="D34" t="s">
        <v>224</v>
      </c>
      <c r="E34" s="126">
        <f>'Railway (Hydrogen)'!B$299</f>
        <v>4.0991754097091826E-2</v>
      </c>
      <c r="F34" s="126">
        <f>'Railway (Hydrogen)'!C$299</f>
        <v>4.0884464196720122E-2</v>
      </c>
      <c r="G34" s="126">
        <f>'Railway (Hydrogen)'!D$299</f>
        <v>4.0732232942615812E-2</v>
      </c>
      <c r="H34" s="126">
        <f>'Railway (Hydrogen)'!E$299</f>
        <v>4.0517278647646836E-2</v>
      </c>
      <c r="I34" s="126">
        <f>'Railway (Hydrogen)'!F$299</f>
        <v>4.021590110973508E-2</v>
      </c>
      <c r="J34" s="126">
        <f>'Railway (Hydrogen)'!G$299</f>
        <v>3.9797679867713057E-2</v>
      </c>
      <c r="K34" s="126">
        <f>'Railway (Hydrogen)'!H$299</f>
        <v>3.9225828738425762E-2</v>
      </c>
      <c r="L34" s="126">
        <f>'Railway (Hydrogen)'!I$299</f>
        <v>3.8460071840321054E-2</v>
      </c>
      <c r="M34" s="126">
        <f>'Railway (Hydrogen)'!J$299</f>
        <v>3.7463812577525159E-2</v>
      </c>
      <c r="N34" s="126">
        <f>'Railway (Hydrogen)'!K$299</f>
        <v>3.6216768772041455E-2</v>
      </c>
      <c r="O34" s="126">
        <f>'Railway (Hydrogen)'!L$299</f>
        <v>3.4731376759429715E-2</v>
      </c>
      <c r="P34" s="126">
        <f>'Railway (Hydrogen)'!M$299</f>
        <v>3.3065956879682397E-2</v>
      </c>
      <c r="Q34" s="126">
        <f>'Railway (Hydrogen)'!N$299</f>
        <v>3.1323635031518721E-2</v>
      </c>
      <c r="R34" s="126">
        <f>'Railway (Hydrogen)'!O$299</f>
        <v>2.9630483600352805E-2</v>
      </c>
      <c r="S34" s="126">
        <f>'Railway (Hydrogen)'!P$299</f>
        <v>2.8100560583107566E-2</v>
      </c>
      <c r="T34" s="126">
        <f>'Railway (Hydrogen)'!Q$299</f>
        <v>2.6806961510813247E-2</v>
      </c>
      <c r="U34" s="126">
        <f>'Railway (Hydrogen)'!R$299</f>
        <v>2.5773202944311815E-2</v>
      </c>
      <c r="V34" s="126">
        <f>'Railway (Hydrogen)'!S$299</f>
        <v>2.4983553339932081E-2</v>
      </c>
      <c r="W34" s="126">
        <f>'Railway (Hydrogen)'!T$299</f>
        <v>2.4400856664495596E-2</v>
      </c>
      <c r="X34" s="126">
        <f>'Railway (Hydrogen)'!U$299</f>
        <v>2.3981840005523235E-2</v>
      </c>
      <c r="Y34" s="126">
        <f>'Railway (Hydrogen)'!V$299</f>
        <v>2.3686252720236126E-2</v>
      </c>
      <c r="Z34" s="126">
        <f>'Railway (Hydrogen)'!W$299</f>
        <v>2.3480690360326975E-2</v>
      </c>
      <c r="AA34" s="126">
        <f>'Railway (Hydrogen)'!X$299</f>
        <v>2.3339239431746716E-2</v>
      </c>
      <c r="AB34" s="126">
        <f>'Railway (Hydrogen)'!Y$299</f>
        <v>2.3242657935711352E-2</v>
      </c>
      <c r="AC34" s="126">
        <f>'Railway (Hydrogen)'!Z$299</f>
        <v>2.3177082248644277E-2</v>
      </c>
      <c r="AD34" s="126">
        <f>'Railway (Hydrogen)'!AA$299</f>
        <v>2.3132735912265053E-2</v>
      </c>
      <c r="AE34" s="126">
        <f>'Railway (Hydrogen)'!AB$299</f>
        <v>2.3102829902322233E-2</v>
      </c>
      <c r="AF34" s="126">
        <f>'Railway (Hydrogen)'!AC$299</f>
        <v>2.3082701031140882E-2</v>
      </c>
    </row>
    <row r="35" spans="1:32" x14ac:dyDescent="0.3">
      <c r="A35">
        <v>34</v>
      </c>
      <c r="B35" t="s">
        <v>227</v>
      </c>
      <c r="C35" t="s">
        <v>103</v>
      </c>
      <c r="D35" t="s">
        <v>225</v>
      </c>
      <c r="E35" s="126">
        <f>'Railway (Hydrogen)'!B$408</f>
        <v>3.3213188966237359E-2</v>
      </c>
      <c r="F35" s="126">
        <f>'Railway (Hydrogen)'!C$408</f>
        <v>3.3149356920318444E-2</v>
      </c>
      <c r="G35" s="126">
        <f>'Railway (Hydrogen)'!D$408</f>
        <v>3.3058787049635247E-2</v>
      </c>
      <c r="H35" s="126">
        <f>'Railway (Hydrogen)'!E$408</f>
        <v>3.2930900152738259E-2</v>
      </c>
      <c r="I35" s="126">
        <f>'Railway (Hydrogen)'!F$408</f>
        <v>3.2751595812140849E-2</v>
      </c>
      <c r="J35" s="126">
        <f>'Railway (Hydrogen)'!G$408</f>
        <v>3.2502775397241376E-2</v>
      </c>
      <c r="K35" s="126">
        <f>'Railway (Hydrogen)'!H$408</f>
        <v>3.2162552995906465E-2</v>
      </c>
      <c r="L35" s="126">
        <f>'Railway (Hydrogen)'!I$408</f>
        <v>3.1706966502553467E-2</v>
      </c>
      <c r="M35" s="126">
        <f>'Railway (Hydrogen)'!J$408</f>
        <v>3.1114242799860092E-2</v>
      </c>
      <c r="N35" s="126">
        <f>'Railway (Hydrogen)'!K$408</f>
        <v>3.0372315021208591E-2</v>
      </c>
      <c r="O35" s="126">
        <f>'Railway (Hydrogen)'!L$408</f>
        <v>2.9488582155131556E-2</v>
      </c>
      <c r="P35" s="126">
        <f>'Railway (Hydrogen)'!M$408</f>
        <v>2.849774184425433E-2</v>
      </c>
      <c r="Q35" s="126">
        <f>'Railway (Hydrogen)'!N$408</f>
        <v>2.7461148764829461E-2</v>
      </c>
      <c r="R35" s="126">
        <f>'Railway (Hydrogen)'!O$408</f>
        <v>2.6453809588193E-2</v>
      </c>
      <c r="S35" s="126">
        <f>'Railway (Hydrogen)'!P$408</f>
        <v>2.5543583034241035E-2</v>
      </c>
      <c r="T35" s="126">
        <f>'Railway (Hydrogen)'!Q$408</f>
        <v>2.4773957234447495E-2</v>
      </c>
      <c r="U35" s="126">
        <f>'Railway (Hydrogen)'!R$408</f>
        <v>2.4158923349083001E-2</v>
      </c>
      <c r="V35" s="126">
        <f>'Railway (Hydrogen)'!S$408</f>
        <v>2.3689121908015535E-2</v>
      </c>
      <c r="W35" s="126">
        <f>'Railway (Hydrogen)'!T$408</f>
        <v>2.3342446957117138E-2</v>
      </c>
      <c r="X35" s="126">
        <f>'Railway (Hydrogen)'!U$408</f>
        <v>2.3093153309498436E-2</v>
      </c>
      <c r="Y35" s="126">
        <f>'Railway (Hydrogen)'!V$408</f>
        <v>2.2917293875366024E-2</v>
      </c>
      <c r="Z35" s="126">
        <f>'Railway (Hydrogen)'!W$408</f>
        <v>2.2794994703202939E-2</v>
      </c>
      <c r="AA35" s="126">
        <f>'Railway (Hydrogen)'!X$408</f>
        <v>2.2710838579121127E-2</v>
      </c>
      <c r="AB35" s="126">
        <f>'Railway (Hydrogen)'!Y$408</f>
        <v>2.2653377490346814E-2</v>
      </c>
      <c r="AC35" s="126">
        <f>'Railway (Hydrogen)'!Z$408</f>
        <v>2.2614363284410108E-2</v>
      </c>
      <c r="AD35" s="126">
        <f>'Railway (Hydrogen)'!AA$408</f>
        <v>2.2587979464774838E-2</v>
      </c>
      <c r="AE35" s="126">
        <f>'Railway (Hydrogen)'!AB$408</f>
        <v>2.2570186906544221E-2</v>
      </c>
      <c r="AF35" s="126">
        <f>'Railway (Hydrogen)'!AC$408</f>
        <v>2.2558211249701473E-2</v>
      </c>
    </row>
    <row r="36" spans="1:32" x14ac:dyDescent="0.3">
      <c r="A36">
        <v>35</v>
      </c>
      <c r="B36" t="s">
        <v>227</v>
      </c>
      <c r="C36" s="172" t="s">
        <v>103</v>
      </c>
      <c r="D36" t="s">
        <v>226</v>
      </c>
      <c r="E36" s="126">
        <f>'Railway (Hydrogen)'!B$513</f>
        <v>4.2030630258148627E-2</v>
      </c>
      <c r="F36" s="126">
        <f>'Railway (Hydrogen)'!C$513</f>
        <v>4.1923565220552385E-2</v>
      </c>
      <c r="G36" s="126">
        <f>'Railway (Hydrogen)'!D$513</f>
        <v>4.1771653019240483E-2</v>
      </c>
      <c r="H36" s="126">
        <f>'Railway (Hydrogen)'!E$513</f>
        <v>4.1557149234703494E-2</v>
      </c>
      <c r="I36" s="126">
        <f>'Railway (Hydrogen)'!F$513</f>
        <v>4.1256403336763475E-2</v>
      </c>
      <c r="J36" s="126">
        <f>'Railway (Hydrogen)'!G$513</f>
        <v>4.0839058620760336E-2</v>
      </c>
      <c r="K36" s="126">
        <f>'Railway (Hydrogen)'!H$513</f>
        <v>4.0268406001599713E-2</v>
      </c>
      <c r="L36" s="126">
        <f>'Railway (Hydrogen)'!I$513</f>
        <v>3.9504254009649659E-2</v>
      </c>
      <c r="M36" s="126">
        <f>'Railway (Hydrogen)'!J$513</f>
        <v>3.8510082749751887E-2</v>
      </c>
      <c r="N36" s="126">
        <f>'Railway (Hydrogen)'!K$513</f>
        <v>3.7265652552168439E-2</v>
      </c>
      <c r="O36" s="126">
        <f>'Railway (Hydrogen)'!L$513</f>
        <v>3.5783373687853524E-2</v>
      </c>
      <c r="P36" s="126">
        <f>'Railway (Hydrogen)'!M$513</f>
        <v>3.4121444266529397E-2</v>
      </c>
      <c r="Q36" s="126">
        <f>'Railway (Hydrogen)'!N$513</f>
        <v>3.2382774051233076E-2</v>
      </c>
      <c r="R36" s="126">
        <f>'Railway (Hydrogen)'!O$513</f>
        <v>3.069317119946538E-2</v>
      </c>
      <c r="S36" s="126">
        <f>'Railway (Hydrogen)'!P$513</f>
        <v>2.9166454660506661E-2</v>
      </c>
      <c r="T36" s="126">
        <f>'Railway (Hydrogen)'!Q$513</f>
        <v>2.787556676863779E-2</v>
      </c>
      <c r="U36" s="126">
        <f>'Railway (Hydrogen)'!R$513</f>
        <v>2.6843974797683749E-2</v>
      </c>
      <c r="V36" s="126">
        <f>'Railway (Hydrogen)'!S$513</f>
        <v>2.6055980174817372E-2</v>
      </c>
      <c r="W36" s="126">
        <f>'Railway (Hydrogen)'!T$513</f>
        <v>2.5474504740068408E-2</v>
      </c>
      <c r="X36" s="126">
        <f>'Railway (Hydrogen)'!U$513</f>
        <v>2.5056366274183894E-2</v>
      </c>
      <c r="Y36" s="126">
        <f>'Railway (Hydrogen)'!V$513</f>
        <v>2.4761398493408693E-2</v>
      </c>
      <c r="Z36" s="126">
        <f>'Railway (Hydrogen)'!W$513</f>
        <v>2.4556266959911165E-2</v>
      </c>
      <c r="AA36" s="126">
        <f>'Railway (Hydrogen)'!X$513</f>
        <v>2.4415112490254638E-2</v>
      </c>
      <c r="AB36" s="126">
        <f>'Railway (Hydrogen)'!Y$513</f>
        <v>2.4318733413861593E-2</v>
      </c>
      <c r="AC36" s="126">
        <f>'Railway (Hydrogen)'!Z$513</f>
        <v>2.4253295163132384E-2</v>
      </c>
      <c r="AD36" s="126">
        <f>'Railway (Hydrogen)'!AA$513</f>
        <v>2.4209041769707208E-2</v>
      </c>
      <c r="AE36" s="126">
        <f>'Railway (Hydrogen)'!AB$513</f>
        <v>2.4179198438062856E-2</v>
      </c>
      <c r="AF36" s="126">
        <f>'Railway (Hydrogen)'!AC$513</f>
        <v>2.415911175383317E-2</v>
      </c>
    </row>
    <row r="37" spans="1:32" x14ac:dyDescent="0.3">
      <c r="A37">
        <v>36</v>
      </c>
      <c r="B37" t="s">
        <v>168</v>
      </c>
      <c r="C37" s="172" t="s">
        <v>290</v>
      </c>
      <c r="D37" t="s">
        <v>222</v>
      </c>
      <c r="E37" s="126">
        <f>'Short-sea (MGO)'!B$85</f>
        <v>1.6720368033460047E-2</v>
      </c>
      <c r="F37" s="126">
        <f>'Short-sea (MGO)'!C$85</f>
        <v>1.6727545667887068E-2</v>
      </c>
      <c r="G37" s="126">
        <f>'Short-sea (MGO)'!D$85</f>
        <v>1.6737820291700428E-2</v>
      </c>
      <c r="H37" s="126">
        <f>'Short-sea (MGO)'!E$85</f>
        <v>1.6752518863609286E-2</v>
      </c>
      <c r="I37" s="126">
        <f>'Short-sea (MGO)'!F$85</f>
        <v>1.6773526366267961E-2</v>
      </c>
      <c r="J37" s="126">
        <f>'Short-sea (MGO)'!G$85</f>
        <v>1.6803508612471485E-2</v>
      </c>
      <c r="K37" s="126">
        <f>'Short-sea (MGO)'!H$85</f>
        <v>1.6846210686515428E-2</v>
      </c>
      <c r="L37" s="126">
        <f>'Short-sea (MGO)'!I$85</f>
        <v>1.6906841510239162E-2</v>
      </c>
      <c r="M37" s="126">
        <f>'Short-sea (MGO)'!J$85</f>
        <v>1.6992537353322488E-2</v>
      </c>
      <c r="N37" s="126">
        <f>'Short-sea (MGO)'!K$85</f>
        <v>1.7112852770930408E-2</v>
      </c>
      <c r="O37" s="126">
        <f>'Short-sea (MGO)'!L$85</f>
        <v>1.7280134877254466E-2</v>
      </c>
      <c r="P37" s="126">
        <f>'Short-sea (MGO)'!M$85</f>
        <v>1.7509472386988703E-2</v>
      </c>
      <c r="Q37" s="126">
        <f>'Short-sea (MGO)'!N$85</f>
        <v>1.7817677425257503E-2</v>
      </c>
      <c r="R37" s="126">
        <f>'Short-sea (MGO)'!O$85</f>
        <v>1.8220560951109372E-2</v>
      </c>
      <c r="S37" s="126">
        <f>'Short-sea (MGO)'!P$85</f>
        <v>1.8727924655765518E-2</v>
      </c>
      <c r="T37" s="126">
        <f>'Short-sea (MGO)'!Q$85</f>
        <v>1.9336746537475469E-2</v>
      </c>
      <c r="U37" s="126">
        <f>'Short-sea (MGO)'!R$85</f>
        <v>2.0025186281300157E-2</v>
      </c>
      <c r="V37" s="126">
        <f>'Short-sea (MGO)'!S$85</f>
        <v>2.0751969294258689E-2</v>
      </c>
      <c r="W37" s="126">
        <f>'Short-sea (MGO)'!T$85</f>
        <v>2.1464450576931693E-2</v>
      </c>
      <c r="X37" s="126">
        <f>'Short-sea (MGO)'!U$85</f>
        <v>2.2113036953946227E-2</v>
      </c>
      <c r="Y37" s="126">
        <f>'Short-sea (MGO)'!V$85</f>
        <v>2.2664243013932373E-2</v>
      </c>
      <c r="Z37" s="126">
        <f>'Short-sea (MGO)'!W$85</f>
        <v>2.3105660352568898E-2</v>
      </c>
      <c r="AA37" s="126">
        <f>'Short-sea (MGO)'!X$85</f>
        <v>2.3442481373448131E-2</v>
      </c>
      <c r="AB37" s="126">
        <f>'Short-sea (MGO)'!Y$85</f>
        <v>2.3690071836879288E-2</v>
      </c>
      <c r="AC37" s="126">
        <f>'Short-sea (MGO)'!Z$85</f>
        <v>2.3867095436424436E-2</v>
      </c>
      <c r="AD37" s="126">
        <f>'Short-sea (MGO)'!AA$85</f>
        <v>2.3991162836922278E-2</v>
      </c>
      <c r="AE37" s="126">
        <f>'Short-sea (MGO)'!AB$85</f>
        <v>2.4076901036444675E-2</v>
      </c>
      <c r="AF37" s="126">
        <f>'Short-sea (MGO)'!AC$85</f>
        <v>2.4135575958876221E-2</v>
      </c>
    </row>
    <row r="38" spans="1:32" x14ac:dyDescent="0.3">
      <c r="A38">
        <v>37</v>
      </c>
      <c r="B38" t="s">
        <v>168</v>
      </c>
      <c r="C38" s="172" t="s">
        <v>290</v>
      </c>
      <c r="D38" t="s">
        <v>223</v>
      </c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</row>
    <row r="39" spans="1:32" x14ac:dyDescent="0.3">
      <c r="A39">
        <v>38</v>
      </c>
      <c r="B39" t="s">
        <v>168</v>
      </c>
      <c r="C39" s="172" t="s">
        <v>290</v>
      </c>
      <c r="D39" t="s">
        <v>224</v>
      </c>
      <c r="E39" s="126">
        <f>'Short-sea (MGO)'!B$191</f>
        <v>2.0691815981929748E-2</v>
      </c>
      <c r="F39" s="126">
        <f>'Short-sea (MGO)'!C$191</f>
        <v>2.0700328990203652E-2</v>
      </c>
      <c r="G39" s="126">
        <f>'Short-sea (MGO)'!D$191</f>
        <v>2.0712515171935779E-2</v>
      </c>
      <c r="H39" s="126">
        <f>'Short-sea (MGO)'!E$191</f>
        <v>2.0729948361874188E-2</v>
      </c>
      <c r="I39" s="126">
        <f>'Short-sea (MGO)'!F$191</f>
        <v>2.0754864237120529E-2</v>
      </c>
      <c r="J39" s="126">
        <f>'Short-sea (MGO)'!G$191</f>
        <v>2.0790424575640985E-2</v>
      </c>
      <c r="K39" s="126">
        <f>'Short-sea (MGO)'!H$191</f>
        <v>2.0841071221600085E-2</v>
      </c>
      <c r="L39" s="126">
        <f>'Short-sea (MGO)'!I$191</f>
        <v>2.0912982198574747E-2</v>
      </c>
      <c r="M39" s="126">
        <f>'Short-sea (MGO)'!J$191</f>
        <v>2.1014621454324738E-2</v>
      </c>
      <c r="N39" s="126">
        <f>'Short-sea (MGO)'!K$191</f>
        <v>2.115732113567366E-2</v>
      </c>
      <c r="O39" s="126">
        <f>'Short-sea (MGO)'!L$191</f>
        <v>2.1355725494337077E-2</v>
      </c>
      <c r="P39" s="126">
        <f>'Short-sea (MGO)'!M$191</f>
        <v>2.1627730447742806E-2</v>
      </c>
      <c r="Q39" s="126">
        <f>'Short-sea (MGO)'!N$191</f>
        <v>2.1993275958247661E-2</v>
      </c>
      <c r="R39" s="126">
        <f>'Short-sea (MGO)'!O$191</f>
        <v>2.2471114558676619E-2</v>
      </c>
      <c r="S39" s="126">
        <f>'Short-sea (MGO)'!P$191</f>
        <v>2.3072871510710653E-2</v>
      </c>
      <c r="T39" s="126">
        <f>'Short-sea (MGO)'!Q$191</f>
        <v>2.379496257971548E-2</v>
      </c>
      <c r="U39" s="126">
        <f>'Short-sea (MGO)'!R$191</f>
        <v>2.4611484136344758E-2</v>
      </c>
      <c r="V39" s="126">
        <f>'Short-sea (MGO)'!S$191</f>
        <v>2.5473482593574646E-2</v>
      </c>
      <c r="W39" s="126">
        <f>'Short-sea (MGO)'!T$191</f>
        <v>2.6318518533489141E-2</v>
      </c>
      <c r="X39" s="126">
        <f>'Short-sea (MGO)'!U$191</f>
        <v>2.7087772143436613E-2</v>
      </c>
      <c r="Y39" s="126">
        <f>'Short-sea (MGO)'!V$191</f>
        <v>2.7741528168071346E-2</v>
      </c>
      <c r="Z39" s="126">
        <f>'Short-sea (MGO)'!W$191</f>
        <v>2.8265069662733268E-2</v>
      </c>
      <c r="AA39" s="126">
        <f>'Short-sea (MGO)'!X$191</f>
        <v>2.8664555059590032E-2</v>
      </c>
      <c r="AB39" s="126">
        <f>'Short-sea (MGO)'!Y$191</f>
        <v>2.8958208865054895E-2</v>
      </c>
      <c r="AC39" s="126">
        <f>'Short-sea (MGO)'!Z$191</f>
        <v>2.9168167087771226E-2</v>
      </c>
      <c r="AD39" s="126">
        <f>'Short-sea (MGO)'!AA$191</f>
        <v>2.9315316795338435E-2</v>
      </c>
      <c r="AE39" s="126">
        <f>'Short-sea (MGO)'!AB$191</f>
        <v>2.9417006287795238E-2</v>
      </c>
      <c r="AF39" s="126">
        <f>'Short-sea (MGO)'!AC$191</f>
        <v>2.9486597474865213E-2</v>
      </c>
    </row>
    <row r="40" spans="1:32" x14ac:dyDescent="0.3">
      <c r="A40">
        <v>39</v>
      </c>
      <c r="B40" t="s">
        <v>168</v>
      </c>
      <c r="C40" s="172" t="s">
        <v>290</v>
      </c>
      <c r="D40" t="s">
        <v>225</v>
      </c>
      <c r="E40" s="126">
        <f>'Short-sea (MGO)'!B$299</f>
        <v>2.186038879647699E-2</v>
      </c>
      <c r="F40" s="126">
        <f>'Short-sea (MGO)'!C$299</f>
        <v>2.1869774933804625E-2</v>
      </c>
      <c r="G40" s="126">
        <f>'Short-sea (MGO)'!D$299</f>
        <v>2.188321098032979E-2</v>
      </c>
      <c r="H40" s="126">
        <f>'Short-sea (MGO)'!E$299</f>
        <v>2.1902432189749063E-2</v>
      </c>
      <c r="I40" s="126">
        <f>'Short-sea (MGO)'!F$299</f>
        <v>2.1929903539379642E-2</v>
      </c>
      <c r="J40" s="126">
        <f>'Short-sea (MGO)'!G$299</f>
        <v>2.1969111092107328E-2</v>
      </c>
      <c r="K40" s="126">
        <f>'Short-sea (MGO)'!H$299</f>
        <v>2.2024952265857104E-2</v>
      </c>
      <c r="L40" s="126">
        <f>'Short-sea (MGO)'!I$299</f>
        <v>2.2104238727649678E-2</v>
      </c>
      <c r="M40" s="126">
        <f>'Short-sea (MGO)'!J$299</f>
        <v>2.2216302522450951E-2</v>
      </c>
      <c r="N40" s="126">
        <f>'Short-sea (MGO)'!K$299</f>
        <v>2.2373638068553608E-2</v>
      </c>
      <c r="O40" s="126">
        <f>'Short-sea (MGO)'!L$299</f>
        <v>2.2592391592208147E-2</v>
      </c>
      <c r="P40" s="126">
        <f>'Short-sea (MGO)'!M$299</f>
        <v>2.289229448955292E-2</v>
      </c>
      <c r="Q40" s="126">
        <f>'Short-sea (MGO)'!N$299</f>
        <v>2.3295331847289047E-2</v>
      </c>
      <c r="R40" s="126">
        <f>'Short-sea (MGO)'!O$299</f>
        <v>2.3822179534941489E-2</v>
      </c>
      <c r="S40" s="126">
        <f>'Short-sea (MGO)'!P$299</f>
        <v>2.4485655148722602E-2</v>
      </c>
      <c r="T40" s="126">
        <f>'Short-sea (MGO)'!Q$299</f>
        <v>2.5281806840189457E-2</v>
      </c>
      <c r="U40" s="126">
        <f>'Short-sea (MGO)'!R$299</f>
        <v>2.6182074197498666E-2</v>
      </c>
      <c r="V40" s="126">
        <f>'Short-sea (MGO)'!S$299</f>
        <v>2.713248275290598E-2</v>
      </c>
      <c r="W40" s="126">
        <f>'Short-sea (MGO)'!T$299</f>
        <v>2.8064189045632217E-2</v>
      </c>
      <c r="X40" s="126">
        <f>'Short-sea (MGO)'!U$299</f>
        <v>2.8912340461728147E-2</v>
      </c>
      <c r="Y40" s="126">
        <f>'Short-sea (MGO)'!V$299</f>
        <v>2.9633148386325418E-2</v>
      </c>
      <c r="Z40" s="126">
        <f>'Short-sea (MGO)'!W$299</f>
        <v>3.0210386444542405E-2</v>
      </c>
      <c r="AA40" s="126">
        <f>'Short-sea (MGO)'!X$299</f>
        <v>3.0650844702615251E-2</v>
      </c>
      <c r="AB40" s="126">
        <f>'Short-sea (MGO)'!Y$299</f>
        <v>3.0974616847102149E-2</v>
      </c>
      <c r="AC40" s="126">
        <f>'Short-sea (MGO)'!Z$299</f>
        <v>3.1206109246507338E-2</v>
      </c>
      <c r="AD40" s="126">
        <f>'Short-sea (MGO)'!AA$299</f>
        <v>3.1368351231773742E-2</v>
      </c>
      <c r="AE40" s="126">
        <f>'Short-sea (MGO)'!AB$299</f>
        <v>3.1480470415764579E-2</v>
      </c>
      <c r="AF40" s="126">
        <f>'Short-sea (MGO)'!AC$299</f>
        <v>3.1557199160482753E-2</v>
      </c>
    </row>
    <row r="41" spans="1:32" x14ac:dyDescent="0.3">
      <c r="A41">
        <v>40</v>
      </c>
      <c r="B41" t="s">
        <v>168</v>
      </c>
      <c r="C41" s="172" t="s">
        <v>290</v>
      </c>
      <c r="D41" t="s">
        <v>226</v>
      </c>
      <c r="E41" s="126">
        <f>'Short-sea (MGO)'!B$408</f>
        <v>1.6713521644521938E-2</v>
      </c>
      <c r="F41" s="126">
        <f>'Short-sea (MGO)'!C$408</f>
        <v>1.672069927894896E-2</v>
      </c>
      <c r="G41" s="126">
        <f>'Short-sea (MGO)'!D$408</f>
        <v>1.6730973902762312E-2</v>
      </c>
      <c r="H41" s="126">
        <f>'Short-sea (MGO)'!E$408</f>
        <v>1.6745672474671177E-2</v>
      </c>
      <c r="I41" s="126">
        <f>'Short-sea (MGO)'!F$408</f>
        <v>1.6766679977329852E-2</v>
      </c>
      <c r="J41" s="126">
        <f>'Short-sea (MGO)'!G$408</f>
        <v>1.6796662223533376E-2</v>
      </c>
      <c r="K41" s="126">
        <f>'Short-sea (MGO)'!H$408</f>
        <v>1.6839364297577323E-2</v>
      </c>
      <c r="L41" s="126">
        <f>'Short-sea (MGO)'!I$408</f>
        <v>1.6899995121301057E-2</v>
      </c>
      <c r="M41" s="126">
        <f>'Short-sea (MGO)'!J$408</f>
        <v>1.6985690964384383E-2</v>
      </c>
      <c r="N41" s="126">
        <f>'Short-sea (MGO)'!K$408</f>
        <v>1.7106006381992295E-2</v>
      </c>
      <c r="O41" s="126">
        <f>'Short-sea (MGO)'!L$408</f>
        <v>1.7273288488316354E-2</v>
      </c>
      <c r="P41" s="126">
        <f>'Short-sea (MGO)'!M$408</f>
        <v>1.7502625998050594E-2</v>
      </c>
      <c r="Q41" s="126">
        <f>'Short-sea (MGO)'!N$408</f>
        <v>1.7810831036319398E-2</v>
      </c>
      <c r="R41" s="126">
        <f>'Short-sea (MGO)'!O$408</f>
        <v>1.8213714562171263E-2</v>
      </c>
      <c r="S41" s="126">
        <f>'Short-sea (MGO)'!P$408</f>
        <v>1.8721078266827406E-2</v>
      </c>
      <c r="T41" s="126">
        <f>'Short-sea (MGO)'!Q$408</f>
        <v>1.932990014853736E-2</v>
      </c>
      <c r="U41" s="126">
        <f>'Short-sea (MGO)'!R$408</f>
        <v>2.0018339892362045E-2</v>
      </c>
      <c r="V41" s="126">
        <f>'Short-sea (MGO)'!S$408</f>
        <v>2.074512290532058E-2</v>
      </c>
      <c r="W41" s="126">
        <f>'Short-sea (MGO)'!T$408</f>
        <v>2.1457604187993584E-2</v>
      </c>
      <c r="X41" s="126">
        <f>'Short-sea (MGO)'!U$408</f>
        <v>2.2106190565008114E-2</v>
      </c>
      <c r="Y41" s="126">
        <f>'Short-sea (MGO)'!V$408</f>
        <v>2.2657396624994264E-2</v>
      </c>
      <c r="Z41" s="126">
        <f>'Short-sea (MGO)'!W$408</f>
        <v>2.3098813963630786E-2</v>
      </c>
      <c r="AA41" s="126">
        <f>'Short-sea (MGO)'!X$408</f>
        <v>2.3435634984510022E-2</v>
      </c>
      <c r="AB41" s="126">
        <f>'Short-sea (MGO)'!Y$408</f>
        <v>2.3683225447941179E-2</v>
      </c>
      <c r="AC41" s="126">
        <f>'Short-sea (MGO)'!Z$408</f>
        <v>2.3860249047486327E-2</v>
      </c>
      <c r="AD41" s="126">
        <f>'Short-sea (MGO)'!AA$408</f>
        <v>2.3984316447984166E-2</v>
      </c>
      <c r="AE41" s="126">
        <f>'Short-sea (MGO)'!AB$408</f>
        <v>2.407005464750657E-2</v>
      </c>
      <c r="AF41" s="126">
        <f>'Short-sea (MGO)'!AC$408</f>
        <v>2.4128729569938112E-2</v>
      </c>
    </row>
    <row r="42" spans="1:32" x14ac:dyDescent="0.3">
      <c r="A42">
        <v>41</v>
      </c>
      <c r="B42" t="s">
        <v>168</v>
      </c>
      <c r="C42" s="172" t="s">
        <v>291</v>
      </c>
      <c r="D42" t="s">
        <v>222</v>
      </c>
      <c r="E42" s="126">
        <f>'Short-sea (HFO)'!B$85</f>
        <v>1.307496300747297E-2</v>
      </c>
      <c r="F42" s="126">
        <f>'Short-sea (HFO)'!C$85</f>
        <v>1.3082816355765583E-2</v>
      </c>
      <c r="G42" s="126">
        <f>'Short-sea (HFO)'!D$85</f>
        <v>1.3094058248927225E-2</v>
      </c>
      <c r="H42" s="126">
        <f>'Short-sea (HFO)'!E$85</f>
        <v>1.311014056766022E-2</v>
      </c>
      <c r="I42" s="126">
        <f>'Short-sea (HFO)'!F$85</f>
        <v>1.313312574986949E-2</v>
      </c>
      <c r="J42" s="126">
        <f>'Short-sea (HFO)'!G$85</f>
        <v>1.3165930572185978E-2</v>
      </c>
      <c r="K42" s="126">
        <f>'Short-sea (HFO)'!H$85</f>
        <v>1.3212652687068512E-2</v>
      </c>
      <c r="L42" s="126">
        <f>'Short-sea (HFO)'!I$85</f>
        <v>1.3278991392502991E-2</v>
      </c>
      <c r="M42" s="126">
        <f>'Short-sea (HFO)'!J$85</f>
        <v>1.3372754777892047E-2</v>
      </c>
      <c r="N42" s="126">
        <f>'Short-sea (HFO)'!K$85</f>
        <v>1.3504396879346688E-2</v>
      </c>
      <c r="O42" s="126">
        <f>'Short-sea (HFO)'!L$85</f>
        <v>1.3687427187931249E-2</v>
      </c>
      <c r="P42" s="126">
        <f>'Short-sea (HFO)'!M$85</f>
        <v>1.3938354893823219E-2</v>
      </c>
      <c r="Q42" s="126">
        <f>'Short-sea (HFO)'!N$85</f>
        <v>1.4275574842216128E-2</v>
      </c>
      <c r="R42" s="126">
        <f>'Short-sea (HFO)'!O$85</f>
        <v>1.4716386460868609E-2</v>
      </c>
      <c r="S42" s="126">
        <f>'Short-sea (HFO)'!P$85</f>
        <v>1.5271514187727375E-2</v>
      </c>
      <c r="T42" s="126">
        <f>'Short-sea (HFO)'!Q$85</f>
        <v>1.5937651525014002E-2</v>
      </c>
      <c r="U42" s="126">
        <f>'Short-sea (HFO)'!R$85</f>
        <v>1.6690902075972597E-2</v>
      </c>
      <c r="V42" s="126">
        <f>'Short-sea (HFO)'!S$85</f>
        <v>1.7486105592110335E-2</v>
      </c>
      <c r="W42" s="126">
        <f>'Short-sea (HFO)'!T$85</f>
        <v>1.8265660990436944E-2</v>
      </c>
      <c r="X42" s="126">
        <f>'Short-sea (HFO)'!U$85</f>
        <v>1.8975306315554667E-2</v>
      </c>
      <c r="Y42" s="126">
        <f>'Short-sea (HFO)'!V$85</f>
        <v>1.9578403786467108E-2</v>
      </c>
      <c r="Z42" s="126">
        <f>'Short-sea (HFO)'!W$85</f>
        <v>2.0061376852030424E-2</v>
      </c>
      <c r="AA42" s="126">
        <f>'Short-sea (HFO)'!X$85</f>
        <v>2.0429906736929581E-2</v>
      </c>
      <c r="AB42" s="126">
        <f>'Short-sea (HFO)'!Y$85</f>
        <v>2.0700805758469949E-2</v>
      </c>
      <c r="AC42" s="126">
        <f>'Short-sea (HFO)'!Z$85</f>
        <v>2.0894494639866104E-2</v>
      </c>
      <c r="AD42" s="126">
        <f>'Short-sea (HFO)'!AA$85</f>
        <v>2.1030241941818489E-2</v>
      </c>
      <c r="AE42" s="126">
        <f>'Short-sea (HFO)'!AB$85</f>
        <v>2.1124051671148839E-2</v>
      </c>
      <c r="AF42" s="126">
        <f>'Short-sea (HFO)'!AC$85</f>
        <v>2.118825034364772E-2</v>
      </c>
    </row>
    <row r="43" spans="1:32" x14ac:dyDescent="0.3">
      <c r="A43">
        <v>42</v>
      </c>
      <c r="B43" t="s">
        <v>168</v>
      </c>
      <c r="C43" s="172" t="s">
        <v>291</v>
      </c>
      <c r="D43" t="s">
        <v>223</v>
      </c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</row>
    <row r="44" spans="1:32" x14ac:dyDescent="0.3">
      <c r="A44">
        <v>43</v>
      </c>
      <c r="B44" t="s">
        <v>168</v>
      </c>
      <c r="C44" s="172" t="s">
        <v>291</v>
      </c>
      <c r="D44" t="s">
        <v>224</v>
      </c>
      <c r="E44" s="126">
        <f>'Short-sea (HFO)'!B$191</f>
        <v>1.6368196067386938E-2</v>
      </c>
      <c r="F44" s="126">
        <f>'Short-sea (HFO)'!C$191</f>
        <v>1.6377510503733986E-2</v>
      </c>
      <c r="G44" s="126">
        <f>'Short-sea (HFO)'!D$191</f>
        <v>1.6390843911902445E-2</v>
      </c>
      <c r="H44" s="126">
        <f>'Short-sea (HFO)'!E$191</f>
        <v>1.6409918289934603E-2</v>
      </c>
      <c r="I44" s="126">
        <f>'Short-sea (HFO)'!F$191</f>
        <v>1.6437179785113037E-2</v>
      </c>
      <c r="J44" s="126">
        <f>'Short-sea (HFO)'!G$191</f>
        <v>1.6476087830186083E-2</v>
      </c>
      <c r="K44" s="126">
        <f>'Short-sea (HFO)'!H$191</f>
        <v>1.653150243155839E-2</v>
      </c>
      <c r="L44" s="126">
        <f>'Short-sea (HFO)'!I$191</f>
        <v>1.6610183221724865E-2</v>
      </c>
      <c r="M44" s="126">
        <f>'Short-sea (HFO)'!J$191</f>
        <v>1.672139095788398E-2</v>
      </c>
      <c r="N44" s="126">
        <f>'Short-sea (HFO)'!K$191</f>
        <v>1.6877524613097616E-2</v>
      </c>
      <c r="O44" s="126">
        <f>'Short-sea (HFO)'!L$191</f>
        <v>1.7094607072116522E-2</v>
      </c>
      <c r="P44" s="126">
        <f>'Short-sea (HFO)'!M$191</f>
        <v>1.7392219002360487E-2</v>
      </c>
      <c r="Q44" s="126">
        <f>'Short-sea (HFO)'!N$191</f>
        <v>1.7792177545803239E-2</v>
      </c>
      <c r="R44" s="126">
        <f>'Short-sea (HFO)'!O$191</f>
        <v>1.8315000628391059E-2</v>
      </c>
      <c r="S44" s="126">
        <f>'Short-sea (HFO)'!P$191</f>
        <v>1.8973407932339831E-2</v>
      </c>
      <c r="T44" s="126">
        <f>'Short-sea (HFO)'!Q$191</f>
        <v>1.9763477797493736E-2</v>
      </c>
      <c r="U44" s="126">
        <f>'Short-sea (HFO)'!R$191</f>
        <v>2.0656867985839975E-2</v>
      </c>
      <c r="V44" s="126">
        <f>'Short-sea (HFO)'!S$191</f>
        <v>2.1600016342189388E-2</v>
      </c>
      <c r="W44" s="126">
        <f>'Short-sea (HFO)'!T$191</f>
        <v>2.2524605302995368E-2</v>
      </c>
      <c r="X44" s="126">
        <f>'Short-sea (HFO)'!U$191</f>
        <v>2.3366277665344295E-2</v>
      </c>
      <c r="Y44" s="126">
        <f>'Short-sea (HFO)'!V$191</f>
        <v>2.4081579316891609E-2</v>
      </c>
      <c r="Z44" s="126">
        <f>'Short-sea (HFO)'!W$191</f>
        <v>2.465440783651322E-2</v>
      </c>
      <c r="AA44" s="126">
        <f>'Short-sea (HFO)'!X$191</f>
        <v>2.5091501420928496E-2</v>
      </c>
      <c r="AB44" s="126">
        <f>'Short-sea (HFO)'!Y$191</f>
        <v>2.5412800260429864E-2</v>
      </c>
      <c r="AC44" s="126">
        <f>'Short-sea (HFO)'!Z$191</f>
        <v>2.5642524282550878E-2</v>
      </c>
      <c r="AD44" s="126">
        <f>'Short-sea (HFO)'!AA$191</f>
        <v>2.5803526896494407E-2</v>
      </c>
      <c r="AE44" s="126">
        <f>'Short-sea (HFO)'!AB$191</f>
        <v>2.5914789598723426E-2</v>
      </c>
      <c r="AF44" s="126">
        <f>'Short-sea (HFO)'!AC$191</f>
        <v>2.5990932210291862E-2</v>
      </c>
    </row>
    <row r="45" spans="1:32" x14ac:dyDescent="0.3">
      <c r="A45">
        <v>44</v>
      </c>
      <c r="B45" t="s">
        <v>168</v>
      </c>
      <c r="C45" s="172" t="s">
        <v>291</v>
      </c>
      <c r="D45" t="s">
        <v>225</v>
      </c>
      <c r="E45" s="126">
        <f>'Short-sea (HFO)'!B$299</f>
        <v>1.7093320685570811E-2</v>
      </c>
      <c r="F45" s="126">
        <f>'Short-sea (HFO)'!C$299</f>
        <v>1.7103590448722682E-2</v>
      </c>
      <c r="G45" s="126">
        <f>'Short-sea (HFO)'!D$299</f>
        <v>1.7118291385934063E-2</v>
      </c>
      <c r="H45" s="126">
        <f>'Short-sea (HFO)'!E$299</f>
        <v>1.7139322110431062E-2</v>
      </c>
      <c r="I45" s="126">
        <f>'Short-sea (HFO)'!F$299</f>
        <v>1.7169379656397026E-2</v>
      </c>
      <c r="J45" s="126">
        <f>'Short-sea (HFO)'!G$299</f>
        <v>1.7212278270195513E-2</v>
      </c>
      <c r="K45" s="126">
        <f>'Short-sea (HFO)'!H$299</f>
        <v>1.7273376420426513E-2</v>
      </c>
      <c r="L45" s="126">
        <f>'Short-sea (HFO)'!I$299</f>
        <v>1.7360127035225451E-2</v>
      </c>
      <c r="M45" s="126">
        <f>'Short-sea (HFO)'!J$299</f>
        <v>1.7482740693041909E-2</v>
      </c>
      <c r="N45" s="126">
        <f>'Short-sea (HFO)'!K$299</f>
        <v>1.7654888056482586E-2</v>
      </c>
      <c r="O45" s="126">
        <f>'Short-sea (HFO)'!L$299</f>
        <v>1.7894235383093173E-2</v>
      </c>
      <c r="P45" s="126">
        <f>'Short-sea (HFO)'!M$299</f>
        <v>1.8222371613874983E-2</v>
      </c>
      <c r="Q45" s="126">
        <f>'Short-sea (HFO)'!N$299</f>
        <v>1.8663351546388783E-2</v>
      </c>
      <c r="R45" s="126">
        <f>'Short-sea (HFO)'!O$299</f>
        <v>1.9239797509242026E-2</v>
      </c>
      <c r="S45" s="126">
        <f>'Short-sea (HFO)'!P$299</f>
        <v>1.9965733767441953E-2</v>
      </c>
      <c r="T45" s="126">
        <f>'Short-sea (HFO)'!Q$299</f>
        <v>2.0836836439278309E-2</v>
      </c>
      <c r="U45" s="126">
        <f>'Short-sea (HFO)'!R$299</f>
        <v>2.1821856390531857E-2</v>
      </c>
      <c r="V45" s="126">
        <f>'Short-sea (HFO)'!S$299</f>
        <v>2.2861737911635059E-2</v>
      </c>
      <c r="W45" s="126">
        <f>'Short-sea (HFO)'!T$299</f>
        <v>2.3881156509446774E-2</v>
      </c>
      <c r="X45" s="126">
        <f>'Short-sea (HFO)'!U$299</f>
        <v>2.4809154242293022E-2</v>
      </c>
      <c r="Y45" s="126">
        <f>'Short-sea (HFO)'!V$299</f>
        <v>2.559782016579391E-2</v>
      </c>
      <c r="Z45" s="126">
        <f>'Short-sea (HFO)'!W$299</f>
        <v>2.6229400328453636E-2</v>
      </c>
      <c r="AA45" s="126">
        <f>'Short-sea (HFO)'!X$299</f>
        <v>2.6711324024090988E-2</v>
      </c>
      <c r="AB45" s="126">
        <f>'Short-sea (HFO)'!Y$299</f>
        <v>2.7065576590720709E-2</v>
      </c>
      <c r="AC45" s="126">
        <f>'Short-sea (HFO)'!Z$299</f>
        <v>2.7318862051007975E-2</v>
      </c>
      <c r="AD45" s="126">
        <f>'Short-sea (HFO)'!AA$299</f>
        <v>2.7496377753561101E-2</v>
      </c>
      <c r="AE45" s="126">
        <f>'Short-sea (HFO)'!AB$299</f>
        <v>2.7619052014993102E-2</v>
      </c>
      <c r="AF45" s="126">
        <f>'Short-sea (HFO)'!AC$299</f>
        <v>2.7703004125183936E-2</v>
      </c>
    </row>
    <row r="46" spans="1:32" x14ac:dyDescent="0.3">
      <c r="A46">
        <v>45</v>
      </c>
      <c r="B46" t="s">
        <v>168</v>
      </c>
      <c r="C46" s="172" t="s">
        <v>291</v>
      </c>
      <c r="D46" t="s">
        <v>226</v>
      </c>
      <c r="E46" s="126">
        <f>'Short-sea (HFO)'!B$408</f>
        <v>1.3068116618534862E-2</v>
      </c>
      <c r="F46" s="126">
        <f>'Short-sea (HFO)'!C$408</f>
        <v>1.307596996682747E-2</v>
      </c>
      <c r="G46" s="126">
        <f>'Short-sea (HFO)'!D$408</f>
        <v>1.3087211859989114E-2</v>
      </c>
      <c r="H46" s="126">
        <f>'Short-sea (HFO)'!E$408</f>
        <v>1.3103294178722111E-2</v>
      </c>
      <c r="I46" s="126">
        <f>'Short-sea (HFO)'!F$408</f>
        <v>1.312627936093138E-2</v>
      </c>
      <c r="J46" s="126">
        <f>'Short-sea (HFO)'!G$408</f>
        <v>1.315908418324787E-2</v>
      </c>
      <c r="K46" s="126">
        <f>'Short-sea (HFO)'!H$408</f>
        <v>1.3205806298130399E-2</v>
      </c>
      <c r="L46" s="126">
        <f>'Short-sea (HFO)'!I$408</f>
        <v>1.3272145003564882E-2</v>
      </c>
      <c r="M46" s="126">
        <f>'Short-sea (HFO)'!J$408</f>
        <v>1.3365908388953938E-2</v>
      </c>
      <c r="N46" s="126">
        <f>'Short-sea (HFO)'!K$408</f>
        <v>1.3497550490408575E-2</v>
      </c>
      <c r="O46" s="126">
        <f>'Short-sea (HFO)'!L$408</f>
        <v>1.3680580798993138E-2</v>
      </c>
      <c r="P46" s="126">
        <f>'Short-sea (HFO)'!M$408</f>
        <v>1.3931508504885112E-2</v>
      </c>
      <c r="Q46" s="126">
        <f>'Short-sea (HFO)'!N$408</f>
        <v>1.4268728453278019E-2</v>
      </c>
      <c r="R46" s="126">
        <f>'Short-sea (HFO)'!O$408</f>
        <v>1.4709540071930496E-2</v>
      </c>
      <c r="S46" s="126">
        <f>'Short-sea (HFO)'!P$408</f>
        <v>1.5264667798789266E-2</v>
      </c>
      <c r="T46" s="126">
        <f>'Short-sea (HFO)'!Q$408</f>
        <v>1.5930805136075889E-2</v>
      </c>
      <c r="U46" s="126">
        <f>'Short-sea (HFO)'!R$408</f>
        <v>1.6684055687034485E-2</v>
      </c>
      <c r="V46" s="126">
        <f>'Short-sea (HFO)'!S$408</f>
        <v>1.7479259203172226E-2</v>
      </c>
      <c r="W46" s="126">
        <f>'Short-sea (HFO)'!T$408</f>
        <v>1.8258814601498835E-2</v>
      </c>
      <c r="X46" s="126">
        <f>'Short-sea (HFO)'!U$408</f>
        <v>1.8968459926616558E-2</v>
      </c>
      <c r="Y46" s="126">
        <f>'Short-sea (HFO)'!V$408</f>
        <v>1.9571557397528999E-2</v>
      </c>
      <c r="Z46" s="126">
        <f>'Short-sea (HFO)'!W$408</f>
        <v>2.0054530463092315E-2</v>
      </c>
      <c r="AA46" s="126">
        <f>'Short-sea (HFO)'!X$408</f>
        <v>2.0423060347991469E-2</v>
      </c>
      <c r="AB46" s="126">
        <f>'Short-sea (HFO)'!Y$408</f>
        <v>2.0693959369531841E-2</v>
      </c>
      <c r="AC46" s="126">
        <f>'Short-sea (HFO)'!Z$408</f>
        <v>2.0887648250927992E-2</v>
      </c>
      <c r="AD46" s="126">
        <f>'Short-sea (HFO)'!AA$408</f>
        <v>2.1023395552880381E-2</v>
      </c>
      <c r="AE46" s="126">
        <f>'Short-sea (HFO)'!AB$408</f>
        <v>2.1117205282210727E-2</v>
      </c>
      <c r="AF46" s="126">
        <f>'Short-sea (HFO)'!AC$408</f>
        <v>2.1181403954709604E-2</v>
      </c>
    </row>
    <row r="47" spans="1:32" x14ac:dyDescent="0.3">
      <c r="A47">
        <v>46</v>
      </c>
      <c r="B47" t="s">
        <v>168</v>
      </c>
      <c r="C47" t="s">
        <v>103</v>
      </c>
      <c r="D47" t="s">
        <v>222</v>
      </c>
      <c r="E47" s="126">
        <f>'Short-sea (Hydrogen)'!B$85</f>
        <v>3.4818804120443622E-2</v>
      </c>
      <c r="F47" s="126">
        <f>'Short-sea (Hydrogen)'!C$85</f>
        <v>3.4799586456667871E-2</v>
      </c>
      <c r="G47" s="126">
        <f>'Short-sea (Hydrogen)'!D$85</f>
        <v>3.4772082984067476E-2</v>
      </c>
      <c r="H47" s="126">
        <f>'Short-sea (Hydrogen)'!E$85</f>
        <v>3.473274999288356E-2</v>
      </c>
      <c r="I47" s="126">
        <f>'Short-sea (Hydrogen)'!F$85</f>
        <v>3.4676560338444136E-2</v>
      </c>
      <c r="J47" s="126">
        <f>'Short-sea (Hydrogen)'!G$85</f>
        <v>3.4596418277082944E-2</v>
      </c>
      <c r="K47" s="126">
        <f>'Short-sea (Hydrogen)'!H$85</f>
        <v>3.4482383333463394E-2</v>
      </c>
      <c r="L47" s="126">
        <f>'Short-sea (Hydrogen)'!I$85</f>
        <v>3.4320686022385069E-2</v>
      </c>
      <c r="M47" s="126">
        <f>'Short-sea (Hydrogen)'!J$85</f>
        <v>3.4092574511722554E-2</v>
      </c>
      <c r="N47" s="126">
        <f>'Short-sea (Hydrogen)'!K$85</f>
        <v>3.3773163778786683E-2</v>
      </c>
      <c r="O47" s="126">
        <f>'Short-sea (Hydrogen)'!L$85</f>
        <v>3.3330722876350596E-2</v>
      </c>
      <c r="P47" s="126">
        <f>'Short-sea (Hydrogen)'!M$85</f>
        <v>3.2727281010829723E-2</v>
      </c>
      <c r="Q47" s="126">
        <f>'Short-sea (Hydrogen)'!N$85</f>
        <v>3.1922010247381075E-2</v>
      </c>
      <c r="R47" s="126">
        <f>'Short-sea (Hydrogen)'!O$85</f>
        <v>3.0879189773905309E-2</v>
      </c>
      <c r="S47" s="126">
        <f>'Short-sea (Hydrogen)'!P$85</f>
        <v>2.9581736902504784E-2</v>
      </c>
      <c r="T47" s="126">
        <f>'Short-sea (Hydrogen)'!Q$85</f>
        <v>2.8048023608671816E-2</v>
      </c>
      <c r="U47" s="126">
        <f>'Short-sea (Hydrogen)'!R$85</f>
        <v>2.6344127020875758E-2</v>
      </c>
      <c r="V47" s="126">
        <f>'Short-sea (Hydrogen)'!S$85</f>
        <v>2.4580204501903902E-2</v>
      </c>
      <c r="W47" s="126">
        <f>'Short-sea (Hydrogen)'!T$85</f>
        <v>2.2885635334347291E-2</v>
      </c>
      <c r="X47" s="126">
        <f>'Short-sea (Hydrogen)'!U$85</f>
        <v>2.137275111976325E-2</v>
      </c>
      <c r="Y47" s="126">
        <f>'Short-sea (Hydrogen)'!V$85</f>
        <v>2.0109205762675154E-2</v>
      </c>
      <c r="Z47" s="126">
        <f>'Short-sea (Hydrogen)'!W$85</f>
        <v>1.9111993964244303E-2</v>
      </c>
      <c r="AA47" s="126">
        <f>'Short-sea (Hydrogen)'!X$85</f>
        <v>1.8359828833850369E-2</v>
      </c>
      <c r="AB47" s="126">
        <f>'Short-sea (Hydrogen)'!Y$85</f>
        <v>1.7811749820646761E-2</v>
      </c>
      <c r="AC47" s="126">
        <f>'Short-sea (Hydrogen)'!Z$85</f>
        <v>1.7422383378027356E-2</v>
      </c>
      <c r="AD47" s="126">
        <f>'Short-sea (Hydrogen)'!AA$85</f>
        <v>1.7150737344181922E-2</v>
      </c>
      <c r="AE47" s="126">
        <f>'Short-sea (Hydrogen)'!AB$85</f>
        <v>1.6963611094181034E-2</v>
      </c>
      <c r="AF47" s="126">
        <f>'Short-sea (Hydrogen)'!AC$85</f>
        <v>1.6835832771061182E-2</v>
      </c>
    </row>
    <row r="48" spans="1:32" x14ac:dyDescent="0.3">
      <c r="A48">
        <v>47</v>
      </c>
      <c r="B48" t="s">
        <v>168</v>
      </c>
      <c r="C48" t="s">
        <v>103</v>
      </c>
      <c r="D48" t="s">
        <v>223</v>
      </c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</row>
    <row r="49" spans="1:32" x14ac:dyDescent="0.3">
      <c r="A49">
        <v>48</v>
      </c>
      <c r="B49" t="s">
        <v>168</v>
      </c>
      <c r="C49" t="s">
        <v>103</v>
      </c>
      <c r="D49" t="s">
        <v>224</v>
      </c>
      <c r="E49" s="126">
        <f>'Short-sea (Hydrogen)'!B$191</f>
        <v>4.1853643866071648E-2</v>
      </c>
      <c r="F49" s="126">
        <f>'Short-sea (Hydrogen)'!C$191</f>
        <v>4.1831102664363753E-2</v>
      </c>
      <c r="G49" s="126">
        <f>'Short-sea (Hydrogen)'!D$191</f>
        <v>4.179884257526198E-2</v>
      </c>
      <c r="H49" s="126">
        <f>'Short-sea (Hydrogen)'!E$191</f>
        <v>4.1752706862619185E-2</v>
      </c>
      <c r="I49" s="126">
        <f>'Short-sea (Hydrogen)'!F$191</f>
        <v>4.1686798608898255E-2</v>
      </c>
      <c r="J49" s="126">
        <f>'Short-sea (Hydrogen)'!G$191</f>
        <v>4.1592794139783798E-2</v>
      </c>
      <c r="K49" s="126">
        <f>'Short-sea (Hydrogen)'!H$191</f>
        <v>4.1459032239879005E-2</v>
      </c>
      <c r="L49" s="126">
        <f>'Short-sea (Hydrogen)'!I$191</f>
        <v>4.1269358811652473E-2</v>
      </c>
      <c r="M49" s="126">
        <f>'Short-sea (Hydrogen)'!J$191</f>
        <v>4.1001772462790576E-2</v>
      </c>
      <c r="N49" s="126">
        <f>'Short-sea (Hydrogen)'!K$191</f>
        <v>4.062707164121717E-2</v>
      </c>
      <c r="O49" s="126">
        <f>'Short-sea (Hydrogen)'!L$191</f>
        <v>4.0108013406167833E-2</v>
      </c>
      <c r="P49" s="126">
        <f>'Short-sea (Hydrogen)'!M$191</f>
        <v>3.9400015980930292E-2</v>
      </c>
      <c r="Q49" s="126">
        <f>'Short-sea (Hydrogen)'!N$191</f>
        <v>3.8455115186444448E-2</v>
      </c>
      <c r="R49" s="126">
        <f>'Short-sea (Hydrogen)'!O$191</f>
        <v>3.7231295485575876E-2</v>
      </c>
      <c r="S49" s="126">
        <f>'Short-sea (Hydrogen)'!P$191</f>
        <v>3.5708361740196717E-2</v>
      </c>
      <c r="T49" s="126">
        <f>'Short-sea (Hydrogen)'!Q$191</f>
        <v>3.3907693319763677E-2</v>
      </c>
      <c r="U49" s="126">
        <f>'Short-sea (Hydrogen)'!R$191</f>
        <v>3.1906682373505232E-2</v>
      </c>
      <c r="V49" s="126">
        <f>'Short-sea (Hydrogen)'!S$191</f>
        <v>2.9834569644231743E-2</v>
      </c>
      <c r="W49" s="126">
        <f>'Short-sea (Hydrogen)'!T$191</f>
        <v>2.7843330497701942E-2</v>
      </c>
      <c r="X49" s="126">
        <f>'Short-sea (Hydrogen)'!U$191</f>
        <v>2.6065078014926954E-2</v>
      </c>
      <c r="Y49" s="126">
        <f>'Short-sea (Hydrogen)'!V$191</f>
        <v>2.4579525834544726E-2</v>
      </c>
      <c r="Z49" s="126">
        <f>'Short-sea (Hydrogen)'!W$191</f>
        <v>2.3406857422418586E-2</v>
      </c>
      <c r="AA49" s="126">
        <f>'Short-sea (Hydrogen)'!X$191</f>
        <v>2.2522205665638357E-2</v>
      </c>
      <c r="AB49" s="126">
        <f>'Short-sea (Hydrogen)'!Y$191</f>
        <v>2.1877508153746682E-2</v>
      </c>
      <c r="AC49" s="126">
        <f>'Short-sea (Hydrogen)'!Z$191</f>
        <v>2.1419460779681834E-2</v>
      </c>
      <c r="AD49" s="126">
        <f>'Short-sea (Hydrogen)'!AA$191</f>
        <v>2.1099878292337303E-2</v>
      </c>
      <c r="AE49" s="126">
        <f>'Short-sea (Hydrogen)'!AB$191</f>
        <v>2.087972070694339E-2</v>
      </c>
      <c r="AF49" s="126">
        <f>'Short-sea (Hydrogen)'!AC$191</f>
        <v>2.072938247471668E-2</v>
      </c>
    </row>
    <row r="50" spans="1:32" x14ac:dyDescent="0.3">
      <c r="A50">
        <v>49</v>
      </c>
      <c r="B50" t="s">
        <v>168</v>
      </c>
      <c r="C50" t="s">
        <v>103</v>
      </c>
      <c r="D50" t="s">
        <v>225</v>
      </c>
      <c r="E50" s="126">
        <f>'Short-sea (Hydrogen)'!B$299</f>
        <v>4.4952684649922997E-2</v>
      </c>
      <c r="F50" s="126">
        <f>'Short-sea (Hydrogen)'!C$299</f>
        <v>4.4927985683394241E-2</v>
      </c>
      <c r="G50" s="126">
        <f>'Short-sea (Hydrogen)'!D$299</f>
        <v>4.4892637424670159E-2</v>
      </c>
      <c r="H50" s="126">
        <f>'Short-sea (Hydrogen)'!E$299</f>
        <v>4.4842085142835511E-2</v>
      </c>
      <c r="I50" s="126">
        <f>'Short-sea (Hydrogen)'!F$299</f>
        <v>4.4769867241822588E-2</v>
      </c>
      <c r="J50" s="126">
        <f>'Short-sea (Hydrogen)'!G$299</f>
        <v>4.4666862851045763E-2</v>
      </c>
      <c r="K50" s="126">
        <f>'Short-sea (Hydrogen)'!H$299</f>
        <v>4.4520293632378596E-2</v>
      </c>
      <c r="L50" s="126">
        <f>'Short-sea (Hydrogen)'!I$299</f>
        <v>4.431245740275358E-2</v>
      </c>
      <c r="M50" s="126">
        <f>'Short-sea (Hydrogen)'!J$299</f>
        <v>4.4019243222247484E-2</v>
      </c>
      <c r="N50" s="126">
        <f>'Short-sea (Hydrogen)'!K$299</f>
        <v>4.3608647456204477E-2</v>
      </c>
      <c r="O50" s="126">
        <f>'Short-sea (Hydrogen)'!L$299</f>
        <v>4.3039849276593913E-2</v>
      </c>
      <c r="P50" s="126">
        <f>'Short-sea (Hydrogen)'!M$299</f>
        <v>4.2263976100406671E-2</v>
      </c>
      <c r="Q50" s="126">
        <f>'Short-sea (Hydrogen)'!N$299</f>
        <v>4.1228432861839949E-2</v>
      </c>
      <c r="R50" s="126">
        <f>'Short-sea (Hydrogen)'!O$299</f>
        <v>3.988712078586712E-2</v>
      </c>
      <c r="S50" s="126">
        <f>'Short-sea (Hydrogen)'!P$299</f>
        <v>3.8217828931837422E-2</v>
      </c>
      <c r="T50" s="126">
        <f>'Short-sea (Hydrogen)'!Q$299</f>
        <v>3.6243894740024318E-2</v>
      </c>
      <c r="U50" s="126">
        <f>'Short-sea (Hydrogen)'!R$299</f>
        <v>3.4050060674016933E-2</v>
      </c>
      <c r="V50" s="126">
        <f>'Short-sea (Hydrogen)'!S$299</f>
        <v>3.177795707297789E-2</v>
      </c>
      <c r="W50" s="126">
        <f>'Short-sea (Hydrogen)'!T$299</f>
        <v>2.9594223426007534E-2</v>
      </c>
      <c r="X50" s="126">
        <f>'Short-sea (Hydrogen)'!U$299</f>
        <v>2.764380472185262E-2</v>
      </c>
      <c r="Y50" s="126">
        <f>'Short-sea (Hydrogen)'!V$299</f>
        <v>2.6014232311384052E-2</v>
      </c>
      <c r="Z50" s="126">
        <f>'Short-sea (Hydrogen)'!W$299</f>
        <v>2.4727751051356286E-2</v>
      </c>
      <c r="AA50" s="126">
        <f>'Short-sea (Hydrogen)'!X$299</f>
        <v>2.3757165309429392E-2</v>
      </c>
      <c r="AB50" s="126">
        <f>'Short-sea (Hydrogen)'!Y$299</f>
        <v>2.3049801898697691E-2</v>
      </c>
      <c r="AC50" s="126">
        <f>'Short-sea (Hydrogen)'!Z$299</f>
        <v>2.254721034079496E-2</v>
      </c>
      <c r="AD50" s="126">
        <f>'Short-sea (Hydrogen)'!AA$299</f>
        <v>2.2196538681704923E-2</v>
      </c>
      <c r="AE50" s="126">
        <f>'Short-sea (Hydrogen)'!AB$299</f>
        <v>2.1954959035079727E-2</v>
      </c>
      <c r="AF50" s="126">
        <f>'Short-sea (Hydrogen)'!AC$299</f>
        <v>2.1789990044161572E-2</v>
      </c>
    </row>
    <row r="51" spans="1:32" x14ac:dyDescent="0.3">
      <c r="A51">
        <v>50</v>
      </c>
      <c r="B51" t="s">
        <v>168</v>
      </c>
      <c r="C51" t="s">
        <v>103</v>
      </c>
      <c r="D51" t="s">
        <v>226</v>
      </c>
      <c r="E51" s="126">
        <f>'Short-sea (Hydrogen)'!B$408</f>
        <v>3.481156995880387E-2</v>
      </c>
      <c r="F51" s="126">
        <f>'Short-sea (Hydrogen)'!C$408</f>
        <v>3.4792352376934628E-2</v>
      </c>
      <c r="G51" s="126">
        <f>'Short-sea (Hydrogen)'!D$408</f>
        <v>3.4764849021575533E-2</v>
      </c>
      <c r="H51" s="126">
        <f>'Short-sea (Hydrogen)'!E$408</f>
        <v>3.4725516198101242E-2</v>
      </c>
      <c r="I51" s="126">
        <f>'Short-sea (Hydrogen)'!F$408</f>
        <v>3.4669326783330713E-2</v>
      </c>
      <c r="J51" s="126">
        <f>'Short-sea (Hydrogen)'!G$408</f>
        <v>3.4589185063977512E-2</v>
      </c>
      <c r="K51" s="126">
        <f>'Short-sea (Hydrogen)'!H$408</f>
        <v>3.4475150607357175E-2</v>
      </c>
      <c r="L51" s="126">
        <f>'Short-sea (Hydrogen)'!I$408</f>
        <v>3.4313453987537823E-2</v>
      </c>
      <c r="M51" s="126">
        <f>'Short-sea (Hydrogen)'!J$408</f>
        <v>3.4085343453483255E-2</v>
      </c>
      <c r="N51" s="126">
        <f>'Short-sea (Hydrogen)'!K$408</f>
        <v>3.3765934090857375E-2</v>
      </c>
      <c r="O51" s="126">
        <f>'Short-sea (Hydrogen)'!L$408</f>
        <v>3.3323495092040453E-2</v>
      </c>
      <c r="P51" s="126">
        <f>'Short-sea (Hydrogen)'!M$408</f>
        <v>3.2720055833272504E-2</v>
      </c>
      <c r="Q51" s="126">
        <f>'Short-sea (Hydrogen)'!N$408</f>
        <v>3.1914788567498978E-2</v>
      </c>
      <c r="R51" s="126">
        <f>'Short-sea (Hydrogen)'!O$408</f>
        <v>3.0871972656638717E-2</v>
      </c>
      <c r="S51" s="126">
        <f>'Short-sea (Hydrogen)'!P$408</f>
        <v>2.9574525515786779E-2</v>
      </c>
      <c r="T51" s="126">
        <f>'Short-sea (Hydrogen)'!Q$408</f>
        <v>2.8040819076042243E-2</v>
      </c>
      <c r="U51" s="126">
        <f>'Short-sea (Hydrogen)'!R$408</f>
        <v>2.6336930209378138E-2</v>
      </c>
      <c r="V51" s="126">
        <f>'Short-sea (Hydrogen)'!S$408</f>
        <v>2.4573015808038258E-2</v>
      </c>
      <c r="W51" s="126">
        <f>'Short-sea (Hydrogen)'!T$408</f>
        <v>2.2878454565146276E-2</v>
      </c>
      <c r="X51" s="126">
        <f>'Short-sea (Hydrogen)'!U$408</f>
        <v>2.1365577536116176E-2</v>
      </c>
      <c r="Y51" s="126">
        <f>'Short-sea (Hydrogen)'!V$408</f>
        <v>2.0102038264543886E-2</v>
      </c>
      <c r="Z51" s="126">
        <f>'Short-sea (Hydrogen)'!W$408</f>
        <v>1.9104831325553996E-2</v>
      </c>
      <c r="AA51" s="126">
        <f>'Short-sea (Hydrogen)'!X$408</f>
        <v>1.8352669894805353E-2</v>
      </c>
      <c r="AB51" s="126">
        <f>'Short-sea (Hydrogen)'!Y$408</f>
        <v>1.7804593596556565E-2</v>
      </c>
      <c r="AC51" s="126">
        <f>'Short-sea (Hydrogen)'!Z$408</f>
        <v>1.7415229092715947E-2</v>
      </c>
      <c r="AD51" s="126">
        <f>'Short-sea (Hydrogen)'!AA$408</f>
        <v>1.714358441648987E-2</v>
      </c>
      <c r="AE51" s="126">
        <f>'Short-sea (Hydrogen)'!AB$408</f>
        <v>1.6956459104120643E-2</v>
      </c>
      <c r="AF51" s="126">
        <f>'Short-sea (Hydrogen)'!AC$408</f>
        <v>1.6828681422402104E-2</v>
      </c>
    </row>
    <row r="52" spans="1:32" x14ac:dyDescent="0.3">
      <c r="A52">
        <v>51</v>
      </c>
      <c r="B52" t="s">
        <v>168</v>
      </c>
      <c r="C52" t="s">
        <v>186</v>
      </c>
      <c r="D52" t="s">
        <v>222</v>
      </c>
      <c r="E52" s="126">
        <f>'Short-sea (Ammonia)'!B$85</f>
        <v>9.204177299743381E-2</v>
      </c>
      <c r="F52" s="126">
        <f>'Short-sea (Ammonia)'!C$85</f>
        <v>9.1732295945566908E-2</v>
      </c>
      <c r="G52" s="126">
        <f>'Short-sea (Ammonia)'!D$85</f>
        <v>9.1292886698491268E-2</v>
      </c>
      <c r="H52" s="126">
        <f>'Short-sea (Ammonia)'!E$85</f>
        <v>9.0671539043705146E-2</v>
      </c>
      <c r="I52" s="126">
        <f>'Short-sea (Ammonia)'!F$85</f>
        <v>8.9798009370582896E-2</v>
      </c>
      <c r="J52" s="126">
        <f>'Short-sea (Ammonia)'!G$85</f>
        <v>8.857997835120289E-2</v>
      </c>
      <c r="K52" s="126">
        <f>'Short-sea (Ammonia)'!H$85</f>
        <v>8.6900974241114426E-2</v>
      </c>
      <c r="L52" s="126">
        <f>'Short-sea (Ammonia)'!I$85</f>
        <v>8.4623006520389427E-2</v>
      </c>
      <c r="M52" s="126">
        <f>'Short-sea (Ammonia)'!J$85</f>
        <v>8.1598439804236644E-2</v>
      </c>
      <c r="N52" s="126">
        <f>'Short-sea (Ammonia)'!K$85</f>
        <v>7.769622958027568E-2</v>
      </c>
      <c r="O52" s="126">
        <f>'Short-sea (Ammonia)'!L$85</f>
        <v>7.2844695298628914E-2</v>
      </c>
      <c r="P52" s="126">
        <f>'Short-sea (Ammonia)'!M$85</f>
        <v>6.7083667865339813E-2</v>
      </c>
      <c r="Q52" s="126">
        <f>'Short-sea (Ammonia)'!N$85</f>
        <v>6.0604362828533619E-2</v>
      </c>
      <c r="R52" s="126">
        <f>'Short-sea (Ammonia)'!O$85</f>
        <v>5.3746680388498676E-2</v>
      </c>
      <c r="S52" s="126">
        <f>'Short-sea (Ammonia)'!P$85</f>
        <v>4.6937303169918482E-2</v>
      </c>
      <c r="T52" s="126">
        <f>'Short-sea (Ammonia)'!Q$85</f>
        <v>4.0588330867889641E-2</v>
      </c>
      <c r="U52" s="126">
        <f>'Short-sea (Ammonia)'!R$85</f>
        <v>3.5005412813902424E-2</v>
      </c>
      <c r="V52" s="126">
        <f>'Short-sea (Ammonia)'!S$85</f>
        <v>3.0345541390791351E-2</v>
      </c>
      <c r="W52" s="126">
        <f>'Short-sea (Ammonia)'!T$85</f>
        <v>2.6627919722806082E-2</v>
      </c>
      <c r="X52" s="126">
        <f>'Short-sea (Ammonia)'!U$85</f>
        <v>2.3774215787363159E-2</v>
      </c>
      <c r="Y52" s="126">
        <f>'Short-sea (Ammonia)'!V$85</f>
        <v>2.165351218482436E-2</v>
      </c>
      <c r="Z52" s="126">
        <f>'Short-sea (Ammonia)'!W$85</f>
        <v>2.011882652979893E-2</v>
      </c>
      <c r="AA52" s="126">
        <f>'Short-sea (Ammonia)'!X$85</f>
        <v>1.9031340268377436E-2</v>
      </c>
      <c r="AB52" s="126">
        <f>'Short-sea (Ammonia)'!Y$85</f>
        <v>1.8273025748779443E-2</v>
      </c>
      <c r="AC52" s="126">
        <f>'Short-sea (Ammonia)'!Z$85</f>
        <v>1.7750488496743513E-2</v>
      </c>
      <c r="AD52" s="126">
        <f>'Short-sea (Ammonia)'!AA$85</f>
        <v>1.7393482512700082E-2</v>
      </c>
      <c r="AE52" s="126">
        <f>'Short-sea (Ammonia)'!AB$85</f>
        <v>1.7151033434792951E-2</v>
      </c>
      <c r="AF52" s="126">
        <f>'Short-sea (Ammonia)'!AC$85</f>
        <v>1.6987067899606519E-2</v>
      </c>
    </row>
    <row r="53" spans="1:32" x14ac:dyDescent="0.3">
      <c r="A53">
        <v>52</v>
      </c>
      <c r="B53" t="s">
        <v>168</v>
      </c>
      <c r="C53" t="s">
        <v>186</v>
      </c>
      <c r="D53" t="s">
        <v>223</v>
      </c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</row>
    <row r="54" spans="1:32" x14ac:dyDescent="0.3">
      <c r="A54">
        <v>53</v>
      </c>
      <c r="B54" t="s">
        <v>168</v>
      </c>
      <c r="C54" s="172" t="s">
        <v>186</v>
      </c>
      <c r="D54" t="s">
        <v>224</v>
      </c>
      <c r="E54" s="126">
        <f>'Short-sea (Ammonia)'!B$191</f>
        <v>0.10012674025274917</v>
      </c>
      <c r="F54" s="126">
        <f>'Short-sea (Ammonia)'!C$191</f>
        <v>9.9807799776090708E-2</v>
      </c>
      <c r="G54" s="126">
        <f>'Short-sea (Ammonia)'!D$191</f>
        <v>9.9354923916603485E-2</v>
      </c>
      <c r="H54" s="126">
        <f>'Short-sea (Ammonia)'!E$191</f>
        <v>9.8714472768773098E-2</v>
      </c>
      <c r="I54" s="126">
        <f>'Short-sea (Ammonia)'!F$191</f>
        <v>9.7813962869127163E-2</v>
      </c>
      <c r="J54" s="126">
        <f>'Short-sea (Ammonia)'!G$191</f>
        <v>9.6558063573950359E-2</v>
      </c>
      <c r="K54" s="126">
        <f>'Short-sea (Ammonia)'!H$191</f>
        <v>9.4826367375743431E-2</v>
      </c>
      <c r="L54" s="126">
        <f>'Short-sea (Ammonia)'!I$191</f>
        <v>9.2475945269502993E-2</v>
      </c>
      <c r="M54" s="126">
        <f>'Short-sea (Ammonia)'!J$191</f>
        <v>8.9353321877137348E-2</v>
      </c>
      <c r="N54" s="126">
        <f>'Short-sea (Ammonia)'!K$191</f>
        <v>8.5321127613162823E-2</v>
      </c>
      <c r="O54" s="126">
        <f>'Short-sea (Ammonia)'!L$191</f>
        <v>8.0301710160524148E-2</v>
      </c>
      <c r="P54" s="126">
        <f>'Short-sea (Ammonia)'!M$191</f>
        <v>7.4330504336147546E-2</v>
      </c>
      <c r="Q54" s="126">
        <f>'Short-sea (Ammonia)'!N$191</f>
        <v>6.7597234881714457E-2</v>
      </c>
      <c r="R54" s="126">
        <f>'Short-sea (Ammonia)'!O$191</f>
        <v>6.0444237810292165E-2</v>
      </c>
      <c r="S54" s="126">
        <f>'Short-sea (Ammonia)'!P$191</f>
        <v>5.3305052991871299E-2</v>
      </c>
      <c r="T54" s="126">
        <f>'Short-sea (Ammonia)'!Q$191</f>
        <v>4.6603170569980541E-2</v>
      </c>
      <c r="U54" s="126">
        <f>'Short-sea (Ammonia)'!R$191</f>
        <v>4.0659908017702806E-2</v>
      </c>
      <c r="V54" s="126">
        <f>'Short-sea (Ammonia)'!S$191</f>
        <v>3.5650887548567316E-2</v>
      </c>
      <c r="W54" s="126">
        <f>'Short-sea (Ammonia)'!T$191</f>
        <v>3.1613788098764917E-2</v>
      </c>
      <c r="X54" s="126">
        <f>'Short-sea (Ammonia)'!U$191</f>
        <v>2.848443943746819E-2</v>
      </c>
      <c r="Y54" s="126">
        <f>'Short-sea (Ammonia)'!V$191</f>
        <v>2.6138803166265122E-2</v>
      </c>
      <c r="Z54" s="126">
        <f>'Short-sea (Ammonia)'!W$191</f>
        <v>2.4429324685136065E-2</v>
      </c>
      <c r="AA54" s="126">
        <f>'Short-sea (Ammonia)'!X$191</f>
        <v>2.3211341117918401E-2</v>
      </c>
      <c r="AB54" s="126">
        <f>'Short-sea (Ammonia)'!Y$191</f>
        <v>2.2358577767833097E-2</v>
      </c>
      <c r="AC54" s="126">
        <f>'Short-sea (Ammonia)'!Z$191</f>
        <v>2.1769241048091911E-2</v>
      </c>
      <c r="AD54" s="126">
        <f>'Short-sea (Ammonia)'!AA$191</f>
        <v>2.1365769242664569E-2</v>
      </c>
      <c r="AE54" s="126">
        <f>'Short-sea (Ammonia)'!AB$191</f>
        <v>2.1091374495399138E-2</v>
      </c>
      <c r="AF54" s="126">
        <f>'Short-sea (Ammonia)'!AC$191</f>
        <v>2.0905623509992585E-2</v>
      </c>
    </row>
    <row r="55" spans="1:32" x14ac:dyDescent="0.3">
      <c r="A55">
        <v>54</v>
      </c>
      <c r="B55" t="s">
        <v>168</v>
      </c>
      <c r="C55" s="172" t="s">
        <v>186</v>
      </c>
      <c r="D55" t="s">
        <v>225</v>
      </c>
      <c r="E55" s="126">
        <f>'Short-sea (Ammonia)'!B$299</f>
        <v>0.10139892877426568</v>
      </c>
      <c r="F55" s="126">
        <f>'Short-sea (Ammonia)'!C$299</f>
        <v>0.10108490610686717</v>
      </c>
      <c r="G55" s="126">
        <f>'Short-sea (Ammonia)'!D$299</f>
        <v>0.10063899045121862</v>
      </c>
      <c r="H55" s="126">
        <f>'Short-sea (Ammonia)'!E$299</f>
        <v>0.10000833604631734</v>
      </c>
      <c r="I55" s="126">
        <f>'Short-sea (Ammonia)'!F$299</f>
        <v>9.9121507334776718E-2</v>
      </c>
      <c r="J55" s="126">
        <f>'Short-sea (Ammonia)'!G$299</f>
        <v>9.7884500701249516E-2</v>
      </c>
      <c r="K55" s="126">
        <f>'Short-sea (Ammonia)'!H$299</f>
        <v>9.6178481270665389E-2</v>
      </c>
      <c r="L55" s="126">
        <f>'Short-sea (Ammonia)'!I$299</f>
        <v>9.3862178376452624E-2</v>
      </c>
      <c r="M55" s="126">
        <f>'Short-sea (Ammonia)'!J$299</f>
        <v>9.07834773575487E-2</v>
      </c>
      <c r="N55" s="126">
        <f>'Short-sea (Ammonia)'!K$299</f>
        <v>8.6805368097865584E-2</v>
      </c>
      <c r="O55" s="126">
        <f>'Short-sea (Ammonia)'!L$299</f>
        <v>8.1848527990684344E-2</v>
      </c>
      <c r="P55" s="126">
        <f>'Short-sea (Ammonia)'!M$299</f>
        <v>7.5943586977105182E-2</v>
      </c>
      <c r="Q55" s="126">
        <f>'Short-sea (Ammonia)'!N$299</f>
        <v>6.9271779738271325E-2</v>
      </c>
      <c r="R55" s="126">
        <f>'Short-sea (Ammonia)'!O$299</f>
        <v>6.2164131950757352E-2</v>
      </c>
      <c r="S55" s="126">
        <f>'Short-sea (Ammonia)'!P$299</f>
        <v>5.5042812594951793E-2</v>
      </c>
      <c r="T55" s="126">
        <f>'Short-sea (Ammonia)'!Q$299</f>
        <v>4.8323877570171828E-2</v>
      </c>
      <c r="U55" s="126">
        <f>'Short-sea (Ammonia)'!R$299</f>
        <v>4.232850038812741E-2</v>
      </c>
      <c r="V55" s="126">
        <f>'Short-sea (Ammonia)'!S$299</f>
        <v>3.7240093696976499E-2</v>
      </c>
      <c r="W55" s="126">
        <f>'Short-sea (Ammonia)'!T$299</f>
        <v>3.3109319233372757E-2</v>
      </c>
      <c r="X55" s="126">
        <f>'Short-sea (Ammonia)'!U$299</f>
        <v>2.9885536063346593E-2</v>
      </c>
      <c r="Y55" s="126">
        <f>'Short-sea (Ammonia)'!V$299</f>
        <v>2.7454847634949171E-2</v>
      </c>
      <c r="Z55" s="126">
        <f>'Short-sea (Ammonia)'!W$299</f>
        <v>2.5674928327416118E-2</v>
      </c>
      <c r="AA55" s="126">
        <f>'Short-sea (Ammonia)'!X$299</f>
        <v>2.4402120636323816E-2</v>
      </c>
      <c r="AB55" s="126">
        <f>'Short-sea (Ammonia)'!Y$299</f>
        <v>2.3508576103250894E-2</v>
      </c>
      <c r="AC55" s="126">
        <f>'Short-sea (Ammonia)'!Z$299</f>
        <v>2.2889869138291285E-2</v>
      </c>
      <c r="AD55" s="126">
        <f>'Short-sea (Ammonia)'!AA$299</f>
        <v>2.2465719821397449E-2</v>
      </c>
      <c r="AE55" s="126">
        <f>'Short-sea (Ammonia)'!AB$299</f>
        <v>2.2176994573177473E-2</v>
      </c>
      <c r="AF55" s="126">
        <f>'Short-sea (Ammonia)'!AC$299</f>
        <v>2.1981418369349661E-2</v>
      </c>
    </row>
    <row r="56" spans="1:32" x14ac:dyDescent="0.3">
      <c r="A56">
        <v>55</v>
      </c>
      <c r="B56" t="s">
        <v>168</v>
      </c>
      <c r="C56" s="172" t="s">
        <v>186</v>
      </c>
      <c r="D56" t="s">
        <v>226</v>
      </c>
      <c r="E56" s="126">
        <f>'Short-sea (Ammonia)'!B$408</f>
        <v>9.2021098813500971E-2</v>
      </c>
      <c r="F56" s="126">
        <f>'Short-sea (Ammonia)'!C$408</f>
        <v>9.1711681144489646E-2</v>
      </c>
      <c r="G56" s="126">
        <f>'Short-sea (Ammonia)'!D$408</f>
        <v>9.1272356197442298E-2</v>
      </c>
      <c r="H56" s="126">
        <f>'Short-sea (Ammonia)'!E$408</f>
        <v>9.0651127718080038E-2</v>
      </c>
      <c r="I56" s="126">
        <f>'Short-sea (Ammonia)'!F$408</f>
        <v>8.977776553019115E-2</v>
      </c>
      <c r="J56" s="126">
        <f>'Short-sea (Ammonia)'!G$408</f>
        <v>8.8559967930006783E-2</v>
      </c>
      <c r="K56" s="126">
        <f>'Short-sea (Ammonia)'!H$408</f>
        <v>8.6881285342609235E-2</v>
      </c>
      <c r="L56" s="126">
        <f>'Short-sea (Ammonia)'!I$408</f>
        <v>8.4603753381645844E-2</v>
      </c>
      <c r="M56" s="126">
        <f>'Short-sea (Ammonia)'!J$408</f>
        <v>8.1579764356351128E-2</v>
      </c>
      <c r="N56" s="126">
        <f>'Short-sea (Ammonia)'!K$408</f>
        <v>7.767829779046484E-2</v>
      </c>
      <c r="O56" s="126">
        <f>'Short-sea (Ammonia)'!L$408</f>
        <v>7.2827685081480978E-2</v>
      </c>
      <c r="P56" s="126">
        <f>'Short-sea (Ammonia)'!M$408</f>
        <v>6.7067746812640938E-2</v>
      </c>
      <c r="Q56" s="126">
        <f>'Short-sea (Ammonia)'!N$408</f>
        <v>6.0589658346323474E-2</v>
      </c>
      <c r="R56" s="126">
        <f>'Short-sea (Ammonia)'!O$408</f>
        <v>5.3733250888120053E-2</v>
      </c>
      <c r="S56" s="126">
        <f>'Short-sea (Ammonia)'!P$408</f>
        <v>4.6925122285842211E-2</v>
      </c>
      <c r="T56" s="126">
        <f>'Short-sea (Ammonia)'!Q$408</f>
        <v>4.0577292658540674E-2</v>
      </c>
      <c r="U56" s="126">
        <f>'Short-sea (Ammonia)'!R$408</f>
        <v>3.4995355788344722E-2</v>
      </c>
      <c r="V56" s="126">
        <f>'Short-sea (Ammonia)'!S$408</f>
        <v>3.0336280580673117E-2</v>
      </c>
      <c r="W56" s="126">
        <f>'Short-sea (Ammonia)'!T$408</f>
        <v>2.6619274985410248E-2</v>
      </c>
      <c r="X56" s="126">
        <f>'Short-sea (Ammonia)'!U$408</f>
        <v>2.3766029810674015E-2</v>
      </c>
      <c r="Y56" s="126">
        <f>'Short-sea (Ammonia)'!V$408</f>
        <v>2.1645657836566776E-2</v>
      </c>
      <c r="Z56" s="126">
        <f>'Short-sea (Ammonia)'!W$408</f>
        <v>2.0111206638640005E-2</v>
      </c>
      <c r="AA56" s="126">
        <f>'Short-sea (Ammonia)'!X$408</f>
        <v>1.902388347204655E-2</v>
      </c>
      <c r="AB56" s="126">
        <f>'Short-sea (Ammonia)'!Y$408</f>
        <v>1.8265681103446996E-2</v>
      </c>
      <c r="AC56" s="126">
        <f>'Short-sea (Ammonia)'!Z$408</f>
        <v>1.7743220350067656E-2</v>
      </c>
      <c r="AD56" s="126">
        <f>'Short-sea (Ammonia)'!AA$408</f>
        <v>1.7386266255082331E-2</v>
      </c>
      <c r="AE56" s="126">
        <f>'Short-sea (Ammonia)'!AB$408</f>
        <v>1.7143852238975268E-2</v>
      </c>
      <c r="AF56" s="126">
        <f>'Short-sea (Ammonia)'!AC$408</f>
        <v>1.6979910333631037E-2</v>
      </c>
    </row>
    <row r="57" spans="1:32" x14ac:dyDescent="0.3">
      <c r="A57">
        <v>56</v>
      </c>
      <c r="B57" t="s">
        <v>168</v>
      </c>
      <c r="C57" s="172" t="s">
        <v>187</v>
      </c>
      <c r="D57" t="s">
        <v>222</v>
      </c>
      <c r="E57" s="126">
        <f>'Short-sea (Methanol)'!B$85</f>
        <v>5.9499036857833032E-2</v>
      </c>
      <c r="F57" s="126">
        <f>'Short-sea (Methanol)'!C$85</f>
        <v>5.9456565430009461E-2</v>
      </c>
      <c r="G57" s="126">
        <f>'Short-sea (Methanol)'!D$85</f>
        <v>5.9395777542624525E-2</v>
      </c>
      <c r="H57" s="126">
        <f>'Short-sea (Methanol)'!E$85</f>
        <v>5.9308834650385195E-2</v>
      </c>
      <c r="I57" s="126">
        <f>'Short-sea (Methanol)'!F$85</f>
        <v>5.918461178556636E-2</v>
      </c>
      <c r="J57" s="126">
        <f>'Short-sea (Methanol)'!G$85</f>
        <v>5.900739577573768E-2</v>
      </c>
      <c r="K57" s="126">
        <f>'Short-sea (Methanol)'!H$85</f>
        <v>5.8755152752450635E-2</v>
      </c>
      <c r="L57" s="126">
        <f>'Short-sea (Methanol)'!I$85</f>
        <v>5.8397318816796225E-2</v>
      </c>
      <c r="M57" s="126">
        <f>'Short-sea (Methanol)'!J$85</f>
        <v>5.7892185396301241E-2</v>
      </c>
      <c r="N57" s="126">
        <f>'Short-sea (Methanol)'!K$85</f>
        <v>5.718423338760719E-2</v>
      </c>
      <c r="O57" s="126">
        <f>'Short-sea (Methanol)'!L$85</f>
        <v>5.6202341958276406E-2</v>
      </c>
      <c r="P57" s="126">
        <f>'Short-sea (Methanol)'!M$85</f>
        <v>5.4860778790817785E-2</v>
      </c>
      <c r="Q57" s="126">
        <f>'Short-sea (Methanol)'!N$85</f>
        <v>5.3066191327500865E-2</v>
      </c>
      <c r="R57" s="126">
        <f>'Short-sea (Methanol)'!O$85</f>
        <v>5.0734722681737829E-2</v>
      </c>
      <c r="S57" s="126">
        <f>'Short-sea (Methanol)'!P$85</f>
        <v>4.7821851572693502E-2</v>
      </c>
      <c r="T57" s="126">
        <f>'Short-sea (Methanol)'!Q$85</f>
        <v>4.4360656496360985E-2</v>
      </c>
      <c r="U57" s="126">
        <f>'Short-sea (Methanol)'!R$85</f>
        <v>4.0491730647857875E-2</v>
      </c>
      <c r="V57" s="126">
        <f>'Short-sea (Methanol)'!S$85</f>
        <v>3.6459035152820653E-2</v>
      </c>
      <c r="W57" s="126">
        <f>'Short-sea (Methanol)'!T$85</f>
        <v>3.2557252798220235E-2</v>
      </c>
      <c r="X57" s="126">
        <f>'Short-sea (Methanol)'!U$85</f>
        <v>2.9049763672397231E-2</v>
      </c>
      <c r="Y57" s="126">
        <f>'Short-sea (Methanol)'!V$85</f>
        <v>2.6102147703066465E-2</v>
      </c>
      <c r="Z57" s="126">
        <f>'Short-sea (Methanol)'!W$85</f>
        <v>2.3763664946864584E-2</v>
      </c>
      <c r="AA57" s="126">
        <f>'Short-sea (Methanol)'!X$85</f>
        <v>2.1992477965698056E-2</v>
      </c>
      <c r="AB57" s="126">
        <f>'Short-sea (Methanol)'!Y$85</f>
        <v>2.0697788405944308E-2</v>
      </c>
      <c r="AC57" s="126">
        <f>'Short-sea (Methanol)'!Z$85</f>
        <v>1.9775883311702935E-2</v>
      </c>
      <c r="AD57" s="126">
        <f>'Short-sea (Methanol)'!AA$85</f>
        <v>1.9131642140712404E-2</v>
      </c>
      <c r="AE57" s="126">
        <f>'Short-sea (Methanol)'!AB$85</f>
        <v>1.8687336306930792E-2</v>
      </c>
      <c r="AF57" s="126">
        <f>'Short-sea (Methanol)'!AC$85</f>
        <v>1.8383701708981876E-2</v>
      </c>
    </row>
    <row r="58" spans="1:32" x14ac:dyDescent="0.3">
      <c r="A58">
        <v>57</v>
      </c>
      <c r="B58" t="s">
        <v>168</v>
      </c>
      <c r="C58" s="172" t="s">
        <v>187</v>
      </c>
      <c r="D58" t="s">
        <v>223</v>
      </c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</row>
    <row r="59" spans="1:32" x14ac:dyDescent="0.3">
      <c r="A59">
        <v>58</v>
      </c>
      <c r="B59" t="s">
        <v>168</v>
      </c>
      <c r="C59" s="172" t="s">
        <v>187</v>
      </c>
      <c r="D59" t="s">
        <v>224</v>
      </c>
      <c r="E59" s="126">
        <f>'Short-sea (Methanol)'!B$191</f>
        <v>7.1215282670323621E-2</v>
      </c>
      <c r="F59" s="126">
        <f>'Short-sea (Methanol)'!C$191</f>
        <v>7.1165073997956185E-2</v>
      </c>
      <c r="G59" s="126">
        <f>'Short-sea (Methanol)'!D$191</f>
        <v>7.1093212059753927E-2</v>
      </c>
      <c r="H59" s="126">
        <f>'Short-sea (Methanol)'!E$191</f>
        <v>7.0990430321187084E-2</v>
      </c>
      <c r="I59" s="126">
        <f>'Short-sea (Methanol)'!F$191</f>
        <v>7.0843577120344781E-2</v>
      </c>
      <c r="J59" s="126">
        <f>'Short-sea (Methanol)'!G$191</f>
        <v>7.0634076733102888E-2</v>
      </c>
      <c r="K59" s="126">
        <f>'Short-sea (Methanol)'!H$191</f>
        <v>7.0335881264709313E-2</v>
      </c>
      <c r="L59" s="126">
        <f>'Short-sea (Methanol)'!I$191</f>
        <v>6.9912858829206115E-2</v>
      </c>
      <c r="M59" s="126">
        <f>'Short-sea (Methanol)'!J$191</f>
        <v>6.9315702582968403E-2</v>
      </c>
      <c r="N59" s="126">
        <f>'Short-sea (Methanol)'!K$191</f>
        <v>6.8478779214061383E-2</v>
      </c>
      <c r="O59" s="126">
        <f>'Short-sea (Methanol)'!L$191</f>
        <v>6.7318011432001737E-2</v>
      </c>
      <c r="P59" s="126">
        <f>'Short-sea (Methanol)'!M$191</f>
        <v>6.5732048609772831E-2</v>
      </c>
      <c r="Q59" s="126">
        <f>'Short-sea (Methanol)'!N$191</f>
        <v>6.361053166066763E-2</v>
      </c>
      <c r="R59" s="126">
        <f>'Short-sea (Methanol)'!O$191</f>
        <v>6.0854327045735387E-2</v>
      </c>
      <c r="S59" s="126">
        <f>'Short-sea (Methanol)'!P$191</f>
        <v>5.7410802807036795E-2</v>
      </c>
      <c r="T59" s="126">
        <f>'Short-sea (Methanol)'!Q$191</f>
        <v>5.3319063525058892E-2</v>
      </c>
      <c r="U59" s="126">
        <f>'Short-sea (Methanol)'!R$191</f>
        <v>4.8745315000559654E-2</v>
      </c>
      <c r="V59" s="126">
        <f>'Short-sea (Methanol)'!S$191</f>
        <v>4.397796204720248E-2</v>
      </c>
      <c r="W59" s="126">
        <f>'Short-sea (Methanol)'!T$191</f>
        <v>3.9365371373184938E-2</v>
      </c>
      <c r="X59" s="126">
        <f>'Short-sea (Methanol)'!U$191</f>
        <v>3.5218904409974251E-2</v>
      </c>
      <c r="Y59" s="126">
        <f>'Short-sea (Methanol)'!V$191</f>
        <v>3.1734305656102281E-2</v>
      </c>
      <c r="Z59" s="126">
        <f>'Short-sea (Methanol)'!W$191</f>
        <v>2.8969809133150459E-2</v>
      </c>
      <c r="AA59" s="126">
        <f>'Short-sea (Methanol)'!X$191</f>
        <v>2.6875955655742276E-2</v>
      </c>
      <c r="AB59" s="126">
        <f>'Short-sea (Methanol)'!Y$191</f>
        <v>2.5345405654144469E-2</v>
      </c>
      <c r="AC59" s="126">
        <f>'Short-sea (Methanol)'!Z$191</f>
        <v>2.4255552234972264E-2</v>
      </c>
      <c r="AD59" s="126">
        <f>'Short-sea (Methanol)'!AA$191</f>
        <v>2.3493946243898636E-2</v>
      </c>
      <c r="AE59" s="126">
        <f>'Short-sea (Methanol)'!AB$191</f>
        <v>2.296869886742816E-2</v>
      </c>
      <c r="AF59" s="126">
        <f>'Short-sea (Methanol)'!AC$191</f>
        <v>2.2609749549520428E-2</v>
      </c>
    </row>
    <row r="60" spans="1:32" x14ac:dyDescent="0.3">
      <c r="A60">
        <v>59</v>
      </c>
      <c r="B60" t="s">
        <v>168</v>
      </c>
      <c r="C60" s="172" t="s">
        <v>187</v>
      </c>
      <c r="D60" t="s">
        <v>225</v>
      </c>
      <c r="E60" s="126">
        <f>'Short-sea (Methanol)'!B$299</f>
        <v>7.7420553886611593E-2</v>
      </c>
      <c r="F60" s="126">
        <f>'Short-sea (Methanol)'!C$299</f>
        <v>7.7365286246657783E-2</v>
      </c>
      <c r="G60" s="126">
        <f>'Short-sea (Methanol)'!D$299</f>
        <v>7.7286183582921122E-2</v>
      </c>
      <c r="H60" s="126">
        <f>'Short-sea (Methanol)'!E$299</f>
        <v>7.7173045675601668E-2</v>
      </c>
      <c r="I60" s="126">
        <f>'Short-sea (Methanol)'!F$299</f>
        <v>7.7011395716590145E-2</v>
      </c>
      <c r="J60" s="126">
        <f>'Short-sea (Methanol)'!G$299</f>
        <v>7.678078631334731E-2</v>
      </c>
      <c r="K60" s="126">
        <f>'Short-sea (Methanol)'!H$299</f>
        <v>7.645254501546106E-2</v>
      </c>
      <c r="L60" s="126">
        <f>'Short-sea (Methanol)'!I$299</f>
        <v>7.5986899330056715E-2</v>
      </c>
      <c r="M60" s="126">
        <f>'Short-sea (Methanol)'!J$299</f>
        <v>7.5329574313141037E-2</v>
      </c>
      <c r="N60" s="126">
        <f>'Short-sea (Methanol)'!K$299</f>
        <v>7.4408323516402475E-2</v>
      </c>
      <c r="O60" s="126">
        <f>'Short-sea (Methanol)'!L$299</f>
        <v>7.3130598119097043E-2</v>
      </c>
      <c r="P60" s="126">
        <f>'Short-sea (Methanol)'!M$299</f>
        <v>7.1384835522595239E-2</v>
      </c>
      <c r="Q60" s="126">
        <f>'Short-sea (Methanol)'!N$299</f>
        <v>6.9049556986628458E-2</v>
      </c>
      <c r="R60" s="126">
        <f>'Short-sea (Methanol)'!O$299</f>
        <v>6.6015640391854813E-2</v>
      </c>
      <c r="S60" s="126">
        <f>'Short-sea (Methanol)'!P$299</f>
        <v>6.2225150645305378E-2</v>
      </c>
      <c r="T60" s="126">
        <f>'Short-sea (Methanol)'!Q$299</f>
        <v>5.7721132459636261E-2</v>
      </c>
      <c r="U60" s="126">
        <f>'Short-sea (Methanol)'!R$299</f>
        <v>5.2686538339293397E-2</v>
      </c>
      <c r="V60" s="126">
        <f>'Short-sea (Methanol)'!S$299</f>
        <v>4.743883243241933E-2</v>
      </c>
      <c r="W60" s="126">
        <f>'Short-sea (Methanol)'!T$299</f>
        <v>4.2361482472629067E-2</v>
      </c>
      <c r="X60" s="126">
        <f>'Short-sea (Methanol)'!U$299</f>
        <v>3.7797222308049494E-2</v>
      </c>
      <c r="Y60" s="126">
        <f>'Short-sea (Methanol)'!V$299</f>
        <v>3.3961519425823664E-2</v>
      </c>
      <c r="Z60" s="126">
        <f>'Short-sea (Methanol)'!W$299</f>
        <v>3.0918475439996883E-2</v>
      </c>
      <c r="AA60" s="126">
        <f>'Short-sea (Methanol)'!X$299</f>
        <v>2.8613647715046077E-2</v>
      </c>
      <c r="AB60" s="126">
        <f>'Short-sea (Methanol)'!Y$299</f>
        <v>2.6928881270704065E-2</v>
      </c>
      <c r="AC60" s="126">
        <f>'Short-sea (Methanol)'!Z$299</f>
        <v>2.5729215485230938E-2</v>
      </c>
      <c r="AD60" s="126">
        <f>'Short-sea (Methanol)'!AA$299</f>
        <v>2.4890870957949132E-2</v>
      </c>
      <c r="AE60" s="126">
        <f>'Short-sea (Methanol)'!AB$299</f>
        <v>2.4312700265105167E-2</v>
      </c>
      <c r="AF60" s="126">
        <f>'Short-sea (Methanol)'!AC$299</f>
        <v>2.391758363030129E-2</v>
      </c>
    </row>
    <row r="61" spans="1:32" x14ac:dyDescent="0.3">
      <c r="A61">
        <v>60</v>
      </c>
      <c r="B61" t="s">
        <v>168</v>
      </c>
      <c r="C61" s="172" t="s">
        <v>187</v>
      </c>
      <c r="D61" t="s">
        <v>226</v>
      </c>
      <c r="E61" s="126">
        <f>'Short-sea (Methanol)'!B$408</f>
        <v>5.9492044983129981E-2</v>
      </c>
      <c r="F61" s="126">
        <f>'Short-sea (Methanol)'!C$408</f>
        <v>5.9449573555306418E-2</v>
      </c>
      <c r="G61" s="126">
        <f>'Short-sea (Methanol)'!D$408</f>
        <v>5.9388785667921482E-2</v>
      </c>
      <c r="H61" s="126">
        <f>'Short-sea (Methanol)'!E$408</f>
        <v>5.9301842775682151E-2</v>
      </c>
      <c r="I61" s="126">
        <f>'Short-sea (Methanol)'!F$408</f>
        <v>5.9177619910863302E-2</v>
      </c>
      <c r="J61" s="126">
        <f>'Short-sea (Methanol)'!G$408</f>
        <v>5.9000403901034636E-2</v>
      </c>
      <c r="K61" s="126">
        <f>'Short-sea (Methanol)'!H$408</f>
        <v>5.8748160877747611E-2</v>
      </c>
      <c r="L61" s="126">
        <f>'Short-sea (Methanol)'!I$408</f>
        <v>5.8390326942093181E-2</v>
      </c>
      <c r="M61" s="126">
        <f>'Short-sea (Methanol)'!J$408</f>
        <v>5.788519352159819E-2</v>
      </c>
      <c r="N61" s="126">
        <f>'Short-sea (Methanol)'!K$408</f>
        <v>5.7177241512904146E-2</v>
      </c>
      <c r="O61" s="126">
        <f>'Short-sea (Methanol)'!L$408</f>
        <v>5.6195350083573369E-2</v>
      </c>
      <c r="P61" s="126">
        <f>'Short-sea (Methanol)'!M$408</f>
        <v>5.4853786916114734E-2</v>
      </c>
      <c r="Q61" s="126">
        <f>'Short-sea (Methanol)'!N$408</f>
        <v>5.3059199452797835E-2</v>
      </c>
      <c r="R61" s="126">
        <f>'Short-sea (Methanol)'!O$408</f>
        <v>5.0727730807034778E-2</v>
      </c>
      <c r="S61" s="126">
        <f>'Short-sea (Methanol)'!P$408</f>
        <v>4.7814859697990458E-2</v>
      </c>
      <c r="T61" s="126">
        <f>'Short-sea (Methanol)'!Q$408</f>
        <v>4.4353664621657941E-2</v>
      </c>
      <c r="U61" s="126">
        <f>'Short-sea (Methanol)'!R$408</f>
        <v>4.0484738773154831E-2</v>
      </c>
      <c r="V61" s="126">
        <f>'Short-sea (Methanol)'!S$408</f>
        <v>3.6452043278117609E-2</v>
      </c>
      <c r="W61" s="126">
        <f>'Short-sea (Methanol)'!T$408</f>
        <v>3.2550260923517177E-2</v>
      </c>
      <c r="X61" s="126">
        <f>'Short-sea (Methanol)'!U$408</f>
        <v>2.904277179769418E-2</v>
      </c>
      <c r="Y61" s="126">
        <f>'Short-sea (Methanol)'!V$408</f>
        <v>2.6095155828363421E-2</v>
      </c>
      <c r="Z61" s="126">
        <f>'Short-sea (Methanol)'!W$408</f>
        <v>2.375667307216154E-2</v>
      </c>
      <c r="AA61" s="126">
        <f>'Short-sea (Methanol)'!X$408</f>
        <v>2.1985486090995009E-2</v>
      </c>
      <c r="AB61" s="126">
        <f>'Short-sea (Methanol)'!Y$408</f>
        <v>2.0690796531241271E-2</v>
      </c>
      <c r="AC61" s="126">
        <f>'Short-sea (Methanol)'!Z$408</f>
        <v>1.9768891436999891E-2</v>
      </c>
      <c r="AD61" s="126">
        <f>'Short-sea (Methanol)'!AA$408</f>
        <v>1.912465026600936E-2</v>
      </c>
      <c r="AE61" s="126">
        <f>'Short-sea (Methanol)'!AB$408</f>
        <v>1.8680344432227748E-2</v>
      </c>
      <c r="AF61" s="126">
        <f>'Short-sea (Methanol)'!AC$408</f>
        <v>1.8376709834278825E-2</v>
      </c>
    </row>
  </sheetData>
  <autoFilter ref="A1:AF61" xr:uid="{AF8668B1-9741-4E7F-A2AD-F09AFC561265}">
    <sortState xmlns:xlrd2="http://schemas.microsoft.com/office/spreadsheetml/2017/richdata2" ref="A2:AF61">
      <sortCondition ref="A1:A61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0385E-FE16-44CE-9B43-6CF16FAFB884}">
  <dimension ref="A1:C9"/>
  <sheetViews>
    <sheetView zoomScale="120" zoomScaleNormal="120" workbookViewId="0">
      <selection activeCell="C18" sqref="C18"/>
    </sheetView>
  </sheetViews>
  <sheetFormatPr defaultRowHeight="14.4" x14ac:dyDescent="0.3"/>
  <cols>
    <col min="1" max="1" width="173.5546875" bestFit="1" customWidth="1"/>
    <col min="3" max="3" width="66.33203125" bestFit="1" customWidth="1"/>
    <col min="12" max="12" width="66.33203125" bestFit="1" customWidth="1"/>
  </cols>
  <sheetData>
    <row r="1" spans="1:3" x14ac:dyDescent="0.3">
      <c r="A1" s="125" t="s">
        <v>212</v>
      </c>
      <c r="C1" s="125" t="s">
        <v>213</v>
      </c>
    </row>
    <row r="2" spans="1:3" x14ac:dyDescent="0.3">
      <c r="A2" t="s">
        <v>229</v>
      </c>
      <c r="C2" t="s">
        <v>214</v>
      </c>
    </row>
    <row r="3" spans="1:3" x14ac:dyDescent="0.3">
      <c r="A3" t="s">
        <v>240</v>
      </c>
      <c r="C3" t="s">
        <v>215</v>
      </c>
    </row>
    <row r="4" spans="1:3" x14ac:dyDescent="0.3">
      <c r="A4" t="s">
        <v>216</v>
      </c>
      <c r="C4" t="s">
        <v>217</v>
      </c>
    </row>
    <row r="5" spans="1:3" x14ac:dyDescent="0.3">
      <c r="A5" t="s">
        <v>218</v>
      </c>
    </row>
    <row r="6" spans="1:3" x14ac:dyDescent="0.3">
      <c r="A6" t="s">
        <v>228</v>
      </c>
    </row>
    <row r="7" spans="1:3" x14ac:dyDescent="0.3">
      <c r="A7" s="132" t="s">
        <v>235</v>
      </c>
    </row>
    <row r="8" spans="1:3" x14ac:dyDescent="0.3">
      <c r="A8" t="s">
        <v>237</v>
      </c>
    </row>
    <row r="9" spans="1:3" x14ac:dyDescent="0.3">
      <c r="A9" t="s">
        <v>241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6BBC-5577-4D2C-ADFC-0FD570D8520E}">
  <sheetPr codeName="Sheet1">
    <tabColor theme="1" tint="0.249977111117893"/>
  </sheetPr>
  <dimension ref="A1:AU226"/>
  <sheetViews>
    <sheetView topLeftCell="A164" zoomScale="85" zoomScaleNormal="85" workbookViewId="0">
      <selection activeCell="B182" sqref="B182:B183"/>
    </sheetView>
  </sheetViews>
  <sheetFormatPr defaultColWidth="8.88671875" defaultRowHeight="14.4" x14ac:dyDescent="0.3"/>
  <cols>
    <col min="1" max="1" width="48.88671875" style="4" bestFit="1" customWidth="1"/>
    <col min="2" max="2" width="14" style="4" customWidth="1"/>
    <col min="3" max="3" width="12.44140625" style="4" bestFit="1" customWidth="1"/>
    <col min="4" max="4" width="7.109375" style="4" bestFit="1" customWidth="1"/>
    <col min="5" max="5" width="21.33203125" style="4" bestFit="1" customWidth="1"/>
    <col min="6" max="7" width="4.44140625" style="4" bestFit="1" customWidth="1"/>
    <col min="8" max="8" width="7" style="4" bestFit="1" customWidth="1"/>
    <col min="9" max="9" width="32.109375" style="4" bestFit="1" customWidth="1"/>
    <col min="10" max="10" width="28.33203125" style="4" customWidth="1"/>
    <col min="11" max="11" width="28.5546875" style="4" bestFit="1" customWidth="1"/>
    <col min="12" max="12" width="14.33203125" style="4" bestFit="1" customWidth="1"/>
    <col min="13" max="13" width="14.44140625" style="4" bestFit="1" customWidth="1"/>
    <col min="14" max="14" width="14.33203125" style="4" bestFit="1" customWidth="1"/>
    <col min="15" max="15" width="21.33203125" style="4" bestFit="1" customWidth="1"/>
    <col min="16" max="17" width="4.44140625" style="4" bestFit="1" customWidth="1"/>
    <col min="18" max="18" width="7" style="4" bestFit="1" customWidth="1"/>
    <col min="19" max="19" width="41.6640625" style="4" bestFit="1" customWidth="1"/>
    <col min="20" max="21" width="8.88671875" style="4"/>
    <col min="22" max="22" width="11.5546875" style="4" bestFit="1" customWidth="1"/>
    <col min="23" max="23" width="32.109375" style="4" bestFit="1" customWidth="1"/>
    <col min="24" max="24" width="12.88671875" style="4" bestFit="1" customWidth="1"/>
    <col min="25" max="25" width="27" style="4" bestFit="1" customWidth="1"/>
    <col min="26" max="26" width="14.88671875" style="4" bestFit="1" customWidth="1"/>
    <col min="27" max="27" width="8.88671875" style="4"/>
    <col min="28" max="28" width="24.44140625" style="4" bestFit="1" customWidth="1"/>
    <col min="29" max="29" width="25.5546875" style="4" bestFit="1" customWidth="1"/>
    <col min="30" max="30" width="8.88671875" style="4" customWidth="1"/>
    <col min="31" max="31" width="12.88671875" style="4" bestFit="1" customWidth="1"/>
    <col min="32" max="32" width="8.88671875" style="4"/>
    <col min="33" max="33" width="24.44140625" style="4" bestFit="1" customWidth="1"/>
    <col min="34" max="34" width="13.6640625" style="4" bestFit="1" customWidth="1"/>
    <col min="35" max="35" width="8.88671875" style="4" customWidth="1"/>
    <col min="36" max="36" width="11.44140625" style="4" bestFit="1" customWidth="1"/>
    <col min="37" max="37" width="8.88671875" style="4"/>
    <col min="38" max="38" width="24.44140625" style="4" bestFit="1" customWidth="1"/>
    <col min="39" max="39" width="13.6640625" style="4" bestFit="1" customWidth="1"/>
    <col min="40" max="40" width="8.88671875" style="4" customWidth="1"/>
    <col min="41" max="41" width="11.44140625" style="4" bestFit="1" customWidth="1"/>
    <col min="42" max="42" width="39.5546875" style="4" bestFit="1" customWidth="1"/>
    <col min="43" max="43" width="5.6640625" style="4" bestFit="1" customWidth="1"/>
    <col min="44" max="44" width="8.5546875" style="4" bestFit="1" customWidth="1"/>
    <col min="45" max="45" width="29.88671875" style="4" bestFit="1" customWidth="1"/>
    <col min="46" max="46" width="14.5546875" style="4" bestFit="1" customWidth="1"/>
    <col min="47" max="16384" width="8.88671875" style="4"/>
  </cols>
  <sheetData>
    <row r="1" spans="1:37" s="93" customFormat="1" ht="31.2" x14ac:dyDescent="0.6">
      <c r="A1" s="93" t="s">
        <v>274</v>
      </c>
      <c r="K1" s="93" t="s">
        <v>0</v>
      </c>
    </row>
    <row r="4" spans="1:37" x14ac:dyDescent="0.3">
      <c r="A4" s="95" t="s">
        <v>1</v>
      </c>
      <c r="B4" s="110"/>
    </row>
    <row r="5" spans="1:37" ht="15" thickBot="1" x14ac:dyDescent="0.35"/>
    <row r="6" spans="1:37" x14ac:dyDescent="0.3">
      <c r="E6" s="4" t="s">
        <v>2</v>
      </c>
      <c r="H6" s="4" t="s">
        <v>3</v>
      </c>
      <c r="O6" s="4" t="s">
        <v>2</v>
      </c>
      <c r="R6" s="4" t="s">
        <v>3</v>
      </c>
      <c r="W6" s="99" t="s">
        <v>4</v>
      </c>
      <c r="X6" s="100">
        <v>2023</v>
      </c>
      <c r="Y6" s="100">
        <v>2050</v>
      </c>
      <c r="Z6" s="101" t="s">
        <v>5</v>
      </c>
      <c r="AB6" s="99" t="s">
        <v>6</v>
      </c>
      <c r="AC6" s="100">
        <v>2023</v>
      </c>
      <c r="AD6" s="100">
        <v>2050</v>
      </c>
      <c r="AE6" s="101" t="s">
        <v>5</v>
      </c>
      <c r="AG6" s="99" t="s">
        <v>7</v>
      </c>
      <c r="AH6" s="100">
        <v>2023</v>
      </c>
      <c r="AI6" s="100">
        <v>2050</v>
      </c>
      <c r="AJ6" s="101" t="s">
        <v>5</v>
      </c>
    </row>
    <row r="7" spans="1:37" x14ac:dyDescent="0.3">
      <c r="A7" s="25" t="s">
        <v>278</v>
      </c>
      <c r="B7" s="4">
        <v>2023</v>
      </c>
      <c r="C7" s="4">
        <v>2050</v>
      </c>
      <c r="D7" s="4" t="s">
        <v>5</v>
      </c>
      <c r="E7" s="4" t="s">
        <v>8</v>
      </c>
      <c r="F7" s="4" t="s">
        <v>9</v>
      </c>
      <c r="G7" s="4" t="s">
        <v>10</v>
      </c>
      <c r="I7" s="117"/>
      <c r="K7" s="25" t="s">
        <v>275</v>
      </c>
      <c r="L7" s="4">
        <v>2023</v>
      </c>
      <c r="M7" s="4">
        <v>2050</v>
      </c>
      <c r="N7" s="4" t="s">
        <v>5</v>
      </c>
      <c r="O7" s="4" t="s">
        <v>8</v>
      </c>
      <c r="P7" s="4" t="s">
        <v>9</v>
      </c>
      <c r="Q7" s="4" t="s">
        <v>10</v>
      </c>
      <c r="S7" s="117"/>
      <c r="W7" s="102" t="s">
        <v>12</v>
      </c>
      <c r="X7" s="107">
        <f>$L$47</f>
        <v>100</v>
      </c>
      <c r="Y7" s="107">
        <f>$M$47</f>
        <v>350</v>
      </c>
      <c r="Z7" s="103" t="s">
        <v>13</v>
      </c>
      <c r="AB7" s="102" t="s">
        <v>12</v>
      </c>
      <c r="AC7" s="107">
        <f>$L$47</f>
        <v>100</v>
      </c>
      <c r="AD7" s="107">
        <f>$M$47</f>
        <v>350</v>
      </c>
      <c r="AE7" s="103" t="s">
        <v>13</v>
      </c>
      <c r="AG7" s="102" t="s">
        <v>12</v>
      </c>
      <c r="AH7" s="107">
        <f>$L$47</f>
        <v>100</v>
      </c>
      <c r="AI7" s="107">
        <f>$M$47</f>
        <v>350</v>
      </c>
      <c r="AJ7" s="103" t="s">
        <v>13</v>
      </c>
    </row>
    <row r="8" spans="1:37" x14ac:dyDescent="0.3">
      <c r="A8" s="4" t="s">
        <v>14</v>
      </c>
      <c r="B8" s="4">
        <v>40000</v>
      </c>
      <c r="C8" s="4">
        <v>40000</v>
      </c>
      <c r="D8" s="4" t="s">
        <v>15</v>
      </c>
      <c r="E8" s="4">
        <v>12</v>
      </c>
      <c r="F8" s="4">
        <v>0.9</v>
      </c>
      <c r="G8" s="4">
        <v>0.4</v>
      </c>
      <c r="H8" s="158" t="s">
        <v>272</v>
      </c>
      <c r="I8" s="118" t="s">
        <v>17</v>
      </c>
      <c r="K8" s="4" t="s">
        <v>18</v>
      </c>
      <c r="L8" s="4">
        <v>105000</v>
      </c>
      <c r="M8" s="4">
        <v>115000</v>
      </c>
      <c r="N8" s="4" t="s">
        <v>15</v>
      </c>
      <c r="O8" s="4">
        <v>12</v>
      </c>
      <c r="P8" s="4">
        <v>0.9</v>
      </c>
      <c r="Q8" s="4">
        <v>0.4</v>
      </c>
      <c r="R8" s="158" t="s">
        <v>9</v>
      </c>
      <c r="S8" s="120" t="s">
        <v>19</v>
      </c>
      <c r="W8" s="102" t="s">
        <v>20</v>
      </c>
      <c r="X8" s="170">
        <v>3.17</v>
      </c>
      <c r="Y8" s="170"/>
      <c r="Z8" s="103" t="s">
        <v>21</v>
      </c>
      <c r="AB8" s="102" t="s">
        <v>22</v>
      </c>
      <c r="AC8" s="4">
        <v>2.1999999999999999E-2</v>
      </c>
      <c r="AD8" s="4">
        <v>0</v>
      </c>
      <c r="AE8" s="4" t="s">
        <v>23</v>
      </c>
      <c r="AG8" s="102" t="s">
        <v>22</v>
      </c>
      <c r="AH8" s="4">
        <v>2.1999999999999999E-2</v>
      </c>
      <c r="AI8" s="4">
        <v>0</v>
      </c>
      <c r="AJ8" s="4" t="s">
        <v>23</v>
      </c>
      <c r="AK8" s="4" t="s">
        <v>24</v>
      </c>
    </row>
    <row r="9" spans="1:37" x14ac:dyDescent="0.3">
      <c r="A9" s="4" t="s">
        <v>25</v>
      </c>
      <c r="B9" s="4">
        <f>-B8*0.25</f>
        <v>-10000</v>
      </c>
      <c r="C9" s="4">
        <f>-C8*0.25</f>
        <v>-10000</v>
      </c>
      <c r="D9" s="4" t="s">
        <v>15</v>
      </c>
      <c r="E9" s="4">
        <v>12</v>
      </c>
      <c r="F9" s="4">
        <v>0.9</v>
      </c>
      <c r="G9" s="4">
        <v>0.4</v>
      </c>
      <c r="H9" s="158" t="s">
        <v>26</v>
      </c>
      <c r="I9" s="119" t="s">
        <v>27</v>
      </c>
      <c r="K9" s="4" t="s">
        <v>28</v>
      </c>
      <c r="L9" s="4">
        <f>-L8*0.25</f>
        <v>-26250</v>
      </c>
      <c r="M9" s="4">
        <f>-M8*0.15</f>
        <v>-17250</v>
      </c>
      <c r="N9" s="4" t="s">
        <v>15</v>
      </c>
      <c r="O9" s="4">
        <v>12</v>
      </c>
      <c r="P9" s="4">
        <v>0.9</v>
      </c>
      <c r="Q9" s="4">
        <v>0.4</v>
      </c>
      <c r="R9" s="158" t="s">
        <v>29</v>
      </c>
      <c r="S9" s="121" t="s">
        <v>30</v>
      </c>
      <c r="W9" s="102" t="s">
        <v>31</v>
      </c>
      <c r="X9" s="170">
        <v>11.89</v>
      </c>
      <c r="Y9" s="170"/>
      <c r="Z9" s="103" t="s">
        <v>32</v>
      </c>
      <c r="AB9" s="102" t="s">
        <v>33</v>
      </c>
      <c r="AC9" s="94">
        <v>0.61</v>
      </c>
      <c r="AD9" s="94">
        <v>0.7</v>
      </c>
      <c r="AE9" s="103" t="s">
        <v>34</v>
      </c>
      <c r="AG9" s="102" t="s">
        <v>35</v>
      </c>
      <c r="AH9" s="94">
        <v>0.95</v>
      </c>
      <c r="AI9" s="94">
        <v>0.95</v>
      </c>
      <c r="AJ9" s="103" t="s">
        <v>34</v>
      </c>
      <c r="AK9" s="4" t="s">
        <v>36</v>
      </c>
    </row>
    <row r="10" spans="1:37" x14ac:dyDescent="0.3">
      <c r="A10" s="4" t="s">
        <v>37</v>
      </c>
      <c r="B10" s="4">
        <v>70000</v>
      </c>
      <c r="C10" s="4">
        <v>70000</v>
      </c>
      <c r="D10" s="4" t="s">
        <v>38</v>
      </c>
      <c r="E10" s="4">
        <v>12</v>
      </c>
      <c r="F10" s="4">
        <v>0.9</v>
      </c>
      <c r="G10" s="4">
        <v>0.4</v>
      </c>
      <c r="H10" s="158" t="s">
        <v>39</v>
      </c>
      <c r="I10" s="118" t="s">
        <v>40</v>
      </c>
      <c r="K10" s="4" t="s">
        <v>41</v>
      </c>
      <c r="L10" s="4">
        <v>8</v>
      </c>
      <c r="M10" s="4">
        <v>8</v>
      </c>
      <c r="N10" s="4" t="s">
        <v>42</v>
      </c>
      <c r="O10" s="4">
        <v>12</v>
      </c>
      <c r="P10" s="4">
        <v>0.9</v>
      </c>
      <c r="Q10" s="4">
        <v>0.4</v>
      </c>
      <c r="R10" s="158" t="s">
        <v>43</v>
      </c>
      <c r="S10" s="117" t="s">
        <v>44</v>
      </c>
      <c r="W10" s="102" t="s">
        <v>45</v>
      </c>
      <c r="X10" s="169">
        <f>X8/X9</f>
        <v>0.26661059714045415</v>
      </c>
      <c r="Y10" s="169"/>
      <c r="Z10" s="103" t="s">
        <v>46</v>
      </c>
      <c r="AB10" s="102" t="s">
        <v>47</v>
      </c>
      <c r="AC10" s="109">
        <f>AC8/AC9</f>
        <v>3.6065573770491799E-2</v>
      </c>
      <c r="AD10" s="109">
        <f>AD8/AD9</f>
        <v>0</v>
      </c>
      <c r="AE10" s="103" t="s">
        <v>46</v>
      </c>
      <c r="AG10" s="102" t="s">
        <v>22</v>
      </c>
      <c r="AH10" s="109">
        <f>AH8/AH9</f>
        <v>2.3157894736842106E-2</v>
      </c>
      <c r="AI10" s="109">
        <f>AI8/AI9</f>
        <v>0</v>
      </c>
      <c r="AJ10" s="103" t="s">
        <v>46</v>
      </c>
    </row>
    <row r="11" spans="1:37" x14ac:dyDescent="0.3">
      <c r="A11" s="4" t="s">
        <v>48</v>
      </c>
      <c r="B11" s="4">
        <v>25</v>
      </c>
      <c r="C11" s="4">
        <v>25</v>
      </c>
      <c r="D11" s="4" t="s">
        <v>49</v>
      </c>
      <c r="E11" s="4">
        <v>12</v>
      </c>
      <c r="F11" s="4">
        <v>0.9</v>
      </c>
      <c r="G11" s="4">
        <v>0.4</v>
      </c>
      <c r="H11" s="158" t="s">
        <v>50</v>
      </c>
      <c r="I11" s="118" t="s">
        <v>51</v>
      </c>
      <c r="K11" s="4" t="s">
        <v>52</v>
      </c>
      <c r="L11" s="4">
        <v>20000</v>
      </c>
      <c r="M11" s="4">
        <v>20000</v>
      </c>
      <c r="N11" s="4" t="s">
        <v>38</v>
      </c>
      <c r="O11" s="4">
        <v>12</v>
      </c>
      <c r="P11" s="4">
        <v>0.9</v>
      </c>
      <c r="Q11" s="4">
        <v>0.4</v>
      </c>
      <c r="R11" s="158" t="s">
        <v>9</v>
      </c>
      <c r="S11" s="118" t="s">
        <v>53</v>
      </c>
      <c r="W11" s="102" t="s">
        <v>54</v>
      </c>
      <c r="X11" s="4">
        <f>L12*X10</f>
        <v>0.77317073170731698</v>
      </c>
      <c r="Y11" s="4">
        <f>M12*X10</f>
        <v>0.63986543313708999</v>
      </c>
      <c r="Z11" s="103" t="s">
        <v>55</v>
      </c>
      <c r="AB11" s="102" t="s">
        <v>54</v>
      </c>
      <c r="AC11" s="4">
        <f>AC10*L36</f>
        <v>9.1245901639344248E-2</v>
      </c>
      <c r="AD11" s="4">
        <f>AD10*M36</f>
        <v>0</v>
      </c>
      <c r="AE11" s="103" t="s">
        <v>55</v>
      </c>
      <c r="AG11" s="102" t="s">
        <v>54</v>
      </c>
      <c r="AH11" s="4">
        <f>AH10*L24</f>
        <v>3.5200000000000002E-2</v>
      </c>
      <c r="AI11" s="4">
        <f>AI10*M24</f>
        <v>0</v>
      </c>
      <c r="AJ11" s="103" t="s">
        <v>55</v>
      </c>
    </row>
    <row r="12" spans="1:37" ht="15" thickBot="1" x14ac:dyDescent="0.35">
      <c r="A12" s="4" t="s">
        <v>56</v>
      </c>
      <c r="B12" s="4">
        <v>0.42</v>
      </c>
      <c r="C12" s="4">
        <v>0.42</v>
      </c>
      <c r="D12" s="4" t="s">
        <v>57</v>
      </c>
      <c r="E12" s="4">
        <v>12</v>
      </c>
      <c r="F12" s="4">
        <v>0.9</v>
      </c>
      <c r="G12" s="4">
        <v>0.4</v>
      </c>
      <c r="H12" s="158" t="s">
        <v>16</v>
      </c>
      <c r="I12" s="118" t="s">
        <v>58</v>
      </c>
      <c r="K12" s="4" t="s">
        <v>59</v>
      </c>
      <c r="L12" s="4">
        <v>2.9</v>
      </c>
      <c r="M12" s="4">
        <v>2.4</v>
      </c>
      <c r="N12" s="4" t="s">
        <v>60</v>
      </c>
      <c r="O12" s="4">
        <v>12</v>
      </c>
      <c r="P12" s="4">
        <v>0.9</v>
      </c>
      <c r="Q12" s="4">
        <v>0.4</v>
      </c>
      <c r="R12" s="158" t="s">
        <v>9</v>
      </c>
      <c r="S12" s="118" t="s">
        <v>61</v>
      </c>
      <c r="W12" s="104" t="s">
        <v>62</v>
      </c>
      <c r="X12" s="105">
        <f>X7/1000*X11</f>
        <v>7.7317073170731707E-2</v>
      </c>
      <c r="Y12" s="105">
        <f>Y11/1000*Y7</f>
        <v>0.22395290159798151</v>
      </c>
      <c r="Z12" s="106" t="s">
        <v>63</v>
      </c>
      <c r="AB12" s="104" t="s">
        <v>62</v>
      </c>
      <c r="AC12" s="105">
        <f>AC7/1000*AC11</f>
        <v>9.1245901639344252E-3</v>
      </c>
      <c r="AD12" s="105">
        <f>AD11/1000*AD7</f>
        <v>0</v>
      </c>
      <c r="AE12" s="106" t="s">
        <v>63</v>
      </c>
      <c r="AG12" s="104" t="s">
        <v>62</v>
      </c>
      <c r="AH12" s="105">
        <f>AH7/1000*AH11</f>
        <v>3.5200000000000006E-3</v>
      </c>
      <c r="AI12" s="105">
        <f>AI11/1000*AI7</f>
        <v>0</v>
      </c>
      <c r="AJ12" s="106" t="s">
        <v>63</v>
      </c>
    </row>
    <row r="13" spans="1:37" x14ac:dyDescent="0.3">
      <c r="A13" s="4" t="s">
        <v>64</v>
      </c>
      <c r="B13" s="4">
        <v>55000</v>
      </c>
      <c r="C13" s="4">
        <v>55000</v>
      </c>
      <c r="D13" s="4" t="s">
        <v>65</v>
      </c>
      <c r="E13" s="4">
        <v>12</v>
      </c>
      <c r="F13" s="4">
        <v>0.9</v>
      </c>
      <c r="G13" s="4">
        <v>0.4</v>
      </c>
      <c r="H13" s="158" t="s">
        <v>16</v>
      </c>
      <c r="I13" s="118" t="s">
        <v>66</v>
      </c>
      <c r="K13" s="4" t="s">
        <v>67</v>
      </c>
      <c r="L13" s="4">
        <v>0.1</v>
      </c>
      <c r="M13" s="4">
        <v>0.1</v>
      </c>
      <c r="N13" s="4" t="s">
        <v>68</v>
      </c>
      <c r="O13" s="4">
        <v>12</v>
      </c>
      <c r="P13" s="4">
        <v>0.9</v>
      </c>
      <c r="Q13" s="4">
        <v>0.4</v>
      </c>
      <c r="R13" s="158" t="s">
        <v>262</v>
      </c>
      <c r="S13" s="124" t="s">
        <v>264</v>
      </c>
    </row>
    <row r="14" spans="1:37" x14ac:dyDescent="0.3">
      <c r="A14" s="4" t="s">
        <v>70</v>
      </c>
      <c r="B14" s="4">
        <v>10</v>
      </c>
      <c r="C14" s="4">
        <v>10</v>
      </c>
      <c r="D14" s="4" t="s">
        <v>42</v>
      </c>
      <c r="E14" s="4">
        <v>12</v>
      </c>
      <c r="F14" s="4">
        <v>0.9</v>
      </c>
      <c r="G14" s="4">
        <v>0.4</v>
      </c>
      <c r="H14" s="158" t="s">
        <v>71</v>
      </c>
      <c r="I14" s="118" t="s">
        <v>72</v>
      </c>
      <c r="K14" s="4" t="s">
        <v>73</v>
      </c>
      <c r="L14" s="4">
        <v>0</v>
      </c>
      <c r="M14" s="4">
        <v>0</v>
      </c>
      <c r="N14" s="4" t="s">
        <v>57</v>
      </c>
      <c r="O14" s="4">
        <v>12</v>
      </c>
      <c r="P14" s="4">
        <v>0.9</v>
      </c>
      <c r="Q14" s="4">
        <v>0.4</v>
      </c>
      <c r="R14" s="158" t="s">
        <v>50</v>
      </c>
      <c r="S14" s="118" t="s">
        <v>74</v>
      </c>
    </row>
    <row r="15" spans="1:37" x14ac:dyDescent="0.3">
      <c r="A15" s="4" t="s">
        <v>273</v>
      </c>
      <c r="B15" s="4">
        <v>0.11</v>
      </c>
      <c r="C15" s="4">
        <v>0.11</v>
      </c>
      <c r="D15" s="4" t="s">
        <v>76</v>
      </c>
      <c r="E15" s="4">
        <v>12</v>
      </c>
      <c r="F15" s="4">
        <v>0.9</v>
      </c>
      <c r="G15" s="4">
        <v>0.4</v>
      </c>
      <c r="H15" s="158" t="s">
        <v>77</v>
      </c>
      <c r="I15" s="118" t="s">
        <v>78</v>
      </c>
      <c r="K15" s="4" t="s">
        <v>79</v>
      </c>
      <c r="L15" s="4">
        <v>0.06</v>
      </c>
      <c r="M15" s="4">
        <v>0.06</v>
      </c>
      <c r="N15" s="4" t="s">
        <v>57</v>
      </c>
      <c r="O15" s="4">
        <v>12</v>
      </c>
      <c r="P15" s="4">
        <v>0.9</v>
      </c>
      <c r="Q15" s="4">
        <v>0.4</v>
      </c>
      <c r="R15" s="158" t="s">
        <v>77</v>
      </c>
      <c r="S15" s="122" t="s">
        <v>74</v>
      </c>
      <c r="W15" s="4" t="s">
        <v>26</v>
      </c>
      <c r="X15" s="4" t="s">
        <v>80</v>
      </c>
    </row>
    <row r="16" spans="1:37" x14ac:dyDescent="0.3">
      <c r="I16" s="118"/>
      <c r="K16" s="4" t="s">
        <v>81</v>
      </c>
      <c r="L16" s="4">
        <f>X12</f>
        <v>7.7317073170731707E-2</v>
      </c>
      <c r="M16" s="4">
        <f>Y12</f>
        <v>0.22395290159798151</v>
      </c>
      <c r="N16" s="4" t="s">
        <v>76</v>
      </c>
      <c r="O16" s="4">
        <v>17</v>
      </c>
      <c r="P16" s="4">
        <f>$P$47</f>
        <v>0.9</v>
      </c>
      <c r="Q16" s="4">
        <f>$Q$47</f>
        <v>0.4</v>
      </c>
      <c r="R16" s="158" t="s">
        <v>265</v>
      </c>
      <c r="S16" s="118" t="s">
        <v>83</v>
      </c>
      <c r="W16" s="4" t="s">
        <v>9</v>
      </c>
      <c r="X16" s="4" t="s">
        <v>84</v>
      </c>
    </row>
    <row r="17" spans="1:35" x14ac:dyDescent="0.3">
      <c r="I17" s="118"/>
      <c r="S17" s="118"/>
      <c r="W17" s="4" t="s">
        <v>16</v>
      </c>
      <c r="X17" s="4" t="s">
        <v>85</v>
      </c>
    </row>
    <row r="18" spans="1:35" x14ac:dyDescent="0.3">
      <c r="E18" s="4" t="s">
        <v>2</v>
      </c>
      <c r="H18" s="4" t="s">
        <v>3</v>
      </c>
      <c r="I18" s="118"/>
      <c r="O18" s="4" t="s">
        <v>2</v>
      </c>
      <c r="R18" s="4" t="s">
        <v>3</v>
      </c>
      <c r="S18" s="118"/>
      <c r="W18" s="4" t="s">
        <v>43</v>
      </c>
      <c r="X18" s="4" t="s">
        <v>86</v>
      </c>
    </row>
    <row r="19" spans="1:35" x14ac:dyDescent="0.3">
      <c r="A19" s="25" t="s">
        <v>279</v>
      </c>
      <c r="B19" s="4">
        <v>2023</v>
      </c>
      <c r="C19" s="4">
        <v>2050</v>
      </c>
      <c r="D19" s="4" t="s">
        <v>5</v>
      </c>
      <c r="E19" s="4" t="s">
        <v>8</v>
      </c>
      <c r="F19" s="4" t="s">
        <v>9</v>
      </c>
      <c r="G19" s="4" t="s">
        <v>10</v>
      </c>
      <c r="I19" s="118"/>
      <c r="K19" s="25" t="s">
        <v>276</v>
      </c>
      <c r="L19" s="4">
        <v>2023</v>
      </c>
      <c r="M19" s="4">
        <v>2050</v>
      </c>
      <c r="N19" s="4" t="s">
        <v>5</v>
      </c>
      <c r="O19" s="4" t="s">
        <v>8</v>
      </c>
      <c r="P19" s="4" t="s">
        <v>9</v>
      </c>
      <c r="Q19" s="4" t="s">
        <v>10</v>
      </c>
      <c r="S19" s="118"/>
      <c r="W19" s="4" t="s">
        <v>77</v>
      </c>
      <c r="X19" s="4" t="s">
        <v>88</v>
      </c>
    </row>
    <row r="20" spans="1:35" x14ac:dyDescent="0.3">
      <c r="A20" s="4" t="s">
        <v>14</v>
      </c>
      <c r="B20" s="4">
        <v>60000</v>
      </c>
      <c r="C20" s="4">
        <v>60000</v>
      </c>
      <c r="D20" s="4" t="s">
        <v>15</v>
      </c>
      <c r="E20" s="4">
        <v>12</v>
      </c>
      <c r="F20" s="4">
        <v>0.9</v>
      </c>
      <c r="G20" s="4">
        <v>0.4</v>
      </c>
      <c r="H20" s="158" t="s">
        <v>272</v>
      </c>
      <c r="I20" s="118" t="s">
        <v>17</v>
      </c>
      <c r="K20" s="4" t="s">
        <v>18</v>
      </c>
      <c r="L20" s="4">
        <v>400000</v>
      </c>
      <c r="M20" s="4">
        <v>145000</v>
      </c>
      <c r="N20" s="4" t="s">
        <v>15</v>
      </c>
      <c r="O20" s="4">
        <v>8</v>
      </c>
      <c r="P20" s="4">
        <v>0.9</v>
      </c>
      <c r="Q20" s="4">
        <v>0.4</v>
      </c>
      <c r="R20" s="158" t="s">
        <v>9</v>
      </c>
      <c r="S20" s="118" t="s">
        <v>89</v>
      </c>
      <c r="W20" s="4" t="s">
        <v>71</v>
      </c>
      <c r="X20" s="4" t="s">
        <v>90</v>
      </c>
    </row>
    <row r="21" spans="1:35" x14ac:dyDescent="0.3">
      <c r="A21" s="4" t="s">
        <v>25</v>
      </c>
      <c r="B21" s="4">
        <f>-B20*0.25</f>
        <v>-15000</v>
      </c>
      <c r="C21" s="4">
        <f>-C20*0.25</f>
        <v>-15000</v>
      </c>
      <c r="D21" s="4" t="s">
        <v>15</v>
      </c>
      <c r="E21" s="4">
        <v>12</v>
      </c>
      <c r="F21" s="4">
        <v>0.9</v>
      </c>
      <c r="G21" s="4">
        <v>0.4</v>
      </c>
      <c r="H21" s="158" t="s">
        <v>26</v>
      </c>
      <c r="I21" s="119" t="s">
        <v>27</v>
      </c>
      <c r="K21" s="4" t="s">
        <v>28</v>
      </c>
      <c r="L21" s="4">
        <f>-L20*0.15</f>
        <v>-60000</v>
      </c>
      <c r="M21" s="4">
        <f>-M20*0.25</f>
        <v>-36250</v>
      </c>
      <c r="N21" s="4" t="s">
        <v>15</v>
      </c>
      <c r="O21" s="4">
        <v>8</v>
      </c>
      <c r="P21" s="4">
        <v>0.9</v>
      </c>
      <c r="Q21" s="4">
        <v>0.4</v>
      </c>
      <c r="R21" s="158" t="s">
        <v>29</v>
      </c>
      <c r="S21" s="121" t="s">
        <v>91</v>
      </c>
      <c r="W21" s="4" t="s">
        <v>50</v>
      </c>
      <c r="X21" s="4" t="s">
        <v>92</v>
      </c>
    </row>
    <row r="22" spans="1:35" x14ac:dyDescent="0.3">
      <c r="A22" s="4" t="s">
        <v>37</v>
      </c>
      <c r="B22" s="4">
        <v>70000</v>
      </c>
      <c r="C22" s="4">
        <v>70000</v>
      </c>
      <c r="D22" s="4" t="s">
        <v>38</v>
      </c>
      <c r="E22" s="4">
        <v>12</v>
      </c>
      <c r="F22" s="4">
        <v>0.9</v>
      </c>
      <c r="G22" s="4">
        <v>0.4</v>
      </c>
      <c r="H22" s="158" t="s">
        <v>39</v>
      </c>
      <c r="I22" s="118" t="s">
        <v>40</v>
      </c>
      <c r="K22" s="4" t="s">
        <v>41</v>
      </c>
      <c r="L22" s="4">
        <v>8</v>
      </c>
      <c r="M22" s="4">
        <v>8</v>
      </c>
      <c r="N22" s="4" t="s">
        <v>42</v>
      </c>
      <c r="O22" s="4">
        <v>8</v>
      </c>
      <c r="P22" s="4">
        <v>0.9</v>
      </c>
      <c r="Q22" s="4">
        <v>0.4</v>
      </c>
      <c r="R22" s="158" t="s">
        <v>43</v>
      </c>
      <c r="S22" s="117" t="s">
        <v>44</v>
      </c>
      <c r="W22" s="4" t="s">
        <v>82</v>
      </c>
      <c r="X22" s="4" t="s">
        <v>93</v>
      </c>
    </row>
    <row r="23" spans="1:35" x14ac:dyDescent="0.3">
      <c r="A23" s="4" t="s">
        <v>48</v>
      </c>
      <c r="B23" s="4">
        <v>25</v>
      </c>
      <c r="C23" s="4">
        <v>25</v>
      </c>
      <c r="D23" s="4" t="s">
        <v>49</v>
      </c>
      <c r="E23" s="4">
        <v>12</v>
      </c>
      <c r="F23" s="4">
        <v>0.9</v>
      </c>
      <c r="G23" s="4">
        <v>0.4</v>
      </c>
      <c r="H23" s="158" t="s">
        <v>50</v>
      </c>
      <c r="I23" s="118" t="s">
        <v>51</v>
      </c>
      <c r="K23" s="4" t="s">
        <v>52</v>
      </c>
      <c r="L23" s="4">
        <v>15000</v>
      </c>
      <c r="M23" s="4">
        <v>15000</v>
      </c>
      <c r="N23" s="4" t="s">
        <v>38</v>
      </c>
      <c r="O23" s="4">
        <v>8</v>
      </c>
      <c r="P23" s="4">
        <v>0.9</v>
      </c>
      <c r="Q23" s="4">
        <v>0.4</v>
      </c>
      <c r="R23" s="158" t="s">
        <v>9</v>
      </c>
      <c r="S23" s="118" t="s">
        <v>94</v>
      </c>
      <c r="W23" s="4" t="s">
        <v>95</v>
      </c>
      <c r="X23" s="110" t="s">
        <v>24</v>
      </c>
      <c r="AI23" s="25"/>
    </row>
    <row r="24" spans="1:35" x14ac:dyDescent="0.3">
      <c r="A24" s="4" t="s">
        <v>56</v>
      </c>
      <c r="B24" s="4">
        <v>0.48</v>
      </c>
      <c r="C24" s="4">
        <v>0.48</v>
      </c>
      <c r="D24" s="4" t="s">
        <v>57</v>
      </c>
      <c r="E24" s="4">
        <v>12</v>
      </c>
      <c r="F24" s="4">
        <v>0.9</v>
      </c>
      <c r="G24" s="4">
        <v>0.4</v>
      </c>
      <c r="H24" s="158" t="s">
        <v>16</v>
      </c>
      <c r="I24" s="118" t="s">
        <v>96</v>
      </c>
      <c r="K24" s="4" t="s">
        <v>59</v>
      </c>
      <c r="L24" s="4">
        <v>1.52</v>
      </c>
      <c r="M24" s="4">
        <v>1.1499999999999999</v>
      </c>
      <c r="N24" s="4" t="s">
        <v>60</v>
      </c>
      <c r="O24" s="4">
        <v>8</v>
      </c>
      <c r="P24" s="4">
        <v>0.9</v>
      </c>
      <c r="Q24" s="4">
        <v>0.4</v>
      </c>
      <c r="R24" s="158" t="s">
        <v>9</v>
      </c>
      <c r="S24" s="118" t="s">
        <v>74</v>
      </c>
      <c r="W24" s="4" t="s">
        <v>97</v>
      </c>
      <c r="X24" s="4" t="s">
        <v>36</v>
      </c>
    </row>
    <row r="25" spans="1:35" x14ac:dyDescent="0.3">
      <c r="A25" s="4" t="s">
        <v>64</v>
      </c>
      <c r="B25" s="4">
        <v>110000</v>
      </c>
      <c r="C25" s="4">
        <v>110000</v>
      </c>
      <c r="D25" s="4" t="s">
        <v>65</v>
      </c>
      <c r="E25" s="4">
        <v>12</v>
      </c>
      <c r="F25" s="4">
        <v>0.9</v>
      </c>
      <c r="G25" s="4">
        <v>0.4</v>
      </c>
      <c r="H25" s="158" t="s">
        <v>16</v>
      </c>
      <c r="I25" s="118" t="s">
        <v>98</v>
      </c>
      <c r="K25" s="4" t="s">
        <v>67</v>
      </c>
      <c r="L25" s="65">
        <v>9.2586511082899101E-2</v>
      </c>
      <c r="M25" s="65">
        <v>7.3304790352502799E-2</v>
      </c>
      <c r="N25" s="4" t="s">
        <v>68</v>
      </c>
      <c r="O25" s="4">
        <v>12</v>
      </c>
      <c r="P25" s="4">
        <v>0.9</v>
      </c>
      <c r="Q25" s="4">
        <v>0.4</v>
      </c>
      <c r="R25" s="158" t="s">
        <v>77</v>
      </c>
      <c r="S25" s="118" t="s">
        <v>302</v>
      </c>
      <c r="W25" s="4" t="s">
        <v>69</v>
      </c>
      <c r="X25" s="4" t="s">
        <v>99</v>
      </c>
    </row>
    <row r="26" spans="1:35" x14ac:dyDescent="0.3">
      <c r="A26" s="4" t="s">
        <v>70</v>
      </c>
      <c r="B26" s="4">
        <v>10</v>
      </c>
      <c r="C26" s="4">
        <v>10</v>
      </c>
      <c r="D26" s="4" t="s">
        <v>42</v>
      </c>
      <c r="E26" s="4">
        <v>12</v>
      </c>
      <c r="F26" s="4">
        <v>0.9</v>
      </c>
      <c r="G26" s="4">
        <v>0.4</v>
      </c>
      <c r="H26" s="158" t="s">
        <v>71</v>
      </c>
      <c r="I26" s="118" t="s">
        <v>72</v>
      </c>
      <c r="K26" s="4" t="s">
        <v>73</v>
      </c>
      <c r="L26" s="4">
        <v>0.1</v>
      </c>
      <c r="M26" s="4">
        <v>0.05</v>
      </c>
      <c r="N26" s="4" t="s">
        <v>57</v>
      </c>
      <c r="O26" s="4">
        <v>12</v>
      </c>
      <c r="P26" s="4">
        <v>0.9</v>
      </c>
      <c r="Q26" s="4">
        <v>0.4</v>
      </c>
      <c r="R26" s="158" t="s">
        <v>268</v>
      </c>
      <c r="S26" s="118" t="s">
        <v>100</v>
      </c>
      <c r="W26" s="4" t="s">
        <v>10</v>
      </c>
      <c r="X26" s="4" t="s">
        <v>101</v>
      </c>
    </row>
    <row r="27" spans="1:35" x14ac:dyDescent="0.3">
      <c r="A27" s="4" t="s">
        <v>273</v>
      </c>
      <c r="B27" s="4">
        <v>0.11</v>
      </c>
      <c r="C27" s="4">
        <v>0.11</v>
      </c>
      <c r="D27" s="4" t="s">
        <v>76</v>
      </c>
      <c r="E27" s="4">
        <v>12</v>
      </c>
      <c r="F27" s="4">
        <v>0.9</v>
      </c>
      <c r="G27" s="4">
        <v>0.4</v>
      </c>
      <c r="H27" s="158" t="s">
        <v>77</v>
      </c>
      <c r="I27" s="118" t="s">
        <v>78</v>
      </c>
      <c r="K27" s="4" t="s">
        <v>79</v>
      </c>
      <c r="L27" s="4">
        <v>0.06</v>
      </c>
      <c r="M27" s="4">
        <v>0.06</v>
      </c>
      <c r="N27" s="4" t="s">
        <v>57</v>
      </c>
      <c r="O27" s="4">
        <v>12</v>
      </c>
      <c r="P27" s="4">
        <v>0.9</v>
      </c>
      <c r="Q27" s="4">
        <v>0.4</v>
      </c>
      <c r="R27" s="158" t="s">
        <v>77</v>
      </c>
      <c r="S27" s="122" t="s">
        <v>74</v>
      </c>
      <c r="W27" s="4" t="s">
        <v>262</v>
      </c>
      <c r="X27" s="4" t="s">
        <v>263</v>
      </c>
    </row>
    <row r="28" spans="1:35" x14ac:dyDescent="0.3">
      <c r="I28" s="118"/>
      <c r="K28" s="4" t="s">
        <v>81</v>
      </c>
      <c r="L28" s="4">
        <f>AH12</f>
        <v>3.5200000000000006E-3</v>
      </c>
      <c r="M28" s="4">
        <f>AI12</f>
        <v>0</v>
      </c>
      <c r="N28" s="4" t="s">
        <v>76</v>
      </c>
      <c r="O28" s="4">
        <f>$O$47</f>
        <v>17</v>
      </c>
      <c r="P28" s="4">
        <f>$P$47</f>
        <v>0.9</v>
      </c>
      <c r="Q28" s="4">
        <f>$Q$47</f>
        <v>0.4</v>
      </c>
      <c r="R28" s="158" t="s">
        <v>330</v>
      </c>
      <c r="S28" s="118" t="s">
        <v>102</v>
      </c>
      <c r="W28" s="4" t="s">
        <v>266</v>
      </c>
      <c r="X28" s="4" t="s">
        <v>267</v>
      </c>
    </row>
    <row r="29" spans="1:35" x14ac:dyDescent="0.3">
      <c r="I29" s="118"/>
      <c r="S29" s="118"/>
      <c r="W29" s="4" t="s">
        <v>271</v>
      </c>
      <c r="X29" s="4" t="s">
        <v>270</v>
      </c>
    </row>
    <row r="30" spans="1:35" x14ac:dyDescent="0.3">
      <c r="I30" s="118"/>
      <c r="O30" s="4" t="s">
        <v>2</v>
      </c>
      <c r="R30" s="4" t="s">
        <v>3</v>
      </c>
      <c r="S30" s="118"/>
    </row>
    <row r="31" spans="1:35" x14ac:dyDescent="0.3">
      <c r="E31" s="4" t="s">
        <v>2</v>
      </c>
      <c r="H31" s="4" t="s">
        <v>3</v>
      </c>
      <c r="I31" s="118"/>
      <c r="K31" s="25" t="s">
        <v>277</v>
      </c>
      <c r="L31" s="4">
        <v>2023</v>
      </c>
      <c r="M31" s="4">
        <v>2050</v>
      </c>
      <c r="N31" s="4" t="s">
        <v>5</v>
      </c>
      <c r="O31" s="4" t="s">
        <v>8</v>
      </c>
      <c r="P31" s="4" t="s">
        <v>9</v>
      </c>
      <c r="Q31" s="4" t="s">
        <v>10</v>
      </c>
      <c r="S31" s="118"/>
    </row>
    <row r="32" spans="1:35" x14ac:dyDescent="0.3">
      <c r="A32" s="25" t="s">
        <v>280</v>
      </c>
      <c r="B32" s="4">
        <v>2023</v>
      </c>
      <c r="C32" s="4">
        <v>2050</v>
      </c>
      <c r="D32" s="4" t="s">
        <v>5</v>
      </c>
      <c r="E32" s="4" t="s">
        <v>8</v>
      </c>
      <c r="F32" s="4" t="s">
        <v>9</v>
      </c>
      <c r="G32" s="4" t="s">
        <v>10</v>
      </c>
      <c r="I32" s="118"/>
      <c r="K32" s="4" t="s">
        <v>18</v>
      </c>
      <c r="L32" s="4">
        <v>390000</v>
      </c>
      <c r="M32" s="4">
        <v>155000</v>
      </c>
      <c r="N32" s="4" t="s">
        <v>15</v>
      </c>
      <c r="O32" s="4">
        <v>9</v>
      </c>
      <c r="P32" s="4">
        <v>0.9</v>
      </c>
      <c r="Q32" s="4">
        <v>0.4</v>
      </c>
      <c r="R32" s="158" t="s">
        <v>9</v>
      </c>
      <c r="S32" s="118" t="s">
        <v>104</v>
      </c>
    </row>
    <row r="33" spans="1:19" x14ac:dyDescent="0.3">
      <c r="A33" s="4" t="s">
        <v>14</v>
      </c>
      <c r="B33" s="4">
        <v>30000</v>
      </c>
      <c r="C33" s="4">
        <v>30000</v>
      </c>
      <c r="D33" s="4" t="s">
        <v>15</v>
      </c>
      <c r="E33" s="4">
        <v>12</v>
      </c>
      <c r="F33" s="4">
        <v>0.9</v>
      </c>
      <c r="G33" s="4">
        <v>0.4</v>
      </c>
      <c r="H33" s="158" t="s">
        <v>272</v>
      </c>
      <c r="I33" s="118" t="s">
        <v>17</v>
      </c>
      <c r="K33" s="4" t="s">
        <v>28</v>
      </c>
      <c r="L33" s="4">
        <f>-L32*0.15</f>
        <v>-58500</v>
      </c>
      <c r="M33" s="4">
        <f>-M32*0.25</f>
        <v>-38750</v>
      </c>
      <c r="N33" s="4" t="s">
        <v>15</v>
      </c>
      <c r="O33" s="4">
        <v>9</v>
      </c>
      <c r="P33" s="4">
        <v>0.9</v>
      </c>
      <c r="Q33" s="4">
        <v>0.4</v>
      </c>
      <c r="R33" s="158" t="s">
        <v>29</v>
      </c>
      <c r="S33" s="121" t="s">
        <v>91</v>
      </c>
    </row>
    <row r="34" spans="1:19" x14ac:dyDescent="0.3">
      <c r="A34" s="4" t="s">
        <v>25</v>
      </c>
      <c r="B34" s="4">
        <f>-B33*0.25</f>
        <v>-7500</v>
      </c>
      <c r="C34" s="4">
        <f>-C33*0.25</f>
        <v>-7500</v>
      </c>
      <c r="D34" s="4" t="s">
        <v>15</v>
      </c>
      <c r="E34" s="4">
        <v>12</v>
      </c>
      <c r="F34" s="4">
        <v>0.9</v>
      </c>
      <c r="G34" s="4">
        <v>0.4</v>
      </c>
      <c r="H34" s="158" t="s">
        <v>26</v>
      </c>
      <c r="I34" s="119" t="s">
        <v>27</v>
      </c>
      <c r="K34" s="4" t="s">
        <v>41</v>
      </c>
      <c r="L34" s="4">
        <v>8</v>
      </c>
      <c r="M34" s="4">
        <v>8</v>
      </c>
      <c r="N34" s="4" t="s">
        <v>42</v>
      </c>
      <c r="O34" s="4">
        <v>9</v>
      </c>
      <c r="P34" s="4">
        <v>0.9</v>
      </c>
      <c r="Q34" s="4">
        <v>0.4</v>
      </c>
      <c r="R34" s="158" t="s">
        <v>43</v>
      </c>
      <c r="S34" s="117" t="s">
        <v>44</v>
      </c>
    </row>
    <row r="35" spans="1:19" x14ac:dyDescent="0.3">
      <c r="A35" s="4" t="s">
        <v>37</v>
      </c>
      <c r="B35" s="4">
        <v>70000</v>
      </c>
      <c r="C35" s="4">
        <v>70000</v>
      </c>
      <c r="D35" s="4" t="s">
        <v>38</v>
      </c>
      <c r="E35" s="4">
        <v>12</v>
      </c>
      <c r="F35" s="4">
        <v>0.9</v>
      </c>
      <c r="G35" s="4">
        <v>0.4</v>
      </c>
      <c r="H35" s="158" t="s">
        <v>39</v>
      </c>
      <c r="I35" s="118" t="s">
        <v>40</v>
      </c>
      <c r="K35" s="4" t="s">
        <v>52</v>
      </c>
      <c r="L35" s="4">
        <v>26000</v>
      </c>
      <c r="M35" s="4">
        <v>18000</v>
      </c>
      <c r="N35" s="4" t="s">
        <v>38</v>
      </c>
      <c r="O35" s="4">
        <v>9</v>
      </c>
      <c r="P35" s="4">
        <v>0.9</v>
      </c>
      <c r="Q35" s="4">
        <v>0.4</v>
      </c>
      <c r="R35" s="158" t="s">
        <v>9</v>
      </c>
      <c r="S35" s="118" t="s">
        <v>105</v>
      </c>
    </row>
    <row r="36" spans="1:19" x14ac:dyDescent="0.3">
      <c r="A36" s="4" t="s">
        <v>48</v>
      </c>
      <c r="B36" s="4">
        <v>25</v>
      </c>
      <c r="C36" s="4">
        <v>25</v>
      </c>
      <c r="D36" s="4" t="s">
        <v>49</v>
      </c>
      <c r="E36" s="4">
        <v>12</v>
      </c>
      <c r="F36" s="4">
        <v>0.9</v>
      </c>
      <c r="G36" s="4">
        <v>0.4</v>
      </c>
      <c r="H36" s="158" t="s">
        <v>50</v>
      </c>
      <c r="I36" s="118" t="s">
        <v>51</v>
      </c>
      <c r="K36" s="4" t="s">
        <v>59</v>
      </c>
      <c r="L36" s="4">
        <v>2.5299999999999998</v>
      </c>
      <c r="M36" s="4">
        <v>1.79</v>
      </c>
      <c r="N36" s="4" t="s">
        <v>60</v>
      </c>
      <c r="O36" s="4">
        <v>9</v>
      </c>
      <c r="P36" s="4">
        <v>0.9</v>
      </c>
      <c r="Q36" s="4">
        <v>0.4</v>
      </c>
      <c r="R36" s="158" t="s">
        <v>9</v>
      </c>
      <c r="S36" s="118" t="s">
        <v>106</v>
      </c>
    </row>
    <row r="37" spans="1:19" x14ac:dyDescent="0.3">
      <c r="A37" s="4" t="s">
        <v>56</v>
      </c>
      <c r="B37" s="4">
        <v>0.46</v>
      </c>
      <c r="C37" s="4">
        <v>0.46</v>
      </c>
      <c r="D37" s="4" t="s">
        <v>57</v>
      </c>
      <c r="E37" s="4">
        <v>12</v>
      </c>
      <c r="F37" s="4">
        <v>0.9</v>
      </c>
      <c r="G37" s="4">
        <v>0.4</v>
      </c>
      <c r="H37" s="158" t="s">
        <v>16</v>
      </c>
      <c r="I37" s="118" t="s">
        <v>107</v>
      </c>
      <c r="K37" s="4" t="s">
        <v>67</v>
      </c>
      <c r="L37" s="65">
        <v>0.21633448448114301</v>
      </c>
      <c r="M37" s="65">
        <v>0.101814693285632</v>
      </c>
      <c r="N37" s="4" t="s">
        <v>68</v>
      </c>
      <c r="O37" s="4">
        <v>12</v>
      </c>
      <c r="P37" s="4">
        <v>0.9</v>
      </c>
      <c r="Q37" s="4">
        <v>0.4</v>
      </c>
      <c r="R37" s="158" t="s">
        <v>77</v>
      </c>
      <c r="S37" s="118" t="s">
        <v>301</v>
      </c>
    </row>
    <row r="38" spans="1:19" x14ac:dyDescent="0.3">
      <c r="A38" s="4" t="s">
        <v>64</v>
      </c>
      <c r="B38" s="4">
        <v>105000</v>
      </c>
      <c r="C38" s="4">
        <v>105000</v>
      </c>
      <c r="D38" s="4" t="s">
        <v>65</v>
      </c>
      <c r="E38" s="4">
        <v>12</v>
      </c>
      <c r="F38" s="4">
        <v>0.9</v>
      </c>
      <c r="G38" s="4">
        <v>0.4</v>
      </c>
      <c r="H38" s="158" t="s">
        <v>16</v>
      </c>
      <c r="I38" s="118" t="s">
        <v>108</v>
      </c>
      <c r="K38" s="4" t="s">
        <v>73</v>
      </c>
      <c r="L38" s="4">
        <v>0.05</v>
      </c>
      <c r="M38" s="4">
        <v>0.02</v>
      </c>
      <c r="N38" s="4" t="s">
        <v>57</v>
      </c>
      <c r="O38" s="4">
        <v>12</v>
      </c>
      <c r="P38" s="4">
        <v>0.9</v>
      </c>
      <c r="Q38" s="4">
        <v>0.4</v>
      </c>
      <c r="R38" s="158" t="s">
        <v>50</v>
      </c>
      <c r="S38" s="118" t="s">
        <v>269</v>
      </c>
    </row>
    <row r="39" spans="1:19" x14ac:dyDescent="0.3">
      <c r="A39" s="4" t="s">
        <v>70</v>
      </c>
      <c r="B39" s="4">
        <v>10</v>
      </c>
      <c r="C39" s="4">
        <v>10</v>
      </c>
      <c r="D39" s="4" t="s">
        <v>42</v>
      </c>
      <c r="E39" s="4">
        <v>12</v>
      </c>
      <c r="F39" s="4">
        <v>0.9</v>
      </c>
      <c r="G39" s="4">
        <v>0.4</v>
      </c>
      <c r="H39" s="158" t="s">
        <v>71</v>
      </c>
      <c r="I39" s="118" t="s">
        <v>72</v>
      </c>
      <c r="K39" s="4" t="s">
        <v>79</v>
      </c>
      <c r="L39" s="4">
        <v>0.06</v>
      </c>
      <c r="M39" s="4">
        <v>0.06</v>
      </c>
      <c r="N39" s="4" t="s">
        <v>57</v>
      </c>
      <c r="O39" s="4">
        <v>12</v>
      </c>
      <c r="P39" s="4">
        <v>0.9</v>
      </c>
      <c r="Q39" s="4">
        <v>0.4</v>
      </c>
      <c r="R39" s="158" t="s">
        <v>77</v>
      </c>
      <c r="S39" s="122" t="s">
        <v>74</v>
      </c>
    </row>
    <row r="40" spans="1:19" x14ac:dyDescent="0.3">
      <c r="A40" s="4" t="s">
        <v>273</v>
      </c>
      <c r="B40" s="4">
        <v>0.11</v>
      </c>
      <c r="C40" s="4">
        <v>0.11</v>
      </c>
      <c r="D40" s="4" t="s">
        <v>76</v>
      </c>
      <c r="E40" s="4">
        <v>12</v>
      </c>
      <c r="F40" s="4">
        <v>0.9</v>
      </c>
      <c r="G40" s="4">
        <v>0.4</v>
      </c>
      <c r="H40" s="158" t="s">
        <v>77</v>
      </c>
      <c r="I40" s="118" t="s">
        <v>78</v>
      </c>
      <c r="K40" s="4" t="s">
        <v>81</v>
      </c>
      <c r="L40" s="4">
        <f>AC12</f>
        <v>9.1245901639344252E-3</v>
      </c>
      <c r="M40" s="4">
        <f>AD12</f>
        <v>0</v>
      </c>
      <c r="N40" s="4" t="s">
        <v>76</v>
      </c>
      <c r="O40" s="4">
        <f>$O$47</f>
        <v>17</v>
      </c>
      <c r="P40" s="4">
        <f>$P$47</f>
        <v>0.9</v>
      </c>
      <c r="Q40" s="4">
        <f>$Q$47</f>
        <v>0.4</v>
      </c>
      <c r="R40" s="158" t="s">
        <v>329</v>
      </c>
      <c r="S40" s="118" t="s">
        <v>299</v>
      </c>
    </row>
    <row r="41" spans="1:19" x14ac:dyDescent="0.3">
      <c r="I41" s="118"/>
      <c r="S41" s="117"/>
    </row>
    <row r="42" spans="1:19" x14ac:dyDescent="0.3">
      <c r="I42" s="118"/>
    </row>
    <row r="43" spans="1:19" x14ac:dyDescent="0.3">
      <c r="I43" s="118"/>
    </row>
    <row r="44" spans="1:19" x14ac:dyDescent="0.3">
      <c r="E44" s="4" t="s">
        <v>2</v>
      </c>
      <c r="H44" s="4" t="s">
        <v>3</v>
      </c>
      <c r="I44" s="118"/>
    </row>
    <row r="45" spans="1:19" ht="15" thickBot="1" x14ac:dyDescent="0.35">
      <c r="A45" s="25" t="s">
        <v>281</v>
      </c>
      <c r="B45" s="4">
        <v>2023</v>
      </c>
      <c r="C45" s="4">
        <v>2050</v>
      </c>
      <c r="D45" s="4" t="s">
        <v>5</v>
      </c>
      <c r="E45" s="4" t="s">
        <v>8</v>
      </c>
      <c r="F45" s="4" t="s">
        <v>9</v>
      </c>
      <c r="G45" s="4" t="s">
        <v>10</v>
      </c>
      <c r="I45" s="118"/>
    </row>
    <row r="46" spans="1:19" x14ac:dyDescent="0.3">
      <c r="A46" s="4" t="s">
        <v>14</v>
      </c>
      <c r="B46" s="4">
        <v>40000</v>
      </c>
      <c r="C46" s="4">
        <v>40000</v>
      </c>
      <c r="D46" s="4" t="s">
        <v>15</v>
      </c>
      <c r="E46" s="4">
        <v>12</v>
      </c>
      <c r="F46" s="4">
        <v>0.9</v>
      </c>
      <c r="G46" s="4">
        <v>0.4</v>
      </c>
      <c r="H46" s="158" t="s">
        <v>272</v>
      </c>
      <c r="I46" s="118" t="s">
        <v>17</v>
      </c>
      <c r="K46" s="133" t="s">
        <v>238</v>
      </c>
      <c r="L46" s="134">
        <v>2023</v>
      </c>
      <c r="M46" s="134">
        <v>2050</v>
      </c>
      <c r="N46" s="135" t="s">
        <v>5</v>
      </c>
      <c r="O46" s="133" t="s">
        <v>8</v>
      </c>
      <c r="P46" s="134" t="s">
        <v>9</v>
      </c>
      <c r="Q46" s="135" t="s">
        <v>10</v>
      </c>
    </row>
    <row r="47" spans="1:19" ht="15" thickBot="1" x14ac:dyDescent="0.35">
      <c r="A47" s="4" t="s">
        <v>25</v>
      </c>
      <c r="B47" s="4">
        <f>-B46*0.25</f>
        <v>-10000</v>
      </c>
      <c r="C47" s="4">
        <f>-C46*0.25</f>
        <v>-10000</v>
      </c>
      <c r="D47" s="4" t="s">
        <v>15</v>
      </c>
      <c r="E47" s="4">
        <v>12</v>
      </c>
      <c r="F47" s="4">
        <v>0.9</v>
      </c>
      <c r="G47" s="4">
        <v>0.4</v>
      </c>
      <c r="H47" s="158" t="s">
        <v>26</v>
      </c>
      <c r="I47" s="119" t="s">
        <v>27</v>
      </c>
      <c r="K47" s="136" t="s">
        <v>239</v>
      </c>
      <c r="L47" s="137">
        <v>100</v>
      </c>
      <c r="M47" s="137">
        <v>350</v>
      </c>
      <c r="N47" s="138" t="s">
        <v>13</v>
      </c>
      <c r="O47" s="136">
        <v>17</v>
      </c>
      <c r="P47" s="137">
        <v>0.9</v>
      </c>
      <c r="Q47" s="138">
        <v>0.4</v>
      </c>
    </row>
    <row r="48" spans="1:19" x14ac:dyDescent="0.3">
      <c r="A48" s="4" t="s">
        <v>37</v>
      </c>
      <c r="B48" s="4">
        <v>70000</v>
      </c>
      <c r="C48" s="4">
        <v>70000</v>
      </c>
      <c r="D48" s="4" t="s">
        <v>38</v>
      </c>
      <c r="E48" s="4">
        <v>12</v>
      </c>
      <c r="F48" s="4">
        <v>0.9</v>
      </c>
      <c r="G48" s="4">
        <v>0.4</v>
      </c>
      <c r="H48" s="158" t="s">
        <v>39</v>
      </c>
      <c r="I48" s="118" t="s">
        <v>40</v>
      </c>
    </row>
    <row r="49" spans="1:9" x14ac:dyDescent="0.3">
      <c r="A49" s="4" t="s">
        <v>48</v>
      </c>
      <c r="B49" s="4">
        <v>25</v>
      </c>
      <c r="C49" s="4">
        <v>25</v>
      </c>
      <c r="D49" s="4" t="s">
        <v>49</v>
      </c>
      <c r="E49" s="4">
        <v>12</v>
      </c>
      <c r="F49" s="4">
        <v>0.9</v>
      </c>
      <c r="G49" s="4">
        <v>0.4</v>
      </c>
      <c r="H49" s="158" t="s">
        <v>50</v>
      </c>
      <c r="I49" s="118" t="s">
        <v>51</v>
      </c>
    </row>
    <row r="50" spans="1:9" x14ac:dyDescent="0.3">
      <c r="A50" s="4" t="s">
        <v>56</v>
      </c>
      <c r="B50" s="4">
        <v>0.46</v>
      </c>
      <c r="C50" s="4">
        <v>0.46</v>
      </c>
      <c r="D50" s="4" t="s">
        <v>57</v>
      </c>
      <c r="E50" s="4">
        <v>12</v>
      </c>
      <c r="F50" s="4">
        <v>0.9</v>
      </c>
      <c r="G50" s="4">
        <v>0.4</v>
      </c>
      <c r="H50" s="158" t="s">
        <v>16</v>
      </c>
      <c r="I50" s="118" t="s">
        <v>109</v>
      </c>
    </row>
    <row r="51" spans="1:9" x14ac:dyDescent="0.3">
      <c r="A51" s="4" t="s">
        <v>64</v>
      </c>
      <c r="B51" s="4">
        <v>78000</v>
      </c>
      <c r="C51" s="4">
        <v>78000</v>
      </c>
      <c r="D51" s="4" t="s">
        <v>65</v>
      </c>
      <c r="E51" s="4">
        <v>12</v>
      </c>
      <c r="F51" s="4">
        <v>0.9</v>
      </c>
      <c r="G51" s="4">
        <v>0.4</v>
      </c>
      <c r="H51" s="158" t="s">
        <v>16</v>
      </c>
      <c r="I51" s="118" t="s">
        <v>110</v>
      </c>
    </row>
    <row r="52" spans="1:9" x14ac:dyDescent="0.3">
      <c r="A52" s="4" t="s">
        <v>70</v>
      </c>
      <c r="B52" s="4">
        <v>10</v>
      </c>
      <c r="C52" s="4">
        <v>10</v>
      </c>
      <c r="D52" s="4" t="s">
        <v>42</v>
      </c>
      <c r="E52" s="4">
        <v>12</v>
      </c>
      <c r="F52" s="4">
        <v>0.9</v>
      </c>
      <c r="G52" s="4">
        <v>0.4</v>
      </c>
      <c r="H52" s="158" t="s">
        <v>71</v>
      </c>
      <c r="I52" s="118" t="s">
        <v>72</v>
      </c>
    </row>
    <row r="53" spans="1:9" x14ac:dyDescent="0.3">
      <c r="A53" s="4" t="s">
        <v>273</v>
      </c>
      <c r="B53" s="4">
        <v>0.11</v>
      </c>
      <c r="C53" s="4">
        <v>0.11</v>
      </c>
      <c r="D53" s="4" t="s">
        <v>76</v>
      </c>
      <c r="E53" s="4">
        <v>12</v>
      </c>
      <c r="F53" s="4">
        <v>0.9</v>
      </c>
      <c r="G53" s="4">
        <v>0.4</v>
      </c>
      <c r="H53" s="158" t="s">
        <v>77</v>
      </c>
      <c r="I53" s="118" t="s">
        <v>78</v>
      </c>
    </row>
    <row r="54" spans="1:9" x14ac:dyDescent="0.3">
      <c r="I54" s="118"/>
    </row>
    <row r="55" spans="1:9" x14ac:dyDescent="0.3">
      <c r="I55" s="118"/>
    </row>
    <row r="56" spans="1:9" x14ac:dyDescent="0.3">
      <c r="I56" s="118"/>
    </row>
    <row r="57" spans="1:9" x14ac:dyDescent="0.3">
      <c r="I57" s="118"/>
    </row>
    <row r="58" spans="1:9" x14ac:dyDescent="0.3">
      <c r="E58" s="4" t="s">
        <v>2</v>
      </c>
      <c r="H58" s="4" t="s">
        <v>3</v>
      </c>
      <c r="I58" s="118"/>
    </row>
    <row r="59" spans="1:9" x14ac:dyDescent="0.3">
      <c r="A59" s="25" t="s">
        <v>282</v>
      </c>
      <c r="B59" s="4">
        <v>2023</v>
      </c>
      <c r="C59" s="4">
        <v>2050</v>
      </c>
      <c r="D59" s="4" t="s">
        <v>5</v>
      </c>
      <c r="E59" s="4" t="s">
        <v>8</v>
      </c>
      <c r="F59" s="4" t="s">
        <v>9</v>
      </c>
      <c r="G59" s="4" t="s">
        <v>10</v>
      </c>
      <c r="I59" s="118"/>
    </row>
    <row r="60" spans="1:9" x14ac:dyDescent="0.3">
      <c r="A60" s="4" t="s">
        <v>14</v>
      </c>
      <c r="B60" s="4">
        <v>35000</v>
      </c>
      <c r="C60" s="4">
        <v>35000</v>
      </c>
      <c r="D60" s="4" t="s">
        <v>15</v>
      </c>
      <c r="E60" s="4">
        <v>12</v>
      </c>
      <c r="F60" s="4">
        <v>0.9</v>
      </c>
      <c r="G60" s="4">
        <v>0.4</v>
      </c>
      <c r="H60" s="158" t="s">
        <v>272</v>
      </c>
      <c r="I60" s="118" t="s">
        <v>17</v>
      </c>
    </row>
    <row r="61" spans="1:9" x14ac:dyDescent="0.3">
      <c r="A61" s="4" t="s">
        <v>25</v>
      </c>
      <c r="B61" s="4">
        <f>-B60*0.25</f>
        <v>-8750</v>
      </c>
      <c r="C61" s="4">
        <f>-C60*0.25</f>
        <v>-8750</v>
      </c>
      <c r="D61" s="4" t="s">
        <v>15</v>
      </c>
      <c r="E61" s="4">
        <v>12</v>
      </c>
      <c r="F61" s="4">
        <v>0.9</v>
      </c>
      <c r="G61" s="4">
        <v>0.4</v>
      </c>
      <c r="H61" s="158" t="s">
        <v>26</v>
      </c>
      <c r="I61" s="119" t="s">
        <v>27</v>
      </c>
    </row>
    <row r="62" spans="1:9" x14ac:dyDescent="0.3">
      <c r="A62" s="4" t="s">
        <v>37</v>
      </c>
      <c r="B62" s="4">
        <v>70000</v>
      </c>
      <c r="C62" s="4">
        <v>70000</v>
      </c>
      <c r="D62" s="4" t="s">
        <v>38</v>
      </c>
      <c r="E62" s="4">
        <v>12</v>
      </c>
      <c r="F62" s="4">
        <v>0.9</v>
      </c>
      <c r="G62" s="4">
        <v>0.4</v>
      </c>
      <c r="H62" s="158" t="s">
        <v>39</v>
      </c>
      <c r="I62" s="118" t="s">
        <v>40</v>
      </c>
    </row>
    <row r="63" spans="1:9" x14ac:dyDescent="0.3">
      <c r="A63" s="4" t="s">
        <v>48</v>
      </c>
      <c r="B63" s="4">
        <v>25</v>
      </c>
      <c r="C63" s="4">
        <v>25</v>
      </c>
      <c r="D63" s="4" t="s">
        <v>49</v>
      </c>
      <c r="E63" s="4">
        <v>12</v>
      </c>
      <c r="F63" s="4">
        <v>0.9</v>
      </c>
      <c r="G63" s="4">
        <v>0.4</v>
      </c>
      <c r="H63" s="158" t="s">
        <v>50</v>
      </c>
      <c r="I63" s="118" t="s">
        <v>51</v>
      </c>
    </row>
    <row r="64" spans="1:9" x14ac:dyDescent="0.3">
      <c r="A64" s="4" t="s">
        <v>56</v>
      </c>
      <c r="B64" s="4">
        <v>0.48</v>
      </c>
      <c r="C64" s="4">
        <v>0.48</v>
      </c>
      <c r="D64" s="4" t="s">
        <v>57</v>
      </c>
      <c r="E64" s="4">
        <v>12</v>
      </c>
      <c r="F64" s="4">
        <v>0.9</v>
      </c>
      <c r="G64" s="4">
        <v>0.4</v>
      </c>
      <c r="H64" s="158" t="s">
        <v>16</v>
      </c>
      <c r="I64" s="118" t="s">
        <v>111</v>
      </c>
    </row>
    <row r="65" spans="1:42" x14ac:dyDescent="0.3">
      <c r="A65" s="4" t="s">
        <v>64</v>
      </c>
      <c r="B65" s="4">
        <v>90000</v>
      </c>
      <c r="C65" s="4">
        <v>90000</v>
      </c>
      <c r="D65" s="4" t="s">
        <v>65</v>
      </c>
      <c r="E65" s="4">
        <v>12</v>
      </c>
      <c r="F65" s="4">
        <v>0.9</v>
      </c>
      <c r="G65" s="4">
        <v>0.4</v>
      </c>
      <c r="H65" s="158" t="s">
        <v>16</v>
      </c>
      <c r="I65" s="118" t="s">
        <v>112</v>
      </c>
    </row>
    <row r="66" spans="1:42" x14ac:dyDescent="0.3">
      <c r="A66" s="4" t="s">
        <v>70</v>
      </c>
      <c r="B66" s="4">
        <v>10</v>
      </c>
      <c r="C66" s="4">
        <v>10</v>
      </c>
      <c r="D66" s="4" t="s">
        <v>42</v>
      </c>
      <c r="E66" s="4">
        <v>12</v>
      </c>
      <c r="F66" s="4">
        <v>0.9</v>
      </c>
      <c r="G66" s="4">
        <v>0.4</v>
      </c>
      <c r="H66" s="158" t="s">
        <v>71</v>
      </c>
      <c r="I66" s="118" t="s">
        <v>72</v>
      </c>
    </row>
    <row r="67" spans="1:42" x14ac:dyDescent="0.3">
      <c r="A67" s="4" t="s">
        <v>273</v>
      </c>
      <c r="B67" s="4">
        <v>0.11</v>
      </c>
      <c r="C67" s="4">
        <v>0.11</v>
      </c>
      <c r="D67" s="4" t="s">
        <v>76</v>
      </c>
      <c r="E67" s="4">
        <v>12</v>
      </c>
      <c r="F67" s="4">
        <v>0.9</v>
      </c>
      <c r="G67" s="4">
        <v>0.4</v>
      </c>
      <c r="H67" s="158" t="s">
        <v>77</v>
      </c>
      <c r="I67" s="118" t="s">
        <v>78</v>
      </c>
    </row>
    <row r="68" spans="1:42" x14ac:dyDescent="0.3">
      <c r="I68" s="117"/>
    </row>
    <row r="70" spans="1:42" s="93" customFormat="1" ht="31.2" x14ac:dyDescent="0.6">
      <c r="A70" s="93" t="s">
        <v>274</v>
      </c>
      <c r="K70" s="93" t="s">
        <v>0</v>
      </c>
    </row>
    <row r="71" spans="1:42" s="96" customFormat="1" ht="19.5" customHeight="1" x14ac:dyDescent="0.6">
      <c r="B71" s="168"/>
      <c r="C71" s="168"/>
      <c r="D71" s="168"/>
      <c r="E71" s="168"/>
      <c r="F71" s="4" t="s">
        <v>3</v>
      </c>
    </row>
    <row r="72" spans="1:42" x14ac:dyDescent="0.3">
      <c r="B72" s="168" t="s">
        <v>148</v>
      </c>
      <c r="C72" s="168"/>
      <c r="D72" s="168"/>
      <c r="E72" s="168">
        <v>28</v>
      </c>
      <c r="F72" s="160" t="s">
        <v>9</v>
      </c>
    </row>
    <row r="73" spans="1:42" x14ac:dyDescent="0.3">
      <c r="A73" s="95" t="s">
        <v>113</v>
      </c>
      <c r="B73" s="168" t="s">
        <v>151</v>
      </c>
      <c r="C73" s="168"/>
      <c r="D73" s="168" t="s">
        <v>152</v>
      </c>
      <c r="E73" s="168">
        <f>2800/35</f>
        <v>80</v>
      </c>
      <c r="F73" s="160" t="s">
        <v>9</v>
      </c>
    </row>
    <row r="74" spans="1:42" ht="15" thickBot="1" x14ac:dyDescent="0.35"/>
    <row r="75" spans="1:42" x14ac:dyDescent="0.3">
      <c r="E75" s="4" t="s">
        <v>2</v>
      </c>
      <c r="H75" s="4" t="s">
        <v>3</v>
      </c>
      <c r="I75" s="117"/>
      <c r="O75" s="4" t="s">
        <v>2</v>
      </c>
      <c r="R75" s="4" t="s">
        <v>3</v>
      </c>
      <c r="S75" s="117"/>
      <c r="W75" s="99" t="s">
        <v>114</v>
      </c>
      <c r="X75" s="100">
        <v>2023</v>
      </c>
      <c r="Y75" s="100">
        <v>2050</v>
      </c>
      <c r="Z75" s="101" t="s">
        <v>5</v>
      </c>
      <c r="AB75" s="99" t="s">
        <v>115</v>
      </c>
      <c r="AC75" s="100">
        <v>2023</v>
      </c>
      <c r="AD75" s="100">
        <v>2050</v>
      </c>
      <c r="AE75" s="101" t="s">
        <v>5</v>
      </c>
      <c r="AG75" s="99" t="s">
        <v>116</v>
      </c>
      <c r="AH75" s="100">
        <v>2023</v>
      </c>
      <c r="AI75" s="100">
        <v>2050</v>
      </c>
      <c r="AJ75" s="101" t="s">
        <v>5</v>
      </c>
      <c r="AL75" s="99" t="s">
        <v>117</v>
      </c>
      <c r="AM75" s="100">
        <v>2023</v>
      </c>
      <c r="AN75" s="100">
        <v>2050</v>
      </c>
      <c r="AO75" s="101" t="s">
        <v>5</v>
      </c>
    </row>
    <row r="76" spans="1:42" x14ac:dyDescent="0.3">
      <c r="A76" s="25" t="s">
        <v>283</v>
      </c>
      <c r="B76" s="4">
        <v>2023</v>
      </c>
      <c r="C76" s="4">
        <v>2050</v>
      </c>
      <c r="D76" s="4" t="s">
        <v>5</v>
      </c>
      <c r="E76" s="4" t="s">
        <v>8</v>
      </c>
      <c r="F76" s="4" t="s">
        <v>9</v>
      </c>
      <c r="G76" s="4" t="s">
        <v>10</v>
      </c>
      <c r="I76" s="117"/>
      <c r="K76" s="25" t="s">
        <v>11</v>
      </c>
      <c r="L76" s="4">
        <v>2023</v>
      </c>
      <c r="M76" s="4">
        <v>2050</v>
      </c>
      <c r="N76" s="4" t="s">
        <v>5</v>
      </c>
      <c r="O76" s="4" t="s">
        <v>8</v>
      </c>
      <c r="P76" s="4" t="s">
        <v>9</v>
      </c>
      <c r="Q76" s="4" t="s">
        <v>10</v>
      </c>
      <c r="S76" s="34"/>
      <c r="W76" s="102" t="s">
        <v>12</v>
      </c>
      <c r="X76" s="107">
        <f>$L$47</f>
        <v>100</v>
      </c>
      <c r="Y76" s="107">
        <f>$M$47</f>
        <v>350</v>
      </c>
      <c r="Z76" s="103" t="s">
        <v>13</v>
      </c>
      <c r="AB76" s="102" t="s">
        <v>12</v>
      </c>
      <c r="AC76" s="107">
        <f>$L$47</f>
        <v>100</v>
      </c>
      <c r="AD76" s="107">
        <f>$M$47</f>
        <v>350</v>
      </c>
      <c r="AE76" s="103" t="s">
        <v>13</v>
      </c>
      <c r="AG76" s="102" t="s">
        <v>12</v>
      </c>
      <c r="AH76" s="107">
        <f>$L$47</f>
        <v>100</v>
      </c>
      <c r="AI76" s="107">
        <f>$M$47</f>
        <v>350</v>
      </c>
      <c r="AJ76" s="103" t="s">
        <v>13</v>
      </c>
      <c r="AL76" s="102" t="s">
        <v>12</v>
      </c>
      <c r="AM76" s="107">
        <f>$L$47</f>
        <v>100</v>
      </c>
      <c r="AN76" s="107">
        <f>$M$47</f>
        <v>350</v>
      </c>
      <c r="AO76" s="103" t="s">
        <v>13</v>
      </c>
    </row>
    <row r="77" spans="1:42" x14ac:dyDescent="0.3">
      <c r="A77" s="4" t="s">
        <v>14</v>
      </c>
      <c r="B77" s="113">
        <f>150000*$E$72</f>
        <v>4200000</v>
      </c>
      <c r="C77" s="4">
        <f>150000*$E$72</f>
        <v>4200000</v>
      </c>
      <c r="D77" s="4" t="s">
        <v>15</v>
      </c>
      <c r="E77" s="4">
        <v>12</v>
      </c>
      <c r="F77" s="4">
        <v>0.9</v>
      </c>
      <c r="G77" s="4">
        <v>0.4</v>
      </c>
      <c r="H77" s="160" t="s">
        <v>118</v>
      </c>
      <c r="I77" s="118" t="s">
        <v>119</v>
      </c>
      <c r="K77" s="4" t="s">
        <v>18</v>
      </c>
      <c r="L77" s="4">
        <v>3500000</v>
      </c>
      <c r="M77" s="4">
        <v>3500000</v>
      </c>
      <c r="N77" s="4" t="s">
        <v>15</v>
      </c>
      <c r="O77" s="4">
        <v>12</v>
      </c>
      <c r="P77" s="4">
        <v>0.9</v>
      </c>
      <c r="Q77" s="4">
        <v>0.4</v>
      </c>
      <c r="R77" s="160" t="s">
        <v>9</v>
      </c>
      <c r="S77" s="118" t="s">
        <v>120</v>
      </c>
      <c r="W77" s="102" t="s">
        <v>20</v>
      </c>
      <c r="X77" s="170">
        <v>3.17</v>
      </c>
      <c r="Y77" s="170"/>
      <c r="Z77" s="103" t="s">
        <v>21</v>
      </c>
      <c r="AB77" s="102" t="s">
        <v>22</v>
      </c>
      <c r="AC77" s="4">
        <v>2.1999999999999999E-2</v>
      </c>
      <c r="AD77" s="4">
        <v>0</v>
      </c>
      <c r="AE77" s="4" t="s">
        <v>23</v>
      </c>
      <c r="AG77" s="102" t="s">
        <v>22</v>
      </c>
      <c r="AH77" s="4">
        <v>2.1999999999999999E-2</v>
      </c>
      <c r="AI77" s="4">
        <v>0</v>
      </c>
      <c r="AJ77" s="4" t="s">
        <v>23</v>
      </c>
      <c r="AL77" s="102" t="s">
        <v>22</v>
      </c>
      <c r="AM77" s="4">
        <v>2.1999999999999999E-2</v>
      </c>
      <c r="AN77" s="4">
        <v>0</v>
      </c>
      <c r="AO77" s="4" t="s">
        <v>23</v>
      </c>
      <c r="AP77" s="4" t="s">
        <v>24</v>
      </c>
    </row>
    <row r="78" spans="1:42" x14ac:dyDescent="0.3">
      <c r="A78" s="4" t="s">
        <v>25</v>
      </c>
      <c r="B78" s="4">
        <f>-B77*0.05</f>
        <v>-210000</v>
      </c>
      <c r="C78" s="4">
        <f>-C77*0.05</f>
        <v>-210000</v>
      </c>
      <c r="D78" s="4" t="s">
        <v>15</v>
      </c>
      <c r="E78" s="4">
        <v>12</v>
      </c>
      <c r="F78" s="4">
        <v>0.9</v>
      </c>
      <c r="G78" s="4">
        <v>0.4</v>
      </c>
      <c r="H78" s="160" t="s">
        <v>26</v>
      </c>
      <c r="I78" s="117" t="s">
        <v>121</v>
      </c>
      <c r="K78" s="4" t="s">
        <v>28</v>
      </c>
      <c r="L78" s="4">
        <f>-L77*0.15</f>
        <v>-525000</v>
      </c>
      <c r="M78" s="4">
        <f>-M77*0.05</f>
        <v>-175000</v>
      </c>
      <c r="N78" s="4" t="s">
        <v>15</v>
      </c>
      <c r="O78" s="4">
        <v>12</v>
      </c>
      <c r="P78" s="4">
        <v>0.9</v>
      </c>
      <c r="Q78" s="4">
        <v>0.4</v>
      </c>
      <c r="R78" s="160" t="s">
        <v>26</v>
      </c>
      <c r="S78" s="117" t="s">
        <v>122</v>
      </c>
      <c r="W78" s="102" t="s">
        <v>31</v>
      </c>
      <c r="X78" s="170">
        <v>11.89</v>
      </c>
      <c r="Y78" s="170"/>
      <c r="Z78" s="103" t="s">
        <v>32</v>
      </c>
      <c r="AB78" s="102" t="s">
        <v>33</v>
      </c>
      <c r="AC78" s="94">
        <v>0.61</v>
      </c>
      <c r="AD78" s="94">
        <v>0.7</v>
      </c>
      <c r="AE78" s="103" t="s">
        <v>34</v>
      </c>
      <c r="AG78" s="102" t="s">
        <v>35</v>
      </c>
      <c r="AH78" s="94">
        <v>0.95</v>
      </c>
      <c r="AI78" s="94">
        <v>0.95</v>
      </c>
      <c r="AJ78" s="103" t="s">
        <v>34</v>
      </c>
      <c r="AL78" s="102" t="s">
        <v>35</v>
      </c>
      <c r="AM78" s="94">
        <v>0.95</v>
      </c>
      <c r="AN78" s="94">
        <v>0.95</v>
      </c>
      <c r="AO78" s="103" t="s">
        <v>34</v>
      </c>
      <c r="AP78" s="4" t="s">
        <v>36</v>
      </c>
    </row>
    <row r="79" spans="1:42" x14ac:dyDescent="0.3">
      <c r="A79" s="4" t="s">
        <v>37</v>
      </c>
      <c r="B79" s="113">
        <v>650000</v>
      </c>
      <c r="C79" s="4">
        <v>650000</v>
      </c>
      <c r="D79" s="4" t="s">
        <v>38</v>
      </c>
      <c r="E79" s="4">
        <v>12</v>
      </c>
      <c r="F79" s="4">
        <v>0.9</v>
      </c>
      <c r="G79" s="4">
        <v>0.4</v>
      </c>
      <c r="H79" s="160" t="s">
        <v>16</v>
      </c>
      <c r="I79" s="117" t="s">
        <v>123</v>
      </c>
      <c r="K79" s="4" t="s">
        <v>41</v>
      </c>
      <c r="L79" s="4">
        <v>20</v>
      </c>
      <c r="M79" s="4">
        <v>20</v>
      </c>
      <c r="N79" s="4" t="s">
        <v>42</v>
      </c>
      <c r="O79" s="4">
        <v>12</v>
      </c>
      <c r="P79" s="4">
        <v>0.9</v>
      </c>
      <c r="Q79" s="4">
        <v>0.4</v>
      </c>
      <c r="R79" s="160" t="s">
        <v>9</v>
      </c>
      <c r="S79" s="117" t="s">
        <v>124</v>
      </c>
      <c r="W79" s="102" t="s">
        <v>45</v>
      </c>
      <c r="X79" s="169">
        <f>X77/X78</f>
        <v>0.26661059714045415</v>
      </c>
      <c r="Y79" s="169"/>
      <c r="Z79" s="103" t="s">
        <v>46</v>
      </c>
      <c r="AB79" s="102" t="s">
        <v>47</v>
      </c>
      <c r="AC79" s="109">
        <f>AC77/AC78</f>
        <v>3.6065573770491799E-2</v>
      </c>
      <c r="AD79" s="109">
        <f>AD77/AD78</f>
        <v>0</v>
      </c>
      <c r="AE79" s="103" t="s">
        <v>46</v>
      </c>
      <c r="AG79" s="102" t="s">
        <v>22</v>
      </c>
      <c r="AH79" s="109">
        <f>AH77/AH78</f>
        <v>2.3157894736842106E-2</v>
      </c>
      <c r="AI79" s="109">
        <f>AI77/AI78</f>
        <v>0</v>
      </c>
      <c r="AJ79" s="103" t="s">
        <v>46</v>
      </c>
      <c r="AL79" s="102" t="s">
        <v>22</v>
      </c>
      <c r="AM79" s="109">
        <f>AM77/AM78</f>
        <v>2.3157894736842106E-2</v>
      </c>
      <c r="AN79" s="109">
        <f>AN77/AN78</f>
        <v>0</v>
      </c>
      <c r="AO79" s="103" t="s">
        <v>46</v>
      </c>
    </row>
    <row r="80" spans="1:42" x14ac:dyDescent="0.3">
      <c r="A80" s="4" t="s">
        <v>48</v>
      </c>
      <c r="B80" s="4">
        <f>$E$72*$E$73</f>
        <v>2240</v>
      </c>
      <c r="C80" s="4">
        <f>$E$72*$E$73</f>
        <v>2240</v>
      </c>
      <c r="D80" s="4" t="s">
        <v>49</v>
      </c>
      <c r="E80" s="4">
        <v>12</v>
      </c>
      <c r="F80" s="4">
        <v>0.9</v>
      </c>
      <c r="G80" s="4">
        <v>0.4</v>
      </c>
      <c r="H80" s="160" t="s">
        <v>125</v>
      </c>
      <c r="I80" s="118" t="s">
        <v>126</v>
      </c>
      <c r="K80" s="4" t="s">
        <v>52</v>
      </c>
      <c r="L80" s="112">
        <f>L77*0.3</f>
        <v>1050000</v>
      </c>
      <c r="M80" s="112">
        <f>M77*0.3</f>
        <v>1050000</v>
      </c>
      <c r="N80" s="4" t="s">
        <v>38</v>
      </c>
      <c r="O80" s="4">
        <v>12</v>
      </c>
      <c r="P80" s="4">
        <v>0.9</v>
      </c>
      <c r="Q80" s="4">
        <v>0.4</v>
      </c>
      <c r="R80" s="160" t="s">
        <v>9</v>
      </c>
      <c r="S80" s="118" t="s">
        <v>127</v>
      </c>
      <c r="W80" s="102" t="s">
        <v>54</v>
      </c>
      <c r="X80" s="4">
        <f>L81*X79</f>
        <v>16.552039024390243</v>
      </c>
      <c r="Y80" s="4">
        <f>M81*X79</f>
        <v>16.552039024390243</v>
      </c>
      <c r="Z80" s="103" t="s">
        <v>55</v>
      </c>
      <c r="AB80" s="102" t="s">
        <v>54</v>
      </c>
      <c r="AC80" s="4">
        <f>AC79*L117</f>
        <v>1.4248603278688523</v>
      </c>
      <c r="AD80" s="4">
        <f>AD79*M117</f>
        <v>0</v>
      </c>
      <c r="AE80" s="103" t="s">
        <v>55</v>
      </c>
      <c r="AG80" s="102" t="s">
        <v>54</v>
      </c>
      <c r="AH80" s="4">
        <f>AH79*L93</f>
        <v>0.59200079256965954</v>
      </c>
      <c r="AI80" s="4">
        <f>AI79*M93</f>
        <v>0</v>
      </c>
      <c r="AJ80" s="103" t="s">
        <v>55</v>
      </c>
      <c r="AL80" s="102" t="s">
        <v>54</v>
      </c>
      <c r="AM80" s="4">
        <f>AM79*L105</f>
        <v>0.62900084210526319</v>
      </c>
      <c r="AN80" s="4">
        <f>AN79*M105</f>
        <v>0</v>
      </c>
      <c r="AO80" s="103" t="s">
        <v>55</v>
      </c>
    </row>
    <row r="81" spans="1:41" ht="15" thickBot="1" x14ac:dyDescent="0.35">
      <c r="A81" s="4" t="s">
        <v>56</v>
      </c>
      <c r="B81" s="4">
        <v>0.48</v>
      </c>
      <c r="C81" s="4">
        <v>0.48</v>
      </c>
      <c r="D81" s="4" t="s">
        <v>57</v>
      </c>
      <c r="E81" s="4">
        <v>12</v>
      </c>
      <c r="F81" s="4">
        <v>0.9</v>
      </c>
      <c r="G81" s="4">
        <v>0.4</v>
      </c>
      <c r="H81" s="160" t="s">
        <v>16</v>
      </c>
      <c r="I81" s="117" t="s">
        <v>128</v>
      </c>
      <c r="K81" s="4" t="s">
        <v>59</v>
      </c>
      <c r="L81" s="4">
        <f>(1.8*$B82+0.0041*$B82*$B80*$B81)*10/$B82</f>
        <v>62.083200000000005</v>
      </c>
      <c r="M81" s="4">
        <f>(1.8*$B82+0.0041*$B82*$B80*$B81)*10/$B82</f>
        <v>62.083200000000005</v>
      </c>
      <c r="N81" s="4" t="s">
        <v>60</v>
      </c>
      <c r="O81" s="4">
        <v>12</v>
      </c>
      <c r="P81" s="4">
        <v>0.9</v>
      </c>
      <c r="Q81" s="4">
        <v>0.4</v>
      </c>
      <c r="R81" s="160" t="s">
        <v>43</v>
      </c>
      <c r="S81" s="117" t="s">
        <v>129</v>
      </c>
      <c r="W81" s="104" t="s">
        <v>62</v>
      </c>
      <c r="X81" s="105">
        <f>X76/1000*X80</f>
        <v>1.6552039024390244</v>
      </c>
      <c r="Y81" s="105">
        <f>Y80/1000*Y76</f>
        <v>5.7932136585365859</v>
      </c>
      <c r="Z81" s="106" t="s">
        <v>63</v>
      </c>
      <c r="AB81" s="104" t="s">
        <v>62</v>
      </c>
      <c r="AC81" s="105">
        <f>AC76/1000*AC80</f>
        <v>0.14248603278688524</v>
      </c>
      <c r="AD81" s="105">
        <f>AD80/1000*AD76</f>
        <v>0</v>
      </c>
      <c r="AE81" s="106" t="s">
        <v>63</v>
      </c>
      <c r="AG81" s="104" t="s">
        <v>62</v>
      </c>
      <c r="AH81" s="105">
        <f>AH76/1000*AH80</f>
        <v>5.9200079256965958E-2</v>
      </c>
      <c r="AI81" s="105">
        <f>AI80/1000*AI76</f>
        <v>0</v>
      </c>
      <c r="AJ81" s="106" t="s">
        <v>63</v>
      </c>
      <c r="AL81" s="104" t="s">
        <v>62</v>
      </c>
      <c r="AM81" s="105">
        <f>AM76/1000*AM80</f>
        <v>6.2900084210526327E-2</v>
      </c>
      <c r="AN81" s="105">
        <f>AN80/1000*AN76</f>
        <v>0</v>
      </c>
      <c r="AO81" s="106" t="s">
        <v>63</v>
      </c>
    </row>
    <row r="82" spans="1:41" x14ac:dyDescent="0.3">
      <c r="A82" s="4" t="s">
        <v>64</v>
      </c>
      <c r="B82" s="4">
        <v>178500</v>
      </c>
      <c r="C82" s="4">
        <v>178500</v>
      </c>
      <c r="D82" s="4" t="s">
        <v>65</v>
      </c>
      <c r="E82" s="4">
        <v>12</v>
      </c>
      <c r="F82" s="4">
        <v>0.9</v>
      </c>
      <c r="G82" s="4">
        <v>0.4</v>
      </c>
      <c r="H82" s="160" t="s">
        <v>16</v>
      </c>
      <c r="I82" s="118" t="s">
        <v>130</v>
      </c>
      <c r="K82" s="4" t="s">
        <v>67</v>
      </c>
      <c r="L82" s="4">
        <v>0.1</v>
      </c>
      <c r="M82" s="4">
        <v>0.1</v>
      </c>
      <c r="N82" s="4" t="s">
        <v>68</v>
      </c>
      <c r="O82" s="4">
        <v>12</v>
      </c>
      <c r="P82" s="4">
        <v>0.9</v>
      </c>
      <c r="Q82" s="4">
        <v>0.4</v>
      </c>
      <c r="R82" s="160" t="s">
        <v>69</v>
      </c>
      <c r="S82" s="117" t="s">
        <v>264</v>
      </c>
    </row>
    <row r="83" spans="1:41" x14ac:dyDescent="0.3">
      <c r="A83" s="4" t="s">
        <v>70</v>
      </c>
      <c r="B83" s="4">
        <v>30</v>
      </c>
      <c r="C83" s="4">
        <v>30</v>
      </c>
      <c r="D83" s="4" t="s">
        <v>42</v>
      </c>
      <c r="E83" s="4">
        <v>12</v>
      </c>
      <c r="F83" s="4">
        <v>0.9</v>
      </c>
      <c r="G83" s="4">
        <v>0.4</v>
      </c>
      <c r="H83" s="160" t="s">
        <v>131</v>
      </c>
      <c r="I83" s="117" t="s">
        <v>132</v>
      </c>
      <c r="K83" s="4" t="s">
        <v>73</v>
      </c>
      <c r="L83" s="4">
        <v>0</v>
      </c>
      <c r="M83" s="4">
        <v>0</v>
      </c>
      <c r="N83" s="4" t="s">
        <v>57</v>
      </c>
      <c r="O83" s="4">
        <v>12</v>
      </c>
      <c r="P83" s="4">
        <v>0.9</v>
      </c>
      <c r="Q83" s="4">
        <v>0.4</v>
      </c>
      <c r="R83" s="160" t="s">
        <v>9</v>
      </c>
      <c r="S83" s="117" t="s">
        <v>74</v>
      </c>
      <c r="W83" s="4" t="s">
        <v>26</v>
      </c>
      <c r="X83" s="4" t="s">
        <v>80</v>
      </c>
    </row>
    <row r="84" spans="1:41" x14ac:dyDescent="0.3">
      <c r="A84" s="4" t="s">
        <v>288</v>
      </c>
      <c r="B84" s="114">
        <v>3.9215686274509802</v>
      </c>
      <c r="C84" s="114">
        <v>3.9215686274509802</v>
      </c>
      <c r="D84" s="4" t="s">
        <v>76</v>
      </c>
      <c r="E84" s="4">
        <v>12</v>
      </c>
      <c r="F84" s="4">
        <v>0.9</v>
      </c>
      <c r="G84" s="4">
        <v>0.4</v>
      </c>
      <c r="H84" s="160" t="s">
        <v>16</v>
      </c>
      <c r="I84" s="118" t="s">
        <v>133</v>
      </c>
      <c r="K84" s="4" t="s">
        <v>79</v>
      </c>
      <c r="L84" s="4">
        <v>0.06</v>
      </c>
      <c r="M84" s="4">
        <v>0.06</v>
      </c>
      <c r="N84" s="4" t="s">
        <v>57</v>
      </c>
      <c r="O84" s="4">
        <v>12</v>
      </c>
      <c r="P84" s="4">
        <v>0.9</v>
      </c>
      <c r="Q84" s="4">
        <v>0.4</v>
      </c>
      <c r="R84" s="160" t="s">
        <v>97</v>
      </c>
      <c r="S84" s="122" t="s">
        <v>74</v>
      </c>
      <c r="W84" s="4" t="s">
        <v>9</v>
      </c>
      <c r="X84" s="4" t="s">
        <v>99</v>
      </c>
    </row>
    <row r="85" spans="1:41" x14ac:dyDescent="0.3">
      <c r="I85" s="117"/>
      <c r="K85" s="4" t="s">
        <v>81</v>
      </c>
      <c r="L85" s="4">
        <f>X81</f>
        <v>1.6552039024390244</v>
      </c>
      <c r="M85" s="4">
        <f>Y81</f>
        <v>5.7932136585365859</v>
      </c>
      <c r="N85" s="4" t="s">
        <v>76</v>
      </c>
      <c r="O85" s="4">
        <v>17</v>
      </c>
      <c r="P85" s="4">
        <v>0.9</v>
      </c>
      <c r="Q85" s="4">
        <v>0.4</v>
      </c>
      <c r="R85" s="160" t="s">
        <v>328</v>
      </c>
      <c r="S85" s="118" t="s">
        <v>83</v>
      </c>
      <c r="W85" s="4" t="s">
        <v>16</v>
      </c>
      <c r="X85" s="4" t="s">
        <v>85</v>
      </c>
    </row>
    <row r="86" spans="1:41" x14ac:dyDescent="0.3">
      <c r="I86" s="117"/>
      <c r="S86" s="117"/>
      <c r="W86" s="4" t="s">
        <v>43</v>
      </c>
      <c r="X86" s="4" t="s">
        <v>134</v>
      </c>
      <c r="AF86" s="111"/>
      <c r="AG86" s="113"/>
    </row>
    <row r="87" spans="1:41" x14ac:dyDescent="0.3">
      <c r="E87" s="4" t="s">
        <v>2</v>
      </c>
      <c r="H87" s="4" t="s">
        <v>3</v>
      </c>
      <c r="I87" s="117"/>
      <c r="O87" s="4" t="s">
        <v>2</v>
      </c>
      <c r="R87" s="4" t="s">
        <v>3</v>
      </c>
      <c r="S87" s="117"/>
      <c r="W87" s="4" t="s">
        <v>77</v>
      </c>
      <c r="X87" s="4" t="s">
        <v>135</v>
      </c>
    </row>
    <row r="88" spans="1:41" x14ac:dyDescent="0.3">
      <c r="A88" s="25" t="s">
        <v>284</v>
      </c>
      <c r="B88" s="4">
        <v>2023</v>
      </c>
      <c r="C88" s="4">
        <v>2050</v>
      </c>
      <c r="D88" s="4" t="s">
        <v>5</v>
      </c>
      <c r="E88" s="4" t="s">
        <v>8</v>
      </c>
      <c r="F88" s="4" t="s">
        <v>9</v>
      </c>
      <c r="G88" s="4" t="s">
        <v>10</v>
      </c>
      <c r="I88" s="117"/>
      <c r="K88" s="25" t="s">
        <v>136</v>
      </c>
      <c r="L88" s="4">
        <v>2023</v>
      </c>
      <c r="M88" s="4">
        <v>2050</v>
      </c>
      <c r="N88" s="4" t="s">
        <v>5</v>
      </c>
      <c r="O88" s="4" t="s">
        <v>8</v>
      </c>
      <c r="P88" s="4" t="s">
        <v>9</v>
      </c>
      <c r="Q88" s="4" t="s">
        <v>10</v>
      </c>
      <c r="S88" s="117"/>
      <c r="W88" s="4" t="s">
        <v>71</v>
      </c>
      <c r="X88" s="4" t="s">
        <v>137</v>
      </c>
    </row>
    <row r="89" spans="1:41" x14ac:dyDescent="0.3">
      <c r="A89" s="4" t="s">
        <v>14</v>
      </c>
      <c r="B89" s="4">
        <f>200000*$E$72</f>
        <v>5600000</v>
      </c>
      <c r="C89" s="4">
        <f>200000*$E$72</f>
        <v>5600000</v>
      </c>
      <c r="D89" s="4" t="s">
        <v>15</v>
      </c>
      <c r="E89" s="4">
        <v>12</v>
      </c>
      <c r="F89" s="4">
        <v>0.9</v>
      </c>
      <c r="G89" s="4">
        <v>0.4</v>
      </c>
      <c r="H89" s="160" t="s">
        <v>118</v>
      </c>
      <c r="I89" s="118" t="s">
        <v>138</v>
      </c>
      <c r="K89" s="4" t="s">
        <v>18</v>
      </c>
      <c r="L89" s="4">
        <v>5000000</v>
      </c>
      <c r="M89" s="4">
        <v>5000000</v>
      </c>
      <c r="N89" s="4" t="s">
        <v>15</v>
      </c>
      <c r="O89" s="4">
        <v>12</v>
      </c>
      <c r="P89" s="4">
        <v>0.9</v>
      </c>
      <c r="Q89" s="4">
        <v>0.4</v>
      </c>
      <c r="R89" s="160" t="s">
        <v>9</v>
      </c>
      <c r="S89" s="118" t="s">
        <v>139</v>
      </c>
      <c r="W89" s="4" t="s">
        <v>50</v>
      </c>
      <c r="X89" s="4" t="s">
        <v>24</v>
      </c>
    </row>
    <row r="90" spans="1:41" x14ac:dyDescent="0.3">
      <c r="A90" s="4" t="s">
        <v>25</v>
      </c>
      <c r="B90" s="4">
        <f>-B89*0.05</f>
        <v>-280000</v>
      </c>
      <c r="C90" s="4">
        <f>-C89*0.05</f>
        <v>-280000</v>
      </c>
      <c r="D90" s="4" t="s">
        <v>15</v>
      </c>
      <c r="E90" s="4">
        <v>12</v>
      </c>
      <c r="F90" s="4">
        <v>0.9</v>
      </c>
      <c r="G90" s="4">
        <v>0.4</v>
      </c>
      <c r="H90" s="160" t="s">
        <v>26</v>
      </c>
      <c r="I90" s="117" t="s">
        <v>121</v>
      </c>
      <c r="K90" s="4" t="s">
        <v>28</v>
      </c>
      <c r="L90" s="4">
        <f>-L89*0.15</f>
        <v>-750000</v>
      </c>
      <c r="M90" s="4">
        <f>-M89*0.15</f>
        <v>-750000</v>
      </c>
      <c r="N90" s="4" t="s">
        <v>15</v>
      </c>
      <c r="O90" s="4">
        <v>12</v>
      </c>
      <c r="P90" s="4">
        <v>0.9</v>
      </c>
      <c r="Q90" s="4">
        <v>0.4</v>
      </c>
      <c r="R90" s="160" t="s">
        <v>26</v>
      </c>
      <c r="S90" s="117" t="s">
        <v>140</v>
      </c>
      <c r="W90" s="4" t="s">
        <v>82</v>
      </c>
      <c r="X90" s="4" t="s">
        <v>36</v>
      </c>
    </row>
    <row r="91" spans="1:41" x14ac:dyDescent="0.3">
      <c r="A91" s="4" t="s">
        <v>37</v>
      </c>
      <c r="B91" s="4">
        <f>250000+370000</f>
        <v>620000</v>
      </c>
      <c r="C91" s="4">
        <f>250000+370000</f>
        <v>620000</v>
      </c>
      <c r="D91" s="4" t="s">
        <v>38</v>
      </c>
      <c r="E91" s="4">
        <v>12</v>
      </c>
      <c r="F91" s="4">
        <v>0.9</v>
      </c>
      <c r="G91" s="4">
        <v>0.4</v>
      </c>
      <c r="H91" s="160" t="s">
        <v>16</v>
      </c>
      <c r="I91" s="117" t="s">
        <v>141</v>
      </c>
      <c r="K91" s="4" t="s">
        <v>41</v>
      </c>
      <c r="L91" s="4">
        <v>20</v>
      </c>
      <c r="M91" s="4">
        <v>20</v>
      </c>
      <c r="N91" s="4" t="s">
        <v>42</v>
      </c>
      <c r="O91" s="4">
        <v>12</v>
      </c>
      <c r="P91" s="4">
        <v>0.9</v>
      </c>
      <c r="Q91" s="4">
        <v>0.4</v>
      </c>
      <c r="R91" s="160" t="s">
        <v>9</v>
      </c>
      <c r="S91" s="117" t="s">
        <v>124</v>
      </c>
      <c r="W91" s="4" t="s">
        <v>95</v>
      </c>
      <c r="X91" s="4" t="s">
        <v>101</v>
      </c>
    </row>
    <row r="92" spans="1:41" x14ac:dyDescent="0.3">
      <c r="A92" s="4" t="s">
        <v>48</v>
      </c>
      <c r="B92" s="4">
        <f>$E$72*$E$73</f>
        <v>2240</v>
      </c>
      <c r="C92" s="4">
        <f>$E$72*$E$73</f>
        <v>2240</v>
      </c>
      <c r="D92" s="4" t="s">
        <v>49</v>
      </c>
      <c r="E92" s="4">
        <v>12</v>
      </c>
      <c r="F92" s="4">
        <v>0.9</v>
      </c>
      <c r="G92" s="4">
        <v>0.4</v>
      </c>
      <c r="H92" s="160" t="s">
        <v>125</v>
      </c>
      <c r="I92" s="118" t="s">
        <v>126</v>
      </c>
      <c r="K92" s="4" t="s">
        <v>52</v>
      </c>
      <c r="L92" s="4">
        <f>L89*0.13</f>
        <v>650000</v>
      </c>
      <c r="M92" s="4">
        <f>M89*0.13</f>
        <v>650000</v>
      </c>
      <c r="N92" s="4" t="s">
        <v>38</v>
      </c>
      <c r="O92" s="4">
        <v>12</v>
      </c>
      <c r="P92" s="4">
        <v>0.9</v>
      </c>
      <c r="Q92" s="4">
        <v>0.4</v>
      </c>
      <c r="R92" s="160" t="s">
        <v>9</v>
      </c>
      <c r="S92" s="118" t="s">
        <v>142</v>
      </c>
      <c r="W92" s="4" t="s">
        <v>97</v>
      </c>
      <c r="X92" s="4" t="s">
        <v>88</v>
      </c>
    </row>
    <row r="93" spans="1:41" x14ac:dyDescent="0.3">
      <c r="A93" s="4" t="s">
        <v>56</v>
      </c>
      <c r="B93" s="4">
        <v>0.32</v>
      </c>
      <c r="C93" s="4">
        <v>0.32</v>
      </c>
      <c r="D93" s="4" t="s">
        <v>57</v>
      </c>
      <c r="E93" s="4">
        <v>12</v>
      </c>
      <c r="F93" s="4">
        <v>0.9</v>
      </c>
      <c r="G93" s="4">
        <v>0.4</v>
      </c>
      <c r="H93" s="160" t="s">
        <v>16</v>
      </c>
      <c r="I93" s="117" t="s">
        <v>143</v>
      </c>
      <c r="K93" s="4" t="s">
        <v>59</v>
      </c>
      <c r="L93" s="114">
        <f>L81*0.35/0.85</f>
        <v>25.563670588235297</v>
      </c>
      <c r="M93" s="114">
        <f>M81*0.35/0.85</f>
        <v>25.563670588235297</v>
      </c>
      <c r="N93" s="4" t="s">
        <v>60</v>
      </c>
      <c r="O93" s="4">
        <v>12</v>
      </c>
      <c r="P93" s="4">
        <v>0.9</v>
      </c>
      <c r="Q93" s="4">
        <v>0.4</v>
      </c>
      <c r="R93" s="160" t="s">
        <v>9</v>
      </c>
      <c r="S93" s="118" t="s">
        <v>144</v>
      </c>
      <c r="W93" s="4" t="s">
        <v>69</v>
      </c>
      <c r="X93" s="4" t="s">
        <v>263</v>
      </c>
    </row>
    <row r="94" spans="1:41" x14ac:dyDescent="0.3">
      <c r="A94" s="4" t="s">
        <v>64</v>
      </c>
      <c r="B94" s="4">
        <v>178500</v>
      </c>
      <c r="C94" s="4">
        <v>178500</v>
      </c>
      <c r="D94" s="4" t="s">
        <v>65</v>
      </c>
      <c r="E94" s="4">
        <v>12</v>
      </c>
      <c r="F94" s="4">
        <v>0.9</v>
      </c>
      <c r="G94" s="4">
        <v>0.4</v>
      </c>
      <c r="H94" s="160" t="s">
        <v>16</v>
      </c>
      <c r="I94" s="117" t="s">
        <v>143</v>
      </c>
      <c r="K94" s="4" t="s">
        <v>67</v>
      </c>
      <c r="L94" s="65">
        <v>9.2586511082899101E-2</v>
      </c>
      <c r="M94" s="65">
        <v>7.3304790352502799E-2</v>
      </c>
      <c r="N94" s="4" t="s">
        <v>68</v>
      </c>
      <c r="O94" s="4">
        <v>12</v>
      </c>
      <c r="P94" s="4">
        <v>0.9</v>
      </c>
      <c r="Q94" s="4">
        <v>0.4</v>
      </c>
      <c r="R94" s="160" t="s">
        <v>97</v>
      </c>
      <c r="S94" s="118" t="s">
        <v>302</v>
      </c>
      <c r="W94" s="4" t="s">
        <v>10</v>
      </c>
      <c r="X94" s="4" t="s">
        <v>36</v>
      </c>
    </row>
    <row r="95" spans="1:41" x14ac:dyDescent="0.3">
      <c r="A95" s="4" t="s">
        <v>70</v>
      </c>
      <c r="B95" s="4">
        <v>30</v>
      </c>
      <c r="C95" s="4">
        <v>30</v>
      </c>
      <c r="D95" s="4" t="s">
        <v>42</v>
      </c>
      <c r="E95" s="4">
        <v>12</v>
      </c>
      <c r="F95" s="4">
        <v>0.9</v>
      </c>
      <c r="G95" s="4">
        <v>0.4</v>
      </c>
      <c r="H95" s="160" t="s">
        <v>131</v>
      </c>
      <c r="I95" s="117" t="s">
        <v>132</v>
      </c>
      <c r="K95" s="4" t="s">
        <v>73</v>
      </c>
      <c r="L95" s="4">
        <v>0</v>
      </c>
      <c r="M95" s="4">
        <v>0</v>
      </c>
      <c r="N95" s="4" t="s">
        <v>57</v>
      </c>
      <c r="O95" s="4">
        <v>12</v>
      </c>
      <c r="P95" s="4">
        <v>0.9</v>
      </c>
      <c r="Q95" s="4">
        <v>0.4</v>
      </c>
      <c r="R95" s="160" t="s">
        <v>9</v>
      </c>
      <c r="S95" s="117" t="s">
        <v>74</v>
      </c>
      <c r="W95" s="4" t="s">
        <v>262</v>
      </c>
      <c r="X95" s="4" t="s">
        <v>325</v>
      </c>
    </row>
    <row r="96" spans="1:41" x14ac:dyDescent="0.3">
      <c r="A96" s="4" t="s">
        <v>288</v>
      </c>
      <c r="B96" s="114">
        <v>3.6414565826330532</v>
      </c>
      <c r="C96" s="114">
        <v>3.6414565826330532</v>
      </c>
      <c r="D96" s="4" t="s">
        <v>76</v>
      </c>
      <c r="E96" s="4">
        <v>12</v>
      </c>
      <c r="F96" s="4">
        <v>0.9</v>
      </c>
      <c r="G96" s="4">
        <v>0.4</v>
      </c>
      <c r="H96" s="160" t="s">
        <v>16</v>
      </c>
      <c r="I96" s="118" t="s">
        <v>146</v>
      </c>
      <c r="K96" s="4" t="s">
        <v>79</v>
      </c>
      <c r="L96" s="4">
        <v>0.06</v>
      </c>
      <c r="M96" s="4">
        <v>0.06</v>
      </c>
      <c r="N96" s="4" t="s">
        <v>57</v>
      </c>
      <c r="O96" s="4">
        <v>12</v>
      </c>
      <c r="P96" s="4">
        <v>0.9</v>
      </c>
      <c r="Q96" s="4">
        <v>0.4</v>
      </c>
      <c r="R96" s="160" t="s">
        <v>97</v>
      </c>
      <c r="S96" s="122" t="s">
        <v>147</v>
      </c>
    </row>
    <row r="97" spans="1:32" x14ac:dyDescent="0.3">
      <c r="I97" s="117"/>
      <c r="K97" s="4" t="s">
        <v>81</v>
      </c>
      <c r="L97" s="4">
        <f>AH81</f>
        <v>5.9200079256965958E-2</v>
      </c>
      <c r="M97" s="4">
        <f>AI81</f>
        <v>0</v>
      </c>
      <c r="N97" s="4" t="s">
        <v>76</v>
      </c>
      <c r="O97" s="4">
        <f>$O$47</f>
        <v>17</v>
      </c>
      <c r="P97" s="4">
        <f>$P$47</f>
        <v>0.9</v>
      </c>
      <c r="Q97" s="4">
        <f>$Q$47</f>
        <v>0.4</v>
      </c>
      <c r="R97" s="160" t="s">
        <v>327</v>
      </c>
      <c r="S97" s="118" t="s">
        <v>102</v>
      </c>
    </row>
    <row r="98" spans="1:32" x14ac:dyDescent="0.3">
      <c r="I98" s="117"/>
      <c r="S98" s="117"/>
    </row>
    <row r="99" spans="1:32" x14ac:dyDescent="0.3">
      <c r="E99" s="4" t="s">
        <v>2</v>
      </c>
      <c r="H99" s="4" t="s">
        <v>3</v>
      </c>
      <c r="I99" s="117"/>
      <c r="O99" s="4" t="s">
        <v>2</v>
      </c>
      <c r="R99" s="4" t="s">
        <v>3</v>
      </c>
      <c r="S99" s="117"/>
    </row>
    <row r="100" spans="1:32" x14ac:dyDescent="0.3">
      <c r="A100" s="25" t="s">
        <v>285</v>
      </c>
      <c r="B100" s="4">
        <v>2023</v>
      </c>
      <c r="C100" s="4">
        <v>2050</v>
      </c>
      <c r="D100" s="4" t="s">
        <v>5</v>
      </c>
      <c r="E100" s="4" t="s">
        <v>8</v>
      </c>
      <c r="F100" s="4" t="s">
        <v>9</v>
      </c>
      <c r="G100" s="4" t="s">
        <v>10</v>
      </c>
      <c r="I100" s="117"/>
      <c r="K100" s="25" t="s">
        <v>87</v>
      </c>
      <c r="L100" s="4">
        <v>2023</v>
      </c>
      <c r="M100" s="4">
        <v>2050</v>
      </c>
      <c r="N100" s="4" t="s">
        <v>5</v>
      </c>
      <c r="O100" s="4" t="s">
        <v>8</v>
      </c>
      <c r="P100" s="4" t="s">
        <v>9</v>
      </c>
      <c r="Q100" s="4" t="s">
        <v>10</v>
      </c>
      <c r="S100" s="117"/>
    </row>
    <row r="101" spans="1:32" x14ac:dyDescent="0.3">
      <c r="A101" s="4" t="s">
        <v>14</v>
      </c>
      <c r="B101" s="4">
        <f>100000*$E$72</f>
        <v>2800000</v>
      </c>
      <c r="C101" s="4">
        <f>100000*$E$72</f>
        <v>2800000</v>
      </c>
      <c r="D101" s="4" t="s">
        <v>15</v>
      </c>
      <c r="E101" s="4">
        <v>12</v>
      </c>
      <c r="F101" s="4">
        <v>0.9</v>
      </c>
      <c r="G101" s="4">
        <v>0.4</v>
      </c>
      <c r="H101" s="160" t="s">
        <v>118</v>
      </c>
      <c r="I101" s="118" t="s">
        <v>149</v>
      </c>
      <c r="K101" s="4" t="s">
        <v>18</v>
      </c>
      <c r="L101" s="4">
        <f>L89*2</f>
        <v>10000000</v>
      </c>
      <c r="M101" s="4">
        <f>M89*1.25</f>
        <v>6250000</v>
      </c>
      <c r="N101" s="4" t="s">
        <v>15</v>
      </c>
      <c r="O101" s="4">
        <v>12</v>
      </c>
      <c r="P101" s="4">
        <v>0.9</v>
      </c>
      <c r="Q101" s="4">
        <v>0.4</v>
      </c>
      <c r="R101" s="160" t="s">
        <v>303</v>
      </c>
      <c r="S101" s="117"/>
    </row>
    <row r="102" spans="1:32" x14ac:dyDescent="0.3">
      <c r="A102" s="4" t="s">
        <v>25</v>
      </c>
      <c r="B102" s="4">
        <f>-B101*0.05</f>
        <v>-140000</v>
      </c>
      <c r="C102" s="4">
        <f>-C101*0.05</f>
        <v>-140000</v>
      </c>
      <c r="D102" s="4" t="s">
        <v>15</v>
      </c>
      <c r="E102" s="4">
        <v>12</v>
      </c>
      <c r="F102" s="4">
        <v>0.9</v>
      </c>
      <c r="G102" s="4">
        <v>0.4</v>
      </c>
      <c r="H102" s="160" t="s">
        <v>26</v>
      </c>
      <c r="I102" s="117" t="s">
        <v>121</v>
      </c>
      <c r="K102" s="4" t="s">
        <v>28</v>
      </c>
      <c r="L102" s="4">
        <f>-L101*0.05</f>
        <v>-500000</v>
      </c>
      <c r="M102" s="4">
        <f>-M101*0.15</f>
        <v>-937500</v>
      </c>
      <c r="N102" s="4" t="s">
        <v>15</v>
      </c>
      <c r="O102" s="4">
        <v>12</v>
      </c>
      <c r="P102" s="4">
        <v>0.9</v>
      </c>
      <c r="Q102" s="4">
        <v>0.4</v>
      </c>
      <c r="R102" s="160" t="s">
        <v>26</v>
      </c>
      <c r="S102" s="117" t="s">
        <v>150</v>
      </c>
    </row>
    <row r="103" spans="1:32" x14ac:dyDescent="0.3">
      <c r="A103" s="4" t="s">
        <v>37</v>
      </c>
      <c r="B103" s="4">
        <f>250000+360000</f>
        <v>610000</v>
      </c>
      <c r="C103" s="4">
        <f>250000+360000</f>
        <v>610000</v>
      </c>
      <c r="D103" s="4" t="s">
        <v>38</v>
      </c>
      <c r="E103" s="4">
        <v>12</v>
      </c>
      <c r="F103" s="4">
        <v>0.9</v>
      </c>
      <c r="G103" s="4">
        <v>0.4</v>
      </c>
      <c r="H103" s="160" t="s">
        <v>16</v>
      </c>
      <c r="I103" s="117" t="s">
        <v>153</v>
      </c>
      <c r="K103" s="4" t="s">
        <v>41</v>
      </c>
      <c r="L103" s="4">
        <v>20</v>
      </c>
      <c r="M103" s="4">
        <v>20</v>
      </c>
      <c r="N103" s="4" t="s">
        <v>42</v>
      </c>
      <c r="O103" s="4">
        <v>12</v>
      </c>
      <c r="P103" s="4">
        <v>0.9</v>
      </c>
      <c r="Q103" s="4">
        <v>0.4</v>
      </c>
      <c r="R103" s="160" t="s">
        <v>9</v>
      </c>
      <c r="S103" s="117" t="s">
        <v>124</v>
      </c>
    </row>
    <row r="104" spans="1:32" x14ac:dyDescent="0.3">
      <c r="A104" s="4" t="s">
        <v>48</v>
      </c>
      <c r="B104" s="4">
        <f>$E$72*$E$73</f>
        <v>2240</v>
      </c>
      <c r="C104" s="4">
        <f>$E$72*$E$73</f>
        <v>2240</v>
      </c>
      <c r="D104" s="4" t="s">
        <v>49</v>
      </c>
      <c r="E104" s="4">
        <v>12</v>
      </c>
      <c r="F104" s="4">
        <v>0.9</v>
      </c>
      <c r="G104" s="4">
        <v>0.4</v>
      </c>
      <c r="H104" s="160" t="s">
        <v>125</v>
      </c>
      <c r="I104" s="118" t="s">
        <v>126</v>
      </c>
      <c r="K104" s="4" t="s">
        <v>52</v>
      </c>
      <c r="L104" s="113">
        <f>L101*0.13</f>
        <v>1300000</v>
      </c>
      <c r="M104" s="4">
        <f>M101*0.13</f>
        <v>812500</v>
      </c>
      <c r="N104" s="4" t="s">
        <v>38</v>
      </c>
      <c r="O104" s="4">
        <v>12</v>
      </c>
      <c r="P104" s="4">
        <v>0.9</v>
      </c>
      <c r="Q104" s="4">
        <v>0.4</v>
      </c>
      <c r="R104" s="160" t="s">
        <v>154</v>
      </c>
      <c r="S104" s="118" t="s">
        <v>155</v>
      </c>
    </row>
    <row r="105" spans="1:32" x14ac:dyDescent="0.3">
      <c r="A105" s="4" t="s">
        <v>56</v>
      </c>
      <c r="B105" s="4">
        <v>0.32</v>
      </c>
      <c r="C105" s="4">
        <v>0.32</v>
      </c>
      <c r="D105" s="4" t="s">
        <v>57</v>
      </c>
      <c r="E105" s="4">
        <v>12</v>
      </c>
      <c r="F105" s="4">
        <v>0.9</v>
      </c>
      <c r="G105" s="4">
        <v>0.4</v>
      </c>
      <c r="H105" s="160" t="s">
        <v>16</v>
      </c>
      <c r="I105" s="117" t="s">
        <v>156</v>
      </c>
      <c r="K105" s="4" t="s">
        <v>59</v>
      </c>
      <c r="L105" s="4">
        <f>L81*0.35/0.8</f>
        <v>27.1614</v>
      </c>
      <c r="M105" s="4">
        <f>M81*0.35/0.8</f>
        <v>27.1614</v>
      </c>
      <c r="N105" s="4" t="s">
        <v>60</v>
      </c>
      <c r="O105" s="4">
        <v>12</v>
      </c>
      <c r="P105" s="4">
        <v>0.9</v>
      </c>
      <c r="Q105" s="4">
        <v>0.4</v>
      </c>
      <c r="R105" s="160" t="s">
        <v>9</v>
      </c>
      <c r="S105" s="118" t="s">
        <v>157</v>
      </c>
    </row>
    <row r="106" spans="1:32" x14ac:dyDescent="0.3">
      <c r="A106" s="4" t="s">
        <v>64</v>
      </c>
      <c r="B106" s="4">
        <v>178500</v>
      </c>
      <c r="C106" s="4">
        <v>178500</v>
      </c>
      <c r="D106" s="4" t="s">
        <v>65</v>
      </c>
      <c r="E106" s="4">
        <v>12</v>
      </c>
      <c r="F106" s="4">
        <v>0.9</v>
      </c>
      <c r="G106" s="4">
        <v>0.4</v>
      </c>
      <c r="H106" s="160" t="s">
        <v>16</v>
      </c>
      <c r="I106" s="117" t="s">
        <v>156</v>
      </c>
      <c r="K106" s="4" t="s">
        <v>67</v>
      </c>
      <c r="L106" s="65">
        <v>9.2586511082899101E-2</v>
      </c>
      <c r="M106" s="65">
        <v>7.3304790352502799E-2</v>
      </c>
      <c r="N106" s="4" t="s">
        <v>68</v>
      </c>
      <c r="O106" s="4">
        <v>12</v>
      </c>
      <c r="P106" s="4">
        <v>0.9</v>
      </c>
      <c r="Q106" s="4">
        <v>0.4</v>
      </c>
      <c r="R106" s="160" t="s">
        <v>97</v>
      </c>
      <c r="S106" s="118" t="s">
        <v>302</v>
      </c>
    </row>
    <row r="107" spans="1:32" x14ac:dyDescent="0.3">
      <c r="A107" s="4" t="s">
        <v>70</v>
      </c>
      <c r="B107" s="4">
        <v>30</v>
      </c>
      <c r="C107" s="4">
        <v>30</v>
      </c>
      <c r="D107" s="4" t="s">
        <v>42</v>
      </c>
      <c r="E107" s="4">
        <v>12</v>
      </c>
      <c r="F107" s="4">
        <v>0.9</v>
      </c>
      <c r="G107" s="4">
        <v>0.4</v>
      </c>
      <c r="H107" s="160" t="s">
        <v>131</v>
      </c>
      <c r="I107" s="117" t="s">
        <v>132</v>
      </c>
      <c r="K107" s="4" t="s">
        <v>73</v>
      </c>
      <c r="L107" s="123">
        <f>1/E72</f>
        <v>3.5714285714285712E-2</v>
      </c>
      <c r="M107" s="123">
        <f>0.5/E72</f>
        <v>1.7857142857142856E-2</v>
      </c>
      <c r="N107" s="4" t="s">
        <v>57</v>
      </c>
      <c r="O107" s="4">
        <v>12</v>
      </c>
      <c r="P107" s="4">
        <v>0.9</v>
      </c>
      <c r="Q107" s="4">
        <v>0.4</v>
      </c>
      <c r="R107" s="160" t="s">
        <v>154</v>
      </c>
      <c r="S107" s="117" t="s">
        <v>158</v>
      </c>
    </row>
    <row r="108" spans="1:32" x14ac:dyDescent="0.3">
      <c r="A108" s="4" t="s">
        <v>288</v>
      </c>
      <c r="B108" s="114">
        <v>3.6414565826330532</v>
      </c>
      <c r="C108" s="114">
        <v>3.6414565826330532</v>
      </c>
      <c r="D108" s="4" t="s">
        <v>76</v>
      </c>
      <c r="E108" s="4">
        <v>12</v>
      </c>
      <c r="F108" s="4">
        <v>0.9</v>
      </c>
      <c r="G108" s="4">
        <v>0.4</v>
      </c>
      <c r="H108" s="160" t="s">
        <v>16</v>
      </c>
      <c r="I108" s="118" t="s">
        <v>146</v>
      </c>
      <c r="K108" s="4" t="s">
        <v>79</v>
      </c>
      <c r="L108" s="4">
        <v>0.06</v>
      </c>
      <c r="M108" s="4">
        <v>0.06</v>
      </c>
      <c r="N108" s="4" t="s">
        <v>57</v>
      </c>
      <c r="O108" s="4">
        <v>12</v>
      </c>
      <c r="P108" s="4">
        <v>0.9</v>
      </c>
      <c r="Q108" s="4">
        <v>0.4</v>
      </c>
      <c r="R108" s="160" t="s">
        <v>97</v>
      </c>
      <c r="S108" s="122" t="s">
        <v>74</v>
      </c>
    </row>
    <row r="109" spans="1:32" x14ac:dyDescent="0.3">
      <c r="I109" s="117"/>
      <c r="K109" s="4" t="s">
        <v>81</v>
      </c>
      <c r="L109" s="4">
        <f>AM81</f>
        <v>6.2900084210526327E-2</v>
      </c>
      <c r="M109" s="4">
        <f>AN81</f>
        <v>0</v>
      </c>
      <c r="N109" s="4" t="s">
        <v>76</v>
      </c>
      <c r="O109" s="4">
        <f>$O$47</f>
        <v>17</v>
      </c>
      <c r="P109" s="4">
        <f>$P$47</f>
        <v>0.9</v>
      </c>
      <c r="Q109" s="4">
        <f>$Q$47</f>
        <v>0.4</v>
      </c>
      <c r="R109" s="160" t="s">
        <v>326</v>
      </c>
      <c r="S109" s="118" t="s">
        <v>102</v>
      </c>
    </row>
    <row r="110" spans="1:32" x14ac:dyDescent="0.3">
      <c r="I110" s="117"/>
      <c r="S110" s="117"/>
    </row>
    <row r="111" spans="1:32" x14ac:dyDescent="0.3">
      <c r="E111" s="4" t="s">
        <v>2</v>
      </c>
      <c r="H111" s="4" t="s">
        <v>3</v>
      </c>
      <c r="I111" s="117"/>
      <c r="O111" s="4" t="s">
        <v>2</v>
      </c>
      <c r="R111" s="4" t="s">
        <v>3</v>
      </c>
      <c r="S111" s="117"/>
      <c r="AE111" s="4">
        <f>L81*0.35</f>
        <v>21.729120000000002</v>
      </c>
      <c r="AF111" s="4">
        <f>AE111/0.85</f>
        <v>25.563670588235297</v>
      </c>
    </row>
    <row r="112" spans="1:32" x14ac:dyDescent="0.3">
      <c r="A112" s="25" t="s">
        <v>286</v>
      </c>
      <c r="B112" s="4">
        <v>2023</v>
      </c>
      <c r="C112" s="4">
        <v>2050</v>
      </c>
      <c r="D112" s="4" t="s">
        <v>5</v>
      </c>
      <c r="E112" s="4" t="s">
        <v>8</v>
      </c>
      <c r="F112" s="4" t="s">
        <v>9</v>
      </c>
      <c r="G112" s="4" t="s">
        <v>10</v>
      </c>
      <c r="I112" s="117"/>
      <c r="K112" s="25" t="s">
        <v>103</v>
      </c>
      <c r="L112" s="4">
        <v>2023</v>
      </c>
      <c r="M112" s="4">
        <v>2050</v>
      </c>
      <c r="N112" s="4" t="s">
        <v>5</v>
      </c>
      <c r="O112" s="4" t="s">
        <v>8</v>
      </c>
      <c r="P112" s="4" t="s">
        <v>9</v>
      </c>
      <c r="Q112" s="4" t="s">
        <v>10</v>
      </c>
      <c r="S112" s="117"/>
    </row>
    <row r="113" spans="1:19" x14ac:dyDescent="0.3">
      <c r="A113" s="4" t="s">
        <v>14</v>
      </c>
      <c r="B113" s="4">
        <f>150000*$E$72</f>
        <v>4200000</v>
      </c>
      <c r="C113" s="4">
        <f>150000*$E$72</f>
        <v>4200000</v>
      </c>
      <c r="D113" s="4" t="s">
        <v>15</v>
      </c>
      <c r="E113" s="4">
        <v>12</v>
      </c>
      <c r="F113" s="4">
        <v>0.9</v>
      </c>
      <c r="G113" s="4">
        <v>0.4</v>
      </c>
      <c r="H113" s="160" t="s">
        <v>118</v>
      </c>
      <c r="I113" s="118" t="s">
        <v>119</v>
      </c>
      <c r="K113" s="4" t="s">
        <v>18</v>
      </c>
      <c r="L113" s="4">
        <f>L89*2</f>
        <v>10000000</v>
      </c>
      <c r="M113" s="4">
        <f>M89*0.8</f>
        <v>4000000</v>
      </c>
      <c r="N113" s="4" t="s">
        <v>15</v>
      </c>
      <c r="O113" s="4">
        <v>12</v>
      </c>
      <c r="P113" s="4">
        <v>0.9</v>
      </c>
      <c r="Q113" s="4">
        <v>0.4</v>
      </c>
      <c r="R113" s="160" t="s">
        <v>303</v>
      </c>
      <c r="S113" s="117"/>
    </row>
    <row r="114" spans="1:19" x14ac:dyDescent="0.3">
      <c r="A114" s="4" t="s">
        <v>25</v>
      </c>
      <c r="B114" s="4">
        <f>-B113*0.05</f>
        <v>-210000</v>
      </c>
      <c r="C114" s="4">
        <f>-C113*0.05</f>
        <v>-210000</v>
      </c>
      <c r="D114" s="4" t="s">
        <v>15</v>
      </c>
      <c r="E114" s="4">
        <v>12</v>
      </c>
      <c r="F114" s="4">
        <v>0.9</v>
      </c>
      <c r="G114" s="4">
        <v>0.4</v>
      </c>
      <c r="H114" s="160" t="s">
        <v>26</v>
      </c>
      <c r="I114" s="117" t="s">
        <v>121</v>
      </c>
      <c r="K114" s="4" t="s">
        <v>28</v>
      </c>
      <c r="L114" s="4">
        <f>-L113*0.05</f>
        <v>-500000</v>
      </c>
      <c r="M114" s="4">
        <f>-M113*0.15</f>
        <v>-600000</v>
      </c>
      <c r="N114" s="4" t="s">
        <v>15</v>
      </c>
      <c r="O114" s="4">
        <v>12</v>
      </c>
      <c r="P114" s="4">
        <v>0.9</v>
      </c>
      <c r="Q114" s="4">
        <v>0.4</v>
      </c>
      <c r="R114" s="160" t="s">
        <v>26</v>
      </c>
      <c r="S114" s="117" t="s">
        <v>150</v>
      </c>
    </row>
    <row r="115" spans="1:19" x14ac:dyDescent="0.3">
      <c r="A115" s="4" t="s">
        <v>37</v>
      </c>
      <c r="B115" s="4">
        <f>600000+850000</f>
        <v>1450000</v>
      </c>
      <c r="C115" s="4">
        <f>600000+850000</f>
        <v>1450000</v>
      </c>
      <c r="D115" s="4" t="s">
        <v>38</v>
      </c>
      <c r="E115" s="4">
        <v>12</v>
      </c>
      <c r="F115" s="4">
        <v>0.9</v>
      </c>
      <c r="G115" s="4">
        <v>0.4</v>
      </c>
      <c r="H115" s="160" t="s">
        <v>16</v>
      </c>
      <c r="I115" s="117" t="s">
        <v>159</v>
      </c>
      <c r="K115" s="4" t="s">
        <v>41</v>
      </c>
      <c r="L115" s="4">
        <v>20</v>
      </c>
      <c r="M115" s="4">
        <v>20</v>
      </c>
      <c r="N115" s="4" t="s">
        <v>42</v>
      </c>
      <c r="O115" s="4">
        <v>12</v>
      </c>
      <c r="P115" s="4">
        <v>0.9</v>
      </c>
      <c r="Q115" s="4">
        <v>0.4</v>
      </c>
      <c r="R115" s="160" t="s">
        <v>9</v>
      </c>
      <c r="S115" s="117" t="s">
        <v>124</v>
      </c>
    </row>
    <row r="116" spans="1:19" x14ac:dyDescent="0.3">
      <c r="A116" s="4" t="s">
        <v>48</v>
      </c>
      <c r="B116" s="4">
        <f>$E$72*$E$73</f>
        <v>2240</v>
      </c>
      <c r="C116" s="4">
        <f>$E$72*$E$73</f>
        <v>2240</v>
      </c>
      <c r="D116" s="4" t="s">
        <v>49</v>
      </c>
      <c r="E116" s="4">
        <v>12</v>
      </c>
      <c r="F116" s="4">
        <v>0.9</v>
      </c>
      <c r="G116" s="4">
        <v>0.4</v>
      </c>
      <c r="H116" s="160" t="s">
        <v>125</v>
      </c>
      <c r="I116" s="118" t="s">
        <v>126</v>
      </c>
      <c r="K116" s="4" t="s">
        <v>52</v>
      </c>
      <c r="L116" s="4">
        <f>L113*0.14</f>
        <v>1400000.0000000002</v>
      </c>
      <c r="M116" s="4">
        <f>M113*0.14</f>
        <v>560000</v>
      </c>
      <c r="N116" s="4" t="s">
        <v>38</v>
      </c>
      <c r="O116" s="4">
        <v>12</v>
      </c>
      <c r="P116" s="4">
        <v>0.9</v>
      </c>
      <c r="Q116" s="4">
        <v>0.4</v>
      </c>
      <c r="R116" s="160" t="s">
        <v>154</v>
      </c>
      <c r="S116" s="118" t="s">
        <v>155</v>
      </c>
    </row>
    <row r="117" spans="1:19" x14ac:dyDescent="0.3">
      <c r="A117" s="4" t="s">
        <v>56</v>
      </c>
      <c r="B117" s="4">
        <v>0.54</v>
      </c>
      <c r="C117" s="4">
        <v>0.54</v>
      </c>
      <c r="D117" s="4" t="s">
        <v>57</v>
      </c>
      <c r="E117" s="4">
        <v>12</v>
      </c>
      <c r="F117" s="4">
        <v>0.9</v>
      </c>
      <c r="G117" s="4">
        <v>0.4</v>
      </c>
      <c r="H117" s="160" t="s">
        <v>16</v>
      </c>
      <c r="I117" s="117" t="s">
        <v>160</v>
      </c>
      <c r="K117" s="4" t="s">
        <v>59</v>
      </c>
      <c r="L117" s="4">
        <f>L81*0.35/0.55</f>
        <v>39.507490909090912</v>
      </c>
      <c r="M117" s="4">
        <f>M81*0.35/0.65</f>
        <v>33.429415384615389</v>
      </c>
      <c r="N117" s="4" t="s">
        <v>60</v>
      </c>
      <c r="O117" s="4">
        <v>12</v>
      </c>
      <c r="P117" s="4">
        <v>0.9</v>
      </c>
      <c r="Q117" s="4">
        <v>0.4</v>
      </c>
      <c r="R117" s="160" t="s">
        <v>9</v>
      </c>
      <c r="S117" s="118" t="s">
        <v>161</v>
      </c>
    </row>
    <row r="118" spans="1:19" x14ac:dyDescent="0.3">
      <c r="A118" s="4" t="s">
        <v>64</v>
      </c>
      <c r="B118" s="4">
        <v>178500</v>
      </c>
      <c r="C118" s="4">
        <v>178500</v>
      </c>
      <c r="D118" s="4" t="s">
        <v>65</v>
      </c>
      <c r="E118" s="4">
        <v>12</v>
      </c>
      <c r="F118" s="4">
        <v>0.9</v>
      </c>
      <c r="G118" s="4">
        <v>0.4</v>
      </c>
      <c r="H118" s="160" t="s">
        <v>16</v>
      </c>
      <c r="I118" s="117" t="s">
        <v>160</v>
      </c>
      <c r="K118" s="4" t="s">
        <v>67</v>
      </c>
      <c r="L118" s="65">
        <v>0.21633448448114301</v>
      </c>
      <c r="M118" s="65">
        <v>0.101814693285632</v>
      </c>
      <c r="N118" s="4" t="s">
        <v>68</v>
      </c>
      <c r="O118" s="4">
        <v>12</v>
      </c>
      <c r="P118" s="4">
        <v>0.9</v>
      </c>
      <c r="Q118" s="4">
        <v>0.4</v>
      </c>
      <c r="R118" s="160" t="s">
        <v>97</v>
      </c>
      <c r="S118" s="118" t="s">
        <v>301</v>
      </c>
    </row>
    <row r="119" spans="1:19" x14ac:dyDescent="0.3">
      <c r="A119" s="4" t="s">
        <v>70</v>
      </c>
      <c r="B119" s="4">
        <v>30</v>
      </c>
      <c r="C119" s="4">
        <v>30</v>
      </c>
      <c r="D119" s="4" t="s">
        <v>42</v>
      </c>
      <c r="E119" s="4">
        <v>12</v>
      </c>
      <c r="F119" s="4">
        <v>0.9</v>
      </c>
      <c r="G119" s="4">
        <v>0.4</v>
      </c>
      <c r="H119" s="160" t="s">
        <v>131</v>
      </c>
      <c r="I119" s="117" t="s">
        <v>132</v>
      </c>
      <c r="K119" s="4" t="s">
        <v>73</v>
      </c>
      <c r="L119" s="123">
        <f>0.5/E72</f>
        <v>1.7857142857142856E-2</v>
      </c>
      <c r="M119" s="123">
        <f>0.5/E72</f>
        <v>1.7857142857142856E-2</v>
      </c>
      <c r="N119" s="4" t="s">
        <v>57</v>
      </c>
      <c r="O119" s="4">
        <v>12</v>
      </c>
      <c r="P119" s="4">
        <v>0.9</v>
      </c>
      <c r="Q119" s="4">
        <v>0.4</v>
      </c>
      <c r="R119" s="160" t="s">
        <v>154</v>
      </c>
      <c r="S119" s="117" t="s">
        <v>162</v>
      </c>
    </row>
    <row r="120" spans="1:19" x14ac:dyDescent="0.3">
      <c r="A120" s="4" t="s">
        <v>288</v>
      </c>
      <c r="B120" s="4">
        <v>8.9635854341736696</v>
      </c>
      <c r="C120" s="4">
        <v>8.9635854341736696</v>
      </c>
      <c r="D120" s="4" t="s">
        <v>76</v>
      </c>
      <c r="E120" s="4">
        <v>12</v>
      </c>
      <c r="F120" s="4">
        <v>0.9</v>
      </c>
      <c r="G120" s="4">
        <v>0.4</v>
      </c>
      <c r="H120" s="160" t="s">
        <v>16</v>
      </c>
      <c r="I120" s="118" t="s">
        <v>163</v>
      </c>
      <c r="K120" s="4" t="s">
        <v>79</v>
      </c>
      <c r="L120" s="4">
        <v>0.06</v>
      </c>
      <c r="M120" s="4">
        <v>0.06</v>
      </c>
      <c r="N120" s="4" t="s">
        <v>57</v>
      </c>
      <c r="O120" s="4">
        <v>12</v>
      </c>
      <c r="P120" s="4">
        <v>0.9</v>
      </c>
      <c r="Q120" s="4">
        <v>0.4</v>
      </c>
      <c r="R120" s="160" t="s">
        <v>97</v>
      </c>
      <c r="S120" s="122" t="s">
        <v>74</v>
      </c>
    </row>
    <row r="121" spans="1:19" x14ac:dyDescent="0.3">
      <c r="I121" s="117"/>
      <c r="K121" s="4" t="s">
        <v>81</v>
      </c>
      <c r="L121" s="4">
        <f>AC81</f>
        <v>0.14248603278688524</v>
      </c>
      <c r="M121" s="4">
        <f>AD81</f>
        <v>0</v>
      </c>
      <c r="N121" s="4" t="s">
        <v>76</v>
      </c>
      <c r="O121" s="4">
        <f>$O$47</f>
        <v>17</v>
      </c>
      <c r="P121" s="4">
        <f>$P$47</f>
        <v>0.9</v>
      </c>
      <c r="Q121" s="4">
        <f>$Q$47</f>
        <v>0.4</v>
      </c>
      <c r="R121" s="160" t="s">
        <v>326</v>
      </c>
      <c r="S121" s="118" t="s">
        <v>300</v>
      </c>
    </row>
    <row r="122" spans="1:19" x14ac:dyDescent="0.3">
      <c r="E122" s="4" t="s">
        <v>2</v>
      </c>
      <c r="I122" s="117"/>
      <c r="S122" s="117"/>
    </row>
    <row r="123" spans="1:19" x14ac:dyDescent="0.3">
      <c r="A123" s="25" t="s">
        <v>287</v>
      </c>
      <c r="B123" s="4">
        <v>2023</v>
      </c>
      <c r="C123" s="4">
        <v>2050</v>
      </c>
      <c r="D123" s="4" t="s">
        <v>5</v>
      </c>
      <c r="E123" s="4" t="s">
        <v>8</v>
      </c>
      <c r="F123" s="4" t="s">
        <v>9</v>
      </c>
      <c r="G123" s="4" t="s">
        <v>10</v>
      </c>
      <c r="H123" s="4" t="s">
        <v>3</v>
      </c>
      <c r="I123" s="117"/>
      <c r="S123" s="34"/>
    </row>
    <row r="124" spans="1:19" x14ac:dyDescent="0.3">
      <c r="A124" s="4" t="s">
        <v>14</v>
      </c>
      <c r="B124" s="4">
        <f>125000*$E$72</f>
        <v>3500000</v>
      </c>
      <c r="C124" s="4">
        <f>125000*$E$72</f>
        <v>3500000</v>
      </c>
      <c r="D124" s="4" t="s">
        <v>15</v>
      </c>
      <c r="E124" s="4">
        <v>12</v>
      </c>
      <c r="F124" s="4">
        <v>0.9</v>
      </c>
      <c r="G124" s="4">
        <v>0.4</v>
      </c>
      <c r="H124" s="160" t="s">
        <v>118</v>
      </c>
      <c r="I124" s="118" t="s">
        <v>164</v>
      </c>
    </row>
    <row r="125" spans="1:19" x14ac:dyDescent="0.3">
      <c r="A125" s="4" t="s">
        <v>25</v>
      </c>
      <c r="B125" s="4">
        <f>-B124*0.05</f>
        <v>-175000</v>
      </c>
      <c r="C125" s="4">
        <f>-C124*0.05</f>
        <v>-175000</v>
      </c>
      <c r="D125" s="4" t="s">
        <v>15</v>
      </c>
      <c r="E125" s="4">
        <v>12</v>
      </c>
      <c r="F125" s="4">
        <v>0.9</v>
      </c>
      <c r="G125" s="4">
        <v>0.4</v>
      </c>
      <c r="H125" s="160" t="s">
        <v>26</v>
      </c>
      <c r="I125" s="117" t="s">
        <v>121</v>
      </c>
    </row>
    <row r="126" spans="1:19" x14ac:dyDescent="0.3">
      <c r="A126" s="4" t="s">
        <v>37</v>
      </c>
      <c r="B126" s="4">
        <v>650000</v>
      </c>
      <c r="C126" s="4">
        <v>650000</v>
      </c>
      <c r="D126" s="4" t="s">
        <v>38</v>
      </c>
      <c r="E126" s="4">
        <v>12</v>
      </c>
      <c r="F126" s="4">
        <v>0.9</v>
      </c>
      <c r="G126" s="4">
        <v>0.4</v>
      </c>
      <c r="H126" s="160" t="s">
        <v>16</v>
      </c>
      <c r="I126" s="117" t="s">
        <v>165</v>
      </c>
    </row>
    <row r="127" spans="1:19" x14ac:dyDescent="0.3">
      <c r="A127" s="4" t="s">
        <v>48</v>
      </c>
      <c r="B127" s="4">
        <v>2800</v>
      </c>
      <c r="C127" s="4">
        <v>2800</v>
      </c>
      <c r="D127" s="4" t="s">
        <v>49</v>
      </c>
      <c r="E127" s="4">
        <v>12</v>
      </c>
      <c r="F127" s="4">
        <v>0.9</v>
      </c>
      <c r="G127" s="4">
        <v>0.4</v>
      </c>
      <c r="H127" s="160" t="s">
        <v>125</v>
      </c>
      <c r="I127" s="118" t="s">
        <v>126</v>
      </c>
    </row>
    <row r="128" spans="1:19" x14ac:dyDescent="0.3">
      <c r="A128" s="4" t="s">
        <v>56</v>
      </c>
      <c r="B128" s="4">
        <v>0.32</v>
      </c>
      <c r="C128" s="4">
        <v>0.32</v>
      </c>
      <c r="D128" s="4" t="s">
        <v>57</v>
      </c>
      <c r="E128" s="4">
        <v>12</v>
      </c>
      <c r="F128" s="4">
        <v>0.9</v>
      </c>
      <c r="G128" s="4">
        <v>0.4</v>
      </c>
      <c r="H128" s="160" t="s">
        <v>16</v>
      </c>
      <c r="I128" s="117" t="s">
        <v>166</v>
      </c>
      <c r="N128" s="113"/>
    </row>
    <row r="129" spans="1:47" x14ac:dyDescent="0.3">
      <c r="A129" s="4" t="s">
        <v>64</v>
      </c>
      <c r="B129" s="4">
        <v>178500</v>
      </c>
      <c r="C129" s="4">
        <v>178500</v>
      </c>
      <c r="D129" s="4" t="s">
        <v>65</v>
      </c>
      <c r="E129" s="4">
        <v>12</v>
      </c>
      <c r="F129" s="4">
        <v>0.9</v>
      </c>
      <c r="G129" s="4">
        <v>0.4</v>
      </c>
      <c r="H129" s="160" t="s">
        <v>16</v>
      </c>
      <c r="I129" s="117" t="s">
        <v>166</v>
      </c>
      <c r="N129" s="113"/>
    </row>
    <row r="130" spans="1:47" x14ac:dyDescent="0.3">
      <c r="A130" s="4" t="s">
        <v>70</v>
      </c>
      <c r="B130" s="4">
        <v>30</v>
      </c>
      <c r="C130" s="4">
        <v>30</v>
      </c>
      <c r="D130" s="4" t="s">
        <v>42</v>
      </c>
      <c r="E130" s="4">
        <v>12</v>
      </c>
      <c r="F130" s="4">
        <v>0.9</v>
      </c>
      <c r="G130" s="4">
        <v>0.4</v>
      </c>
      <c r="H130" s="160" t="s">
        <v>131</v>
      </c>
      <c r="I130" s="117" t="s">
        <v>132</v>
      </c>
    </row>
    <row r="131" spans="1:47" x14ac:dyDescent="0.3">
      <c r="A131" s="4" t="s">
        <v>288</v>
      </c>
      <c r="B131" s="114">
        <v>3.9215686274509802</v>
      </c>
      <c r="C131" s="114">
        <v>3.9215686274509802</v>
      </c>
      <c r="D131" s="4" t="s">
        <v>76</v>
      </c>
      <c r="E131" s="4">
        <v>12</v>
      </c>
      <c r="F131" s="4">
        <v>0.9</v>
      </c>
      <c r="G131" s="4">
        <v>0.4</v>
      </c>
      <c r="H131" s="160" t="s">
        <v>16</v>
      </c>
      <c r="I131" s="118" t="s">
        <v>167</v>
      </c>
    </row>
    <row r="132" spans="1:47" x14ac:dyDescent="0.3">
      <c r="I132" s="117"/>
    </row>
    <row r="133" spans="1:47" x14ac:dyDescent="0.3">
      <c r="I133" s="117"/>
    </row>
    <row r="135" spans="1:47" s="93" customFormat="1" ht="31.2" x14ac:dyDescent="0.6">
      <c r="A135" s="93" t="s">
        <v>274</v>
      </c>
      <c r="K135" s="93" t="s">
        <v>0</v>
      </c>
    </row>
    <row r="137" spans="1:47" x14ac:dyDescent="0.3">
      <c r="B137" s="167" t="s">
        <v>292</v>
      </c>
      <c r="I137" s="113"/>
      <c r="K137" s="40"/>
    </row>
    <row r="138" spans="1:47" x14ac:dyDescent="0.3">
      <c r="A138" s="95" t="s">
        <v>168</v>
      </c>
    </row>
    <row r="139" spans="1:47" ht="15" thickBot="1" x14ac:dyDescent="0.35">
      <c r="L139" s="166"/>
    </row>
    <row r="140" spans="1:47" x14ac:dyDescent="0.3">
      <c r="E140" s="4" t="s">
        <v>2</v>
      </c>
      <c r="H140" s="4" t="s">
        <v>3</v>
      </c>
      <c r="O140" s="4" t="s">
        <v>2</v>
      </c>
      <c r="R140" s="4" t="s">
        <v>3</v>
      </c>
      <c r="W140" s="99" t="s">
        <v>169</v>
      </c>
      <c r="X140" s="100">
        <v>2023</v>
      </c>
      <c r="Y140" s="100">
        <v>2050</v>
      </c>
      <c r="Z140" s="101" t="s">
        <v>5</v>
      </c>
      <c r="AB140" s="99" t="s">
        <v>289</v>
      </c>
      <c r="AC140" s="100">
        <v>2023</v>
      </c>
      <c r="AD140" s="100">
        <v>2050</v>
      </c>
      <c r="AE140" s="101" t="s">
        <v>5</v>
      </c>
      <c r="AG140" s="99" t="s">
        <v>170</v>
      </c>
      <c r="AH140" s="100">
        <v>2023</v>
      </c>
      <c r="AI140" s="100">
        <v>2050</v>
      </c>
      <c r="AJ140" s="101" t="s">
        <v>5</v>
      </c>
      <c r="AL140" s="99" t="s">
        <v>171</v>
      </c>
      <c r="AM140" s="100">
        <v>2023</v>
      </c>
      <c r="AN140" s="100">
        <v>2050</v>
      </c>
      <c r="AO140" s="101" t="s">
        <v>5</v>
      </c>
      <c r="AQ140" s="99" t="s">
        <v>172</v>
      </c>
      <c r="AR140" s="100">
        <v>2023</v>
      </c>
      <c r="AS140" s="100">
        <v>2050</v>
      </c>
      <c r="AT140" s="101" t="s">
        <v>5</v>
      </c>
    </row>
    <row r="141" spans="1:47" x14ac:dyDescent="0.3">
      <c r="A141" s="25" t="s">
        <v>173</v>
      </c>
      <c r="B141" s="4">
        <v>2023</v>
      </c>
      <c r="C141" s="4">
        <v>2050</v>
      </c>
      <c r="D141" s="4" t="s">
        <v>5</v>
      </c>
      <c r="E141" s="4" t="s">
        <v>8</v>
      </c>
      <c r="F141" s="4" t="s">
        <v>9</v>
      </c>
      <c r="G141" s="4" t="s">
        <v>10</v>
      </c>
      <c r="I141" s="117"/>
      <c r="K141" s="25" t="s">
        <v>290</v>
      </c>
      <c r="L141" s="4">
        <v>2023</v>
      </c>
      <c r="M141" s="4">
        <v>2050</v>
      </c>
      <c r="N141" s="4" t="s">
        <v>5</v>
      </c>
      <c r="O141" s="4" t="s">
        <v>8</v>
      </c>
      <c r="P141" s="4" t="s">
        <v>9</v>
      </c>
      <c r="Q141" s="4" t="s">
        <v>10</v>
      </c>
      <c r="W141" s="102" t="s">
        <v>12</v>
      </c>
      <c r="X141" s="107">
        <f>$L$47</f>
        <v>100</v>
      </c>
      <c r="Y141" s="107">
        <f>$M$47</f>
        <v>350</v>
      </c>
      <c r="Z141" s="103" t="s">
        <v>13</v>
      </c>
      <c r="AB141" s="102" t="s">
        <v>12</v>
      </c>
      <c r="AC141" s="107">
        <f>$L$47</f>
        <v>100</v>
      </c>
      <c r="AD141" s="107">
        <f>$M$47</f>
        <v>350</v>
      </c>
      <c r="AE141" s="103" t="s">
        <v>13</v>
      </c>
      <c r="AG141" s="102" t="s">
        <v>12</v>
      </c>
      <c r="AH141" s="107">
        <f>$L$47</f>
        <v>100</v>
      </c>
      <c r="AI141" s="107">
        <f>$M$47</f>
        <v>350</v>
      </c>
      <c r="AJ141" s="103" t="s">
        <v>13</v>
      </c>
      <c r="AL141" s="102" t="s">
        <v>12</v>
      </c>
      <c r="AM141" s="107">
        <f>$L$47</f>
        <v>100</v>
      </c>
      <c r="AN141" s="107">
        <f>$M$47</f>
        <v>350</v>
      </c>
      <c r="AO141" s="103" t="s">
        <v>13</v>
      </c>
      <c r="AQ141" s="102" t="s">
        <v>12</v>
      </c>
      <c r="AR141" s="107">
        <f>$L$47</f>
        <v>100</v>
      </c>
      <c r="AS141" s="107">
        <f>$M$47</f>
        <v>350</v>
      </c>
      <c r="AT141" s="103" t="s">
        <v>13</v>
      </c>
    </row>
    <row r="142" spans="1:47" x14ac:dyDescent="0.3">
      <c r="A142" s="4" t="s">
        <v>14</v>
      </c>
      <c r="B142" s="113">
        <v>1000000</v>
      </c>
      <c r="C142" s="4">
        <v>1000000</v>
      </c>
      <c r="D142" s="4" t="s">
        <v>15</v>
      </c>
      <c r="E142" s="4">
        <v>17</v>
      </c>
      <c r="F142" s="4">
        <v>0.9</v>
      </c>
      <c r="G142" s="4">
        <v>0.4</v>
      </c>
      <c r="H142" s="160" t="s">
        <v>310</v>
      </c>
      <c r="I142" s="118" t="s">
        <v>174</v>
      </c>
      <c r="K142" s="4" t="s">
        <v>18</v>
      </c>
      <c r="L142" s="4">
        <v>15000000</v>
      </c>
      <c r="M142" s="4">
        <v>15000000</v>
      </c>
      <c r="N142" s="4" t="s">
        <v>15</v>
      </c>
      <c r="O142" s="4">
        <v>17</v>
      </c>
      <c r="P142" s="4">
        <v>0.9</v>
      </c>
      <c r="Q142" s="4">
        <v>0.4</v>
      </c>
      <c r="R142" s="160" t="s">
        <v>294</v>
      </c>
      <c r="S142" s="117" t="s">
        <v>295</v>
      </c>
      <c r="W142" s="102" t="s">
        <v>20</v>
      </c>
      <c r="X142" s="170">
        <v>3.17</v>
      </c>
      <c r="Y142" s="170"/>
      <c r="Z142" s="103" t="s">
        <v>21</v>
      </c>
      <c r="AB142" s="102" t="s">
        <v>20</v>
      </c>
      <c r="AC142" s="170">
        <v>3.2</v>
      </c>
      <c r="AD142" s="170"/>
      <c r="AE142" s="103" t="s">
        <v>21</v>
      </c>
      <c r="AG142" s="102" t="s">
        <v>22</v>
      </c>
      <c r="AH142" s="4">
        <v>2.1999999999999999E-2</v>
      </c>
      <c r="AI142" s="4">
        <v>0</v>
      </c>
      <c r="AJ142" s="4" t="s">
        <v>23</v>
      </c>
      <c r="AL142" s="102" t="s">
        <v>22</v>
      </c>
      <c r="AM142" s="4">
        <v>2.1999999999999999E-2</v>
      </c>
      <c r="AN142" s="4">
        <v>0</v>
      </c>
      <c r="AO142" s="4" t="s">
        <v>23</v>
      </c>
      <c r="AQ142" s="102" t="s">
        <v>22</v>
      </c>
      <c r="AR142" s="4">
        <v>2.1999999999999999E-2</v>
      </c>
      <c r="AS142" s="4">
        <v>0</v>
      </c>
      <c r="AT142" s="4" t="s">
        <v>23</v>
      </c>
      <c r="AU142" s="4" t="s">
        <v>24</v>
      </c>
    </row>
    <row r="143" spans="1:47" x14ac:dyDescent="0.3">
      <c r="A143" s="4" t="s">
        <v>25</v>
      </c>
      <c r="B143" s="4">
        <f>-B142*0.1</f>
        <v>-100000</v>
      </c>
      <c r="C143" s="4">
        <f>-C142*0.1</f>
        <v>-100000</v>
      </c>
      <c r="D143" s="4" t="s">
        <v>15</v>
      </c>
      <c r="E143" s="4">
        <v>17</v>
      </c>
      <c r="F143" s="4">
        <v>0.9</v>
      </c>
      <c r="G143" s="4">
        <v>0.4</v>
      </c>
      <c r="H143" s="160" t="s">
        <v>310</v>
      </c>
      <c r="I143" s="117" t="s">
        <v>175</v>
      </c>
      <c r="K143" s="4" t="s">
        <v>28</v>
      </c>
      <c r="L143" s="4">
        <f>-L142*0.1</f>
        <v>-1500000</v>
      </c>
      <c r="M143" s="4">
        <f>-M142*0.05</f>
        <v>-750000</v>
      </c>
      <c r="N143" s="4" t="s">
        <v>15</v>
      </c>
      <c r="O143" s="4">
        <v>17</v>
      </c>
      <c r="P143" s="4">
        <v>0.9</v>
      </c>
      <c r="Q143" s="4">
        <v>0.4</v>
      </c>
      <c r="R143" s="160" t="s">
        <v>26</v>
      </c>
      <c r="S143" s="117" t="s">
        <v>176</v>
      </c>
      <c r="W143" s="102" t="s">
        <v>31</v>
      </c>
      <c r="X143" s="170">
        <v>11.89</v>
      </c>
      <c r="Y143" s="170"/>
      <c r="Z143" s="103" t="s">
        <v>32</v>
      </c>
      <c r="AB143" s="102" t="s">
        <v>31</v>
      </c>
      <c r="AC143" s="170">
        <v>11.39</v>
      </c>
      <c r="AD143" s="170"/>
      <c r="AE143" s="103" t="s">
        <v>32</v>
      </c>
      <c r="AG143" s="102" t="s">
        <v>33</v>
      </c>
      <c r="AH143" s="94">
        <v>0.53</v>
      </c>
      <c r="AI143" s="94">
        <v>0.61</v>
      </c>
      <c r="AJ143" s="103" t="s">
        <v>34</v>
      </c>
      <c r="AL143" s="102" t="s">
        <v>35</v>
      </c>
      <c r="AM143" s="94">
        <v>0.52</v>
      </c>
      <c r="AN143" s="94">
        <v>0.6</v>
      </c>
      <c r="AO143" s="103" t="s">
        <v>34</v>
      </c>
      <c r="AQ143" s="102" t="s">
        <v>35</v>
      </c>
      <c r="AR143" s="94">
        <v>0.45</v>
      </c>
      <c r="AS143" s="94">
        <v>0.56000000000000005</v>
      </c>
      <c r="AT143" s="103" t="s">
        <v>34</v>
      </c>
      <c r="AU143" s="4" t="s">
        <v>36</v>
      </c>
    </row>
    <row r="144" spans="1:47" x14ac:dyDescent="0.3">
      <c r="A144" s="4" t="s">
        <v>37</v>
      </c>
      <c r="B144" s="4">
        <f>(793000+106000+128000)/0.85</f>
        <v>1208235.294117647</v>
      </c>
      <c r="C144" s="4">
        <f>(793000+106000+128000)/0.85</f>
        <v>1208235.294117647</v>
      </c>
      <c r="D144" s="4" t="s">
        <v>38</v>
      </c>
      <c r="E144" s="4">
        <v>17</v>
      </c>
      <c r="F144" s="4">
        <v>0.9</v>
      </c>
      <c r="G144" s="4">
        <v>0.4</v>
      </c>
      <c r="H144" s="160" t="s">
        <v>335</v>
      </c>
      <c r="I144" s="117" t="s">
        <v>320</v>
      </c>
      <c r="K144" s="4" t="s">
        <v>41</v>
      </c>
      <c r="L144" s="4">
        <v>25</v>
      </c>
      <c r="M144" s="4">
        <v>25</v>
      </c>
      <c r="N144" s="4" t="s">
        <v>42</v>
      </c>
      <c r="O144" s="4">
        <v>17</v>
      </c>
      <c r="P144" s="4">
        <v>0.9</v>
      </c>
      <c r="Q144" s="4">
        <v>0.4</v>
      </c>
      <c r="R144" s="160" t="s">
        <v>43</v>
      </c>
      <c r="S144" s="117" t="s">
        <v>74</v>
      </c>
      <c r="W144" s="102" t="s">
        <v>45</v>
      </c>
      <c r="X144" s="169">
        <f>X142/X143</f>
        <v>0.26661059714045415</v>
      </c>
      <c r="Y144" s="169"/>
      <c r="Z144" s="103" t="s">
        <v>46</v>
      </c>
      <c r="AB144" s="102" t="s">
        <v>45</v>
      </c>
      <c r="AC144" s="169">
        <f>AC142/AC143</f>
        <v>0.28094820017559263</v>
      </c>
      <c r="AD144" s="169"/>
      <c r="AE144" s="103" t="s">
        <v>46</v>
      </c>
      <c r="AG144" s="102" t="s">
        <v>47</v>
      </c>
      <c r="AH144" s="109">
        <f>AH142/AH143</f>
        <v>4.1509433962264149E-2</v>
      </c>
      <c r="AI144" s="109">
        <f>AI142/AI143</f>
        <v>0</v>
      </c>
      <c r="AJ144" s="103" t="s">
        <v>46</v>
      </c>
      <c r="AL144" s="102" t="s">
        <v>22</v>
      </c>
      <c r="AM144" s="109">
        <f>AM142/AM143</f>
        <v>4.2307692307692303E-2</v>
      </c>
      <c r="AN144" s="109">
        <f>AN142/AN143</f>
        <v>0</v>
      </c>
      <c r="AO144" s="103" t="s">
        <v>46</v>
      </c>
      <c r="AQ144" s="102" t="s">
        <v>22</v>
      </c>
      <c r="AR144" s="109">
        <f>AR142/AR143</f>
        <v>4.8888888888888885E-2</v>
      </c>
      <c r="AS144" s="109">
        <f>AS142/AS143</f>
        <v>0</v>
      </c>
      <c r="AT144" s="103" t="s">
        <v>46</v>
      </c>
    </row>
    <row r="145" spans="1:46" x14ac:dyDescent="0.3">
      <c r="A145" s="4" t="s">
        <v>48</v>
      </c>
      <c r="B145" s="4">
        <v>9450</v>
      </c>
      <c r="C145" s="4">
        <v>9450</v>
      </c>
      <c r="D145" s="4" t="s">
        <v>49</v>
      </c>
      <c r="E145" s="4">
        <v>17</v>
      </c>
      <c r="F145" s="4">
        <v>0.9</v>
      </c>
      <c r="G145" s="4">
        <v>0.4</v>
      </c>
      <c r="H145" s="160" t="s">
        <v>334</v>
      </c>
      <c r="I145" s="117" t="s">
        <v>311</v>
      </c>
      <c r="K145" s="4" t="s">
        <v>52</v>
      </c>
      <c r="L145" s="4">
        <f>(84000+127000+122000+82000)/0.85</f>
        <v>488235.29411764705</v>
      </c>
      <c r="M145" s="4">
        <f>(84000+127000+122000+82000)/0.85</f>
        <v>488235.29411764705</v>
      </c>
      <c r="N145" s="4" t="s">
        <v>38</v>
      </c>
      <c r="O145" s="4">
        <v>17</v>
      </c>
      <c r="P145" s="4">
        <v>0.9</v>
      </c>
      <c r="Q145" s="4">
        <v>0.4</v>
      </c>
      <c r="R145" s="160" t="s">
        <v>9</v>
      </c>
      <c r="S145" s="117" t="s">
        <v>321</v>
      </c>
      <c r="W145" s="102" t="s">
        <v>54</v>
      </c>
      <c r="X145" s="4">
        <f>L146*X144</f>
        <v>172.49705634987384</v>
      </c>
      <c r="Y145" s="4">
        <f>M146*X144</f>
        <v>159.9663582842725</v>
      </c>
      <c r="Z145" s="103" t="s">
        <v>55</v>
      </c>
      <c r="AB145" s="102" t="s">
        <v>54</v>
      </c>
      <c r="AC145" s="4">
        <f>L158*AC144</f>
        <v>181.77348551360842</v>
      </c>
      <c r="AD145" s="4">
        <f>M158*AC144</f>
        <v>168.56892010535557</v>
      </c>
      <c r="AE145" s="103" t="s">
        <v>55</v>
      </c>
      <c r="AG145" s="102" t="s">
        <v>54</v>
      </c>
      <c r="AH145" s="4">
        <f>AH144*L171</f>
        <v>24.449056603773585</v>
      </c>
      <c r="AI145" s="4">
        <f>AI144*M171</f>
        <v>0</v>
      </c>
      <c r="AJ145" s="103" t="s">
        <v>55</v>
      </c>
      <c r="AL145" s="102" t="s">
        <v>54</v>
      </c>
      <c r="AM145" s="4">
        <f>AM144*L183</f>
        <v>24.919230769230765</v>
      </c>
      <c r="AN145" s="4">
        <f>AN144*M183</f>
        <v>0</v>
      </c>
      <c r="AO145" s="103" t="s">
        <v>55</v>
      </c>
      <c r="AQ145" s="102" t="s">
        <v>54</v>
      </c>
      <c r="AR145" s="4">
        <f>AR144*L195</f>
        <v>31.631111111111107</v>
      </c>
      <c r="AS145" s="4">
        <f>AS144*M195</f>
        <v>0</v>
      </c>
      <c r="AT145" s="103" t="s">
        <v>55</v>
      </c>
    </row>
    <row r="146" spans="1:46" ht="15" thickBot="1" x14ac:dyDescent="0.35">
      <c r="A146" s="4" t="s">
        <v>56</v>
      </c>
      <c r="B146" s="4">
        <v>0.51</v>
      </c>
      <c r="C146" s="4">
        <v>0.51</v>
      </c>
      <c r="D146" s="4" t="s">
        <v>57</v>
      </c>
      <c r="E146" s="4">
        <v>17</v>
      </c>
      <c r="F146" s="4">
        <v>0.9</v>
      </c>
      <c r="G146" s="4">
        <v>0.4</v>
      </c>
      <c r="H146" s="160" t="s">
        <v>16</v>
      </c>
      <c r="I146" s="117" t="s">
        <v>312</v>
      </c>
      <c r="K146" s="4" t="s">
        <v>59</v>
      </c>
      <c r="L146" s="4">
        <v>647</v>
      </c>
      <c r="M146" s="4">
        <v>600</v>
      </c>
      <c r="N146" s="4" t="s">
        <v>60</v>
      </c>
      <c r="O146" s="4">
        <v>17</v>
      </c>
      <c r="P146" s="4">
        <v>0.9</v>
      </c>
      <c r="Q146" s="4">
        <v>0.4</v>
      </c>
      <c r="R146" s="160" t="s">
        <v>43</v>
      </c>
      <c r="S146" s="117" t="s">
        <v>177</v>
      </c>
      <c r="W146" s="104" t="s">
        <v>62</v>
      </c>
      <c r="X146" s="105">
        <f>X141/1000*X145</f>
        <v>17.249705634987386</v>
      </c>
      <c r="Y146" s="105">
        <f>Y145/1000*Y141</f>
        <v>55.988225399495377</v>
      </c>
      <c r="Z146" s="106" t="s">
        <v>63</v>
      </c>
      <c r="AB146" s="104" t="s">
        <v>62</v>
      </c>
      <c r="AC146" s="105">
        <f>AC141/1000*AC145</f>
        <v>18.177348551360843</v>
      </c>
      <c r="AD146" s="105">
        <f>AD145/1000*AD141</f>
        <v>58.999122036874446</v>
      </c>
      <c r="AE146" s="106" t="s">
        <v>63</v>
      </c>
      <c r="AG146" s="104" t="s">
        <v>62</v>
      </c>
      <c r="AH146" s="105">
        <f>AH141/1000*AH145</f>
        <v>2.4449056603773585</v>
      </c>
      <c r="AI146" s="105">
        <f>AI145/1000*AI141</f>
        <v>0</v>
      </c>
      <c r="AJ146" s="106" t="s">
        <v>63</v>
      </c>
      <c r="AL146" s="104" t="s">
        <v>62</v>
      </c>
      <c r="AM146" s="105">
        <f>AM141/1000*AM145</f>
        <v>2.4919230769230767</v>
      </c>
      <c r="AN146" s="105">
        <f>AN145/1000*AN141</f>
        <v>0</v>
      </c>
      <c r="AO146" s="106" t="s">
        <v>63</v>
      </c>
      <c r="AQ146" s="104" t="s">
        <v>62</v>
      </c>
      <c r="AR146" s="105">
        <f>AR141/1000*AR145</f>
        <v>3.1631111111111108</v>
      </c>
      <c r="AS146" s="105">
        <f>AS145/1000*AS141</f>
        <v>0</v>
      </c>
      <c r="AT146" s="106" t="s">
        <v>63</v>
      </c>
    </row>
    <row r="147" spans="1:46" x14ac:dyDescent="0.3">
      <c r="A147" s="4" t="s">
        <v>64</v>
      </c>
      <c r="B147" s="4">
        <v>120000</v>
      </c>
      <c r="C147" s="4">
        <v>120000</v>
      </c>
      <c r="D147" s="4" t="s">
        <v>65</v>
      </c>
      <c r="E147" s="4">
        <v>17</v>
      </c>
      <c r="F147" s="4">
        <v>0.9</v>
      </c>
      <c r="G147" s="4">
        <v>0.4</v>
      </c>
      <c r="H147" s="160" t="s">
        <v>316</v>
      </c>
      <c r="I147" s="117" t="s">
        <v>317</v>
      </c>
      <c r="K147" s="4" t="s">
        <v>67</v>
      </c>
      <c r="L147" s="4">
        <v>0.06</v>
      </c>
      <c r="M147" s="4">
        <v>0.06</v>
      </c>
      <c r="N147" s="4" t="s">
        <v>68</v>
      </c>
      <c r="O147" s="4">
        <v>17</v>
      </c>
      <c r="P147" s="4">
        <v>0.9</v>
      </c>
      <c r="Q147" s="4">
        <v>0.4</v>
      </c>
      <c r="R147" s="160" t="s">
        <v>271</v>
      </c>
      <c r="S147" s="118" t="s">
        <v>304</v>
      </c>
    </row>
    <row r="148" spans="1:46" x14ac:dyDescent="0.3">
      <c r="A148" s="4" t="s">
        <v>70</v>
      </c>
      <c r="B148" s="4">
        <v>25</v>
      </c>
      <c r="C148" s="4">
        <v>25</v>
      </c>
      <c r="D148" s="4" t="s">
        <v>42</v>
      </c>
      <c r="E148" s="4">
        <v>17</v>
      </c>
      <c r="F148" s="4">
        <v>0.9</v>
      </c>
      <c r="G148" s="4">
        <v>0.4</v>
      </c>
      <c r="H148" s="160" t="s">
        <v>43</v>
      </c>
      <c r="I148" s="117" t="s">
        <v>74</v>
      </c>
      <c r="K148" s="4" t="s">
        <v>73</v>
      </c>
      <c r="L148" s="4">
        <v>0</v>
      </c>
      <c r="M148" s="4">
        <v>0</v>
      </c>
      <c r="N148" s="4" t="s">
        <v>57</v>
      </c>
      <c r="O148" s="4">
        <v>17</v>
      </c>
      <c r="P148" s="4">
        <v>0.9</v>
      </c>
      <c r="Q148" s="4">
        <v>0.4</v>
      </c>
      <c r="R148" s="160" t="s">
        <v>43</v>
      </c>
      <c r="S148" s="117" t="s">
        <v>74</v>
      </c>
    </row>
    <row r="149" spans="1:46" x14ac:dyDescent="0.3">
      <c r="A149" s="4" t="s">
        <v>273</v>
      </c>
      <c r="B149" s="4">
        <f>(100000*(1+(15380-15380)/15380)/118231)</f>
        <v>0.8458018624557011</v>
      </c>
      <c r="C149" s="4">
        <f>(100000*(1+(15380-15380)/15380)/118231)</f>
        <v>0.8458018624557011</v>
      </c>
      <c r="D149" s="4" t="s">
        <v>76</v>
      </c>
      <c r="E149" s="4">
        <v>17</v>
      </c>
      <c r="F149" s="4">
        <v>0.9</v>
      </c>
      <c r="G149" s="4">
        <v>0.4</v>
      </c>
      <c r="H149" s="160" t="s">
        <v>16</v>
      </c>
      <c r="I149" s="117" t="s">
        <v>319</v>
      </c>
      <c r="K149" s="4" t="s">
        <v>79</v>
      </c>
      <c r="L149" s="4">
        <v>0.06</v>
      </c>
      <c r="M149" s="4">
        <v>0.06</v>
      </c>
      <c r="N149" s="4" t="s">
        <v>57</v>
      </c>
      <c r="O149" s="4">
        <v>17</v>
      </c>
      <c r="P149" s="4">
        <v>0.9</v>
      </c>
      <c r="Q149" s="4">
        <v>0.4</v>
      </c>
      <c r="R149" s="160" t="s">
        <v>43</v>
      </c>
      <c r="S149" s="117" t="s">
        <v>74</v>
      </c>
      <c r="W149" s="4" t="s">
        <v>26</v>
      </c>
      <c r="X149" s="4" t="s">
        <v>80</v>
      </c>
    </row>
    <row r="150" spans="1:46" x14ac:dyDescent="0.3">
      <c r="E150" s="4">
        <f>100000/118231</f>
        <v>0.8458018624557011</v>
      </c>
      <c r="I150" s="117"/>
      <c r="K150" s="4" t="s">
        <v>81</v>
      </c>
      <c r="L150" s="4">
        <f>X146</f>
        <v>17.249705634987386</v>
      </c>
      <c r="M150" s="4">
        <f>Y146</f>
        <v>55.988225399495377</v>
      </c>
      <c r="N150" s="4" t="s">
        <v>76</v>
      </c>
      <c r="O150" s="4">
        <f>$O$47</f>
        <v>17</v>
      </c>
      <c r="P150" s="4">
        <f>$P$47</f>
        <v>0.9</v>
      </c>
      <c r="Q150" s="4">
        <f>$Q$47</f>
        <v>0.4</v>
      </c>
      <c r="R150" s="160" t="s">
        <v>323</v>
      </c>
      <c r="S150" s="118" t="s">
        <v>178</v>
      </c>
      <c r="W150" s="4" t="s">
        <v>9</v>
      </c>
      <c r="X150" s="4" t="s">
        <v>179</v>
      </c>
    </row>
    <row r="151" spans="1:46" x14ac:dyDescent="0.3">
      <c r="I151" s="117"/>
      <c r="S151" s="117"/>
      <c r="W151" s="4" t="s">
        <v>16</v>
      </c>
      <c r="X151" s="4" t="s">
        <v>85</v>
      </c>
    </row>
    <row r="152" spans="1:46" x14ac:dyDescent="0.3">
      <c r="E152" s="4" t="s">
        <v>2</v>
      </c>
      <c r="H152" s="4" t="s">
        <v>3</v>
      </c>
      <c r="I152" s="117"/>
      <c r="O152" s="4" t="s">
        <v>2</v>
      </c>
      <c r="R152" s="4" t="s">
        <v>3</v>
      </c>
      <c r="W152" s="4" t="s">
        <v>43</v>
      </c>
      <c r="X152" s="4" t="s">
        <v>88</v>
      </c>
    </row>
    <row r="153" spans="1:46" x14ac:dyDescent="0.3">
      <c r="A153" s="25" t="s">
        <v>180</v>
      </c>
      <c r="B153" s="4">
        <v>2023</v>
      </c>
      <c r="C153" s="4">
        <v>2050</v>
      </c>
      <c r="D153" s="4" t="s">
        <v>5</v>
      </c>
      <c r="E153" s="4" t="s">
        <v>8</v>
      </c>
      <c r="F153" s="4" t="s">
        <v>9</v>
      </c>
      <c r="G153" s="4" t="s">
        <v>10</v>
      </c>
      <c r="I153" s="117"/>
      <c r="K153" s="25" t="s">
        <v>291</v>
      </c>
      <c r="L153" s="4">
        <v>2023</v>
      </c>
      <c r="M153" s="4">
        <v>2050</v>
      </c>
      <c r="N153" s="4" t="s">
        <v>5</v>
      </c>
      <c r="O153" s="4" t="s">
        <v>8</v>
      </c>
      <c r="P153" s="4" t="s">
        <v>9</v>
      </c>
      <c r="Q153" s="4" t="s">
        <v>10</v>
      </c>
      <c r="W153" s="4" t="s">
        <v>77</v>
      </c>
      <c r="X153" s="4" t="s">
        <v>92</v>
      </c>
    </row>
    <row r="154" spans="1:46" x14ac:dyDescent="0.3">
      <c r="A154" s="4" t="s">
        <v>14</v>
      </c>
      <c r="B154" s="113">
        <v>5000000</v>
      </c>
      <c r="C154" s="4">
        <v>5000000</v>
      </c>
      <c r="D154" s="4" t="s">
        <v>15</v>
      </c>
      <c r="E154" s="4">
        <v>17</v>
      </c>
      <c r="F154" s="4">
        <v>0.9</v>
      </c>
      <c r="G154" s="4">
        <v>0.4</v>
      </c>
      <c r="H154" s="160" t="s">
        <v>310</v>
      </c>
      <c r="I154" s="118" t="s">
        <v>174</v>
      </c>
      <c r="K154" s="4" t="s">
        <v>18</v>
      </c>
      <c r="L154" s="4">
        <v>15000000</v>
      </c>
      <c r="M154" s="4">
        <v>15000000</v>
      </c>
      <c r="N154" s="4" t="s">
        <v>15</v>
      </c>
      <c r="O154" s="4">
        <v>17</v>
      </c>
      <c r="P154" s="4">
        <v>0.9</v>
      </c>
      <c r="Q154" s="4">
        <v>0.4</v>
      </c>
      <c r="R154" s="160" t="s">
        <v>331</v>
      </c>
      <c r="S154" s="117" t="s">
        <v>295</v>
      </c>
      <c r="W154" s="4" t="s">
        <v>71</v>
      </c>
      <c r="X154" s="4" t="s">
        <v>181</v>
      </c>
    </row>
    <row r="155" spans="1:46" x14ac:dyDescent="0.3">
      <c r="A155" s="4" t="s">
        <v>25</v>
      </c>
      <c r="B155" s="4">
        <f>-B154*0.1</f>
        <v>-500000</v>
      </c>
      <c r="C155" s="4">
        <f>-C154*0.1</f>
        <v>-500000</v>
      </c>
      <c r="D155" s="4" t="s">
        <v>15</v>
      </c>
      <c r="E155" s="4">
        <v>17</v>
      </c>
      <c r="F155" s="4">
        <v>0.9</v>
      </c>
      <c r="G155" s="4">
        <v>0.4</v>
      </c>
      <c r="H155" s="160" t="s">
        <v>310</v>
      </c>
      <c r="I155" s="117" t="s">
        <v>175</v>
      </c>
      <c r="K155" s="4" t="s">
        <v>28</v>
      </c>
      <c r="L155" s="4">
        <f>-L154*0.1</f>
        <v>-1500000</v>
      </c>
      <c r="M155" s="4">
        <f>-M154*0.05</f>
        <v>-750000</v>
      </c>
      <c r="N155" s="4" t="s">
        <v>15</v>
      </c>
      <c r="O155" s="4">
        <v>17</v>
      </c>
      <c r="P155" s="4">
        <v>0.9</v>
      </c>
      <c r="Q155" s="4">
        <v>0.4</v>
      </c>
      <c r="R155" s="160" t="s">
        <v>26</v>
      </c>
      <c r="S155" s="117" t="s">
        <v>176</v>
      </c>
      <c r="W155" s="4" t="s">
        <v>82</v>
      </c>
      <c r="X155" s="4" t="s">
        <v>137</v>
      </c>
    </row>
    <row r="156" spans="1:46" x14ac:dyDescent="0.3">
      <c r="A156" s="4" t="s">
        <v>37</v>
      </c>
      <c r="B156" s="4">
        <f>(793000+106000+128000)/0.85</f>
        <v>1208235.294117647</v>
      </c>
      <c r="C156" s="4">
        <f>(793000+106000+128000)/0.85</f>
        <v>1208235.294117647</v>
      </c>
      <c r="D156" s="4" t="s">
        <v>38</v>
      </c>
      <c r="E156" s="4">
        <v>17</v>
      </c>
      <c r="F156" s="4">
        <v>0.9</v>
      </c>
      <c r="G156" s="4">
        <v>0.4</v>
      </c>
      <c r="H156" s="160" t="s">
        <v>335</v>
      </c>
      <c r="I156" s="117" t="s">
        <v>320</v>
      </c>
      <c r="K156" s="4" t="s">
        <v>41</v>
      </c>
      <c r="L156" s="4">
        <v>25</v>
      </c>
      <c r="M156" s="4">
        <v>25</v>
      </c>
      <c r="N156" s="4" t="s">
        <v>42</v>
      </c>
      <c r="O156" s="4">
        <v>17</v>
      </c>
      <c r="P156" s="4">
        <v>0.9</v>
      </c>
      <c r="Q156" s="4">
        <v>0.4</v>
      </c>
      <c r="R156" s="160" t="s">
        <v>43</v>
      </c>
      <c r="S156" s="117" t="s">
        <v>74</v>
      </c>
      <c r="W156" s="4" t="s">
        <v>95</v>
      </c>
      <c r="X156" s="4" t="s">
        <v>99</v>
      </c>
    </row>
    <row r="157" spans="1:46" x14ac:dyDescent="0.3">
      <c r="A157" s="4" t="s">
        <v>48</v>
      </c>
      <c r="B157" s="4">
        <v>9450</v>
      </c>
      <c r="C157" s="4">
        <v>9450</v>
      </c>
      <c r="D157" s="4" t="s">
        <v>49</v>
      </c>
      <c r="E157" s="4">
        <v>17</v>
      </c>
      <c r="F157" s="4">
        <v>0.9</v>
      </c>
      <c r="G157" s="4">
        <v>0.4</v>
      </c>
      <c r="H157" s="160" t="s">
        <v>334</v>
      </c>
      <c r="I157" s="117" t="s">
        <v>311</v>
      </c>
      <c r="K157" s="4" t="s">
        <v>52</v>
      </c>
      <c r="L157" s="4">
        <f>(84000+127000+122000+82000)/0.85</f>
        <v>488235.29411764705</v>
      </c>
      <c r="M157" s="4">
        <f>(84000+127000+122000+82000)/0.85</f>
        <v>488235.29411764705</v>
      </c>
      <c r="N157" s="4" t="s">
        <v>38</v>
      </c>
      <c r="O157" s="4">
        <v>17</v>
      </c>
      <c r="P157" s="4">
        <v>0.9</v>
      </c>
      <c r="Q157" s="4">
        <v>0.4</v>
      </c>
      <c r="R157" s="160" t="s">
        <v>9</v>
      </c>
      <c r="S157" s="117" t="s">
        <v>321</v>
      </c>
      <c r="W157" s="4" t="s">
        <v>97</v>
      </c>
      <c r="X157" s="4" t="s">
        <v>24</v>
      </c>
    </row>
    <row r="158" spans="1:46" x14ac:dyDescent="0.3">
      <c r="A158" s="4" t="s">
        <v>56</v>
      </c>
      <c r="B158" s="4">
        <v>0.43</v>
      </c>
      <c r="C158" s="4">
        <v>0.43</v>
      </c>
      <c r="D158" s="4" t="s">
        <v>57</v>
      </c>
      <c r="E158" s="4">
        <v>17</v>
      </c>
      <c r="F158" s="4">
        <v>0.9</v>
      </c>
      <c r="G158" s="4">
        <v>0.4</v>
      </c>
      <c r="H158" s="160" t="s">
        <v>16</v>
      </c>
      <c r="I158" s="117" t="s">
        <v>313</v>
      </c>
      <c r="K158" s="4" t="s">
        <v>59</v>
      </c>
      <c r="L158" s="4">
        <v>647</v>
      </c>
      <c r="M158" s="4">
        <v>600</v>
      </c>
      <c r="N158" s="4" t="s">
        <v>60</v>
      </c>
      <c r="O158" s="4">
        <v>17</v>
      </c>
      <c r="P158" s="4">
        <v>0.9</v>
      </c>
      <c r="Q158" s="4">
        <v>0.4</v>
      </c>
      <c r="R158" s="160" t="s">
        <v>43</v>
      </c>
      <c r="S158" s="117" t="s">
        <v>177</v>
      </c>
      <c r="W158" s="4" t="s">
        <v>69</v>
      </c>
      <c r="X158" s="4" t="s">
        <v>36</v>
      </c>
    </row>
    <row r="159" spans="1:46" x14ac:dyDescent="0.3">
      <c r="A159" s="4" t="s">
        <v>64</v>
      </c>
      <c r="B159" s="4">
        <v>120000</v>
      </c>
      <c r="C159" s="4">
        <v>120000</v>
      </c>
      <c r="D159" s="4" t="s">
        <v>65</v>
      </c>
      <c r="E159" s="4">
        <v>17</v>
      </c>
      <c r="F159" s="4">
        <v>0.9</v>
      </c>
      <c r="G159" s="4">
        <v>0.4</v>
      </c>
      <c r="H159" s="160" t="s">
        <v>316</v>
      </c>
      <c r="I159" s="117" t="s">
        <v>317</v>
      </c>
      <c r="K159" s="4" t="s">
        <v>67</v>
      </c>
      <c r="L159" s="4">
        <v>3.1399999999999997E-2</v>
      </c>
      <c r="M159" s="4">
        <v>3.1399999999999997E-2</v>
      </c>
      <c r="N159" s="4" t="s">
        <v>68</v>
      </c>
      <c r="O159" s="4">
        <v>17</v>
      </c>
      <c r="P159" s="4">
        <v>0.9</v>
      </c>
      <c r="Q159" s="4">
        <v>0.4</v>
      </c>
      <c r="R159" s="160" t="s">
        <v>43</v>
      </c>
      <c r="S159" s="118" t="s">
        <v>305</v>
      </c>
      <c r="W159" s="4" t="s">
        <v>10</v>
      </c>
      <c r="X159" s="4" t="s">
        <v>135</v>
      </c>
    </row>
    <row r="160" spans="1:46" x14ac:dyDescent="0.3">
      <c r="A160" s="4" t="s">
        <v>70</v>
      </c>
      <c r="B160" s="4">
        <v>25</v>
      </c>
      <c r="C160" s="4">
        <v>25</v>
      </c>
      <c r="D160" s="4" t="s">
        <v>42</v>
      </c>
      <c r="E160" s="4">
        <v>17</v>
      </c>
      <c r="F160" s="4">
        <v>0.9</v>
      </c>
      <c r="G160" s="4">
        <v>0.4</v>
      </c>
      <c r="H160" s="160" t="s">
        <v>43</v>
      </c>
      <c r="I160" s="117" t="s">
        <v>74</v>
      </c>
      <c r="K160" s="4" t="s">
        <v>73</v>
      </c>
      <c r="L160" s="4">
        <v>0</v>
      </c>
      <c r="M160" s="4">
        <v>0</v>
      </c>
      <c r="N160" s="4" t="s">
        <v>57</v>
      </c>
      <c r="O160" s="4">
        <v>17</v>
      </c>
      <c r="P160" s="4">
        <v>0.9</v>
      </c>
      <c r="Q160" s="4">
        <v>0.4</v>
      </c>
      <c r="R160" s="160" t="s">
        <v>43</v>
      </c>
      <c r="S160" s="117" t="s">
        <v>74</v>
      </c>
      <c r="W160" s="4" t="s">
        <v>262</v>
      </c>
      <c r="X160" s="4" t="s">
        <v>293</v>
      </c>
    </row>
    <row r="161" spans="1:24" x14ac:dyDescent="0.3">
      <c r="A161" s="4" t="s">
        <v>273</v>
      </c>
      <c r="B161" s="4">
        <f>(100000*(1+(30707-15380)/15380)/118231)</f>
        <v>1.6886890630966982</v>
      </c>
      <c r="C161" s="4">
        <f>(100000*(1+(30707-15380)/15380)/118231)</f>
        <v>1.6886890630966982</v>
      </c>
      <c r="D161" s="4" t="s">
        <v>76</v>
      </c>
      <c r="E161" s="4">
        <v>17</v>
      </c>
      <c r="F161" s="4">
        <v>0.9</v>
      </c>
      <c r="G161" s="4">
        <v>0.4</v>
      </c>
      <c r="H161" s="160" t="s">
        <v>16</v>
      </c>
      <c r="I161" s="117" t="s">
        <v>319</v>
      </c>
      <c r="K161" s="4" t="s">
        <v>79</v>
      </c>
      <c r="L161" s="4">
        <v>0.06</v>
      </c>
      <c r="M161" s="4">
        <v>0.06</v>
      </c>
      <c r="N161" s="4" t="s">
        <v>57</v>
      </c>
      <c r="O161" s="4">
        <v>17</v>
      </c>
      <c r="P161" s="4">
        <v>0.9</v>
      </c>
      <c r="Q161" s="4">
        <v>0.4</v>
      </c>
      <c r="R161" s="160" t="s">
        <v>43</v>
      </c>
      <c r="S161" s="117" t="s">
        <v>74</v>
      </c>
      <c r="W161" s="4" t="s">
        <v>266</v>
      </c>
      <c r="X161" s="4" t="s">
        <v>298</v>
      </c>
    </row>
    <row r="162" spans="1:24" x14ac:dyDescent="0.3">
      <c r="I162" s="117"/>
      <c r="K162" s="4" t="s">
        <v>81</v>
      </c>
      <c r="L162" s="4">
        <f>AC146</f>
        <v>18.177348551360843</v>
      </c>
      <c r="M162" s="4">
        <f>AD146</f>
        <v>58.999122036874446</v>
      </c>
      <c r="N162" s="4" t="s">
        <v>76</v>
      </c>
      <c r="O162" s="4">
        <f>$O$47</f>
        <v>17</v>
      </c>
      <c r="P162" s="4">
        <f>$P$47</f>
        <v>0.9</v>
      </c>
      <c r="Q162" s="4">
        <f>$Q$47</f>
        <v>0.4</v>
      </c>
      <c r="R162" s="160" t="s">
        <v>323</v>
      </c>
      <c r="S162" s="118" t="s">
        <v>297</v>
      </c>
      <c r="W162" s="4" t="s">
        <v>271</v>
      </c>
      <c r="X162" s="4" t="s">
        <v>306</v>
      </c>
    </row>
    <row r="163" spans="1:24" x14ac:dyDescent="0.3">
      <c r="I163" s="117"/>
    </row>
    <row r="164" spans="1:24" x14ac:dyDescent="0.3">
      <c r="E164" s="4" t="s">
        <v>2</v>
      </c>
      <c r="H164" s="4" t="s">
        <v>3</v>
      </c>
      <c r="I164" s="117"/>
    </row>
    <row r="165" spans="1:24" x14ac:dyDescent="0.3">
      <c r="A165" s="25" t="s">
        <v>185</v>
      </c>
      <c r="B165" s="4">
        <v>2023</v>
      </c>
      <c r="C165" s="4">
        <v>2050</v>
      </c>
      <c r="D165" s="4" t="s">
        <v>5</v>
      </c>
      <c r="E165" s="4" t="s">
        <v>8</v>
      </c>
      <c r="F165" s="4" t="s">
        <v>9</v>
      </c>
      <c r="G165" s="4" t="s">
        <v>10</v>
      </c>
      <c r="I165" s="117"/>
      <c r="O165" s="4" t="s">
        <v>2</v>
      </c>
      <c r="R165" s="4" t="s">
        <v>3</v>
      </c>
      <c r="S165" s="117"/>
    </row>
    <row r="166" spans="1:24" x14ac:dyDescent="0.3">
      <c r="A166" s="4" t="s">
        <v>14</v>
      </c>
      <c r="B166" s="113">
        <v>1000000</v>
      </c>
      <c r="C166" s="4">
        <v>1000000</v>
      </c>
      <c r="D166" s="4" t="s">
        <v>15</v>
      </c>
      <c r="E166" s="4">
        <v>17</v>
      </c>
      <c r="F166" s="4">
        <v>0.9</v>
      </c>
      <c r="G166" s="4">
        <v>0.4</v>
      </c>
      <c r="H166" s="160" t="s">
        <v>310</v>
      </c>
      <c r="I166" s="118" t="s">
        <v>174</v>
      </c>
      <c r="K166" s="25" t="s">
        <v>103</v>
      </c>
      <c r="L166" s="4">
        <v>2023</v>
      </c>
      <c r="M166" s="4">
        <v>2050</v>
      </c>
      <c r="N166" s="4" t="s">
        <v>5</v>
      </c>
      <c r="O166" s="4" t="s">
        <v>8</v>
      </c>
      <c r="P166" s="4" t="s">
        <v>9</v>
      </c>
      <c r="Q166" s="4" t="s">
        <v>10</v>
      </c>
      <c r="S166" s="117"/>
    </row>
    <row r="167" spans="1:24" x14ac:dyDescent="0.3">
      <c r="A167" s="4" t="s">
        <v>25</v>
      </c>
      <c r="B167" s="4">
        <f>-B166*0.1</f>
        <v>-100000</v>
      </c>
      <c r="C167" s="4">
        <f>-C166*0.1</f>
        <v>-100000</v>
      </c>
      <c r="D167" s="4" t="s">
        <v>15</v>
      </c>
      <c r="E167" s="4">
        <v>17</v>
      </c>
      <c r="F167" s="4">
        <v>0.9</v>
      </c>
      <c r="G167" s="4">
        <v>0.4</v>
      </c>
      <c r="H167" s="160" t="s">
        <v>310</v>
      </c>
      <c r="I167" s="117" t="s">
        <v>175</v>
      </c>
      <c r="K167" s="4" t="s">
        <v>18</v>
      </c>
      <c r="L167" s="4">
        <f>L142*2</f>
        <v>30000000</v>
      </c>
      <c r="M167" s="4">
        <f>M142*1.3</f>
        <v>19500000</v>
      </c>
      <c r="N167" s="4" t="s">
        <v>15</v>
      </c>
      <c r="O167" s="4">
        <v>17</v>
      </c>
      <c r="P167" s="4">
        <v>0.9</v>
      </c>
      <c r="Q167" s="4">
        <v>0.4</v>
      </c>
      <c r="R167" s="160" t="s">
        <v>332</v>
      </c>
      <c r="S167" s="117" t="s">
        <v>296</v>
      </c>
    </row>
    <row r="168" spans="1:24" x14ac:dyDescent="0.3">
      <c r="A168" s="4" t="s">
        <v>37</v>
      </c>
      <c r="B168" s="4">
        <f>(793000+106000+128000)/0.85</f>
        <v>1208235.294117647</v>
      </c>
      <c r="C168" s="4">
        <f>(793000+106000+128000)/0.85</f>
        <v>1208235.294117647</v>
      </c>
      <c r="D168" s="4" t="s">
        <v>38</v>
      </c>
      <c r="E168" s="4">
        <v>17</v>
      </c>
      <c r="F168" s="4">
        <v>0.9</v>
      </c>
      <c r="G168" s="4">
        <v>0.4</v>
      </c>
      <c r="H168" s="160" t="s">
        <v>335</v>
      </c>
      <c r="I168" s="117" t="s">
        <v>320</v>
      </c>
      <c r="K168" s="4" t="s">
        <v>28</v>
      </c>
      <c r="L168" s="4">
        <f>-L167*0.05</f>
        <v>-1500000</v>
      </c>
      <c r="M168" s="4">
        <f>-M167*0.1</f>
        <v>-1950000</v>
      </c>
      <c r="N168" s="4" t="s">
        <v>15</v>
      </c>
      <c r="O168" s="4">
        <v>17</v>
      </c>
      <c r="P168" s="4">
        <v>0.9</v>
      </c>
      <c r="Q168" s="4">
        <v>0.4</v>
      </c>
      <c r="R168" s="160" t="s">
        <v>26</v>
      </c>
      <c r="S168" s="117" t="s">
        <v>182</v>
      </c>
    </row>
    <row r="169" spans="1:24" x14ac:dyDescent="0.3">
      <c r="A169" s="4" t="s">
        <v>48</v>
      </c>
      <c r="B169" s="4">
        <v>9450</v>
      </c>
      <c r="C169" s="4">
        <v>9450</v>
      </c>
      <c r="D169" s="4" t="s">
        <v>49</v>
      </c>
      <c r="E169" s="4">
        <v>17</v>
      </c>
      <c r="F169" s="4">
        <v>0.9</v>
      </c>
      <c r="G169" s="4">
        <v>0.4</v>
      </c>
      <c r="H169" s="160" t="s">
        <v>334</v>
      </c>
      <c r="I169" s="117" t="s">
        <v>311</v>
      </c>
      <c r="K169" s="4" t="s">
        <v>41</v>
      </c>
      <c r="L169" s="4">
        <v>25</v>
      </c>
      <c r="M169" s="4">
        <v>25</v>
      </c>
      <c r="N169" s="4" t="s">
        <v>42</v>
      </c>
      <c r="O169" s="4">
        <v>17</v>
      </c>
      <c r="P169" s="4">
        <v>0.9</v>
      </c>
      <c r="Q169" s="4">
        <v>0.4</v>
      </c>
      <c r="R169" s="160" t="s">
        <v>43</v>
      </c>
      <c r="S169" s="117" t="s">
        <v>74</v>
      </c>
    </row>
    <row r="170" spans="1:24" x14ac:dyDescent="0.3">
      <c r="A170" s="4" t="s">
        <v>56</v>
      </c>
      <c r="B170" s="4">
        <v>0.39</v>
      </c>
      <c r="C170" s="4">
        <v>0.39</v>
      </c>
      <c r="D170" s="4" t="s">
        <v>57</v>
      </c>
      <c r="E170" s="4">
        <v>17</v>
      </c>
      <c r="F170" s="4">
        <v>0.9</v>
      </c>
      <c r="G170" s="4">
        <v>0.4</v>
      </c>
      <c r="H170" s="160" t="s">
        <v>16</v>
      </c>
      <c r="I170" s="117" t="s">
        <v>314</v>
      </c>
      <c r="K170" s="4" t="s">
        <v>52</v>
      </c>
      <c r="L170" s="4">
        <f>(84000+122000+82000)/0.85</f>
        <v>338823.5294117647</v>
      </c>
      <c r="M170" s="4">
        <f>(84000+122000+82000)/0.85</f>
        <v>338823.5294117647</v>
      </c>
      <c r="N170" s="4" t="s">
        <v>38</v>
      </c>
      <c r="O170" s="4">
        <v>17</v>
      </c>
      <c r="P170" s="4">
        <v>0.9</v>
      </c>
      <c r="Q170" s="4">
        <v>0.4</v>
      </c>
      <c r="R170" s="160" t="s">
        <v>9</v>
      </c>
      <c r="S170" s="117" t="s">
        <v>322</v>
      </c>
    </row>
    <row r="171" spans="1:24" x14ac:dyDescent="0.3">
      <c r="A171" s="4" t="s">
        <v>64</v>
      </c>
      <c r="B171" s="4">
        <v>120000</v>
      </c>
      <c r="C171" s="4">
        <v>120000</v>
      </c>
      <c r="D171" s="4" t="s">
        <v>65</v>
      </c>
      <c r="E171" s="4">
        <v>17</v>
      </c>
      <c r="F171" s="4">
        <v>0.9</v>
      </c>
      <c r="G171" s="4">
        <v>0.4</v>
      </c>
      <c r="H171" s="160" t="s">
        <v>316</v>
      </c>
      <c r="I171" s="117" t="s">
        <v>317</v>
      </c>
      <c r="K171" s="4" t="s">
        <v>59</v>
      </c>
      <c r="L171" s="4">
        <v>589</v>
      </c>
      <c r="M171" s="4">
        <v>519</v>
      </c>
      <c r="N171" s="4" t="s">
        <v>60</v>
      </c>
      <c r="O171" s="4">
        <v>17</v>
      </c>
      <c r="P171" s="4">
        <v>0.9</v>
      </c>
      <c r="Q171" s="4">
        <v>0.4</v>
      </c>
      <c r="R171" s="160" t="s">
        <v>43</v>
      </c>
      <c r="S171" s="117" t="s">
        <v>183</v>
      </c>
    </row>
    <row r="172" spans="1:24" x14ac:dyDescent="0.3">
      <c r="A172" s="4" t="s">
        <v>70</v>
      </c>
      <c r="B172" s="4">
        <v>25</v>
      </c>
      <c r="C172" s="4">
        <v>25</v>
      </c>
      <c r="D172" s="4" t="s">
        <v>42</v>
      </c>
      <c r="E172" s="4">
        <v>17</v>
      </c>
      <c r="F172" s="4">
        <v>0.9</v>
      </c>
      <c r="G172" s="4">
        <v>0.4</v>
      </c>
      <c r="H172" s="160" t="s">
        <v>43</v>
      </c>
      <c r="I172" s="117" t="s">
        <v>74</v>
      </c>
      <c r="K172" s="4" t="s">
        <v>67</v>
      </c>
      <c r="L172" s="65">
        <v>0.209841767378764</v>
      </c>
      <c r="M172" s="65">
        <v>9.7564585532605996E-2</v>
      </c>
      <c r="N172" s="4" t="s">
        <v>68</v>
      </c>
      <c r="O172" s="4">
        <v>17</v>
      </c>
      <c r="P172" s="4">
        <v>0.9</v>
      </c>
      <c r="Q172" s="4">
        <v>0.4</v>
      </c>
      <c r="R172" s="160" t="s">
        <v>43</v>
      </c>
      <c r="S172" s="118" t="s">
        <v>301</v>
      </c>
    </row>
    <row r="173" spans="1:24" x14ac:dyDescent="0.3">
      <c r="A173" s="4" t="s">
        <v>273</v>
      </c>
      <c r="B173" s="4">
        <f>(100000*(1+(14780-15380)/15380)/118231)</f>
        <v>0.81280569096848254</v>
      </c>
      <c r="C173" s="4">
        <f>(100000*(1+(14780-15380)/15380)/118231)</f>
        <v>0.81280569096848254</v>
      </c>
      <c r="D173" s="4" t="s">
        <v>76</v>
      </c>
      <c r="E173" s="4">
        <v>17</v>
      </c>
      <c r="F173" s="4">
        <v>0.9</v>
      </c>
      <c r="G173" s="4">
        <v>0.4</v>
      </c>
      <c r="H173" s="160" t="s">
        <v>16</v>
      </c>
      <c r="I173" s="117" t="s">
        <v>319</v>
      </c>
      <c r="K173" s="4" t="s">
        <v>73</v>
      </c>
      <c r="L173" s="4">
        <v>0.1</v>
      </c>
      <c r="M173" s="4">
        <v>0.08</v>
      </c>
      <c r="N173" s="4" t="s">
        <v>57</v>
      </c>
      <c r="O173" s="4">
        <v>17</v>
      </c>
      <c r="P173" s="4">
        <v>0.9</v>
      </c>
      <c r="Q173" s="4">
        <v>0.4</v>
      </c>
      <c r="R173" s="160" t="s">
        <v>266</v>
      </c>
      <c r="S173" s="117" t="s">
        <v>184</v>
      </c>
    </row>
    <row r="174" spans="1:24" x14ac:dyDescent="0.3">
      <c r="I174" s="117"/>
      <c r="K174" s="4" t="s">
        <v>79</v>
      </c>
      <c r="L174" s="4">
        <v>0.06</v>
      </c>
      <c r="M174" s="4">
        <v>0.06</v>
      </c>
      <c r="N174" s="4" t="s">
        <v>57</v>
      </c>
      <c r="O174" s="4">
        <v>17</v>
      </c>
      <c r="P174" s="4">
        <v>0.9</v>
      </c>
      <c r="Q174" s="4">
        <v>0.4</v>
      </c>
      <c r="R174" s="160" t="s">
        <v>43</v>
      </c>
      <c r="S174" s="117" t="s">
        <v>74</v>
      </c>
    </row>
    <row r="175" spans="1:24" x14ac:dyDescent="0.3">
      <c r="I175" s="117"/>
      <c r="K175" s="4" t="s">
        <v>81</v>
      </c>
      <c r="L175" s="4">
        <f>AH146</f>
        <v>2.4449056603773585</v>
      </c>
      <c r="M175" s="4">
        <f>AI146</f>
        <v>0</v>
      </c>
      <c r="N175" s="4" t="s">
        <v>76</v>
      </c>
      <c r="O175" s="4">
        <f>$O$47</f>
        <v>17</v>
      </c>
      <c r="P175" s="4">
        <f>$P$47</f>
        <v>0.9</v>
      </c>
      <c r="Q175" s="4">
        <f>$Q$47</f>
        <v>0.4</v>
      </c>
      <c r="R175" s="160" t="s">
        <v>324</v>
      </c>
      <c r="S175" s="118" t="s">
        <v>300</v>
      </c>
    </row>
    <row r="176" spans="1:24" x14ac:dyDescent="0.3">
      <c r="I176" s="117"/>
      <c r="S176" s="117"/>
    </row>
    <row r="177" spans="1:19" x14ac:dyDescent="0.3">
      <c r="E177" s="4" t="s">
        <v>2</v>
      </c>
      <c r="H177" s="4" t="s">
        <v>3</v>
      </c>
      <c r="I177" s="117"/>
      <c r="O177" s="4" t="s">
        <v>2</v>
      </c>
      <c r="R177" s="4" t="s">
        <v>3</v>
      </c>
      <c r="S177" s="117"/>
    </row>
    <row r="178" spans="1:19" x14ac:dyDescent="0.3">
      <c r="A178" s="25" t="s">
        <v>188</v>
      </c>
      <c r="B178" s="4">
        <v>2023</v>
      </c>
      <c r="C178" s="4">
        <v>2050</v>
      </c>
      <c r="D178" s="4" t="s">
        <v>5</v>
      </c>
      <c r="E178" s="4" t="s">
        <v>8</v>
      </c>
      <c r="F178" s="4" t="s">
        <v>9</v>
      </c>
      <c r="G178" s="4" t="s">
        <v>10</v>
      </c>
      <c r="I178" s="117"/>
      <c r="K178" s="25" t="s">
        <v>186</v>
      </c>
      <c r="L178" s="4">
        <v>2023</v>
      </c>
      <c r="M178" s="4">
        <v>2050</v>
      </c>
      <c r="N178" s="4" t="s">
        <v>5</v>
      </c>
      <c r="O178" s="4" t="s">
        <v>8</v>
      </c>
      <c r="P178" s="4" t="s">
        <v>9</v>
      </c>
      <c r="Q178" s="4" t="s">
        <v>10</v>
      </c>
      <c r="S178" s="117"/>
    </row>
    <row r="179" spans="1:19" x14ac:dyDescent="0.3">
      <c r="A179" s="4" t="s">
        <v>14</v>
      </c>
      <c r="B179" s="113">
        <v>1000000</v>
      </c>
      <c r="C179" s="4">
        <v>1000000</v>
      </c>
      <c r="D179" s="4" t="s">
        <v>15</v>
      </c>
      <c r="E179" s="4">
        <v>17</v>
      </c>
      <c r="F179" s="4">
        <v>0.9</v>
      </c>
      <c r="G179" s="4">
        <v>0.4</v>
      </c>
      <c r="H179" s="160" t="s">
        <v>310</v>
      </c>
      <c r="I179" s="118" t="s">
        <v>174</v>
      </c>
      <c r="K179" s="4" t="s">
        <v>18</v>
      </c>
      <c r="L179" s="4">
        <f>L142*2</f>
        <v>30000000</v>
      </c>
      <c r="M179" s="4">
        <f>M142*1.2</f>
        <v>18000000</v>
      </c>
      <c r="N179" s="4" t="s">
        <v>15</v>
      </c>
      <c r="O179" s="4">
        <v>17</v>
      </c>
      <c r="P179" s="4">
        <v>0.9</v>
      </c>
      <c r="Q179" s="4">
        <v>0.4</v>
      </c>
      <c r="R179" s="160" t="s">
        <v>331</v>
      </c>
      <c r="S179" s="117" t="s">
        <v>296</v>
      </c>
    </row>
    <row r="180" spans="1:19" x14ac:dyDescent="0.3">
      <c r="A180" s="4" t="s">
        <v>25</v>
      </c>
      <c r="B180" s="4">
        <f>-B179*0.1</f>
        <v>-100000</v>
      </c>
      <c r="C180" s="4">
        <f>-C179*0.1</f>
        <v>-100000</v>
      </c>
      <c r="D180" s="4" t="s">
        <v>15</v>
      </c>
      <c r="E180" s="4">
        <v>17</v>
      </c>
      <c r="F180" s="4">
        <v>0.9</v>
      </c>
      <c r="G180" s="4">
        <v>0.4</v>
      </c>
      <c r="H180" s="160" t="s">
        <v>310</v>
      </c>
      <c r="I180" s="117" t="s">
        <v>175</v>
      </c>
      <c r="K180" s="4" t="s">
        <v>28</v>
      </c>
      <c r="L180" s="4">
        <f>-L179*0.05</f>
        <v>-1500000</v>
      </c>
      <c r="M180" s="4">
        <f>-M179*0.1</f>
        <v>-1800000</v>
      </c>
      <c r="N180" s="4" t="s">
        <v>15</v>
      </c>
      <c r="O180" s="4">
        <v>17</v>
      </c>
      <c r="P180" s="4">
        <v>0.9</v>
      </c>
      <c r="Q180" s="4">
        <v>0.4</v>
      </c>
      <c r="R180" s="160" t="s">
        <v>26</v>
      </c>
      <c r="S180" s="117" t="s">
        <v>182</v>
      </c>
    </row>
    <row r="181" spans="1:19" x14ac:dyDescent="0.3">
      <c r="A181" s="4" t="s">
        <v>37</v>
      </c>
      <c r="B181" s="4">
        <f>(793000+106000+128000)/0.85</f>
        <v>1208235.294117647</v>
      </c>
      <c r="C181" s="4">
        <f>(793000+106000+128000)/0.85</f>
        <v>1208235.294117647</v>
      </c>
      <c r="D181" s="4" t="s">
        <v>38</v>
      </c>
      <c r="E181" s="4">
        <v>17</v>
      </c>
      <c r="F181" s="4">
        <v>0.9</v>
      </c>
      <c r="G181" s="4">
        <v>0.4</v>
      </c>
      <c r="H181" s="160" t="s">
        <v>335</v>
      </c>
      <c r="I181" s="117" t="s">
        <v>320</v>
      </c>
      <c r="K181" s="4" t="s">
        <v>41</v>
      </c>
      <c r="L181" s="4">
        <v>25</v>
      </c>
      <c r="M181" s="4">
        <v>25</v>
      </c>
      <c r="N181" s="4" t="s">
        <v>42</v>
      </c>
      <c r="O181" s="4">
        <v>17</v>
      </c>
      <c r="P181" s="4">
        <v>0.9</v>
      </c>
      <c r="Q181" s="4">
        <v>0.4</v>
      </c>
      <c r="R181" s="160" t="s">
        <v>43</v>
      </c>
      <c r="S181" s="117" t="s">
        <v>74</v>
      </c>
    </row>
    <row r="182" spans="1:19" x14ac:dyDescent="0.3">
      <c r="A182" s="4" t="s">
        <v>48</v>
      </c>
      <c r="B182" s="4">
        <v>9450</v>
      </c>
      <c r="C182" s="4">
        <v>9450</v>
      </c>
      <c r="D182" s="4" t="s">
        <v>49</v>
      </c>
      <c r="E182" s="4">
        <v>17</v>
      </c>
      <c r="F182" s="4">
        <v>0.9</v>
      </c>
      <c r="G182" s="4">
        <v>0.4</v>
      </c>
      <c r="H182" s="160" t="s">
        <v>334</v>
      </c>
      <c r="I182" s="117" t="s">
        <v>311</v>
      </c>
      <c r="K182" s="4" t="s">
        <v>52</v>
      </c>
      <c r="L182" s="4">
        <f>(84000+122000+82000)/0.85</f>
        <v>338823.5294117647</v>
      </c>
      <c r="M182" s="4">
        <f>(84000+122000+82000)/0.85</f>
        <v>338823.5294117647</v>
      </c>
      <c r="N182" s="4" t="s">
        <v>38</v>
      </c>
      <c r="O182" s="4">
        <v>17</v>
      </c>
      <c r="P182" s="4">
        <v>0.9</v>
      </c>
      <c r="Q182" s="4">
        <v>0.4</v>
      </c>
      <c r="R182" s="160" t="s">
        <v>9</v>
      </c>
      <c r="S182" s="117" t="s">
        <v>322</v>
      </c>
    </row>
    <row r="183" spans="1:19" x14ac:dyDescent="0.3">
      <c r="A183" s="4" t="s">
        <v>56</v>
      </c>
      <c r="B183" s="4">
        <v>0.51</v>
      </c>
      <c r="C183" s="4">
        <v>0.51</v>
      </c>
      <c r="D183" s="4" t="s">
        <v>57</v>
      </c>
      <c r="E183" s="4">
        <v>17</v>
      </c>
      <c r="F183" s="4">
        <v>0.9</v>
      </c>
      <c r="G183" s="4">
        <v>0.4</v>
      </c>
      <c r="H183" s="160" t="s">
        <v>16</v>
      </c>
      <c r="I183" s="117" t="s">
        <v>315</v>
      </c>
      <c r="K183" s="4" t="s">
        <v>59</v>
      </c>
      <c r="L183" s="4">
        <v>589</v>
      </c>
      <c r="M183" s="4">
        <v>519</v>
      </c>
      <c r="N183" s="4" t="s">
        <v>60</v>
      </c>
      <c r="O183" s="4">
        <v>17</v>
      </c>
      <c r="P183" s="4">
        <v>0.9</v>
      </c>
      <c r="Q183" s="4">
        <v>0.4</v>
      </c>
      <c r="R183" s="160" t="s">
        <v>43</v>
      </c>
      <c r="S183" s="117" t="s">
        <v>183</v>
      </c>
    </row>
    <row r="184" spans="1:19" x14ac:dyDescent="0.3">
      <c r="A184" s="4" t="s">
        <v>64</v>
      </c>
      <c r="B184" s="4">
        <v>120000</v>
      </c>
      <c r="C184" s="4">
        <v>120000</v>
      </c>
      <c r="D184" s="4" t="s">
        <v>65</v>
      </c>
      <c r="E184" s="4">
        <v>17</v>
      </c>
      <c r="F184" s="4">
        <v>0.9</v>
      </c>
      <c r="G184" s="4">
        <v>0.4</v>
      </c>
      <c r="H184" s="160" t="s">
        <v>316</v>
      </c>
      <c r="I184" s="117" t="s">
        <v>317</v>
      </c>
      <c r="K184" s="4" t="s">
        <v>67</v>
      </c>
      <c r="L184" s="4">
        <v>0.189409893251579</v>
      </c>
      <c r="M184" s="4">
        <v>0.100822065784204</v>
      </c>
      <c r="N184" s="4" t="s">
        <v>68</v>
      </c>
      <c r="O184" s="4">
        <v>17</v>
      </c>
      <c r="P184" s="4">
        <v>0.9</v>
      </c>
      <c r="Q184" s="4">
        <v>0.4</v>
      </c>
      <c r="R184" s="160" t="s">
        <v>43</v>
      </c>
      <c r="S184" s="117" t="s">
        <v>301</v>
      </c>
    </row>
    <row r="185" spans="1:19" x14ac:dyDescent="0.3">
      <c r="A185" s="4" t="s">
        <v>70</v>
      </c>
      <c r="B185" s="4">
        <v>25</v>
      </c>
      <c r="C185" s="4">
        <v>25</v>
      </c>
      <c r="D185" s="4" t="s">
        <v>42</v>
      </c>
      <c r="E185" s="4">
        <v>17</v>
      </c>
      <c r="F185" s="4">
        <v>0.9</v>
      </c>
      <c r="G185" s="4">
        <v>0.4</v>
      </c>
      <c r="H185" s="160" t="s">
        <v>43</v>
      </c>
      <c r="I185" s="117" t="s">
        <v>74</v>
      </c>
      <c r="K185" s="4" t="s">
        <v>73</v>
      </c>
      <c r="L185" s="4">
        <v>0.8</v>
      </c>
      <c r="M185" s="4">
        <v>7.0000000000000007E-2</v>
      </c>
      <c r="N185" s="4" t="s">
        <v>57</v>
      </c>
      <c r="O185" s="4">
        <v>17</v>
      </c>
      <c r="P185" s="4">
        <v>0.9</v>
      </c>
      <c r="Q185" s="4">
        <v>0.4</v>
      </c>
      <c r="R185" s="160" t="s">
        <v>43</v>
      </c>
      <c r="S185" s="117" t="s">
        <v>184</v>
      </c>
    </row>
    <row r="186" spans="1:19" x14ac:dyDescent="0.3">
      <c r="A186" s="4" t="s">
        <v>273</v>
      </c>
      <c r="B186" s="4">
        <f>(100000*(1+(14780-15380)/15380)/118231)</f>
        <v>0.81280569096848254</v>
      </c>
      <c r="C186" s="4">
        <f>(100000*(1+(14780-15380)/15380)/118231)</f>
        <v>0.81280569096848254</v>
      </c>
      <c r="D186" s="4" t="s">
        <v>76</v>
      </c>
      <c r="E186" s="4">
        <v>17</v>
      </c>
      <c r="F186" s="4">
        <v>0.9</v>
      </c>
      <c r="G186" s="4">
        <v>0.4</v>
      </c>
      <c r="H186" s="160" t="s">
        <v>16</v>
      </c>
      <c r="I186" s="117" t="s">
        <v>319</v>
      </c>
      <c r="K186" s="4" t="s">
        <v>79</v>
      </c>
      <c r="L186" s="4">
        <v>0.06</v>
      </c>
      <c r="M186" s="4">
        <v>0.06</v>
      </c>
      <c r="N186" s="4" t="s">
        <v>57</v>
      </c>
      <c r="O186" s="4">
        <v>17</v>
      </c>
      <c r="P186" s="4">
        <v>0.9</v>
      </c>
      <c r="Q186" s="4">
        <v>0.4</v>
      </c>
      <c r="R186" s="160" t="s">
        <v>43</v>
      </c>
      <c r="S186" s="117" t="s">
        <v>74</v>
      </c>
    </row>
    <row r="187" spans="1:19" x14ac:dyDescent="0.3">
      <c r="I187" s="117"/>
      <c r="K187" s="4" t="s">
        <v>81</v>
      </c>
      <c r="L187" s="4">
        <f>AM146</f>
        <v>2.4919230769230767</v>
      </c>
      <c r="M187" s="4">
        <f>AN146</f>
        <v>0</v>
      </c>
      <c r="N187" s="4" t="s">
        <v>76</v>
      </c>
      <c r="O187" s="4">
        <f>$O$47</f>
        <v>17</v>
      </c>
      <c r="P187" s="4">
        <f>$P$47</f>
        <v>0.9</v>
      </c>
      <c r="Q187" s="4">
        <f>$Q$47</f>
        <v>0.4</v>
      </c>
      <c r="R187" s="160" t="s">
        <v>324</v>
      </c>
      <c r="S187" s="118" t="s">
        <v>308</v>
      </c>
    </row>
    <row r="188" spans="1:19" x14ac:dyDescent="0.3">
      <c r="S188" s="117"/>
    </row>
    <row r="189" spans="1:19" x14ac:dyDescent="0.3">
      <c r="O189" s="4" t="s">
        <v>2</v>
      </c>
      <c r="R189" s="4" t="s">
        <v>3</v>
      </c>
      <c r="S189" s="117"/>
    </row>
    <row r="190" spans="1:19" x14ac:dyDescent="0.3">
      <c r="K190" s="25" t="s">
        <v>187</v>
      </c>
      <c r="L190" s="4">
        <v>2023</v>
      </c>
      <c r="M190" s="4">
        <v>2050</v>
      </c>
      <c r="N190" s="4" t="s">
        <v>5</v>
      </c>
      <c r="O190" s="4" t="s">
        <v>8</v>
      </c>
      <c r="P190" s="4" t="s">
        <v>9</v>
      </c>
      <c r="Q190" s="4" t="s">
        <v>10</v>
      </c>
      <c r="S190" s="117"/>
    </row>
    <row r="191" spans="1:19" x14ac:dyDescent="0.3">
      <c r="K191" s="4" t="s">
        <v>18</v>
      </c>
      <c r="L191" s="4">
        <f>L142*1.3</f>
        <v>19500000</v>
      </c>
      <c r="M191" s="4">
        <f>M142</f>
        <v>15000000</v>
      </c>
      <c r="N191" s="4" t="s">
        <v>15</v>
      </c>
      <c r="O191" s="4">
        <v>17</v>
      </c>
      <c r="P191" s="4">
        <v>0.9</v>
      </c>
      <c r="Q191" s="4">
        <v>0.4</v>
      </c>
      <c r="R191" s="160" t="s">
        <v>333</v>
      </c>
      <c r="S191" s="117" t="s">
        <v>189</v>
      </c>
    </row>
    <row r="192" spans="1:19" x14ac:dyDescent="0.3">
      <c r="K192" s="4" t="s">
        <v>28</v>
      </c>
      <c r="L192" s="4">
        <f>-L191*0.05</f>
        <v>-975000</v>
      </c>
      <c r="M192" s="4">
        <f>-M191*0.1</f>
        <v>-1500000</v>
      </c>
      <c r="N192" s="4" t="s">
        <v>15</v>
      </c>
      <c r="O192" s="4">
        <v>17</v>
      </c>
      <c r="P192" s="4">
        <v>0.9</v>
      </c>
      <c r="Q192" s="4">
        <v>0.4</v>
      </c>
      <c r="R192" s="160" t="s">
        <v>26</v>
      </c>
      <c r="S192" s="117" t="s">
        <v>182</v>
      </c>
    </row>
    <row r="193" spans="2:19" x14ac:dyDescent="0.3">
      <c r="B193" s="166"/>
      <c r="K193" s="4" t="s">
        <v>41</v>
      </c>
      <c r="L193" s="4">
        <v>25</v>
      </c>
      <c r="M193" s="4">
        <v>25</v>
      </c>
      <c r="N193" s="4" t="s">
        <v>42</v>
      </c>
      <c r="O193" s="4">
        <v>17</v>
      </c>
      <c r="P193" s="4">
        <v>0.9</v>
      </c>
      <c r="Q193" s="4">
        <v>0.4</v>
      </c>
      <c r="R193" s="160" t="s">
        <v>43</v>
      </c>
      <c r="S193" s="117" t="s">
        <v>74</v>
      </c>
    </row>
    <row r="194" spans="2:19" x14ac:dyDescent="0.3">
      <c r="K194" s="4" t="s">
        <v>52</v>
      </c>
      <c r="L194" s="4">
        <f>(84000+127000+122000+82000)/0.85</f>
        <v>488235.29411764705</v>
      </c>
      <c r="M194" s="4">
        <f>(84000+127000+122000+82000)/0.85</f>
        <v>488235.29411764705</v>
      </c>
      <c r="N194" s="4" t="s">
        <v>38</v>
      </c>
      <c r="O194" s="4">
        <v>17</v>
      </c>
      <c r="P194" s="4">
        <v>0.9</v>
      </c>
      <c r="Q194" s="4">
        <v>0.4</v>
      </c>
      <c r="R194" s="160" t="s">
        <v>9</v>
      </c>
      <c r="S194" s="117" t="s">
        <v>321</v>
      </c>
    </row>
    <row r="195" spans="2:19" x14ac:dyDescent="0.3">
      <c r="K195" s="4" t="s">
        <v>59</v>
      </c>
      <c r="L195" s="4">
        <v>647</v>
      </c>
      <c r="M195" s="4">
        <v>600</v>
      </c>
      <c r="N195" s="4" t="s">
        <v>60</v>
      </c>
      <c r="O195" s="4">
        <v>17</v>
      </c>
      <c r="P195" s="4">
        <v>0.9</v>
      </c>
      <c r="Q195" s="4">
        <v>0.4</v>
      </c>
      <c r="R195" s="160" t="s">
        <v>43</v>
      </c>
      <c r="S195" s="117" t="s">
        <v>190</v>
      </c>
    </row>
    <row r="196" spans="2:19" x14ac:dyDescent="0.3">
      <c r="K196" s="4" t="s">
        <v>67</v>
      </c>
      <c r="L196" s="4">
        <f>1800/0.85/1000/$L$205</f>
        <v>0.38698275991804565</v>
      </c>
      <c r="M196" s="4">
        <f>460/0.85/1000/$L$205</f>
        <v>9.8895594201278345E-2</v>
      </c>
      <c r="N196" s="4" t="s">
        <v>68</v>
      </c>
      <c r="O196" s="4">
        <v>17</v>
      </c>
      <c r="P196" s="4">
        <v>0.9</v>
      </c>
      <c r="Q196" s="4">
        <v>0.4</v>
      </c>
      <c r="R196" s="160" t="s">
        <v>271</v>
      </c>
      <c r="S196" s="117" t="s">
        <v>318</v>
      </c>
    </row>
    <row r="197" spans="2:19" x14ac:dyDescent="0.3">
      <c r="K197" s="4" t="s">
        <v>73</v>
      </c>
      <c r="L197" s="4">
        <v>0.04</v>
      </c>
      <c r="M197" s="4">
        <v>0.04</v>
      </c>
      <c r="N197" s="4" t="s">
        <v>57</v>
      </c>
      <c r="O197" s="4">
        <v>17</v>
      </c>
      <c r="P197" s="4">
        <v>0.9</v>
      </c>
      <c r="Q197" s="4">
        <v>0.4</v>
      </c>
      <c r="R197" s="160" t="s">
        <v>77</v>
      </c>
      <c r="S197" s="117" t="s">
        <v>191</v>
      </c>
    </row>
    <row r="198" spans="2:19" x14ac:dyDescent="0.3">
      <c r="K198" s="4" t="s">
        <v>79</v>
      </c>
      <c r="L198" s="4">
        <v>0.06</v>
      </c>
      <c r="M198" s="4">
        <v>0.06</v>
      </c>
      <c r="N198" s="4" t="s">
        <v>57</v>
      </c>
      <c r="O198" s="4">
        <v>17</v>
      </c>
      <c r="P198" s="4">
        <v>0.9</v>
      </c>
      <c r="Q198" s="4">
        <v>0.4</v>
      </c>
      <c r="R198" s="160" t="s">
        <v>43</v>
      </c>
      <c r="S198" s="117" t="s">
        <v>74</v>
      </c>
    </row>
    <row r="199" spans="2:19" x14ac:dyDescent="0.3">
      <c r="K199" s="4" t="s">
        <v>81</v>
      </c>
      <c r="L199" s="4">
        <f>AR146</f>
        <v>3.1631111111111108</v>
      </c>
      <c r="M199" s="4">
        <f>AS146</f>
        <v>0</v>
      </c>
      <c r="N199" s="4" t="s">
        <v>76</v>
      </c>
      <c r="O199" s="4">
        <f>$O$47</f>
        <v>17</v>
      </c>
      <c r="P199" s="4">
        <f>$P$47</f>
        <v>0.9</v>
      </c>
      <c r="Q199" s="4">
        <f>$Q$47</f>
        <v>0.4</v>
      </c>
      <c r="R199" s="160" t="s">
        <v>324</v>
      </c>
      <c r="S199" s="118" t="s">
        <v>307</v>
      </c>
    </row>
    <row r="202" spans="2:19" x14ac:dyDescent="0.3">
      <c r="S202" s="117"/>
    </row>
    <row r="203" spans="2:19" x14ac:dyDescent="0.3">
      <c r="K203" s="168" t="s">
        <v>309</v>
      </c>
      <c r="L203" s="168"/>
      <c r="M203" s="168"/>
    </row>
    <row r="204" spans="2:19" x14ac:dyDescent="0.3">
      <c r="K204" s="168" t="s">
        <v>192</v>
      </c>
      <c r="L204" s="168"/>
      <c r="M204" s="168"/>
    </row>
    <row r="205" spans="2:19" x14ac:dyDescent="0.3">
      <c r="K205" s="168" t="s">
        <v>193</v>
      </c>
      <c r="L205" s="168">
        <v>5.4722</v>
      </c>
      <c r="M205" s="168" t="s">
        <v>32</v>
      </c>
    </row>
    <row r="206" spans="2:19" x14ac:dyDescent="0.3">
      <c r="K206" s="168" t="s">
        <v>194</v>
      </c>
      <c r="L206" s="168">
        <v>4.3333000000000004</v>
      </c>
      <c r="M206" s="168" t="s">
        <v>145</v>
      </c>
    </row>
    <row r="226" spans="1:19" x14ac:dyDescent="0.3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</row>
  </sheetData>
  <mergeCells count="12">
    <mergeCell ref="X8:Y8"/>
    <mergeCell ref="X9:Y9"/>
    <mergeCell ref="X10:Y10"/>
    <mergeCell ref="X77:Y77"/>
    <mergeCell ref="X78:Y78"/>
    <mergeCell ref="AC144:AD144"/>
    <mergeCell ref="X144:Y144"/>
    <mergeCell ref="X79:Y79"/>
    <mergeCell ref="X142:Y142"/>
    <mergeCell ref="X143:Y143"/>
    <mergeCell ref="AC142:AD142"/>
    <mergeCell ref="AC143:AD143"/>
  </mergeCells>
  <hyperlinks>
    <hyperlink ref="X23" r:id="rId1" xr:uid="{83BCC5A8-01A8-4534-970E-A76BB0698DB1}"/>
    <hyperlink ref="B137" r:id="rId2" xr:uid="{2C3F2E55-FEF5-43D5-B8DD-07A66CBCD4F7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7320-C1DD-4AFA-8954-B2A20C913967}">
  <sheetPr codeName="Sheet5">
    <tabColor theme="4" tint="-0.249977111117893"/>
  </sheetPr>
  <dimension ref="A1:AR515"/>
  <sheetViews>
    <sheetView topLeftCell="A232" zoomScale="85" zoomScaleNormal="85" zoomScaleSheetLayoutView="50" workbookViewId="0">
      <selection activeCell="H282" sqref="H282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Input'!A7</f>
        <v>Road long-haul: Dry bulk</v>
      </c>
    </row>
    <row r="2" spans="1:44" s="3" customFormat="1" ht="21" x14ac:dyDescent="0.4">
      <c r="A2" s="2" t="s">
        <v>11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Input'!L8</f>
        <v>105000</v>
      </c>
      <c r="C11" s="42">
        <f>'Parameter Input'!M8</f>
        <v>115000</v>
      </c>
      <c r="D11" s="1" t="s">
        <v>15</v>
      </c>
      <c r="L11" s="51">
        <f>'Parameter Input'!O8</f>
        <v>12</v>
      </c>
      <c r="M11" s="52">
        <v>0</v>
      </c>
      <c r="N11" s="52">
        <v>1</v>
      </c>
      <c r="O11" s="52">
        <f>'Parameter Input'!P8</f>
        <v>0.9</v>
      </c>
      <c r="P11" s="53">
        <f>'Parameter Input'!Q8</f>
        <v>0.4</v>
      </c>
      <c r="Q11" s="4">
        <f t="shared" ref="Q11:AR20" si="0">$N11+($M11-$N11)*((1/(1+EXP(-$P11*(Q$9-$L11)))^$O11))</f>
        <v>0.9867978615748374</v>
      </c>
      <c r="R11" s="4">
        <f t="shared" si="0"/>
        <v>0.98114509762858249</v>
      </c>
      <c r="S11" s="4">
        <f t="shared" si="0"/>
        <v>0.97311898315872036</v>
      </c>
      <c r="T11" s="4">
        <f>$N11+($M11-$N11)*((1/(1+EXP(-$P11*(T$9-$L11)))^$O11))</f>
        <v>0.96177484161592774</v>
      </c>
      <c r="U11" s="4">
        <f t="shared" si="0"/>
        <v>0.94584787155511363</v>
      </c>
      <c r="V11" s="4">
        <f t="shared" si="0"/>
        <v>0.92370360150141495</v>
      </c>
      <c r="W11" s="4">
        <f t="shared" si="0"/>
        <v>0.89334463567658451</v>
      </c>
      <c r="X11" s="4">
        <f t="shared" si="0"/>
        <v>0.85254543874327005</v>
      </c>
      <c r="Y11" s="4">
        <f t="shared" si="0"/>
        <v>0.79921300652623883</v>
      </c>
      <c r="Z11" s="4">
        <f t="shared" si="0"/>
        <v>0.73204982249993378</v>
      </c>
      <c r="AA11" s="4">
        <f t="shared" si="0"/>
        <v>0.65145592958786691</v>
      </c>
      <c r="AB11" s="4">
        <f t="shared" si="0"/>
        <v>0.56032247880849573</v>
      </c>
      <c r="AC11" s="4">
        <f t="shared" si="0"/>
        <v>0.46411326873185343</v>
      </c>
      <c r="AD11" s="4">
        <f t="shared" si="0"/>
        <v>0.36979727595523937</v>
      </c>
      <c r="AE11" s="4">
        <f t="shared" si="0"/>
        <v>0.28393948637231203</v>
      </c>
      <c r="AF11" s="4">
        <f t="shared" si="0"/>
        <v>0.21097259161117732</v>
      </c>
      <c r="AG11" s="4">
        <f t="shared" si="0"/>
        <v>0.15253917653798199</v>
      </c>
      <c r="AH11" s="4">
        <f t="shared" si="0"/>
        <v>0.10795188737709993</v>
      </c>
      <c r="AI11" s="4">
        <f t="shared" si="0"/>
        <v>7.5176653938091809E-2</v>
      </c>
      <c r="AJ11" s="4">
        <f t="shared" si="0"/>
        <v>5.1742836177502194E-2</v>
      </c>
      <c r="AK11" s="4">
        <f t="shared" si="0"/>
        <v>3.5319190625345942E-2</v>
      </c>
      <c r="AL11" s="4">
        <f t="shared" si="0"/>
        <v>2.3969442072658165E-2</v>
      </c>
      <c r="AM11" s="4">
        <f t="shared" si="0"/>
        <v>1.6202243558389728E-2</v>
      </c>
      <c r="AN11" s="4">
        <f t="shared" si="0"/>
        <v>1.0922240564108399E-2</v>
      </c>
      <c r="AO11" s="4">
        <f t="shared" si="0"/>
        <v>7.3493212906090566E-3</v>
      </c>
      <c r="AP11" s="4">
        <f t="shared" si="0"/>
        <v>4.9390262185057265E-3</v>
      </c>
      <c r="AQ11" s="4">
        <f t="shared" si="0"/>
        <v>3.3164275492956197E-3</v>
      </c>
      <c r="AR11" s="4">
        <f t="shared" si="0"/>
        <v>2.2256362146679809E-3</v>
      </c>
    </row>
    <row r="12" spans="1:44" x14ac:dyDescent="0.3">
      <c r="A12" s="24" t="s">
        <v>28</v>
      </c>
      <c r="B12" s="60">
        <f>'Parameter Input'!L9</f>
        <v>-26250</v>
      </c>
      <c r="C12" s="61">
        <f>'Parameter Input'!M9</f>
        <v>-17250</v>
      </c>
      <c r="D12" s="1" t="s">
        <v>15</v>
      </c>
      <c r="L12" s="54">
        <f>'Parameter Input'!O9</f>
        <v>12</v>
      </c>
      <c r="M12" s="37">
        <v>0</v>
      </c>
      <c r="N12" s="37">
        <v>1</v>
      </c>
      <c r="O12" s="37">
        <f>'Parameter Input'!P9</f>
        <v>0.9</v>
      </c>
      <c r="P12" s="55">
        <f>'Parameter Input'!Q9</f>
        <v>0.4</v>
      </c>
      <c r="Q12" s="4">
        <f t="shared" si="0"/>
        <v>0.9867978615748374</v>
      </c>
      <c r="R12" s="4">
        <f t="shared" si="0"/>
        <v>0.98114509762858249</v>
      </c>
      <c r="S12" s="4">
        <f t="shared" si="0"/>
        <v>0.97311898315872036</v>
      </c>
      <c r="T12" s="4">
        <f t="shared" si="0"/>
        <v>0.96177484161592774</v>
      </c>
      <c r="U12" s="4">
        <f t="shared" si="0"/>
        <v>0.94584787155511363</v>
      </c>
      <c r="V12" s="4">
        <f t="shared" si="0"/>
        <v>0.92370360150141495</v>
      </c>
      <c r="W12" s="4">
        <f t="shared" si="0"/>
        <v>0.89334463567658451</v>
      </c>
      <c r="X12" s="4">
        <f t="shared" si="0"/>
        <v>0.85254543874327005</v>
      </c>
      <c r="Y12" s="4">
        <f t="shared" si="0"/>
        <v>0.79921300652623883</v>
      </c>
      <c r="Z12" s="4">
        <f t="shared" si="0"/>
        <v>0.73204982249993378</v>
      </c>
      <c r="AA12" s="4">
        <f t="shared" si="0"/>
        <v>0.65145592958786691</v>
      </c>
      <c r="AB12" s="4">
        <f t="shared" si="0"/>
        <v>0.56032247880849573</v>
      </c>
      <c r="AC12" s="4">
        <f t="shared" si="0"/>
        <v>0.46411326873185343</v>
      </c>
      <c r="AD12" s="4">
        <f t="shared" si="0"/>
        <v>0.36979727595523937</v>
      </c>
      <c r="AE12" s="4">
        <f t="shared" si="0"/>
        <v>0.28393948637231203</v>
      </c>
      <c r="AF12" s="4">
        <f t="shared" si="0"/>
        <v>0.21097259161117732</v>
      </c>
      <c r="AG12" s="4">
        <f t="shared" si="0"/>
        <v>0.15253917653798199</v>
      </c>
      <c r="AH12" s="4">
        <f t="shared" si="0"/>
        <v>0.10795188737709993</v>
      </c>
      <c r="AI12" s="4">
        <f t="shared" si="0"/>
        <v>7.5176653938091809E-2</v>
      </c>
      <c r="AJ12" s="4">
        <f t="shared" si="0"/>
        <v>5.1742836177502194E-2</v>
      </c>
      <c r="AK12" s="4">
        <f t="shared" si="0"/>
        <v>3.5319190625345942E-2</v>
      </c>
      <c r="AL12" s="4">
        <f t="shared" si="0"/>
        <v>2.3969442072658165E-2</v>
      </c>
      <c r="AM12" s="4">
        <f t="shared" si="0"/>
        <v>1.6202243558389728E-2</v>
      </c>
      <c r="AN12" s="4">
        <f t="shared" si="0"/>
        <v>1.0922240564108399E-2</v>
      </c>
      <c r="AO12" s="4">
        <f t="shared" si="0"/>
        <v>7.3493212906090566E-3</v>
      </c>
      <c r="AP12" s="4">
        <f t="shared" si="0"/>
        <v>4.9390262185057265E-3</v>
      </c>
      <c r="AQ12" s="4">
        <f t="shared" si="0"/>
        <v>3.3164275492956197E-3</v>
      </c>
      <c r="AR12" s="4">
        <f t="shared" si="0"/>
        <v>2.2256362146679809E-3</v>
      </c>
    </row>
    <row r="13" spans="1:44" x14ac:dyDescent="0.3">
      <c r="A13" s="24" t="s">
        <v>14</v>
      </c>
      <c r="B13" s="43">
        <f>'Parameter Input'!B8</f>
        <v>40000</v>
      </c>
      <c r="C13" s="44">
        <f>'Parameter Input'!C8</f>
        <v>40000</v>
      </c>
      <c r="D13" s="1" t="s">
        <v>15</v>
      </c>
      <c r="L13" s="54">
        <f>'Parameter Input'!E8</f>
        <v>12</v>
      </c>
      <c r="M13" s="37">
        <v>0</v>
      </c>
      <c r="N13" s="37">
        <v>1</v>
      </c>
      <c r="O13" s="37">
        <f>'Parameter Input'!F8</f>
        <v>0.9</v>
      </c>
      <c r="P13" s="55">
        <f>'Parameter Input'!G8</f>
        <v>0.4</v>
      </c>
      <c r="Q13" s="4">
        <f t="shared" si="0"/>
        <v>0.9867978615748374</v>
      </c>
      <c r="R13" s="4">
        <f t="shared" si="0"/>
        <v>0.98114509762858249</v>
      </c>
      <c r="S13" s="4">
        <f t="shared" si="0"/>
        <v>0.97311898315872036</v>
      </c>
      <c r="T13" s="4">
        <f t="shared" si="0"/>
        <v>0.96177484161592774</v>
      </c>
      <c r="U13" s="4">
        <f t="shared" si="0"/>
        <v>0.94584787155511363</v>
      </c>
      <c r="V13" s="4">
        <f t="shared" si="0"/>
        <v>0.92370360150141495</v>
      </c>
      <c r="W13" s="4">
        <f t="shared" si="0"/>
        <v>0.89334463567658451</v>
      </c>
      <c r="X13" s="4">
        <f t="shared" si="0"/>
        <v>0.85254543874327005</v>
      </c>
      <c r="Y13" s="4">
        <f t="shared" si="0"/>
        <v>0.79921300652623883</v>
      </c>
      <c r="Z13" s="4">
        <f t="shared" si="0"/>
        <v>0.73204982249993378</v>
      </c>
      <c r="AA13" s="4">
        <f t="shared" si="0"/>
        <v>0.65145592958786691</v>
      </c>
      <c r="AB13" s="4">
        <f t="shared" si="0"/>
        <v>0.56032247880849573</v>
      </c>
      <c r="AC13" s="4">
        <f t="shared" si="0"/>
        <v>0.46411326873185343</v>
      </c>
      <c r="AD13" s="4">
        <f t="shared" si="0"/>
        <v>0.36979727595523937</v>
      </c>
      <c r="AE13" s="4">
        <f t="shared" si="0"/>
        <v>0.28393948637231203</v>
      </c>
      <c r="AF13" s="4">
        <f t="shared" si="0"/>
        <v>0.21097259161117732</v>
      </c>
      <c r="AG13" s="4">
        <f t="shared" si="0"/>
        <v>0.15253917653798199</v>
      </c>
      <c r="AH13" s="4">
        <f t="shared" si="0"/>
        <v>0.10795188737709993</v>
      </c>
      <c r="AI13" s="4">
        <f t="shared" si="0"/>
        <v>7.5176653938091809E-2</v>
      </c>
      <c r="AJ13" s="4">
        <f t="shared" si="0"/>
        <v>5.1742836177502194E-2</v>
      </c>
      <c r="AK13" s="4">
        <f t="shared" si="0"/>
        <v>3.5319190625345942E-2</v>
      </c>
      <c r="AL13" s="4">
        <f t="shared" si="0"/>
        <v>2.3969442072658165E-2</v>
      </c>
      <c r="AM13" s="4">
        <f t="shared" si="0"/>
        <v>1.6202243558389728E-2</v>
      </c>
      <c r="AN13" s="4">
        <f t="shared" si="0"/>
        <v>1.0922240564108399E-2</v>
      </c>
      <c r="AO13" s="4">
        <f t="shared" si="0"/>
        <v>7.3493212906090566E-3</v>
      </c>
      <c r="AP13" s="4">
        <f t="shared" si="0"/>
        <v>4.9390262185057265E-3</v>
      </c>
      <c r="AQ13" s="4">
        <f t="shared" si="0"/>
        <v>3.3164275492956197E-3</v>
      </c>
      <c r="AR13" s="4">
        <f t="shared" si="0"/>
        <v>2.2256362146679809E-3</v>
      </c>
    </row>
    <row r="14" spans="1:44" x14ac:dyDescent="0.3">
      <c r="A14" s="24" t="s">
        <v>25</v>
      </c>
      <c r="B14" s="60">
        <f>'Parameter Input'!B9</f>
        <v>-10000</v>
      </c>
      <c r="C14" s="61">
        <f>'Parameter Input'!C9</f>
        <v>-10000</v>
      </c>
      <c r="D14" s="1" t="s">
        <v>15</v>
      </c>
      <c r="L14" s="54">
        <f>'Parameter Input'!E9</f>
        <v>12</v>
      </c>
      <c r="M14" s="37">
        <v>0</v>
      </c>
      <c r="N14" s="37">
        <v>1</v>
      </c>
      <c r="O14" s="37">
        <f>'Parameter Input'!F9</f>
        <v>0.9</v>
      </c>
      <c r="P14" s="55">
        <f>'Parameter Input'!G9</f>
        <v>0.4</v>
      </c>
      <c r="Q14" s="4">
        <f t="shared" si="0"/>
        <v>0.9867978615748374</v>
      </c>
      <c r="R14" s="4">
        <f t="shared" si="0"/>
        <v>0.98114509762858249</v>
      </c>
      <c r="S14" s="4">
        <f t="shared" si="0"/>
        <v>0.97311898315872036</v>
      </c>
      <c r="T14" s="4">
        <f t="shared" si="0"/>
        <v>0.96177484161592774</v>
      </c>
      <c r="U14" s="4">
        <f t="shared" si="0"/>
        <v>0.94584787155511363</v>
      </c>
      <c r="V14" s="4">
        <f t="shared" si="0"/>
        <v>0.92370360150141495</v>
      </c>
      <c r="W14" s="4">
        <f t="shared" si="0"/>
        <v>0.89334463567658451</v>
      </c>
      <c r="X14" s="4">
        <f t="shared" si="0"/>
        <v>0.85254543874327005</v>
      </c>
      <c r="Y14" s="4">
        <f t="shared" si="0"/>
        <v>0.79921300652623883</v>
      </c>
      <c r="Z14" s="4">
        <f t="shared" si="0"/>
        <v>0.73204982249993378</v>
      </c>
      <c r="AA14" s="4">
        <f t="shared" si="0"/>
        <v>0.65145592958786691</v>
      </c>
      <c r="AB14" s="4">
        <f t="shared" si="0"/>
        <v>0.56032247880849573</v>
      </c>
      <c r="AC14" s="4">
        <f t="shared" si="0"/>
        <v>0.46411326873185343</v>
      </c>
      <c r="AD14" s="4">
        <f t="shared" si="0"/>
        <v>0.36979727595523937</v>
      </c>
      <c r="AE14" s="4">
        <f t="shared" si="0"/>
        <v>0.28393948637231203</v>
      </c>
      <c r="AF14" s="4">
        <f t="shared" si="0"/>
        <v>0.21097259161117732</v>
      </c>
      <c r="AG14" s="4">
        <f t="shared" si="0"/>
        <v>0.15253917653798199</v>
      </c>
      <c r="AH14" s="4">
        <f t="shared" si="0"/>
        <v>0.10795188737709993</v>
      </c>
      <c r="AI14" s="4">
        <f t="shared" si="0"/>
        <v>7.5176653938091809E-2</v>
      </c>
      <c r="AJ14" s="4">
        <f t="shared" si="0"/>
        <v>5.1742836177502194E-2</v>
      </c>
      <c r="AK14" s="4">
        <f t="shared" si="0"/>
        <v>3.5319190625345942E-2</v>
      </c>
      <c r="AL14" s="4">
        <f t="shared" si="0"/>
        <v>2.3969442072658165E-2</v>
      </c>
      <c r="AM14" s="4">
        <f t="shared" si="0"/>
        <v>1.6202243558389728E-2</v>
      </c>
      <c r="AN14" s="4">
        <f t="shared" si="0"/>
        <v>1.0922240564108399E-2</v>
      </c>
      <c r="AO14" s="4">
        <f t="shared" si="0"/>
        <v>7.3493212906090566E-3</v>
      </c>
      <c r="AP14" s="4">
        <f t="shared" si="0"/>
        <v>4.9390262185057265E-3</v>
      </c>
      <c r="AQ14" s="4">
        <f t="shared" si="0"/>
        <v>3.3164275492956197E-3</v>
      </c>
      <c r="AR14" s="4">
        <f t="shared" si="0"/>
        <v>2.2256362146679809E-3</v>
      </c>
    </row>
    <row r="15" spans="1:44" x14ac:dyDescent="0.3">
      <c r="A15" s="24" t="s">
        <v>79</v>
      </c>
      <c r="B15" s="45">
        <f>'Parameter Input'!L15</f>
        <v>0.06</v>
      </c>
      <c r="C15" s="46">
        <f>'Parameter Input'!M15</f>
        <v>0.06</v>
      </c>
      <c r="D15" s="1" t="s">
        <v>57</v>
      </c>
      <c r="L15" s="54">
        <f>'Parameter Input'!O15</f>
        <v>12</v>
      </c>
      <c r="M15" s="37">
        <v>0</v>
      </c>
      <c r="N15" s="37">
        <v>1</v>
      </c>
      <c r="O15" s="37">
        <f>'Parameter Input'!P15</f>
        <v>0.9</v>
      </c>
      <c r="P15" s="55">
        <f>'Parameter Input'!Q15</f>
        <v>0.4</v>
      </c>
      <c r="Q15" s="4">
        <f t="shared" si="0"/>
        <v>0.9867978615748374</v>
      </c>
      <c r="R15" s="4">
        <f t="shared" si="0"/>
        <v>0.98114509762858249</v>
      </c>
      <c r="S15" s="4">
        <f t="shared" si="0"/>
        <v>0.97311898315872036</v>
      </c>
      <c r="T15" s="4">
        <f t="shared" si="0"/>
        <v>0.96177484161592774</v>
      </c>
      <c r="U15" s="4">
        <f t="shared" si="0"/>
        <v>0.94584787155511363</v>
      </c>
      <c r="V15" s="4">
        <f t="shared" si="0"/>
        <v>0.92370360150141495</v>
      </c>
      <c r="W15" s="4">
        <f t="shared" si="0"/>
        <v>0.89334463567658451</v>
      </c>
      <c r="X15" s="4">
        <f t="shared" si="0"/>
        <v>0.85254543874327005</v>
      </c>
      <c r="Y15" s="4">
        <f t="shared" si="0"/>
        <v>0.79921300652623883</v>
      </c>
      <c r="Z15" s="4">
        <f t="shared" si="0"/>
        <v>0.73204982249993378</v>
      </c>
      <c r="AA15" s="4">
        <f t="shared" si="0"/>
        <v>0.65145592958786691</v>
      </c>
      <c r="AB15" s="4">
        <f t="shared" si="0"/>
        <v>0.56032247880849573</v>
      </c>
      <c r="AC15" s="4">
        <f t="shared" si="0"/>
        <v>0.46411326873185343</v>
      </c>
      <c r="AD15" s="4">
        <f t="shared" si="0"/>
        <v>0.36979727595523937</v>
      </c>
      <c r="AE15" s="4">
        <f t="shared" si="0"/>
        <v>0.28393948637231203</v>
      </c>
      <c r="AF15" s="4">
        <f t="shared" si="0"/>
        <v>0.21097259161117732</v>
      </c>
      <c r="AG15" s="4">
        <f t="shared" si="0"/>
        <v>0.15253917653798199</v>
      </c>
      <c r="AH15" s="4">
        <f t="shared" si="0"/>
        <v>0.10795188737709993</v>
      </c>
      <c r="AI15" s="4">
        <f t="shared" si="0"/>
        <v>7.5176653938091809E-2</v>
      </c>
      <c r="AJ15" s="4">
        <f t="shared" si="0"/>
        <v>5.1742836177502194E-2</v>
      </c>
      <c r="AK15" s="4">
        <f t="shared" si="0"/>
        <v>3.5319190625345942E-2</v>
      </c>
      <c r="AL15" s="4">
        <f t="shared" si="0"/>
        <v>2.3969442072658165E-2</v>
      </c>
      <c r="AM15" s="4">
        <f t="shared" si="0"/>
        <v>1.6202243558389728E-2</v>
      </c>
      <c r="AN15" s="4">
        <f t="shared" si="0"/>
        <v>1.0922240564108399E-2</v>
      </c>
      <c r="AO15" s="4">
        <f t="shared" si="0"/>
        <v>7.3493212906090566E-3</v>
      </c>
      <c r="AP15" s="4">
        <f t="shared" si="0"/>
        <v>4.9390262185057265E-3</v>
      </c>
      <c r="AQ15" s="4">
        <f t="shared" si="0"/>
        <v>3.3164275492956197E-3</v>
      </c>
      <c r="AR15" s="4">
        <f t="shared" si="0"/>
        <v>2.2256362146679809E-3</v>
      </c>
    </row>
    <row r="16" spans="1:44" x14ac:dyDescent="0.3">
      <c r="A16" s="24" t="s">
        <v>37</v>
      </c>
      <c r="B16" s="43">
        <f>'Parameter Input'!B10</f>
        <v>70000</v>
      </c>
      <c r="C16" s="44">
        <f>'Parameter Input'!C10</f>
        <v>70000</v>
      </c>
      <c r="D16" s="1" t="s">
        <v>38</v>
      </c>
      <c r="L16" s="54">
        <f>'Parameter Input'!E10</f>
        <v>12</v>
      </c>
      <c r="M16" s="37">
        <v>0</v>
      </c>
      <c r="N16" s="37">
        <v>1</v>
      </c>
      <c r="O16" s="37">
        <f>'Parameter Input'!F10</f>
        <v>0.9</v>
      </c>
      <c r="P16" s="55">
        <f>'Parameter Input'!G10</f>
        <v>0.4</v>
      </c>
      <c r="Q16" s="4">
        <f t="shared" si="0"/>
        <v>0.9867978615748374</v>
      </c>
      <c r="R16" s="4">
        <f t="shared" si="0"/>
        <v>0.98114509762858249</v>
      </c>
      <c r="S16" s="4">
        <f t="shared" si="0"/>
        <v>0.97311898315872036</v>
      </c>
      <c r="T16" s="4">
        <f t="shared" si="0"/>
        <v>0.96177484161592774</v>
      </c>
      <c r="U16" s="4">
        <f t="shared" si="0"/>
        <v>0.94584787155511363</v>
      </c>
      <c r="V16" s="4">
        <f t="shared" si="0"/>
        <v>0.92370360150141495</v>
      </c>
      <c r="W16" s="4">
        <f t="shared" si="0"/>
        <v>0.89334463567658451</v>
      </c>
      <c r="X16" s="4">
        <f t="shared" si="0"/>
        <v>0.85254543874327005</v>
      </c>
      <c r="Y16" s="4">
        <f t="shared" si="0"/>
        <v>0.79921300652623883</v>
      </c>
      <c r="Z16" s="4">
        <f t="shared" si="0"/>
        <v>0.73204982249993378</v>
      </c>
      <c r="AA16" s="4">
        <f t="shared" si="0"/>
        <v>0.65145592958786691</v>
      </c>
      <c r="AB16" s="4">
        <f t="shared" si="0"/>
        <v>0.56032247880849573</v>
      </c>
      <c r="AC16" s="4">
        <f t="shared" si="0"/>
        <v>0.46411326873185343</v>
      </c>
      <c r="AD16" s="4">
        <f t="shared" si="0"/>
        <v>0.36979727595523937</v>
      </c>
      <c r="AE16" s="4">
        <f t="shared" si="0"/>
        <v>0.28393948637231203</v>
      </c>
      <c r="AF16" s="4">
        <f t="shared" si="0"/>
        <v>0.21097259161117732</v>
      </c>
      <c r="AG16" s="4">
        <f t="shared" si="0"/>
        <v>0.15253917653798199</v>
      </c>
      <c r="AH16" s="4">
        <f t="shared" si="0"/>
        <v>0.10795188737709993</v>
      </c>
      <c r="AI16" s="4">
        <f t="shared" si="0"/>
        <v>7.5176653938091809E-2</v>
      </c>
      <c r="AJ16" s="4">
        <f t="shared" si="0"/>
        <v>5.1742836177502194E-2</v>
      </c>
      <c r="AK16" s="4">
        <f t="shared" si="0"/>
        <v>3.5319190625345942E-2</v>
      </c>
      <c r="AL16" s="4">
        <f t="shared" si="0"/>
        <v>2.3969442072658165E-2</v>
      </c>
      <c r="AM16" s="4">
        <f t="shared" si="0"/>
        <v>1.6202243558389728E-2</v>
      </c>
      <c r="AN16" s="4">
        <f t="shared" si="0"/>
        <v>1.0922240564108399E-2</v>
      </c>
      <c r="AO16" s="4">
        <f t="shared" si="0"/>
        <v>7.3493212906090566E-3</v>
      </c>
      <c r="AP16" s="4">
        <f t="shared" si="0"/>
        <v>4.9390262185057265E-3</v>
      </c>
      <c r="AQ16" s="4">
        <f t="shared" si="0"/>
        <v>3.3164275492956197E-3</v>
      </c>
      <c r="AR16" s="4">
        <f t="shared" si="0"/>
        <v>2.2256362146679809E-3</v>
      </c>
    </row>
    <row r="17" spans="1:44" x14ac:dyDescent="0.3">
      <c r="A17" s="24" t="s">
        <v>52</v>
      </c>
      <c r="B17" s="43">
        <f>'Parameter Input'!L11</f>
        <v>20000</v>
      </c>
      <c r="C17" s="44">
        <f>'Parameter Input'!M11</f>
        <v>20000</v>
      </c>
      <c r="D17" s="1" t="s">
        <v>38</v>
      </c>
      <c r="L17" s="54">
        <f>'Parameter Input'!O11</f>
        <v>12</v>
      </c>
      <c r="M17" s="37">
        <v>0</v>
      </c>
      <c r="N17" s="37">
        <v>1</v>
      </c>
      <c r="O17" s="37">
        <f>'Parameter Input'!P11</f>
        <v>0.9</v>
      </c>
      <c r="P17" s="55">
        <f>'Parameter Input'!Q11</f>
        <v>0.4</v>
      </c>
      <c r="Q17" s="4">
        <f t="shared" si="0"/>
        <v>0.9867978615748374</v>
      </c>
      <c r="R17" s="4">
        <f t="shared" si="0"/>
        <v>0.98114509762858249</v>
      </c>
      <c r="S17" s="4">
        <f t="shared" si="0"/>
        <v>0.97311898315872036</v>
      </c>
      <c r="T17" s="4">
        <f t="shared" si="0"/>
        <v>0.96177484161592774</v>
      </c>
      <c r="U17" s="4">
        <f t="shared" si="0"/>
        <v>0.94584787155511363</v>
      </c>
      <c r="V17" s="4">
        <f t="shared" si="0"/>
        <v>0.92370360150141495</v>
      </c>
      <c r="W17" s="4">
        <f t="shared" si="0"/>
        <v>0.89334463567658451</v>
      </c>
      <c r="X17" s="4">
        <f t="shared" si="0"/>
        <v>0.85254543874327005</v>
      </c>
      <c r="Y17" s="4">
        <f t="shared" si="0"/>
        <v>0.79921300652623883</v>
      </c>
      <c r="Z17" s="4">
        <f t="shared" si="0"/>
        <v>0.73204982249993378</v>
      </c>
      <c r="AA17" s="4">
        <f t="shared" si="0"/>
        <v>0.65145592958786691</v>
      </c>
      <c r="AB17" s="4">
        <f t="shared" si="0"/>
        <v>0.56032247880849573</v>
      </c>
      <c r="AC17" s="4">
        <f t="shared" si="0"/>
        <v>0.46411326873185343</v>
      </c>
      <c r="AD17" s="4">
        <f t="shared" si="0"/>
        <v>0.36979727595523937</v>
      </c>
      <c r="AE17" s="4">
        <f t="shared" si="0"/>
        <v>0.28393948637231203</v>
      </c>
      <c r="AF17" s="4">
        <f t="shared" si="0"/>
        <v>0.21097259161117732</v>
      </c>
      <c r="AG17" s="4">
        <f t="shared" si="0"/>
        <v>0.15253917653798199</v>
      </c>
      <c r="AH17" s="4">
        <f t="shared" si="0"/>
        <v>0.10795188737709993</v>
      </c>
      <c r="AI17" s="4">
        <f t="shared" si="0"/>
        <v>7.5176653938091809E-2</v>
      </c>
      <c r="AJ17" s="4">
        <f t="shared" si="0"/>
        <v>5.1742836177502194E-2</v>
      </c>
      <c r="AK17" s="4">
        <f t="shared" si="0"/>
        <v>3.5319190625345942E-2</v>
      </c>
      <c r="AL17" s="4">
        <f t="shared" si="0"/>
        <v>2.3969442072658165E-2</v>
      </c>
      <c r="AM17" s="4">
        <f t="shared" si="0"/>
        <v>1.6202243558389728E-2</v>
      </c>
      <c r="AN17" s="4">
        <f t="shared" si="0"/>
        <v>1.0922240564108399E-2</v>
      </c>
      <c r="AO17" s="4">
        <f t="shared" si="0"/>
        <v>7.3493212906090566E-3</v>
      </c>
      <c r="AP17" s="4">
        <f t="shared" si="0"/>
        <v>4.9390262185057265E-3</v>
      </c>
      <c r="AQ17" s="4">
        <f t="shared" si="0"/>
        <v>3.3164275492956197E-3</v>
      </c>
      <c r="AR17" s="4">
        <f t="shared" si="0"/>
        <v>2.2256362146679809E-3</v>
      </c>
    </row>
    <row r="18" spans="1:44" x14ac:dyDescent="0.3">
      <c r="A18" s="24" t="s">
        <v>273</v>
      </c>
      <c r="B18" s="45">
        <f>'Parameter Input'!B15</f>
        <v>0.11</v>
      </c>
      <c r="C18" s="46">
        <f>'Parameter Input'!C15</f>
        <v>0.11</v>
      </c>
      <c r="D18" s="1" t="s">
        <v>76</v>
      </c>
      <c r="L18" s="54">
        <f>'Parameter Input'!E15</f>
        <v>12</v>
      </c>
      <c r="M18" s="37">
        <v>0</v>
      </c>
      <c r="N18" s="37">
        <v>1</v>
      </c>
      <c r="O18" s="37">
        <f>'Parameter Input'!F15</f>
        <v>0.9</v>
      </c>
      <c r="P18" s="55">
        <f>'Parameter Input'!G15</f>
        <v>0.4</v>
      </c>
      <c r="Q18" s="4">
        <f t="shared" si="0"/>
        <v>0.9867978615748374</v>
      </c>
      <c r="R18" s="4">
        <f t="shared" si="0"/>
        <v>0.98114509762858249</v>
      </c>
      <c r="S18" s="4">
        <f t="shared" si="0"/>
        <v>0.97311898315872036</v>
      </c>
      <c r="T18" s="4">
        <f t="shared" si="0"/>
        <v>0.96177484161592774</v>
      </c>
      <c r="U18" s="4">
        <f t="shared" si="0"/>
        <v>0.94584787155511363</v>
      </c>
      <c r="V18" s="4">
        <f t="shared" si="0"/>
        <v>0.92370360150141495</v>
      </c>
      <c r="W18" s="4">
        <f t="shared" si="0"/>
        <v>0.89334463567658451</v>
      </c>
      <c r="X18" s="4">
        <f t="shared" si="0"/>
        <v>0.85254543874327005</v>
      </c>
      <c r="Y18" s="4">
        <f t="shared" si="0"/>
        <v>0.79921300652623883</v>
      </c>
      <c r="Z18" s="4">
        <f t="shared" si="0"/>
        <v>0.73204982249993378</v>
      </c>
      <c r="AA18" s="4">
        <f t="shared" si="0"/>
        <v>0.65145592958786691</v>
      </c>
      <c r="AB18" s="4">
        <f t="shared" si="0"/>
        <v>0.56032247880849573</v>
      </c>
      <c r="AC18" s="4">
        <f t="shared" si="0"/>
        <v>0.46411326873185343</v>
      </c>
      <c r="AD18" s="4">
        <f t="shared" si="0"/>
        <v>0.36979727595523937</v>
      </c>
      <c r="AE18" s="4">
        <f t="shared" si="0"/>
        <v>0.28393948637231203</v>
      </c>
      <c r="AF18" s="4">
        <f t="shared" si="0"/>
        <v>0.21097259161117732</v>
      </c>
      <c r="AG18" s="4">
        <f t="shared" si="0"/>
        <v>0.15253917653798199</v>
      </c>
      <c r="AH18" s="4">
        <f t="shared" si="0"/>
        <v>0.10795188737709993</v>
      </c>
      <c r="AI18" s="4">
        <f t="shared" si="0"/>
        <v>7.5176653938091809E-2</v>
      </c>
      <c r="AJ18" s="4">
        <f t="shared" si="0"/>
        <v>5.1742836177502194E-2</v>
      </c>
      <c r="AK18" s="4">
        <f t="shared" si="0"/>
        <v>3.5319190625345942E-2</v>
      </c>
      <c r="AL18" s="4">
        <f t="shared" si="0"/>
        <v>2.3969442072658165E-2</v>
      </c>
      <c r="AM18" s="4">
        <f t="shared" si="0"/>
        <v>1.6202243558389728E-2</v>
      </c>
      <c r="AN18" s="4">
        <f t="shared" si="0"/>
        <v>1.0922240564108399E-2</v>
      </c>
      <c r="AO18" s="4">
        <f t="shared" si="0"/>
        <v>7.3493212906090566E-3</v>
      </c>
      <c r="AP18" s="4">
        <f t="shared" si="0"/>
        <v>4.9390262185057265E-3</v>
      </c>
      <c r="AQ18" s="4">
        <f t="shared" si="0"/>
        <v>3.3164275492956197E-3</v>
      </c>
      <c r="AR18" s="4">
        <f t="shared" si="0"/>
        <v>2.2256362146679809E-3</v>
      </c>
    </row>
    <row r="19" spans="1:44" x14ac:dyDescent="0.3">
      <c r="A19" s="24" t="s">
        <v>59</v>
      </c>
      <c r="B19" s="47">
        <f>'Parameter Input'!L12</f>
        <v>2.9</v>
      </c>
      <c r="C19" s="48">
        <f>'Parameter Input'!M12</f>
        <v>2.4</v>
      </c>
      <c r="D19" s="1" t="s">
        <v>60</v>
      </c>
      <c r="L19" s="54">
        <f>'Parameter Input'!O12</f>
        <v>12</v>
      </c>
      <c r="M19" s="37">
        <v>0</v>
      </c>
      <c r="N19" s="37">
        <v>1</v>
      </c>
      <c r="O19" s="37">
        <f>'Parameter Input'!P12</f>
        <v>0.9</v>
      </c>
      <c r="P19" s="55">
        <f>'Parameter Input'!Q12</f>
        <v>0.4</v>
      </c>
      <c r="Q19" s="4">
        <f t="shared" si="0"/>
        <v>0.9867978615748374</v>
      </c>
      <c r="R19" s="4">
        <f t="shared" si="0"/>
        <v>0.98114509762858249</v>
      </c>
      <c r="S19" s="4">
        <f t="shared" si="0"/>
        <v>0.97311898315872036</v>
      </c>
      <c r="T19" s="4">
        <f t="shared" si="0"/>
        <v>0.96177484161592774</v>
      </c>
      <c r="U19" s="4">
        <f t="shared" si="0"/>
        <v>0.94584787155511363</v>
      </c>
      <c r="V19" s="4">
        <f t="shared" si="0"/>
        <v>0.92370360150141495</v>
      </c>
      <c r="W19" s="4">
        <f t="shared" si="0"/>
        <v>0.89334463567658451</v>
      </c>
      <c r="X19" s="4">
        <f t="shared" si="0"/>
        <v>0.85254543874327005</v>
      </c>
      <c r="Y19" s="4">
        <f t="shared" si="0"/>
        <v>0.79921300652623883</v>
      </c>
      <c r="Z19" s="4">
        <f t="shared" si="0"/>
        <v>0.73204982249993378</v>
      </c>
      <c r="AA19" s="4">
        <f t="shared" si="0"/>
        <v>0.65145592958786691</v>
      </c>
      <c r="AB19" s="4">
        <f t="shared" si="0"/>
        <v>0.56032247880849573</v>
      </c>
      <c r="AC19" s="4">
        <f t="shared" si="0"/>
        <v>0.46411326873185343</v>
      </c>
      <c r="AD19" s="4">
        <f t="shared" si="0"/>
        <v>0.36979727595523937</v>
      </c>
      <c r="AE19" s="4">
        <f t="shared" si="0"/>
        <v>0.28393948637231203</v>
      </c>
      <c r="AF19" s="4">
        <f t="shared" si="0"/>
        <v>0.21097259161117732</v>
      </c>
      <c r="AG19" s="4">
        <f t="shared" si="0"/>
        <v>0.15253917653798199</v>
      </c>
      <c r="AH19" s="4">
        <f t="shared" si="0"/>
        <v>0.10795188737709993</v>
      </c>
      <c r="AI19" s="4">
        <f t="shared" si="0"/>
        <v>7.5176653938091809E-2</v>
      </c>
      <c r="AJ19" s="4">
        <f t="shared" si="0"/>
        <v>5.1742836177502194E-2</v>
      </c>
      <c r="AK19" s="4">
        <f t="shared" si="0"/>
        <v>3.5319190625345942E-2</v>
      </c>
      <c r="AL19" s="4">
        <f t="shared" si="0"/>
        <v>2.3969442072658165E-2</v>
      </c>
      <c r="AM19" s="4">
        <f t="shared" si="0"/>
        <v>1.6202243558389728E-2</v>
      </c>
      <c r="AN19" s="4">
        <f t="shared" si="0"/>
        <v>1.0922240564108399E-2</v>
      </c>
      <c r="AO19" s="4">
        <f t="shared" si="0"/>
        <v>7.3493212906090566E-3</v>
      </c>
      <c r="AP19" s="4">
        <f t="shared" si="0"/>
        <v>4.9390262185057265E-3</v>
      </c>
      <c r="AQ19" s="4">
        <f t="shared" si="0"/>
        <v>3.3164275492956197E-3</v>
      </c>
      <c r="AR19" s="4">
        <f t="shared" si="0"/>
        <v>2.2256362146679809E-3</v>
      </c>
    </row>
    <row r="20" spans="1:44" x14ac:dyDescent="0.3">
      <c r="A20" s="24" t="s">
        <v>67</v>
      </c>
      <c r="B20" s="45">
        <f>'Parameter Input'!L13</f>
        <v>0.1</v>
      </c>
      <c r="C20" s="46">
        <f>'Parameter Input'!M13</f>
        <v>0.1</v>
      </c>
      <c r="D20" s="1" t="s">
        <v>68</v>
      </c>
      <c r="L20" s="54">
        <f>'Parameter Input'!O13</f>
        <v>12</v>
      </c>
      <c r="M20" s="37">
        <v>0</v>
      </c>
      <c r="N20" s="37">
        <v>1</v>
      </c>
      <c r="O20" s="37">
        <f>'Parameter Input'!P13</f>
        <v>0.9</v>
      </c>
      <c r="P20" s="55">
        <f>'Parameter Input'!Q13</f>
        <v>0.4</v>
      </c>
      <c r="Q20" s="4">
        <f t="shared" si="0"/>
        <v>0.9867978615748374</v>
      </c>
      <c r="R20" s="4">
        <f t="shared" ref="R20:AR20" si="1">$N20+($M20-$N20)*((1/(1+EXP(-$P20*(R$9-$L20)))^$O20))</f>
        <v>0.98114509762858249</v>
      </c>
      <c r="S20" s="4">
        <f t="shared" si="1"/>
        <v>0.97311898315872036</v>
      </c>
      <c r="T20" s="4">
        <f t="shared" si="1"/>
        <v>0.96177484161592774</v>
      </c>
      <c r="U20" s="4">
        <f t="shared" si="1"/>
        <v>0.94584787155511363</v>
      </c>
      <c r="V20" s="4">
        <f t="shared" si="1"/>
        <v>0.92370360150141495</v>
      </c>
      <c r="W20" s="4">
        <f t="shared" si="1"/>
        <v>0.89334463567658451</v>
      </c>
      <c r="X20" s="4">
        <f t="shared" si="1"/>
        <v>0.85254543874327005</v>
      </c>
      <c r="Y20" s="4">
        <f t="shared" si="1"/>
        <v>0.79921300652623883</v>
      </c>
      <c r="Z20" s="4">
        <f t="shared" si="1"/>
        <v>0.73204982249993378</v>
      </c>
      <c r="AA20" s="4">
        <f t="shared" si="1"/>
        <v>0.65145592958786691</v>
      </c>
      <c r="AB20" s="4">
        <f t="shared" si="1"/>
        <v>0.56032247880849573</v>
      </c>
      <c r="AC20" s="4">
        <f t="shared" si="1"/>
        <v>0.46411326873185343</v>
      </c>
      <c r="AD20" s="4">
        <f t="shared" si="1"/>
        <v>0.36979727595523937</v>
      </c>
      <c r="AE20" s="4">
        <f t="shared" si="1"/>
        <v>0.28393948637231203</v>
      </c>
      <c r="AF20" s="4">
        <f t="shared" si="1"/>
        <v>0.21097259161117732</v>
      </c>
      <c r="AG20" s="4">
        <f t="shared" si="1"/>
        <v>0.15253917653798199</v>
      </c>
      <c r="AH20" s="4">
        <f t="shared" si="1"/>
        <v>0.10795188737709993</v>
      </c>
      <c r="AI20" s="4">
        <f t="shared" si="1"/>
        <v>7.5176653938091809E-2</v>
      </c>
      <c r="AJ20" s="4">
        <f t="shared" si="1"/>
        <v>5.1742836177502194E-2</v>
      </c>
      <c r="AK20" s="4">
        <f t="shared" si="1"/>
        <v>3.5319190625345942E-2</v>
      </c>
      <c r="AL20" s="4">
        <f t="shared" si="1"/>
        <v>2.3969442072658165E-2</v>
      </c>
      <c r="AM20" s="4">
        <f t="shared" si="1"/>
        <v>1.6202243558389728E-2</v>
      </c>
      <c r="AN20" s="4">
        <f t="shared" si="1"/>
        <v>1.0922240564108399E-2</v>
      </c>
      <c r="AO20" s="4">
        <f t="shared" si="1"/>
        <v>7.3493212906090566E-3</v>
      </c>
      <c r="AP20" s="4">
        <f t="shared" si="1"/>
        <v>4.9390262185057265E-3</v>
      </c>
      <c r="AQ20" s="4">
        <f t="shared" si="1"/>
        <v>3.3164275492956197E-3</v>
      </c>
      <c r="AR20" s="4">
        <f t="shared" si="1"/>
        <v>2.2256362146679809E-3</v>
      </c>
    </row>
    <row r="21" spans="1:44" x14ac:dyDescent="0.3">
      <c r="A21" s="24" t="s">
        <v>206</v>
      </c>
      <c r="B21" s="45">
        <f>'Parameter Input'!$L$16</f>
        <v>7.7317073170731707E-2</v>
      </c>
      <c r="C21" s="46">
        <f>'Parameter Input'!$M$16</f>
        <v>0.22395290159798151</v>
      </c>
      <c r="D21" s="1" t="s">
        <v>76</v>
      </c>
      <c r="L21" s="54">
        <f>'Parameter Input'!$O$16</f>
        <v>17</v>
      </c>
      <c r="M21" s="37">
        <v>0</v>
      </c>
      <c r="N21" s="37">
        <v>1</v>
      </c>
      <c r="O21" s="37">
        <f>'Parameter Input'!$P$16</f>
        <v>0.9</v>
      </c>
      <c r="P21" s="55">
        <f>'Parameter Input'!$Q$16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43">
        <f>'Parameter Input'!L10</f>
        <v>8</v>
      </c>
      <c r="C22" s="44">
        <f>'Parameter Input'!M10</f>
        <v>8</v>
      </c>
      <c r="D22" s="1" t="s">
        <v>42</v>
      </c>
      <c r="L22" s="54">
        <f>'Parameter Input'!O10</f>
        <v>12</v>
      </c>
      <c r="M22" s="37">
        <v>0</v>
      </c>
      <c r="N22" s="37">
        <v>1</v>
      </c>
      <c r="O22" s="37">
        <f>'Parameter Input'!P10</f>
        <v>0.9</v>
      </c>
      <c r="P22" s="55">
        <f>'Parameter Input'!Q10</f>
        <v>0.4</v>
      </c>
      <c r="Q22" s="4">
        <f t="shared" ref="Q22:AF27" si="3">$N22+($M22-$N22)*((1/(1+EXP(-$P22*(Q$9-$L22)))^$O22))</f>
        <v>0.9867978615748374</v>
      </c>
      <c r="R22" s="4">
        <f t="shared" si="3"/>
        <v>0.98114509762858249</v>
      </c>
      <c r="S22" s="4">
        <f t="shared" si="3"/>
        <v>0.97311898315872036</v>
      </c>
      <c r="T22" s="4">
        <f t="shared" si="3"/>
        <v>0.96177484161592774</v>
      </c>
      <c r="U22" s="4">
        <f t="shared" si="3"/>
        <v>0.94584787155511363</v>
      </c>
      <c r="V22" s="4">
        <f t="shared" si="3"/>
        <v>0.92370360150141495</v>
      </c>
      <c r="W22" s="4">
        <f t="shared" si="3"/>
        <v>0.89334463567658451</v>
      </c>
      <c r="X22" s="4">
        <f t="shared" si="3"/>
        <v>0.85254543874327005</v>
      </c>
      <c r="Y22" s="4">
        <f t="shared" si="3"/>
        <v>0.79921300652623883</v>
      </c>
      <c r="Z22" s="4">
        <f t="shared" si="3"/>
        <v>0.73204982249993378</v>
      </c>
      <c r="AA22" s="4">
        <f t="shared" si="3"/>
        <v>0.65145592958786691</v>
      </c>
      <c r="AB22" s="4">
        <f t="shared" si="3"/>
        <v>0.56032247880849573</v>
      </c>
      <c r="AC22" s="4">
        <f t="shared" si="3"/>
        <v>0.46411326873185343</v>
      </c>
      <c r="AD22" s="4">
        <f t="shared" si="3"/>
        <v>0.36979727595523937</v>
      </c>
      <c r="AE22" s="4">
        <f t="shared" si="3"/>
        <v>0.28393948637231203</v>
      </c>
      <c r="AF22" s="4">
        <f t="shared" si="3"/>
        <v>0.21097259161117732</v>
      </c>
      <c r="AG22" s="4">
        <f t="shared" ref="AG22:AR27" si="4">$N22+($M22-$N22)*((1/(1+EXP(-$P22*(AG$9-$L22)))^$O22))</f>
        <v>0.15253917653798199</v>
      </c>
      <c r="AH22" s="4">
        <f t="shared" si="4"/>
        <v>0.10795188737709993</v>
      </c>
      <c r="AI22" s="4">
        <f t="shared" si="4"/>
        <v>7.5176653938091809E-2</v>
      </c>
      <c r="AJ22" s="4">
        <f t="shared" si="4"/>
        <v>5.1742836177502194E-2</v>
      </c>
      <c r="AK22" s="4">
        <f t="shared" si="4"/>
        <v>3.5319190625345942E-2</v>
      </c>
      <c r="AL22" s="4">
        <f t="shared" si="4"/>
        <v>2.3969442072658165E-2</v>
      </c>
      <c r="AM22" s="4">
        <f t="shared" si="4"/>
        <v>1.6202243558389728E-2</v>
      </c>
      <c r="AN22" s="4">
        <f t="shared" si="4"/>
        <v>1.0922240564108399E-2</v>
      </c>
      <c r="AO22" s="4">
        <f t="shared" si="4"/>
        <v>7.3493212906090566E-3</v>
      </c>
      <c r="AP22" s="4">
        <f t="shared" si="4"/>
        <v>4.9390262185057265E-3</v>
      </c>
      <c r="AQ22" s="4">
        <f t="shared" si="4"/>
        <v>3.3164275492956197E-3</v>
      </c>
      <c r="AR22" s="4">
        <f t="shared" si="4"/>
        <v>2.2256362146679809E-3</v>
      </c>
    </row>
    <row r="23" spans="1:44" x14ac:dyDescent="0.3">
      <c r="A23" s="24" t="s">
        <v>70</v>
      </c>
      <c r="B23" s="43">
        <f>'Parameter Input'!B14</f>
        <v>10</v>
      </c>
      <c r="C23" s="44">
        <f>'Parameter Input'!C14</f>
        <v>10</v>
      </c>
      <c r="D23" s="1" t="s">
        <v>42</v>
      </c>
      <c r="L23" s="54">
        <f>'Parameter Input'!E14</f>
        <v>12</v>
      </c>
      <c r="M23" s="37">
        <v>0</v>
      </c>
      <c r="N23" s="37">
        <v>1</v>
      </c>
      <c r="O23" s="37">
        <f>'Parameter Input'!F14</f>
        <v>0.9</v>
      </c>
      <c r="P23" s="55">
        <f>'Parameter Input'!G14</f>
        <v>0.4</v>
      </c>
      <c r="Q23" s="4">
        <f t="shared" si="3"/>
        <v>0.9867978615748374</v>
      </c>
      <c r="R23" s="4">
        <f t="shared" si="3"/>
        <v>0.98114509762858249</v>
      </c>
      <c r="S23" s="4">
        <f t="shared" si="3"/>
        <v>0.97311898315872036</v>
      </c>
      <c r="T23" s="4">
        <f t="shared" si="3"/>
        <v>0.96177484161592774</v>
      </c>
      <c r="U23" s="4">
        <f t="shared" si="3"/>
        <v>0.94584787155511363</v>
      </c>
      <c r="V23" s="4">
        <f t="shared" si="3"/>
        <v>0.92370360150141495</v>
      </c>
      <c r="W23" s="4">
        <f t="shared" si="3"/>
        <v>0.89334463567658451</v>
      </c>
      <c r="X23" s="4">
        <f t="shared" si="3"/>
        <v>0.85254543874327005</v>
      </c>
      <c r="Y23" s="4">
        <f t="shared" si="3"/>
        <v>0.79921300652623883</v>
      </c>
      <c r="Z23" s="4">
        <f t="shared" si="3"/>
        <v>0.73204982249993378</v>
      </c>
      <c r="AA23" s="4">
        <f t="shared" si="3"/>
        <v>0.65145592958786691</v>
      </c>
      <c r="AB23" s="4">
        <f t="shared" si="3"/>
        <v>0.56032247880849573</v>
      </c>
      <c r="AC23" s="4">
        <f t="shared" si="3"/>
        <v>0.46411326873185343</v>
      </c>
      <c r="AD23" s="4">
        <f t="shared" si="3"/>
        <v>0.36979727595523937</v>
      </c>
      <c r="AE23" s="4">
        <f t="shared" si="3"/>
        <v>0.28393948637231203</v>
      </c>
      <c r="AF23" s="4">
        <f t="shared" si="3"/>
        <v>0.21097259161117732</v>
      </c>
      <c r="AG23" s="4">
        <f t="shared" si="4"/>
        <v>0.15253917653798199</v>
      </c>
      <c r="AH23" s="4">
        <f t="shared" si="4"/>
        <v>0.10795188737709993</v>
      </c>
      <c r="AI23" s="4">
        <f t="shared" si="4"/>
        <v>7.5176653938091809E-2</v>
      </c>
      <c r="AJ23" s="4">
        <f t="shared" si="4"/>
        <v>5.1742836177502194E-2</v>
      </c>
      <c r="AK23" s="4">
        <f t="shared" si="4"/>
        <v>3.5319190625345942E-2</v>
      </c>
      <c r="AL23" s="4">
        <f t="shared" si="4"/>
        <v>2.3969442072658165E-2</v>
      </c>
      <c r="AM23" s="4">
        <f t="shared" si="4"/>
        <v>1.6202243558389728E-2</v>
      </c>
      <c r="AN23" s="4">
        <f t="shared" si="4"/>
        <v>1.0922240564108399E-2</v>
      </c>
      <c r="AO23" s="4">
        <f t="shared" si="4"/>
        <v>7.3493212906090566E-3</v>
      </c>
      <c r="AP23" s="4">
        <f t="shared" si="4"/>
        <v>4.9390262185057265E-3</v>
      </c>
      <c r="AQ23" s="4">
        <f t="shared" si="4"/>
        <v>3.3164275492956197E-3</v>
      </c>
      <c r="AR23" s="4">
        <f t="shared" si="4"/>
        <v>2.2256362146679809E-3</v>
      </c>
    </row>
    <row r="24" spans="1:44" x14ac:dyDescent="0.3">
      <c r="A24" s="24" t="s">
        <v>207</v>
      </c>
      <c r="B24" s="70">
        <f>'Parameter Input'!B11</f>
        <v>25</v>
      </c>
      <c r="C24" s="71">
        <f>'Parameter Input'!C11</f>
        <v>25</v>
      </c>
      <c r="D24" s="1" t="s">
        <v>49</v>
      </c>
      <c r="L24" s="54">
        <f>'Parameter Input'!E11</f>
        <v>12</v>
      </c>
      <c r="M24" s="37">
        <v>0</v>
      </c>
      <c r="N24" s="37">
        <v>1</v>
      </c>
      <c r="O24" s="37">
        <f>'Parameter Input'!F11</f>
        <v>0.9</v>
      </c>
      <c r="P24" s="55">
        <f>'Parameter Input'!G11</f>
        <v>0.4</v>
      </c>
      <c r="Q24" s="4">
        <f t="shared" si="3"/>
        <v>0.9867978615748374</v>
      </c>
      <c r="R24" s="4">
        <f t="shared" si="3"/>
        <v>0.98114509762858249</v>
      </c>
      <c r="S24" s="4">
        <f t="shared" si="3"/>
        <v>0.97311898315872036</v>
      </c>
      <c r="T24" s="4">
        <f t="shared" si="3"/>
        <v>0.96177484161592774</v>
      </c>
      <c r="U24" s="4">
        <f t="shared" si="3"/>
        <v>0.94584787155511363</v>
      </c>
      <c r="V24" s="4">
        <f t="shared" si="3"/>
        <v>0.92370360150141495</v>
      </c>
      <c r="W24" s="4">
        <f t="shared" si="3"/>
        <v>0.89334463567658451</v>
      </c>
      <c r="X24" s="4">
        <f t="shared" si="3"/>
        <v>0.85254543874327005</v>
      </c>
      <c r="Y24" s="4">
        <f t="shared" si="3"/>
        <v>0.79921300652623883</v>
      </c>
      <c r="Z24" s="4">
        <f t="shared" si="3"/>
        <v>0.73204982249993378</v>
      </c>
      <c r="AA24" s="4">
        <f t="shared" si="3"/>
        <v>0.65145592958786691</v>
      </c>
      <c r="AB24" s="4">
        <f t="shared" si="3"/>
        <v>0.56032247880849573</v>
      </c>
      <c r="AC24" s="4">
        <f t="shared" si="3"/>
        <v>0.46411326873185343</v>
      </c>
      <c r="AD24" s="4">
        <f t="shared" si="3"/>
        <v>0.36979727595523937</v>
      </c>
      <c r="AE24" s="4">
        <f t="shared" si="3"/>
        <v>0.28393948637231203</v>
      </c>
      <c r="AF24" s="4">
        <f t="shared" si="3"/>
        <v>0.21097259161117732</v>
      </c>
      <c r="AG24" s="4">
        <f t="shared" si="4"/>
        <v>0.15253917653798199</v>
      </c>
      <c r="AH24" s="4">
        <f t="shared" si="4"/>
        <v>0.10795188737709993</v>
      </c>
      <c r="AI24" s="4">
        <f t="shared" si="4"/>
        <v>7.5176653938091809E-2</v>
      </c>
      <c r="AJ24" s="4">
        <f t="shared" si="4"/>
        <v>5.1742836177502194E-2</v>
      </c>
      <c r="AK24" s="4">
        <f t="shared" si="4"/>
        <v>3.5319190625345942E-2</v>
      </c>
      <c r="AL24" s="4">
        <f t="shared" si="4"/>
        <v>2.3969442072658165E-2</v>
      </c>
      <c r="AM24" s="4">
        <f t="shared" si="4"/>
        <v>1.6202243558389728E-2</v>
      </c>
      <c r="AN24" s="4">
        <f t="shared" si="4"/>
        <v>1.0922240564108399E-2</v>
      </c>
      <c r="AO24" s="4">
        <f t="shared" si="4"/>
        <v>7.3493212906090566E-3</v>
      </c>
      <c r="AP24" s="4">
        <f t="shared" si="4"/>
        <v>4.9390262185057265E-3</v>
      </c>
      <c r="AQ24" s="4">
        <f t="shared" si="4"/>
        <v>3.3164275492956197E-3</v>
      </c>
      <c r="AR24" s="4">
        <f t="shared" si="4"/>
        <v>2.2256362146679809E-3</v>
      </c>
    </row>
    <row r="25" spans="1:44" x14ac:dyDescent="0.3">
      <c r="A25" s="24" t="s">
        <v>56</v>
      </c>
      <c r="B25" s="72">
        <f>'Parameter Input'!B12</f>
        <v>0.42</v>
      </c>
      <c r="C25" s="73">
        <f>'Parameter Input'!C12</f>
        <v>0.42</v>
      </c>
      <c r="D25" s="1" t="s">
        <v>57</v>
      </c>
      <c r="L25" s="54">
        <f>'Parameter Input'!E12</f>
        <v>12</v>
      </c>
      <c r="M25" s="37">
        <v>0</v>
      </c>
      <c r="N25" s="37">
        <v>1</v>
      </c>
      <c r="O25" s="37">
        <f>'Parameter Input'!F12</f>
        <v>0.9</v>
      </c>
      <c r="P25" s="55">
        <f>'Parameter Input'!G12</f>
        <v>0.4</v>
      </c>
      <c r="Q25" s="4">
        <f t="shared" si="3"/>
        <v>0.9867978615748374</v>
      </c>
      <c r="R25" s="4">
        <f t="shared" si="3"/>
        <v>0.98114509762858249</v>
      </c>
      <c r="S25" s="4">
        <f t="shared" si="3"/>
        <v>0.97311898315872036</v>
      </c>
      <c r="T25" s="4">
        <f t="shared" si="3"/>
        <v>0.96177484161592774</v>
      </c>
      <c r="U25" s="4">
        <f t="shared" si="3"/>
        <v>0.94584787155511363</v>
      </c>
      <c r="V25" s="4">
        <f t="shared" si="3"/>
        <v>0.92370360150141495</v>
      </c>
      <c r="W25" s="4">
        <f t="shared" si="3"/>
        <v>0.89334463567658451</v>
      </c>
      <c r="X25" s="4">
        <f t="shared" si="3"/>
        <v>0.85254543874327005</v>
      </c>
      <c r="Y25" s="4">
        <f t="shared" si="3"/>
        <v>0.79921300652623883</v>
      </c>
      <c r="Z25" s="4">
        <f t="shared" si="3"/>
        <v>0.73204982249993378</v>
      </c>
      <c r="AA25" s="4">
        <f t="shared" si="3"/>
        <v>0.65145592958786691</v>
      </c>
      <c r="AB25" s="4">
        <f t="shared" si="3"/>
        <v>0.56032247880849573</v>
      </c>
      <c r="AC25" s="4">
        <f t="shared" si="3"/>
        <v>0.46411326873185343</v>
      </c>
      <c r="AD25" s="4">
        <f t="shared" si="3"/>
        <v>0.36979727595523937</v>
      </c>
      <c r="AE25" s="4">
        <f t="shared" si="3"/>
        <v>0.28393948637231203</v>
      </c>
      <c r="AF25" s="4">
        <f t="shared" si="3"/>
        <v>0.21097259161117732</v>
      </c>
      <c r="AG25" s="4">
        <f t="shared" si="4"/>
        <v>0.15253917653798199</v>
      </c>
      <c r="AH25" s="4">
        <f t="shared" si="4"/>
        <v>0.10795188737709993</v>
      </c>
      <c r="AI25" s="4">
        <f t="shared" si="4"/>
        <v>7.5176653938091809E-2</v>
      </c>
      <c r="AJ25" s="4">
        <f t="shared" si="4"/>
        <v>5.1742836177502194E-2</v>
      </c>
      <c r="AK25" s="4">
        <f t="shared" si="4"/>
        <v>3.5319190625345942E-2</v>
      </c>
      <c r="AL25" s="4">
        <f t="shared" si="4"/>
        <v>2.3969442072658165E-2</v>
      </c>
      <c r="AM25" s="4">
        <f t="shared" si="4"/>
        <v>1.6202243558389728E-2</v>
      </c>
      <c r="AN25" s="4">
        <f t="shared" si="4"/>
        <v>1.0922240564108399E-2</v>
      </c>
      <c r="AO25" s="4">
        <f t="shared" si="4"/>
        <v>7.3493212906090566E-3</v>
      </c>
      <c r="AP25" s="4">
        <f t="shared" si="4"/>
        <v>4.9390262185057265E-3</v>
      </c>
      <c r="AQ25" s="4">
        <f t="shared" si="4"/>
        <v>3.3164275492956197E-3</v>
      </c>
      <c r="AR25" s="4">
        <f t="shared" si="4"/>
        <v>2.2256362146679809E-3</v>
      </c>
    </row>
    <row r="26" spans="1:44" x14ac:dyDescent="0.3">
      <c r="A26" s="24" t="s">
        <v>73</v>
      </c>
      <c r="B26" s="72">
        <f>'Parameter Input'!L14</f>
        <v>0</v>
      </c>
      <c r="C26" s="73">
        <f>'Parameter Input'!M14</f>
        <v>0</v>
      </c>
      <c r="D26" s="1" t="s">
        <v>57</v>
      </c>
      <c r="L26" s="54">
        <f>'Parameter Input'!O14</f>
        <v>12</v>
      </c>
      <c r="M26" s="37">
        <v>0</v>
      </c>
      <c r="N26" s="37">
        <v>1</v>
      </c>
      <c r="O26" s="37">
        <f>'Parameter Input'!P14</f>
        <v>0.9</v>
      </c>
      <c r="P26" s="55">
        <f>'Parameter Input'!Q14</f>
        <v>0.4</v>
      </c>
      <c r="Q26" s="4">
        <f t="shared" si="3"/>
        <v>0.9867978615748374</v>
      </c>
      <c r="R26" s="4">
        <f t="shared" si="3"/>
        <v>0.98114509762858249</v>
      </c>
      <c r="S26" s="4">
        <f t="shared" si="3"/>
        <v>0.97311898315872036</v>
      </c>
      <c r="T26" s="4">
        <f t="shared" si="3"/>
        <v>0.96177484161592774</v>
      </c>
      <c r="U26" s="4">
        <f t="shared" si="3"/>
        <v>0.94584787155511363</v>
      </c>
      <c r="V26" s="4">
        <f t="shared" si="3"/>
        <v>0.92370360150141495</v>
      </c>
      <c r="W26" s="4">
        <f t="shared" si="3"/>
        <v>0.89334463567658451</v>
      </c>
      <c r="X26" s="4">
        <f t="shared" si="3"/>
        <v>0.85254543874327005</v>
      </c>
      <c r="Y26" s="4">
        <f t="shared" si="3"/>
        <v>0.79921300652623883</v>
      </c>
      <c r="Z26" s="4">
        <f t="shared" si="3"/>
        <v>0.73204982249993378</v>
      </c>
      <c r="AA26" s="4">
        <f t="shared" si="3"/>
        <v>0.65145592958786691</v>
      </c>
      <c r="AB26" s="4">
        <f t="shared" si="3"/>
        <v>0.56032247880849573</v>
      </c>
      <c r="AC26" s="4">
        <f t="shared" si="3"/>
        <v>0.46411326873185343</v>
      </c>
      <c r="AD26" s="4">
        <f t="shared" si="3"/>
        <v>0.36979727595523937</v>
      </c>
      <c r="AE26" s="4">
        <f t="shared" si="3"/>
        <v>0.28393948637231203</v>
      </c>
      <c r="AF26" s="4">
        <f t="shared" si="3"/>
        <v>0.21097259161117732</v>
      </c>
      <c r="AG26" s="4">
        <f t="shared" si="4"/>
        <v>0.15253917653798199</v>
      </c>
      <c r="AH26" s="4">
        <f t="shared" si="4"/>
        <v>0.10795188737709993</v>
      </c>
      <c r="AI26" s="4">
        <f t="shared" si="4"/>
        <v>7.5176653938091809E-2</v>
      </c>
      <c r="AJ26" s="4">
        <f t="shared" si="4"/>
        <v>5.1742836177502194E-2</v>
      </c>
      <c r="AK26" s="4">
        <f t="shared" si="4"/>
        <v>3.5319190625345942E-2</v>
      </c>
      <c r="AL26" s="4">
        <f t="shared" si="4"/>
        <v>2.3969442072658165E-2</v>
      </c>
      <c r="AM26" s="4">
        <f t="shared" si="4"/>
        <v>1.6202243558389728E-2</v>
      </c>
      <c r="AN26" s="4">
        <f t="shared" si="4"/>
        <v>1.0922240564108399E-2</v>
      </c>
      <c r="AO26" s="4">
        <f t="shared" si="4"/>
        <v>7.3493212906090566E-3</v>
      </c>
      <c r="AP26" s="4">
        <f t="shared" si="4"/>
        <v>4.9390262185057265E-3</v>
      </c>
      <c r="AQ26" s="4">
        <f t="shared" si="4"/>
        <v>3.3164275492956197E-3</v>
      </c>
      <c r="AR26" s="4">
        <f t="shared" si="4"/>
        <v>2.2256362146679809E-3</v>
      </c>
    </row>
    <row r="27" spans="1:44" ht="15" thickBot="1" x14ac:dyDescent="0.35">
      <c r="A27" s="24" t="s">
        <v>64</v>
      </c>
      <c r="B27" s="74">
        <f>'Parameter Input'!B13</f>
        <v>55000</v>
      </c>
      <c r="C27" s="75">
        <f>'Parameter Input'!C13</f>
        <v>55000</v>
      </c>
      <c r="D27" s="1" t="s">
        <v>65</v>
      </c>
      <c r="L27" s="56">
        <f>'Parameter Input'!E13</f>
        <v>12</v>
      </c>
      <c r="M27" s="57">
        <v>0</v>
      </c>
      <c r="N27" s="57">
        <v>1</v>
      </c>
      <c r="O27" s="57">
        <f>'Parameter Input'!F13</f>
        <v>0.9</v>
      </c>
      <c r="P27" s="58">
        <f>'Parameter Input'!G13</f>
        <v>0.4</v>
      </c>
      <c r="Q27" s="4">
        <f t="shared" si="3"/>
        <v>0.9867978615748374</v>
      </c>
      <c r="R27" s="4">
        <f t="shared" si="3"/>
        <v>0.98114509762858249</v>
      </c>
      <c r="S27" s="4">
        <f t="shared" si="3"/>
        <v>0.97311898315872036</v>
      </c>
      <c r="T27" s="4">
        <f t="shared" si="3"/>
        <v>0.96177484161592774</v>
      </c>
      <c r="U27" s="4">
        <f t="shared" si="3"/>
        <v>0.94584787155511363</v>
      </c>
      <c r="V27" s="4">
        <f t="shared" si="3"/>
        <v>0.92370360150141495</v>
      </c>
      <c r="W27" s="4">
        <f t="shared" si="3"/>
        <v>0.89334463567658451</v>
      </c>
      <c r="X27" s="4">
        <f t="shared" si="3"/>
        <v>0.85254543874327005</v>
      </c>
      <c r="Y27" s="4">
        <f t="shared" si="3"/>
        <v>0.79921300652623883</v>
      </c>
      <c r="Z27" s="4">
        <f t="shared" si="3"/>
        <v>0.73204982249993378</v>
      </c>
      <c r="AA27" s="4">
        <f t="shared" si="3"/>
        <v>0.65145592958786691</v>
      </c>
      <c r="AB27" s="4">
        <f t="shared" si="3"/>
        <v>0.56032247880849573</v>
      </c>
      <c r="AC27" s="4">
        <f t="shared" si="3"/>
        <v>0.46411326873185343</v>
      </c>
      <c r="AD27" s="4">
        <f t="shared" si="3"/>
        <v>0.36979727595523937</v>
      </c>
      <c r="AE27" s="4">
        <f t="shared" si="3"/>
        <v>0.28393948637231203</v>
      </c>
      <c r="AF27" s="4">
        <f t="shared" si="3"/>
        <v>0.21097259161117732</v>
      </c>
      <c r="AG27" s="4">
        <f t="shared" si="4"/>
        <v>0.15253917653798199</v>
      </c>
      <c r="AH27" s="4">
        <f t="shared" si="4"/>
        <v>0.10795188737709993</v>
      </c>
      <c r="AI27" s="4">
        <f t="shared" si="4"/>
        <v>7.5176653938091809E-2</v>
      </c>
      <c r="AJ27" s="4">
        <f t="shared" si="4"/>
        <v>5.1742836177502194E-2</v>
      </c>
      <c r="AK27" s="4">
        <f t="shared" si="4"/>
        <v>3.5319190625345942E-2</v>
      </c>
      <c r="AL27" s="4">
        <f t="shared" si="4"/>
        <v>2.3969442072658165E-2</v>
      </c>
      <c r="AM27" s="4">
        <f t="shared" si="4"/>
        <v>1.6202243558389728E-2</v>
      </c>
      <c r="AN27" s="4">
        <f t="shared" si="4"/>
        <v>1.0922240564108399E-2</v>
      </c>
      <c r="AO27" s="4">
        <f t="shared" si="4"/>
        <v>7.3493212906090566E-3</v>
      </c>
      <c r="AP27" s="4">
        <f t="shared" si="4"/>
        <v>4.9390262185057265E-3</v>
      </c>
      <c r="AQ27" s="4">
        <f t="shared" si="4"/>
        <v>3.3164275492956197E-3</v>
      </c>
      <c r="AR27" s="4">
        <f t="shared" si="4"/>
        <v>2.2256362146679809E-3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5" si="5">A11</f>
        <v>Capex vehicle</v>
      </c>
      <c r="B31" s="62">
        <f t="shared" ref="B31:B39" si="6">$B11+($C11-$B11)*(1-Q11)</f>
        <v>105132.02138425162</v>
      </c>
      <c r="C31" s="62">
        <f t="shared" ref="C31:C39" si="7">$B11+($C11-$B11)*(1-R11)</f>
        <v>105188.54902371418</v>
      </c>
      <c r="D31" s="62">
        <f t="shared" ref="D31:D39" si="8">$B11+($C11-$B11)*(1-S11)</f>
        <v>105268.81016841279</v>
      </c>
      <c r="E31" s="62">
        <f t="shared" ref="E31:E39" si="9">$B11+($C11-$B11)*(1-T11)</f>
        <v>105382.25158384073</v>
      </c>
      <c r="F31" s="62">
        <f t="shared" ref="F31:F39" si="10">$B11+($C11-$B11)*(1-U11)</f>
        <v>105541.52128444887</v>
      </c>
      <c r="G31" s="62">
        <f t="shared" ref="G31:G39" si="11">$B11+($C11-$B11)*(1-V11)</f>
        <v>105762.96398498585</v>
      </c>
      <c r="H31" s="62">
        <f t="shared" ref="H31:H39" si="12">$B11+($C11-$B11)*(1-W11)</f>
        <v>106066.55364323416</v>
      </c>
      <c r="I31" s="62">
        <f t="shared" ref="I31:I39" si="13">$B11+($C11-$B11)*(1-X11)</f>
        <v>106474.54561256729</v>
      </c>
      <c r="J31" s="62">
        <f t="shared" ref="J31:J39" si="14">$B11+($C11-$B11)*(1-Y11)</f>
        <v>107007.86993473761</v>
      </c>
      <c r="K31" s="62">
        <f t="shared" ref="K31:K39" si="15">$B11+($C11-$B11)*(1-Z11)</f>
        <v>107679.50177500067</v>
      </c>
      <c r="L31" s="62">
        <f t="shared" ref="L31:L39" si="16">$B11+($C11-$B11)*(1-AA11)</f>
        <v>108485.44070412133</v>
      </c>
      <c r="M31" s="62">
        <f t="shared" ref="M31:M39" si="17">$B11+($C11-$B11)*(1-AB11)</f>
        <v>109396.77521191504</v>
      </c>
      <c r="N31" s="62">
        <f t="shared" ref="N31:N39" si="18">$B11+($C11-$B11)*(1-AC11)</f>
        <v>110358.86731268147</v>
      </c>
      <c r="O31" s="62">
        <f t="shared" ref="O31:O39" si="19">$B11+($C11-$B11)*(1-AD11)</f>
        <v>111302.02724044761</v>
      </c>
      <c r="P31" s="62">
        <f t="shared" ref="P31:P39" si="20">$B11+($C11-$B11)*(1-AE11)</f>
        <v>112160.60513627688</v>
      </c>
      <c r="Q31" s="62">
        <f t="shared" ref="Q31:Q39" si="21">$B11+($C11-$B11)*(1-AF11)</f>
        <v>112890.27408388823</v>
      </c>
      <c r="R31" s="62">
        <f t="shared" ref="R31:R39" si="22">$B11+($C11-$B11)*(1-AG11)</f>
        <v>113474.60823462019</v>
      </c>
      <c r="S31" s="62">
        <f t="shared" ref="S31:S39" si="23">$B11+($C11-$B11)*(1-AH11)</f>
        <v>113920.481126229</v>
      </c>
      <c r="T31" s="62">
        <f t="shared" ref="T31:T39" si="24">$B11+($C11-$B11)*(1-AI11)</f>
        <v>114248.23346061909</v>
      </c>
      <c r="U31" s="62">
        <f t="shared" ref="U31:U39" si="25">$B11+($C11-$B11)*(1-AJ11)</f>
        <v>114482.57163822498</v>
      </c>
      <c r="V31" s="62">
        <f t="shared" ref="V31:V39" si="26">$B11+($C11-$B11)*(1-AK11)</f>
        <v>114646.80809374654</v>
      </c>
      <c r="W31" s="62">
        <f t="shared" ref="W31:W39" si="27">$B11+($C11-$B11)*(1-AL11)</f>
        <v>114760.30557927342</v>
      </c>
      <c r="X31" s="62">
        <f t="shared" ref="X31:X39" si="28">$B11+($C11-$B11)*(1-AM11)</f>
        <v>114837.9775644161</v>
      </c>
      <c r="Y31" s="62">
        <f t="shared" ref="Y31:Y39" si="29">$B11+($C11-$B11)*(1-AN11)</f>
        <v>114890.77759435892</v>
      </c>
      <c r="Z31" s="62">
        <f t="shared" ref="Z31:Z39" si="30">$B11+($C11-$B11)*(1-AO11)</f>
        <v>114926.50678709391</v>
      </c>
      <c r="AA31" s="62">
        <f t="shared" ref="AA31:AA39" si="31">$B11+($C11-$B11)*(1-AP11)</f>
        <v>114950.60973781494</v>
      </c>
      <c r="AB31" s="62">
        <f t="shared" ref="AB31:AB39" si="32">$B11+($C11-$B11)*(1-AQ11)</f>
        <v>114966.83572450705</v>
      </c>
      <c r="AC31" s="62">
        <f t="shared" ref="AC31:AC39" si="33">$B11+($C11-$B11)*(1-AR11)</f>
        <v>114977.74363785332</v>
      </c>
    </row>
    <row r="32" spans="1:44" x14ac:dyDescent="0.3">
      <c r="A32" s="30" t="str">
        <f t="shared" si="5"/>
        <v>Residual value (vehicle)</v>
      </c>
      <c r="B32" s="62">
        <f t="shared" si="6"/>
        <v>-26131.180754173536</v>
      </c>
      <c r="C32" s="62">
        <f t="shared" si="7"/>
        <v>-26080.305878657244</v>
      </c>
      <c r="D32" s="62">
        <f t="shared" si="8"/>
        <v>-26008.070848428484</v>
      </c>
      <c r="E32" s="62">
        <f t="shared" si="9"/>
        <v>-25905.97357454335</v>
      </c>
      <c r="F32" s="62">
        <f t="shared" si="10"/>
        <v>-25762.630843996023</v>
      </c>
      <c r="G32" s="62">
        <f t="shared" si="11"/>
        <v>-25563.332413512733</v>
      </c>
      <c r="H32" s="62">
        <f t="shared" si="12"/>
        <v>-25290.101721089261</v>
      </c>
      <c r="I32" s="62">
        <f t="shared" si="13"/>
        <v>-24922.90894868943</v>
      </c>
      <c r="J32" s="62">
        <f t="shared" si="14"/>
        <v>-24442.917058736151</v>
      </c>
      <c r="K32" s="62">
        <f t="shared" si="15"/>
        <v>-23838.448402499405</v>
      </c>
      <c r="L32" s="62">
        <f t="shared" si="16"/>
        <v>-23113.103366290801</v>
      </c>
      <c r="M32" s="62">
        <f t="shared" si="17"/>
        <v>-22292.902309276462</v>
      </c>
      <c r="N32" s="62">
        <f t="shared" si="18"/>
        <v>-21427.019418586682</v>
      </c>
      <c r="O32" s="62">
        <f t="shared" si="19"/>
        <v>-20578.175483597155</v>
      </c>
      <c r="P32" s="62">
        <f t="shared" si="20"/>
        <v>-19805.455377350809</v>
      </c>
      <c r="Q32" s="62">
        <f t="shared" si="21"/>
        <v>-19148.753324500598</v>
      </c>
      <c r="R32" s="62">
        <f t="shared" si="22"/>
        <v>-18622.852588841837</v>
      </c>
      <c r="S32" s="62">
        <f t="shared" si="23"/>
        <v>-18221.5669863939</v>
      </c>
      <c r="T32" s="62">
        <f t="shared" si="24"/>
        <v>-17926.589885442827</v>
      </c>
      <c r="U32" s="62">
        <f t="shared" si="25"/>
        <v>-17715.685525597521</v>
      </c>
      <c r="V32" s="62">
        <f t="shared" si="26"/>
        <v>-17567.872715628113</v>
      </c>
      <c r="W32" s="62">
        <f t="shared" si="27"/>
        <v>-17465.724978653925</v>
      </c>
      <c r="X32" s="62">
        <f t="shared" si="28"/>
        <v>-17395.820192025509</v>
      </c>
      <c r="Y32" s="62">
        <f t="shared" si="29"/>
        <v>-17348.300165076973</v>
      </c>
      <c r="Z32" s="62">
        <f t="shared" si="30"/>
        <v>-17316.14389161548</v>
      </c>
      <c r="AA32" s="62">
        <f t="shared" si="31"/>
        <v>-17294.451235966553</v>
      </c>
      <c r="AB32" s="62">
        <f t="shared" si="32"/>
        <v>-17279.84784794366</v>
      </c>
      <c r="AC32" s="62">
        <f t="shared" si="33"/>
        <v>-17270.030725932011</v>
      </c>
    </row>
    <row r="33" spans="1:29" x14ac:dyDescent="0.3">
      <c r="A33" s="30" t="str">
        <f t="shared" si="5"/>
        <v>Capex costumization</v>
      </c>
      <c r="B33" s="62">
        <f t="shared" si="6"/>
        <v>40000</v>
      </c>
      <c r="C33" s="62">
        <f t="shared" si="7"/>
        <v>40000</v>
      </c>
      <c r="D33" s="62">
        <f t="shared" si="8"/>
        <v>40000</v>
      </c>
      <c r="E33" s="62">
        <f t="shared" si="9"/>
        <v>40000</v>
      </c>
      <c r="F33" s="62">
        <f t="shared" si="10"/>
        <v>40000</v>
      </c>
      <c r="G33" s="62">
        <f t="shared" si="11"/>
        <v>40000</v>
      </c>
      <c r="H33" s="62">
        <f t="shared" si="12"/>
        <v>40000</v>
      </c>
      <c r="I33" s="62">
        <f t="shared" si="13"/>
        <v>40000</v>
      </c>
      <c r="J33" s="62">
        <f t="shared" si="14"/>
        <v>40000</v>
      </c>
      <c r="K33" s="62">
        <f t="shared" si="15"/>
        <v>40000</v>
      </c>
      <c r="L33" s="62">
        <f t="shared" si="16"/>
        <v>40000</v>
      </c>
      <c r="M33" s="62">
        <f t="shared" si="17"/>
        <v>40000</v>
      </c>
      <c r="N33" s="62">
        <f t="shared" si="18"/>
        <v>40000</v>
      </c>
      <c r="O33" s="62">
        <f t="shared" si="19"/>
        <v>40000</v>
      </c>
      <c r="P33" s="62">
        <f t="shared" si="20"/>
        <v>40000</v>
      </c>
      <c r="Q33" s="62">
        <f t="shared" si="21"/>
        <v>40000</v>
      </c>
      <c r="R33" s="62">
        <f t="shared" si="22"/>
        <v>40000</v>
      </c>
      <c r="S33" s="62">
        <f t="shared" si="23"/>
        <v>40000</v>
      </c>
      <c r="T33" s="62">
        <f t="shared" si="24"/>
        <v>40000</v>
      </c>
      <c r="U33" s="62">
        <f t="shared" si="25"/>
        <v>40000</v>
      </c>
      <c r="V33" s="62">
        <f t="shared" si="26"/>
        <v>40000</v>
      </c>
      <c r="W33" s="62">
        <f t="shared" si="27"/>
        <v>40000</v>
      </c>
      <c r="X33" s="62">
        <f t="shared" si="28"/>
        <v>40000</v>
      </c>
      <c r="Y33" s="62">
        <f t="shared" si="29"/>
        <v>40000</v>
      </c>
      <c r="Z33" s="62">
        <f t="shared" si="30"/>
        <v>40000</v>
      </c>
      <c r="AA33" s="62">
        <f t="shared" si="31"/>
        <v>40000</v>
      </c>
      <c r="AB33" s="62">
        <f t="shared" si="32"/>
        <v>40000</v>
      </c>
      <c r="AC33" s="62">
        <f t="shared" si="33"/>
        <v>40000</v>
      </c>
    </row>
    <row r="34" spans="1:29" x14ac:dyDescent="0.3">
      <c r="A34" s="30" t="str">
        <f t="shared" si="5"/>
        <v>Residual value (costumization)</v>
      </c>
      <c r="B34" s="62">
        <f t="shared" si="6"/>
        <v>-10000</v>
      </c>
      <c r="C34" s="62">
        <f t="shared" si="7"/>
        <v>-10000</v>
      </c>
      <c r="D34" s="62">
        <f t="shared" si="8"/>
        <v>-10000</v>
      </c>
      <c r="E34" s="62">
        <f t="shared" si="9"/>
        <v>-10000</v>
      </c>
      <c r="F34" s="62">
        <f t="shared" si="10"/>
        <v>-10000</v>
      </c>
      <c r="G34" s="62">
        <f t="shared" si="11"/>
        <v>-10000</v>
      </c>
      <c r="H34" s="62">
        <f t="shared" si="12"/>
        <v>-10000</v>
      </c>
      <c r="I34" s="62">
        <f t="shared" si="13"/>
        <v>-10000</v>
      </c>
      <c r="J34" s="62">
        <f t="shared" si="14"/>
        <v>-10000</v>
      </c>
      <c r="K34" s="62">
        <f t="shared" si="15"/>
        <v>-10000</v>
      </c>
      <c r="L34" s="62">
        <f t="shared" si="16"/>
        <v>-10000</v>
      </c>
      <c r="M34" s="62">
        <f t="shared" si="17"/>
        <v>-10000</v>
      </c>
      <c r="N34" s="62">
        <f t="shared" si="18"/>
        <v>-10000</v>
      </c>
      <c r="O34" s="62">
        <f t="shared" si="19"/>
        <v>-10000</v>
      </c>
      <c r="P34" s="62">
        <f t="shared" si="20"/>
        <v>-10000</v>
      </c>
      <c r="Q34" s="62">
        <f t="shared" si="21"/>
        <v>-10000</v>
      </c>
      <c r="R34" s="62">
        <f t="shared" si="22"/>
        <v>-10000</v>
      </c>
      <c r="S34" s="62">
        <f t="shared" si="23"/>
        <v>-10000</v>
      </c>
      <c r="T34" s="62">
        <f t="shared" si="24"/>
        <v>-10000</v>
      </c>
      <c r="U34" s="62">
        <f t="shared" si="25"/>
        <v>-10000</v>
      </c>
      <c r="V34" s="62">
        <f t="shared" si="26"/>
        <v>-10000</v>
      </c>
      <c r="W34" s="62">
        <f t="shared" si="27"/>
        <v>-10000</v>
      </c>
      <c r="X34" s="62">
        <f t="shared" si="28"/>
        <v>-10000</v>
      </c>
      <c r="Y34" s="62">
        <f t="shared" si="29"/>
        <v>-10000</v>
      </c>
      <c r="Z34" s="62">
        <f t="shared" si="30"/>
        <v>-10000</v>
      </c>
      <c r="AA34" s="62">
        <f t="shared" si="31"/>
        <v>-10000</v>
      </c>
      <c r="AB34" s="62">
        <f t="shared" si="32"/>
        <v>-10000</v>
      </c>
      <c r="AC34" s="62">
        <f t="shared" si="33"/>
        <v>-10000</v>
      </c>
    </row>
    <row r="35" spans="1:29" x14ac:dyDescent="0.3">
      <c r="A35" s="30" t="str">
        <f t="shared" si="5"/>
        <v>WACC</v>
      </c>
      <c r="B35" s="62">
        <f t="shared" si="6"/>
        <v>0.06</v>
      </c>
      <c r="C35" s="62">
        <f t="shared" si="7"/>
        <v>0.06</v>
      </c>
      <c r="D35" s="62">
        <f t="shared" si="8"/>
        <v>0.06</v>
      </c>
      <c r="E35" s="62">
        <f t="shared" si="9"/>
        <v>0.06</v>
      </c>
      <c r="F35" s="62">
        <f t="shared" si="10"/>
        <v>0.06</v>
      </c>
      <c r="G35" s="62">
        <f t="shared" si="11"/>
        <v>0.06</v>
      </c>
      <c r="H35" s="62">
        <f t="shared" si="12"/>
        <v>0.06</v>
      </c>
      <c r="I35" s="62">
        <f t="shared" si="13"/>
        <v>0.06</v>
      </c>
      <c r="J35" s="62">
        <f t="shared" si="14"/>
        <v>0.06</v>
      </c>
      <c r="K35" s="62">
        <f t="shared" si="15"/>
        <v>0.06</v>
      </c>
      <c r="L35" s="62">
        <f t="shared" si="16"/>
        <v>0.06</v>
      </c>
      <c r="M35" s="62">
        <f t="shared" si="17"/>
        <v>0.06</v>
      </c>
      <c r="N35" s="62">
        <f t="shared" si="18"/>
        <v>0.06</v>
      </c>
      <c r="O35" s="62">
        <f t="shared" si="19"/>
        <v>0.06</v>
      </c>
      <c r="P35" s="62">
        <f t="shared" si="20"/>
        <v>0.06</v>
      </c>
      <c r="Q35" s="62">
        <f t="shared" si="21"/>
        <v>0.06</v>
      </c>
      <c r="R35" s="62">
        <f t="shared" si="22"/>
        <v>0.06</v>
      </c>
      <c r="S35" s="62">
        <f t="shared" si="23"/>
        <v>0.06</v>
      </c>
      <c r="T35" s="62">
        <f t="shared" si="24"/>
        <v>0.06</v>
      </c>
      <c r="U35" s="62">
        <f t="shared" si="25"/>
        <v>0.06</v>
      </c>
      <c r="V35" s="62">
        <f t="shared" si="26"/>
        <v>0.06</v>
      </c>
      <c r="W35" s="62">
        <f t="shared" si="27"/>
        <v>0.06</v>
      </c>
      <c r="X35" s="62">
        <f t="shared" si="28"/>
        <v>0.06</v>
      </c>
      <c r="Y35" s="62">
        <f t="shared" si="29"/>
        <v>0.06</v>
      </c>
      <c r="Z35" s="62">
        <f t="shared" si="30"/>
        <v>0.06</v>
      </c>
      <c r="AA35" s="62">
        <f t="shared" si="31"/>
        <v>0.06</v>
      </c>
      <c r="AB35" s="62">
        <f t="shared" si="32"/>
        <v>0.06</v>
      </c>
      <c r="AC35" s="62">
        <f t="shared" si="33"/>
        <v>0.06</v>
      </c>
    </row>
    <row r="36" spans="1:29" x14ac:dyDescent="0.3">
      <c r="A36" s="30" t="str">
        <f t="shared" si="5"/>
        <v>Opex fix (admin, crew, insurance)</v>
      </c>
      <c r="B36" s="62">
        <f t="shared" si="6"/>
        <v>70000</v>
      </c>
      <c r="C36" s="62">
        <f t="shared" si="7"/>
        <v>70000</v>
      </c>
      <c r="D36" s="62">
        <f t="shared" si="8"/>
        <v>70000</v>
      </c>
      <c r="E36" s="62">
        <f t="shared" si="9"/>
        <v>70000</v>
      </c>
      <c r="F36" s="62">
        <f t="shared" si="10"/>
        <v>70000</v>
      </c>
      <c r="G36" s="62">
        <f t="shared" si="11"/>
        <v>70000</v>
      </c>
      <c r="H36" s="62">
        <f t="shared" si="12"/>
        <v>70000</v>
      </c>
      <c r="I36" s="62">
        <f t="shared" si="13"/>
        <v>70000</v>
      </c>
      <c r="J36" s="62">
        <f t="shared" si="14"/>
        <v>70000</v>
      </c>
      <c r="K36" s="62">
        <f t="shared" si="15"/>
        <v>70000</v>
      </c>
      <c r="L36" s="62">
        <f t="shared" si="16"/>
        <v>70000</v>
      </c>
      <c r="M36" s="62">
        <f t="shared" si="17"/>
        <v>70000</v>
      </c>
      <c r="N36" s="62">
        <f t="shared" si="18"/>
        <v>70000</v>
      </c>
      <c r="O36" s="62">
        <f t="shared" si="19"/>
        <v>70000</v>
      </c>
      <c r="P36" s="62">
        <f t="shared" si="20"/>
        <v>70000</v>
      </c>
      <c r="Q36" s="62">
        <f t="shared" si="21"/>
        <v>70000</v>
      </c>
      <c r="R36" s="62">
        <f t="shared" si="22"/>
        <v>70000</v>
      </c>
      <c r="S36" s="62">
        <f t="shared" si="23"/>
        <v>70000</v>
      </c>
      <c r="T36" s="62">
        <f t="shared" si="24"/>
        <v>70000</v>
      </c>
      <c r="U36" s="62">
        <f t="shared" si="25"/>
        <v>70000</v>
      </c>
      <c r="V36" s="62">
        <f t="shared" si="26"/>
        <v>70000</v>
      </c>
      <c r="W36" s="62">
        <f t="shared" si="27"/>
        <v>70000</v>
      </c>
      <c r="X36" s="62">
        <f t="shared" si="28"/>
        <v>70000</v>
      </c>
      <c r="Y36" s="62">
        <f t="shared" si="29"/>
        <v>70000</v>
      </c>
      <c r="Z36" s="62">
        <f t="shared" si="30"/>
        <v>70000</v>
      </c>
      <c r="AA36" s="62">
        <f t="shared" si="31"/>
        <v>70000</v>
      </c>
      <c r="AB36" s="62">
        <f t="shared" si="32"/>
        <v>70000</v>
      </c>
      <c r="AC36" s="62">
        <f t="shared" si="33"/>
        <v>70000</v>
      </c>
    </row>
    <row r="37" spans="1:29" x14ac:dyDescent="0.3">
      <c r="A37" s="30" t="str">
        <f t="shared" si="5"/>
        <v>Opex maintenance &amp; repair</v>
      </c>
      <c r="B37" s="62">
        <f t="shared" si="6"/>
        <v>20000</v>
      </c>
      <c r="C37" s="62">
        <f t="shared" si="7"/>
        <v>20000</v>
      </c>
      <c r="D37" s="62">
        <f t="shared" si="8"/>
        <v>20000</v>
      </c>
      <c r="E37" s="62">
        <f t="shared" si="9"/>
        <v>20000</v>
      </c>
      <c r="F37" s="62">
        <f t="shared" si="10"/>
        <v>20000</v>
      </c>
      <c r="G37" s="62">
        <f t="shared" si="11"/>
        <v>20000</v>
      </c>
      <c r="H37" s="62">
        <f t="shared" si="12"/>
        <v>20000</v>
      </c>
      <c r="I37" s="62">
        <f t="shared" si="13"/>
        <v>20000</v>
      </c>
      <c r="J37" s="62">
        <f t="shared" si="14"/>
        <v>20000</v>
      </c>
      <c r="K37" s="62">
        <f t="shared" si="15"/>
        <v>20000</v>
      </c>
      <c r="L37" s="62">
        <f t="shared" si="16"/>
        <v>20000</v>
      </c>
      <c r="M37" s="62">
        <f t="shared" si="17"/>
        <v>20000</v>
      </c>
      <c r="N37" s="62">
        <f t="shared" si="18"/>
        <v>20000</v>
      </c>
      <c r="O37" s="62">
        <f t="shared" si="19"/>
        <v>20000</v>
      </c>
      <c r="P37" s="62">
        <f t="shared" si="20"/>
        <v>20000</v>
      </c>
      <c r="Q37" s="62">
        <f t="shared" si="21"/>
        <v>20000</v>
      </c>
      <c r="R37" s="62">
        <f t="shared" si="22"/>
        <v>20000</v>
      </c>
      <c r="S37" s="62">
        <f t="shared" si="23"/>
        <v>20000</v>
      </c>
      <c r="T37" s="62">
        <f t="shared" si="24"/>
        <v>20000</v>
      </c>
      <c r="U37" s="62">
        <f t="shared" si="25"/>
        <v>20000</v>
      </c>
      <c r="V37" s="62">
        <f t="shared" si="26"/>
        <v>20000</v>
      </c>
      <c r="W37" s="62">
        <f t="shared" si="27"/>
        <v>20000</v>
      </c>
      <c r="X37" s="62">
        <f t="shared" si="28"/>
        <v>20000</v>
      </c>
      <c r="Y37" s="62">
        <f t="shared" si="29"/>
        <v>20000</v>
      </c>
      <c r="Z37" s="62">
        <f t="shared" si="30"/>
        <v>20000</v>
      </c>
      <c r="AA37" s="62">
        <f t="shared" si="31"/>
        <v>20000</v>
      </c>
      <c r="AB37" s="62">
        <f t="shared" si="32"/>
        <v>20000</v>
      </c>
      <c r="AC37" s="62">
        <f t="shared" si="33"/>
        <v>20000</v>
      </c>
    </row>
    <row r="38" spans="1:29" x14ac:dyDescent="0.3">
      <c r="A38" s="30" t="str">
        <f t="shared" si="5"/>
        <v>Opex var (mode-fees)</v>
      </c>
      <c r="B38" s="62">
        <f t="shared" si="6"/>
        <v>0.11</v>
      </c>
      <c r="C38" s="62">
        <f t="shared" si="7"/>
        <v>0.11</v>
      </c>
      <c r="D38" s="62">
        <f t="shared" si="8"/>
        <v>0.11</v>
      </c>
      <c r="E38" s="62">
        <f t="shared" si="9"/>
        <v>0.11</v>
      </c>
      <c r="F38" s="62">
        <f t="shared" si="10"/>
        <v>0.11</v>
      </c>
      <c r="G38" s="62">
        <f t="shared" si="11"/>
        <v>0.11</v>
      </c>
      <c r="H38" s="62">
        <f t="shared" si="12"/>
        <v>0.11</v>
      </c>
      <c r="I38" s="62">
        <f t="shared" si="13"/>
        <v>0.11</v>
      </c>
      <c r="J38" s="62">
        <f t="shared" si="14"/>
        <v>0.11</v>
      </c>
      <c r="K38" s="62">
        <f t="shared" si="15"/>
        <v>0.11</v>
      </c>
      <c r="L38" s="62">
        <f t="shared" si="16"/>
        <v>0.11</v>
      </c>
      <c r="M38" s="62">
        <f t="shared" si="17"/>
        <v>0.11</v>
      </c>
      <c r="N38" s="62">
        <f t="shared" si="18"/>
        <v>0.11</v>
      </c>
      <c r="O38" s="62">
        <f t="shared" si="19"/>
        <v>0.11</v>
      </c>
      <c r="P38" s="62">
        <f t="shared" si="20"/>
        <v>0.11</v>
      </c>
      <c r="Q38" s="62">
        <f t="shared" si="21"/>
        <v>0.11</v>
      </c>
      <c r="R38" s="62">
        <f t="shared" si="22"/>
        <v>0.11</v>
      </c>
      <c r="S38" s="62">
        <f t="shared" si="23"/>
        <v>0.11</v>
      </c>
      <c r="T38" s="62">
        <f t="shared" si="24"/>
        <v>0.11</v>
      </c>
      <c r="U38" s="62">
        <f t="shared" si="25"/>
        <v>0.11</v>
      </c>
      <c r="V38" s="62">
        <f t="shared" si="26"/>
        <v>0.11</v>
      </c>
      <c r="W38" s="62">
        <f t="shared" si="27"/>
        <v>0.11</v>
      </c>
      <c r="X38" s="62">
        <f t="shared" si="28"/>
        <v>0.11</v>
      </c>
      <c r="Y38" s="62">
        <f t="shared" si="29"/>
        <v>0.11</v>
      </c>
      <c r="Z38" s="62">
        <f t="shared" si="30"/>
        <v>0.11</v>
      </c>
      <c r="AA38" s="62">
        <f t="shared" si="31"/>
        <v>0.11</v>
      </c>
      <c r="AB38" s="62">
        <f t="shared" si="32"/>
        <v>0.11</v>
      </c>
      <c r="AC38" s="62">
        <f t="shared" si="33"/>
        <v>0.11</v>
      </c>
    </row>
    <row r="39" spans="1:29" x14ac:dyDescent="0.3">
      <c r="A39" s="30" t="str">
        <f t="shared" si="5"/>
        <v>Fuel Economy</v>
      </c>
      <c r="B39" s="62">
        <f t="shared" si="6"/>
        <v>2.8933989307874186</v>
      </c>
      <c r="C39" s="62">
        <f t="shared" si="7"/>
        <v>2.890572548814291</v>
      </c>
      <c r="D39" s="62">
        <f t="shared" si="8"/>
        <v>2.88655949157936</v>
      </c>
      <c r="E39" s="62">
        <f t="shared" si="9"/>
        <v>2.880887420807964</v>
      </c>
      <c r="F39" s="62">
        <f t="shared" si="10"/>
        <v>2.8729239357775569</v>
      </c>
      <c r="G39" s="62">
        <f t="shared" si="11"/>
        <v>2.8618518007507072</v>
      </c>
      <c r="H39" s="62">
        <f t="shared" si="12"/>
        <v>2.846672317838292</v>
      </c>
      <c r="I39" s="62">
        <f t="shared" si="13"/>
        <v>2.826272719371635</v>
      </c>
      <c r="J39" s="62">
        <f t="shared" si="14"/>
        <v>2.7996065032631194</v>
      </c>
      <c r="K39" s="62">
        <f t="shared" si="15"/>
        <v>2.7660249112499669</v>
      </c>
      <c r="L39" s="62">
        <f t="shared" si="16"/>
        <v>2.7257279647939332</v>
      </c>
      <c r="M39" s="62">
        <f t="shared" si="17"/>
        <v>2.6801612394042476</v>
      </c>
      <c r="N39" s="62">
        <f t="shared" si="18"/>
        <v>2.6320566343659264</v>
      </c>
      <c r="O39" s="62">
        <f t="shared" si="19"/>
        <v>2.5848986379776195</v>
      </c>
      <c r="P39" s="62">
        <f t="shared" si="20"/>
        <v>2.5419697431861561</v>
      </c>
      <c r="Q39" s="62">
        <f t="shared" si="21"/>
        <v>2.5054862958055883</v>
      </c>
      <c r="R39" s="62">
        <f t="shared" si="22"/>
        <v>2.4762695882689911</v>
      </c>
      <c r="S39" s="62">
        <f t="shared" si="23"/>
        <v>2.4539759436885498</v>
      </c>
      <c r="T39" s="62">
        <f t="shared" si="24"/>
        <v>2.4375883269690459</v>
      </c>
      <c r="U39" s="62">
        <f t="shared" si="25"/>
        <v>2.4258714180887511</v>
      </c>
      <c r="V39" s="62">
        <f t="shared" si="26"/>
        <v>2.4176595953126729</v>
      </c>
      <c r="W39" s="62">
        <f t="shared" si="27"/>
        <v>2.4119847210363288</v>
      </c>
      <c r="X39" s="62">
        <f t="shared" si="28"/>
        <v>2.408101121779195</v>
      </c>
      <c r="Y39" s="62">
        <f t="shared" si="29"/>
        <v>2.4054611202820539</v>
      </c>
      <c r="Z39" s="62">
        <f t="shared" si="30"/>
        <v>2.4036746606453043</v>
      </c>
      <c r="AA39" s="62">
        <f t="shared" si="31"/>
        <v>2.4024695131092528</v>
      </c>
      <c r="AB39" s="62">
        <f t="shared" si="32"/>
        <v>2.4016582137746476</v>
      </c>
      <c r="AC39" s="62">
        <f t="shared" si="33"/>
        <v>2.4011128181073338</v>
      </c>
    </row>
    <row r="40" spans="1:29" x14ac:dyDescent="0.3">
      <c r="A40" s="30" t="str">
        <f t="shared" si="5"/>
        <v>Fuel Cost</v>
      </c>
      <c r="B40" s="66">
        <f>$B20+($C20-$B20)*(1-Q20)</f>
        <v>0.1</v>
      </c>
      <c r="C40" s="66">
        <f t="shared" ref="C40:AC40" si="34">$B20+($C20-$B20)*(1-R20)</f>
        <v>0.1</v>
      </c>
      <c r="D40" s="66">
        <f t="shared" si="34"/>
        <v>0.1</v>
      </c>
      <c r="E40" s="66">
        <f t="shared" si="34"/>
        <v>0.1</v>
      </c>
      <c r="F40" s="66">
        <f t="shared" si="34"/>
        <v>0.1</v>
      </c>
      <c r="G40" s="66">
        <f t="shared" si="34"/>
        <v>0.1</v>
      </c>
      <c r="H40" s="66">
        <f t="shared" si="34"/>
        <v>0.1</v>
      </c>
      <c r="I40" s="66">
        <f t="shared" si="34"/>
        <v>0.1</v>
      </c>
      <c r="J40" s="66">
        <f t="shared" si="34"/>
        <v>0.1</v>
      </c>
      <c r="K40" s="66">
        <f t="shared" si="34"/>
        <v>0.1</v>
      </c>
      <c r="L40" s="66">
        <f t="shared" si="34"/>
        <v>0.1</v>
      </c>
      <c r="M40" s="66">
        <f t="shared" si="34"/>
        <v>0.1</v>
      </c>
      <c r="N40" s="66">
        <f t="shared" si="34"/>
        <v>0.1</v>
      </c>
      <c r="O40" s="66">
        <f t="shared" si="34"/>
        <v>0.1</v>
      </c>
      <c r="P40" s="66">
        <f t="shared" si="34"/>
        <v>0.1</v>
      </c>
      <c r="Q40" s="66">
        <f t="shared" si="34"/>
        <v>0.1</v>
      </c>
      <c r="R40" s="66">
        <f t="shared" si="34"/>
        <v>0.1</v>
      </c>
      <c r="S40" s="66">
        <f t="shared" si="34"/>
        <v>0.1</v>
      </c>
      <c r="T40" s="66">
        <f t="shared" si="34"/>
        <v>0.1</v>
      </c>
      <c r="U40" s="66">
        <f t="shared" si="34"/>
        <v>0.1</v>
      </c>
      <c r="V40" s="66">
        <f t="shared" si="34"/>
        <v>0.1</v>
      </c>
      <c r="W40" s="66">
        <f t="shared" si="34"/>
        <v>0.1</v>
      </c>
      <c r="X40" s="66">
        <f t="shared" si="34"/>
        <v>0.1</v>
      </c>
      <c r="Y40" s="66">
        <f t="shared" si="34"/>
        <v>0.1</v>
      </c>
      <c r="Z40" s="66">
        <f t="shared" si="34"/>
        <v>0.1</v>
      </c>
      <c r="AA40" s="66">
        <f t="shared" si="34"/>
        <v>0.1</v>
      </c>
      <c r="AB40" s="66">
        <f t="shared" si="34"/>
        <v>0.1</v>
      </c>
      <c r="AC40" s="66">
        <f t="shared" si="34"/>
        <v>0.1</v>
      </c>
    </row>
    <row r="41" spans="1:29" x14ac:dyDescent="0.3">
      <c r="A41" s="30" t="str">
        <f t="shared" si="5"/>
        <v>Emission Cost</v>
      </c>
      <c r="B41" s="66">
        <f>$B21+($C21-$B21)*(1-Q21)</f>
        <v>7.7639122778339092E-2</v>
      </c>
      <c r="C41" s="66">
        <f t="shared" ref="C41:AC41" si="35">$B21+($C21-$B21)*(1-R21)</f>
        <v>7.777844914537467E-2</v>
      </c>
      <c r="D41" s="66">
        <f t="shared" si="35"/>
        <v>7.7977891736541474E-2</v>
      </c>
      <c r="E41" s="66">
        <f t="shared" si="35"/>
        <v>7.8263208388635597E-2</v>
      </c>
      <c r="F41" s="66">
        <f t="shared" si="35"/>
        <v>7.8670988842723152E-2</v>
      </c>
      <c r="G41" s="66">
        <f t="shared" si="35"/>
        <v>7.925297967571665E-2</v>
      </c>
      <c r="H41" s="66">
        <f t="shared" si="35"/>
        <v>8.0081877399879431E-2</v>
      </c>
      <c r="I41" s="66">
        <f t="shared" si="35"/>
        <v>8.1258793344219593E-2</v>
      </c>
      <c r="J41" s="66">
        <f t="shared" si="35"/>
        <v>8.2922250937142977E-2</v>
      </c>
      <c r="K41" s="66">
        <f t="shared" si="35"/>
        <v>8.5257715386346467E-2</v>
      </c>
      <c r="L41" s="66">
        <f t="shared" si="35"/>
        <v>8.8504858770587308E-2</v>
      </c>
      <c r="M41" s="66">
        <f t="shared" si="35"/>
        <v>9.2956570874505887E-2</v>
      </c>
      <c r="N41" s="66">
        <f t="shared" si="35"/>
        <v>9.8939194915988959E-2</v>
      </c>
      <c r="O41" s="66">
        <f t="shared" si="35"/>
        <v>0.10675964029617348</v>
      </c>
      <c r="P41" s="66">
        <f t="shared" si="35"/>
        <v>0.11660816942568256</v>
      </c>
      <c r="Q41" s="66">
        <f t="shared" si="35"/>
        <v>0.12842612167902054</v>
      </c>
      <c r="R41" s="66">
        <f t="shared" si="35"/>
        <v>0.14178955073148763</v>
      </c>
      <c r="S41" s="66">
        <f t="shared" si="35"/>
        <v>0.15589726795340736</v>
      </c>
      <c r="T41" s="66">
        <f t="shared" si="35"/>
        <v>0.16972737168814467</v>
      </c>
      <c r="U41" s="66">
        <f t="shared" si="35"/>
        <v>0.18231719979056973</v>
      </c>
      <c r="V41" s="66">
        <f t="shared" si="35"/>
        <v>0.19301676085163266</v>
      </c>
      <c r="W41" s="66">
        <f t="shared" si="35"/>
        <v>0.20158519307872402</v>
      </c>
      <c r="X41" s="66">
        <f t="shared" si="35"/>
        <v>0.20812328716215528</v>
      </c>
      <c r="Y41" s="66">
        <f t="shared" si="35"/>
        <v>0.21292931066938076</v>
      </c>
      <c r="Z41" s="66">
        <f t="shared" si="35"/>
        <v>0.21636554794991802</v>
      </c>
      <c r="AA41" s="66">
        <f t="shared" si="35"/>
        <v>0.21877384282125395</v>
      </c>
      <c r="AB41" s="66">
        <f t="shared" si="35"/>
        <v>0.22043812260271833</v>
      </c>
      <c r="AC41" s="66">
        <f t="shared" si="35"/>
        <v>0.22157707219141698</v>
      </c>
    </row>
    <row r="42" spans="1:29" x14ac:dyDescent="0.3">
      <c r="A42" s="30" t="str">
        <f t="shared" si="5"/>
        <v>Lifetime vehicle</v>
      </c>
      <c r="B42" s="62">
        <f>$B22+($C22-$B22)*(1-Q22)</f>
        <v>8</v>
      </c>
      <c r="C42" s="62">
        <f t="shared" ref="C42:L44" si="36">$B22+($C22-$B22)*(1-R22)</f>
        <v>8</v>
      </c>
      <c r="D42" s="62">
        <f t="shared" si="36"/>
        <v>8</v>
      </c>
      <c r="E42" s="62">
        <f t="shared" si="36"/>
        <v>8</v>
      </c>
      <c r="F42" s="62">
        <f t="shared" si="36"/>
        <v>8</v>
      </c>
      <c r="G42" s="62">
        <f t="shared" si="36"/>
        <v>8</v>
      </c>
      <c r="H42" s="62">
        <f t="shared" si="36"/>
        <v>8</v>
      </c>
      <c r="I42" s="62">
        <f t="shared" si="36"/>
        <v>8</v>
      </c>
      <c r="J42" s="62">
        <f t="shared" si="36"/>
        <v>8</v>
      </c>
      <c r="K42" s="62">
        <f t="shared" si="36"/>
        <v>8</v>
      </c>
      <c r="L42" s="62">
        <f t="shared" si="36"/>
        <v>8</v>
      </c>
      <c r="M42" s="62">
        <f t="shared" ref="M42:V44" si="37">$B22+($C22-$B22)*(1-AB22)</f>
        <v>8</v>
      </c>
      <c r="N42" s="62">
        <f t="shared" si="37"/>
        <v>8</v>
      </c>
      <c r="O42" s="62">
        <f t="shared" si="37"/>
        <v>8</v>
      </c>
      <c r="P42" s="62">
        <f t="shared" si="37"/>
        <v>8</v>
      </c>
      <c r="Q42" s="62">
        <f t="shared" si="37"/>
        <v>8</v>
      </c>
      <c r="R42" s="62">
        <f t="shared" si="37"/>
        <v>8</v>
      </c>
      <c r="S42" s="62">
        <f t="shared" si="37"/>
        <v>8</v>
      </c>
      <c r="T42" s="62">
        <f t="shared" si="37"/>
        <v>8</v>
      </c>
      <c r="U42" s="62">
        <f t="shared" si="37"/>
        <v>8</v>
      </c>
      <c r="V42" s="62">
        <f t="shared" si="37"/>
        <v>8</v>
      </c>
      <c r="W42" s="62">
        <f t="shared" ref="W42:AC44" si="38">$B22+($C22-$B22)*(1-AL22)</f>
        <v>8</v>
      </c>
      <c r="X42" s="62">
        <f t="shared" si="38"/>
        <v>8</v>
      </c>
      <c r="Y42" s="62">
        <f t="shared" si="38"/>
        <v>8</v>
      </c>
      <c r="Z42" s="62">
        <f t="shared" si="38"/>
        <v>8</v>
      </c>
      <c r="AA42" s="62">
        <f t="shared" si="38"/>
        <v>8</v>
      </c>
      <c r="AB42" s="62">
        <f t="shared" si="38"/>
        <v>8</v>
      </c>
      <c r="AC42" s="62">
        <f t="shared" si="38"/>
        <v>8</v>
      </c>
    </row>
    <row r="43" spans="1:29" x14ac:dyDescent="0.3">
      <c r="A43" s="30" t="str">
        <f t="shared" si="5"/>
        <v>Lifetime costumization</v>
      </c>
      <c r="B43" s="62">
        <f>$B23+($C23-$B23)*(1-Q23)</f>
        <v>10</v>
      </c>
      <c r="C43" s="62">
        <f t="shared" si="36"/>
        <v>10</v>
      </c>
      <c r="D43" s="62">
        <f t="shared" si="36"/>
        <v>10</v>
      </c>
      <c r="E43" s="62">
        <f t="shared" si="36"/>
        <v>10</v>
      </c>
      <c r="F43" s="62">
        <f t="shared" si="36"/>
        <v>10</v>
      </c>
      <c r="G43" s="62">
        <f t="shared" si="36"/>
        <v>10</v>
      </c>
      <c r="H43" s="62">
        <f t="shared" si="36"/>
        <v>10</v>
      </c>
      <c r="I43" s="62">
        <f t="shared" si="36"/>
        <v>10</v>
      </c>
      <c r="J43" s="62">
        <f t="shared" si="36"/>
        <v>10</v>
      </c>
      <c r="K43" s="62">
        <f t="shared" si="36"/>
        <v>10</v>
      </c>
      <c r="L43" s="62">
        <f t="shared" si="36"/>
        <v>10</v>
      </c>
      <c r="M43" s="62">
        <f t="shared" si="37"/>
        <v>10</v>
      </c>
      <c r="N43" s="62">
        <f t="shared" si="37"/>
        <v>10</v>
      </c>
      <c r="O43" s="62">
        <f t="shared" si="37"/>
        <v>10</v>
      </c>
      <c r="P43" s="62">
        <f t="shared" si="37"/>
        <v>10</v>
      </c>
      <c r="Q43" s="62">
        <f t="shared" si="37"/>
        <v>10</v>
      </c>
      <c r="R43" s="62">
        <f t="shared" si="37"/>
        <v>10</v>
      </c>
      <c r="S43" s="62">
        <f t="shared" si="37"/>
        <v>10</v>
      </c>
      <c r="T43" s="62">
        <f t="shared" si="37"/>
        <v>10</v>
      </c>
      <c r="U43" s="62">
        <f t="shared" si="37"/>
        <v>10</v>
      </c>
      <c r="V43" s="62">
        <f t="shared" si="37"/>
        <v>10</v>
      </c>
      <c r="W43" s="62">
        <f t="shared" si="38"/>
        <v>10</v>
      </c>
      <c r="X43" s="62">
        <f t="shared" si="38"/>
        <v>10</v>
      </c>
      <c r="Y43" s="62">
        <f t="shared" si="38"/>
        <v>10</v>
      </c>
      <c r="Z43" s="62">
        <f t="shared" si="38"/>
        <v>10</v>
      </c>
      <c r="AA43" s="62">
        <f t="shared" si="38"/>
        <v>10</v>
      </c>
      <c r="AB43" s="62">
        <f t="shared" si="38"/>
        <v>10</v>
      </c>
      <c r="AC43" s="62">
        <f t="shared" si="38"/>
        <v>10</v>
      </c>
    </row>
    <row r="44" spans="1:29" x14ac:dyDescent="0.3">
      <c r="A44" s="30" t="str">
        <f t="shared" si="5"/>
        <v>Tonnage .</v>
      </c>
      <c r="B44" s="62">
        <f>$B24+($C24-$B24)*(1-Q24)</f>
        <v>25</v>
      </c>
      <c r="C44" s="62">
        <f t="shared" si="36"/>
        <v>25</v>
      </c>
      <c r="D44" s="62">
        <f t="shared" si="36"/>
        <v>25</v>
      </c>
      <c r="E44" s="62">
        <f t="shared" si="36"/>
        <v>25</v>
      </c>
      <c r="F44" s="62">
        <f t="shared" si="36"/>
        <v>25</v>
      </c>
      <c r="G44" s="62">
        <f t="shared" si="36"/>
        <v>25</v>
      </c>
      <c r="H44" s="62">
        <f t="shared" si="36"/>
        <v>25</v>
      </c>
      <c r="I44" s="62">
        <f t="shared" si="36"/>
        <v>25</v>
      </c>
      <c r="J44" s="62">
        <f t="shared" si="36"/>
        <v>25</v>
      </c>
      <c r="K44" s="62">
        <f t="shared" si="36"/>
        <v>25</v>
      </c>
      <c r="L44" s="62">
        <f t="shared" si="36"/>
        <v>25</v>
      </c>
      <c r="M44" s="62">
        <f t="shared" si="37"/>
        <v>25</v>
      </c>
      <c r="N44" s="62">
        <f t="shared" si="37"/>
        <v>25</v>
      </c>
      <c r="O44" s="62">
        <f t="shared" si="37"/>
        <v>25</v>
      </c>
      <c r="P44" s="62">
        <f t="shared" si="37"/>
        <v>25</v>
      </c>
      <c r="Q44" s="62">
        <f t="shared" si="37"/>
        <v>25</v>
      </c>
      <c r="R44" s="62">
        <f t="shared" si="37"/>
        <v>25</v>
      </c>
      <c r="S44" s="62">
        <f t="shared" si="37"/>
        <v>25</v>
      </c>
      <c r="T44" s="62">
        <f t="shared" si="37"/>
        <v>25</v>
      </c>
      <c r="U44" s="62">
        <f t="shared" si="37"/>
        <v>25</v>
      </c>
      <c r="V44" s="62">
        <f t="shared" si="37"/>
        <v>25</v>
      </c>
      <c r="W44" s="62">
        <f t="shared" si="38"/>
        <v>25</v>
      </c>
      <c r="X44" s="62">
        <f t="shared" si="38"/>
        <v>25</v>
      </c>
      <c r="Y44" s="62">
        <f t="shared" si="38"/>
        <v>25</v>
      </c>
      <c r="Z44" s="62">
        <f t="shared" si="38"/>
        <v>25</v>
      </c>
      <c r="AA44" s="62">
        <f t="shared" si="38"/>
        <v>25</v>
      </c>
      <c r="AB44" s="62">
        <f t="shared" si="38"/>
        <v>25</v>
      </c>
      <c r="AC44" s="62">
        <f t="shared" si="38"/>
        <v>25</v>
      </c>
    </row>
    <row r="45" spans="1:29" x14ac:dyDescent="0.3">
      <c r="A45" s="30" t="str">
        <f t="shared" si="5"/>
        <v>Market failure (av. utilization)</v>
      </c>
      <c r="B45" s="62">
        <f t="shared" ref="B45:K46" si="39">($B25+($C25-$B25)*(1-Q25))*B$44</f>
        <v>10.5</v>
      </c>
      <c r="C45" s="62">
        <f t="shared" si="39"/>
        <v>10.5</v>
      </c>
      <c r="D45" s="62">
        <f t="shared" si="39"/>
        <v>10.5</v>
      </c>
      <c r="E45" s="62">
        <f t="shared" si="39"/>
        <v>10.5</v>
      </c>
      <c r="F45" s="62">
        <f t="shared" si="39"/>
        <v>10.5</v>
      </c>
      <c r="G45" s="62">
        <f t="shared" si="39"/>
        <v>10.5</v>
      </c>
      <c r="H45" s="62">
        <f t="shared" si="39"/>
        <v>10.5</v>
      </c>
      <c r="I45" s="62">
        <f t="shared" si="39"/>
        <v>10.5</v>
      </c>
      <c r="J45" s="62">
        <f t="shared" si="39"/>
        <v>10.5</v>
      </c>
      <c r="K45" s="62">
        <f t="shared" si="39"/>
        <v>10.5</v>
      </c>
      <c r="L45" s="62">
        <f t="shared" ref="L45:U46" si="40">($B25+($C25-$B25)*(1-AA25))*L$44</f>
        <v>10.5</v>
      </c>
      <c r="M45" s="62">
        <f t="shared" si="40"/>
        <v>10.5</v>
      </c>
      <c r="N45" s="62">
        <f t="shared" si="40"/>
        <v>10.5</v>
      </c>
      <c r="O45" s="62">
        <f t="shared" si="40"/>
        <v>10.5</v>
      </c>
      <c r="P45" s="62">
        <f t="shared" si="40"/>
        <v>10.5</v>
      </c>
      <c r="Q45" s="62">
        <f t="shared" si="40"/>
        <v>10.5</v>
      </c>
      <c r="R45" s="62">
        <f t="shared" si="40"/>
        <v>10.5</v>
      </c>
      <c r="S45" s="62">
        <f t="shared" si="40"/>
        <v>10.5</v>
      </c>
      <c r="T45" s="62">
        <f t="shared" si="40"/>
        <v>10.5</v>
      </c>
      <c r="U45" s="62">
        <f t="shared" si="40"/>
        <v>10.5</v>
      </c>
      <c r="V45" s="62">
        <f t="shared" ref="V45:AC46" si="41">($B25+($C25-$B25)*(1-AK25))*V$44</f>
        <v>10.5</v>
      </c>
      <c r="W45" s="62">
        <f t="shared" si="41"/>
        <v>10.5</v>
      </c>
      <c r="X45" s="62">
        <f t="shared" si="41"/>
        <v>10.5</v>
      </c>
      <c r="Y45" s="62">
        <f t="shared" si="41"/>
        <v>10.5</v>
      </c>
      <c r="Z45" s="62">
        <f t="shared" si="41"/>
        <v>10.5</v>
      </c>
      <c r="AA45" s="62">
        <f t="shared" si="41"/>
        <v>10.5</v>
      </c>
      <c r="AB45" s="62">
        <f t="shared" si="41"/>
        <v>10.5</v>
      </c>
      <c r="AC45" s="62">
        <f t="shared" si="41"/>
        <v>10.5</v>
      </c>
    </row>
    <row r="46" spans="1:29" x14ac:dyDescent="0.3">
      <c r="A46" s="30" t="s">
        <v>73</v>
      </c>
      <c r="B46" s="62">
        <f t="shared" si="39"/>
        <v>0</v>
      </c>
      <c r="C46" s="62">
        <f t="shared" si="39"/>
        <v>0</v>
      </c>
      <c r="D46" s="62">
        <f t="shared" si="39"/>
        <v>0</v>
      </c>
      <c r="E46" s="62">
        <f t="shared" si="39"/>
        <v>0</v>
      </c>
      <c r="F46" s="62">
        <f t="shared" si="39"/>
        <v>0</v>
      </c>
      <c r="G46" s="62">
        <f t="shared" si="39"/>
        <v>0</v>
      </c>
      <c r="H46" s="62">
        <f t="shared" si="39"/>
        <v>0</v>
      </c>
      <c r="I46" s="62">
        <f t="shared" si="39"/>
        <v>0</v>
      </c>
      <c r="J46" s="62">
        <f t="shared" si="39"/>
        <v>0</v>
      </c>
      <c r="K46" s="62">
        <f t="shared" si="39"/>
        <v>0</v>
      </c>
      <c r="L46" s="62">
        <f t="shared" si="40"/>
        <v>0</v>
      </c>
      <c r="M46" s="62">
        <f t="shared" si="40"/>
        <v>0</v>
      </c>
      <c r="N46" s="62">
        <f t="shared" si="40"/>
        <v>0</v>
      </c>
      <c r="O46" s="62">
        <f t="shared" si="40"/>
        <v>0</v>
      </c>
      <c r="P46" s="62">
        <f t="shared" si="40"/>
        <v>0</v>
      </c>
      <c r="Q46" s="62">
        <f t="shared" si="40"/>
        <v>0</v>
      </c>
      <c r="R46" s="62">
        <f t="shared" si="40"/>
        <v>0</v>
      </c>
      <c r="S46" s="62">
        <f t="shared" si="40"/>
        <v>0</v>
      </c>
      <c r="T46" s="62">
        <f t="shared" si="40"/>
        <v>0</v>
      </c>
      <c r="U46" s="62">
        <f t="shared" si="40"/>
        <v>0</v>
      </c>
      <c r="V46" s="62">
        <f t="shared" si="41"/>
        <v>0</v>
      </c>
      <c r="W46" s="62">
        <f t="shared" si="41"/>
        <v>0</v>
      </c>
      <c r="X46" s="62">
        <f t="shared" si="41"/>
        <v>0</v>
      </c>
      <c r="Y46" s="62">
        <f t="shared" si="41"/>
        <v>0</v>
      </c>
      <c r="Z46" s="62">
        <f t="shared" si="41"/>
        <v>0</v>
      </c>
      <c r="AA46" s="62">
        <f t="shared" si="41"/>
        <v>0</v>
      </c>
      <c r="AB46" s="62">
        <f t="shared" si="41"/>
        <v>0</v>
      </c>
      <c r="AC46" s="62">
        <f t="shared" si="41"/>
        <v>0</v>
      </c>
    </row>
    <row r="47" spans="1:29" x14ac:dyDescent="0.3">
      <c r="A47" s="30" t="str">
        <f>A27</f>
        <v>Annual Mileage</v>
      </c>
      <c r="B47" s="62">
        <f t="shared" ref="B47:AC47" si="42">$B27+($C27-$B27)*(1-Q27)</f>
        <v>55000</v>
      </c>
      <c r="C47" s="62">
        <f t="shared" si="42"/>
        <v>55000</v>
      </c>
      <c r="D47" s="62">
        <f t="shared" si="42"/>
        <v>55000</v>
      </c>
      <c r="E47" s="62">
        <f t="shared" si="42"/>
        <v>55000</v>
      </c>
      <c r="F47" s="62">
        <f t="shared" si="42"/>
        <v>55000</v>
      </c>
      <c r="G47" s="62">
        <f t="shared" si="42"/>
        <v>55000</v>
      </c>
      <c r="H47" s="62">
        <f t="shared" si="42"/>
        <v>55000</v>
      </c>
      <c r="I47" s="62">
        <f t="shared" si="42"/>
        <v>55000</v>
      </c>
      <c r="J47" s="62">
        <f t="shared" si="42"/>
        <v>55000</v>
      </c>
      <c r="K47" s="62">
        <f t="shared" si="42"/>
        <v>55000</v>
      </c>
      <c r="L47" s="62">
        <f t="shared" si="42"/>
        <v>55000</v>
      </c>
      <c r="M47" s="62">
        <f t="shared" si="42"/>
        <v>55000</v>
      </c>
      <c r="N47" s="62">
        <f t="shared" si="42"/>
        <v>55000</v>
      </c>
      <c r="O47" s="62">
        <f t="shared" si="42"/>
        <v>55000</v>
      </c>
      <c r="P47" s="62">
        <f t="shared" si="42"/>
        <v>55000</v>
      </c>
      <c r="Q47" s="62">
        <f t="shared" si="42"/>
        <v>55000</v>
      </c>
      <c r="R47" s="62">
        <f t="shared" si="42"/>
        <v>55000</v>
      </c>
      <c r="S47" s="62">
        <f t="shared" si="42"/>
        <v>55000</v>
      </c>
      <c r="T47" s="62">
        <f t="shared" si="42"/>
        <v>55000</v>
      </c>
      <c r="U47" s="62">
        <f t="shared" si="42"/>
        <v>55000</v>
      </c>
      <c r="V47" s="62">
        <f t="shared" si="42"/>
        <v>55000</v>
      </c>
      <c r="W47" s="62">
        <f t="shared" si="42"/>
        <v>55000</v>
      </c>
      <c r="X47" s="62">
        <f t="shared" si="42"/>
        <v>55000</v>
      </c>
      <c r="Y47" s="62">
        <f t="shared" si="42"/>
        <v>55000</v>
      </c>
      <c r="Z47" s="62">
        <f t="shared" si="42"/>
        <v>55000</v>
      </c>
      <c r="AA47" s="62">
        <f t="shared" si="42"/>
        <v>55000</v>
      </c>
      <c r="AB47" s="62">
        <f t="shared" si="42"/>
        <v>55000</v>
      </c>
      <c r="AC47" s="62">
        <f t="shared" si="42"/>
        <v>55000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16930.034166116213</v>
      </c>
      <c r="C50" s="63">
        <f t="shared" ref="C50:AC50" si="43">((1+C35)^C42)*C35/(((1+C35)^C42)-1)*(C31)</f>
        <v>16939.137147822737</v>
      </c>
      <c r="D50" s="63">
        <f t="shared" si="43"/>
        <v>16952.062076917297</v>
      </c>
      <c r="E50" s="63">
        <f t="shared" si="43"/>
        <v>16970.330222186072</v>
      </c>
      <c r="F50" s="63">
        <f t="shared" si="43"/>
        <v>16995.97836855879</v>
      </c>
      <c r="G50" s="63">
        <f t="shared" si="43"/>
        <v>17031.638602582309</v>
      </c>
      <c r="H50" s="63">
        <f t="shared" si="43"/>
        <v>17080.52744937655</v>
      </c>
      <c r="I50" s="63">
        <f t="shared" si="43"/>
        <v>17146.228820750977</v>
      </c>
      <c r="J50" s="63">
        <f t="shared" si="43"/>
        <v>17232.113205708847</v>
      </c>
      <c r="K50" s="63">
        <f t="shared" si="43"/>
        <v>17340.270072218107</v>
      </c>
      <c r="L50" s="63">
        <f t="shared" si="43"/>
        <v>17470.055207385878</v>
      </c>
      <c r="M50" s="63">
        <f t="shared" si="43"/>
        <v>17616.812818916205</v>
      </c>
      <c r="N50" s="63">
        <f t="shared" si="43"/>
        <v>17771.744227277446</v>
      </c>
      <c r="O50" s="63">
        <f t="shared" si="43"/>
        <v>17923.62687531321</v>
      </c>
      <c r="P50" s="63">
        <f t="shared" si="43"/>
        <v>18061.888776104923</v>
      </c>
      <c r="Q50" s="63">
        <f t="shared" si="43"/>
        <v>18179.391702904584</v>
      </c>
      <c r="R50" s="63">
        <f t="shared" si="43"/>
        <v>18273.490503689198</v>
      </c>
      <c r="S50" s="63">
        <f t="shared" si="43"/>
        <v>18345.292065090671</v>
      </c>
      <c r="T50" s="63">
        <f t="shared" si="43"/>
        <v>18398.071971214304</v>
      </c>
      <c r="U50" s="63">
        <f t="shared" si="43"/>
        <v>18435.808840543512</v>
      </c>
      <c r="V50" s="63">
        <f t="shared" si="43"/>
        <v>18462.256812975615</v>
      </c>
      <c r="W50" s="63">
        <f t="shared" si="43"/>
        <v>18480.533987545627</v>
      </c>
      <c r="X50" s="63">
        <f t="shared" si="43"/>
        <v>18493.041968890429</v>
      </c>
      <c r="Y50" s="63">
        <f t="shared" si="43"/>
        <v>18501.544671484124</v>
      </c>
      <c r="Z50" s="63">
        <f t="shared" si="43"/>
        <v>18507.298355716259</v>
      </c>
      <c r="AA50" s="63">
        <f t="shared" si="43"/>
        <v>18511.179797106222</v>
      </c>
      <c r="AB50" s="63">
        <f t="shared" si="43"/>
        <v>18513.792764168582</v>
      </c>
      <c r="AC50" s="63">
        <f t="shared" si="43"/>
        <v>18515.549330276619</v>
      </c>
    </row>
    <row r="51" spans="1:29" x14ac:dyDescent="0.3">
      <c r="A51" s="30" t="str">
        <f>A32</f>
        <v>Residual value (vehicle)</v>
      </c>
      <c r="B51" s="62">
        <f>((1+B35)^B42)*B35/(((1+B35)^B42)-1)*(B32)</f>
        <v>-4208.0593252569806</v>
      </c>
      <c r="C51" s="62">
        <f t="shared" ref="C51:AC51" si="44">((1+C35)^C42)*C35/(((1+C35)^C42)-1)*(C32)</f>
        <v>-4199.866641721108</v>
      </c>
      <c r="D51" s="62">
        <f t="shared" si="44"/>
        <v>-4188.2342055360041</v>
      </c>
      <c r="E51" s="62">
        <f t="shared" si="44"/>
        <v>-4171.7928747941069</v>
      </c>
      <c r="F51" s="62">
        <f t="shared" si="44"/>
        <v>-4148.7095430586614</v>
      </c>
      <c r="G51" s="62">
        <f t="shared" si="44"/>
        <v>-4116.6153324374927</v>
      </c>
      <c r="H51" s="62">
        <f t="shared" si="44"/>
        <v>-4072.6153703226773</v>
      </c>
      <c r="I51" s="62">
        <f t="shared" si="44"/>
        <v>-4013.4841360856908</v>
      </c>
      <c r="J51" s="62">
        <f t="shared" si="44"/>
        <v>-3936.1881896236077</v>
      </c>
      <c r="K51" s="62">
        <f t="shared" si="44"/>
        <v>-3838.8470097652757</v>
      </c>
      <c r="L51" s="62">
        <f t="shared" si="44"/>
        <v>-3722.0403881142815</v>
      </c>
      <c r="M51" s="62">
        <f t="shared" si="44"/>
        <v>-3589.9585377369858</v>
      </c>
      <c r="N51" s="62">
        <f t="shared" si="44"/>
        <v>-3450.5202702118704</v>
      </c>
      <c r="O51" s="62">
        <f t="shared" si="44"/>
        <v>-3313.8258869796846</v>
      </c>
      <c r="P51" s="62">
        <f t="shared" si="44"/>
        <v>-3189.3901762671421</v>
      </c>
      <c r="Q51" s="62">
        <f t="shared" si="44"/>
        <v>-3083.6375421474468</v>
      </c>
      <c r="R51" s="62">
        <f t="shared" si="44"/>
        <v>-2998.9486214412941</v>
      </c>
      <c r="S51" s="62">
        <f t="shared" si="44"/>
        <v>-2934.3272161799682</v>
      </c>
      <c r="T51" s="62">
        <f t="shared" si="44"/>
        <v>-2886.8253006686996</v>
      </c>
      <c r="U51" s="62">
        <f t="shared" si="44"/>
        <v>-2852.8621182724105</v>
      </c>
      <c r="V51" s="62">
        <f t="shared" si="44"/>
        <v>-2829.0589430835184</v>
      </c>
      <c r="W51" s="62">
        <f t="shared" si="44"/>
        <v>-2812.6094859705067</v>
      </c>
      <c r="X51" s="62">
        <f t="shared" si="44"/>
        <v>-2801.3523027601836</v>
      </c>
      <c r="Y51" s="62">
        <f t="shared" si="44"/>
        <v>-2793.6998704258613</v>
      </c>
      <c r="Z51" s="62">
        <f t="shared" si="44"/>
        <v>-2788.5215546169388</v>
      </c>
      <c r="AA51" s="62">
        <f t="shared" si="44"/>
        <v>-2785.0282573659729</v>
      </c>
      <c r="AB51" s="62">
        <f t="shared" si="44"/>
        <v>-2782.6765870098498</v>
      </c>
      <c r="AC51" s="62">
        <f t="shared" si="44"/>
        <v>-2781.0956775126119</v>
      </c>
    </row>
    <row r="52" spans="1:29" x14ac:dyDescent="0.3">
      <c r="A52" s="30" t="str">
        <f>A33</f>
        <v>Capex costumization</v>
      </c>
      <c r="B52" s="62">
        <f>((1+B35)^B43)*B35/(((1+B35)^B43)-1)*(B33)</f>
        <v>5434.7183288153492</v>
      </c>
      <c r="C52" s="62">
        <f t="shared" ref="C52:AC52" si="45">((1+C35)^C43)*C35/(((1+C35)^C43)-1)*(C33)</f>
        <v>5434.7183288153492</v>
      </c>
      <c r="D52" s="62">
        <f t="shared" si="45"/>
        <v>5434.7183288153492</v>
      </c>
      <c r="E52" s="62">
        <f t="shared" si="45"/>
        <v>5434.7183288153492</v>
      </c>
      <c r="F52" s="62">
        <f t="shared" si="45"/>
        <v>5434.7183288153492</v>
      </c>
      <c r="G52" s="62">
        <f t="shared" si="45"/>
        <v>5434.7183288153492</v>
      </c>
      <c r="H52" s="62">
        <f t="shared" si="45"/>
        <v>5434.7183288153492</v>
      </c>
      <c r="I52" s="62">
        <f t="shared" si="45"/>
        <v>5434.7183288153492</v>
      </c>
      <c r="J52" s="62">
        <f t="shared" si="45"/>
        <v>5434.7183288153492</v>
      </c>
      <c r="K52" s="62">
        <f t="shared" si="45"/>
        <v>5434.7183288153492</v>
      </c>
      <c r="L52" s="62">
        <f t="shared" si="45"/>
        <v>5434.7183288153492</v>
      </c>
      <c r="M52" s="62">
        <f t="shared" si="45"/>
        <v>5434.7183288153492</v>
      </c>
      <c r="N52" s="62">
        <f t="shared" si="45"/>
        <v>5434.7183288153492</v>
      </c>
      <c r="O52" s="62">
        <f t="shared" si="45"/>
        <v>5434.7183288153492</v>
      </c>
      <c r="P52" s="62">
        <f t="shared" si="45"/>
        <v>5434.7183288153492</v>
      </c>
      <c r="Q52" s="62">
        <f t="shared" si="45"/>
        <v>5434.7183288153492</v>
      </c>
      <c r="R52" s="62">
        <f t="shared" si="45"/>
        <v>5434.7183288153492</v>
      </c>
      <c r="S52" s="62">
        <f t="shared" si="45"/>
        <v>5434.7183288153492</v>
      </c>
      <c r="T52" s="62">
        <f t="shared" si="45"/>
        <v>5434.7183288153492</v>
      </c>
      <c r="U52" s="62">
        <f t="shared" si="45"/>
        <v>5434.7183288153492</v>
      </c>
      <c r="V52" s="62">
        <f t="shared" si="45"/>
        <v>5434.7183288153492</v>
      </c>
      <c r="W52" s="62">
        <f t="shared" si="45"/>
        <v>5434.7183288153492</v>
      </c>
      <c r="X52" s="62">
        <f t="shared" si="45"/>
        <v>5434.7183288153492</v>
      </c>
      <c r="Y52" s="62">
        <f t="shared" si="45"/>
        <v>5434.7183288153492</v>
      </c>
      <c r="Z52" s="62">
        <f t="shared" si="45"/>
        <v>5434.7183288153492</v>
      </c>
      <c r="AA52" s="62">
        <f t="shared" si="45"/>
        <v>5434.7183288153492</v>
      </c>
      <c r="AB52" s="62">
        <f t="shared" si="45"/>
        <v>5434.7183288153492</v>
      </c>
      <c r="AC52" s="62">
        <f t="shared" si="45"/>
        <v>5434.7183288153492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-1358.6795822038373</v>
      </c>
      <c r="C53" s="62">
        <f t="shared" ref="C53:AC53" si="46">((1+C35)^C43)*C35/(((1+C35)^C43)-1)*(C34)</f>
        <v>-1358.6795822038373</v>
      </c>
      <c r="D53" s="62">
        <f t="shared" si="46"/>
        <v>-1358.6795822038373</v>
      </c>
      <c r="E53" s="62">
        <f t="shared" si="46"/>
        <v>-1358.6795822038373</v>
      </c>
      <c r="F53" s="62">
        <f t="shared" si="46"/>
        <v>-1358.6795822038373</v>
      </c>
      <c r="G53" s="62">
        <f t="shared" si="46"/>
        <v>-1358.6795822038373</v>
      </c>
      <c r="H53" s="62">
        <f t="shared" si="46"/>
        <v>-1358.6795822038373</v>
      </c>
      <c r="I53" s="62">
        <f t="shared" si="46"/>
        <v>-1358.6795822038373</v>
      </c>
      <c r="J53" s="62">
        <f t="shared" si="46"/>
        <v>-1358.6795822038373</v>
      </c>
      <c r="K53" s="62">
        <f t="shared" si="46"/>
        <v>-1358.6795822038373</v>
      </c>
      <c r="L53" s="62">
        <f t="shared" si="46"/>
        <v>-1358.6795822038373</v>
      </c>
      <c r="M53" s="62">
        <f t="shared" si="46"/>
        <v>-1358.6795822038373</v>
      </c>
      <c r="N53" s="62">
        <f t="shared" si="46"/>
        <v>-1358.6795822038373</v>
      </c>
      <c r="O53" s="62">
        <f t="shared" si="46"/>
        <v>-1358.6795822038373</v>
      </c>
      <c r="P53" s="62">
        <f t="shared" si="46"/>
        <v>-1358.6795822038373</v>
      </c>
      <c r="Q53" s="62">
        <f t="shared" si="46"/>
        <v>-1358.6795822038373</v>
      </c>
      <c r="R53" s="62">
        <f t="shared" si="46"/>
        <v>-1358.6795822038373</v>
      </c>
      <c r="S53" s="62">
        <f t="shared" si="46"/>
        <v>-1358.6795822038373</v>
      </c>
      <c r="T53" s="62">
        <f t="shared" si="46"/>
        <v>-1358.6795822038373</v>
      </c>
      <c r="U53" s="62">
        <f t="shared" si="46"/>
        <v>-1358.6795822038373</v>
      </c>
      <c r="V53" s="62">
        <f t="shared" si="46"/>
        <v>-1358.6795822038373</v>
      </c>
      <c r="W53" s="62">
        <f t="shared" si="46"/>
        <v>-1358.6795822038373</v>
      </c>
      <c r="X53" s="62">
        <f t="shared" si="46"/>
        <v>-1358.6795822038373</v>
      </c>
      <c r="Y53" s="62">
        <f t="shared" si="46"/>
        <v>-1358.6795822038373</v>
      </c>
      <c r="Z53" s="62">
        <f t="shared" si="46"/>
        <v>-1358.6795822038373</v>
      </c>
      <c r="AA53" s="62">
        <f t="shared" si="46"/>
        <v>-1358.6795822038373</v>
      </c>
      <c r="AB53" s="62">
        <f t="shared" si="46"/>
        <v>-1358.6795822038373</v>
      </c>
      <c r="AC53" s="62">
        <f t="shared" si="46"/>
        <v>-1358.6795822038373</v>
      </c>
    </row>
    <row r="54" spans="1:29" x14ac:dyDescent="0.3">
      <c r="A54" s="30" t="str">
        <f>A36</f>
        <v>Opex fix (admin, crew, insurance)</v>
      </c>
      <c r="B54" s="62">
        <f>B36</f>
        <v>70000</v>
      </c>
      <c r="C54" s="62">
        <f t="shared" ref="C54:AC54" si="47">C36</f>
        <v>70000</v>
      </c>
      <c r="D54" s="62">
        <f t="shared" si="47"/>
        <v>70000</v>
      </c>
      <c r="E54" s="62">
        <f t="shared" si="47"/>
        <v>70000</v>
      </c>
      <c r="F54" s="62">
        <f t="shared" si="47"/>
        <v>70000</v>
      </c>
      <c r="G54" s="62">
        <f t="shared" si="47"/>
        <v>70000</v>
      </c>
      <c r="H54" s="62">
        <f t="shared" si="47"/>
        <v>70000</v>
      </c>
      <c r="I54" s="62">
        <f t="shared" si="47"/>
        <v>70000</v>
      </c>
      <c r="J54" s="62">
        <f t="shared" si="47"/>
        <v>70000</v>
      </c>
      <c r="K54" s="62">
        <f t="shared" si="47"/>
        <v>70000</v>
      </c>
      <c r="L54" s="62">
        <f t="shared" si="47"/>
        <v>70000</v>
      </c>
      <c r="M54" s="62">
        <f t="shared" si="47"/>
        <v>70000</v>
      </c>
      <c r="N54" s="62">
        <f t="shared" si="47"/>
        <v>70000</v>
      </c>
      <c r="O54" s="62">
        <f t="shared" si="47"/>
        <v>70000</v>
      </c>
      <c r="P54" s="62">
        <f t="shared" si="47"/>
        <v>70000</v>
      </c>
      <c r="Q54" s="62">
        <f t="shared" si="47"/>
        <v>70000</v>
      </c>
      <c r="R54" s="62">
        <f t="shared" si="47"/>
        <v>70000</v>
      </c>
      <c r="S54" s="62">
        <f t="shared" si="47"/>
        <v>70000</v>
      </c>
      <c r="T54" s="62">
        <f t="shared" si="47"/>
        <v>70000</v>
      </c>
      <c r="U54" s="62">
        <f t="shared" si="47"/>
        <v>70000</v>
      </c>
      <c r="V54" s="62">
        <f t="shared" si="47"/>
        <v>70000</v>
      </c>
      <c r="W54" s="62">
        <f t="shared" si="47"/>
        <v>70000</v>
      </c>
      <c r="X54" s="62">
        <f t="shared" si="47"/>
        <v>70000</v>
      </c>
      <c r="Y54" s="62">
        <f t="shared" si="47"/>
        <v>70000</v>
      </c>
      <c r="Z54" s="62">
        <f t="shared" si="47"/>
        <v>70000</v>
      </c>
      <c r="AA54" s="62">
        <f t="shared" si="47"/>
        <v>70000</v>
      </c>
      <c r="AB54" s="62">
        <f t="shared" si="47"/>
        <v>70000</v>
      </c>
      <c r="AC54" s="62">
        <f t="shared" si="47"/>
        <v>70000</v>
      </c>
    </row>
    <row r="55" spans="1:29" x14ac:dyDescent="0.3">
      <c r="A55" s="30" t="str">
        <f>A37</f>
        <v>Opex maintenance &amp; repair</v>
      </c>
      <c r="B55" s="62">
        <f>B37</f>
        <v>20000</v>
      </c>
      <c r="C55" s="62">
        <f t="shared" ref="C55:AC55" si="48">C37</f>
        <v>20000</v>
      </c>
      <c r="D55" s="62">
        <f t="shared" si="48"/>
        <v>20000</v>
      </c>
      <c r="E55" s="62">
        <f t="shared" si="48"/>
        <v>20000</v>
      </c>
      <c r="F55" s="62">
        <f t="shared" si="48"/>
        <v>20000</v>
      </c>
      <c r="G55" s="62">
        <f t="shared" si="48"/>
        <v>20000</v>
      </c>
      <c r="H55" s="62">
        <f t="shared" si="48"/>
        <v>20000</v>
      </c>
      <c r="I55" s="62">
        <f t="shared" si="48"/>
        <v>20000</v>
      </c>
      <c r="J55" s="62">
        <f t="shared" si="48"/>
        <v>20000</v>
      </c>
      <c r="K55" s="62">
        <f t="shared" si="48"/>
        <v>20000</v>
      </c>
      <c r="L55" s="62">
        <f t="shared" si="48"/>
        <v>20000</v>
      </c>
      <c r="M55" s="62">
        <f t="shared" si="48"/>
        <v>20000</v>
      </c>
      <c r="N55" s="62">
        <f t="shared" si="48"/>
        <v>20000</v>
      </c>
      <c r="O55" s="62">
        <f t="shared" si="48"/>
        <v>20000</v>
      </c>
      <c r="P55" s="62">
        <f t="shared" si="48"/>
        <v>20000</v>
      </c>
      <c r="Q55" s="62">
        <f t="shared" si="48"/>
        <v>20000</v>
      </c>
      <c r="R55" s="62">
        <f t="shared" si="48"/>
        <v>20000</v>
      </c>
      <c r="S55" s="62">
        <f t="shared" si="48"/>
        <v>20000</v>
      </c>
      <c r="T55" s="62">
        <f t="shared" si="48"/>
        <v>20000</v>
      </c>
      <c r="U55" s="62">
        <f t="shared" si="48"/>
        <v>20000</v>
      </c>
      <c r="V55" s="62">
        <f t="shared" si="48"/>
        <v>20000</v>
      </c>
      <c r="W55" s="62">
        <f t="shared" si="48"/>
        <v>20000</v>
      </c>
      <c r="X55" s="62">
        <f t="shared" si="48"/>
        <v>20000</v>
      </c>
      <c r="Y55" s="62">
        <f t="shared" si="48"/>
        <v>20000</v>
      </c>
      <c r="Z55" s="62">
        <f t="shared" si="48"/>
        <v>20000</v>
      </c>
      <c r="AA55" s="62">
        <f t="shared" si="48"/>
        <v>20000</v>
      </c>
      <c r="AB55" s="62">
        <f t="shared" si="48"/>
        <v>20000</v>
      </c>
      <c r="AC55" s="62">
        <f t="shared" si="48"/>
        <v>20000</v>
      </c>
    </row>
    <row r="56" spans="1:29" x14ac:dyDescent="0.3">
      <c r="A56" s="30" t="str">
        <f>A38</f>
        <v>Opex var (mode-fees)</v>
      </c>
      <c r="B56" s="62">
        <f>B38*B47</f>
        <v>6050</v>
      </c>
      <c r="C56" s="62">
        <f t="shared" ref="C56:AC56" si="49">C38*C47</f>
        <v>6050</v>
      </c>
      <c r="D56" s="62">
        <f t="shared" si="49"/>
        <v>6050</v>
      </c>
      <c r="E56" s="62">
        <f t="shared" si="49"/>
        <v>6050</v>
      </c>
      <c r="F56" s="62">
        <f t="shared" si="49"/>
        <v>6050</v>
      </c>
      <c r="G56" s="62">
        <f t="shared" si="49"/>
        <v>6050</v>
      </c>
      <c r="H56" s="62">
        <f t="shared" si="49"/>
        <v>6050</v>
      </c>
      <c r="I56" s="62">
        <f t="shared" si="49"/>
        <v>6050</v>
      </c>
      <c r="J56" s="62">
        <f t="shared" si="49"/>
        <v>6050</v>
      </c>
      <c r="K56" s="62">
        <f t="shared" si="49"/>
        <v>6050</v>
      </c>
      <c r="L56" s="62">
        <f t="shared" si="49"/>
        <v>6050</v>
      </c>
      <c r="M56" s="62">
        <f t="shared" si="49"/>
        <v>6050</v>
      </c>
      <c r="N56" s="62">
        <f t="shared" si="49"/>
        <v>6050</v>
      </c>
      <c r="O56" s="62">
        <f t="shared" si="49"/>
        <v>6050</v>
      </c>
      <c r="P56" s="62">
        <f t="shared" si="49"/>
        <v>6050</v>
      </c>
      <c r="Q56" s="62">
        <f t="shared" si="49"/>
        <v>6050</v>
      </c>
      <c r="R56" s="62">
        <f t="shared" si="49"/>
        <v>6050</v>
      </c>
      <c r="S56" s="62">
        <f t="shared" si="49"/>
        <v>6050</v>
      </c>
      <c r="T56" s="62">
        <f t="shared" si="49"/>
        <v>6050</v>
      </c>
      <c r="U56" s="62">
        <f t="shared" si="49"/>
        <v>6050</v>
      </c>
      <c r="V56" s="62">
        <f t="shared" si="49"/>
        <v>6050</v>
      </c>
      <c r="W56" s="62">
        <f t="shared" si="49"/>
        <v>6050</v>
      </c>
      <c r="X56" s="62">
        <f t="shared" si="49"/>
        <v>6050</v>
      </c>
      <c r="Y56" s="62">
        <f t="shared" si="49"/>
        <v>6050</v>
      </c>
      <c r="Z56" s="62">
        <f t="shared" si="49"/>
        <v>6050</v>
      </c>
      <c r="AA56" s="62">
        <f t="shared" si="49"/>
        <v>6050</v>
      </c>
      <c r="AB56" s="62">
        <f t="shared" si="49"/>
        <v>6050</v>
      </c>
      <c r="AC56" s="62">
        <f t="shared" si="49"/>
        <v>6050</v>
      </c>
    </row>
    <row r="57" spans="1:29" x14ac:dyDescent="0.3">
      <c r="A57" s="30" t="str">
        <f>A40</f>
        <v>Fuel Cost</v>
      </c>
      <c r="B57" s="62">
        <f>B39*B40*B47</f>
        <v>15913.694119330803</v>
      </c>
      <c r="C57" s="62">
        <f t="shared" ref="C57:AC57" si="50">C39*C40*C47</f>
        <v>15898.149018478603</v>
      </c>
      <c r="D57" s="62">
        <f t="shared" si="50"/>
        <v>15876.077203686482</v>
      </c>
      <c r="E57" s="62">
        <f t="shared" si="50"/>
        <v>15844.880814443804</v>
      </c>
      <c r="F57" s="62">
        <f t="shared" si="50"/>
        <v>15801.081646776564</v>
      </c>
      <c r="G57" s="62">
        <f t="shared" si="50"/>
        <v>15740.18490412889</v>
      </c>
      <c r="H57" s="62">
        <f t="shared" si="50"/>
        <v>15656.697748110606</v>
      </c>
      <c r="I57" s="62">
        <f t="shared" si="50"/>
        <v>15544.499956543994</v>
      </c>
      <c r="J57" s="62">
        <f t="shared" si="50"/>
        <v>15397.835767947157</v>
      </c>
      <c r="K57" s="62">
        <f t="shared" si="50"/>
        <v>15213.137011874818</v>
      </c>
      <c r="L57" s="62">
        <f t="shared" si="50"/>
        <v>14991.503806366632</v>
      </c>
      <c r="M57" s="62">
        <f t="shared" si="50"/>
        <v>14740.886816723363</v>
      </c>
      <c r="N57" s="62">
        <f t="shared" si="50"/>
        <v>14476.311489012594</v>
      </c>
      <c r="O57" s="62">
        <f t="shared" si="50"/>
        <v>14216.942508876908</v>
      </c>
      <c r="P57" s="62">
        <f t="shared" si="50"/>
        <v>13980.833587523857</v>
      </c>
      <c r="Q57" s="62">
        <f t="shared" si="50"/>
        <v>13780.174626930737</v>
      </c>
      <c r="R57" s="62">
        <f t="shared" si="50"/>
        <v>13619.482735479451</v>
      </c>
      <c r="S57" s="62">
        <f t="shared" si="50"/>
        <v>13496.867690287025</v>
      </c>
      <c r="T57" s="62">
        <f t="shared" si="50"/>
        <v>13406.735798329753</v>
      </c>
      <c r="U57" s="62">
        <f t="shared" si="50"/>
        <v>13342.292799488132</v>
      </c>
      <c r="V57" s="62">
        <f t="shared" si="50"/>
        <v>13297.127774219702</v>
      </c>
      <c r="W57" s="62">
        <f t="shared" si="50"/>
        <v>13265.915965699809</v>
      </c>
      <c r="X57" s="62">
        <f t="shared" si="50"/>
        <v>13244.556169785572</v>
      </c>
      <c r="Y57" s="62">
        <f t="shared" si="50"/>
        <v>13230.036161551297</v>
      </c>
      <c r="Z57" s="62">
        <f t="shared" si="50"/>
        <v>13220.210633549174</v>
      </c>
      <c r="AA57" s="62">
        <f t="shared" si="50"/>
        <v>13213.582322100892</v>
      </c>
      <c r="AB57" s="62">
        <f t="shared" si="50"/>
        <v>13209.120175760563</v>
      </c>
      <c r="AC57" s="62">
        <f t="shared" si="50"/>
        <v>13206.120499590335</v>
      </c>
    </row>
    <row r="58" spans="1:29" ht="15" thickBot="1" x14ac:dyDescent="0.35">
      <c r="A58" s="59" t="str">
        <f>A21</f>
        <v>Emission Cost</v>
      </c>
      <c r="B58" s="62">
        <f>B41*B47</f>
        <v>4270.1517528086497</v>
      </c>
      <c r="C58" s="62">
        <f t="shared" ref="C58:AC58" si="51">C41*C47</f>
        <v>4277.8147029956071</v>
      </c>
      <c r="D58" s="62">
        <f t="shared" si="51"/>
        <v>4288.7840455097812</v>
      </c>
      <c r="E58" s="62">
        <f t="shared" si="51"/>
        <v>4304.4764613749576</v>
      </c>
      <c r="F58" s="62">
        <f t="shared" si="51"/>
        <v>4326.9043863497736</v>
      </c>
      <c r="G58" s="62">
        <f t="shared" si="51"/>
        <v>4358.9138821644156</v>
      </c>
      <c r="H58" s="62">
        <f t="shared" si="51"/>
        <v>4404.5032569933683</v>
      </c>
      <c r="I58" s="62">
        <f t="shared" si="51"/>
        <v>4469.2336339320773</v>
      </c>
      <c r="J58" s="62">
        <f t="shared" si="51"/>
        <v>4560.7238015428638</v>
      </c>
      <c r="K58" s="62">
        <f t="shared" si="51"/>
        <v>4689.1743462490558</v>
      </c>
      <c r="L58" s="62">
        <f t="shared" si="51"/>
        <v>4867.7672323823017</v>
      </c>
      <c r="M58" s="62">
        <f t="shared" si="51"/>
        <v>5112.6113980978234</v>
      </c>
      <c r="N58" s="62">
        <f t="shared" si="51"/>
        <v>5441.6557203793927</v>
      </c>
      <c r="O58" s="62">
        <f t="shared" si="51"/>
        <v>5871.7802162895414</v>
      </c>
      <c r="P58" s="62">
        <f t="shared" si="51"/>
        <v>6413.4493184125404</v>
      </c>
      <c r="Q58" s="62">
        <f t="shared" si="51"/>
        <v>7063.4366923461293</v>
      </c>
      <c r="R58" s="62">
        <f t="shared" si="51"/>
        <v>7798.4252902318203</v>
      </c>
      <c r="S58" s="62">
        <f t="shared" si="51"/>
        <v>8574.3497374374056</v>
      </c>
      <c r="T58" s="62">
        <f t="shared" si="51"/>
        <v>9335.0054428479561</v>
      </c>
      <c r="U58" s="62">
        <f t="shared" si="51"/>
        <v>10027.445988481335</v>
      </c>
      <c r="V58" s="62">
        <f t="shared" si="51"/>
        <v>10615.921846839796</v>
      </c>
      <c r="W58" s="62">
        <f t="shared" si="51"/>
        <v>11087.185619329821</v>
      </c>
      <c r="X58" s="62">
        <f t="shared" si="51"/>
        <v>11446.78079391854</v>
      </c>
      <c r="Y58" s="62">
        <f t="shared" si="51"/>
        <v>11711.112086815941</v>
      </c>
      <c r="Z58" s="62">
        <f t="shared" si="51"/>
        <v>11900.105137245491</v>
      </c>
      <c r="AA58" s="62">
        <f t="shared" si="51"/>
        <v>12032.561355168968</v>
      </c>
      <c r="AB58" s="62">
        <f t="shared" si="51"/>
        <v>12124.096743149508</v>
      </c>
      <c r="AC58" s="62">
        <f t="shared" si="51"/>
        <v>12186.738970527935</v>
      </c>
    </row>
    <row r="59" spans="1:29" ht="15" thickBot="1" x14ac:dyDescent="0.35">
      <c r="A59" s="31" t="s">
        <v>209</v>
      </c>
      <c r="B59" s="64">
        <f>B50+B51+B52+B53+B54+B55+B56+B57+B58</f>
        <v>133031.85945961019</v>
      </c>
      <c r="C59" s="64">
        <f t="shared" ref="C59:AC59" si="52">C50+C51+C52+C53+C54+C55+C56+C57+C58</f>
        <v>133041.27297418736</v>
      </c>
      <c r="D59" s="64">
        <f t="shared" si="52"/>
        <v>133054.72786718907</v>
      </c>
      <c r="E59" s="64">
        <f t="shared" si="52"/>
        <v>133073.93336982225</v>
      </c>
      <c r="F59" s="64">
        <f t="shared" si="52"/>
        <v>133101.29360523797</v>
      </c>
      <c r="G59" s="64">
        <f t="shared" si="52"/>
        <v>133140.16080304963</v>
      </c>
      <c r="H59" s="64">
        <f t="shared" si="52"/>
        <v>133195.15183076935</v>
      </c>
      <c r="I59" s="64">
        <f t="shared" si="52"/>
        <v>133272.51702175286</v>
      </c>
      <c r="J59" s="64">
        <f t="shared" si="52"/>
        <v>133380.52333218677</v>
      </c>
      <c r="K59" s="64">
        <f t="shared" si="52"/>
        <v>133529.77316718822</v>
      </c>
      <c r="L59" s="64">
        <f t="shared" si="52"/>
        <v>133733.32460463204</v>
      </c>
      <c r="M59" s="64">
        <f t="shared" si="52"/>
        <v>134006.39124261192</v>
      </c>
      <c r="N59" s="64">
        <f t="shared" si="52"/>
        <v>134365.22991306905</v>
      </c>
      <c r="O59" s="64">
        <f t="shared" si="52"/>
        <v>134824.56246011148</v>
      </c>
      <c r="P59" s="64">
        <f t="shared" si="52"/>
        <v>135392.82025238569</v>
      </c>
      <c r="Q59" s="64">
        <f t="shared" si="52"/>
        <v>136065.40422664551</v>
      </c>
      <c r="R59" s="64">
        <f t="shared" si="52"/>
        <v>136818.48865457068</v>
      </c>
      <c r="S59" s="64">
        <f t="shared" si="52"/>
        <v>137608.22102324665</v>
      </c>
      <c r="T59" s="64">
        <f t="shared" si="52"/>
        <v>138379.02665833483</v>
      </c>
      <c r="U59" s="64">
        <f t="shared" si="52"/>
        <v>139078.72425685209</v>
      </c>
      <c r="V59" s="64">
        <f t="shared" si="52"/>
        <v>139672.28623756309</v>
      </c>
      <c r="W59" s="64">
        <f t="shared" si="52"/>
        <v>140147.06483321625</v>
      </c>
      <c r="X59" s="64">
        <f t="shared" si="52"/>
        <v>140509.06537644588</v>
      </c>
      <c r="Y59" s="64">
        <f t="shared" si="52"/>
        <v>140775.03179603702</v>
      </c>
      <c r="Z59" s="64">
        <f t="shared" si="52"/>
        <v>140965.1313185055</v>
      </c>
      <c r="AA59" s="64">
        <f t="shared" si="52"/>
        <v>141098.33396362161</v>
      </c>
      <c r="AB59" s="64">
        <f t="shared" si="52"/>
        <v>141190.37184268032</v>
      </c>
      <c r="AC59" s="64">
        <f t="shared" si="52"/>
        <v>141253.35186949378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70" si="53">A50</f>
        <v>Capex vehicle</v>
      </c>
      <c r="B62" s="65">
        <f>((1+B35)^B42)*B35/(((1+B35)^B42)-1)*(B31)/B47</f>
        <v>0.3078188030202948</v>
      </c>
      <c r="C62" s="65">
        <f t="shared" ref="C62:AC62" si="54">((1+C35)^C42)*C35/(((1+C35)^C42)-1)*(C31)/C47</f>
        <v>0.3079843117785952</v>
      </c>
      <c r="D62" s="65">
        <f t="shared" si="54"/>
        <v>0.30821931048940537</v>
      </c>
      <c r="E62" s="65">
        <f t="shared" si="54"/>
        <v>0.30855145858520133</v>
      </c>
      <c r="F62" s="65">
        <f t="shared" si="54"/>
        <v>0.30901778851925071</v>
      </c>
      <c r="G62" s="65">
        <f t="shared" si="54"/>
        <v>0.30966615641058742</v>
      </c>
      <c r="H62" s="65">
        <f t="shared" si="54"/>
        <v>0.31055504453411908</v>
      </c>
      <c r="I62" s="65">
        <f t="shared" si="54"/>
        <v>0.31174961492274506</v>
      </c>
      <c r="J62" s="65">
        <f t="shared" si="54"/>
        <v>0.31331114919470632</v>
      </c>
      <c r="K62" s="65">
        <f t="shared" si="54"/>
        <v>0.31527763767669287</v>
      </c>
      <c r="L62" s="65">
        <f t="shared" si="54"/>
        <v>0.31763736740701598</v>
      </c>
      <c r="M62" s="65">
        <f t="shared" si="54"/>
        <v>0.32030568761665829</v>
      </c>
      <c r="N62" s="65">
        <f t="shared" si="54"/>
        <v>0.32312262231413535</v>
      </c>
      <c r="O62" s="65">
        <f t="shared" si="54"/>
        <v>0.32588412500569475</v>
      </c>
      <c r="P62" s="65">
        <f t="shared" si="54"/>
        <v>0.32839797774736224</v>
      </c>
      <c r="Q62" s="65">
        <f t="shared" si="54"/>
        <v>0.33053439459826517</v>
      </c>
      <c r="R62" s="65">
        <f t="shared" si="54"/>
        <v>0.33224528188525815</v>
      </c>
      <c r="S62" s="65">
        <f t="shared" si="54"/>
        <v>0.33355076481983037</v>
      </c>
      <c r="T62" s="65">
        <f t="shared" si="54"/>
        <v>0.3345103994766237</v>
      </c>
      <c r="U62" s="65">
        <f t="shared" si="54"/>
        <v>0.33519652437351838</v>
      </c>
      <c r="V62" s="65">
        <f t="shared" si="54"/>
        <v>0.33567739659955664</v>
      </c>
      <c r="W62" s="65">
        <f t="shared" si="54"/>
        <v>0.33600970886446596</v>
      </c>
      <c r="X62" s="65">
        <f t="shared" si="54"/>
        <v>0.33623712670709871</v>
      </c>
      <c r="Y62" s="65">
        <f t="shared" si="54"/>
        <v>0.33639172129971134</v>
      </c>
      <c r="Z62" s="65">
        <f t="shared" si="54"/>
        <v>0.33649633374029564</v>
      </c>
      <c r="AA62" s="65">
        <f t="shared" si="54"/>
        <v>0.33656690540193129</v>
      </c>
      <c r="AB62" s="65">
        <f t="shared" si="54"/>
        <v>0.33661441389397423</v>
      </c>
      <c r="AC62" s="65">
        <f t="shared" si="54"/>
        <v>0.33664635145957489</v>
      </c>
    </row>
    <row r="63" spans="1:29" x14ac:dyDescent="0.3">
      <c r="A63" s="30" t="str">
        <f t="shared" si="53"/>
        <v>Residual value (vehicle)</v>
      </c>
      <c r="B63" s="66">
        <f>((1+B35)^B42)*B35/(((1+B35)^B42)-1)*(B32)/B47</f>
        <v>-7.6510169550126919E-2</v>
      </c>
      <c r="C63" s="66">
        <f t="shared" ref="C63:AC63" si="55">((1+C35)^C42)*C35/(((1+C35)^C42)-1)*(C32)/C47</f>
        <v>-7.6361211667656512E-2</v>
      </c>
      <c r="D63" s="66">
        <f t="shared" si="55"/>
        <v>-7.6149712827927346E-2</v>
      </c>
      <c r="E63" s="66">
        <f t="shared" si="55"/>
        <v>-7.585077954171103E-2</v>
      </c>
      <c r="F63" s="66">
        <f t="shared" si="55"/>
        <v>-7.5431082601066568E-2</v>
      </c>
      <c r="G63" s="66">
        <f t="shared" si="55"/>
        <v>-7.4847551498863504E-2</v>
      </c>
      <c r="H63" s="66">
        <f t="shared" si="55"/>
        <v>-7.4047552187685037E-2</v>
      </c>
      <c r="I63" s="66">
        <f t="shared" si="55"/>
        <v>-7.2972438837921649E-2</v>
      </c>
      <c r="J63" s="66">
        <f t="shared" si="55"/>
        <v>-7.1567057993156505E-2</v>
      </c>
      <c r="K63" s="66">
        <f t="shared" si="55"/>
        <v>-6.9797218359368654E-2</v>
      </c>
      <c r="L63" s="66">
        <f t="shared" si="55"/>
        <v>-6.767346160207785E-2</v>
      </c>
      <c r="M63" s="66">
        <f t="shared" si="55"/>
        <v>-6.5271973413399742E-2</v>
      </c>
      <c r="N63" s="66">
        <f t="shared" si="55"/>
        <v>-6.2736732185670371E-2</v>
      </c>
      <c r="O63" s="66">
        <f t="shared" si="55"/>
        <v>-6.0251379763266992E-2</v>
      </c>
      <c r="P63" s="66">
        <f t="shared" si="55"/>
        <v>-5.7988912295766221E-2</v>
      </c>
      <c r="Q63" s="66">
        <f t="shared" si="55"/>
        <v>-5.6066137129953578E-2</v>
      </c>
      <c r="R63" s="66">
        <f t="shared" si="55"/>
        <v>-5.4526338571659894E-2</v>
      </c>
      <c r="S63" s="66">
        <f t="shared" si="55"/>
        <v>-5.3351403930544876E-2</v>
      </c>
      <c r="T63" s="66">
        <f t="shared" si="55"/>
        <v>-5.2487732739430901E-2</v>
      </c>
      <c r="U63" s="66">
        <f t="shared" si="55"/>
        <v>-5.1870220332225644E-2</v>
      </c>
      <c r="V63" s="66">
        <f t="shared" si="55"/>
        <v>-5.1437435328791248E-2</v>
      </c>
      <c r="W63" s="66">
        <f t="shared" si="55"/>
        <v>-5.1138354290372848E-2</v>
      </c>
      <c r="X63" s="66">
        <f t="shared" si="55"/>
        <v>-5.0933678232003336E-2</v>
      </c>
      <c r="Y63" s="66">
        <f t="shared" si="55"/>
        <v>-5.0794543098652022E-2</v>
      </c>
      <c r="Z63" s="66">
        <f t="shared" si="55"/>
        <v>-5.0700391902126163E-2</v>
      </c>
      <c r="AA63" s="66">
        <f t="shared" si="55"/>
        <v>-5.0636877406654054E-2</v>
      </c>
      <c r="AB63" s="66">
        <f t="shared" si="55"/>
        <v>-5.0594119763815448E-2</v>
      </c>
      <c r="AC63" s="66">
        <f t="shared" si="55"/>
        <v>-5.0565375954774762E-2</v>
      </c>
    </row>
    <row r="64" spans="1:29" x14ac:dyDescent="0.3">
      <c r="A64" s="30" t="str">
        <f t="shared" si="53"/>
        <v>Capex costumization</v>
      </c>
      <c r="B64" s="66">
        <f>((1+B35)^B43)*B35/(((1+B35)^B43)-1)*(B33)/B47</f>
        <v>9.8813060523915433E-2</v>
      </c>
      <c r="C64" s="66">
        <f t="shared" ref="C64:AC64" si="56">((1+C35)^C43)*C35/(((1+C35)^C43)-1)*(C33)/C47</f>
        <v>9.8813060523915433E-2</v>
      </c>
      <c r="D64" s="66">
        <f t="shared" si="56"/>
        <v>9.8813060523915433E-2</v>
      </c>
      <c r="E64" s="66">
        <f t="shared" si="56"/>
        <v>9.8813060523915433E-2</v>
      </c>
      <c r="F64" s="66">
        <f t="shared" si="56"/>
        <v>9.8813060523915433E-2</v>
      </c>
      <c r="G64" s="66">
        <f t="shared" si="56"/>
        <v>9.8813060523915433E-2</v>
      </c>
      <c r="H64" s="66">
        <f t="shared" si="56"/>
        <v>9.8813060523915433E-2</v>
      </c>
      <c r="I64" s="66">
        <f t="shared" si="56"/>
        <v>9.8813060523915433E-2</v>
      </c>
      <c r="J64" s="66">
        <f t="shared" si="56"/>
        <v>9.8813060523915433E-2</v>
      </c>
      <c r="K64" s="66">
        <f t="shared" si="56"/>
        <v>9.8813060523915433E-2</v>
      </c>
      <c r="L64" s="66">
        <f t="shared" si="56"/>
        <v>9.8813060523915433E-2</v>
      </c>
      <c r="M64" s="66">
        <f t="shared" si="56"/>
        <v>9.8813060523915433E-2</v>
      </c>
      <c r="N64" s="66">
        <f t="shared" si="56"/>
        <v>9.8813060523915433E-2</v>
      </c>
      <c r="O64" s="66">
        <f t="shared" si="56"/>
        <v>9.8813060523915433E-2</v>
      </c>
      <c r="P64" s="66">
        <f t="shared" si="56"/>
        <v>9.8813060523915433E-2</v>
      </c>
      <c r="Q64" s="66">
        <f t="shared" si="56"/>
        <v>9.8813060523915433E-2</v>
      </c>
      <c r="R64" s="66">
        <f t="shared" si="56"/>
        <v>9.8813060523915433E-2</v>
      </c>
      <c r="S64" s="66">
        <f t="shared" si="56"/>
        <v>9.8813060523915433E-2</v>
      </c>
      <c r="T64" s="66">
        <f t="shared" si="56"/>
        <v>9.8813060523915433E-2</v>
      </c>
      <c r="U64" s="66">
        <f t="shared" si="56"/>
        <v>9.8813060523915433E-2</v>
      </c>
      <c r="V64" s="66">
        <f t="shared" si="56"/>
        <v>9.8813060523915433E-2</v>
      </c>
      <c r="W64" s="66">
        <f t="shared" si="56"/>
        <v>9.8813060523915433E-2</v>
      </c>
      <c r="X64" s="66">
        <f t="shared" si="56"/>
        <v>9.8813060523915433E-2</v>
      </c>
      <c r="Y64" s="66">
        <f t="shared" si="56"/>
        <v>9.8813060523915433E-2</v>
      </c>
      <c r="Z64" s="66">
        <f t="shared" si="56"/>
        <v>9.8813060523915433E-2</v>
      </c>
      <c r="AA64" s="66">
        <f t="shared" si="56"/>
        <v>9.8813060523915433E-2</v>
      </c>
      <c r="AB64" s="66">
        <f t="shared" si="56"/>
        <v>9.8813060523915433E-2</v>
      </c>
      <c r="AC64" s="66">
        <f t="shared" si="56"/>
        <v>9.8813060523915433E-2</v>
      </c>
    </row>
    <row r="65" spans="1:29" x14ac:dyDescent="0.3">
      <c r="A65" s="30" t="str">
        <f t="shared" si="53"/>
        <v>Residual value (costumization)</v>
      </c>
      <c r="B65" s="66">
        <f>((1+B35)^B43)*B35/(((1+B35)^B43)-1)*(B34)/B47</f>
        <v>-2.4703265130978858E-2</v>
      </c>
      <c r="C65" s="66">
        <f t="shared" ref="C65:AC65" si="57">((1+C35)^C43)*C35/(((1+C35)^C43)-1)*(C34)/C47</f>
        <v>-2.4703265130978858E-2</v>
      </c>
      <c r="D65" s="66">
        <f t="shared" si="57"/>
        <v>-2.4703265130978858E-2</v>
      </c>
      <c r="E65" s="66">
        <f t="shared" si="57"/>
        <v>-2.4703265130978858E-2</v>
      </c>
      <c r="F65" s="66">
        <f t="shared" si="57"/>
        <v>-2.4703265130978858E-2</v>
      </c>
      <c r="G65" s="66">
        <f t="shared" si="57"/>
        <v>-2.4703265130978858E-2</v>
      </c>
      <c r="H65" s="66">
        <f t="shared" si="57"/>
        <v>-2.4703265130978858E-2</v>
      </c>
      <c r="I65" s="66">
        <f t="shared" si="57"/>
        <v>-2.4703265130978858E-2</v>
      </c>
      <c r="J65" s="66">
        <f t="shared" si="57"/>
        <v>-2.4703265130978858E-2</v>
      </c>
      <c r="K65" s="66">
        <f t="shared" si="57"/>
        <v>-2.4703265130978858E-2</v>
      </c>
      <c r="L65" s="66">
        <f t="shared" si="57"/>
        <v>-2.4703265130978858E-2</v>
      </c>
      <c r="M65" s="66">
        <f t="shared" si="57"/>
        <v>-2.4703265130978858E-2</v>
      </c>
      <c r="N65" s="66">
        <f t="shared" si="57"/>
        <v>-2.4703265130978858E-2</v>
      </c>
      <c r="O65" s="66">
        <f t="shared" si="57"/>
        <v>-2.4703265130978858E-2</v>
      </c>
      <c r="P65" s="66">
        <f t="shared" si="57"/>
        <v>-2.4703265130978858E-2</v>
      </c>
      <c r="Q65" s="66">
        <f t="shared" si="57"/>
        <v>-2.4703265130978858E-2</v>
      </c>
      <c r="R65" s="66">
        <f t="shared" si="57"/>
        <v>-2.4703265130978858E-2</v>
      </c>
      <c r="S65" s="66">
        <f t="shared" si="57"/>
        <v>-2.4703265130978858E-2</v>
      </c>
      <c r="T65" s="66">
        <f t="shared" si="57"/>
        <v>-2.4703265130978858E-2</v>
      </c>
      <c r="U65" s="66">
        <f t="shared" si="57"/>
        <v>-2.4703265130978858E-2</v>
      </c>
      <c r="V65" s="66">
        <f t="shared" si="57"/>
        <v>-2.4703265130978858E-2</v>
      </c>
      <c r="W65" s="66">
        <f t="shared" si="57"/>
        <v>-2.4703265130978858E-2</v>
      </c>
      <c r="X65" s="66">
        <f t="shared" si="57"/>
        <v>-2.4703265130978858E-2</v>
      </c>
      <c r="Y65" s="66">
        <f t="shared" si="57"/>
        <v>-2.4703265130978858E-2</v>
      </c>
      <c r="Z65" s="66">
        <f t="shared" si="57"/>
        <v>-2.4703265130978858E-2</v>
      </c>
      <c r="AA65" s="66">
        <f t="shared" si="57"/>
        <v>-2.4703265130978858E-2</v>
      </c>
      <c r="AB65" s="66">
        <f t="shared" si="57"/>
        <v>-2.4703265130978858E-2</v>
      </c>
      <c r="AC65" s="66">
        <f t="shared" si="57"/>
        <v>-2.4703265130978858E-2</v>
      </c>
    </row>
    <row r="66" spans="1:29" x14ac:dyDescent="0.3">
      <c r="A66" s="30" t="str">
        <f t="shared" si="53"/>
        <v>Opex fix (admin, crew, insurance)</v>
      </c>
      <c r="B66" s="66">
        <f>B36/B47</f>
        <v>1.2727272727272727</v>
      </c>
      <c r="C66" s="66">
        <f t="shared" ref="C66:AC66" si="58">C36/C47</f>
        <v>1.2727272727272727</v>
      </c>
      <c r="D66" s="66">
        <f t="shared" si="58"/>
        <v>1.2727272727272727</v>
      </c>
      <c r="E66" s="66">
        <f t="shared" si="58"/>
        <v>1.2727272727272727</v>
      </c>
      <c r="F66" s="66">
        <f t="shared" si="58"/>
        <v>1.2727272727272727</v>
      </c>
      <c r="G66" s="66">
        <f t="shared" si="58"/>
        <v>1.2727272727272727</v>
      </c>
      <c r="H66" s="66">
        <f t="shared" si="58"/>
        <v>1.2727272727272727</v>
      </c>
      <c r="I66" s="66">
        <f t="shared" si="58"/>
        <v>1.2727272727272727</v>
      </c>
      <c r="J66" s="66">
        <f t="shared" si="58"/>
        <v>1.2727272727272727</v>
      </c>
      <c r="K66" s="66">
        <f t="shared" si="58"/>
        <v>1.2727272727272727</v>
      </c>
      <c r="L66" s="66">
        <f t="shared" si="58"/>
        <v>1.2727272727272727</v>
      </c>
      <c r="M66" s="66">
        <f t="shared" si="58"/>
        <v>1.2727272727272727</v>
      </c>
      <c r="N66" s="66">
        <f t="shared" si="58"/>
        <v>1.2727272727272727</v>
      </c>
      <c r="O66" s="66">
        <f t="shared" si="58"/>
        <v>1.2727272727272727</v>
      </c>
      <c r="P66" s="66">
        <f t="shared" si="58"/>
        <v>1.2727272727272727</v>
      </c>
      <c r="Q66" s="66">
        <f t="shared" si="58"/>
        <v>1.2727272727272727</v>
      </c>
      <c r="R66" s="66">
        <f t="shared" si="58"/>
        <v>1.2727272727272727</v>
      </c>
      <c r="S66" s="66">
        <f t="shared" si="58"/>
        <v>1.2727272727272727</v>
      </c>
      <c r="T66" s="66">
        <f t="shared" si="58"/>
        <v>1.2727272727272727</v>
      </c>
      <c r="U66" s="66">
        <f t="shared" si="58"/>
        <v>1.2727272727272727</v>
      </c>
      <c r="V66" s="66">
        <f t="shared" si="58"/>
        <v>1.2727272727272727</v>
      </c>
      <c r="W66" s="66">
        <f t="shared" si="58"/>
        <v>1.2727272727272727</v>
      </c>
      <c r="X66" s="66">
        <f t="shared" si="58"/>
        <v>1.2727272727272727</v>
      </c>
      <c r="Y66" s="66">
        <f t="shared" si="58"/>
        <v>1.2727272727272727</v>
      </c>
      <c r="Z66" s="66">
        <f t="shared" si="58"/>
        <v>1.2727272727272727</v>
      </c>
      <c r="AA66" s="66">
        <f t="shared" si="58"/>
        <v>1.2727272727272727</v>
      </c>
      <c r="AB66" s="66">
        <f t="shared" si="58"/>
        <v>1.2727272727272727</v>
      </c>
      <c r="AC66" s="66">
        <f t="shared" si="58"/>
        <v>1.2727272727272727</v>
      </c>
    </row>
    <row r="67" spans="1:29" x14ac:dyDescent="0.3">
      <c r="A67" s="30" t="str">
        <f t="shared" si="53"/>
        <v>Opex maintenance &amp; repair</v>
      </c>
      <c r="B67" s="66">
        <f>B37/B47</f>
        <v>0.36363636363636365</v>
      </c>
      <c r="C67" s="66">
        <f t="shared" ref="C67:AC67" si="59">C37/C47</f>
        <v>0.36363636363636365</v>
      </c>
      <c r="D67" s="66">
        <f t="shared" si="59"/>
        <v>0.36363636363636365</v>
      </c>
      <c r="E67" s="66">
        <f t="shared" si="59"/>
        <v>0.36363636363636365</v>
      </c>
      <c r="F67" s="66">
        <f t="shared" si="59"/>
        <v>0.36363636363636365</v>
      </c>
      <c r="G67" s="66">
        <f t="shared" si="59"/>
        <v>0.36363636363636365</v>
      </c>
      <c r="H67" s="66">
        <f t="shared" si="59"/>
        <v>0.36363636363636365</v>
      </c>
      <c r="I67" s="66">
        <f t="shared" si="59"/>
        <v>0.36363636363636365</v>
      </c>
      <c r="J67" s="66">
        <f t="shared" si="59"/>
        <v>0.36363636363636365</v>
      </c>
      <c r="K67" s="66">
        <f t="shared" si="59"/>
        <v>0.36363636363636365</v>
      </c>
      <c r="L67" s="66">
        <f t="shared" si="59"/>
        <v>0.36363636363636365</v>
      </c>
      <c r="M67" s="66">
        <f t="shared" si="59"/>
        <v>0.36363636363636365</v>
      </c>
      <c r="N67" s="66">
        <f t="shared" si="59"/>
        <v>0.36363636363636365</v>
      </c>
      <c r="O67" s="66">
        <f t="shared" si="59"/>
        <v>0.36363636363636365</v>
      </c>
      <c r="P67" s="66">
        <f t="shared" si="59"/>
        <v>0.36363636363636365</v>
      </c>
      <c r="Q67" s="66">
        <f t="shared" si="59"/>
        <v>0.36363636363636365</v>
      </c>
      <c r="R67" s="66">
        <f t="shared" si="59"/>
        <v>0.36363636363636365</v>
      </c>
      <c r="S67" s="66">
        <f t="shared" si="59"/>
        <v>0.36363636363636365</v>
      </c>
      <c r="T67" s="66">
        <f t="shared" si="59"/>
        <v>0.36363636363636365</v>
      </c>
      <c r="U67" s="66">
        <f t="shared" si="59"/>
        <v>0.36363636363636365</v>
      </c>
      <c r="V67" s="66">
        <f t="shared" si="59"/>
        <v>0.36363636363636365</v>
      </c>
      <c r="W67" s="66">
        <f t="shared" si="59"/>
        <v>0.36363636363636365</v>
      </c>
      <c r="X67" s="66">
        <f t="shared" si="59"/>
        <v>0.36363636363636365</v>
      </c>
      <c r="Y67" s="66">
        <f t="shared" si="59"/>
        <v>0.36363636363636365</v>
      </c>
      <c r="Z67" s="66">
        <f t="shared" si="59"/>
        <v>0.36363636363636365</v>
      </c>
      <c r="AA67" s="66">
        <f t="shared" si="59"/>
        <v>0.36363636363636365</v>
      </c>
      <c r="AB67" s="66">
        <f t="shared" si="59"/>
        <v>0.36363636363636365</v>
      </c>
      <c r="AC67" s="66">
        <f t="shared" si="59"/>
        <v>0.36363636363636365</v>
      </c>
    </row>
    <row r="68" spans="1:29" x14ac:dyDescent="0.3">
      <c r="A68" s="30" t="str">
        <f t="shared" si="53"/>
        <v>Opex var (mode-fees)</v>
      </c>
      <c r="B68" s="66">
        <f>B38*B47/B47</f>
        <v>0.11</v>
      </c>
      <c r="C68" s="66">
        <f t="shared" ref="C68:AC68" si="60">C38*C47/C47</f>
        <v>0.11</v>
      </c>
      <c r="D68" s="66">
        <f t="shared" si="60"/>
        <v>0.11</v>
      </c>
      <c r="E68" s="66">
        <f t="shared" si="60"/>
        <v>0.11</v>
      </c>
      <c r="F68" s="66">
        <f t="shared" si="60"/>
        <v>0.11</v>
      </c>
      <c r="G68" s="66">
        <f t="shared" si="60"/>
        <v>0.11</v>
      </c>
      <c r="H68" s="66">
        <f t="shared" si="60"/>
        <v>0.11</v>
      </c>
      <c r="I68" s="66">
        <f t="shared" si="60"/>
        <v>0.11</v>
      </c>
      <c r="J68" s="66">
        <f t="shared" si="60"/>
        <v>0.11</v>
      </c>
      <c r="K68" s="66">
        <f t="shared" si="60"/>
        <v>0.11</v>
      </c>
      <c r="L68" s="66">
        <f t="shared" si="60"/>
        <v>0.11</v>
      </c>
      <c r="M68" s="66">
        <f t="shared" si="60"/>
        <v>0.11</v>
      </c>
      <c r="N68" s="66">
        <f t="shared" si="60"/>
        <v>0.11</v>
      </c>
      <c r="O68" s="66">
        <f t="shared" si="60"/>
        <v>0.11</v>
      </c>
      <c r="P68" s="66">
        <f t="shared" si="60"/>
        <v>0.11</v>
      </c>
      <c r="Q68" s="66">
        <f t="shared" si="60"/>
        <v>0.11</v>
      </c>
      <c r="R68" s="66">
        <f t="shared" si="60"/>
        <v>0.11</v>
      </c>
      <c r="S68" s="66">
        <f t="shared" si="60"/>
        <v>0.11</v>
      </c>
      <c r="T68" s="66">
        <f t="shared" si="60"/>
        <v>0.11</v>
      </c>
      <c r="U68" s="66">
        <f t="shared" si="60"/>
        <v>0.11</v>
      </c>
      <c r="V68" s="66">
        <f t="shared" si="60"/>
        <v>0.11</v>
      </c>
      <c r="W68" s="66">
        <f t="shared" si="60"/>
        <v>0.11</v>
      </c>
      <c r="X68" s="66">
        <f t="shared" si="60"/>
        <v>0.11</v>
      </c>
      <c r="Y68" s="66">
        <f t="shared" si="60"/>
        <v>0.11</v>
      </c>
      <c r="Z68" s="66">
        <f t="shared" si="60"/>
        <v>0.11</v>
      </c>
      <c r="AA68" s="66">
        <f t="shared" si="60"/>
        <v>0.11</v>
      </c>
      <c r="AB68" s="66">
        <f t="shared" si="60"/>
        <v>0.11</v>
      </c>
      <c r="AC68" s="66">
        <f t="shared" si="60"/>
        <v>0.11</v>
      </c>
    </row>
    <row r="69" spans="1:29" x14ac:dyDescent="0.3">
      <c r="A69" s="30" t="str">
        <f t="shared" si="53"/>
        <v>Fuel Cost</v>
      </c>
      <c r="B69" s="66">
        <f>B39*B40*B47/B47</f>
        <v>0.28933989307874186</v>
      </c>
      <c r="C69" s="66">
        <f t="shared" ref="C69:AC69" si="61">C39*C40*C47/C47</f>
        <v>0.28905725488142914</v>
      </c>
      <c r="D69" s="66">
        <f t="shared" si="61"/>
        <v>0.28865594915793602</v>
      </c>
      <c r="E69" s="66">
        <f t="shared" si="61"/>
        <v>0.28808874208079643</v>
      </c>
      <c r="F69" s="66">
        <f t="shared" si="61"/>
        <v>0.28729239357775571</v>
      </c>
      <c r="G69" s="66">
        <f t="shared" si="61"/>
        <v>0.28618518007507071</v>
      </c>
      <c r="H69" s="66">
        <f t="shared" si="61"/>
        <v>0.28466723178382919</v>
      </c>
      <c r="I69" s="66">
        <f t="shared" si="61"/>
        <v>0.28262727193716353</v>
      </c>
      <c r="J69" s="66">
        <f t="shared" si="61"/>
        <v>0.27996065032631196</v>
      </c>
      <c r="K69" s="66">
        <f t="shared" si="61"/>
        <v>0.27660249112499669</v>
      </c>
      <c r="L69" s="66">
        <f t="shared" si="61"/>
        <v>0.27257279647939331</v>
      </c>
      <c r="M69" s="66">
        <f t="shared" si="61"/>
        <v>0.26801612394042479</v>
      </c>
      <c r="N69" s="66">
        <f t="shared" si="61"/>
        <v>0.26320566343659263</v>
      </c>
      <c r="O69" s="66">
        <f t="shared" si="61"/>
        <v>0.25848986379776195</v>
      </c>
      <c r="P69" s="66">
        <f t="shared" si="61"/>
        <v>0.2541969743186156</v>
      </c>
      <c r="Q69" s="66">
        <f t="shared" si="61"/>
        <v>0.25054862958055885</v>
      </c>
      <c r="R69" s="66">
        <f t="shared" si="61"/>
        <v>0.24762695882689911</v>
      </c>
      <c r="S69" s="66">
        <f t="shared" si="61"/>
        <v>0.245397594368855</v>
      </c>
      <c r="T69" s="66">
        <f t="shared" si="61"/>
        <v>0.2437588326969046</v>
      </c>
      <c r="U69" s="66">
        <f t="shared" si="61"/>
        <v>0.24258714180887514</v>
      </c>
      <c r="V69" s="66">
        <f t="shared" si="61"/>
        <v>0.24176595953126731</v>
      </c>
      <c r="W69" s="66">
        <f t="shared" si="61"/>
        <v>0.2411984721036329</v>
      </c>
      <c r="X69" s="66">
        <f t="shared" si="61"/>
        <v>0.24081011217791948</v>
      </c>
      <c r="Y69" s="66">
        <f t="shared" si="61"/>
        <v>0.24054611202820542</v>
      </c>
      <c r="Z69" s="66">
        <f t="shared" si="61"/>
        <v>0.24036746606453044</v>
      </c>
      <c r="AA69" s="66">
        <f t="shared" si="61"/>
        <v>0.24024695131092533</v>
      </c>
      <c r="AB69" s="66">
        <f t="shared" si="61"/>
        <v>0.24016582137746478</v>
      </c>
      <c r="AC69" s="66">
        <f t="shared" si="61"/>
        <v>0.24011128181073338</v>
      </c>
    </row>
    <row r="70" spans="1:29" ht="15" thickBot="1" x14ac:dyDescent="0.35">
      <c r="A70" s="59" t="str">
        <f t="shared" si="53"/>
        <v>Emission Cost</v>
      </c>
      <c r="B70" s="66">
        <f>B41</f>
        <v>7.7639122778339092E-2</v>
      </c>
      <c r="C70" s="66">
        <f t="shared" ref="C70:AC70" si="62">C41</f>
        <v>7.777844914537467E-2</v>
      </c>
      <c r="D70" s="66">
        <f t="shared" si="62"/>
        <v>7.7977891736541474E-2</v>
      </c>
      <c r="E70" s="66">
        <f t="shared" si="62"/>
        <v>7.8263208388635597E-2</v>
      </c>
      <c r="F70" s="66">
        <f t="shared" si="62"/>
        <v>7.8670988842723152E-2</v>
      </c>
      <c r="G70" s="66">
        <f t="shared" si="62"/>
        <v>7.925297967571665E-2</v>
      </c>
      <c r="H70" s="66">
        <f t="shared" si="62"/>
        <v>8.0081877399879431E-2</v>
      </c>
      <c r="I70" s="66">
        <f t="shared" si="62"/>
        <v>8.1258793344219593E-2</v>
      </c>
      <c r="J70" s="66">
        <f t="shared" si="62"/>
        <v>8.2922250937142977E-2</v>
      </c>
      <c r="K70" s="66">
        <f t="shared" si="62"/>
        <v>8.5257715386346467E-2</v>
      </c>
      <c r="L70" s="66">
        <f t="shared" si="62"/>
        <v>8.8504858770587308E-2</v>
      </c>
      <c r="M70" s="66">
        <f t="shared" si="62"/>
        <v>9.2956570874505887E-2</v>
      </c>
      <c r="N70" s="66">
        <f t="shared" si="62"/>
        <v>9.8939194915988959E-2</v>
      </c>
      <c r="O70" s="66">
        <f t="shared" si="62"/>
        <v>0.10675964029617348</v>
      </c>
      <c r="P70" s="66">
        <f t="shared" si="62"/>
        <v>0.11660816942568256</v>
      </c>
      <c r="Q70" s="66">
        <f t="shared" si="62"/>
        <v>0.12842612167902054</v>
      </c>
      <c r="R70" s="66">
        <f t="shared" si="62"/>
        <v>0.14178955073148763</v>
      </c>
      <c r="S70" s="66">
        <f t="shared" si="62"/>
        <v>0.15589726795340736</v>
      </c>
      <c r="T70" s="66">
        <f t="shared" si="62"/>
        <v>0.16972737168814467</v>
      </c>
      <c r="U70" s="66">
        <f t="shared" si="62"/>
        <v>0.18231719979056973</v>
      </c>
      <c r="V70" s="66">
        <f t="shared" si="62"/>
        <v>0.19301676085163266</v>
      </c>
      <c r="W70" s="66">
        <f t="shared" si="62"/>
        <v>0.20158519307872402</v>
      </c>
      <c r="X70" s="66">
        <f t="shared" si="62"/>
        <v>0.20812328716215528</v>
      </c>
      <c r="Y70" s="66">
        <f t="shared" si="62"/>
        <v>0.21292931066938076</v>
      </c>
      <c r="Z70" s="66">
        <f t="shared" si="62"/>
        <v>0.21636554794991802</v>
      </c>
      <c r="AA70" s="66">
        <f t="shared" si="62"/>
        <v>0.21877384282125395</v>
      </c>
      <c r="AB70" s="66">
        <f t="shared" si="62"/>
        <v>0.22043812260271833</v>
      </c>
      <c r="AC70" s="66">
        <f t="shared" si="62"/>
        <v>0.22157707219141698</v>
      </c>
    </row>
    <row r="71" spans="1:29" ht="15" thickBot="1" x14ac:dyDescent="0.35">
      <c r="A71" s="31" t="s">
        <v>63</v>
      </c>
      <c r="B71" s="76">
        <f>B62+B63+B64-B65+B66+B67+B68+B69+B70</f>
        <v>2.4681676113457796</v>
      </c>
      <c r="C71" s="76">
        <f t="shared" ref="C71:AC71" si="63">C62+C63+C64-C65+C66+C67+C68+C69+C70</f>
        <v>2.4683387661562728</v>
      </c>
      <c r="D71" s="76">
        <f t="shared" si="63"/>
        <v>2.4685834005744862</v>
      </c>
      <c r="E71" s="76">
        <f t="shared" si="63"/>
        <v>2.4689325915314528</v>
      </c>
      <c r="F71" s="76">
        <f t="shared" si="63"/>
        <v>2.4694300503571935</v>
      </c>
      <c r="G71" s="76">
        <f t="shared" si="63"/>
        <v>2.4701367266810417</v>
      </c>
      <c r="H71" s="76">
        <f t="shared" si="63"/>
        <v>2.4711365635486731</v>
      </c>
      <c r="I71" s="76">
        <f t="shared" si="63"/>
        <v>2.4725432033847374</v>
      </c>
      <c r="J71" s="76">
        <f t="shared" si="63"/>
        <v>2.4745069544835352</v>
      </c>
      <c r="K71" s="76">
        <f t="shared" si="63"/>
        <v>2.477220587847198</v>
      </c>
      <c r="L71" s="76">
        <f t="shared" si="63"/>
        <v>2.4809215230734494</v>
      </c>
      <c r="M71" s="76">
        <f t="shared" si="63"/>
        <v>2.4858863710367198</v>
      </c>
      <c r="N71" s="76">
        <f t="shared" si="63"/>
        <v>2.492410710499577</v>
      </c>
      <c r="O71" s="76">
        <f t="shared" si="63"/>
        <v>2.5007622113548935</v>
      </c>
      <c r="P71" s="76">
        <f t="shared" si="63"/>
        <v>2.5110941712144248</v>
      </c>
      <c r="Q71" s="76">
        <f t="shared" si="63"/>
        <v>2.5233229707464213</v>
      </c>
      <c r="R71" s="76">
        <f t="shared" si="63"/>
        <v>2.5370154148905155</v>
      </c>
      <c r="S71" s="76">
        <f t="shared" si="63"/>
        <v>2.5513741852300784</v>
      </c>
      <c r="T71" s="76">
        <f t="shared" si="63"/>
        <v>2.5653888331407724</v>
      </c>
      <c r="U71" s="76">
        <f t="shared" si="63"/>
        <v>2.5781106076592684</v>
      </c>
      <c r="V71" s="76">
        <f t="shared" si="63"/>
        <v>2.5889026436721956</v>
      </c>
      <c r="W71" s="76">
        <f t="shared" si="63"/>
        <v>2.5975349817749809</v>
      </c>
      <c r="X71" s="76">
        <f t="shared" si="63"/>
        <v>2.6041168098337009</v>
      </c>
      <c r="Y71" s="76">
        <f t="shared" si="63"/>
        <v>2.6089525629171764</v>
      </c>
      <c r="Z71" s="76">
        <f t="shared" si="63"/>
        <v>2.6124089178711487</v>
      </c>
      <c r="AA71" s="76">
        <f t="shared" si="63"/>
        <v>2.6148307841459872</v>
      </c>
      <c r="AB71" s="76">
        <f t="shared" si="63"/>
        <v>2.6165042001288725</v>
      </c>
      <c r="AC71" s="76">
        <f t="shared" si="63"/>
        <v>2.6176492915254812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4">A50</f>
        <v>Capex vehicle</v>
      </c>
      <c r="B74" s="65">
        <f>((1+B35)^B42)*B35/(((1+B35)^B42)-1)*(B31)/B47/(B44)</f>
        <v>1.2312752120811793E-2</v>
      </c>
      <c r="C74" s="65">
        <f t="shared" ref="C74:AC74" si="65">((1+C35)^C42)*C35/(((1+C35)^C42)-1)*(C31)/C47/(C44)</f>
        <v>1.2319372471143808E-2</v>
      </c>
      <c r="D74" s="65">
        <f t="shared" si="65"/>
        <v>1.2328772419576216E-2</v>
      </c>
      <c r="E74" s="65">
        <f t="shared" si="65"/>
        <v>1.2342058343408053E-2</v>
      </c>
      <c r="F74" s="65">
        <f t="shared" si="65"/>
        <v>1.2360711540770029E-2</v>
      </c>
      <c r="G74" s="65">
        <f t="shared" si="65"/>
        <v>1.2386646256423496E-2</v>
      </c>
      <c r="H74" s="65">
        <f t="shared" si="65"/>
        <v>1.2422201781364764E-2</v>
      </c>
      <c r="I74" s="65">
        <f t="shared" si="65"/>
        <v>1.2469984596909803E-2</v>
      </c>
      <c r="J74" s="65">
        <f t="shared" si="65"/>
        <v>1.2532445967788252E-2</v>
      </c>
      <c r="K74" s="65">
        <f t="shared" si="65"/>
        <v>1.2611105507067715E-2</v>
      </c>
      <c r="L74" s="65">
        <f t="shared" si="65"/>
        <v>1.2705494696280639E-2</v>
      </c>
      <c r="M74" s="65">
        <f t="shared" si="65"/>
        <v>1.2812227504666332E-2</v>
      </c>
      <c r="N74" s="65">
        <f t="shared" si="65"/>
        <v>1.2924904892565415E-2</v>
      </c>
      <c r="O74" s="65">
        <f t="shared" si="65"/>
        <v>1.303536500022779E-2</v>
      </c>
      <c r="P74" s="65">
        <f t="shared" si="65"/>
        <v>1.3135919109894489E-2</v>
      </c>
      <c r="Q74" s="65">
        <f t="shared" si="65"/>
        <v>1.3221375783930607E-2</v>
      </c>
      <c r="R74" s="65">
        <f t="shared" si="65"/>
        <v>1.3289811275410325E-2</v>
      </c>
      <c r="S74" s="65">
        <f t="shared" si="65"/>
        <v>1.3342030592793215E-2</v>
      </c>
      <c r="T74" s="65">
        <f t="shared" si="65"/>
        <v>1.3380415979064949E-2</v>
      </c>
      <c r="U74" s="65">
        <f t="shared" si="65"/>
        <v>1.3407860974940735E-2</v>
      </c>
      <c r="V74" s="65">
        <f t="shared" si="65"/>
        <v>1.3427095863982266E-2</v>
      </c>
      <c r="W74" s="65">
        <f t="shared" si="65"/>
        <v>1.3440388354578638E-2</v>
      </c>
      <c r="X74" s="65">
        <f t="shared" si="65"/>
        <v>1.3449485068283949E-2</v>
      </c>
      <c r="Y74" s="65">
        <f t="shared" si="65"/>
        <v>1.3455668851988454E-2</v>
      </c>
      <c r="Z74" s="65">
        <f t="shared" si="65"/>
        <v>1.3459853349611826E-2</v>
      </c>
      <c r="AA74" s="65">
        <f t="shared" si="65"/>
        <v>1.3462676216077251E-2</v>
      </c>
      <c r="AB74" s="65">
        <f t="shared" si="65"/>
        <v>1.3464576555758969E-2</v>
      </c>
      <c r="AC74" s="65">
        <f t="shared" si="65"/>
        <v>1.3465854058382996E-2</v>
      </c>
    </row>
    <row r="75" spans="1:29" x14ac:dyDescent="0.3">
      <c r="A75" s="30" t="str">
        <f t="shared" si="64"/>
        <v>Residual value (vehicle)</v>
      </c>
      <c r="B75" s="68">
        <f>((1+B35)^B42)*B35/(((1+B35)^B42)-1)*(B32)/B47/(B44)</f>
        <v>-3.0604067820050769E-3</v>
      </c>
      <c r="C75" s="68">
        <f t="shared" ref="C75:AC75" si="66">((1+C35)^C42)*C35/(((1+C35)^C42)-1)*(C32)/C47/(C44)</f>
        <v>-3.0544484667062604E-3</v>
      </c>
      <c r="D75" s="68">
        <f t="shared" si="66"/>
        <v>-3.0459885131170939E-3</v>
      </c>
      <c r="E75" s="68">
        <f t="shared" si="66"/>
        <v>-3.0340311816684411E-3</v>
      </c>
      <c r="F75" s="68">
        <f t="shared" si="66"/>
        <v>-3.0172433040426628E-3</v>
      </c>
      <c r="G75" s="68">
        <f t="shared" si="66"/>
        <v>-2.9939020599545401E-3</v>
      </c>
      <c r="H75" s="68">
        <f t="shared" si="66"/>
        <v>-2.9619020875074013E-3</v>
      </c>
      <c r="I75" s="68">
        <f t="shared" si="66"/>
        <v>-2.9188975535168662E-3</v>
      </c>
      <c r="J75" s="68">
        <f t="shared" si="66"/>
        <v>-2.8626823197262603E-3</v>
      </c>
      <c r="K75" s="68">
        <f t="shared" si="66"/>
        <v>-2.7918887343747461E-3</v>
      </c>
      <c r="L75" s="68">
        <f t="shared" si="66"/>
        <v>-2.7069384640831138E-3</v>
      </c>
      <c r="M75" s="68">
        <f t="shared" si="66"/>
        <v>-2.6108789365359899E-3</v>
      </c>
      <c r="N75" s="68">
        <f t="shared" si="66"/>
        <v>-2.5094692874268148E-3</v>
      </c>
      <c r="O75" s="68">
        <f t="shared" si="66"/>
        <v>-2.4100551905306797E-3</v>
      </c>
      <c r="P75" s="68">
        <f t="shared" si="66"/>
        <v>-2.3195564918306487E-3</v>
      </c>
      <c r="Q75" s="68">
        <f t="shared" si="66"/>
        <v>-2.2426454851981431E-3</v>
      </c>
      <c r="R75" s="68">
        <f t="shared" si="66"/>
        <v>-2.1810535428663956E-3</v>
      </c>
      <c r="S75" s="68">
        <f t="shared" si="66"/>
        <v>-2.1340561572217951E-3</v>
      </c>
      <c r="T75" s="68">
        <f t="shared" si="66"/>
        <v>-2.0995093095772361E-3</v>
      </c>
      <c r="U75" s="68">
        <f t="shared" si="66"/>
        <v>-2.0748088132890256E-3</v>
      </c>
      <c r="V75" s="68">
        <f t="shared" si="66"/>
        <v>-2.0574974131516498E-3</v>
      </c>
      <c r="W75" s="68">
        <f t="shared" si="66"/>
        <v>-2.045534171614914E-3</v>
      </c>
      <c r="X75" s="68">
        <f t="shared" si="66"/>
        <v>-2.0373471292801336E-3</v>
      </c>
      <c r="Y75" s="68">
        <f t="shared" si="66"/>
        <v>-2.0317817239460809E-3</v>
      </c>
      <c r="Z75" s="68">
        <f t="shared" si="66"/>
        <v>-2.0280156760850467E-3</v>
      </c>
      <c r="AA75" s="68">
        <f t="shared" si="66"/>
        <v>-2.0254750962661622E-3</v>
      </c>
      <c r="AB75" s="68">
        <f t="shared" si="66"/>
        <v>-2.0237647905526181E-3</v>
      </c>
      <c r="AC75" s="68">
        <f t="shared" si="66"/>
        <v>-2.0226150381909905E-3</v>
      </c>
    </row>
    <row r="76" spans="1:29" x14ac:dyDescent="0.3">
      <c r="A76" s="30" t="str">
        <f t="shared" si="64"/>
        <v>Capex costumization</v>
      </c>
      <c r="B76" s="66">
        <f>((1+B35)^B43)*B35/(((1+B35)^B43)-1)*(B33)/B47/(B44)</f>
        <v>3.9525224209566176E-3</v>
      </c>
      <c r="C76" s="66">
        <f t="shared" ref="C76:AC76" si="67">((1+C35)^C43)*C35/(((1+C35)^C43)-1)*(C33)/C47/(C44)</f>
        <v>3.9525224209566176E-3</v>
      </c>
      <c r="D76" s="66">
        <f t="shared" si="67"/>
        <v>3.9525224209566176E-3</v>
      </c>
      <c r="E76" s="66">
        <f t="shared" si="67"/>
        <v>3.9525224209566176E-3</v>
      </c>
      <c r="F76" s="66">
        <f t="shared" si="67"/>
        <v>3.9525224209566176E-3</v>
      </c>
      <c r="G76" s="66">
        <f t="shared" si="67"/>
        <v>3.9525224209566176E-3</v>
      </c>
      <c r="H76" s="66">
        <f t="shared" si="67"/>
        <v>3.9525224209566176E-3</v>
      </c>
      <c r="I76" s="66">
        <f t="shared" si="67"/>
        <v>3.9525224209566176E-3</v>
      </c>
      <c r="J76" s="66">
        <f t="shared" si="67"/>
        <v>3.9525224209566176E-3</v>
      </c>
      <c r="K76" s="66">
        <f t="shared" si="67"/>
        <v>3.9525224209566176E-3</v>
      </c>
      <c r="L76" s="66">
        <f t="shared" si="67"/>
        <v>3.9525224209566176E-3</v>
      </c>
      <c r="M76" s="66">
        <f t="shared" si="67"/>
        <v>3.9525224209566176E-3</v>
      </c>
      <c r="N76" s="66">
        <f t="shared" si="67"/>
        <v>3.9525224209566176E-3</v>
      </c>
      <c r="O76" s="66">
        <f t="shared" si="67"/>
        <v>3.9525224209566176E-3</v>
      </c>
      <c r="P76" s="66">
        <f t="shared" si="67"/>
        <v>3.9525224209566176E-3</v>
      </c>
      <c r="Q76" s="66">
        <f t="shared" si="67"/>
        <v>3.9525224209566176E-3</v>
      </c>
      <c r="R76" s="66">
        <f t="shared" si="67"/>
        <v>3.9525224209566176E-3</v>
      </c>
      <c r="S76" s="66">
        <f t="shared" si="67"/>
        <v>3.9525224209566176E-3</v>
      </c>
      <c r="T76" s="66">
        <f t="shared" si="67"/>
        <v>3.9525224209566176E-3</v>
      </c>
      <c r="U76" s="66">
        <f t="shared" si="67"/>
        <v>3.9525224209566176E-3</v>
      </c>
      <c r="V76" s="66">
        <f t="shared" si="67"/>
        <v>3.9525224209566176E-3</v>
      </c>
      <c r="W76" s="66">
        <f t="shared" si="67"/>
        <v>3.9525224209566176E-3</v>
      </c>
      <c r="X76" s="66">
        <f t="shared" si="67"/>
        <v>3.9525224209566176E-3</v>
      </c>
      <c r="Y76" s="66">
        <f t="shared" si="67"/>
        <v>3.9525224209566176E-3</v>
      </c>
      <c r="Z76" s="66">
        <f t="shared" si="67"/>
        <v>3.9525224209566176E-3</v>
      </c>
      <c r="AA76" s="66">
        <f t="shared" si="67"/>
        <v>3.9525224209566176E-3</v>
      </c>
      <c r="AB76" s="66">
        <f t="shared" si="67"/>
        <v>3.9525224209566176E-3</v>
      </c>
      <c r="AC76" s="66">
        <f t="shared" si="67"/>
        <v>3.9525224209566176E-3</v>
      </c>
    </row>
    <row r="77" spans="1:29" x14ac:dyDescent="0.3">
      <c r="A77" s="30" t="str">
        <f t="shared" si="64"/>
        <v>Residual value (costumization)</v>
      </c>
      <c r="B77" s="69">
        <f>((1+B35)^B43)*B35/(((1+B35)^B43)-1)*(B34)/B47/(B44)</f>
        <v>-9.8813060523915441E-4</v>
      </c>
      <c r="C77" s="69">
        <f t="shared" ref="C77:AC77" si="68">((1+C35)^C43)*C35/(((1+C35)^C43)-1)*(C34)/C47/(C44)</f>
        <v>-9.8813060523915441E-4</v>
      </c>
      <c r="D77" s="69">
        <f t="shared" si="68"/>
        <v>-9.8813060523915441E-4</v>
      </c>
      <c r="E77" s="69">
        <f t="shared" si="68"/>
        <v>-9.8813060523915441E-4</v>
      </c>
      <c r="F77" s="69">
        <f t="shared" si="68"/>
        <v>-9.8813060523915441E-4</v>
      </c>
      <c r="G77" s="69">
        <f t="shared" si="68"/>
        <v>-9.8813060523915441E-4</v>
      </c>
      <c r="H77" s="69">
        <f t="shared" si="68"/>
        <v>-9.8813060523915441E-4</v>
      </c>
      <c r="I77" s="69">
        <f t="shared" si="68"/>
        <v>-9.8813060523915441E-4</v>
      </c>
      <c r="J77" s="69">
        <f t="shared" si="68"/>
        <v>-9.8813060523915441E-4</v>
      </c>
      <c r="K77" s="69">
        <f t="shared" si="68"/>
        <v>-9.8813060523915441E-4</v>
      </c>
      <c r="L77" s="69">
        <f t="shared" si="68"/>
        <v>-9.8813060523915441E-4</v>
      </c>
      <c r="M77" s="69">
        <f t="shared" si="68"/>
        <v>-9.8813060523915441E-4</v>
      </c>
      <c r="N77" s="69">
        <f t="shared" si="68"/>
        <v>-9.8813060523915441E-4</v>
      </c>
      <c r="O77" s="69">
        <f t="shared" si="68"/>
        <v>-9.8813060523915441E-4</v>
      </c>
      <c r="P77" s="69">
        <f t="shared" si="68"/>
        <v>-9.8813060523915441E-4</v>
      </c>
      <c r="Q77" s="69">
        <f t="shared" si="68"/>
        <v>-9.8813060523915441E-4</v>
      </c>
      <c r="R77" s="69">
        <f t="shared" si="68"/>
        <v>-9.8813060523915441E-4</v>
      </c>
      <c r="S77" s="69">
        <f t="shared" si="68"/>
        <v>-9.8813060523915441E-4</v>
      </c>
      <c r="T77" s="69">
        <f t="shared" si="68"/>
        <v>-9.8813060523915441E-4</v>
      </c>
      <c r="U77" s="69">
        <f t="shared" si="68"/>
        <v>-9.8813060523915441E-4</v>
      </c>
      <c r="V77" s="69">
        <f t="shared" si="68"/>
        <v>-9.8813060523915441E-4</v>
      </c>
      <c r="W77" s="69">
        <f t="shared" si="68"/>
        <v>-9.8813060523915441E-4</v>
      </c>
      <c r="X77" s="69">
        <f t="shared" si="68"/>
        <v>-9.8813060523915441E-4</v>
      </c>
      <c r="Y77" s="69">
        <f t="shared" si="68"/>
        <v>-9.8813060523915441E-4</v>
      </c>
      <c r="Z77" s="69">
        <f t="shared" si="68"/>
        <v>-9.8813060523915441E-4</v>
      </c>
      <c r="AA77" s="69">
        <f t="shared" si="68"/>
        <v>-9.8813060523915441E-4</v>
      </c>
      <c r="AB77" s="69">
        <f t="shared" si="68"/>
        <v>-9.8813060523915441E-4</v>
      </c>
      <c r="AC77" s="69">
        <f t="shared" si="68"/>
        <v>-9.8813060523915441E-4</v>
      </c>
    </row>
    <row r="78" spans="1:29" x14ac:dyDescent="0.3">
      <c r="A78" s="30" t="str">
        <f t="shared" si="64"/>
        <v>Opex fix (admin, crew, insurance)</v>
      </c>
      <c r="B78" s="66">
        <f>B36/B47/(B44)</f>
        <v>5.0909090909090911E-2</v>
      </c>
      <c r="C78" s="66">
        <f t="shared" ref="C78:AC78" si="69">C36/C47/(C44)</f>
        <v>5.0909090909090911E-2</v>
      </c>
      <c r="D78" s="66">
        <f t="shared" si="69"/>
        <v>5.0909090909090911E-2</v>
      </c>
      <c r="E78" s="66">
        <f t="shared" si="69"/>
        <v>5.0909090909090911E-2</v>
      </c>
      <c r="F78" s="66">
        <f t="shared" si="69"/>
        <v>5.0909090909090911E-2</v>
      </c>
      <c r="G78" s="66">
        <f t="shared" si="69"/>
        <v>5.0909090909090911E-2</v>
      </c>
      <c r="H78" s="66">
        <f t="shared" si="69"/>
        <v>5.0909090909090911E-2</v>
      </c>
      <c r="I78" s="66">
        <f t="shared" si="69"/>
        <v>5.0909090909090911E-2</v>
      </c>
      <c r="J78" s="66">
        <f t="shared" si="69"/>
        <v>5.0909090909090911E-2</v>
      </c>
      <c r="K78" s="66">
        <f t="shared" si="69"/>
        <v>5.0909090909090911E-2</v>
      </c>
      <c r="L78" s="66">
        <f t="shared" si="69"/>
        <v>5.0909090909090911E-2</v>
      </c>
      <c r="M78" s="66">
        <f t="shared" si="69"/>
        <v>5.0909090909090911E-2</v>
      </c>
      <c r="N78" s="66">
        <f t="shared" si="69"/>
        <v>5.0909090909090911E-2</v>
      </c>
      <c r="O78" s="66">
        <f t="shared" si="69"/>
        <v>5.0909090909090911E-2</v>
      </c>
      <c r="P78" s="66">
        <f t="shared" si="69"/>
        <v>5.0909090909090911E-2</v>
      </c>
      <c r="Q78" s="66">
        <f t="shared" si="69"/>
        <v>5.0909090909090911E-2</v>
      </c>
      <c r="R78" s="66">
        <f t="shared" si="69"/>
        <v>5.0909090909090911E-2</v>
      </c>
      <c r="S78" s="66">
        <f t="shared" si="69"/>
        <v>5.0909090909090911E-2</v>
      </c>
      <c r="T78" s="66">
        <f t="shared" si="69"/>
        <v>5.0909090909090911E-2</v>
      </c>
      <c r="U78" s="66">
        <f t="shared" si="69"/>
        <v>5.0909090909090911E-2</v>
      </c>
      <c r="V78" s="66">
        <f t="shared" si="69"/>
        <v>5.0909090909090911E-2</v>
      </c>
      <c r="W78" s="66">
        <f t="shared" si="69"/>
        <v>5.0909090909090911E-2</v>
      </c>
      <c r="X78" s="66">
        <f t="shared" si="69"/>
        <v>5.0909090909090911E-2</v>
      </c>
      <c r="Y78" s="66">
        <f t="shared" si="69"/>
        <v>5.0909090909090911E-2</v>
      </c>
      <c r="Z78" s="66">
        <f t="shared" si="69"/>
        <v>5.0909090909090911E-2</v>
      </c>
      <c r="AA78" s="66">
        <f t="shared" si="69"/>
        <v>5.0909090909090911E-2</v>
      </c>
      <c r="AB78" s="66">
        <f t="shared" si="69"/>
        <v>5.0909090909090911E-2</v>
      </c>
      <c r="AC78" s="66">
        <f t="shared" si="69"/>
        <v>5.0909090909090911E-2</v>
      </c>
    </row>
    <row r="79" spans="1:29" x14ac:dyDescent="0.3">
      <c r="A79" s="30" t="str">
        <f t="shared" si="64"/>
        <v>Opex maintenance &amp; repair</v>
      </c>
      <c r="B79" s="66">
        <f>B37/B47/(B44)</f>
        <v>1.4545454545454545E-2</v>
      </c>
      <c r="C79" s="66">
        <f t="shared" ref="C79:AC79" si="70">C37/C47/(C44)</f>
        <v>1.4545454545454545E-2</v>
      </c>
      <c r="D79" s="66">
        <f t="shared" si="70"/>
        <v>1.4545454545454545E-2</v>
      </c>
      <c r="E79" s="66">
        <f t="shared" si="70"/>
        <v>1.4545454545454545E-2</v>
      </c>
      <c r="F79" s="66">
        <f t="shared" si="70"/>
        <v>1.4545454545454545E-2</v>
      </c>
      <c r="G79" s="66">
        <f t="shared" si="70"/>
        <v>1.4545454545454545E-2</v>
      </c>
      <c r="H79" s="66">
        <f t="shared" si="70"/>
        <v>1.4545454545454545E-2</v>
      </c>
      <c r="I79" s="66">
        <f t="shared" si="70"/>
        <v>1.4545454545454545E-2</v>
      </c>
      <c r="J79" s="66">
        <f t="shared" si="70"/>
        <v>1.4545454545454545E-2</v>
      </c>
      <c r="K79" s="66">
        <f t="shared" si="70"/>
        <v>1.4545454545454545E-2</v>
      </c>
      <c r="L79" s="66">
        <f t="shared" si="70"/>
        <v>1.4545454545454545E-2</v>
      </c>
      <c r="M79" s="66">
        <f t="shared" si="70"/>
        <v>1.4545454545454545E-2</v>
      </c>
      <c r="N79" s="66">
        <f t="shared" si="70"/>
        <v>1.4545454545454545E-2</v>
      </c>
      <c r="O79" s="66">
        <f t="shared" si="70"/>
        <v>1.4545454545454545E-2</v>
      </c>
      <c r="P79" s="66">
        <f t="shared" si="70"/>
        <v>1.4545454545454545E-2</v>
      </c>
      <c r="Q79" s="66">
        <f t="shared" si="70"/>
        <v>1.4545454545454545E-2</v>
      </c>
      <c r="R79" s="66">
        <f t="shared" si="70"/>
        <v>1.4545454545454545E-2</v>
      </c>
      <c r="S79" s="66">
        <f t="shared" si="70"/>
        <v>1.4545454545454545E-2</v>
      </c>
      <c r="T79" s="66">
        <f t="shared" si="70"/>
        <v>1.4545454545454545E-2</v>
      </c>
      <c r="U79" s="66">
        <f t="shared" si="70"/>
        <v>1.4545454545454545E-2</v>
      </c>
      <c r="V79" s="66">
        <f t="shared" si="70"/>
        <v>1.4545454545454545E-2</v>
      </c>
      <c r="W79" s="66">
        <f t="shared" si="70"/>
        <v>1.4545454545454545E-2</v>
      </c>
      <c r="X79" s="66">
        <f t="shared" si="70"/>
        <v>1.4545454545454545E-2</v>
      </c>
      <c r="Y79" s="66">
        <f t="shared" si="70"/>
        <v>1.4545454545454545E-2</v>
      </c>
      <c r="Z79" s="66">
        <f t="shared" si="70"/>
        <v>1.4545454545454545E-2</v>
      </c>
      <c r="AA79" s="66">
        <f t="shared" si="70"/>
        <v>1.4545454545454545E-2</v>
      </c>
      <c r="AB79" s="66">
        <f t="shared" si="70"/>
        <v>1.4545454545454545E-2</v>
      </c>
      <c r="AC79" s="66">
        <f t="shared" si="70"/>
        <v>1.4545454545454545E-2</v>
      </c>
    </row>
    <row r="80" spans="1:29" x14ac:dyDescent="0.3">
      <c r="A80" s="30" t="str">
        <f t="shared" si="64"/>
        <v>Opex var (mode-fees)</v>
      </c>
      <c r="B80" s="66">
        <f>B38*B47/B47/(B44)</f>
        <v>4.4000000000000003E-3</v>
      </c>
      <c r="C80" s="66">
        <f t="shared" ref="C80:AC80" si="71">C38*C47/C47/(C44)</f>
        <v>4.4000000000000003E-3</v>
      </c>
      <c r="D80" s="66">
        <f t="shared" si="71"/>
        <v>4.4000000000000003E-3</v>
      </c>
      <c r="E80" s="66">
        <f t="shared" si="71"/>
        <v>4.4000000000000003E-3</v>
      </c>
      <c r="F80" s="66">
        <f t="shared" si="71"/>
        <v>4.4000000000000003E-3</v>
      </c>
      <c r="G80" s="66">
        <f t="shared" si="71"/>
        <v>4.4000000000000003E-3</v>
      </c>
      <c r="H80" s="66">
        <f t="shared" si="71"/>
        <v>4.4000000000000003E-3</v>
      </c>
      <c r="I80" s="66">
        <f t="shared" si="71"/>
        <v>4.4000000000000003E-3</v>
      </c>
      <c r="J80" s="66">
        <f t="shared" si="71"/>
        <v>4.4000000000000003E-3</v>
      </c>
      <c r="K80" s="66">
        <f t="shared" si="71"/>
        <v>4.4000000000000003E-3</v>
      </c>
      <c r="L80" s="66">
        <f t="shared" si="71"/>
        <v>4.4000000000000003E-3</v>
      </c>
      <c r="M80" s="66">
        <f t="shared" si="71"/>
        <v>4.4000000000000003E-3</v>
      </c>
      <c r="N80" s="66">
        <f t="shared" si="71"/>
        <v>4.4000000000000003E-3</v>
      </c>
      <c r="O80" s="66">
        <f t="shared" si="71"/>
        <v>4.4000000000000003E-3</v>
      </c>
      <c r="P80" s="66">
        <f t="shared" si="71"/>
        <v>4.4000000000000003E-3</v>
      </c>
      <c r="Q80" s="66">
        <f t="shared" si="71"/>
        <v>4.4000000000000003E-3</v>
      </c>
      <c r="R80" s="66">
        <f t="shared" si="71"/>
        <v>4.4000000000000003E-3</v>
      </c>
      <c r="S80" s="66">
        <f t="shared" si="71"/>
        <v>4.4000000000000003E-3</v>
      </c>
      <c r="T80" s="66">
        <f t="shared" si="71"/>
        <v>4.4000000000000003E-3</v>
      </c>
      <c r="U80" s="66">
        <f t="shared" si="71"/>
        <v>4.4000000000000003E-3</v>
      </c>
      <c r="V80" s="66">
        <f t="shared" si="71"/>
        <v>4.4000000000000003E-3</v>
      </c>
      <c r="W80" s="66">
        <f t="shared" si="71"/>
        <v>4.4000000000000003E-3</v>
      </c>
      <c r="X80" s="66">
        <f t="shared" si="71"/>
        <v>4.4000000000000003E-3</v>
      </c>
      <c r="Y80" s="66">
        <f t="shared" si="71"/>
        <v>4.4000000000000003E-3</v>
      </c>
      <c r="Z80" s="66">
        <f t="shared" si="71"/>
        <v>4.4000000000000003E-3</v>
      </c>
      <c r="AA80" s="66">
        <f t="shared" si="71"/>
        <v>4.4000000000000003E-3</v>
      </c>
      <c r="AB80" s="66">
        <f t="shared" si="71"/>
        <v>4.4000000000000003E-3</v>
      </c>
      <c r="AC80" s="66">
        <f t="shared" si="71"/>
        <v>4.4000000000000003E-3</v>
      </c>
    </row>
    <row r="81" spans="1:29" x14ac:dyDescent="0.3">
      <c r="A81" s="30" t="str">
        <f t="shared" si="64"/>
        <v>Fuel Cost</v>
      </c>
      <c r="B81" s="66">
        <f>B39*B40*B47/B47/(B44)</f>
        <v>1.1573595723149675E-2</v>
      </c>
      <c r="C81" s="66">
        <f t="shared" ref="C81:AC81" si="72">C39*C40*C47/C47/(C44)</f>
        <v>1.1562290195257166E-2</v>
      </c>
      <c r="D81" s="66">
        <f t="shared" si="72"/>
        <v>1.154623796631744E-2</v>
      </c>
      <c r="E81" s="66">
        <f t="shared" si="72"/>
        <v>1.1523549683231857E-2</v>
      </c>
      <c r="F81" s="66">
        <f t="shared" si="72"/>
        <v>1.1491695743110229E-2</v>
      </c>
      <c r="G81" s="66">
        <f t="shared" si="72"/>
        <v>1.1447407203002828E-2</v>
      </c>
      <c r="H81" s="66">
        <f t="shared" si="72"/>
        <v>1.1386689271353168E-2</v>
      </c>
      <c r="I81" s="66">
        <f t="shared" si="72"/>
        <v>1.130509087748654E-2</v>
      </c>
      <c r="J81" s="66">
        <f t="shared" si="72"/>
        <v>1.1198426013052478E-2</v>
      </c>
      <c r="K81" s="66">
        <f t="shared" si="72"/>
        <v>1.1064099644999867E-2</v>
      </c>
      <c r="L81" s="66">
        <f t="shared" si="72"/>
        <v>1.0902911859175732E-2</v>
      </c>
      <c r="M81" s="66">
        <f t="shared" si="72"/>
        <v>1.0720644957616992E-2</v>
      </c>
      <c r="N81" s="66">
        <f t="shared" si="72"/>
        <v>1.0528226537463705E-2</v>
      </c>
      <c r="O81" s="66">
        <f t="shared" si="72"/>
        <v>1.0339594551910478E-2</v>
      </c>
      <c r="P81" s="66">
        <f t="shared" si="72"/>
        <v>1.0167878972744624E-2</v>
      </c>
      <c r="Q81" s="66">
        <f t="shared" si="72"/>
        <v>1.0021945183222353E-2</v>
      </c>
      <c r="R81" s="66">
        <f t="shared" si="72"/>
        <v>9.9050783530759638E-3</v>
      </c>
      <c r="S81" s="66">
        <f t="shared" si="72"/>
        <v>9.8159037747541991E-3</v>
      </c>
      <c r="T81" s="66">
        <f t="shared" si="72"/>
        <v>9.7503533078761844E-3</v>
      </c>
      <c r="U81" s="66">
        <f t="shared" si="72"/>
        <v>9.7034856723550063E-3</v>
      </c>
      <c r="V81" s="66">
        <f t="shared" si="72"/>
        <v>9.670638381250693E-3</v>
      </c>
      <c r="W81" s="66">
        <f t="shared" si="72"/>
        <v>9.647938884145316E-3</v>
      </c>
      <c r="X81" s="66">
        <f t="shared" si="72"/>
        <v>9.6324044871167799E-3</v>
      </c>
      <c r="Y81" s="66">
        <f t="shared" si="72"/>
        <v>9.6218444811282163E-3</v>
      </c>
      <c r="Z81" s="66">
        <f t="shared" si="72"/>
        <v>9.6146986425812171E-3</v>
      </c>
      <c r="AA81" s="66">
        <f t="shared" si="72"/>
        <v>9.6098780524370136E-3</v>
      </c>
      <c r="AB81" s="66">
        <f t="shared" si="72"/>
        <v>9.6066328550985913E-3</v>
      </c>
      <c r="AC81" s="66">
        <f t="shared" si="72"/>
        <v>9.604451272429336E-3</v>
      </c>
    </row>
    <row r="82" spans="1:29" x14ac:dyDescent="0.3">
      <c r="A82" s="59" t="str">
        <f>A45</f>
        <v>Market failure (av. utilization)</v>
      </c>
      <c r="B82" s="66">
        <f t="shared" ref="B82" si="73">B71/B45-B71/B44</f>
        <v>0.13633687757910018</v>
      </c>
      <c r="C82" s="66">
        <f t="shared" ref="C82:AC82" si="74">C71/C45-C71/C44</f>
        <v>0.13634633184482267</v>
      </c>
      <c r="D82" s="66">
        <f t="shared" si="74"/>
        <v>0.13635984498411446</v>
      </c>
      <c r="E82" s="66">
        <f t="shared" si="74"/>
        <v>0.13637913362745169</v>
      </c>
      <c r="F82" s="66">
        <f t="shared" si="74"/>
        <v>0.13640661230544499</v>
      </c>
      <c r="G82" s="66">
        <f t="shared" si="74"/>
        <v>0.1364456477595242</v>
      </c>
      <c r="H82" s="66">
        <f t="shared" si="74"/>
        <v>0.13650087684364098</v>
      </c>
      <c r="I82" s="66">
        <f t="shared" si="74"/>
        <v>0.13657857694887121</v>
      </c>
      <c r="J82" s="66">
        <f t="shared" si="74"/>
        <v>0.13668705081909052</v>
      </c>
      <c r="K82" s="66">
        <f t="shared" si="74"/>
        <v>0.13683694675727379</v>
      </c>
      <c r="L82" s="66">
        <f t="shared" si="74"/>
        <v>0.13704137936977151</v>
      </c>
      <c r="M82" s="66">
        <f t="shared" si="74"/>
        <v>0.13731562811440928</v>
      </c>
      <c r="N82" s="66">
        <f t="shared" si="74"/>
        <v>0.13767602019902425</v>
      </c>
      <c r="O82" s="66">
        <f t="shared" si="74"/>
        <v>0.13813734119865126</v>
      </c>
      <c r="P82" s="66">
        <f t="shared" si="74"/>
        <v>0.13870805898136823</v>
      </c>
      <c r="Q82" s="66">
        <f t="shared" si="74"/>
        <v>0.13938355457456425</v>
      </c>
      <c r="R82" s="66">
        <f t="shared" si="74"/>
        <v>0.14013989910823799</v>
      </c>
      <c r="S82" s="66">
        <f t="shared" si="74"/>
        <v>0.1409330502317567</v>
      </c>
      <c r="T82" s="66">
        <f t="shared" si="74"/>
        <v>0.14170719268777598</v>
      </c>
      <c r="U82" s="66">
        <f t="shared" si="74"/>
        <v>0.14240991928022623</v>
      </c>
      <c r="V82" s="66">
        <f t="shared" si="74"/>
        <v>0.14300605079332129</v>
      </c>
      <c r="W82" s="66">
        <f t="shared" si="74"/>
        <v>0.14348288470757037</v>
      </c>
      <c r="X82" s="66">
        <f t="shared" si="74"/>
        <v>0.1438464523527187</v>
      </c>
      <c r="Y82" s="66">
        <f t="shared" si="74"/>
        <v>0.14411357014209164</v>
      </c>
      <c r="Z82" s="66">
        <f t="shared" si="74"/>
        <v>0.14430449260621583</v>
      </c>
      <c r="AA82" s="66">
        <f t="shared" si="74"/>
        <v>0.14443827188615932</v>
      </c>
      <c r="AB82" s="66">
        <f t="shared" si="74"/>
        <v>0.14453070819759486</v>
      </c>
      <c r="AC82" s="66">
        <f t="shared" si="74"/>
        <v>0.14459396086521706</v>
      </c>
    </row>
    <row r="83" spans="1:29" x14ac:dyDescent="0.3">
      <c r="A83" s="59" t="str">
        <f>A46</f>
        <v>Payload loss (fuel)</v>
      </c>
      <c r="B83" s="66">
        <f>B71/(B44-B46)-B71/B44</f>
        <v>0</v>
      </c>
      <c r="C83" s="66">
        <f t="shared" ref="C83:AC83" si="75">C71/(C44-C46)-C71/C44</f>
        <v>0</v>
      </c>
      <c r="D83" s="66">
        <f t="shared" si="75"/>
        <v>0</v>
      </c>
      <c r="E83" s="66">
        <f t="shared" si="75"/>
        <v>0</v>
      </c>
      <c r="F83" s="66">
        <f t="shared" si="75"/>
        <v>0</v>
      </c>
      <c r="G83" s="66">
        <f t="shared" si="75"/>
        <v>0</v>
      </c>
      <c r="H83" s="66">
        <f t="shared" si="75"/>
        <v>0</v>
      </c>
      <c r="I83" s="66">
        <f t="shared" si="75"/>
        <v>0</v>
      </c>
      <c r="J83" s="66">
        <f t="shared" si="75"/>
        <v>0</v>
      </c>
      <c r="K83" s="66">
        <f t="shared" si="75"/>
        <v>0</v>
      </c>
      <c r="L83" s="66">
        <f t="shared" si="75"/>
        <v>0</v>
      </c>
      <c r="M83" s="66">
        <f t="shared" si="75"/>
        <v>0</v>
      </c>
      <c r="N83" s="66">
        <f t="shared" si="75"/>
        <v>0</v>
      </c>
      <c r="O83" s="66">
        <f t="shared" si="75"/>
        <v>0</v>
      </c>
      <c r="P83" s="66">
        <f t="shared" si="75"/>
        <v>0</v>
      </c>
      <c r="Q83" s="66">
        <f t="shared" si="75"/>
        <v>0</v>
      </c>
      <c r="R83" s="66">
        <f t="shared" si="75"/>
        <v>0</v>
      </c>
      <c r="S83" s="66">
        <f t="shared" si="75"/>
        <v>0</v>
      </c>
      <c r="T83" s="66">
        <f t="shared" si="75"/>
        <v>0</v>
      </c>
      <c r="U83" s="66">
        <f t="shared" si="75"/>
        <v>0</v>
      </c>
      <c r="V83" s="66">
        <f t="shared" si="75"/>
        <v>0</v>
      </c>
      <c r="W83" s="66">
        <f t="shared" si="75"/>
        <v>0</v>
      </c>
      <c r="X83" s="66">
        <f t="shared" si="75"/>
        <v>0</v>
      </c>
      <c r="Y83" s="66">
        <f t="shared" si="75"/>
        <v>0</v>
      </c>
      <c r="Z83" s="66">
        <f t="shared" si="75"/>
        <v>0</v>
      </c>
      <c r="AA83" s="66">
        <f t="shared" si="75"/>
        <v>0</v>
      </c>
      <c r="AB83" s="66">
        <f t="shared" si="75"/>
        <v>0</v>
      </c>
      <c r="AC83" s="66">
        <f t="shared" si="75"/>
        <v>0</v>
      </c>
    </row>
    <row r="84" spans="1:29" ht="15" thickBot="1" x14ac:dyDescent="0.35">
      <c r="A84" s="59" t="str">
        <f>A21</f>
        <v>Emission Cost</v>
      </c>
      <c r="B84" s="68">
        <f>B41*B47/B47/(B44)</f>
        <v>3.105564911133563E-3</v>
      </c>
      <c r="C84" s="68">
        <f t="shared" ref="C84:AC84" si="76">C41*C47/C47/(C44)</f>
        <v>3.1111379658149869E-3</v>
      </c>
      <c r="D84" s="68">
        <f t="shared" si="76"/>
        <v>3.1191156694616588E-3</v>
      </c>
      <c r="E84" s="68">
        <f t="shared" si="76"/>
        <v>3.130528335545424E-3</v>
      </c>
      <c r="F84" s="68">
        <f t="shared" si="76"/>
        <v>3.1468395537089262E-3</v>
      </c>
      <c r="G84" s="68">
        <f t="shared" si="76"/>
        <v>3.1701191870286659E-3</v>
      </c>
      <c r="H84" s="68">
        <f t="shared" si="76"/>
        <v>3.2032750959951769E-3</v>
      </c>
      <c r="I84" s="68">
        <f t="shared" si="76"/>
        <v>3.2503517337687839E-3</v>
      </c>
      <c r="J84" s="68">
        <f t="shared" si="76"/>
        <v>3.3168900374857192E-3</v>
      </c>
      <c r="K84" s="68">
        <f t="shared" si="76"/>
        <v>3.4103086154538588E-3</v>
      </c>
      <c r="L84" s="68">
        <f t="shared" si="76"/>
        <v>3.5401943508234922E-3</v>
      </c>
      <c r="M84" s="68">
        <f t="shared" si="76"/>
        <v>3.7182628349802355E-3</v>
      </c>
      <c r="N84" s="68">
        <f t="shared" si="76"/>
        <v>3.9575677966395585E-3</v>
      </c>
      <c r="O84" s="68">
        <f t="shared" si="76"/>
        <v>4.2703856118469392E-3</v>
      </c>
      <c r="P84" s="68">
        <f t="shared" si="76"/>
        <v>4.6643267770273026E-3</v>
      </c>
      <c r="Q84" s="68">
        <f t="shared" si="76"/>
        <v>5.1370448671608218E-3</v>
      </c>
      <c r="R84" s="68">
        <f t="shared" si="76"/>
        <v>5.6715820292595051E-3</v>
      </c>
      <c r="S84" s="68">
        <f t="shared" si="76"/>
        <v>6.2358907181362952E-3</v>
      </c>
      <c r="T84" s="68">
        <f t="shared" si="76"/>
        <v>6.7890948675257863E-3</v>
      </c>
      <c r="U84" s="68">
        <f t="shared" si="76"/>
        <v>7.292687991622789E-3</v>
      </c>
      <c r="V84" s="68">
        <f t="shared" si="76"/>
        <v>7.7206704340653069E-3</v>
      </c>
      <c r="W84" s="68">
        <f t="shared" si="76"/>
        <v>8.0634077231489607E-3</v>
      </c>
      <c r="X84" s="68">
        <f t="shared" si="76"/>
        <v>8.3249314864862114E-3</v>
      </c>
      <c r="Y84" s="68">
        <f t="shared" si="76"/>
        <v>8.5171724267752297E-3</v>
      </c>
      <c r="Z84" s="68">
        <f t="shared" si="76"/>
        <v>8.6546219179967215E-3</v>
      </c>
      <c r="AA84" s="68">
        <f t="shared" si="76"/>
        <v>8.7509537128501579E-3</v>
      </c>
      <c r="AB84" s="68">
        <f t="shared" si="76"/>
        <v>8.8175249041087325E-3</v>
      </c>
      <c r="AC84" s="68">
        <f t="shared" si="76"/>
        <v>8.8630828876566804E-3</v>
      </c>
    </row>
    <row r="85" spans="1:29" ht="15" thickBot="1" x14ac:dyDescent="0.35">
      <c r="A85" s="31" t="s">
        <v>210</v>
      </c>
      <c r="B85" s="67">
        <f>B74+B75+B76+B77+B78+B79+B80+B81+B82+B83+B84</f>
        <v>0.23308732082245304</v>
      </c>
      <c r="C85" s="67">
        <f t="shared" ref="C85:AC85" si="77">C74+C75+C76+C77+C78+C79+C80+C81+C82+C83+C84</f>
        <v>0.23310362128059528</v>
      </c>
      <c r="D85" s="67">
        <f t="shared" si="77"/>
        <v>0.23312691979661559</v>
      </c>
      <c r="E85" s="67">
        <f t="shared" si="77"/>
        <v>0.2331601760782315</v>
      </c>
      <c r="F85" s="67">
        <f t="shared" si="77"/>
        <v>0.23320755310925442</v>
      </c>
      <c r="G85" s="67">
        <f t="shared" si="77"/>
        <v>0.23327485561628755</v>
      </c>
      <c r="H85" s="67">
        <f t="shared" si="77"/>
        <v>0.2333700781751096</v>
      </c>
      <c r="I85" s="67">
        <f t="shared" si="77"/>
        <v>0.2335040438737824</v>
      </c>
      <c r="J85" s="67">
        <f t="shared" si="77"/>
        <v>0.23369106778795365</v>
      </c>
      <c r="K85" s="67">
        <f t="shared" si="77"/>
        <v>0.23394950906068337</v>
      </c>
      <c r="L85" s="67">
        <f t="shared" si="77"/>
        <v>0.23430197908223119</v>
      </c>
      <c r="M85" s="67">
        <f t="shared" si="77"/>
        <v>0.23477482174539976</v>
      </c>
      <c r="N85" s="67">
        <f t="shared" si="77"/>
        <v>0.23539618740852902</v>
      </c>
      <c r="O85" s="67">
        <f t="shared" si="77"/>
        <v>0.23619156844236872</v>
      </c>
      <c r="P85" s="67">
        <f t="shared" si="77"/>
        <v>0.2371755646194669</v>
      </c>
      <c r="Q85" s="67">
        <f t="shared" si="77"/>
        <v>0.2383402121939428</v>
      </c>
      <c r="R85" s="67">
        <f t="shared" si="77"/>
        <v>0.23964425449338028</v>
      </c>
      <c r="S85" s="67">
        <f t="shared" si="77"/>
        <v>0.24101175643048153</v>
      </c>
      <c r="T85" s="67">
        <f t="shared" si="77"/>
        <v>0.24234648480292861</v>
      </c>
      <c r="U85" s="67">
        <f t="shared" si="77"/>
        <v>0.24355808237611862</v>
      </c>
      <c r="V85" s="67">
        <f t="shared" si="77"/>
        <v>0.24458589532973082</v>
      </c>
      <c r="W85" s="67">
        <f t="shared" si="77"/>
        <v>0.24540802276809126</v>
      </c>
      <c r="X85" s="67">
        <f t="shared" si="77"/>
        <v>0.24603486353558843</v>
      </c>
      <c r="Y85" s="67">
        <f t="shared" si="77"/>
        <v>0.24649541144830039</v>
      </c>
      <c r="Z85" s="67">
        <f t="shared" si="77"/>
        <v>0.24682458811058344</v>
      </c>
      <c r="AA85" s="67">
        <f t="shared" si="77"/>
        <v>0.24705524204152049</v>
      </c>
      <c r="AB85" s="67">
        <f t="shared" si="77"/>
        <v>0.24721461499227146</v>
      </c>
      <c r="AC85" s="67">
        <f t="shared" si="77"/>
        <v>0.247323671315758</v>
      </c>
    </row>
    <row r="87" spans="1:29" x14ac:dyDescent="0.3">
      <c r="B87" s="40"/>
    </row>
    <row r="107" spans="1:2" s="3" customFormat="1" ht="21" x14ac:dyDescent="0.4">
      <c r="A107" s="2" t="str">
        <f>'Parameter Input'!A19</f>
        <v>Road long-haul: Liquid bulk</v>
      </c>
    </row>
    <row r="108" spans="1:2" s="3" customFormat="1" ht="21" x14ac:dyDescent="0.4">
      <c r="A108" s="2" t="s">
        <v>11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Input'!L8</f>
        <v>105000</v>
      </c>
      <c r="C117" s="42">
        <f>'Parameter Input'!M8</f>
        <v>115000</v>
      </c>
      <c r="D117" s="1" t="s">
        <v>15</v>
      </c>
      <c r="L117" s="51">
        <f>'Parameter Input'!O8</f>
        <v>12</v>
      </c>
      <c r="M117" s="52">
        <v>0</v>
      </c>
      <c r="N117" s="52">
        <v>1</v>
      </c>
      <c r="O117" s="52">
        <f>'Parameter Input'!P8</f>
        <v>0.9</v>
      </c>
      <c r="P117" s="53">
        <f>'Parameter Input'!Q8</f>
        <v>0.4</v>
      </c>
      <c r="Q117" s="4">
        <f t="shared" ref="Q117:AR127" si="78">$N117+($M117-$N117)*((1/(1+EXP(-$P117*(Q$9-$L117)))^$O117))</f>
        <v>0.9867978615748374</v>
      </c>
      <c r="R117" s="4">
        <f t="shared" si="78"/>
        <v>0.98114509762858249</v>
      </c>
      <c r="S117" s="4">
        <f t="shared" si="78"/>
        <v>0.97311898315872036</v>
      </c>
      <c r="T117" s="4">
        <f t="shared" si="78"/>
        <v>0.96177484161592774</v>
      </c>
      <c r="U117" s="4">
        <f t="shared" si="78"/>
        <v>0.94584787155511363</v>
      </c>
      <c r="V117" s="4">
        <f t="shared" si="78"/>
        <v>0.92370360150141495</v>
      </c>
      <c r="W117" s="4">
        <f t="shared" si="78"/>
        <v>0.89334463567658451</v>
      </c>
      <c r="X117" s="4">
        <f t="shared" si="78"/>
        <v>0.85254543874327005</v>
      </c>
      <c r="Y117" s="4">
        <f t="shared" si="78"/>
        <v>0.79921300652623883</v>
      </c>
      <c r="Z117" s="4">
        <f t="shared" si="78"/>
        <v>0.73204982249993378</v>
      </c>
      <c r="AA117" s="4">
        <f t="shared" si="78"/>
        <v>0.65145592958786691</v>
      </c>
      <c r="AB117" s="4">
        <f t="shared" si="78"/>
        <v>0.56032247880849573</v>
      </c>
      <c r="AC117" s="4">
        <f t="shared" si="78"/>
        <v>0.46411326873185343</v>
      </c>
      <c r="AD117" s="4">
        <f t="shared" si="78"/>
        <v>0.36979727595523937</v>
      </c>
      <c r="AE117" s="4">
        <f t="shared" si="78"/>
        <v>0.28393948637231203</v>
      </c>
      <c r="AF117" s="4">
        <f t="shared" si="78"/>
        <v>0.21097259161117732</v>
      </c>
      <c r="AG117" s="4">
        <f t="shared" si="78"/>
        <v>0.15253917653798199</v>
      </c>
      <c r="AH117" s="4">
        <f t="shared" si="78"/>
        <v>0.10795188737709993</v>
      </c>
      <c r="AI117" s="4">
        <f t="shared" si="78"/>
        <v>7.5176653938091809E-2</v>
      </c>
      <c r="AJ117" s="4">
        <f t="shared" si="78"/>
        <v>5.1742836177502194E-2</v>
      </c>
      <c r="AK117" s="4">
        <f t="shared" si="78"/>
        <v>3.5319190625345942E-2</v>
      </c>
      <c r="AL117" s="4">
        <f t="shared" si="78"/>
        <v>2.3969442072658165E-2</v>
      </c>
      <c r="AM117" s="4">
        <f t="shared" si="78"/>
        <v>1.6202243558389728E-2</v>
      </c>
      <c r="AN117" s="4">
        <f t="shared" si="78"/>
        <v>1.0922240564108399E-2</v>
      </c>
      <c r="AO117" s="4">
        <f t="shared" si="78"/>
        <v>7.3493212906090566E-3</v>
      </c>
      <c r="AP117" s="4">
        <f t="shared" si="78"/>
        <v>4.9390262185057265E-3</v>
      </c>
      <c r="AQ117" s="4">
        <f t="shared" si="78"/>
        <v>3.3164275492956197E-3</v>
      </c>
      <c r="AR117" s="4">
        <f t="shared" si="78"/>
        <v>2.2256362146679809E-3</v>
      </c>
    </row>
    <row r="118" spans="1:44" x14ac:dyDescent="0.3">
      <c r="A118" s="24" t="s">
        <v>28</v>
      </c>
      <c r="B118" s="60">
        <f>'Parameter Input'!L9</f>
        <v>-26250</v>
      </c>
      <c r="C118" s="61">
        <f>'Parameter Input'!M9</f>
        <v>-17250</v>
      </c>
      <c r="D118" s="1" t="s">
        <v>15</v>
      </c>
      <c r="L118" s="54">
        <f>'Parameter Input'!O9</f>
        <v>12</v>
      </c>
      <c r="M118" s="37">
        <v>0</v>
      </c>
      <c r="N118" s="37">
        <v>1</v>
      </c>
      <c r="O118" s="37">
        <f>'Parameter Input'!P9</f>
        <v>0.9</v>
      </c>
      <c r="P118" s="55">
        <f>'Parameter Input'!Q9</f>
        <v>0.4</v>
      </c>
      <c r="Q118" s="4">
        <f t="shared" si="78"/>
        <v>0.9867978615748374</v>
      </c>
      <c r="R118" s="4">
        <f t="shared" si="78"/>
        <v>0.98114509762858249</v>
      </c>
      <c r="S118" s="4">
        <f t="shared" si="78"/>
        <v>0.97311898315872036</v>
      </c>
      <c r="T118" s="4">
        <f t="shared" si="78"/>
        <v>0.96177484161592774</v>
      </c>
      <c r="U118" s="4">
        <f t="shared" si="78"/>
        <v>0.94584787155511363</v>
      </c>
      <c r="V118" s="4">
        <f t="shared" si="78"/>
        <v>0.92370360150141495</v>
      </c>
      <c r="W118" s="4">
        <f t="shared" si="78"/>
        <v>0.89334463567658451</v>
      </c>
      <c r="X118" s="4">
        <f t="shared" si="78"/>
        <v>0.85254543874327005</v>
      </c>
      <c r="Y118" s="4">
        <f t="shared" si="78"/>
        <v>0.79921300652623883</v>
      </c>
      <c r="Z118" s="4">
        <f t="shared" si="78"/>
        <v>0.73204982249993378</v>
      </c>
      <c r="AA118" s="4">
        <f t="shared" si="78"/>
        <v>0.65145592958786691</v>
      </c>
      <c r="AB118" s="4">
        <f t="shared" si="78"/>
        <v>0.56032247880849573</v>
      </c>
      <c r="AC118" s="4">
        <f t="shared" si="78"/>
        <v>0.46411326873185343</v>
      </c>
      <c r="AD118" s="4">
        <f t="shared" si="78"/>
        <v>0.36979727595523937</v>
      </c>
      <c r="AE118" s="4">
        <f t="shared" si="78"/>
        <v>0.28393948637231203</v>
      </c>
      <c r="AF118" s="4">
        <f t="shared" si="78"/>
        <v>0.21097259161117732</v>
      </c>
      <c r="AG118" s="4">
        <f t="shared" si="78"/>
        <v>0.15253917653798199</v>
      </c>
      <c r="AH118" s="4">
        <f t="shared" si="78"/>
        <v>0.10795188737709993</v>
      </c>
      <c r="AI118" s="4">
        <f t="shared" si="78"/>
        <v>7.5176653938091809E-2</v>
      </c>
      <c r="AJ118" s="4">
        <f t="shared" si="78"/>
        <v>5.1742836177502194E-2</v>
      </c>
      <c r="AK118" s="4">
        <f t="shared" si="78"/>
        <v>3.5319190625345942E-2</v>
      </c>
      <c r="AL118" s="4">
        <f t="shared" si="78"/>
        <v>2.3969442072658165E-2</v>
      </c>
      <c r="AM118" s="4">
        <f t="shared" si="78"/>
        <v>1.6202243558389728E-2</v>
      </c>
      <c r="AN118" s="4">
        <f t="shared" si="78"/>
        <v>1.0922240564108399E-2</v>
      </c>
      <c r="AO118" s="4">
        <f t="shared" si="78"/>
        <v>7.3493212906090566E-3</v>
      </c>
      <c r="AP118" s="4">
        <f t="shared" si="78"/>
        <v>4.9390262185057265E-3</v>
      </c>
      <c r="AQ118" s="4">
        <f t="shared" si="78"/>
        <v>3.3164275492956197E-3</v>
      </c>
      <c r="AR118" s="4">
        <f t="shared" si="78"/>
        <v>2.2256362146679809E-3</v>
      </c>
    </row>
    <row r="119" spans="1:44" x14ac:dyDescent="0.3">
      <c r="A119" s="24" t="s">
        <v>14</v>
      </c>
      <c r="B119" s="60">
        <f>'Parameter Input'!B20</f>
        <v>60000</v>
      </c>
      <c r="C119" s="61">
        <f>'Parameter Input'!C20</f>
        <v>60000</v>
      </c>
      <c r="D119" s="1" t="s">
        <v>15</v>
      </c>
      <c r="L119" s="54">
        <f>'Parameter Input'!E20</f>
        <v>12</v>
      </c>
      <c r="M119" s="37">
        <v>0</v>
      </c>
      <c r="N119" s="37">
        <v>1</v>
      </c>
      <c r="O119" s="37">
        <f>'Parameter Input'!F20</f>
        <v>0.9</v>
      </c>
      <c r="P119" s="55">
        <f>'Parameter Input'!G20</f>
        <v>0.4</v>
      </c>
      <c r="Q119" s="4">
        <f t="shared" si="78"/>
        <v>0.9867978615748374</v>
      </c>
      <c r="R119" s="4">
        <f t="shared" si="78"/>
        <v>0.98114509762858249</v>
      </c>
      <c r="S119" s="4">
        <f t="shared" si="78"/>
        <v>0.97311898315872036</v>
      </c>
      <c r="T119" s="4">
        <f t="shared" si="78"/>
        <v>0.96177484161592774</v>
      </c>
      <c r="U119" s="4">
        <f t="shared" si="78"/>
        <v>0.94584787155511363</v>
      </c>
      <c r="V119" s="4">
        <f t="shared" si="78"/>
        <v>0.92370360150141495</v>
      </c>
      <c r="W119" s="4">
        <f t="shared" si="78"/>
        <v>0.89334463567658451</v>
      </c>
      <c r="X119" s="4">
        <f t="shared" si="78"/>
        <v>0.85254543874327005</v>
      </c>
      <c r="Y119" s="4">
        <f t="shared" si="78"/>
        <v>0.79921300652623883</v>
      </c>
      <c r="Z119" s="4">
        <f t="shared" si="78"/>
        <v>0.73204982249993378</v>
      </c>
      <c r="AA119" s="4">
        <f t="shared" si="78"/>
        <v>0.65145592958786691</v>
      </c>
      <c r="AB119" s="4">
        <f t="shared" si="78"/>
        <v>0.56032247880849573</v>
      </c>
      <c r="AC119" s="4">
        <f t="shared" si="78"/>
        <v>0.46411326873185343</v>
      </c>
      <c r="AD119" s="4">
        <f t="shared" si="78"/>
        <v>0.36979727595523937</v>
      </c>
      <c r="AE119" s="4">
        <f t="shared" si="78"/>
        <v>0.28393948637231203</v>
      </c>
      <c r="AF119" s="4">
        <f t="shared" si="78"/>
        <v>0.21097259161117732</v>
      </c>
      <c r="AG119" s="4">
        <f t="shared" si="78"/>
        <v>0.15253917653798199</v>
      </c>
      <c r="AH119" s="4">
        <f t="shared" si="78"/>
        <v>0.10795188737709993</v>
      </c>
      <c r="AI119" s="4">
        <f t="shared" si="78"/>
        <v>7.5176653938091809E-2</v>
      </c>
      <c r="AJ119" s="4">
        <f t="shared" si="78"/>
        <v>5.1742836177502194E-2</v>
      </c>
      <c r="AK119" s="4">
        <f t="shared" si="78"/>
        <v>3.5319190625345942E-2</v>
      </c>
      <c r="AL119" s="4">
        <f t="shared" si="78"/>
        <v>2.3969442072658165E-2</v>
      </c>
      <c r="AM119" s="4">
        <f t="shared" si="78"/>
        <v>1.6202243558389728E-2</v>
      </c>
      <c r="AN119" s="4">
        <f t="shared" si="78"/>
        <v>1.0922240564108399E-2</v>
      </c>
      <c r="AO119" s="4">
        <f t="shared" si="78"/>
        <v>7.3493212906090566E-3</v>
      </c>
      <c r="AP119" s="4">
        <f t="shared" si="78"/>
        <v>4.9390262185057265E-3</v>
      </c>
      <c r="AQ119" s="4">
        <f t="shared" si="78"/>
        <v>3.3164275492956197E-3</v>
      </c>
      <c r="AR119" s="4">
        <f t="shared" si="78"/>
        <v>2.2256362146679809E-3</v>
      </c>
    </row>
    <row r="120" spans="1:44" x14ac:dyDescent="0.3">
      <c r="A120" s="24" t="s">
        <v>25</v>
      </c>
      <c r="B120" s="60">
        <f>'Parameter Input'!B21</f>
        <v>-15000</v>
      </c>
      <c r="C120" s="61">
        <f>'Parameter Input'!C21</f>
        <v>-15000</v>
      </c>
      <c r="D120" s="1" t="s">
        <v>15</v>
      </c>
      <c r="L120" s="54">
        <f>'Parameter Input'!E21</f>
        <v>12</v>
      </c>
      <c r="M120" s="37">
        <v>0</v>
      </c>
      <c r="N120" s="37">
        <v>1</v>
      </c>
      <c r="O120" s="37">
        <f>'Parameter Input'!F21</f>
        <v>0.9</v>
      </c>
      <c r="P120" s="55">
        <f>'Parameter Input'!G21</f>
        <v>0.4</v>
      </c>
      <c r="Q120" s="4">
        <f t="shared" si="78"/>
        <v>0.9867978615748374</v>
      </c>
      <c r="R120" s="4">
        <f t="shared" si="78"/>
        <v>0.98114509762858249</v>
      </c>
      <c r="S120" s="4">
        <f t="shared" si="78"/>
        <v>0.97311898315872036</v>
      </c>
      <c r="T120" s="4">
        <f t="shared" si="78"/>
        <v>0.96177484161592774</v>
      </c>
      <c r="U120" s="4">
        <f t="shared" si="78"/>
        <v>0.94584787155511363</v>
      </c>
      <c r="V120" s="4">
        <f t="shared" si="78"/>
        <v>0.92370360150141495</v>
      </c>
      <c r="W120" s="4">
        <f t="shared" si="78"/>
        <v>0.89334463567658451</v>
      </c>
      <c r="X120" s="4">
        <f t="shared" si="78"/>
        <v>0.85254543874327005</v>
      </c>
      <c r="Y120" s="4">
        <f t="shared" si="78"/>
        <v>0.79921300652623883</v>
      </c>
      <c r="Z120" s="4">
        <f t="shared" si="78"/>
        <v>0.73204982249993378</v>
      </c>
      <c r="AA120" s="4">
        <f t="shared" si="78"/>
        <v>0.65145592958786691</v>
      </c>
      <c r="AB120" s="4">
        <f t="shared" si="78"/>
        <v>0.56032247880849573</v>
      </c>
      <c r="AC120" s="4">
        <f t="shared" si="78"/>
        <v>0.46411326873185343</v>
      </c>
      <c r="AD120" s="4">
        <f t="shared" si="78"/>
        <v>0.36979727595523937</v>
      </c>
      <c r="AE120" s="4">
        <f t="shared" si="78"/>
        <v>0.28393948637231203</v>
      </c>
      <c r="AF120" s="4">
        <f t="shared" si="78"/>
        <v>0.21097259161117732</v>
      </c>
      <c r="AG120" s="4">
        <f t="shared" si="78"/>
        <v>0.15253917653798199</v>
      </c>
      <c r="AH120" s="4">
        <f t="shared" si="78"/>
        <v>0.10795188737709993</v>
      </c>
      <c r="AI120" s="4">
        <f t="shared" si="78"/>
        <v>7.5176653938091809E-2</v>
      </c>
      <c r="AJ120" s="4">
        <f t="shared" si="78"/>
        <v>5.1742836177502194E-2</v>
      </c>
      <c r="AK120" s="4">
        <f t="shared" si="78"/>
        <v>3.5319190625345942E-2</v>
      </c>
      <c r="AL120" s="4">
        <f t="shared" si="78"/>
        <v>2.3969442072658165E-2</v>
      </c>
      <c r="AM120" s="4">
        <f t="shared" si="78"/>
        <v>1.6202243558389728E-2</v>
      </c>
      <c r="AN120" s="4">
        <f t="shared" si="78"/>
        <v>1.0922240564108399E-2</v>
      </c>
      <c r="AO120" s="4">
        <f t="shared" si="78"/>
        <v>7.3493212906090566E-3</v>
      </c>
      <c r="AP120" s="4">
        <f t="shared" si="78"/>
        <v>4.9390262185057265E-3</v>
      </c>
      <c r="AQ120" s="4">
        <f t="shared" si="78"/>
        <v>3.3164275492956197E-3</v>
      </c>
      <c r="AR120" s="4">
        <f t="shared" si="78"/>
        <v>2.2256362146679809E-3</v>
      </c>
    </row>
    <row r="121" spans="1:44" x14ac:dyDescent="0.3">
      <c r="A121" s="24" t="s">
        <v>79</v>
      </c>
      <c r="B121" s="60">
        <f>'Parameter Input'!L15</f>
        <v>0.06</v>
      </c>
      <c r="C121" s="61">
        <f>'Parameter Input'!M15</f>
        <v>0.06</v>
      </c>
      <c r="D121" s="1" t="s">
        <v>57</v>
      </c>
      <c r="L121" s="54">
        <f>'Parameter Input'!O15</f>
        <v>12</v>
      </c>
      <c r="M121" s="37">
        <v>0</v>
      </c>
      <c r="N121" s="37">
        <v>1</v>
      </c>
      <c r="O121" s="37">
        <f>'Parameter Input'!P15</f>
        <v>0.9</v>
      </c>
      <c r="P121" s="55">
        <f>'Parameter Input'!Q15</f>
        <v>0.4</v>
      </c>
      <c r="Q121" s="4">
        <f t="shared" si="78"/>
        <v>0.9867978615748374</v>
      </c>
      <c r="R121" s="4">
        <f t="shared" si="78"/>
        <v>0.98114509762858249</v>
      </c>
      <c r="S121" s="4">
        <f t="shared" si="78"/>
        <v>0.97311898315872036</v>
      </c>
      <c r="T121" s="4">
        <f t="shared" si="78"/>
        <v>0.96177484161592774</v>
      </c>
      <c r="U121" s="4">
        <f t="shared" si="78"/>
        <v>0.94584787155511363</v>
      </c>
      <c r="V121" s="4">
        <f t="shared" si="78"/>
        <v>0.92370360150141495</v>
      </c>
      <c r="W121" s="4">
        <f t="shared" si="78"/>
        <v>0.89334463567658451</v>
      </c>
      <c r="X121" s="4">
        <f t="shared" si="78"/>
        <v>0.85254543874327005</v>
      </c>
      <c r="Y121" s="4">
        <f t="shared" si="78"/>
        <v>0.79921300652623883</v>
      </c>
      <c r="Z121" s="4">
        <f t="shared" si="78"/>
        <v>0.73204982249993378</v>
      </c>
      <c r="AA121" s="4">
        <f t="shared" si="78"/>
        <v>0.65145592958786691</v>
      </c>
      <c r="AB121" s="4">
        <f t="shared" si="78"/>
        <v>0.56032247880849573</v>
      </c>
      <c r="AC121" s="4">
        <f t="shared" si="78"/>
        <v>0.46411326873185343</v>
      </c>
      <c r="AD121" s="4">
        <f t="shared" si="78"/>
        <v>0.36979727595523937</v>
      </c>
      <c r="AE121" s="4">
        <f t="shared" si="78"/>
        <v>0.28393948637231203</v>
      </c>
      <c r="AF121" s="4">
        <f t="shared" si="78"/>
        <v>0.21097259161117732</v>
      </c>
      <c r="AG121" s="4">
        <f t="shared" si="78"/>
        <v>0.15253917653798199</v>
      </c>
      <c r="AH121" s="4">
        <f t="shared" si="78"/>
        <v>0.10795188737709993</v>
      </c>
      <c r="AI121" s="4">
        <f t="shared" si="78"/>
        <v>7.5176653938091809E-2</v>
      </c>
      <c r="AJ121" s="4">
        <f t="shared" si="78"/>
        <v>5.1742836177502194E-2</v>
      </c>
      <c r="AK121" s="4">
        <f t="shared" si="78"/>
        <v>3.5319190625345942E-2</v>
      </c>
      <c r="AL121" s="4">
        <f t="shared" si="78"/>
        <v>2.3969442072658165E-2</v>
      </c>
      <c r="AM121" s="4">
        <f t="shared" si="78"/>
        <v>1.6202243558389728E-2</v>
      </c>
      <c r="AN121" s="4">
        <f t="shared" si="78"/>
        <v>1.0922240564108399E-2</v>
      </c>
      <c r="AO121" s="4">
        <f t="shared" si="78"/>
        <v>7.3493212906090566E-3</v>
      </c>
      <c r="AP121" s="4">
        <f t="shared" si="78"/>
        <v>4.9390262185057265E-3</v>
      </c>
      <c r="AQ121" s="4">
        <f t="shared" si="78"/>
        <v>3.3164275492956197E-3</v>
      </c>
      <c r="AR121" s="4">
        <f t="shared" si="78"/>
        <v>2.2256362146679809E-3</v>
      </c>
    </row>
    <row r="122" spans="1:44" x14ac:dyDescent="0.3">
      <c r="A122" s="24" t="s">
        <v>37</v>
      </c>
      <c r="B122" s="60">
        <f>'Parameter Input'!B22</f>
        <v>70000</v>
      </c>
      <c r="C122" s="61">
        <f>'Parameter Input'!C22</f>
        <v>70000</v>
      </c>
      <c r="D122" s="1" t="s">
        <v>38</v>
      </c>
      <c r="L122" s="54">
        <f>'Parameter Input'!E22</f>
        <v>12</v>
      </c>
      <c r="M122" s="37">
        <v>0</v>
      </c>
      <c r="N122" s="37">
        <v>1</v>
      </c>
      <c r="O122" s="37">
        <f>'Parameter Input'!F22</f>
        <v>0.9</v>
      </c>
      <c r="P122" s="55">
        <f>'Parameter Input'!G22</f>
        <v>0.4</v>
      </c>
      <c r="Q122" s="4">
        <f t="shared" si="78"/>
        <v>0.9867978615748374</v>
      </c>
      <c r="R122" s="4">
        <f t="shared" si="78"/>
        <v>0.98114509762858249</v>
      </c>
      <c r="S122" s="4">
        <f t="shared" si="78"/>
        <v>0.97311898315872036</v>
      </c>
      <c r="T122" s="4">
        <f t="shared" si="78"/>
        <v>0.96177484161592774</v>
      </c>
      <c r="U122" s="4">
        <f t="shared" si="78"/>
        <v>0.94584787155511363</v>
      </c>
      <c r="V122" s="4">
        <f t="shared" si="78"/>
        <v>0.92370360150141495</v>
      </c>
      <c r="W122" s="4">
        <f t="shared" si="78"/>
        <v>0.89334463567658451</v>
      </c>
      <c r="X122" s="4">
        <f t="shared" si="78"/>
        <v>0.85254543874327005</v>
      </c>
      <c r="Y122" s="4">
        <f t="shared" si="78"/>
        <v>0.79921300652623883</v>
      </c>
      <c r="Z122" s="4">
        <f t="shared" si="78"/>
        <v>0.73204982249993378</v>
      </c>
      <c r="AA122" s="4">
        <f t="shared" si="78"/>
        <v>0.65145592958786691</v>
      </c>
      <c r="AB122" s="4">
        <f t="shared" si="78"/>
        <v>0.56032247880849573</v>
      </c>
      <c r="AC122" s="4">
        <f t="shared" si="78"/>
        <v>0.46411326873185343</v>
      </c>
      <c r="AD122" s="4">
        <f t="shared" si="78"/>
        <v>0.36979727595523937</v>
      </c>
      <c r="AE122" s="4">
        <f t="shared" si="78"/>
        <v>0.28393948637231203</v>
      </c>
      <c r="AF122" s="4">
        <f t="shared" si="78"/>
        <v>0.21097259161117732</v>
      </c>
      <c r="AG122" s="4">
        <f t="shared" si="78"/>
        <v>0.15253917653798199</v>
      </c>
      <c r="AH122" s="4">
        <f t="shared" si="78"/>
        <v>0.10795188737709993</v>
      </c>
      <c r="AI122" s="4">
        <f t="shared" si="78"/>
        <v>7.5176653938091809E-2</v>
      </c>
      <c r="AJ122" s="4">
        <f t="shared" si="78"/>
        <v>5.1742836177502194E-2</v>
      </c>
      <c r="AK122" s="4">
        <f t="shared" si="78"/>
        <v>3.5319190625345942E-2</v>
      </c>
      <c r="AL122" s="4">
        <f t="shared" si="78"/>
        <v>2.3969442072658165E-2</v>
      </c>
      <c r="AM122" s="4">
        <f t="shared" si="78"/>
        <v>1.6202243558389728E-2</v>
      </c>
      <c r="AN122" s="4">
        <f t="shared" si="78"/>
        <v>1.0922240564108399E-2</v>
      </c>
      <c r="AO122" s="4">
        <f t="shared" si="78"/>
        <v>7.3493212906090566E-3</v>
      </c>
      <c r="AP122" s="4">
        <f t="shared" si="78"/>
        <v>4.9390262185057265E-3</v>
      </c>
      <c r="AQ122" s="4">
        <f t="shared" si="78"/>
        <v>3.3164275492956197E-3</v>
      </c>
      <c r="AR122" s="4">
        <f t="shared" si="78"/>
        <v>2.2256362146679809E-3</v>
      </c>
    </row>
    <row r="123" spans="1:44" x14ac:dyDescent="0.3">
      <c r="A123" s="24" t="s">
        <v>52</v>
      </c>
      <c r="B123" s="60">
        <f>'Parameter Input'!L11</f>
        <v>20000</v>
      </c>
      <c r="C123" s="61">
        <f>'Parameter Input'!M11</f>
        <v>20000</v>
      </c>
      <c r="D123" s="1" t="s">
        <v>38</v>
      </c>
      <c r="L123" s="54">
        <f>'Parameter Input'!O11</f>
        <v>12</v>
      </c>
      <c r="M123" s="37">
        <v>0</v>
      </c>
      <c r="N123" s="37">
        <v>1</v>
      </c>
      <c r="O123" s="37">
        <f>'Parameter Input'!P11</f>
        <v>0.9</v>
      </c>
      <c r="P123" s="55">
        <f>'Parameter Input'!Q11</f>
        <v>0.4</v>
      </c>
      <c r="Q123" s="4">
        <f t="shared" si="78"/>
        <v>0.9867978615748374</v>
      </c>
      <c r="R123" s="4">
        <f t="shared" si="78"/>
        <v>0.98114509762858249</v>
      </c>
      <c r="S123" s="4">
        <f t="shared" si="78"/>
        <v>0.97311898315872036</v>
      </c>
      <c r="T123" s="4">
        <f t="shared" si="78"/>
        <v>0.96177484161592774</v>
      </c>
      <c r="U123" s="4">
        <f t="shared" si="78"/>
        <v>0.94584787155511363</v>
      </c>
      <c r="V123" s="4">
        <f t="shared" si="78"/>
        <v>0.92370360150141495</v>
      </c>
      <c r="W123" s="4">
        <f t="shared" si="78"/>
        <v>0.89334463567658451</v>
      </c>
      <c r="X123" s="4">
        <f t="shared" si="78"/>
        <v>0.85254543874327005</v>
      </c>
      <c r="Y123" s="4">
        <f t="shared" si="78"/>
        <v>0.79921300652623883</v>
      </c>
      <c r="Z123" s="4">
        <f t="shared" si="78"/>
        <v>0.73204982249993378</v>
      </c>
      <c r="AA123" s="4">
        <f t="shared" si="78"/>
        <v>0.65145592958786691</v>
      </c>
      <c r="AB123" s="4">
        <f t="shared" si="78"/>
        <v>0.56032247880849573</v>
      </c>
      <c r="AC123" s="4">
        <f t="shared" si="78"/>
        <v>0.46411326873185343</v>
      </c>
      <c r="AD123" s="4">
        <f t="shared" si="78"/>
        <v>0.36979727595523937</v>
      </c>
      <c r="AE123" s="4">
        <f t="shared" si="78"/>
        <v>0.28393948637231203</v>
      </c>
      <c r="AF123" s="4">
        <f t="shared" si="78"/>
        <v>0.21097259161117732</v>
      </c>
      <c r="AG123" s="4">
        <f t="shared" si="78"/>
        <v>0.15253917653798199</v>
      </c>
      <c r="AH123" s="4">
        <f t="shared" si="78"/>
        <v>0.10795188737709993</v>
      </c>
      <c r="AI123" s="4">
        <f t="shared" si="78"/>
        <v>7.5176653938091809E-2</v>
      </c>
      <c r="AJ123" s="4">
        <f t="shared" si="78"/>
        <v>5.1742836177502194E-2</v>
      </c>
      <c r="AK123" s="4">
        <f t="shared" si="78"/>
        <v>3.5319190625345942E-2</v>
      </c>
      <c r="AL123" s="4">
        <f t="shared" si="78"/>
        <v>2.3969442072658165E-2</v>
      </c>
      <c r="AM123" s="4">
        <f t="shared" si="78"/>
        <v>1.6202243558389728E-2</v>
      </c>
      <c r="AN123" s="4">
        <f t="shared" si="78"/>
        <v>1.0922240564108399E-2</v>
      </c>
      <c r="AO123" s="4">
        <f t="shared" si="78"/>
        <v>7.3493212906090566E-3</v>
      </c>
      <c r="AP123" s="4">
        <f t="shared" si="78"/>
        <v>4.9390262185057265E-3</v>
      </c>
      <c r="AQ123" s="4">
        <f t="shared" si="78"/>
        <v>3.3164275492956197E-3</v>
      </c>
      <c r="AR123" s="4">
        <f t="shared" si="78"/>
        <v>2.2256362146679809E-3</v>
      </c>
    </row>
    <row r="124" spans="1:44" x14ac:dyDescent="0.3">
      <c r="A124" s="24" t="s">
        <v>273</v>
      </c>
      <c r="B124" s="60">
        <f>'Parameter Input'!B27</f>
        <v>0.11</v>
      </c>
      <c r="C124" s="61">
        <f>'Parameter Input'!C27</f>
        <v>0.11</v>
      </c>
      <c r="D124" s="1" t="s">
        <v>76</v>
      </c>
      <c r="L124" s="54">
        <f>'Parameter Input'!E27</f>
        <v>12</v>
      </c>
      <c r="M124" s="37">
        <v>0</v>
      </c>
      <c r="N124" s="37">
        <v>1</v>
      </c>
      <c r="O124" s="37">
        <f>'Parameter Input'!F27</f>
        <v>0.9</v>
      </c>
      <c r="P124" s="55">
        <f>'Parameter Input'!G27</f>
        <v>0.4</v>
      </c>
      <c r="Q124" s="4">
        <f t="shared" si="78"/>
        <v>0.9867978615748374</v>
      </c>
      <c r="R124" s="4">
        <f t="shared" si="78"/>
        <v>0.98114509762858249</v>
      </c>
      <c r="S124" s="4">
        <f t="shared" si="78"/>
        <v>0.97311898315872036</v>
      </c>
      <c r="T124" s="4">
        <f t="shared" si="78"/>
        <v>0.96177484161592774</v>
      </c>
      <c r="U124" s="4">
        <f t="shared" si="78"/>
        <v>0.94584787155511363</v>
      </c>
      <c r="V124" s="4">
        <f t="shared" si="78"/>
        <v>0.92370360150141495</v>
      </c>
      <c r="W124" s="4">
        <f t="shared" si="78"/>
        <v>0.89334463567658451</v>
      </c>
      <c r="X124" s="4">
        <f t="shared" si="78"/>
        <v>0.85254543874327005</v>
      </c>
      <c r="Y124" s="4">
        <f t="shared" si="78"/>
        <v>0.79921300652623883</v>
      </c>
      <c r="Z124" s="4">
        <f t="shared" si="78"/>
        <v>0.73204982249993378</v>
      </c>
      <c r="AA124" s="4">
        <f t="shared" si="78"/>
        <v>0.65145592958786691</v>
      </c>
      <c r="AB124" s="4">
        <f t="shared" si="78"/>
        <v>0.56032247880849573</v>
      </c>
      <c r="AC124" s="4">
        <f t="shared" si="78"/>
        <v>0.46411326873185343</v>
      </c>
      <c r="AD124" s="4">
        <f t="shared" si="78"/>
        <v>0.36979727595523937</v>
      </c>
      <c r="AE124" s="4">
        <f t="shared" si="78"/>
        <v>0.28393948637231203</v>
      </c>
      <c r="AF124" s="4">
        <f t="shared" si="78"/>
        <v>0.21097259161117732</v>
      </c>
      <c r="AG124" s="4">
        <f t="shared" si="78"/>
        <v>0.15253917653798199</v>
      </c>
      <c r="AH124" s="4">
        <f t="shared" si="78"/>
        <v>0.10795188737709993</v>
      </c>
      <c r="AI124" s="4">
        <f t="shared" si="78"/>
        <v>7.5176653938091809E-2</v>
      </c>
      <c r="AJ124" s="4">
        <f t="shared" si="78"/>
        <v>5.1742836177502194E-2</v>
      </c>
      <c r="AK124" s="4">
        <f t="shared" si="78"/>
        <v>3.5319190625345942E-2</v>
      </c>
      <c r="AL124" s="4">
        <f t="shared" si="78"/>
        <v>2.3969442072658165E-2</v>
      </c>
      <c r="AM124" s="4">
        <f t="shared" si="78"/>
        <v>1.6202243558389728E-2</v>
      </c>
      <c r="AN124" s="4">
        <f t="shared" si="78"/>
        <v>1.0922240564108399E-2</v>
      </c>
      <c r="AO124" s="4">
        <f t="shared" si="78"/>
        <v>7.3493212906090566E-3</v>
      </c>
      <c r="AP124" s="4">
        <f t="shared" si="78"/>
        <v>4.9390262185057265E-3</v>
      </c>
      <c r="AQ124" s="4">
        <f t="shared" si="78"/>
        <v>3.3164275492956197E-3</v>
      </c>
      <c r="AR124" s="4">
        <f t="shared" si="78"/>
        <v>2.2256362146679809E-3</v>
      </c>
    </row>
    <row r="125" spans="1:44" x14ac:dyDescent="0.3">
      <c r="A125" s="24" t="s">
        <v>59</v>
      </c>
      <c r="B125" s="78">
        <f>'Parameter Input'!L12</f>
        <v>2.9</v>
      </c>
      <c r="C125" s="61">
        <f>'Parameter Input'!M12</f>
        <v>2.4</v>
      </c>
      <c r="D125" s="1" t="s">
        <v>60</v>
      </c>
      <c r="L125" s="54">
        <f>'Parameter Input'!O12</f>
        <v>12</v>
      </c>
      <c r="M125" s="37">
        <v>0</v>
      </c>
      <c r="N125" s="37">
        <v>1</v>
      </c>
      <c r="O125" s="37">
        <f>'Parameter Input'!P12</f>
        <v>0.9</v>
      </c>
      <c r="P125" s="55">
        <f>'Parameter Input'!Q12</f>
        <v>0.4</v>
      </c>
      <c r="Q125" s="4">
        <f t="shared" si="78"/>
        <v>0.9867978615748374</v>
      </c>
      <c r="R125" s="4">
        <f t="shared" si="78"/>
        <v>0.98114509762858249</v>
      </c>
      <c r="S125" s="4">
        <f t="shared" si="78"/>
        <v>0.97311898315872036</v>
      </c>
      <c r="T125" s="4">
        <f t="shared" si="78"/>
        <v>0.96177484161592774</v>
      </c>
      <c r="U125" s="4">
        <f t="shared" si="78"/>
        <v>0.94584787155511363</v>
      </c>
      <c r="V125" s="4">
        <f t="shared" si="78"/>
        <v>0.92370360150141495</v>
      </c>
      <c r="W125" s="4">
        <f t="shared" si="78"/>
        <v>0.89334463567658451</v>
      </c>
      <c r="X125" s="4">
        <f t="shared" si="78"/>
        <v>0.85254543874327005</v>
      </c>
      <c r="Y125" s="4">
        <f t="shared" si="78"/>
        <v>0.79921300652623883</v>
      </c>
      <c r="Z125" s="4">
        <f t="shared" si="78"/>
        <v>0.73204982249993378</v>
      </c>
      <c r="AA125" s="4">
        <f t="shared" si="78"/>
        <v>0.65145592958786691</v>
      </c>
      <c r="AB125" s="4">
        <f t="shared" si="78"/>
        <v>0.56032247880849573</v>
      </c>
      <c r="AC125" s="4">
        <f t="shared" si="78"/>
        <v>0.46411326873185343</v>
      </c>
      <c r="AD125" s="4">
        <f t="shared" si="78"/>
        <v>0.36979727595523937</v>
      </c>
      <c r="AE125" s="4">
        <f t="shared" si="78"/>
        <v>0.28393948637231203</v>
      </c>
      <c r="AF125" s="4">
        <f t="shared" si="78"/>
        <v>0.21097259161117732</v>
      </c>
      <c r="AG125" s="4">
        <f t="shared" si="78"/>
        <v>0.15253917653798199</v>
      </c>
      <c r="AH125" s="4">
        <f t="shared" si="78"/>
        <v>0.10795188737709993</v>
      </c>
      <c r="AI125" s="4">
        <f t="shared" si="78"/>
        <v>7.5176653938091809E-2</v>
      </c>
      <c r="AJ125" s="4">
        <f t="shared" si="78"/>
        <v>5.1742836177502194E-2</v>
      </c>
      <c r="AK125" s="4">
        <f t="shared" si="78"/>
        <v>3.5319190625345942E-2</v>
      </c>
      <c r="AL125" s="4">
        <f t="shared" si="78"/>
        <v>2.3969442072658165E-2</v>
      </c>
      <c r="AM125" s="4">
        <f t="shared" si="78"/>
        <v>1.6202243558389728E-2</v>
      </c>
      <c r="AN125" s="4">
        <f t="shared" si="78"/>
        <v>1.0922240564108399E-2</v>
      </c>
      <c r="AO125" s="4">
        <f t="shared" si="78"/>
        <v>7.3493212906090566E-3</v>
      </c>
      <c r="AP125" s="4">
        <f t="shared" si="78"/>
        <v>4.9390262185057265E-3</v>
      </c>
      <c r="AQ125" s="4">
        <f t="shared" si="78"/>
        <v>3.3164275492956197E-3</v>
      </c>
      <c r="AR125" s="4">
        <f t="shared" si="78"/>
        <v>2.2256362146679809E-3</v>
      </c>
    </row>
    <row r="126" spans="1:44" x14ac:dyDescent="0.3">
      <c r="A126" s="24" t="s">
        <v>67</v>
      </c>
      <c r="B126" s="79">
        <f>'Parameter Input'!L13</f>
        <v>0.1</v>
      </c>
      <c r="C126" s="61">
        <f>'Parameter Input'!M13</f>
        <v>0.1</v>
      </c>
      <c r="D126" s="1" t="s">
        <v>68</v>
      </c>
      <c r="L126" s="54">
        <f>'Parameter Input'!O13</f>
        <v>12</v>
      </c>
      <c r="M126" s="37">
        <v>0</v>
      </c>
      <c r="N126" s="37">
        <v>1</v>
      </c>
      <c r="O126" s="37">
        <f>'Parameter Input'!P13</f>
        <v>0.9</v>
      </c>
      <c r="P126" s="55">
        <f>'Parameter Input'!Q13</f>
        <v>0.4</v>
      </c>
      <c r="Q126" s="4">
        <f t="shared" si="78"/>
        <v>0.9867978615748374</v>
      </c>
      <c r="R126" s="4">
        <f t="shared" ref="R126:AR127" si="79">$N126+($M126-$N126)*((1/(1+EXP(-$P126*(R$9-$L126)))^$O126))</f>
        <v>0.98114509762858249</v>
      </c>
      <c r="S126" s="4">
        <f t="shared" si="79"/>
        <v>0.97311898315872036</v>
      </c>
      <c r="T126" s="4">
        <f t="shared" si="79"/>
        <v>0.96177484161592774</v>
      </c>
      <c r="U126" s="4">
        <f t="shared" si="79"/>
        <v>0.94584787155511363</v>
      </c>
      <c r="V126" s="4">
        <f t="shared" si="79"/>
        <v>0.92370360150141495</v>
      </c>
      <c r="W126" s="4">
        <f t="shared" si="79"/>
        <v>0.89334463567658451</v>
      </c>
      <c r="X126" s="4">
        <f t="shared" si="79"/>
        <v>0.85254543874327005</v>
      </c>
      <c r="Y126" s="4">
        <f t="shared" si="79"/>
        <v>0.79921300652623883</v>
      </c>
      <c r="Z126" s="4">
        <f t="shared" si="79"/>
        <v>0.73204982249993378</v>
      </c>
      <c r="AA126" s="4">
        <f t="shared" si="79"/>
        <v>0.65145592958786691</v>
      </c>
      <c r="AB126" s="4">
        <f t="shared" si="79"/>
        <v>0.56032247880849573</v>
      </c>
      <c r="AC126" s="4">
        <f t="shared" si="79"/>
        <v>0.46411326873185343</v>
      </c>
      <c r="AD126" s="4">
        <f t="shared" si="79"/>
        <v>0.36979727595523937</v>
      </c>
      <c r="AE126" s="4">
        <f t="shared" si="79"/>
        <v>0.28393948637231203</v>
      </c>
      <c r="AF126" s="4">
        <f t="shared" si="79"/>
        <v>0.21097259161117732</v>
      </c>
      <c r="AG126" s="4">
        <f t="shared" si="79"/>
        <v>0.15253917653798199</v>
      </c>
      <c r="AH126" s="4">
        <f t="shared" si="79"/>
        <v>0.10795188737709993</v>
      </c>
      <c r="AI126" s="4">
        <f t="shared" si="79"/>
        <v>7.5176653938091809E-2</v>
      </c>
      <c r="AJ126" s="4">
        <f t="shared" si="79"/>
        <v>5.1742836177502194E-2</v>
      </c>
      <c r="AK126" s="4">
        <f t="shared" si="79"/>
        <v>3.5319190625345942E-2</v>
      </c>
      <c r="AL126" s="4">
        <f t="shared" si="79"/>
        <v>2.3969442072658165E-2</v>
      </c>
      <c r="AM126" s="4">
        <f t="shared" si="79"/>
        <v>1.6202243558389728E-2</v>
      </c>
      <c r="AN126" s="4">
        <f t="shared" si="79"/>
        <v>1.0922240564108399E-2</v>
      </c>
      <c r="AO126" s="4">
        <f t="shared" si="79"/>
        <v>7.3493212906090566E-3</v>
      </c>
      <c r="AP126" s="4">
        <f t="shared" si="79"/>
        <v>4.9390262185057265E-3</v>
      </c>
      <c r="AQ126" s="4">
        <f t="shared" si="79"/>
        <v>3.3164275492956197E-3</v>
      </c>
      <c r="AR126" s="4">
        <f t="shared" si="79"/>
        <v>2.2256362146679809E-3</v>
      </c>
    </row>
    <row r="127" spans="1:44" x14ac:dyDescent="0.3">
      <c r="A127" s="24" t="s">
        <v>206</v>
      </c>
      <c r="B127" s="45">
        <f>'Parameter Input'!$L$16</f>
        <v>7.7317073170731707E-2</v>
      </c>
      <c r="C127" s="46">
        <f>'Parameter Input'!$M$16</f>
        <v>0.22395290159798151</v>
      </c>
      <c r="D127" s="1" t="s">
        <v>76</v>
      </c>
      <c r="L127" s="54">
        <f>'Parameter Input'!$O$16</f>
        <v>17</v>
      </c>
      <c r="M127" s="37">
        <v>0</v>
      </c>
      <c r="N127" s="37">
        <v>1</v>
      </c>
      <c r="O127" s="37">
        <f>'Parameter Input'!$P$16</f>
        <v>0.9</v>
      </c>
      <c r="P127" s="55">
        <f>'Parameter Input'!$Q$16</f>
        <v>0.4</v>
      </c>
      <c r="Q127" s="4">
        <f t="shared" si="78"/>
        <v>0.99780374543478534</v>
      </c>
      <c r="R127" s="4">
        <f t="shared" si="78"/>
        <v>0.99685359315256394</v>
      </c>
      <c r="S127" s="4">
        <f t="shared" si="79"/>
        <v>0.99549347132349975</v>
      </c>
      <c r="T127" s="4">
        <f t="shared" si="79"/>
        <v>0.99354772139898062</v>
      </c>
      <c r="U127" s="4">
        <f t="shared" si="79"/>
        <v>0.99076681540580536</v>
      </c>
      <c r="V127" s="4">
        <f t="shared" si="79"/>
        <v>0.9867978615748374</v>
      </c>
      <c r="W127" s="4">
        <f t="shared" si="79"/>
        <v>0.98114509762858249</v>
      </c>
      <c r="X127" s="4">
        <f t="shared" si="79"/>
        <v>0.97311898315872036</v>
      </c>
      <c r="Y127" s="4">
        <f t="shared" si="79"/>
        <v>0.96177484161592774</v>
      </c>
      <c r="Z127" s="4">
        <f t="shared" si="79"/>
        <v>0.94584787155511363</v>
      </c>
      <c r="AA127" s="4">
        <f t="shared" si="79"/>
        <v>0.92370360150141495</v>
      </c>
      <c r="AB127" s="4">
        <f t="shared" si="79"/>
        <v>0.89334463567658451</v>
      </c>
      <c r="AC127" s="4">
        <f t="shared" si="79"/>
        <v>0.85254543874327005</v>
      </c>
      <c r="AD127" s="4">
        <f t="shared" si="79"/>
        <v>0.79921300652623883</v>
      </c>
      <c r="AE127" s="4">
        <f t="shared" si="79"/>
        <v>0.73204982249993378</v>
      </c>
      <c r="AF127" s="4">
        <f t="shared" si="79"/>
        <v>0.65145592958786691</v>
      </c>
      <c r="AG127" s="4">
        <f t="shared" si="79"/>
        <v>0.56032247880849573</v>
      </c>
      <c r="AH127" s="4">
        <f t="shared" si="79"/>
        <v>0.46411326873185343</v>
      </c>
      <c r="AI127" s="4">
        <f t="shared" si="79"/>
        <v>0.36979727595523937</v>
      </c>
      <c r="AJ127" s="4">
        <f t="shared" si="79"/>
        <v>0.28393948637231203</v>
      </c>
      <c r="AK127" s="4">
        <f t="shared" si="79"/>
        <v>0.21097259161117732</v>
      </c>
      <c r="AL127" s="4">
        <f t="shared" si="79"/>
        <v>0.15253917653798199</v>
      </c>
      <c r="AM127" s="4">
        <f t="shared" si="79"/>
        <v>0.10795188737709993</v>
      </c>
      <c r="AN127" s="4">
        <f t="shared" si="79"/>
        <v>7.5176653938091809E-2</v>
      </c>
      <c r="AO127" s="4">
        <f t="shared" si="79"/>
        <v>5.1742836177502194E-2</v>
      </c>
      <c r="AP127" s="4">
        <f t="shared" si="79"/>
        <v>3.5319190625345942E-2</v>
      </c>
      <c r="AQ127" s="4">
        <f t="shared" si="79"/>
        <v>2.3969442072658165E-2</v>
      </c>
      <c r="AR127" s="4">
        <f t="shared" si="79"/>
        <v>1.6202243558389728E-2</v>
      </c>
    </row>
    <row r="128" spans="1:44" x14ac:dyDescent="0.3">
      <c r="A128" s="24" t="s">
        <v>41</v>
      </c>
      <c r="B128" s="60">
        <f>'Parameter Input'!L10</f>
        <v>8</v>
      </c>
      <c r="C128" s="61">
        <f>'Parameter Input'!M10</f>
        <v>8</v>
      </c>
      <c r="D128" s="1" t="s">
        <v>42</v>
      </c>
      <c r="L128" s="54">
        <f>'Parameter Input'!O10</f>
        <v>12</v>
      </c>
      <c r="M128" s="37">
        <v>0</v>
      </c>
      <c r="N128" s="37">
        <v>1</v>
      </c>
      <c r="O128" s="37">
        <f>'Parameter Input'!P10</f>
        <v>0.9</v>
      </c>
      <c r="P128" s="55">
        <f>'Parameter Input'!Q10</f>
        <v>0.4</v>
      </c>
      <c r="Q128" s="4">
        <f t="shared" ref="Q128:AF133" si="80">$N128+($M128-$N128)*((1/(1+EXP(-$P128*(Q$9-$L128)))^$O128))</f>
        <v>0.9867978615748374</v>
      </c>
      <c r="R128" s="4">
        <f t="shared" si="80"/>
        <v>0.98114509762858249</v>
      </c>
      <c r="S128" s="4">
        <f t="shared" si="80"/>
        <v>0.97311898315872036</v>
      </c>
      <c r="T128" s="4">
        <f t="shared" si="80"/>
        <v>0.96177484161592774</v>
      </c>
      <c r="U128" s="4">
        <f t="shared" si="80"/>
        <v>0.94584787155511363</v>
      </c>
      <c r="V128" s="4">
        <f t="shared" si="80"/>
        <v>0.92370360150141495</v>
      </c>
      <c r="W128" s="4">
        <f t="shared" si="80"/>
        <v>0.89334463567658451</v>
      </c>
      <c r="X128" s="4">
        <f t="shared" si="80"/>
        <v>0.85254543874327005</v>
      </c>
      <c r="Y128" s="4">
        <f t="shared" si="80"/>
        <v>0.79921300652623883</v>
      </c>
      <c r="Z128" s="4">
        <f t="shared" si="80"/>
        <v>0.73204982249993378</v>
      </c>
      <c r="AA128" s="4">
        <f t="shared" si="80"/>
        <v>0.65145592958786691</v>
      </c>
      <c r="AB128" s="4">
        <f t="shared" si="80"/>
        <v>0.56032247880849573</v>
      </c>
      <c r="AC128" s="4">
        <f t="shared" si="80"/>
        <v>0.46411326873185343</v>
      </c>
      <c r="AD128" s="4">
        <f t="shared" si="80"/>
        <v>0.36979727595523937</v>
      </c>
      <c r="AE128" s="4">
        <f t="shared" si="80"/>
        <v>0.28393948637231203</v>
      </c>
      <c r="AF128" s="4">
        <f t="shared" si="80"/>
        <v>0.21097259161117732</v>
      </c>
      <c r="AG128" s="4">
        <f t="shared" ref="AG128:AI133" si="81">$N128+($M128-$N128)*((1/(1+EXP(-$P128*(AG$9-$L128)))^$O128))</f>
        <v>0.15253917653798199</v>
      </c>
      <c r="AH128" s="4">
        <f t="shared" si="81"/>
        <v>0.10795188737709993</v>
      </c>
      <c r="AI128" s="4">
        <f t="shared" si="81"/>
        <v>7.5176653938091809E-2</v>
      </c>
      <c r="AJ128" s="4">
        <f t="shared" ref="AJ128:AR133" si="82">$N128+($M128-$N128)*((1/(1+EXP(-$P128*(AJ$9-$L128)))^$O128))</f>
        <v>5.1742836177502194E-2</v>
      </c>
      <c r="AK128" s="4">
        <f t="shared" si="82"/>
        <v>3.5319190625345942E-2</v>
      </c>
      <c r="AL128" s="4">
        <f t="shared" si="82"/>
        <v>2.3969442072658165E-2</v>
      </c>
      <c r="AM128" s="4">
        <f t="shared" si="82"/>
        <v>1.6202243558389728E-2</v>
      </c>
      <c r="AN128" s="4">
        <f t="shared" si="82"/>
        <v>1.0922240564108399E-2</v>
      </c>
      <c r="AO128" s="4">
        <f t="shared" si="82"/>
        <v>7.3493212906090566E-3</v>
      </c>
      <c r="AP128" s="4">
        <f t="shared" si="82"/>
        <v>4.9390262185057265E-3</v>
      </c>
      <c r="AQ128" s="4">
        <f t="shared" si="82"/>
        <v>3.3164275492956197E-3</v>
      </c>
      <c r="AR128" s="4">
        <f t="shared" si="82"/>
        <v>2.2256362146679809E-3</v>
      </c>
    </row>
    <row r="129" spans="1:44" x14ac:dyDescent="0.3">
      <c r="A129" s="24" t="s">
        <v>70</v>
      </c>
      <c r="B129" s="60">
        <f>'Parameter Input'!B26</f>
        <v>10</v>
      </c>
      <c r="C129" s="61">
        <f>'Parameter Input'!C26</f>
        <v>10</v>
      </c>
      <c r="D129" s="1" t="s">
        <v>42</v>
      </c>
      <c r="L129" s="54">
        <f>'Parameter Input'!E26</f>
        <v>12</v>
      </c>
      <c r="M129" s="37">
        <v>0</v>
      </c>
      <c r="N129" s="37">
        <v>1</v>
      </c>
      <c r="O129" s="37">
        <f>'Parameter Input'!F26</f>
        <v>0.9</v>
      </c>
      <c r="P129" s="55">
        <f>'Parameter Input'!G26</f>
        <v>0.4</v>
      </c>
      <c r="Q129" s="4">
        <f t="shared" si="80"/>
        <v>0.9867978615748374</v>
      </c>
      <c r="R129" s="4">
        <f t="shared" si="80"/>
        <v>0.98114509762858249</v>
      </c>
      <c r="S129" s="4">
        <f t="shared" si="80"/>
        <v>0.97311898315872036</v>
      </c>
      <c r="T129" s="4">
        <f t="shared" si="80"/>
        <v>0.96177484161592774</v>
      </c>
      <c r="U129" s="4">
        <f t="shared" si="80"/>
        <v>0.94584787155511363</v>
      </c>
      <c r="V129" s="4">
        <f t="shared" si="80"/>
        <v>0.92370360150141495</v>
      </c>
      <c r="W129" s="4">
        <f t="shared" si="80"/>
        <v>0.89334463567658451</v>
      </c>
      <c r="X129" s="4">
        <f t="shared" si="80"/>
        <v>0.85254543874327005</v>
      </c>
      <c r="Y129" s="4">
        <f t="shared" si="80"/>
        <v>0.79921300652623883</v>
      </c>
      <c r="Z129" s="4">
        <f t="shared" si="80"/>
        <v>0.73204982249993378</v>
      </c>
      <c r="AA129" s="4">
        <f t="shared" si="80"/>
        <v>0.65145592958786691</v>
      </c>
      <c r="AB129" s="4">
        <f t="shared" si="80"/>
        <v>0.56032247880849573</v>
      </c>
      <c r="AC129" s="4">
        <f t="shared" si="80"/>
        <v>0.46411326873185343</v>
      </c>
      <c r="AD129" s="4">
        <f t="shared" si="80"/>
        <v>0.36979727595523937</v>
      </c>
      <c r="AE129" s="4">
        <f t="shared" si="80"/>
        <v>0.28393948637231203</v>
      </c>
      <c r="AF129" s="4">
        <f t="shared" si="80"/>
        <v>0.21097259161117732</v>
      </c>
      <c r="AG129" s="4">
        <f t="shared" si="81"/>
        <v>0.15253917653798199</v>
      </c>
      <c r="AH129" s="4">
        <f t="shared" si="81"/>
        <v>0.10795188737709993</v>
      </c>
      <c r="AI129" s="4">
        <f t="shared" si="81"/>
        <v>7.5176653938091809E-2</v>
      </c>
      <c r="AJ129" s="4">
        <f t="shared" si="82"/>
        <v>5.1742836177502194E-2</v>
      </c>
      <c r="AK129" s="4">
        <f t="shared" si="82"/>
        <v>3.5319190625345942E-2</v>
      </c>
      <c r="AL129" s="4">
        <f t="shared" si="82"/>
        <v>2.3969442072658165E-2</v>
      </c>
      <c r="AM129" s="4">
        <f t="shared" si="82"/>
        <v>1.6202243558389728E-2</v>
      </c>
      <c r="AN129" s="4">
        <f t="shared" si="82"/>
        <v>1.0922240564108399E-2</v>
      </c>
      <c r="AO129" s="4">
        <f t="shared" si="82"/>
        <v>7.3493212906090566E-3</v>
      </c>
      <c r="AP129" s="4">
        <f t="shared" si="82"/>
        <v>4.9390262185057265E-3</v>
      </c>
      <c r="AQ129" s="4">
        <f t="shared" si="82"/>
        <v>3.3164275492956197E-3</v>
      </c>
      <c r="AR129" s="4">
        <f t="shared" si="82"/>
        <v>2.2256362146679809E-3</v>
      </c>
    </row>
    <row r="130" spans="1:44" x14ac:dyDescent="0.3">
      <c r="A130" s="24" t="s">
        <v>207</v>
      </c>
      <c r="B130" s="43">
        <f>'Parameter Input'!B23</f>
        <v>25</v>
      </c>
      <c r="C130" s="44">
        <f>'Parameter Input'!C23</f>
        <v>25</v>
      </c>
      <c r="D130" s="1" t="s">
        <v>49</v>
      </c>
      <c r="L130" s="54">
        <f>'Parameter Input'!E23</f>
        <v>12</v>
      </c>
      <c r="M130" s="37">
        <v>0</v>
      </c>
      <c r="N130" s="37">
        <v>1</v>
      </c>
      <c r="O130" s="37">
        <f>'Parameter Input'!F23</f>
        <v>0.9</v>
      </c>
      <c r="P130" s="55">
        <f>'Parameter Input'!G23</f>
        <v>0.4</v>
      </c>
      <c r="Q130" s="4">
        <f t="shared" si="80"/>
        <v>0.9867978615748374</v>
      </c>
      <c r="R130" s="4">
        <f t="shared" si="80"/>
        <v>0.98114509762858249</v>
      </c>
      <c r="S130" s="4">
        <f t="shared" si="80"/>
        <v>0.97311898315872036</v>
      </c>
      <c r="T130" s="4">
        <f t="shared" si="80"/>
        <v>0.96177484161592774</v>
      </c>
      <c r="U130" s="4">
        <f t="shared" si="80"/>
        <v>0.94584787155511363</v>
      </c>
      <c r="V130" s="4">
        <f t="shared" si="80"/>
        <v>0.92370360150141495</v>
      </c>
      <c r="W130" s="4">
        <f t="shared" si="80"/>
        <v>0.89334463567658451</v>
      </c>
      <c r="X130" s="4">
        <f t="shared" si="80"/>
        <v>0.85254543874327005</v>
      </c>
      <c r="Y130" s="4">
        <f t="shared" si="80"/>
        <v>0.79921300652623883</v>
      </c>
      <c r="Z130" s="4">
        <f t="shared" si="80"/>
        <v>0.73204982249993378</v>
      </c>
      <c r="AA130" s="4">
        <f t="shared" si="80"/>
        <v>0.65145592958786691</v>
      </c>
      <c r="AB130" s="4">
        <f t="shared" si="80"/>
        <v>0.56032247880849573</v>
      </c>
      <c r="AC130" s="4">
        <f t="shared" si="80"/>
        <v>0.46411326873185343</v>
      </c>
      <c r="AD130" s="4">
        <f t="shared" si="80"/>
        <v>0.36979727595523937</v>
      </c>
      <c r="AE130" s="4">
        <f t="shared" si="80"/>
        <v>0.28393948637231203</v>
      </c>
      <c r="AF130" s="4">
        <f t="shared" si="80"/>
        <v>0.21097259161117732</v>
      </c>
      <c r="AG130" s="4">
        <f t="shared" si="81"/>
        <v>0.15253917653798199</v>
      </c>
      <c r="AH130" s="4">
        <f t="shared" si="81"/>
        <v>0.10795188737709993</v>
      </c>
      <c r="AI130" s="4">
        <f t="shared" si="81"/>
        <v>7.5176653938091809E-2</v>
      </c>
      <c r="AJ130" s="4">
        <f t="shared" si="82"/>
        <v>5.1742836177502194E-2</v>
      </c>
      <c r="AK130" s="4">
        <f t="shared" si="82"/>
        <v>3.5319190625345942E-2</v>
      </c>
      <c r="AL130" s="4">
        <f t="shared" si="82"/>
        <v>2.3969442072658165E-2</v>
      </c>
      <c r="AM130" s="4">
        <f t="shared" si="82"/>
        <v>1.6202243558389728E-2</v>
      </c>
      <c r="AN130" s="4">
        <f t="shared" si="82"/>
        <v>1.0922240564108399E-2</v>
      </c>
      <c r="AO130" s="4">
        <f t="shared" si="82"/>
        <v>7.3493212906090566E-3</v>
      </c>
      <c r="AP130" s="4">
        <f t="shared" si="82"/>
        <v>4.9390262185057265E-3</v>
      </c>
      <c r="AQ130" s="4">
        <f t="shared" si="82"/>
        <v>3.3164275492956197E-3</v>
      </c>
      <c r="AR130" s="4">
        <f t="shared" si="82"/>
        <v>2.2256362146679809E-3</v>
      </c>
    </row>
    <row r="131" spans="1:44" x14ac:dyDescent="0.3">
      <c r="A131" s="24" t="s">
        <v>56</v>
      </c>
      <c r="B131" s="45">
        <f>'Parameter Input'!B24</f>
        <v>0.48</v>
      </c>
      <c r="C131" s="46">
        <f>'Parameter Input'!C24</f>
        <v>0.48</v>
      </c>
      <c r="D131" s="1" t="s">
        <v>57</v>
      </c>
      <c r="L131" s="54">
        <f>'Parameter Input'!E24</f>
        <v>12</v>
      </c>
      <c r="M131" s="37">
        <v>0</v>
      </c>
      <c r="N131" s="37">
        <v>1</v>
      </c>
      <c r="O131" s="37">
        <f>'Parameter Input'!F24</f>
        <v>0.9</v>
      </c>
      <c r="P131" s="55">
        <f>'Parameter Input'!G24</f>
        <v>0.4</v>
      </c>
      <c r="Q131" s="4">
        <f t="shared" si="80"/>
        <v>0.9867978615748374</v>
      </c>
      <c r="R131" s="4">
        <f t="shared" si="80"/>
        <v>0.98114509762858249</v>
      </c>
      <c r="S131" s="4">
        <f t="shared" si="80"/>
        <v>0.97311898315872036</v>
      </c>
      <c r="T131" s="4">
        <f t="shared" si="80"/>
        <v>0.96177484161592774</v>
      </c>
      <c r="U131" s="4">
        <f t="shared" si="80"/>
        <v>0.94584787155511363</v>
      </c>
      <c r="V131" s="4">
        <f t="shared" si="80"/>
        <v>0.92370360150141495</v>
      </c>
      <c r="W131" s="4">
        <f t="shared" si="80"/>
        <v>0.89334463567658451</v>
      </c>
      <c r="X131" s="4">
        <f t="shared" si="80"/>
        <v>0.85254543874327005</v>
      </c>
      <c r="Y131" s="4">
        <f t="shared" si="80"/>
        <v>0.79921300652623883</v>
      </c>
      <c r="Z131" s="4">
        <f t="shared" si="80"/>
        <v>0.73204982249993378</v>
      </c>
      <c r="AA131" s="4">
        <f t="shared" si="80"/>
        <v>0.65145592958786691</v>
      </c>
      <c r="AB131" s="4">
        <f t="shared" si="80"/>
        <v>0.56032247880849573</v>
      </c>
      <c r="AC131" s="4">
        <f t="shared" si="80"/>
        <v>0.46411326873185343</v>
      </c>
      <c r="AD131" s="4">
        <f t="shared" si="80"/>
        <v>0.36979727595523937</v>
      </c>
      <c r="AE131" s="4">
        <f t="shared" si="80"/>
        <v>0.28393948637231203</v>
      </c>
      <c r="AF131" s="4">
        <f t="shared" si="80"/>
        <v>0.21097259161117732</v>
      </c>
      <c r="AG131" s="4">
        <f t="shared" si="81"/>
        <v>0.15253917653798199</v>
      </c>
      <c r="AH131" s="4">
        <f t="shared" si="81"/>
        <v>0.10795188737709993</v>
      </c>
      <c r="AI131" s="4">
        <f t="shared" si="81"/>
        <v>7.5176653938091809E-2</v>
      </c>
      <c r="AJ131" s="4">
        <f t="shared" si="82"/>
        <v>5.1742836177502194E-2</v>
      </c>
      <c r="AK131" s="4">
        <f t="shared" si="82"/>
        <v>3.5319190625345942E-2</v>
      </c>
      <c r="AL131" s="4">
        <f t="shared" si="82"/>
        <v>2.3969442072658165E-2</v>
      </c>
      <c r="AM131" s="4">
        <f t="shared" si="82"/>
        <v>1.6202243558389728E-2</v>
      </c>
      <c r="AN131" s="4">
        <f t="shared" si="82"/>
        <v>1.0922240564108399E-2</v>
      </c>
      <c r="AO131" s="4">
        <f t="shared" si="82"/>
        <v>7.3493212906090566E-3</v>
      </c>
      <c r="AP131" s="4">
        <f t="shared" si="82"/>
        <v>4.9390262185057265E-3</v>
      </c>
      <c r="AQ131" s="4">
        <f t="shared" si="82"/>
        <v>3.3164275492956197E-3</v>
      </c>
      <c r="AR131" s="4">
        <f t="shared" si="82"/>
        <v>2.2256362146679809E-3</v>
      </c>
    </row>
    <row r="132" spans="1:44" x14ac:dyDescent="0.3">
      <c r="A132" s="24" t="s">
        <v>73</v>
      </c>
      <c r="B132" s="45">
        <f>'Parameter Input'!L14</f>
        <v>0</v>
      </c>
      <c r="C132" s="46">
        <f>'Parameter Input'!M14</f>
        <v>0</v>
      </c>
      <c r="D132" s="1" t="s">
        <v>57</v>
      </c>
      <c r="L132" s="54">
        <f>'Parameter Input'!O14</f>
        <v>12</v>
      </c>
      <c r="M132" s="37">
        <v>0</v>
      </c>
      <c r="N132" s="37">
        <v>1</v>
      </c>
      <c r="O132" s="37">
        <f>'Parameter Input'!P14</f>
        <v>0.9</v>
      </c>
      <c r="P132" s="55">
        <f>'Parameter Input'!Q14</f>
        <v>0.4</v>
      </c>
      <c r="Q132" s="4">
        <f t="shared" si="80"/>
        <v>0.9867978615748374</v>
      </c>
      <c r="R132" s="4">
        <f t="shared" si="80"/>
        <v>0.98114509762858249</v>
      </c>
      <c r="S132" s="4">
        <f t="shared" si="80"/>
        <v>0.97311898315872036</v>
      </c>
      <c r="T132" s="4">
        <f t="shared" si="80"/>
        <v>0.96177484161592774</v>
      </c>
      <c r="U132" s="4">
        <f t="shared" si="80"/>
        <v>0.94584787155511363</v>
      </c>
      <c r="V132" s="4">
        <f t="shared" si="80"/>
        <v>0.92370360150141495</v>
      </c>
      <c r="W132" s="4">
        <f t="shared" si="80"/>
        <v>0.89334463567658451</v>
      </c>
      <c r="X132" s="4">
        <f t="shared" si="80"/>
        <v>0.85254543874327005</v>
      </c>
      <c r="Y132" s="4">
        <f t="shared" si="80"/>
        <v>0.79921300652623883</v>
      </c>
      <c r="Z132" s="4">
        <f t="shared" si="80"/>
        <v>0.73204982249993378</v>
      </c>
      <c r="AA132" s="4">
        <f t="shared" si="80"/>
        <v>0.65145592958786691</v>
      </c>
      <c r="AB132" s="4">
        <f t="shared" si="80"/>
        <v>0.56032247880849573</v>
      </c>
      <c r="AC132" s="4">
        <f t="shared" si="80"/>
        <v>0.46411326873185343</v>
      </c>
      <c r="AD132" s="4">
        <f t="shared" si="80"/>
        <v>0.36979727595523937</v>
      </c>
      <c r="AE132" s="4">
        <f t="shared" si="80"/>
        <v>0.28393948637231203</v>
      </c>
      <c r="AF132" s="4">
        <f t="shared" si="80"/>
        <v>0.21097259161117732</v>
      </c>
      <c r="AG132" s="4">
        <f t="shared" si="81"/>
        <v>0.15253917653798199</v>
      </c>
      <c r="AH132" s="4">
        <f t="shared" si="81"/>
        <v>0.10795188737709993</v>
      </c>
      <c r="AI132" s="4">
        <f t="shared" si="81"/>
        <v>7.5176653938091809E-2</v>
      </c>
      <c r="AJ132" s="4">
        <f t="shared" si="82"/>
        <v>5.1742836177502194E-2</v>
      </c>
      <c r="AK132" s="4">
        <f t="shared" si="82"/>
        <v>3.5319190625345942E-2</v>
      </c>
      <c r="AL132" s="4">
        <f t="shared" si="82"/>
        <v>2.3969442072658165E-2</v>
      </c>
      <c r="AM132" s="4">
        <f t="shared" si="82"/>
        <v>1.6202243558389728E-2</v>
      </c>
      <c r="AN132" s="4">
        <f t="shared" si="82"/>
        <v>1.0922240564108399E-2</v>
      </c>
      <c r="AO132" s="4">
        <f t="shared" si="82"/>
        <v>7.3493212906090566E-3</v>
      </c>
      <c r="AP132" s="4">
        <f t="shared" si="82"/>
        <v>4.9390262185057265E-3</v>
      </c>
      <c r="AQ132" s="4">
        <f t="shared" si="82"/>
        <v>3.3164275492956197E-3</v>
      </c>
      <c r="AR132" s="4">
        <f t="shared" si="82"/>
        <v>2.2256362146679809E-3</v>
      </c>
    </row>
    <row r="133" spans="1:44" ht="15" thickBot="1" x14ac:dyDescent="0.35">
      <c r="A133" s="24" t="s">
        <v>64</v>
      </c>
      <c r="B133" s="49">
        <f>'Parameter Input'!B25</f>
        <v>110000</v>
      </c>
      <c r="C133" s="50">
        <f>'Parameter Input'!C25</f>
        <v>110000</v>
      </c>
      <c r="D133" s="1" t="s">
        <v>65</v>
      </c>
      <c r="L133" s="56">
        <f>'Parameter Input'!E25</f>
        <v>12</v>
      </c>
      <c r="M133" s="57">
        <v>0</v>
      </c>
      <c r="N133" s="57">
        <v>1</v>
      </c>
      <c r="O133" s="57">
        <f>'Parameter Input'!F25</f>
        <v>0.9</v>
      </c>
      <c r="P133" s="58">
        <f>'Parameter Input'!G25</f>
        <v>0.4</v>
      </c>
      <c r="Q133" s="4">
        <f t="shared" si="80"/>
        <v>0.9867978615748374</v>
      </c>
      <c r="R133" s="4">
        <f t="shared" si="80"/>
        <v>0.98114509762858249</v>
      </c>
      <c r="S133" s="4">
        <f t="shared" si="80"/>
        <v>0.97311898315872036</v>
      </c>
      <c r="T133" s="4">
        <f t="shared" si="80"/>
        <v>0.96177484161592774</v>
      </c>
      <c r="U133" s="4">
        <f t="shared" si="80"/>
        <v>0.94584787155511363</v>
      </c>
      <c r="V133" s="4">
        <f t="shared" si="80"/>
        <v>0.92370360150141495</v>
      </c>
      <c r="W133" s="4">
        <f t="shared" si="80"/>
        <v>0.89334463567658451</v>
      </c>
      <c r="X133" s="4">
        <f t="shared" si="80"/>
        <v>0.85254543874327005</v>
      </c>
      <c r="Y133" s="4">
        <f t="shared" si="80"/>
        <v>0.79921300652623883</v>
      </c>
      <c r="Z133" s="4">
        <f t="shared" si="80"/>
        <v>0.73204982249993378</v>
      </c>
      <c r="AA133" s="4">
        <f t="shared" si="80"/>
        <v>0.65145592958786691</v>
      </c>
      <c r="AB133" s="4">
        <f t="shared" si="80"/>
        <v>0.56032247880849573</v>
      </c>
      <c r="AC133" s="4">
        <f t="shared" si="80"/>
        <v>0.46411326873185343</v>
      </c>
      <c r="AD133" s="4">
        <f t="shared" si="80"/>
        <v>0.36979727595523937</v>
      </c>
      <c r="AE133" s="4">
        <f t="shared" si="80"/>
        <v>0.28393948637231203</v>
      </c>
      <c r="AF133" s="4">
        <f t="shared" si="80"/>
        <v>0.21097259161117732</v>
      </c>
      <c r="AG133" s="4">
        <f t="shared" si="81"/>
        <v>0.15253917653798199</v>
      </c>
      <c r="AH133" s="4">
        <f t="shared" si="81"/>
        <v>0.10795188737709993</v>
      </c>
      <c r="AI133" s="4">
        <f t="shared" si="81"/>
        <v>7.5176653938091809E-2</v>
      </c>
      <c r="AJ133" s="4">
        <f t="shared" si="82"/>
        <v>5.1742836177502194E-2</v>
      </c>
      <c r="AK133" s="4">
        <f t="shared" si="82"/>
        <v>3.5319190625345942E-2</v>
      </c>
      <c r="AL133" s="4">
        <f t="shared" si="82"/>
        <v>2.3969442072658165E-2</v>
      </c>
      <c r="AM133" s="4">
        <f t="shared" si="82"/>
        <v>1.6202243558389728E-2</v>
      </c>
      <c r="AN133" s="4">
        <f t="shared" si="82"/>
        <v>1.0922240564108399E-2</v>
      </c>
      <c r="AO133" s="4">
        <f t="shared" si="82"/>
        <v>7.3493212906090566E-3</v>
      </c>
      <c r="AP133" s="4">
        <f t="shared" si="82"/>
        <v>4.9390262185057265E-3</v>
      </c>
      <c r="AQ133" s="4">
        <f t="shared" si="82"/>
        <v>3.3164275492956197E-3</v>
      </c>
      <c r="AR133" s="4">
        <f t="shared" si="82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51" si="83">A117</f>
        <v>Capex vehicle</v>
      </c>
      <c r="B137" s="62">
        <f t="shared" ref="B137:B145" si="84">$B117+($C117-$B117)*(1-Q117)</f>
        <v>105132.02138425162</v>
      </c>
      <c r="C137" s="62">
        <f t="shared" ref="C137:C145" si="85">$B117+($C117-$B117)*(1-R117)</f>
        <v>105188.54902371418</v>
      </c>
      <c r="D137" s="62">
        <f t="shared" ref="D137:D145" si="86">$B117+($C117-$B117)*(1-S117)</f>
        <v>105268.81016841279</v>
      </c>
      <c r="E137" s="62">
        <f t="shared" ref="E137:E145" si="87">$B117+($C117-$B117)*(1-T117)</f>
        <v>105382.25158384073</v>
      </c>
      <c r="F137" s="62">
        <f t="shared" ref="F137:F145" si="88">$B117+($C117-$B117)*(1-U117)</f>
        <v>105541.52128444887</v>
      </c>
      <c r="G137" s="62">
        <f t="shared" ref="G137:G145" si="89">$B117+($C117-$B117)*(1-V117)</f>
        <v>105762.96398498585</v>
      </c>
      <c r="H137" s="62">
        <f t="shared" ref="H137:H145" si="90">$B117+($C117-$B117)*(1-W117)</f>
        <v>106066.55364323416</v>
      </c>
      <c r="I137" s="62">
        <f t="shared" ref="I137:I145" si="91">$B117+($C117-$B117)*(1-X117)</f>
        <v>106474.54561256729</v>
      </c>
      <c r="J137" s="62">
        <f t="shared" ref="J137:J145" si="92">$B117+($C117-$B117)*(1-Y117)</f>
        <v>107007.86993473761</v>
      </c>
      <c r="K137" s="62">
        <f t="shared" ref="K137:K145" si="93">$B117+($C117-$B117)*(1-Z117)</f>
        <v>107679.50177500067</v>
      </c>
      <c r="L137" s="62">
        <f t="shared" ref="L137:L145" si="94">$B117+($C117-$B117)*(1-AA117)</f>
        <v>108485.44070412133</v>
      </c>
      <c r="M137" s="62">
        <f t="shared" ref="M137:M145" si="95">$B117+($C117-$B117)*(1-AB117)</f>
        <v>109396.77521191504</v>
      </c>
      <c r="N137" s="62">
        <f t="shared" ref="N137:N145" si="96">$B117+($C117-$B117)*(1-AC117)</f>
        <v>110358.86731268147</v>
      </c>
      <c r="O137" s="62">
        <f t="shared" ref="O137:O145" si="97">$B117+($C117-$B117)*(1-AD117)</f>
        <v>111302.02724044761</v>
      </c>
      <c r="P137" s="62">
        <f t="shared" ref="P137:P145" si="98">$B117+($C117-$B117)*(1-AE117)</f>
        <v>112160.60513627688</v>
      </c>
      <c r="Q137" s="62">
        <f t="shared" ref="Q137:Q145" si="99">$B117+($C117-$B117)*(1-AF117)</f>
        <v>112890.27408388823</v>
      </c>
      <c r="R137" s="62">
        <f t="shared" ref="R137:R145" si="100">$B117+($C117-$B117)*(1-AG117)</f>
        <v>113474.60823462019</v>
      </c>
      <c r="S137" s="62">
        <f t="shared" ref="S137:S145" si="101">$B117+($C117-$B117)*(1-AH117)</f>
        <v>113920.481126229</v>
      </c>
      <c r="T137" s="62">
        <f t="shared" ref="T137:T145" si="102">$B117+($C117-$B117)*(1-AI117)</f>
        <v>114248.23346061909</v>
      </c>
      <c r="U137" s="62">
        <f t="shared" ref="U137:U145" si="103">$B117+($C117-$B117)*(1-AJ117)</f>
        <v>114482.57163822498</v>
      </c>
      <c r="V137" s="62">
        <f t="shared" ref="V137:V145" si="104">$B117+($C117-$B117)*(1-AK117)</f>
        <v>114646.80809374654</v>
      </c>
      <c r="W137" s="62">
        <f t="shared" ref="W137:W145" si="105">$B117+($C117-$B117)*(1-AL117)</f>
        <v>114760.30557927342</v>
      </c>
      <c r="X137" s="62">
        <f t="shared" ref="X137:X145" si="106">$B117+($C117-$B117)*(1-AM117)</f>
        <v>114837.9775644161</v>
      </c>
      <c r="Y137" s="62">
        <f t="shared" ref="Y137:Y145" si="107">$B117+($C117-$B117)*(1-AN117)</f>
        <v>114890.77759435892</v>
      </c>
      <c r="Z137" s="62">
        <f t="shared" ref="Z137:Z145" si="108">$B117+($C117-$B117)*(1-AO117)</f>
        <v>114926.50678709391</v>
      </c>
      <c r="AA137" s="62">
        <f t="shared" ref="AA137:AA145" si="109">$B117+($C117-$B117)*(1-AP117)</f>
        <v>114950.60973781494</v>
      </c>
      <c r="AB137" s="62">
        <f t="shared" ref="AB137:AB145" si="110">$B117+($C117-$B117)*(1-AQ117)</f>
        <v>114966.83572450705</v>
      </c>
      <c r="AC137" s="62">
        <f t="shared" ref="AC137:AC145" si="111">$B117+($C117-$B117)*(1-AR117)</f>
        <v>114977.74363785332</v>
      </c>
    </row>
    <row r="138" spans="1:44" x14ac:dyDescent="0.3">
      <c r="A138" s="30" t="str">
        <f t="shared" si="83"/>
        <v>Residual value (vehicle)</v>
      </c>
      <c r="B138" s="62">
        <f t="shared" si="84"/>
        <v>-26131.180754173536</v>
      </c>
      <c r="C138" s="62">
        <f t="shared" si="85"/>
        <v>-26080.305878657244</v>
      </c>
      <c r="D138" s="62">
        <f t="shared" si="86"/>
        <v>-26008.070848428484</v>
      </c>
      <c r="E138" s="62">
        <f t="shared" si="87"/>
        <v>-25905.97357454335</v>
      </c>
      <c r="F138" s="62">
        <f t="shared" si="88"/>
        <v>-25762.630843996023</v>
      </c>
      <c r="G138" s="62">
        <f t="shared" si="89"/>
        <v>-25563.332413512733</v>
      </c>
      <c r="H138" s="62">
        <f t="shared" si="90"/>
        <v>-25290.101721089261</v>
      </c>
      <c r="I138" s="62">
        <f t="shared" si="91"/>
        <v>-24922.90894868943</v>
      </c>
      <c r="J138" s="62">
        <f t="shared" si="92"/>
        <v>-24442.917058736151</v>
      </c>
      <c r="K138" s="62">
        <f t="shared" si="93"/>
        <v>-23838.448402499405</v>
      </c>
      <c r="L138" s="62">
        <f t="shared" si="94"/>
        <v>-23113.103366290801</v>
      </c>
      <c r="M138" s="62">
        <f t="shared" si="95"/>
        <v>-22292.902309276462</v>
      </c>
      <c r="N138" s="62">
        <f t="shared" si="96"/>
        <v>-21427.019418586682</v>
      </c>
      <c r="O138" s="62">
        <f t="shared" si="97"/>
        <v>-20578.175483597155</v>
      </c>
      <c r="P138" s="62">
        <f t="shared" si="98"/>
        <v>-19805.455377350809</v>
      </c>
      <c r="Q138" s="62">
        <f t="shared" si="99"/>
        <v>-19148.753324500598</v>
      </c>
      <c r="R138" s="62">
        <f t="shared" si="100"/>
        <v>-18622.852588841837</v>
      </c>
      <c r="S138" s="62">
        <f t="shared" si="101"/>
        <v>-18221.5669863939</v>
      </c>
      <c r="T138" s="62">
        <f t="shared" si="102"/>
        <v>-17926.589885442827</v>
      </c>
      <c r="U138" s="62">
        <f t="shared" si="103"/>
        <v>-17715.685525597521</v>
      </c>
      <c r="V138" s="62">
        <f t="shared" si="104"/>
        <v>-17567.872715628113</v>
      </c>
      <c r="W138" s="62">
        <f t="shared" si="105"/>
        <v>-17465.724978653925</v>
      </c>
      <c r="X138" s="62">
        <f t="shared" si="106"/>
        <v>-17395.820192025509</v>
      </c>
      <c r="Y138" s="62">
        <f t="shared" si="107"/>
        <v>-17348.300165076973</v>
      </c>
      <c r="Z138" s="62">
        <f t="shared" si="108"/>
        <v>-17316.14389161548</v>
      </c>
      <c r="AA138" s="62">
        <f t="shared" si="109"/>
        <v>-17294.451235966553</v>
      </c>
      <c r="AB138" s="62">
        <f t="shared" si="110"/>
        <v>-17279.84784794366</v>
      </c>
      <c r="AC138" s="62">
        <f t="shared" si="111"/>
        <v>-17270.030725932011</v>
      </c>
    </row>
    <row r="139" spans="1:44" x14ac:dyDescent="0.3">
      <c r="A139" s="30" t="str">
        <f t="shared" si="83"/>
        <v>Capex costumization</v>
      </c>
      <c r="B139" s="62">
        <f t="shared" si="84"/>
        <v>60000</v>
      </c>
      <c r="C139" s="62">
        <f t="shared" si="85"/>
        <v>60000</v>
      </c>
      <c r="D139" s="62">
        <f t="shared" si="86"/>
        <v>60000</v>
      </c>
      <c r="E139" s="62">
        <f t="shared" si="87"/>
        <v>60000</v>
      </c>
      <c r="F139" s="62">
        <f t="shared" si="88"/>
        <v>60000</v>
      </c>
      <c r="G139" s="62">
        <f t="shared" si="89"/>
        <v>60000</v>
      </c>
      <c r="H139" s="62">
        <f t="shared" si="90"/>
        <v>60000</v>
      </c>
      <c r="I139" s="62">
        <f t="shared" si="91"/>
        <v>60000</v>
      </c>
      <c r="J139" s="62">
        <f t="shared" si="92"/>
        <v>60000</v>
      </c>
      <c r="K139" s="62">
        <f t="shared" si="93"/>
        <v>60000</v>
      </c>
      <c r="L139" s="62">
        <f t="shared" si="94"/>
        <v>60000</v>
      </c>
      <c r="M139" s="62">
        <f t="shared" si="95"/>
        <v>60000</v>
      </c>
      <c r="N139" s="62">
        <f t="shared" si="96"/>
        <v>60000</v>
      </c>
      <c r="O139" s="62">
        <f t="shared" si="97"/>
        <v>60000</v>
      </c>
      <c r="P139" s="62">
        <f t="shared" si="98"/>
        <v>60000</v>
      </c>
      <c r="Q139" s="62">
        <f t="shared" si="99"/>
        <v>60000</v>
      </c>
      <c r="R139" s="62">
        <f t="shared" si="100"/>
        <v>60000</v>
      </c>
      <c r="S139" s="62">
        <f t="shared" si="101"/>
        <v>60000</v>
      </c>
      <c r="T139" s="62">
        <f t="shared" si="102"/>
        <v>60000</v>
      </c>
      <c r="U139" s="62">
        <f t="shared" si="103"/>
        <v>60000</v>
      </c>
      <c r="V139" s="62">
        <f t="shared" si="104"/>
        <v>60000</v>
      </c>
      <c r="W139" s="62">
        <f t="shared" si="105"/>
        <v>60000</v>
      </c>
      <c r="X139" s="62">
        <f t="shared" si="106"/>
        <v>60000</v>
      </c>
      <c r="Y139" s="62">
        <f t="shared" si="107"/>
        <v>60000</v>
      </c>
      <c r="Z139" s="62">
        <f t="shared" si="108"/>
        <v>60000</v>
      </c>
      <c r="AA139" s="62">
        <f t="shared" si="109"/>
        <v>60000</v>
      </c>
      <c r="AB139" s="62">
        <f t="shared" si="110"/>
        <v>60000</v>
      </c>
      <c r="AC139" s="62">
        <f t="shared" si="111"/>
        <v>60000</v>
      </c>
    </row>
    <row r="140" spans="1:44" x14ac:dyDescent="0.3">
      <c r="A140" s="30" t="str">
        <f t="shared" si="83"/>
        <v>Residual value (costumization)</v>
      </c>
      <c r="B140" s="62">
        <f t="shared" si="84"/>
        <v>-15000</v>
      </c>
      <c r="C140" s="62">
        <f t="shared" si="85"/>
        <v>-15000</v>
      </c>
      <c r="D140" s="62">
        <f t="shared" si="86"/>
        <v>-15000</v>
      </c>
      <c r="E140" s="62">
        <f t="shared" si="87"/>
        <v>-15000</v>
      </c>
      <c r="F140" s="62">
        <f t="shared" si="88"/>
        <v>-15000</v>
      </c>
      <c r="G140" s="62">
        <f t="shared" si="89"/>
        <v>-15000</v>
      </c>
      <c r="H140" s="62">
        <f t="shared" si="90"/>
        <v>-15000</v>
      </c>
      <c r="I140" s="62">
        <f t="shared" si="91"/>
        <v>-15000</v>
      </c>
      <c r="J140" s="62">
        <f t="shared" si="92"/>
        <v>-15000</v>
      </c>
      <c r="K140" s="62">
        <f t="shared" si="93"/>
        <v>-15000</v>
      </c>
      <c r="L140" s="62">
        <f t="shared" si="94"/>
        <v>-15000</v>
      </c>
      <c r="M140" s="62">
        <f t="shared" si="95"/>
        <v>-15000</v>
      </c>
      <c r="N140" s="62">
        <f t="shared" si="96"/>
        <v>-15000</v>
      </c>
      <c r="O140" s="62">
        <f t="shared" si="97"/>
        <v>-15000</v>
      </c>
      <c r="P140" s="62">
        <f t="shared" si="98"/>
        <v>-15000</v>
      </c>
      <c r="Q140" s="62">
        <f t="shared" si="99"/>
        <v>-15000</v>
      </c>
      <c r="R140" s="62">
        <f t="shared" si="100"/>
        <v>-15000</v>
      </c>
      <c r="S140" s="62">
        <f t="shared" si="101"/>
        <v>-15000</v>
      </c>
      <c r="T140" s="62">
        <f t="shared" si="102"/>
        <v>-15000</v>
      </c>
      <c r="U140" s="62">
        <f t="shared" si="103"/>
        <v>-15000</v>
      </c>
      <c r="V140" s="62">
        <f t="shared" si="104"/>
        <v>-15000</v>
      </c>
      <c r="W140" s="62">
        <f t="shared" si="105"/>
        <v>-15000</v>
      </c>
      <c r="X140" s="62">
        <f t="shared" si="106"/>
        <v>-15000</v>
      </c>
      <c r="Y140" s="62">
        <f t="shared" si="107"/>
        <v>-15000</v>
      </c>
      <c r="Z140" s="62">
        <f t="shared" si="108"/>
        <v>-15000</v>
      </c>
      <c r="AA140" s="62">
        <f t="shared" si="109"/>
        <v>-15000</v>
      </c>
      <c r="AB140" s="62">
        <f t="shared" si="110"/>
        <v>-15000</v>
      </c>
      <c r="AC140" s="62">
        <f t="shared" si="111"/>
        <v>-15000</v>
      </c>
    </row>
    <row r="141" spans="1:44" x14ac:dyDescent="0.3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3">
      <c r="A142" s="30" t="str">
        <f t="shared" si="83"/>
        <v>Opex fix (admin, crew, insurance)</v>
      </c>
      <c r="B142" s="62">
        <f t="shared" si="84"/>
        <v>70000</v>
      </c>
      <c r="C142" s="62">
        <f t="shared" si="85"/>
        <v>70000</v>
      </c>
      <c r="D142" s="62">
        <f t="shared" si="86"/>
        <v>70000</v>
      </c>
      <c r="E142" s="62">
        <f t="shared" si="87"/>
        <v>70000</v>
      </c>
      <c r="F142" s="62">
        <f t="shared" si="88"/>
        <v>70000</v>
      </c>
      <c r="G142" s="62">
        <f t="shared" si="89"/>
        <v>70000</v>
      </c>
      <c r="H142" s="62">
        <f t="shared" si="90"/>
        <v>70000</v>
      </c>
      <c r="I142" s="62">
        <f t="shared" si="91"/>
        <v>70000</v>
      </c>
      <c r="J142" s="62">
        <f t="shared" si="92"/>
        <v>70000</v>
      </c>
      <c r="K142" s="62">
        <f t="shared" si="93"/>
        <v>70000</v>
      </c>
      <c r="L142" s="62">
        <f t="shared" si="94"/>
        <v>70000</v>
      </c>
      <c r="M142" s="62">
        <f t="shared" si="95"/>
        <v>70000</v>
      </c>
      <c r="N142" s="62">
        <f t="shared" si="96"/>
        <v>70000</v>
      </c>
      <c r="O142" s="62">
        <f t="shared" si="97"/>
        <v>70000</v>
      </c>
      <c r="P142" s="62">
        <f t="shared" si="98"/>
        <v>70000</v>
      </c>
      <c r="Q142" s="62">
        <f t="shared" si="99"/>
        <v>70000</v>
      </c>
      <c r="R142" s="62">
        <f t="shared" si="100"/>
        <v>70000</v>
      </c>
      <c r="S142" s="62">
        <f t="shared" si="101"/>
        <v>70000</v>
      </c>
      <c r="T142" s="62">
        <f t="shared" si="102"/>
        <v>70000</v>
      </c>
      <c r="U142" s="62">
        <f t="shared" si="103"/>
        <v>70000</v>
      </c>
      <c r="V142" s="62">
        <f t="shared" si="104"/>
        <v>70000</v>
      </c>
      <c r="W142" s="62">
        <f t="shared" si="105"/>
        <v>70000</v>
      </c>
      <c r="X142" s="62">
        <f t="shared" si="106"/>
        <v>70000</v>
      </c>
      <c r="Y142" s="62">
        <f t="shared" si="107"/>
        <v>70000</v>
      </c>
      <c r="Z142" s="62">
        <f t="shared" si="108"/>
        <v>70000</v>
      </c>
      <c r="AA142" s="62">
        <f t="shared" si="109"/>
        <v>70000</v>
      </c>
      <c r="AB142" s="62">
        <f t="shared" si="110"/>
        <v>70000</v>
      </c>
      <c r="AC142" s="62">
        <f t="shared" si="111"/>
        <v>70000</v>
      </c>
    </row>
    <row r="143" spans="1:44" x14ac:dyDescent="0.3">
      <c r="A143" s="30" t="str">
        <f t="shared" si="83"/>
        <v>Opex maintenance &amp; repair</v>
      </c>
      <c r="B143" s="62">
        <f t="shared" si="84"/>
        <v>20000</v>
      </c>
      <c r="C143" s="62">
        <f t="shared" si="85"/>
        <v>20000</v>
      </c>
      <c r="D143" s="62">
        <f t="shared" si="86"/>
        <v>20000</v>
      </c>
      <c r="E143" s="62">
        <f t="shared" si="87"/>
        <v>20000</v>
      </c>
      <c r="F143" s="62">
        <f t="shared" si="88"/>
        <v>20000</v>
      </c>
      <c r="G143" s="62">
        <f t="shared" si="89"/>
        <v>20000</v>
      </c>
      <c r="H143" s="62">
        <f t="shared" si="90"/>
        <v>20000</v>
      </c>
      <c r="I143" s="62">
        <f t="shared" si="91"/>
        <v>20000</v>
      </c>
      <c r="J143" s="62">
        <f t="shared" si="92"/>
        <v>20000</v>
      </c>
      <c r="K143" s="62">
        <f t="shared" si="93"/>
        <v>20000</v>
      </c>
      <c r="L143" s="62">
        <f t="shared" si="94"/>
        <v>20000</v>
      </c>
      <c r="M143" s="62">
        <f t="shared" si="95"/>
        <v>20000</v>
      </c>
      <c r="N143" s="62">
        <f t="shared" si="96"/>
        <v>20000</v>
      </c>
      <c r="O143" s="62">
        <f t="shared" si="97"/>
        <v>20000</v>
      </c>
      <c r="P143" s="62">
        <f t="shared" si="98"/>
        <v>20000</v>
      </c>
      <c r="Q143" s="62">
        <f t="shared" si="99"/>
        <v>20000</v>
      </c>
      <c r="R143" s="62">
        <f t="shared" si="100"/>
        <v>20000</v>
      </c>
      <c r="S143" s="62">
        <f t="shared" si="101"/>
        <v>20000</v>
      </c>
      <c r="T143" s="62">
        <f t="shared" si="102"/>
        <v>20000</v>
      </c>
      <c r="U143" s="62">
        <f t="shared" si="103"/>
        <v>20000</v>
      </c>
      <c r="V143" s="62">
        <f t="shared" si="104"/>
        <v>20000</v>
      </c>
      <c r="W143" s="62">
        <f t="shared" si="105"/>
        <v>20000</v>
      </c>
      <c r="X143" s="62">
        <f t="shared" si="106"/>
        <v>20000</v>
      </c>
      <c r="Y143" s="62">
        <f t="shared" si="107"/>
        <v>20000</v>
      </c>
      <c r="Z143" s="62">
        <f t="shared" si="108"/>
        <v>20000</v>
      </c>
      <c r="AA143" s="62">
        <f t="shared" si="109"/>
        <v>20000</v>
      </c>
      <c r="AB143" s="62">
        <f t="shared" si="110"/>
        <v>20000</v>
      </c>
      <c r="AC143" s="62">
        <f t="shared" si="111"/>
        <v>20000</v>
      </c>
    </row>
    <row r="144" spans="1:44" x14ac:dyDescent="0.3">
      <c r="A144" s="30" t="str">
        <f t="shared" si="83"/>
        <v>Opex var (mode-fees)</v>
      </c>
      <c r="B144" s="62">
        <f t="shared" si="84"/>
        <v>0.11</v>
      </c>
      <c r="C144" s="62">
        <f t="shared" si="85"/>
        <v>0.11</v>
      </c>
      <c r="D144" s="62">
        <f t="shared" si="86"/>
        <v>0.11</v>
      </c>
      <c r="E144" s="62">
        <f t="shared" si="87"/>
        <v>0.11</v>
      </c>
      <c r="F144" s="62">
        <f t="shared" si="88"/>
        <v>0.11</v>
      </c>
      <c r="G144" s="62">
        <f t="shared" si="89"/>
        <v>0.11</v>
      </c>
      <c r="H144" s="62">
        <f t="shared" si="90"/>
        <v>0.11</v>
      </c>
      <c r="I144" s="62">
        <f t="shared" si="91"/>
        <v>0.11</v>
      </c>
      <c r="J144" s="62">
        <f t="shared" si="92"/>
        <v>0.11</v>
      </c>
      <c r="K144" s="62">
        <f t="shared" si="93"/>
        <v>0.11</v>
      </c>
      <c r="L144" s="62">
        <f t="shared" si="94"/>
        <v>0.11</v>
      </c>
      <c r="M144" s="62">
        <f t="shared" si="95"/>
        <v>0.11</v>
      </c>
      <c r="N144" s="62">
        <f t="shared" si="96"/>
        <v>0.11</v>
      </c>
      <c r="O144" s="62">
        <f t="shared" si="97"/>
        <v>0.11</v>
      </c>
      <c r="P144" s="62">
        <f t="shared" si="98"/>
        <v>0.11</v>
      </c>
      <c r="Q144" s="62">
        <f t="shared" si="99"/>
        <v>0.11</v>
      </c>
      <c r="R144" s="62">
        <f t="shared" si="100"/>
        <v>0.11</v>
      </c>
      <c r="S144" s="62">
        <f t="shared" si="101"/>
        <v>0.11</v>
      </c>
      <c r="T144" s="62">
        <f t="shared" si="102"/>
        <v>0.11</v>
      </c>
      <c r="U144" s="62">
        <f t="shared" si="103"/>
        <v>0.11</v>
      </c>
      <c r="V144" s="62">
        <f t="shared" si="104"/>
        <v>0.11</v>
      </c>
      <c r="W144" s="62">
        <f t="shared" si="105"/>
        <v>0.11</v>
      </c>
      <c r="X144" s="62">
        <f t="shared" si="106"/>
        <v>0.11</v>
      </c>
      <c r="Y144" s="62">
        <f t="shared" si="107"/>
        <v>0.11</v>
      </c>
      <c r="Z144" s="62">
        <f t="shared" si="108"/>
        <v>0.11</v>
      </c>
      <c r="AA144" s="62">
        <f t="shared" si="109"/>
        <v>0.11</v>
      </c>
      <c r="AB144" s="62">
        <f t="shared" si="110"/>
        <v>0.11</v>
      </c>
      <c r="AC144" s="62">
        <f t="shared" si="111"/>
        <v>0.11</v>
      </c>
    </row>
    <row r="145" spans="1:29" x14ac:dyDescent="0.3">
      <c r="A145" s="30" t="str">
        <f t="shared" si="83"/>
        <v>Fuel Economy</v>
      </c>
      <c r="B145" s="62">
        <f t="shared" si="84"/>
        <v>2.8933989307874186</v>
      </c>
      <c r="C145" s="62">
        <f t="shared" si="85"/>
        <v>2.890572548814291</v>
      </c>
      <c r="D145" s="62">
        <f t="shared" si="86"/>
        <v>2.88655949157936</v>
      </c>
      <c r="E145" s="62">
        <f t="shared" si="87"/>
        <v>2.880887420807964</v>
      </c>
      <c r="F145" s="62">
        <f t="shared" si="88"/>
        <v>2.8729239357775569</v>
      </c>
      <c r="G145" s="62">
        <f t="shared" si="89"/>
        <v>2.8618518007507072</v>
      </c>
      <c r="H145" s="62">
        <f t="shared" si="90"/>
        <v>2.846672317838292</v>
      </c>
      <c r="I145" s="62">
        <f t="shared" si="91"/>
        <v>2.826272719371635</v>
      </c>
      <c r="J145" s="62">
        <f t="shared" si="92"/>
        <v>2.7996065032631194</v>
      </c>
      <c r="K145" s="62">
        <f t="shared" si="93"/>
        <v>2.7660249112499669</v>
      </c>
      <c r="L145" s="62">
        <f t="shared" si="94"/>
        <v>2.7257279647939332</v>
      </c>
      <c r="M145" s="62">
        <f t="shared" si="95"/>
        <v>2.6801612394042476</v>
      </c>
      <c r="N145" s="62">
        <f t="shared" si="96"/>
        <v>2.6320566343659264</v>
      </c>
      <c r="O145" s="62">
        <f t="shared" si="97"/>
        <v>2.5848986379776195</v>
      </c>
      <c r="P145" s="62">
        <f t="shared" si="98"/>
        <v>2.5419697431861561</v>
      </c>
      <c r="Q145" s="62">
        <f t="shared" si="99"/>
        <v>2.5054862958055883</v>
      </c>
      <c r="R145" s="62">
        <f t="shared" si="100"/>
        <v>2.4762695882689911</v>
      </c>
      <c r="S145" s="62">
        <f t="shared" si="101"/>
        <v>2.4539759436885498</v>
      </c>
      <c r="T145" s="62">
        <f t="shared" si="102"/>
        <v>2.4375883269690459</v>
      </c>
      <c r="U145" s="62">
        <f t="shared" si="103"/>
        <v>2.4258714180887511</v>
      </c>
      <c r="V145" s="62">
        <f t="shared" si="104"/>
        <v>2.4176595953126729</v>
      </c>
      <c r="W145" s="62">
        <f t="shared" si="105"/>
        <v>2.4119847210363288</v>
      </c>
      <c r="X145" s="62">
        <f t="shared" si="106"/>
        <v>2.408101121779195</v>
      </c>
      <c r="Y145" s="62">
        <f t="shared" si="107"/>
        <v>2.4054611202820539</v>
      </c>
      <c r="Z145" s="62">
        <f t="shared" si="108"/>
        <v>2.4036746606453043</v>
      </c>
      <c r="AA145" s="62">
        <f t="shared" si="109"/>
        <v>2.4024695131092528</v>
      </c>
      <c r="AB145" s="62">
        <f t="shared" si="110"/>
        <v>2.4016582137746476</v>
      </c>
      <c r="AC145" s="62">
        <f t="shared" si="111"/>
        <v>2.4011128181073338</v>
      </c>
    </row>
    <row r="146" spans="1:29" x14ac:dyDescent="0.3">
      <c r="A146" s="30" t="str">
        <f t="shared" si="83"/>
        <v>Fuel Cost</v>
      </c>
      <c r="B146" s="66">
        <f>$B126+($C126-$B126)*(1-Q126)</f>
        <v>0.1</v>
      </c>
      <c r="C146" s="66">
        <f t="shared" ref="C146:AC146" si="112">$B126+($C126-$B126)*(1-R126)</f>
        <v>0.1</v>
      </c>
      <c r="D146" s="66">
        <f t="shared" si="112"/>
        <v>0.1</v>
      </c>
      <c r="E146" s="66">
        <f t="shared" si="112"/>
        <v>0.1</v>
      </c>
      <c r="F146" s="66">
        <f t="shared" si="112"/>
        <v>0.1</v>
      </c>
      <c r="G146" s="66">
        <f t="shared" si="112"/>
        <v>0.1</v>
      </c>
      <c r="H146" s="66">
        <f t="shared" si="112"/>
        <v>0.1</v>
      </c>
      <c r="I146" s="66">
        <f t="shared" si="112"/>
        <v>0.1</v>
      </c>
      <c r="J146" s="66">
        <f t="shared" si="112"/>
        <v>0.1</v>
      </c>
      <c r="K146" s="66">
        <f t="shared" si="112"/>
        <v>0.1</v>
      </c>
      <c r="L146" s="66">
        <f t="shared" si="112"/>
        <v>0.1</v>
      </c>
      <c r="M146" s="66">
        <f t="shared" si="112"/>
        <v>0.1</v>
      </c>
      <c r="N146" s="66">
        <f t="shared" si="112"/>
        <v>0.1</v>
      </c>
      <c r="O146" s="66">
        <f t="shared" si="112"/>
        <v>0.1</v>
      </c>
      <c r="P146" s="66">
        <f t="shared" si="112"/>
        <v>0.1</v>
      </c>
      <c r="Q146" s="66">
        <f t="shared" si="112"/>
        <v>0.1</v>
      </c>
      <c r="R146" s="66">
        <f t="shared" si="112"/>
        <v>0.1</v>
      </c>
      <c r="S146" s="66">
        <f t="shared" si="112"/>
        <v>0.1</v>
      </c>
      <c r="T146" s="66">
        <f t="shared" si="112"/>
        <v>0.1</v>
      </c>
      <c r="U146" s="66">
        <f t="shared" si="112"/>
        <v>0.1</v>
      </c>
      <c r="V146" s="66">
        <f t="shared" si="112"/>
        <v>0.1</v>
      </c>
      <c r="W146" s="66">
        <f t="shared" si="112"/>
        <v>0.1</v>
      </c>
      <c r="X146" s="66">
        <f t="shared" si="112"/>
        <v>0.1</v>
      </c>
      <c r="Y146" s="66">
        <f t="shared" si="112"/>
        <v>0.1</v>
      </c>
      <c r="Z146" s="66">
        <f t="shared" si="112"/>
        <v>0.1</v>
      </c>
      <c r="AA146" s="66">
        <f t="shared" si="112"/>
        <v>0.1</v>
      </c>
      <c r="AB146" s="66">
        <f t="shared" si="112"/>
        <v>0.1</v>
      </c>
      <c r="AC146" s="66">
        <f t="shared" si="112"/>
        <v>0.1</v>
      </c>
    </row>
    <row r="147" spans="1:29" x14ac:dyDescent="0.3">
      <c r="A147" s="30" t="str">
        <f t="shared" si="83"/>
        <v>Emission Cost</v>
      </c>
      <c r="B147" s="66">
        <f>$B127+($C127-$B127)*(1-Q127)</f>
        <v>7.7639122778339092E-2</v>
      </c>
      <c r="C147" s="66">
        <f t="shared" ref="C147:AC147" si="113">$B127+($C127-$B127)*(1-R127)</f>
        <v>7.777844914537467E-2</v>
      </c>
      <c r="D147" s="66">
        <f t="shared" si="113"/>
        <v>7.7977891736541474E-2</v>
      </c>
      <c r="E147" s="66">
        <f t="shared" si="113"/>
        <v>7.8263208388635597E-2</v>
      </c>
      <c r="F147" s="66">
        <f t="shared" si="113"/>
        <v>7.8670988842723152E-2</v>
      </c>
      <c r="G147" s="66">
        <f t="shared" si="113"/>
        <v>7.925297967571665E-2</v>
      </c>
      <c r="H147" s="66">
        <f t="shared" si="113"/>
        <v>8.0081877399879431E-2</v>
      </c>
      <c r="I147" s="66">
        <f t="shared" si="113"/>
        <v>8.1258793344219593E-2</v>
      </c>
      <c r="J147" s="66">
        <f t="shared" si="113"/>
        <v>8.2922250937142977E-2</v>
      </c>
      <c r="K147" s="66">
        <f t="shared" si="113"/>
        <v>8.5257715386346467E-2</v>
      </c>
      <c r="L147" s="66">
        <f t="shared" si="113"/>
        <v>8.8504858770587308E-2</v>
      </c>
      <c r="M147" s="66">
        <f t="shared" si="113"/>
        <v>9.2956570874505887E-2</v>
      </c>
      <c r="N147" s="66">
        <f t="shared" si="113"/>
        <v>9.8939194915988959E-2</v>
      </c>
      <c r="O147" s="66">
        <f t="shared" si="113"/>
        <v>0.10675964029617348</v>
      </c>
      <c r="P147" s="66">
        <f t="shared" si="113"/>
        <v>0.11660816942568256</v>
      </c>
      <c r="Q147" s="66">
        <f t="shared" si="113"/>
        <v>0.12842612167902054</v>
      </c>
      <c r="R147" s="66">
        <f t="shared" si="113"/>
        <v>0.14178955073148763</v>
      </c>
      <c r="S147" s="66">
        <f t="shared" si="113"/>
        <v>0.15589726795340736</v>
      </c>
      <c r="T147" s="66">
        <f t="shared" si="113"/>
        <v>0.16972737168814467</v>
      </c>
      <c r="U147" s="66">
        <f t="shared" si="113"/>
        <v>0.18231719979056973</v>
      </c>
      <c r="V147" s="66">
        <f t="shared" si="113"/>
        <v>0.19301676085163266</v>
      </c>
      <c r="W147" s="66">
        <f t="shared" si="113"/>
        <v>0.20158519307872402</v>
      </c>
      <c r="X147" s="66">
        <f t="shared" si="113"/>
        <v>0.20812328716215528</v>
      </c>
      <c r="Y147" s="66">
        <f t="shared" si="113"/>
        <v>0.21292931066938076</v>
      </c>
      <c r="Z147" s="66">
        <f t="shared" si="113"/>
        <v>0.21636554794991802</v>
      </c>
      <c r="AA147" s="66">
        <f t="shared" si="113"/>
        <v>0.21877384282125395</v>
      </c>
      <c r="AB147" s="66">
        <f t="shared" si="113"/>
        <v>0.22043812260271833</v>
      </c>
      <c r="AC147" s="66">
        <f t="shared" si="113"/>
        <v>0.22157707219141698</v>
      </c>
    </row>
    <row r="148" spans="1:29" x14ac:dyDescent="0.3">
      <c r="A148" s="30" t="str">
        <f t="shared" si="83"/>
        <v>Lifetime vehicle</v>
      </c>
      <c r="B148" s="62">
        <f>$B128+($C128-$B128)*(1-Q128)</f>
        <v>8</v>
      </c>
      <c r="C148" s="62">
        <f t="shared" ref="C148:L150" si="114">$B128+($C128-$B128)*(1-R128)</f>
        <v>8</v>
      </c>
      <c r="D148" s="62">
        <f t="shared" si="114"/>
        <v>8</v>
      </c>
      <c r="E148" s="62">
        <f t="shared" si="114"/>
        <v>8</v>
      </c>
      <c r="F148" s="62">
        <f t="shared" si="114"/>
        <v>8</v>
      </c>
      <c r="G148" s="62">
        <f t="shared" si="114"/>
        <v>8</v>
      </c>
      <c r="H148" s="62">
        <f t="shared" si="114"/>
        <v>8</v>
      </c>
      <c r="I148" s="62">
        <f t="shared" si="114"/>
        <v>8</v>
      </c>
      <c r="J148" s="62">
        <f t="shared" si="114"/>
        <v>8</v>
      </c>
      <c r="K148" s="62">
        <f t="shared" si="114"/>
        <v>8</v>
      </c>
      <c r="L148" s="62">
        <f t="shared" si="114"/>
        <v>8</v>
      </c>
      <c r="M148" s="62">
        <f t="shared" ref="M148:V150" si="115">$B128+($C128-$B128)*(1-AB128)</f>
        <v>8</v>
      </c>
      <c r="N148" s="62">
        <f t="shared" si="115"/>
        <v>8</v>
      </c>
      <c r="O148" s="62">
        <f t="shared" si="115"/>
        <v>8</v>
      </c>
      <c r="P148" s="62">
        <f t="shared" si="115"/>
        <v>8</v>
      </c>
      <c r="Q148" s="62">
        <f t="shared" si="115"/>
        <v>8</v>
      </c>
      <c r="R148" s="62">
        <f t="shared" si="115"/>
        <v>8</v>
      </c>
      <c r="S148" s="62">
        <f t="shared" si="115"/>
        <v>8</v>
      </c>
      <c r="T148" s="62">
        <f t="shared" si="115"/>
        <v>8</v>
      </c>
      <c r="U148" s="62">
        <f t="shared" si="115"/>
        <v>8</v>
      </c>
      <c r="V148" s="62">
        <f t="shared" si="115"/>
        <v>8</v>
      </c>
      <c r="W148" s="62">
        <f t="shared" ref="W148:AC150" si="116">$B128+($C128-$B128)*(1-AL128)</f>
        <v>8</v>
      </c>
      <c r="X148" s="62">
        <f t="shared" si="116"/>
        <v>8</v>
      </c>
      <c r="Y148" s="62">
        <f t="shared" si="116"/>
        <v>8</v>
      </c>
      <c r="Z148" s="62">
        <f t="shared" si="116"/>
        <v>8</v>
      </c>
      <c r="AA148" s="62">
        <f t="shared" si="116"/>
        <v>8</v>
      </c>
      <c r="AB148" s="62">
        <f t="shared" si="116"/>
        <v>8</v>
      </c>
      <c r="AC148" s="62">
        <f t="shared" si="116"/>
        <v>8</v>
      </c>
    </row>
    <row r="149" spans="1:29" x14ac:dyDescent="0.3">
      <c r="A149" s="30" t="str">
        <f t="shared" si="83"/>
        <v>Lifetime costumization</v>
      </c>
      <c r="B149" s="62">
        <f>$B129+($C129-$B129)*(1-Q129)</f>
        <v>10</v>
      </c>
      <c r="C149" s="62">
        <f t="shared" si="114"/>
        <v>10</v>
      </c>
      <c r="D149" s="62">
        <f t="shared" si="114"/>
        <v>10</v>
      </c>
      <c r="E149" s="62">
        <f t="shared" si="114"/>
        <v>10</v>
      </c>
      <c r="F149" s="62">
        <f t="shared" si="114"/>
        <v>10</v>
      </c>
      <c r="G149" s="62">
        <f t="shared" si="114"/>
        <v>10</v>
      </c>
      <c r="H149" s="62">
        <f t="shared" si="114"/>
        <v>10</v>
      </c>
      <c r="I149" s="62">
        <f t="shared" si="114"/>
        <v>10</v>
      </c>
      <c r="J149" s="62">
        <f t="shared" si="114"/>
        <v>10</v>
      </c>
      <c r="K149" s="62">
        <f t="shared" si="114"/>
        <v>10</v>
      </c>
      <c r="L149" s="62">
        <f t="shared" si="114"/>
        <v>10</v>
      </c>
      <c r="M149" s="62">
        <f t="shared" si="115"/>
        <v>10</v>
      </c>
      <c r="N149" s="62">
        <f t="shared" si="115"/>
        <v>10</v>
      </c>
      <c r="O149" s="62">
        <f t="shared" si="115"/>
        <v>10</v>
      </c>
      <c r="P149" s="62">
        <f t="shared" si="115"/>
        <v>10</v>
      </c>
      <c r="Q149" s="62">
        <f t="shared" si="115"/>
        <v>10</v>
      </c>
      <c r="R149" s="62">
        <f t="shared" si="115"/>
        <v>10</v>
      </c>
      <c r="S149" s="62">
        <f t="shared" si="115"/>
        <v>10</v>
      </c>
      <c r="T149" s="62">
        <f t="shared" si="115"/>
        <v>10</v>
      </c>
      <c r="U149" s="62">
        <f t="shared" si="115"/>
        <v>10</v>
      </c>
      <c r="V149" s="62">
        <f t="shared" si="115"/>
        <v>10</v>
      </c>
      <c r="W149" s="62">
        <f t="shared" si="116"/>
        <v>10</v>
      </c>
      <c r="X149" s="62">
        <f t="shared" si="116"/>
        <v>10</v>
      </c>
      <c r="Y149" s="62">
        <f t="shared" si="116"/>
        <v>10</v>
      </c>
      <c r="Z149" s="62">
        <f t="shared" si="116"/>
        <v>10</v>
      </c>
      <c r="AA149" s="62">
        <f t="shared" si="116"/>
        <v>10</v>
      </c>
      <c r="AB149" s="62">
        <f t="shared" si="116"/>
        <v>10</v>
      </c>
      <c r="AC149" s="62">
        <f t="shared" si="116"/>
        <v>10</v>
      </c>
    </row>
    <row r="150" spans="1:29" x14ac:dyDescent="0.3">
      <c r="A150" s="30" t="str">
        <f t="shared" si="83"/>
        <v>Tonnage .</v>
      </c>
      <c r="B150" s="62">
        <f>$B130+($C130-$B130)*(1-Q130)</f>
        <v>25</v>
      </c>
      <c r="C150" s="62">
        <f t="shared" si="114"/>
        <v>25</v>
      </c>
      <c r="D150" s="62">
        <f t="shared" si="114"/>
        <v>25</v>
      </c>
      <c r="E150" s="62">
        <f t="shared" si="114"/>
        <v>25</v>
      </c>
      <c r="F150" s="62">
        <f t="shared" si="114"/>
        <v>25</v>
      </c>
      <c r="G150" s="62">
        <f t="shared" si="114"/>
        <v>25</v>
      </c>
      <c r="H150" s="62">
        <f t="shared" si="114"/>
        <v>25</v>
      </c>
      <c r="I150" s="62">
        <f t="shared" si="114"/>
        <v>25</v>
      </c>
      <c r="J150" s="62">
        <f t="shared" si="114"/>
        <v>25</v>
      </c>
      <c r="K150" s="62">
        <f t="shared" si="114"/>
        <v>25</v>
      </c>
      <c r="L150" s="62">
        <f t="shared" si="114"/>
        <v>25</v>
      </c>
      <c r="M150" s="62">
        <f t="shared" si="115"/>
        <v>25</v>
      </c>
      <c r="N150" s="62">
        <f t="shared" si="115"/>
        <v>25</v>
      </c>
      <c r="O150" s="62">
        <f t="shared" si="115"/>
        <v>25</v>
      </c>
      <c r="P150" s="62">
        <f t="shared" si="115"/>
        <v>25</v>
      </c>
      <c r="Q150" s="62">
        <f t="shared" si="115"/>
        <v>25</v>
      </c>
      <c r="R150" s="62">
        <f t="shared" si="115"/>
        <v>25</v>
      </c>
      <c r="S150" s="62">
        <f t="shared" si="115"/>
        <v>25</v>
      </c>
      <c r="T150" s="62">
        <f t="shared" si="115"/>
        <v>25</v>
      </c>
      <c r="U150" s="62">
        <f t="shared" si="115"/>
        <v>25</v>
      </c>
      <c r="V150" s="62">
        <f t="shared" si="115"/>
        <v>25</v>
      </c>
      <c r="W150" s="62">
        <f t="shared" si="116"/>
        <v>25</v>
      </c>
      <c r="X150" s="62">
        <f t="shared" si="116"/>
        <v>25</v>
      </c>
      <c r="Y150" s="62">
        <f t="shared" si="116"/>
        <v>25</v>
      </c>
      <c r="Z150" s="62">
        <f t="shared" si="116"/>
        <v>25</v>
      </c>
      <c r="AA150" s="62">
        <f t="shared" si="116"/>
        <v>25</v>
      </c>
      <c r="AB150" s="62">
        <f t="shared" si="116"/>
        <v>25</v>
      </c>
      <c r="AC150" s="62">
        <f t="shared" si="116"/>
        <v>25</v>
      </c>
    </row>
    <row r="151" spans="1:29" x14ac:dyDescent="0.3">
      <c r="A151" s="30" t="str">
        <f t="shared" si="83"/>
        <v>Market failure (av. utilization)</v>
      </c>
      <c r="B151" s="62">
        <f t="shared" ref="B151:K152" si="117">($B131+($C131-$B131)*(1-Q131))*B$44</f>
        <v>12</v>
      </c>
      <c r="C151" s="62">
        <f t="shared" si="117"/>
        <v>12</v>
      </c>
      <c r="D151" s="62">
        <f t="shared" si="117"/>
        <v>12</v>
      </c>
      <c r="E151" s="62">
        <f t="shared" si="117"/>
        <v>12</v>
      </c>
      <c r="F151" s="62">
        <f t="shared" si="117"/>
        <v>12</v>
      </c>
      <c r="G151" s="62">
        <f t="shared" si="117"/>
        <v>12</v>
      </c>
      <c r="H151" s="62">
        <f t="shared" si="117"/>
        <v>12</v>
      </c>
      <c r="I151" s="62">
        <f t="shared" si="117"/>
        <v>12</v>
      </c>
      <c r="J151" s="62">
        <f t="shared" si="117"/>
        <v>12</v>
      </c>
      <c r="K151" s="62">
        <f t="shared" si="117"/>
        <v>12</v>
      </c>
      <c r="L151" s="62">
        <f t="shared" ref="L151:U152" si="118">($B131+($C131-$B131)*(1-AA131))*L$44</f>
        <v>12</v>
      </c>
      <c r="M151" s="62">
        <f t="shared" si="118"/>
        <v>12</v>
      </c>
      <c r="N151" s="62">
        <f t="shared" si="118"/>
        <v>12</v>
      </c>
      <c r="O151" s="62">
        <f t="shared" si="118"/>
        <v>12</v>
      </c>
      <c r="P151" s="62">
        <f t="shared" si="118"/>
        <v>12</v>
      </c>
      <c r="Q151" s="62">
        <f t="shared" si="118"/>
        <v>12</v>
      </c>
      <c r="R151" s="62">
        <f t="shared" si="118"/>
        <v>12</v>
      </c>
      <c r="S151" s="62">
        <f t="shared" si="118"/>
        <v>12</v>
      </c>
      <c r="T151" s="62">
        <f t="shared" si="118"/>
        <v>12</v>
      </c>
      <c r="U151" s="62">
        <f t="shared" si="118"/>
        <v>12</v>
      </c>
      <c r="V151" s="62">
        <f t="shared" ref="V151:AC152" si="119">($B131+($C131-$B131)*(1-AK131))*V$44</f>
        <v>12</v>
      </c>
      <c r="W151" s="62">
        <f t="shared" si="119"/>
        <v>12</v>
      </c>
      <c r="X151" s="62">
        <f t="shared" si="119"/>
        <v>12</v>
      </c>
      <c r="Y151" s="62">
        <f t="shared" si="119"/>
        <v>12</v>
      </c>
      <c r="Z151" s="62">
        <f t="shared" si="119"/>
        <v>12</v>
      </c>
      <c r="AA151" s="62">
        <f t="shared" si="119"/>
        <v>12</v>
      </c>
      <c r="AB151" s="62">
        <f t="shared" si="119"/>
        <v>12</v>
      </c>
      <c r="AC151" s="62">
        <f t="shared" si="119"/>
        <v>12</v>
      </c>
    </row>
    <row r="152" spans="1:29" x14ac:dyDescent="0.3">
      <c r="A152" s="30" t="s">
        <v>73</v>
      </c>
      <c r="B152" s="62">
        <f t="shared" si="117"/>
        <v>0</v>
      </c>
      <c r="C152" s="62">
        <f t="shared" si="117"/>
        <v>0</v>
      </c>
      <c r="D152" s="62">
        <f t="shared" si="117"/>
        <v>0</v>
      </c>
      <c r="E152" s="62">
        <f t="shared" si="117"/>
        <v>0</v>
      </c>
      <c r="F152" s="62">
        <f t="shared" si="117"/>
        <v>0</v>
      </c>
      <c r="G152" s="62">
        <f t="shared" si="117"/>
        <v>0</v>
      </c>
      <c r="H152" s="62">
        <f t="shared" si="117"/>
        <v>0</v>
      </c>
      <c r="I152" s="62">
        <f t="shared" si="117"/>
        <v>0</v>
      </c>
      <c r="J152" s="62">
        <f t="shared" si="117"/>
        <v>0</v>
      </c>
      <c r="K152" s="62">
        <f t="shared" si="117"/>
        <v>0</v>
      </c>
      <c r="L152" s="62">
        <f t="shared" si="118"/>
        <v>0</v>
      </c>
      <c r="M152" s="62">
        <f t="shared" si="118"/>
        <v>0</v>
      </c>
      <c r="N152" s="62">
        <f t="shared" si="118"/>
        <v>0</v>
      </c>
      <c r="O152" s="62">
        <f t="shared" si="118"/>
        <v>0</v>
      </c>
      <c r="P152" s="62">
        <f t="shared" si="118"/>
        <v>0</v>
      </c>
      <c r="Q152" s="62">
        <f t="shared" si="118"/>
        <v>0</v>
      </c>
      <c r="R152" s="62">
        <f t="shared" si="118"/>
        <v>0</v>
      </c>
      <c r="S152" s="62">
        <f t="shared" si="118"/>
        <v>0</v>
      </c>
      <c r="T152" s="62">
        <f t="shared" si="118"/>
        <v>0</v>
      </c>
      <c r="U152" s="62">
        <f t="shared" si="118"/>
        <v>0</v>
      </c>
      <c r="V152" s="62">
        <f t="shared" si="119"/>
        <v>0</v>
      </c>
      <c r="W152" s="62">
        <f t="shared" si="119"/>
        <v>0</v>
      </c>
      <c r="X152" s="62">
        <f t="shared" si="119"/>
        <v>0</v>
      </c>
      <c r="Y152" s="62">
        <f t="shared" si="119"/>
        <v>0</v>
      </c>
      <c r="Z152" s="62">
        <f t="shared" si="119"/>
        <v>0</v>
      </c>
      <c r="AA152" s="62">
        <f t="shared" si="119"/>
        <v>0</v>
      </c>
      <c r="AB152" s="62">
        <f t="shared" si="119"/>
        <v>0</v>
      </c>
      <c r="AC152" s="62">
        <f t="shared" si="119"/>
        <v>0</v>
      </c>
    </row>
    <row r="153" spans="1:29" x14ac:dyDescent="0.3">
      <c r="A153" s="30" t="str">
        <f>A133</f>
        <v>Annual Mileage</v>
      </c>
      <c r="B153" s="62">
        <f t="shared" ref="B153" si="120">$B133+($C133-$B133)*(1-Q133)</f>
        <v>110000</v>
      </c>
      <c r="C153" s="62">
        <f t="shared" ref="C153" si="121">$B133+($C133-$B133)*(1-R133)</f>
        <v>110000</v>
      </c>
      <c r="D153" s="62">
        <f t="shared" ref="D153" si="122">$B133+($C133-$B133)*(1-S133)</f>
        <v>110000</v>
      </c>
      <c r="E153" s="62">
        <f t="shared" ref="E153" si="123">$B133+($C133-$B133)*(1-T133)</f>
        <v>110000</v>
      </c>
      <c r="F153" s="62">
        <f t="shared" ref="F153" si="124">$B133+($C133-$B133)*(1-U133)</f>
        <v>110000</v>
      </c>
      <c r="G153" s="62">
        <f t="shared" ref="G153" si="125">$B133+($C133-$B133)*(1-V133)</f>
        <v>110000</v>
      </c>
      <c r="H153" s="62">
        <f t="shared" ref="H153" si="126">$B133+($C133-$B133)*(1-W133)</f>
        <v>110000</v>
      </c>
      <c r="I153" s="62">
        <f t="shared" ref="I153" si="127">$B133+($C133-$B133)*(1-X133)</f>
        <v>110000</v>
      </c>
      <c r="J153" s="62">
        <f t="shared" ref="J153" si="128">$B133+($C133-$B133)*(1-Y133)</f>
        <v>110000</v>
      </c>
      <c r="K153" s="62">
        <f t="shared" ref="K153" si="129">$B133+($C133-$B133)*(1-Z133)</f>
        <v>110000</v>
      </c>
      <c r="L153" s="62">
        <f t="shared" ref="L153" si="130">$B133+($C133-$B133)*(1-AA133)</f>
        <v>110000</v>
      </c>
      <c r="M153" s="62">
        <f t="shared" ref="M153" si="131">$B133+($C133-$B133)*(1-AB133)</f>
        <v>110000</v>
      </c>
      <c r="N153" s="62">
        <f t="shared" ref="N153" si="132">$B133+($C133-$B133)*(1-AC133)</f>
        <v>110000</v>
      </c>
      <c r="O153" s="62">
        <f t="shared" ref="O153" si="133">$B133+($C133-$B133)*(1-AD133)</f>
        <v>110000</v>
      </c>
      <c r="P153" s="62">
        <f t="shared" ref="P153" si="134">$B133+($C133-$B133)*(1-AE133)</f>
        <v>110000</v>
      </c>
      <c r="Q153" s="62">
        <f t="shared" ref="Q153" si="135">$B133+($C133-$B133)*(1-AF133)</f>
        <v>110000</v>
      </c>
      <c r="R153" s="62">
        <f t="shared" ref="R153" si="136">$B133+($C133-$B133)*(1-AG133)</f>
        <v>110000</v>
      </c>
      <c r="S153" s="62">
        <f t="shared" ref="S153" si="137">$B133+($C133-$B133)*(1-AH133)</f>
        <v>110000</v>
      </c>
      <c r="T153" s="62">
        <f t="shared" ref="T153" si="138">$B133+($C133-$B133)*(1-AI133)</f>
        <v>110000</v>
      </c>
      <c r="U153" s="62">
        <f t="shared" ref="U153" si="139">$B133+($C133-$B133)*(1-AJ133)</f>
        <v>110000</v>
      </c>
      <c r="V153" s="62">
        <f t="shared" ref="V153" si="140">$B133+($C133-$B133)*(1-AK133)</f>
        <v>110000</v>
      </c>
      <c r="W153" s="62">
        <f t="shared" ref="W153" si="141">$B133+($C133-$B133)*(1-AL133)</f>
        <v>110000</v>
      </c>
      <c r="X153" s="62">
        <f t="shared" ref="X153" si="142">$B133+($C133-$B133)*(1-AM133)</f>
        <v>110000</v>
      </c>
      <c r="Y153" s="62">
        <f t="shared" ref="Y153" si="143">$B133+($C133-$B133)*(1-AN133)</f>
        <v>110000</v>
      </c>
      <c r="Z153" s="62">
        <f t="shared" ref="Z153" si="144">$B133+($C133-$B133)*(1-AO133)</f>
        <v>110000</v>
      </c>
      <c r="AA153" s="62">
        <f t="shared" ref="AA153" si="145">$B133+($C133-$B133)*(1-AP133)</f>
        <v>110000</v>
      </c>
      <c r="AB153" s="62">
        <f t="shared" ref="AB153" si="146">$B133+($C133-$B133)*(1-AQ133)</f>
        <v>110000</v>
      </c>
      <c r="AC153" s="62">
        <f t="shared" ref="AC153" si="147">$B133+($C133-$B133)*(1-AR133)</f>
        <v>110000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16930.034166116213</v>
      </c>
      <c r="C156" s="63">
        <f t="shared" ref="C156:AC156" si="148">((1+C141)^C148)*C141/(((1+C141)^C148)-1)*(C137)</f>
        <v>16939.137147822737</v>
      </c>
      <c r="D156" s="63">
        <f t="shared" si="148"/>
        <v>16952.062076917297</v>
      </c>
      <c r="E156" s="63">
        <f t="shared" si="148"/>
        <v>16970.330222186072</v>
      </c>
      <c r="F156" s="63">
        <f t="shared" si="148"/>
        <v>16995.97836855879</v>
      </c>
      <c r="G156" s="63">
        <f t="shared" si="148"/>
        <v>17031.638602582309</v>
      </c>
      <c r="H156" s="63">
        <f t="shared" si="148"/>
        <v>17080.52744937655</v>
      </c>
      <c r="I156" s="63">
        <f t="shared" si="148"/>
        <v>17146.228820750977</v>
      </c>
      <c r="J156" s="63">
        <f t="shared" si="148"/>
        <v>17232.113205708847</v>
      </c>
      <c r="K156" s="63">
        <f t="shared" si="148"/>
        <v>17340.270072218107</v>
      </c>
      <c r="L156" s="63">
        <f t="shared" si="148"/>
        <v>17470.055207385878</v>
      </c>
      <c r="M156" s="63">
        <f t="shared" si="148"/>
        <v>17616.812818916205</v>
      </c>
      <c r="N156" s="63">
        <f t="shared" si="148"/>
        <v>17771.744227277446</v>
      </c>
      <c r="O156" s="63">
        <f t="shared" si="148"/>
        <v>17923.62687531321</v>
      </c>
      <c r="P156" s="63">
        <f t="shared" si="148"/>
        <v>18061.888776104923</v>
      </c>
      <c r="Q156" s="63">
        <f t="shared" si="148"/>
        <v>18179.391702904584</v>
      </c>
      <c r="R156" s="63">
        <f t="shared" si="148"/>
        <v>18273.490503689198</v>
      </c>
      <c r="S156" s="63">
        <f t="shared" si="148"/>
        <v>18345.292065090671</v>
      </c>
      <c r="T156" s="63">
        <f t="shared" si="148"/>
        <v>18398.071971214304</v>
      </c>
      <c r="U156" s="63">
        <f t="shared" si="148"/>
        <v>18435.808840543512</v>
      </c>
      <c r="V156" s="63">
        <f t="shared" si="148"/>
        <v>18462.256812975615</v>
      </c>
      <c r="W156" s="63">
        <f t="shared" si="148"/>
        <v>18480.533987545627</v>
      </c>
      <c r="X156" s="63">
        <f t="shared" si="148"/>
        <v>18493.041968890429</v>
      </c>
      <c r="Y156" s="63">
        <f t="shared" si="148"/>
        <v>18501.544671484124</v>
      </c>
      <c r="Z156" s="63">
        <f t="shared" si="148"/>
        <v>18507.298355716259</v>
      </c>
      <c r="AA156" s="63">
        <f t="shared" si="148"/>
        <v>18511.179797106222</v>
      </c>
      <c r="AB156" s="63">
        <f t="shared" si="148"/>
        <v>18513.792764168582</v>
      </c>
      <c r="AC156" s="63">
        <f t="shared" si="148"/>
        <v>18515.549330276619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-4208.0593252569806</v>
      </c>
      <c r="C157" s="62">
        <f t="shared" ref="C157:AC157" si="149">((1+C141)^C148)*C141/(((1+C141)^C148)-1)*(C138)</f>
        <v>-4199.866641721108</v>
      </c>
      <c r="D157" s="62">
        <f t="shared" si="149"/>
        <v>-4188.2342055360041</v>
      </c>
      <c r="E157" s="62">
        <f t="shared" si="149"/>
        <v>-4171.7928747941069</v>
      </c>
      <c r="F157" s="62">
        <f t="shared" si="149"/>
        <v>-4148.7095430586614</v>
      </c>
      <c r="G157" s="62">
        <f t="shared" si="149"/>
        <v>-4116.6153324374927</v>
      </c>
      <c r="H157" s="62">
        <f t="shared" si="149"/>
        <v>-4072.6153703226773</v>
      </c>
      <c r="I157" s="62">
        <f t="shared" si="149"/>
        <v>-4013.4841360856908</v>
      </c>
      <c r="J157" s="62">
        <f t="shared" si="149"/>
        <v>-3936.1881896236077</v>
      </c>
      <c r="K157" s="62">
        <f t="shared" si="149"/>
        <v>-3838.8470097652757</v>
      </c>
      <c r="L157" s="62">
        <f t="shared" si="149"/>
        <v>-3722.0403881142815</v>
      </c>
      <c r="M157" s="62">
        <f t="shared" si="149"/>
        <v>-3589.9585377369858</v>
      </c>
      <c r="N157" s="62">
        <f t="shared" si="149"/>
        <v>-3450.5202702118704</v>
      </c>
      <c r="O157" s="62">
        <f t="shared" si="149"/>
        <v>-3313.8258869796846</v>
      </c>
      <c r="P157" s="62">
        <f t="shared" si="149"/>
        <v>-3189.3901762671421</v>
      </c>
      <c r="Q157" s="62">
        <f t="shared" si="149"/>
        <v>-3083.6375421474468</v>
      </c>
      <c r="R157" s="62">
        <f t="shared" si="149"/>
        <v>-2998.9486214412941</v>
      </c>
      <c r="S157" s="62">
        <f t="shared" si="149"/>
        <v>-2934.3272161799682</v>
      </c>
      <c r="T157" s="62">
        <f t="shared" si="149"/>
        <v>-2886.8253006686996</v>
      </c>
      <c r="U157" s="62">
        <f t="shared" si="149"/>
        <v>-2852.8621182724105</v>
      </c>
      <c r="V157" s="62">
        <f t="shared" si="149"/>
        <v>-2829.0589430835184</v>
      </c>
      <c r="W157" s="62">
        <f t="shared" si="149"/>
        <v>-2812.6094859705067</v>
      </c>
      <c r="X157" s="62">
        <f t="shared" si="149"/>
        <v>-2801.3523027601836</v>
      </c>
      <c r="Y157" s="62">
        <f t="shared" si="149"/>
        <v>-2793.6998704258613</v>
      </c>
      <c r="Z157" s="62">
        <f t="shared" si="149"/>
        <v>-2788.5215546169388</v>
      </c>
      <c r="AA157" s="62">
        <f t="shared" si="149"/>
        <v>-2785.0282573659729</v>
      </c>
      <c r="AB157" s="62">
        <f t="shared" si="149"/>
        <v>-2782.6765870098498</v>
      </c>
      <c r="AC157" s="62">
        <f t="shared" si="149"/>
        <v>-2781.0956775126119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8152.0774932230233</v>
      </c>
      <c r="C158" s="62">
        <f t="shared" ref="C158:AC158" si="150">((1+C141)^C149)*C141/(((1+C141)^C149)-1)*(C139)</f>
        <v>8152.0774932230233</v>
      </c>
      <c r="D158" s="62">
        <f t="shared" si="150"/>
        <v>8152.0774932230233</v>
      </c>
      <c r="E158" s="62">
        <f t="shared" si="150"/>
        <v>8152.0774932230233</v>
      </c>
      <c r="F158" s="62">
        <f t="shared" si="150"/>
        <v>8152.0774932230233</v>
      </c>
      <c r="G158" s="62">
        <f t="shared" si="150"/>
        <v>8152.0774932230233</v>
      </c>
      <c r="H158" s="62">
        <f t="shared" si="150"/>
        <v>8152.0774932230233</v>
      </c>
      <c r="I158" s="62">
        <f t="shared" si="150"/>
        <v>8152.0774932230233</v>
      </c>
      <c r="J158" s="62">
        <f t="shared" si="150"/>
        <v>8152.0774932230233</v>
      </c>
      <c r="K158" s="62">
        <f t="shared" si="150"/>
        <v>8152.0774932230233</v>
      </c>
      <c r="L158" s="62">
        <f t="shared" si="150"/>
        <v>8152.0774932230233</v>
      </c>
      <c r="M158" s="62">
        <f t="shared" si="150"/>
        <v>8152.0774932230233</v>
      </c>
      <c r="N158" s="62">
        <f t="shared" si="150"/>
        <v>8152.0774932230233</v>
      </c>
      <c r="O158" s="62">
        <f t="shared" si="150"/>
        <v>8152.0774932230233</v>
      </c>
      <c r="P158" s="62">
        <f t="shared" si="150"/>
        <v>8152.0774932230233</v>
      </c>
      <c r="Q158" s="62">
        <f t="shared" si="150"/>
        <v>8152.0774932230233</v>
      </c>
      <c r="R158" s="62">
        <f t="shared" si="150"/>
        <v>8152.0774932230233</v>
      </c>
      <c r="S158" s="62">
        <f t="shared" si="150"/>
        <v>8152.0774932230233</v>
      </c>
      <c r="T158" s="62">
        <f t="shared" si="150"/>
        <v>8152.0774932230233</v>
      </c>
      <c r="U158" s="62">
        <f t="shared" si="150"/>
        <v>8152.0774932230233</v>
      </c>
      <c r="V158" s="62">
        <f t="shared" si="150"/>
        <v>8152.0774932230233</v>
      </c>
      <c r="W158" s="62">
        <f t="shared" si="150"/>
        <v>8152.0774932230233</v>
      </c>
      <c r="X158" s="62">
        <f t="shared" si="150"/>
        <v>8152.0774932230233</v>
      </c>
      <c r="Y158" s="62">
        <f t="shared" si="150"/>
        <v>8152.0774932230233</v>
      </c>
      <c r="Z158" s="62">
        <f t="shared" si="150"/>
        <v>8152.0774932230233</v>
      </c>
      <c r="AA158" s="62">
        <f t="shared" si="150"/>
        <v>8152.0774932230233</v>
      </c>
      <c r="AB158" s="62">
        <f t="shared" si="150"/>
        <v>8152.0774932230233</v>
      </c>
      <c r="AC158" s="62">
        <f t="shared" si="150"/>
        <v>8152.0774932230233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-2038.0193733057558</v>
      </c>
      <c r="C159" s="62">
        <f t="shared" ref="C159:AC159" si="151">((1+C141)^C149)*C141/(((1+C141)^C149)-1)*(C140)</f>
        <v>-2038.0193733057558</v>
      </c>
      <c r="D159" s="62">
        <f t="shared" si="151"/>
        <v>-2038.0193733057558</v>
      </c>
      <c r="E159" s="62">
        <f t="shared" si="151"/>
        <v>-2038.0193733057558</v>
      </c>
      <c r="F159" s="62">
        <f t="shared" si="151"/>
        <v>-2038.0193733057558</v>
      </c>
      <c r="G159" s="62">
        <f t="shared" si="151"/>
        <v>-2038.0193733057558</v>
      </c>
      <c r="H159" s="62">
        <f t="shared" si="151"/>
        <v>-2038.0193733057558</v>
      </c>
      <c r="I159" s="62">
        <f t="shared" si="151"/>
        <v>-2038.0193733057558</v>
      </c>
      <c r="J159" s="62">
        <f t="shared" si="151"/>
        <v>-2038.0193733057558</v>
      </c>
      <c r="K159" s="62">
        <f t="shared" si="151"/>
        <v>-2038.0193733057558</v>
      </c>
      <c r="L159" s="62">
        <f t="shared" si="151"/>
        <v>-2038.0193733057558</v>
      </c>
      <c r="M159" s="62">
        <f t="shared" si="151"/>
        <v>-2038.0193733057558</v>
      </c>
      <c r="N159" s="62">
        <f t="shared" si="151"/>
        <v>-2038.0193733057558</v>
      </c>
      <c r="O159" s="62">
        <f t="shared" si="151"/>
        <v>-2038.0193733057558</v>
      </c>
      <c r="P159" s="62">
        <f t="shared" si="151"/>
        <v>-2038.0193733057558</v>
      </c>
      <c r="Q159" s="62">
        <f t="shared" si="151"/>
        <v>-2038.0193733057558</v>
      </c>
      <c r="R159" s="62">
        <f t="shared" si="151"/>
        <v>-2038.0193733057558</v>
      </c>
      <c r="S159" s="62">
        <f t="shared" si="151"/>
        <v>-2038.0193733057558</v>
      </c>
      <c r="T159" s="62">
        <f t="shared" si="151"/>
        <v>-2038.0193733057558</v>
      </c>
      <c r="U159" s="62">
        <f t="shared" si="151"/>
        <v>-2038.0193733057558</v>
      </c>
      <c r="V159" s="62">
        <f t="shared" si="151"/>
        <v>-2038.0193733057558</v>
      </c>
      <c r="W159" s="62">
        <f t="shared" si="151"/>
        <v>-2038.0193733057558</v>
      </c>
      <c r="X159" s="62">
        <f t="shared" si="151"/>
        <v>-2038.0193733057558</v>
      </c>
      <c r="Y159" s="62">
        <f t="shared" si="151"/>
        <v>-2038.0193733057558</v>
      </c>
      <c r="Z159" s="62">
        <f t="shared" si="151"/>
        <v>-2038.0193733057558</v>
      </c>
      <c r="AA159" s="62">
        <f t="shared" si="151"/>
        <v>-2038.0193733057558</v>
      </c>
      <c r="AB159" s="62">
        <f t="shared" si="151"/>
        <v>-2038.0193733057558</v>
      </c>
      <c r="AC159" s="62">
        <f t="shared" si="151"/>
        <v>-2038.0193733057558</v>
      </c>
    </row>
    <row r="160" spans="1:29" x14ac:dyDescent="0.3">
      <c r="A160" s="30" t="str">
        <f>A142</f>
        <v>Opex fix (admin, crew, insurance)</v>
      </c>
      <c r="B160" s="62">
        <f>B142</f>
        <v>70000</v>
      </c>
      <c r="C160" s="62">
        <f t="shared" ref="C160:AC160" si="152">C142</f>
        <v>70000</v>
      </c>
      <c r="D160" s="62">
        <f t="shared" si="152"/>
        <v>70000</v>
      </c>
      <c r="E160" s="62">
        <f t="shared" si="152"/>
        <v>70000</v>
      </c>
      <c r="F160" s="62">
        <f t="shared" si="152"/>
        <v>70000</v>
      </c>
      <c r="G160" s="62">
        <f t="shared" si="152"/>
        <v>70000</v>
      </c>
      <c r="H160" s="62">
        <f t="shared" si="152"/>
        <v>70000</v>
      </c>
      <c r="I160" s="62">
        <f t="shared" si="152"/>
        <v>70000</v>
      </c>
      <c r="J160" s="62">
        <f t="shared" si="152"/>
        <v>70000</v>
      </c>
      <c r="K160" s="62">
        <f t="shared" si="152"/>
        <v>70000</v>
      </c>
      <c r="L160" s="62">
        <f t="shared" si="152"/>
        <v>70000</v>
      </c>
      <c r="M160" s="62">
        <f t="shared" si="152"/>
        <v>70000</v>
      </c>
      <c r="N160" s="62">
        <f t="shared" si="152"/>
        <v>70000</v>
      </c>
      <c r="O160" s="62">
        <f t="shared" si="152"/>
        <v>70000</v>
      </c>
      <c r="P160" s="62">
        <f t="shared" si="152"/>
        <v>70000</v>
      </c>
      <c r="Q160" s="62">
        <f t="shared" si="152"/>
        <v>70000</v>
      </c>
      <c r="R160" s="62">
        <f t="shared" si="152"/>
        <v>70000</v>
      </c>
      <c r="S160" s="62">
        <f t="shared" si="152"/>
        <v>70000</v>
      </c>
      <c r="T160" s="62">
        <f t="shared" si="152"/>
        <v>70000</v>
      </c>
      <c r="U160" s="62">
        <f t="shared" si="152"/>
        <v>70000</v>
      </c>
      <c r="V160" s="62">
        <f t="shared" si="152"/>
        <v>70000</v>
      </c>
      <c r="W160" s="62">
        <f t="shared" si="152"/>
        <v>70000</v>
      </c>
      <c r="X160" s="62">
        <f t="shared" si="152"/>
        <v>70000</v>
      </c>
      <c r="Y160" s="62">
        <f t="shared" si="152"/>
        <v>70000</v>
      </c>
      <c r="Z160" s="62">
        <f t="shared" si="152"/>
        <v>70000</v>
      </c>
      <c r="AA160" s="62">
        <f t="shared" si="152"/>
        <v>70000</v>
      </c>
      <c r="AB160" s="62">
        <f t="shared" si="152"/>
        <v>70000</v>
      </c>
      <c r="AC160" s="62">
        <f t="shared" si="152"/>
        <v>70000</v>
      </c>
    </row>
    <row r="161" spans="1:29" x14ac:dyDescent="0.3">
      <c r="A161" s="30" t="str">
        <f>A143</f>
        <v>Opex maintenance &amp; repair</v>
      </c>
      <c r="B161" s="62">
        <f>B143</f>
        <v>20000</v>
      </c>
      <c r="C161" s="62">
        <f t="shared" ref="C161:AC161" si="153">C143</f>
        <v>20000</v>
      </c>
      <c r="D161" s="62">
        <f t="shared" si="153"/>
        <v>20000</v>
      </c>
      <c r="E161" s="62">
        <f t="shared" si="153"/>
        <v>20000</v>
      </c>
      <c r="F161" s="62">
        <f t="shared" si="153"/>
        <v>20000</v>
      </c>
      <c r="G161" s="62">
        <f t="shared" si="153"/>
        <v>20000</v>
      </c>
      <c r="H161" s="62">
        <f t="shared" si="153"/>
        <v>20000</v>
      </c>
      <c r="I161" s="62">
        <f t="shared" si="153"/>
        <v>20000</v>
      </c>
      <c r="J161" s="62">
        <f t="shared" si="153"/>
        <v>20000</v>
      </c>
      <c r="K161" s="62">
        <f t="shared" si="153"/>
        <v>20000</v>
      </c>
      <c r="L161" s="62">
        <f t="shared" si="153"/>
        <v>20000</v>
      </c>
      <c r="M161" s="62">
        <f t="shared" si="153"/>
        <v>20000</v>
      </c>
      <c r="N161" s="62">
        <f t="shared" si="153"/>
        <v>20000</v>
      </c>
      <c r="O161" s="62">
        <f t="shared" si="153"/>
        <v>20000</v>
      </c>
      <c r="P161" s="62">
        <f t="shared" si="153"/>
        <v>20000</v>
      </c>
      <c r="Q161" s="62">
        <f t="shared" si="153"/>
        <v>20000</v>
      </c>
      <c r="R161" s="62">
        <f t="shared" si="153"/>
        <v>20000</v>
      </c>
      <c r="S161" s="62">
        <f t="shared" si="153"/>
        <v>20000</v>
      </c>
      <c r="T161" s="62">
        <f t="shared" si="153"/>
        <v>20000</v>
      </c>
      <c r="U161" s="62">
        <f t="shared" si="153"/>
        <v>20000</v>
      </c>
      <c r="V161" s="62">
        <f t="shared" si="153"/>
        <v>20000</v>
      </c>
      <c r="W161" s="62">
        <f t="shared" si="153"/>
        <v>20000</v>
      </c>
      <c r="X161" s="62">
        <f t="shared" si="153"/>
        <v>20000</v>
      </c>
      <c r="Y161" s="62">
        <f t="shared" si="153"/>
        <v>20000</v>
      </c>
      <c r="Z161" s="62">
        <f t="shared" si="153"/>
        <v>20000</v>
      </c>
      <c r="AA161" s="62">
        <f t="shared" si="153"/>
        <v>20000</v>
      </c>
      <c r="AB161" s="62">
        <f t="shared" si="153"/>
        <v>20000</v>
      </c>
      <c r="AC161" s="62">
        <f t="shared" si="153"/>
        <v>20000</v>
      </c>
    </row>
    <row r="162" spans="1:29" x14ac:dyDescent="0.3">
      <c r="A162" s="30" t="str">
        <f>A144</f>
        <v>Opex var (mode-fees)</v>
      </c>
      <c r="B162" s="62">
        <f>B144*B153</f>
        <v>12100</v>
      </c>
      <c r="C162" s="62">
        <f t="shared" ref="C162:AC162" si="154">C144*C153</f>
        <v>12100</v>
      </c>
      <c r="D162" s="62">
        <f t="shared" si="154"/>
        <v>12100</v>
      </c>
      <c r="E162" s="62">
        <f t="shared" si="154"/>
        <v>12100</v>
      </c>
      <c r="F162" s="62">
        <f t="shared" si="154"/>
        <v>12100</v>
      </c>
      <c r="G162" s="62">
        <f t="shared" si="154"/>
        <v>12100</v>
      </c>
      <c r="H162" s="62">
        <f t="shared" si="154"/>
        <v>12100</v>
      </c>
      <c r="I162" s="62">
        <f t="shared" si="154"/>
        <v>12100</v>
      </c>
      <c r="J162" s="62">
        <f t="shared" si="154"/>
        <v>12100</v>
      </c>
      <c r="K162" s="62">
        <f t="shared" si="154"/>
        <v>12100</v>
      </c>
      <c r="L162" s="62">
        <f t="shared" si="154"/>
        <v>12100</v>
      </c>
      <c r="M162" s="62">
        <f t="shared" si="154"/>
        <v>12100</v>
      </c>
      <c r="N162" s="62">
        <f t="shared" si="154"/>
        <v>12100</v>
      </c>
      <c r="O162" s="62">
        <f t="shared" si="154"/>
        <v>12100</v>
      </c>
      <c r="P162" s="62">
        <f t="shared" si="154"/>
        <v>12100</v>
      </c>
      <c r="Q162" s="62">
        <f t="shared" si="154"/>
        <v>12100</v>
      </c>
      <c r="R162" s="62">
        <f t="shared" si="154"/>
        <v>12100</v>
      </c>
      <c r="S162" s="62">
        <f t="shared" si="154"/>
        <v>12100</v>
      </c>
      <c r="T162" s="62">
        <f t="shared" si="154"/>
        <v>12100</v>
      </c>
      <c r="U162" s="62">
        <f t="shared" si="154"/>
        <v>12100</v>
      </c>
      <c r="V162" s="62">
        <f t="shared" si="154"/>
        <v>12100</v>
      </c>
      <c r="W162" s="62">
        <f t="shared" si="154"/>
        <v>12100</v>
      </c>
      <c r="X162" s="62">
        <f t="shared" si="154"/>
        <v>12100</v>
      </c>
      <c r="Y162" s="62">
        <f t="shared" si="154"/>
        <v>12100</v>
      </c>
      <c r="Z162" s="62">
        <f t="shared" si="154"/>
        <v>12100</v>
      </c>
      <c r="AA162" s="62">
        <f t="shared" si="154"/>
        <v>12100</v>
      </c>
      <c r="AB162" s="62">
        <f t="shared" si="154"/>
        <v>12100</v>
      </c>
      <c r="AC162" s="62">
        <f t="shared" si="154"/>
        <v>12100</v>
      </c>
    </row>
    <row r="163" spans="1:29" x14ac:dyDescent="0.3">
      <c r="A163" s="30" t="str">
        <f>A146</f>
        <v>Fuel Cost</v>
      </c>
      <c r="B163" s="62">
        <f t="shared" ref="B163:AC163" si="155">B145*B146*B153</f>
        <v>31827.388238661606</v>
      </c>
      <c r="C163" s="62">
        <f t="shared" si="155"/>
        <v>31796.298036957207</v>
      </c>
      <c r="D163" s="62">
        <f t="shared" si="155"/>
        <v>31752.154407372964</v>
      </c>
      <c r="E163" s="62">
        <f t="shared" si="155"/>
        <v>31689.761628887609</v>
      </c>
      <c r="F163" s="62">
        <f t="shared" si="155"/>
        <v>31602.163293553127</v>
      </c>
      <c r="G163" s="62">
        <f t="shared" si="155"/>
        <v>31480.369808257779</v>
      </c>
      <c r="H163" s="62">
        <f t="shared" si="155"/>
        <v>31313.395496221212</v>
      </c>
      <c r="I163" s="62">
        <f t="shared" si="155"/>
        <v>31088.999913087988</v>
      </c>
      <c r="J163" s="62">
        <f t="shared" si="155"/>
        <v>30795.671535894315</v>
      </c>
      <c r="K163" s="62">
        <f t="shared" si="155"/>
        <v>30426.274023749636</v>
      </c>
      <c r="L163" s="62">
        <f t="shared" si="155"/>
        <v>29983.007612733265</v>
      </c>
      <c r="M163" s="62">
        <f t="shared" si="155"/>
        <v>29481.773633446726</v>
      </c>
      <c r="N163" s="62">
        <f t="shared" si="155"/>
        <v>28952.622978025189</v>
      </c>
      <c r="O163" s="62">
        <f t="shared" si="155"/>
        <v>28433.885017753815</v>
      </c>
      <c r="P163" s="62">
        <f t="shared" si="155"/>
        <v>27961.667175047714</v>
      </c>
      <c r="Q163" s="62">
        <f t="shared" si="155"/>
        <v>27560.349253861474</v>
      </c>
      <c r="R163" s="62">
        <f t="shared" si="155"/>
        <v>27238.965470958901</v>
      </c>
      <c r="S163" s="62">
        <f t="shared" si="155"/>
        <v>26993.735380574049</v>
      </c>
      <c r="T163" s="62">
        <f t="shared" si="155"/>
        <v>26813.471596659507</v>
      </c>
      <c r="U163" s="62">
        <f t="shared" si="155"/>
        <v>26684.585598976264</v>
      </c>
      <c r="V163" s="62">
        <f t="shared" si="155"/>
        <v>26594.255548439403</v>
      </c>
      <c r="W163" s="62">
        <f t="shared" si="155"/>
        <v>26531.831931399618</v>
      </c>
      <c r="X163" s="62">
        <f t="shared" si="155"/>
        <v>26489.112339571144</v>
      </c>
      <c r="Y163" s="62">
        <f t="shared" si="155"/>
        <v>26460.072323102595</v>
      </c>
      <c r="Z163" s="62">
        <f t="shared" si="155"/>
        <v>26440.421267098347</v>
      </c>
      <c r="AA163" s="62">
        <f t="shared" si="155"/>
        <v>26427.164644201785</v>
      </c>
      <c r="AB163" s="62">
        <f t="shared" si="155"/>
        <v>26418.240351521126</v>
      </c>
      <c r="AC163" s="62">
        <f t="shared" si="155"/>
        <v>26412.240999180671</v>
      </c>
    </row>
    <row r="164" spans="1:29" ht="15" thickBot="1" x14ac:dyDescent="0.35">
      <c r="A164" s="59" t="str">
        <f>A127</f>
        <v>Emission Cost</v>
      </c>
      <c r="B164" s="62">
        <f>B147*B153</f>
        <v>8540.3035056172994</v>
      </c>
      <c r="C164" s="62">
        <f t="shared" ref="C164:AC164" si="156">C147*C153</f>
        <v>8555.6294059912143</v>
      </c>
      <c r="D164" s="62">
        <f t="shared" si="156"/>
        <v>8577.5680910195624</v>
      </c>
      <c r="E164" s="62">
        <f t="shared" si="156"/>
        <v>8608.9529227499152</v>
      </c>
      <c r="F164" s="62">
        <f t="shared" si="156"/>
        <v>8653.8087726995473</v>
      </c>
      <c r="G164" s="62">
        <f t="shared" si="156"/>
        <v>8717.8277643288311</v>
      </c>
      <c r="H164" s="62">
        <f t="shared" si="156"/>
        <v>8809.0065139867365</v>
      </c>
      <c r="I164" s="62">
        <f t="shared" si="156"/>
        <v>8938.4672678641546</v>
      </c>
      <c r="J164" s="62">
        <f t="shared" si="156"/>
        <v>9121.4476030857277</v>
      </c>
      <c r="K164" s="62">
        <f t="shared" si="156"/>
        <v>9378.3486924981116</v>
      </c>
      <c r="L164" s="62">
        <f t="shared" si="156"/>
        <v>9735.5344647646034</v>
      </c>
      <c r="M164" s="62">
        <f t="shared" si="156"/>
        <v>10225.222796195647</v>
      </c>
      <c r="N164" s="62">
        <f t="shared" si="156"/>
        <v>10883.311440758785</v>
      </c>
      <c r="O164" s="62">
        <f t="shared" si="156"/>
        <v>11743.560432579083</v>
      </c>
      <c r="P164" s="62">
        <f t="shared" si="156"/>
        <v>12826.898636825081</v>
      </c>
      <c r="Q164" s="62">
        <f t="shared" si="156"/>
        <v>14126.873384692259</v>
      </c>
      <c r="R164" s="62">
        <f t="shared" si="156"/>
        <v>15596.850580463641</v>
      </c>
      <c r="S164" s="62">
        <f t="shared" si="156"/>
        <v>17148.699474874811</v>
      </c>
      <c r="T164" s="62">
        <f t="shared" si="156"/>
        <v>18670.010885695912</v>
      </c>
      <c r="U164" s="62">
        <f t="shared" si="156"/>
        <v>20054.89197696267</v>
      </c>
      <c r="V164" s="62">
        <f t="shared" si="156"/>
        <v>21231.843693679592</v>
      </c>
      <c r="W164" s="62">
        <f t="shared" si="156"/>
        <v>22174.371238659642</v>
      </c>
      <c r="X164" s="62">
        <f t="shared" si="156"/>
        <v>22893.561587837081</v>
      </c>
      <c r="Y164" s="62">
        <f t="shared" si="156"/>
        <v>23422.224173631883</v>
      </c>
      <c r="Z164" s="62">
        <f t="shared" si="156"/>
        <v>23800.210274490983</v>
      </c>
      <c r="AA164" s="62">
        <f t="shared" si="156"/>
        <v>24065.122710337935</v>
      </c>
      <c r="AB164" s="62">
        <f t="shared" si="156"/>
        <v>24248.193486299017</v>
      </c>
      <c r="AC164" s="62">
        <f t="shared" si="156"/>
        <v>24373.477941055869</v>
      </c>
    </row>
    <row r="165" spans="1:29" ht="15" thickBot="1" x14ac:dyDescent="0.35">
      <c r="A165" s="31" t="s">
        <v>209</v>
      </c>
      <c r="B165" s="64">
        <f>B156+B157+B158+B159+B160+B161+B162+B163+B164</f>
        <v>161303.72470505541</v>
      </c>
      <c r="C165" s="64">
        <f t="shared" ref="C165:AC165" si="157">C156+C157+C158+C159+C160+C161+C162+C163+C164</f>
        <v>161305.25606896731</v>
      </c>
      <c r="D165" s="64">
        <f t="shared" si="157"/>
        <v>161307.60848969108</v>
      </c>
      <c r="E165" s="64">
        <f t="shared" si="157"/>
        <v>161311.31001894677</v>
      </c>
      <c r="F165" s="64">
        <f t="shared" si="157"/>
        <v>161317.29901167008</v>
      </c>
      <c r="G165" s="64">
        <f t="shared" si="157"/>
        <v>161327.27896264871</v>
      </c>
      <c r="H165" s="64">
        <f t="shared" si="157"/>
        <v>161344.37220917907</v>
      </c>
      <c r="I165" s="64">
        <f t="shared" si="157"/>
        <v>161374.26998553469</v>
      </c>
      <c r="J165" s="64">
        <f t="shared" si="157"/>
        <v>161427.10227498252</v>
      </c>
      <c r="K165" s="64">
        <f t="shared" si="157"/>
        <v>161520.10389861785</v>
      </c>
      <c r="L165" s="64">
        <f t="shared" si="157"/>
        <v>161680.61501668673</v>
      </c>
      <c r="M165" s="64">
        <f t="shared" si="157"/>
        <v>161947.90883073886</v>
      </c>
      <c r="N165" s="64">
        <f t="shared" si="157"/>
        <v>162371.2164957668</v>
      </c>
      <c r="O165" s="64">
        <f t="shared" si="157"/>
        <v>163001.30455858368</v>
      </c>
      <c r="P165" s="64">
        <f t="shared" si="157"/>
        <v>163875.12253162786</v>
      </c>
      <c r="Q165" s="64">
        <f t="shared" si="157"/>
        <v>164997.03491922814</v>
      </c>
      <c r="R165" s="64">
        <f t="shared" si="157"/>
        <v>166324.41605358772</v>
      </c>
      <c r="S165" s="64">
        <f t="shared" si="157"/>
        <v>167767.45782427682</v>
      </c>
      <c r="T165" s="64">
        <f t="shared" si="157"/>
        <v>169208.78727281827</v>
      </c>
      <c r="U165" s="64">
        <f t="shared" si="157"/>
        <v>170536.4824181273</v>
      </c>
      <c r="V165" s="64">
        <f t="shared" si="157"/>
        <v>171673.35523192835</v>
      </c>
      <c r="W165" s="64">
        <f t="shared" si="157"/>
        <v>172588.18579155163</v>
      </c>
      <c r="X165" s="64">
        <f t="shared" si="157"/>
        <v>173288.42171345575</v>
      </c>
      <c r="Y165" s="64">
        <f t="shared" si="157"/>
        <v>173804.19941771001</v>
      </c>
      <c r="Z165" s="64">
        <f t="shared" si="157"/>
        <v>174173.46646260592</v>
      </c>
      <c r="AA165" s="64">
        <f t="shared" si="157"/>
        <v>174432.49701419723</v>
      </c>
      <c r="AB165" s="64">
        <f t="shared" si="157"/>
        <v>174611.60813489615</v>
      </c>
      <c r="AC165" s="64">
        <f t="shared" si="157"/>
        <v>174734.23071291781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4" si="158">A156</f>
        <v>Capex vehicle</v>
      </c>
      <c r="B168" s="65">
        <f t="shared" ref="B168:AC168" si="159">((1+B141)^B148)*B141/(((1+B141)^B148)-1)*(B137)/B153</f>
        <v>0.1539094015101474</v>
      </c>
      <c r="C168" s="65">
        <f t="shared" si="159"/>
        <v>0.1539921558892976</v>
      </c>
      <c r="D168" s="65">
        <f t="shared" si="159"/>
        <v>0.15410965524470269</v>
      </c>
      <c r="E168" s="65">
        <f t="shared" si="159"/>
        <v>0.15427572929260067</v>
      </c>
      <c r="F168" s="65">
        <f t="shared" si="159"/>
        <v>0.15450889425962536</v>
      </c>
      <c r="G168" s="65">
        <f t="shared" si="159"/>
        <v>0.15483307820529371</v>
      </c>
      <c r="H168" s="65">
        <f t="shared" si="159"/>
        <v>0.15527752226705954</v>
      </c>
      <c r="I168" s="65">
        <f t="shared" si="159"/>
        <v>0.15587480746137253</v>
      </c>
      <c r="J168" s="65">
        <f t="shared" si="159"/>
        <v>0.15665557459735316</v>
      </c>
      <c r="K168" s="65">
        <f t="shared" si="159"/>
        <v>0.15763881883834643</v>
      </c>
      <c r="L168" s="65">
        <f t="shared" si="159"/>
        <v>0.15881868370350799</v>
      </c>
      <c r="M168" s="65">
        <f t="shared" si="159"/>
        <v>0.16015284380832914</v>
      </c>
      <c r="N168" s="65">
        <f t="shared" si="159"/>
        <v>0.16156131115706768</v>
      </c>
      <c r="O168" s="65">
        <f t="shared" si="159"/>
        <v>0.16294206250284737</v>
      </c>
      <c r="P168" s="65">
        <f t="shared" si="159"/>
        <v>0.16419898887368112</v>
      </c>
      <c r="Q168" s="65">
        <f t="shared" si="159"/>
        <v>0.16526719729913258</v>
      </c>
      <c r="R168" s="65">
        <f t="shared" si="159"/>
        <v>0.16612264094262907</v>
      </c>
      <c r="S168" s="65">
        <f t="shared" si="159"/>
        <v>0.16677538240991518</v>
      </c>
      <c r="T168" s="65">
        <f t="shared" si="159"/>
        <v>0.16725519973831185</v>
      </c>
      <c r="U168" s="65">
        <f t="shared" si="159"/>
        <v>0.16759826218675919</v>
      </c>
      <c r="V168" s="65">
        <f t="shared" si="159"/>
        <v>0.16783869829977832</v>
      </c>
      <c r="W168" s="65">
        <f t="shared" si="159"/>
        <v>0.16800485443223298</v>
      </c>
      <c r="X168" s="65">
        <f t="shared" si="159"/>
        <v>0.16811856335354936</v>
      </c>
      <c r="Y168" s="65">
        <f t="shared" si="159"/>
        <v>0.16819586064985567</v>
      </c>
      <c r="Z168" s="65">
        <f t="shared" si="159"/>
        <v>0.16824816687014782</v>
      </c>
      <c r="AA168" s="65">
        <f t="shared" si="159"/>
        <v>0.16828345270096565</v>
      </c>
      <c r="AB168" s="65">
        <f t="shared" si="159"/>
        <v>0.16830720694698711</v>
      </c>
      <c r="AC168" s="65">
        <f t="shared" si="159"/>
        <v>0.16832317572978744</v>
      </c>
    </row>
    <row r="169" spans="1:29" x14ac:dyDescent="0.3">
      <c r="A169" s="30" t="str">
        <f t="shared" si="158"/>
        <v>Residual value (vehicle)</v>
      </c>
      <c r="B169" s="66">
        <f t="shared" ref="B169:AC169" si="160">((1+B141)^B148)*B141/(((1+B141)^B148)-1)*(B138)/B153</f>
        <v>-3.825508477506346E-2</v>
      </c>
      <c r="C169" s="66">
        <f t="shared" si="160"/>
        <v>-3.8180605833828256E-2</v>
      </c>
      <c r="D169" s="66">
        <f t="shared" si="160"/>
        <v>-3.8074856413963673E-2</v>
      </c>
      <c r="E169" s="66">
        <f t="shared" si="160"/>
        <v>-3.7925389770855515E-2</v>
      </c>
      <c r="F169" s="66">
        <f t="shared" si="160"/>
        <v>-3.7715541300533284E-2</v>
      </c>
      <c r="G169" s="66">
        <f t="shared" si="160"/>
        <v>-3.7423775749431752E-2</v>
      </c>
      <c r="H169" s="66">
        <f t="shared" si="160"/>
        <v>-3.7023776093842518E-2</v>
      </c>
      <c r="I169" s="66">
        <f t="shared" si="160"/>
        <v>-3.6486219418960825E-2</v>
      </c>
      <c r="J169" s="66">
        <f t="shared" si="160"/>
        <v>-3.5783528996578252E-2</v>
      </c>
      <c r="K169" s="66">
        <f t="shared" si="160"/>
        <v>-3.4898609179684327E-2</v>
      </c>
      <c r="L169" s="66">
        <f t="shared" si="160"/>
        <v>-3.3836730801038925E-2</v>
      </c>
      <c r="M169" s="66">
        <f t="shared" si="160"/>
        <v>-3.2635986706699871E-2</v>
      </c>
      <c r="N169" s="66">
        <f t="shared" si="160"/>
        <v>-3.1368366092835186E-2</v>
      </c>
      <c r="O169" s="66">
        <f t="shared" si="160"/>
        <v>-3.0125689881633496E-2</v>
      </c>
      <c r="P169" s="66">
        <f t="shared" si="160"/>
        <v>-2.899445614788311E-2</v>
      </c>
      <c r="Q169" s="66">
        <f t="shared" si="160"/>
        <v>-2.8033068564976789E-2</v>
      </c>
      <c r="R169" s="66">
        <f t="shared" si="160"/>
        <v>-2.7263169285829947E-2</v>
      </c>
      <c r="S169" s="66">
        <f t="shared" si="160"/>
        <v>-2.6675701965272438E-2</v>
      </c>
      <c r="T169" s="66">
        <f t="shared" si="160"/>
        <v>-2.624386636971545E-2</v>
      </c>
      <c r="U169" s="66">
        <f t="shared" si="160"/>
        <v>-2.5935110166112822E-2</v>
      </c>
      <c r="V169" s="66">
        <f t="shared" si="160"/>
        <v>-2.5718717664395624E-2</v>
      </c>
      <c r="W169" s="66">
        <f t="shared" si="160"/>
        <v>-2.5569177145186424E-2</v>
      </c>
      <c r="X169" s="66">
        <f t="shared" si="160"/>
        <v>-2.5466839116001668E-2</v>
      </c>
      <c r="Y169" s="66">
        <f t="shared" si="160"/>
        <v>-2.5397271549326011E-2</v>
      </c>
      <c r="Z169" s="66">
        <f t="shared" si="160"/>
        <v>-2.5350195951063081E-2</v>
      </c>
      <c r="AA169" s="66">
        <f t="shared" si="160"/>
        <v>-2.5318438703327027E-2</v>
      </c>
      <c r="AB169" s="66">
        <f t="shared" si="160"/>
        <v>-2.5297059881907724E-2</v>
      </c>
      <c r="AC169" s="66">
        <f t="shared" si="160"/>
        <v>-2.5282687977387381E-2</v>
      </c>
    </row>
    <row r="170" spans="1:29" x14ac:dyDescent="0.3">
      <c r="A170" s="30" t="str">
        <f t="shared" si="158"/>
        <v>Capex costumization</v>
      </c>
      <c r="B170" s="66">
        <f t="shared" ref="B170:AC170" si="161">((1+B141)^B149)*B141/(((1+B141)^B149)-1)*(B139)/B153</f>
        <v>7.4109795392936578E-2</v>
      </c>
      <c r="C170" s="66">
        <f t="shared" si="161"/>
        <v>7.4109795392936578E-2</v>
      </c>
      <c r="D170" s="66">
        <f t="shared" si="161"/>
        <v>7.4109795392936578E-2</v>
      </c>
      <c r="E170" s="66">
        <f t="shared" si="161"/>
        <v>7.4109795392936578E-2</v>
      </c>
      <c r="F170" s="66">
        <f t="shared" si="161"/>
        <v>7.4109795392936578E-2</v>
      </c>
      <c r="G170" s="66">
        <f t="shared" si="161"/>
        <v>7.4109795392936578E-2</v>
      </c>
      <c r="H170" s="66">
        <f t="shared" si="161"/>
        <v>7.4109795392936578E-2</v>
      </c>
      <c r="I170" s="66">
        <f t="shared" si="161"/>
        <v>7.4109795392936578E-2</v>
      </c>
      <c r="J170" s="66">
        <f t="shared" si="161"/>
        <v>7.4109795392936578E-2</v>
      </c>
      <c r="K170" s="66">
        <f t="shared" si="161"/>
        <v>7.4109795392936578E-2</v>
      </c>
      <c r="L170" s="66">
        <f t="shared" si="161"/>
        <v>7.4109795392936578E-2</v>
      </c>
      <c r="M170" s="66">
        <f t="shared" si="161"/>
        <v>7.4109795392936578E-2</v>
      </c>
      <c r="N170" s="66">
        <f t="shared" si="161"/>
        <v>7.4109795392936578E-2</v>
      </c>
      <c r="O170" s="66">
        <f t="shared" si="161"/>
        <v>7.4109795392936578E-2</v>
      </c>
      <c r="P170" s="66">
        <f t="shared" si="161"/>
        <v>7.4109795392936578E-2</v>
      </c>
      <c r="Q170" s="66">
        <f t="shared" si="161"/>
        <v>7.4109795392936578E-2</v>
      </c>
      <c r="R170" s="66">
        <f t="shared" si="161"/>
        <v>7.4109795392936578E-2</v>
      </c>
      <c r="S170" s="66">
        <f t="shared" si="161"/>
        <v>7.4109795392936578E-2</v>
      </c>
      <c r="T170" s="66">
        <f t="shared" si="161"/>
        <v>7.4109795392936578E-2</v>
      </c>
      <c r="U170" s="66">
        <f t="shared" si="161"/>
        <v>7.4109795392936578E-2</v>
      </c>
      <c r="V170" s="66">
        <f t="shared" si="161"/>
        <v>7.4109795392936578E-2</v>
      </c>
      <c r="W170" s="66">
        <f t="shared" si="161"/>
        <v>7.4109795392936578E-2</v>
      </c>
      <c r="X170" s="66">
        <f t="shared" si="161"/>
        <v>7.4109795392936578E-2</v>
      </c>
      <c r="Y170" s="66">
        <f t="shared" si="161"/>
        <v>7.4109795392936578E-2</v>
      </c>
      <c r="Z170" s="66">
        <f t="shared" si="161"/>
        <v>7.4109795392936578E-2</v>
      </c>
      <c r="AA170" s="66">
        <f t="shared" si="161"/>
        <v>7.4109795392936578E-2</v>
      </c>
      <c r="AB170" s="66">
        <f t="shared" si="161"/>
        <v>7.4109795392936578E-2</v>
      </c>
      <c r="AC170" s="66">
        <f t="shared" si="161"/>
        <v>7.4109795392936578E-2</v>
      </c>
    </row>
    <row r="171" spans="1:29" x14ac:dyDescent="0.3">
      <c r="A171" s="30" t="str">
        <f t="shared" si="158"/>
        <v>Residual value (costumization)</v>
      </c>
      <c r="B171" s="66">
        <f t="shared" ref="B171:AC171" si="162">((1+B141)^B149)*B141/(((1+B141)^B149)-1)*(B140)/B153</f>
        <v>-1.8527448848234145E-2</v>
      </c>
      <c r="C171" s="66">
        <f t="shared" si="162"/>
        <v>-1.8527448848234145E-2</v>
      </c>
      <c r="D171" s="66">
        <f t="shared" si="162"/>
        <v>-1.8527448848234145E-2</v>
      </c>
      <c r="E171" s="66">
        <f t="shared" si="162"/>
        <v>-1.8527448848234145E-2</v>
      </c>
      <c r="F171" s="66">
        <f t="shared" si="162"/>
        <v>-1.8527448848234145E-2</v>
      </c>
      <c r="G171" s="66">
        <f t="shared" si="162"/>
        <v>-1.8527448848234145E-2</v>
      </c>
      <c r="H171" s="66">
        <f t="shared" si="162"/>
        <v>-1.8527448848234145E-2</v>
      </c>
      <c r="I171" s="66">
        <f t="shared" si="162"/>
        <v>-1.8527448848234145E-2</v>
      </c>
      <c r="J171" s="66">
        <f t="shared" si="162"/>
        <v>-1.8527448848234145E-2</v>
      </c>
      <c r="K171" s="66">
        <f t="shared" si="162"/>
        <v>-1.8527448848234145E-2</v>
      </c>
      <c r="L171" s="66">
        <f t="shared" si="162"/>
        <v>-1.8527448848234145E-2</v>
      </c>
      <c r="M171" s="66">
        <f t="shared" si="162"/>
        <v>-1.8527448848234145E-2</v>
      </c>
      <c r="N171" s="66">
        <f t="shared" si="162"/>
        <v>-1.8527448848234145E-2</v>
      </c>
      <c r="O171" s="66">
        <f t="shared" si="162"/>
        <v>-1.8527448848234145E-2</v>
      </c>
      <c r="P171" s="66">
        <f t="shared" si="162"/>
        <v>-1.8527448848234145E-2</v>
      </c>
      <c r="Q171" s="66">
        <f t="shared" si="162"/>
        <v>-1.8527448848234145E-2</v>
      </c>
      <c r="R171" s="66">
        <f t="shared" si="162"/>
        <v>-1.8527448848234145E-2</v>
      </c>
      <c r="S171" s="66">
        <f t="shared" si="162"/>
        <v>-1.8527448848234145E-2</v>
      </c>
      <c r="T171" s="66">
        <f t="shared" si="162"/>
        <v>-1.8527448848234145E-2</v>
      </c>
      <c r="U171" s="66">
        <f t="shared" si="162"/>
        <v>-1.8527448848234145E-2</v>
      </c>
      <c r="V171" s="66">
        <f t="shared" si="162"/>
        <v>-1.8527448848234145E-2</v>
      </c>
      <c r="W171" s="66">
        <f t="shared" si="162"/>
        <v>-1.8527448848234145E-2</v>
      </c>
      <c r="X171" s="66">
        <f t="shared" si="162"/>
        <v>-1.8527448848234145E-2</v>
      </c>
      <c r="Y171" s="66">
        <f t="shared" si="162"/>
        <v>-1.8527448848234145E-2</v>
      </c>
      <c r="Z171" s="66">
        <f t="shared" si="162"/>
        <v>-1.8527448848234145E-2</v>
      </c>
      <c r="AA171" s="66">
        <f t="shared" si="162"/>
        <v>-1.8527448848234145E-2</v>
      </c>
      <c r="AB171" s="66">
        <f t="shared" si="162"/>
        <v>-1.8527448848234145E-2</v>
      </c>
      <c r="AC171" s="66">
        <f t="shared" si="162"/>
        <v>-1.8527448848234145E-2</v>
      </c>
    </row>
    <row r="172" spans="1:29" x14ac:dyDescent="0.3">
      <c r="A172" s="30" t="str">
        <f t="shared" si="158"/>
        <v>Opex fix (admin, crew, insurance)</v>
      </c>
      <c r="B172" s="66">
        <f t="shared" ref="B172:AC172" si="163">B142/B153</f>
        <v>0.63636363636363635</v>
      </c>
      <c r="C172" s="66">
        <f t="shared" si="163"/>
        <v>0.63636363636363635</v>
      </c>
      <c r="D172" s="66">
        <f t="shared" si="163"/>
        <v>0.63636363636363635</v>
      </c>
      <c r="E172" s="66">
        <f t="shared" si="163"/>
        <v>0.63636363636363635</v>
      </c>
      <c r="F172" s="66">
        <f t="shared" si="163"/>
        <v>0.63636363636363635</v>
      </c>
      <c r="G172" s="66">
        <f t="shared" si="163"/>
        <v>0.63636363636363635</v>
      </c>
      <c r="H172" s="66">
        <f t="shared" si="163"/>
        <v>0.63636363636363635</v>
      </c>
      <c r="I172" s="66">
        <f t="shared" si="163"/>
        <v>0.63636363636363635</v>
      </c>
      <c r="J172" s="66">
        <f t="shared" si="163"/>
        <v>0.63636363636363635</v>
      </c>
      <c r="K172" s="66">
        <f t="shared" si="163"/>
        <v>0.63636363636363635</v>
      </c>
      <c r="L172" s="66">
        <f t="shared" si="163"/>
        <v>0.63636363636363635</v>
      </c>
      <c r="M172" s="66">
        <f t="shared" si="163"/>
        <v>0.63636363636363635</v>
      </c>
      <c r="N172" s="66">
        <f t="shared" si="163"/>
        <v>0.63636363636363635</v>
      </c>
      <c r="O172" s="66">
        <f t="shared" si="163"/>
        <v>0.63636363636363635</v>
      </c>
      <c r="P172" s="66">
        <f t="shared" si="163"/>
        <v>0.63636363636363635</v>
      </c>
      <c r="Q172" s="66">
        <f t="shared" si="163"/>
        <v>0.63636363636363635</v>
      </c>
      <c r="R172" s="66">
        <f t="shared" si="163"/>
        <v>0.63636363636363635</v>
      </c>
      <c r="S172" s="66">
        <f t="shared" si="163"/>
        <v>0.63636363636363635</v>
      </c>
      <c r="T172" s="66">
        <f t="shared" si="163"/>
        <v>0.63636363636363635</v>
      </c>
      <c r="U172" s="66">
        <f t="shared" si="163"/>
        <v>0.63636363636363635</v>
      </c>
      <c r="V172" s="66">
        <f t="shared" si="163"/>
        <v>0.63636363636363635</v>
      </c>
      <c r="W172" s="66">
        <f t="shared" si="163"/>
        <v>0.63636363636363635</v>
      </c>
      <c r="X172" s="66">
        <f t="shared" si="163"/>
        <v>0.63636363636363635</v>
      </c>
      <c r="Y172" s="66">
        <f t="shared" si="163"/>
        <v>0.63636363636363635</v>
      </c>
      <c r="Z172" s="66">
        <f t="shared" si="163"/>
        <v>0.63636363636363635</v>
      </c>
      <c r="AA172" s="66">
        <f t="shared" si="163"/>
        <v>0.63636363636363635</v>
      </c>
      <c r="AB172" s="66">
        <f t="shared" si="163"/>
        <v>0.63636363636363635</v>
      </c>
      <c r="AC172" s="66">
        <f t="shared" si="163"/>
        <v>0.63636363636363635</v>
      </c>
    </row>
    <row r="173" spans="1:29" x14ac:dyDescent="0.3">
      <c r="A173" s="30" t="str">
        <f t="shared" si="158"/>
        <v>Opex maintenance &amp; repair</v>
      </c>
      <c r="B173" s="66">
        <f t="shared" ref="B173:AC173" si="164">B143/B153</f>
        <v>0.18181818181818182</v>
      </c>
      <c r="C173" s="66">
        <f t="shared" si="164"/>
        <v>0.18181818181818182</v>
      </c>
      <c r="D173" s="66">
        <f t="shared" si="164"/>
        <v>0.18181818181818182</v>
      </c>
      <c r="E173" s="66">
        <f t="shared" si="164"/>
        <v>0.18181818181818182</v>
      </c>
      <c r="F173" s="66">
        <f t="shared" si="164"/>
        <v>0.18181818181818182</v>
      </c>
      <c r="G173" s="66">
        <f t="shared" si="164"/>
        <v>0.18181818181818182</v>
      </c>
      <c r="H173" s="66">
        <f t="shared" si="164"/>
        <v>0.18181818181818182</v>
      </c>
      <c r="I173" s="66">
        <f t="shared" si="164"/>
        <v>0.18181818181818182</v>
      </c>
      <c r="J173" s="66">
        <f t="shared" si="164"/>
        <v>0.18181818181818182</v>
      </c>
      <c r="K173" s="66">
        <f t="shared" si="164"/>
        <v>0.18181818181818182</v>
      </c>
      <c r="L173" s="66">
        <f t="shared" si="164"/>
        <v>0.18181818181818182</v>
      </c>
      <c r="M173" s="66">
        <f t="shared" si="164"/>
        <v>0.18181818181818182</v>
      </c>
      <c r="N173" s="66">
        <f t="shared" si="164"/>
        <v>0.18181818181818182</v>
      </c>
      <c r="O173" s="66">
        <f t="shared" si="164"/>
        <v>0.18181818181818182</v>
      </c>
      <c r="P173" s="66">
        <f t="shared" si="164"/>
        <v>0.18181818181818182</v>
      </c>
      <c r="Q173" s="66">
        <f t="shared" si="164"/>
        <v>0.18181818181818182</v>
      </c>
      <c r="R173" s="66">
        <f t="shared" si="164"/>
        <v>0.18181818181818182</v>
      </c>
      <c r="S173" s="66">
        <f t="shared" si="164"/>
        <v>0.18181818181818182</v>
      </c>
      <c r="T173" s="66">
        <f t="shared" si="164"/>
        <v>0.18181818181818182</v>
      </c>
      <c r="U173" s="66">
        <f t="shared" si="164"/>
        <v>0.18181818181818182</v>
      </c>
      <c r="V173" s="66">
        <f t="shared" si="164"/>
        <v>0.18181818181818182</v>
      </c>
      <c r="W173" s="66">
        <f t="shared" si="164"/>
        <v>0.18181818181818182</v>
      </c>
      <c r="X173" s="66">
        <f t="shared" si="164"/>
        <v>0.18181818181818182</v>
      </c>
      <c r="Y173" s="66">
        <f t="shared" si="164"/>
        <v>0.18181818181818182</v>
      </c>
      <c r="Z173" s="66">
        <f t="shared" si="164"/>
        <v>0.18181818181818182</v>
      </c>
      <c r="AA173" s="66">
        <f t="shared" si="164"/>
        <v>0.18181818181818182</v>
      </c>
      <c r="AB173" s="66">
        <f t="shared" si="164"/>
        <v>0.18181818181818182</v>
      </c>
      <c r="AC173" s="66">
        <f t="shared" si="164"/>
        <v>0.18181818181818182</v>
      </c>
    </row>
    <row r="174" spans="1:29" x14ac:dyDescent="0.3">
      <c r="A174" s="30" t="str">
        <f t="shared" si="158"/>
        <v>Opex var (mode-fees)</v>
      </c>
      <c r="B174" s="66">
        <f t="shared" ref="B174:AC174" si="165">B144*B153/B153</f>
        <v>0.11</v>
      </c>
      <c r="C174" s="66">
        <f t="shared" si="165"/>
        <v>0.11</v>
      </c>
      <c r="D174" s="66">
        <f t="shared" si="165"/>
        <v>0.11</v>
      </c>
      <c r="E174" s="66">
        <f t="shared" si="165"/>
        <v>0.11</v>
      </c>
      <c r="F174" s="66">
        <f t="shared" si="165"/>
        <v>0.11</v>
      </c>
      <c r="G174" s="66">
        <f t="shared" si="165"/>
        <v>0.11</v>
      </c>
      <c r="H174" s="66">
        <f t="shared" si="165"/>
        <v>0.11</v>
      </c>
      <c r="I174" s="66">
        <f t="shared" si="165"/>
        <v>0.11</v>
      </c>
      <c r="J174" s="66">
        <f t="shared" si="165"/>
        <v>0.11</v>
      </c>
      <c r="K174" s="66">
        <f t="shared" si="165"/>
        <v>0.11</v>
      </c>
      <c r="L174" s="66">
        <f t="shared" si="165"/>
        <v>0.11</v>
      </c>
      <c r="M174" s="66">
        <f t="shared" si="165"/>
        <v>0.11</v>
      </c>
      <c r="N174" s="66">
        <f t="shared" si="165"/>
        <v>0.11</v>
      </c>
      <c r="O174" s="66">
        <f t="shared" si="165"/>
        <v>0.11</v>
      </c>
      <c r="P174" s="66">
        <f t="shared" si="165"/>
        <v>0.11</v>
      </c>
      <c r="Q174" s="66">
        <f t="shared" si="165"/>
        <v>0.11</v>
      </c>
      <c r="R174" s="66">
        <f t="shared" si="165"/>
        <v>0.11</v>
      </c>
      <c r="S174" s="66">
        <f t="shared" si="165"/>
        <v>0.11</v>
      </c>
      <c r="T174" s="66">
        <f t="shared" si="165"/>
        <v>0.11</v>
      </c>
      <c r="U174" s="66">
        <f t="shared" si="165"/>
        <v>0.11</v>
      </c>
      <c r="V174" s="66">
        <f t="shared" si="165"/>
        <v>0.11</v>
      </c>
      <c r="W174" s="66">
        <f t="shared" si="165"/>
        <v>0.11</v>
      </c>
      <c r="X174" s="66">
        <f t="shared" si="165"/>
        <v>0.11</v>
      </c>
      <c r="Y174" s="66">
        <f t="shared" si="165"/>
        <v>0.11</v>
      </c>
      <c r="Z174" s="66">
        <f t="shared" si="165"/>
        <v>0.11</v>
      </c>
      <c r="AA174" s="66">
        <f t="shared" si="165"/>
        <v>0.11</v>
      </c>
      <c r="AB174" s="66">
        <f t="shared" si="165"/>
        <v>0.11</v>
      </c>
      <c r="AC174" s="66">
        <f t="shared" si="165"/>
        <v>0.11</v>
      </c>
    </row>
    <row r="175" spans="1:29" x14ac:dyDescent="0.3">
      <c r="A175" s="30" t="str">
        <f t="shared" ref="A175" si="166">A163</f>
        <v>Fuel Cost</v>
      </c>
      <c r="B175" s="66">
        <f t="shared" ref="B175:AC175" si="167">B145*B146*B153/B153</f>
        <v>0.28933989307874186</v>
      </c>
      <c r="C175" s="66">
        <f t="shared" si="167"/>
        <v>0.28905725488142914</v>
      </c>
      <c r="D175" s="66">
        <f t="shared" si="167"/>
        <v>0.28865594915793602</v>
      </c>
      <c r="E175" s="66">
        <f t="shared" si="167"/>
        <v>0.28808874208079643</v>
      </c>
      <c r="F175" s="66">
        <f t="shared" si="167"/>
        <v>0.28729239357775571</v>
      </c>
      <c r="G175" s="66">
        <f t="shared" si="167"/>
        <v>0.28618518007507071</v>
      </c>
      <c r="H175" s="66">
        <f t="shared" si="167"/>
        <v>0.28466723178382919</v>
      </c>
      <c r="I175" s="66">
        <f t="shared" si="167"/>
        <v>0.28262727193716353</v>
      </c>
      <c r="J175" s="66">
        <f t="shared" si="167"/>
        <v>0.27996065032631196</v>
      </c>
      <c r="K175" s="66">
        <f t="shared" si="167"/>
        <v>0.27660249112499669</v>
      </c>
      <c r="L175" s="66">
        <f t="shared" si="167"/>
        <v>0.27257279647939331</v>
      </c>
      <c r="M175" s="66">
        <f t="shared" si="167"/>
        <v>0.26801612394042479</v>
      </c>
      <c r="N175" s="66">
        <f t="shared" si="167"/>
        <v>0.26320566343659263</v>
      </c>
      <c r="O175" s="66">
        <f t="shared" si="167"/>
        <v>0.25848986379776195</v>
      </c>
      <c r="P175" s="66">
        <f t="shared" si="167"/>
        <v>0.2541969743186156</v>
      </c>
      <c r="Q175" s="66">
        <f t="shared" si="167"/>
        <v>0.25054862958055885</v>
      </c>
      <c r="R175" s="66">
        <f t="shared" si="167"/>
        <v>0.24762695882689911</v>
      </c>
      <c r="S175" s="66">
        <f t="shared" si="167"/>
        <v>0.245397594368855</v>
      </c>
      <c r="T175" s="66">
        <f t="shared" si="167"/>
        <v>0.2437588326969046</v>
      </c>
      <c r="U175" s="66">
        <f t="shared" si="167"/>
        <v>0.24258714180887514</v>
      </c>
      <c r="V175" s="66">
        <f t="shared" si="167"/>
        <v>0.24176595953126731</v>
      </c>
      <c r="W175" s="66">
        <f t="shared" si="167"/>
        <v>0.2411984721036329</v>
      </c>
      <c r="X175" s="66">
        <f t="shared" si="167"/>
        <v>0.24081011217791948</v>
      </c>
      <c r="Y175" s="66">
        <f t="shared" si="167"/>
        <v>0.24054611202820542</v>
      </c>
      <c r="Z175" s="66">
        <f t="shared" si="167"/>
        <v>0.24036746606453044</v>
      </c>
      <c r="AA175" s="66">
        <f t="shared" si="167"/>
        <v>0.24024695131092533</v>
      </c>
      <c r="AB175" s="66">
        <f t="shared" si="167"/>
        <v>0.24016582137746478</v>
      </c>
      <c r="AC175" s="66">
        <f t="shared" si="167"/>
        <v>0.24011128181073338</v>
      </c>
    </row>
    <row r="176" spans="1:29" ht="15" thickBot="1" x14ac:dyDescent="0.35">
      <c r="A176" s="59" t="str">
        <f>A127</f>
        <v>Emission Cost</v>
      </c>
      <c r="B176" s="66">
        <f>B147</f>
        <v>7.7639122778339092E-2</v>
      </c>
      <c r="C176" s="66">
        <f t="shared" ref="C176:AC176" si="168">C147</f>
        <v>7.777844914537467E-2</v>
      </c>
      <c r="D176" s="66">
        <f t="shared" si="168"/>
        <v>7.7977891736541474E-2</v>
      </c>
      <c r="E176" s="66">
        <f t="shared" si="168"/>
        <v>7.8263208388635597E-2</v>
      </c>
      <c r="F176" s="66">
        <f t="shared" si="168"/>
        <v>7.8670988842723152E-2</v>
      </c>
      <c r="G176" s="66">
        <f t="shared" si="168"/>
        <v>7.925297967571665E-2</v>
      </c>
      <c r="H176" s="66">
        <f t="shared" si="168"/>
        <v>8.0081877399879431E-2</v>
      </c>
      <c r="I176" s="66">
        <f t="shared" si="168"/>
        <v>8.1258793344219593E-2</v>
      </c>
      <c r="J176" s="66">
        <f t="shared" si="168"/>
        <v>8.2922250937142977E-2</v>
      </c>
      <c r="K176" s="66">
        <f t="shared" si="168"/>
        <v>8.5257715386346467E-2</v>
      </c>
      <c r="L176" s="66">
        <f t="shared" si="168"/>
        <v>8.8504858770587308E-2</v>
      </c>
      <c r="M176" s="66">
        <f t="shared" si="168"/>
        <v>9.2956570874505887E-2</v>
      </c>
      <c r="N176" s="66">
        <f t="shared" si="168"/>
        <v>9.8939194915988959E-2</v>
      </c>
      <c r="O176" s="66">
        <f t="shared" si="168"/>
        <v>0.10675964029617348</v>
      </c>
      <c r="P176" s="66">
        <f t="shared" si="168"/>
        <v>0.11660816942568256</v>
      </c>
      <c r="Q176" s="66">
        <f t="shared" si="168"/>
        <v>0.12842612167902054</v>
      </c>
      <c r="R176" s="66">
        <f t="shared" si="168"/>
        <v>0.14178955073148763</v>
      </c>
      <c r="S176" s="66">
        <f t="shared" si="168"/>
        <v>0.15589726795340736</v>
      </c>
      <c r="T176" s="66">
        <f t="shared" si="168"/>
        <v>0.16972737168814467</v>
      </c>
      <c r="U176" s="66">
        <f t="shared" si="168"/>
        <v>0.18231719979056973</v>
      </c>
      <c r="V176" s="66">
        <f t="shared" si="168"/>
        <v>0.19301676085163266</v>
      </c>
      <c r="W176" s="66">
        <f t="shared" si="168"/>
        <v>0.20158519307872402</v>
      </c>
      <c r="X176" s="66">
        <f t="shared" si="168"/>
        <v>0.20812328716215528</v>
      </c>
      <c r="Y176" s="66">
        <f t="shared" si="168"/>
        <v>0.21292931066938076</v>
      </c>
      <c r="Z176" s="66">
        <f t="shared" si="168"/>
        <v>0.21636554794991802</v>
      </c>
      <c r="AA176" s="66">
        <f t="shared" si="168"/>
        <v>0.21877384282125395</v>
      </c>
      <c r="AB176" s="66">
        <f t="shared" si="168"/>
        <v>0.22043812260271833</v>
      </c>
      <c r="AC176" s="66">
        <f t="shared" si="168"/>
        <v>0.22157707219141698</v>
      </c>
    </row>
    <row r="177" spans="1:29" ht="15" thickBot="1" x14ac:dyDescent="0.35">
      <c r="A177" s="31" t="s">
        <v>63</v>
      </c>
      <c r="B177" s="76">
        <f>B168+B169+B170-B171+B172+B173+B174+B175+B176</f>
        <v>1.5034523950151539</v>
      </c>
      <c r="C177" s="76">
        <f t="shared" ref="C177:AC177" si="169">C168+C169+C170-C171+C172+C173+C174+C175+C176</f>
        <v>1.5034663165052622</v>
      </c>
      <c r="D177" s="76">
        <f t="shared" si="169"/>
        <v>1.5034877021482054</v>
      </c>
      <c r="E177" s="76">
        <f t="shared" si="169"/>
        <v>1.5035213524141664</v>
      </c>
      <c r="F177" s="76">
        <f t="shared" si="169"/>
        <v>1.5035757978025597</v>
      </c>
      <c r="G177" s="76">
        <f t="shared" si="169"/>
        <v>1.5036665246296383</v>
      </c>
      <c r="H177" s="76">
        <f t="shared" si="169"/>
        <v>1.5038219177799148</v>
      </c>
      <c r="I177" s="76">
        <f t="shared" si="169"/>
        <v>1.5040937157467837</v>
      </c>
      <c r="J177" s="76">
        <f t="shared" si="169"/>
        <v>1.5045740092872188</v>
      </c>
      <c r="K177" s="76">
        <f t="shared" si="169"/>
        <v>1.5054194785929944</v>
      </c>
      <c r="L177" s="76">
        <f t="shared" si="169"/>
        <v>1.5068786705754387</v>
      </c>
      <c r="M177" s="76">
        <f t="shared" si="169"/>
        <v>1.5093086143395491</v>
      </c>
      <c r="N177" s="76">
        <f t="shared" si="169"/>
        <v>1.5131568658398031</v>
      </c>
      <c r="O177" s="76">
        <f t="shared" si="169"/>
        <v>1.5188849391381383</v>
      </c>
      <c r="P177" s="76">
        <f t="shared" si="169"/>
        <v>1.5268287388930852</v>
      </c>
      <c r="Q177" s="76">
        <f t="shared" si="169"/>
        <v>1.5370279424167241</v>
      </c>
      <c r="R177" s="76">
        <f t="shared" si="169"/>
        <v>1.549095043638175</v>
      </c>
      <c r="S177" s="76">
        <f t="shared" si="169"/>
        <v>1.5622136051898941</v>
      </c>
      <c r="T177" s="76">
        <f t="shared" si="169"/>
        <v>1.5753166001766348</v>
      </c>
      <c r="U177" s="76">
        <f t="shared" si="169"/>
        <v>1.5873865560430802</v>
      </c>
      <c r="V177" s="76">
        <f t="shared" si="169"/>
        <v>1.5977217634412717</v>
      </c>
      <c r="W177" s="76">
        <f t="shared" si="169"/>
        <v>1.6060384048923926</v>
      </c>
      <c r="X177" s="76">
        <f t="shared" si="169"/>
        <v>1.6124041860006113</v>
      </c>
      <c r="Y177" s="76">
        <f t="shared" si="169"/>
        <v>1.6170930742211049</v>
      </c>
      <c r="Z177" s="76">
        <f t="shared" si="169"/>
        <v>1.6204500473565222</v>
      </c>
      <c r="AA177" s="76">
        <f t="shared" si="169"/>
        <v>1.6228048705528069</v>
      </c>
      <c r="AB177" s="76">
        <f t="shared" si="169"/>
        <v>1.6244331534682517</v>
      </c>
      <c r="AC177" s="76">
        <f t="shared" si="169"/>
        <v>1.6255479041775394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6" si="170">A156</f>
        <v>Capex vehicle</v>
      </c>
      <c r="B180" s="65">
        <f t="shared" ref="B180:AC180" si="171">((1+B141)^B148)*B141/(((1+B141)^B148)-1)*(B137)/B153/(B150)</f>
        <v>6.1563760604058963E-3</v>
      </c>
      <c r="C180" s="65">
        <f t="shared" si="171"/>
        <v>6.1596862355719042E-3</v>
      </c>
      <c r="D180" s="65">
        <f t="shared" si="171"/>
        <v>6.1643862097881079E-3</v>
      </c>
      <c r="E180" s="65">
        <f t="shared" si="171"/>
        <v>6.1710291717040266E-3</v>
      </c>
      <c r="F180" s="65">
        <f t="shared" si="171"/>
        <v>6.1803557703850147E-3</v>
      </c>
      <c r="G180" s="65">
        <f t="shared" si="171"/>
        <v>6.1933231282117482E-3</v>
      </c>
      <c r="H180" s="65">
        <f t="shared" si="171"/>
        <v>6.2111008906823818E-3</v>
      </c>
      <c r="I180" s="65">
        <f t="shared" si="171"/>
        <v>6.2349922984549014E-3</v>
      </c>
      <c r="J180" s="65">
        <f t="shared" si="171"/>
        <v>6.266222983894126E-3</v>
      </c>
      <c r="K180" s="65">
        <f t="shared" si="171"/>
        <v>6.3055527535338576E-3</v>
      </c>
      <c r="L180" s="65">
        <f t="shared" si="171"/>
        <v>6.3527473481403193E-3</v>
      </c>
      <c r="M180" s="65">
        <f t="shared" si="171"/>
        <v>6.406113752333166E-3</v>
      </c>
      <c r="N180" s="65">
        <f t="shared" si="171"/>
        <v>6.4624524462827074E-3</v>
      </c>
      <c r="O180" s="65">
        <f t="shared" si="171"/>
        <v>6.5176825001138951E-3</v>
      </c>
      <c r="P180" s="65">
        <f t="shared" si="171"/>
        <v>6.5679595549472444E-3</v>
      </c>
      <c r="Q180" s="65">
        <f t="shared" si="171"/>
        <v>6.6106878919653033E-3</v>
      </c>
      <c r="R180" s="65">
        <f t="shared" si="171"/>
        <v>6.6449056377051625E-3</v>
      </c>
      <c r="S180" s="65">
        <f t="shared" si="171"/>
        <v>6.6710152963966075E-3</v>
      </c>
      <c r="T180" s="65">
        <f t="shared" si="171"/>
        <v>6.6902079895324743E-3</v>
      </c>
      <c r="U180" s="65">
        <f t="shared" si="171"/>
        <v>6.7039304874703673E-3</v>
      </c>
      <c r="V180" s="65">
        <f t="shared" si="171"/>
        <v>6.713547931991133E-3</v>
      </c>
      <c r="W180" s="65">
        <f t="shared" si="171"/>
        <v>6.7201941772893192E-3</v>
      </c>
      <c r="X180" s="65">
        <f t="shared" si="171"/>
        <v>6.7247425341419743E-3</v>
      </c>
      <c r="Y180" s="65">
        <f t="shared" si="171"/>
        <v>6.7278344259942271E-3</v>
      </c>
      <c r="Z180" s="65">
        <f t="shared" si="171"/>
        <v>6.7299266748059132E-3</v>
      </c>
      <c r="AA180" s="65">
        <f t="shared" si="171"/>
        <v>6.7313381080386257E-3</v>
      </c>
      <c r="AB180" s="65">
        <f t="shared" si="171"/>
        <v>6.7322882778794845E-3</v>
      </c>
      <c r="AC180" s="65">
        <f t="shared" si="171"/>
        <v>6.7329270291914978E-3</v>
      </c>
    </row>
    <row r="181" spans="1:29" x14ac:dyDescent="0.3">
      <c r="A181" s="30" t="str">
        <f t="shared" si="170"/>
        <v>Residual value (vehicle)</v>
      </c>
      <c r="B181" s="68">
        <f t="shared" ref="B181:AC181" si="172">((1+B141)^B148)*B141/(((1+B141)^B148)-1)*(B138)/B153/(B150)</f>
        <v>-1.5302033910025385E-3</v>
      </c>
      <c r="C181" s="68">
        <f t="shared" si="172"/>
        <v>-1.5272242333531302E-3</v>
      </c>
      <c r="D181" s="68">
        <f t="shared" si="172"/>
        <v>-1.5229942565585469E-3</v>
      </c>
      <c r="E181" s="68">
        <f t="shared" si="172"/>
        <v>-1.5170155908342206E-3</v>
      </c>
      <c r="F181" s="68">
        <f t="shared" si="172"/>
        <v>-1.5086216520213314E-3</v>
      </c>
      <c r="G181" s="68">
        <f t="shared" si="172"/>
        <v>-1.4969510299772701E-3</v>
      </c>
      <c r="H181" s="68">
        <f t="shared" si="172"/>
        <v>-1.4809510437537006E-3</v>
      </c>
      <c r="I181" s="68">
        <f t="shared" si="172"/>
        <v>-1.4594487767584331E-3</v>
      </c>
      <c r="J181" s="68">
        <f t="shared" si="172"/>
        <v>-1.4313411598631301E-3</v>
      </c>
      <c r="K181" s="68">
        <f t="shared" si="172"/>
        <v>-1.395944367187373E-3</v>
      </c>
      <c r="L181" s="68">
        <f t="shared" si="172"/>
        <v>-1.3534692320415569E-3</v>
      </c>
      <c r="M181" s="68">
        <f t="shared" si="172"/>
        <v>-1.3054394682679949E-3</v>
      </c>
      <c r="N181" s="68">
        <f t="shared" si="172"/>
        <v>-1.2547346437134074E-3</v>
      </c>
      <c r="O181" s="68">
        <f t="shared" si="172"/>
        <v>-1.2050275952653398E-3</v>
      </c>
      <c r="P181" s="68">
        <f t="shared" si="172"/>
        <v>-1.1597782459153243E-3</v>
      </c>
      <c r="Q181" s="68">
        <f t="shared" si="172"/>
        <v>-1.1213227425990715E-3</v>
      </c>
      <c r="R181" s="68">
        <f t="shared" si="172"/>
        <v>-1.0905267714331978E-3</v>
      </c>
      <c r="S181" s="68">
        <f t="shared" si="172"/>
        <v>-1.0670280786108976E-3</v>
      </c>
      <c r="T181" s="68">
        <f t="shared" si="172"/>
        <v>-1.049754654788618E-3</v>
      </c>
      <c r="U181" s="68">
        <f t="shared" si="172"/>
        <v>-1.0374044066445128E-3</v>
      </c>
      <c r="V181" s="68">
        <f t="shared" si="172"/>
        <v>-1.0287487065758249E-3</v>
      </c>
      <c r="W181" s="68">
        <f t="shared" si="172"/>
        <v>-1.022767085807457E-3</v>
      </c>
      <c r="X181" s="68">
        <f t="shared" si="172"/>
        <v>-1.0186735646400668E-3</v>
      </c>
      <c r="Y181" s="68">
        <f t="shared" si="172"/>
        <v>-1.0158908619730404E-3</v>
      </c>
      <c r="Z181" s="68">
        <f t="shared" si="172"/>
        <v>-1.0140078380425233E-3</v>
      </c>
      <c r="AA181" s="68">
        <f t="shared" si="172"/>
        <v>-1.0127375481330811E-3</v>
      </c>
      <c r="AB181" s="68">
        <f t="shared" si="172"/>
        <v>-1.0118823952763091E-3</v>
      </c>
      <c r="AC181" s="68">
        <f t="shared" si="172"/>
        <v>-1.0113075190954952E-3</v>
      </c>
    </row>
    <row r="182" spans="1:29" x14ac:dyDescent="0.3">
      <c r="A182" s="30" t="str">
        <f t="shared" si="170"/>
        <v>Capex costumization</v>
      </c>
      <c r="B182" s="66">
        <f t="shared" ref="B182:AC182" si="173">((1+B141)^B149)*B141/(((1+B141)^B149)-1)*(B139)/B153/(B150)</f>
        <v>2.964391815717463E-3</v>
      </c>
      <c r="C182" s="66">
        <f t="shared" si="173"/>
        <v>2.964391815717463E-3</v>
      </c>
      <c r="D182" s="66">
        <f t="shared" si="173"/>
        <v>2.964391815717463E-3</v>
      </c>
      <c r="E182" s="66">
        <f t="shared" si="173"/>
        <v>2.964391815717463E-3</v>
      </c>
      <c r="F182" s="66">
        <f t="shared" si="173"/>
        <v>2.964391815717463E-3</v>
      </c>
      <c r="G182" s="66">
        <f t="shared" si="173"/>
        <v>2.964391815717463E-3</v>
      </c>
      <c r="H182" s="66">
        <f t="shared" si="173"/>
        <v>2.964391815717463E-3</v>
      </c>
      <c r="I182" s="66">
        <f t="shared" si="173"/>
        <v>2.964391815717463E-3</v>
      </c>
      <c r="J182" s="66">
        <f t="shared" si="173"/>
        <v>2.964391815717463E-3</v>
      </c>
      <c r="K182" s="66">
        <f t="shared" si="173"/>
        <v>2.964391815717463E-3</v>
      </c>
      <c r="L182" s="66">
        <f t="shared" si="173"/>
        <v>2.964391815717463E-3</v>
      </c>
      <c r="M182" s="66">
        <f t="shared" si="173"/>
        <v>2.964391815717463E-3</v>
      </c>
      <c r="N182" s="66">
        <f t="shared" si="173"/>
        <v>2.964391815717463E-3</v>
      </c>
      <c r="O182" s="66">
        <f t="shared" si="173"/>
        <v>2.964391815717463E-3</v>
      </c>
      <c r="P182" s="66">
        <f t="shared" si="173"/>
        <v>2.964391815717463E-3</v>
      </c>
      <c r="Q182" s="66">
        <f t="shared" si="173"/>
        <v>2.964391815717463E-3</v>
      </c>
      <c r="R182" s="66">
        <f t="shared" si="173"/>
        <v>2.964391815717463E-3</v>
      </c>
      <c r="S182" s="66">
        <f t="shared" si="173"/>
        <v>2.964391815717463E-3</v>
      </c>
      <c r="T182" s="66">
        <f t="shared" si="173"/>
        <v>2.964391815717463E-3</v>
      </c>
      <c r="U182" s="66">
        <f t="shared" si="173"/>
        <v>2.964391815717463E-3</v>
      </c>
      <c r="V182" s="66">
        <f t="shared" si="173"/>
        <v>2.964391815717463E-3</v>
      </c>
      <c r="W182" s="66">
        <f t="shared" si="173"/>
        <v>2.964391815717463E-3</v>
      </c>
      <c r="X182" s="66">
        <f t="shared" si="173"/>
        <v>2.964391815717463E-3</v>
      </c>
      <c r="Y182" s="66">
        <f t="shared" si="173"/>
        <v>2.964391815717463E-3</v>
      </c>
      <c r="Z182" s="66">
        <f t="shared" si="173"/>
        <v>2.964391815717463E-3</v>
      </c>
      <c r="AA182" s="66">
        <f t="shared" si="173"/>
        <v>2.964391815717463E-3</v>
      </c>
      <c r="AB182" s="66">
        <f t="shared" si="173"/>
        <v>2.964391815717463E-3</v>
      </c>
      <c r="AC182" s="66">
        <f t="shared" si="173"/>
        <v>2.964391815717463E-3</v>
      </c>
    </row>
    <row r="183" spans="1:29" x14ac:dyDescent="0.3">
      <c r="A183" s="30" t="str">
        <f t="shared" si="170"/>
        <v>Residual value (costumization)</v>
      </c>
      <c r="B183" s="69">
        <f t="shared" ref="B183:AC183" si="174">((1+B141)^B149)*B141/(((1+B141)^B149)-1)*(B140)/B153/(B150)</f>
        <v>-7.4109795392936575E-4</v>
      </c>
      <c r="C183" s="69">
        <f t="shared" si="174"/>
        <v>-7.4109795392936575E-4</v>
      </c>
      <c r="D183" s="69">
        <f t="shared" si="174"/>
        <v>-7.4109795392936575E-4</v>
      </c>
      <c r="E183" s="69">
        <f t="shared" si="174"/>
        <v>-7.4109795392936575E-4</v>
      </c>
      <c r="F183" s="69">
        <f t="shared" si="174"/>
        <v>-7.4109795392936575E-4</v>
      </c>
      <c r="G183" s="69">
        <f t="shared" si="174"/>
        <v>-7.4109795392936575E-4</v>
      </c>
      <c r="H183" s="69">
        <f t="shared" si="174"/>
        <v>-7.4109795392936575E-4</v>
      </c>
      <c r="I183" s="69">
        <f t="shared" si="174"/>
        <v>-7.4109795392936575E-4</v>
      </c>
      <c r="J183" s="69">
        <f t="shared" si="174"/>
        <v>-7.4109795392936575E-4</v>
      </c>
      <c r="K183" s="69">
        <f t="shared" si="174"/>
        <v>-7.4109795392936575E-4</v>
      </c>
      <c r="L183" s="69">
        <f t="shared" si="174"/>
        <v>-7.4109795392936575E-4</v>
      </c>
      <c r="M183" s="69">
        <f t="shared" si="174"/>
        <v>-7.4109795392936575E-4</v>
      </c>
      <c r="N183" s="69">
        <f t="shared" si="174"/>
        <v>-7.4109795392936575E-4</v>
      </c>
      <c r="O183" s="69">
        <f t="shared" si="174"/>
        <v>-7.4109795392936575E-4</v>
      </c>
      <c r="P183" s="69">
        <f t="shared" si="174"/>
        <v>-7.4109795392936575E-4</v>
      </c>
      <c r="Q183" s="69">
        <f t="shared" si="174"/>
        <v>-7.4109795392936575E-4</v>
      </c>
      <c r="R183" s="69">
        <f t="shared" si="174"/>
        <v>-7.4109795392936575E-4</v>
      </c>
      <c r="S183" s="69">
        <f t="shared" si="174"/>
        <v>-7.4109795392936575E-4</v>
      </c>
      <c r="T183" s="69">
        <f t="shared" si="174"/>
        <v>-7.4109795392936575E-4</v>
      </c>
      <c r="U183" s="69">
        <f t="shared" si="174"/>
        <v>-7.4109795392936575E-4</v>
      </c>
      <c r="V183" s="69">
        <f t="shared" si="174"/>
        <v>-7.4109795392936575E-4</v>
      </c>
      <c r="W183" s="69">
        <f t="shared" si="174"/>
        <v>-7.4109795392936575E-4</v>
      </c>
      <c r="X183" s="69">
        <f t="shared" si="174"/>
        <v>-7.4109795392936575E-4</v>
      </c>
      <c r="Y183" s="69">
        <f t="shared" si="174"/>
        <v>-7.4109795392936575E-4</v>
      </c>
      <c r="Z183" s="69">
        <f t="shared" si="174"/>
        <v>-7.4109795392936575E-4</v>
      </c>
      <c r="AA183" s="69">
        <f t="shared" si="174"/>
        <v>-7.4109795392936575E-4</v>
      </c>
      <c r="AB183" s="69">
        <f t="shared" si="174"/>
        <v>-7.4109795392936575E-4</v>
      </c>
      <c r="AC183" s="69">
        <f t="shared" si="174"/>
        <v>-7.4109795392936575E-4</v>
      </c>
    </row>
    <row r="184" spans="1:29" x14ac:dyDescent="0.3">
      <c r="A184" s="30" t="str">
        <f t="shared" si="170"/>
        <v>Opex fix (admin, crew, insurance)</v>
      </c>
      <c r="B184" s="66">
        <f t="shared" ref="B184:AC184" si="175">B142/B153/(B150)</f>
        <v>2.5454545454545455E-2</v>
      </c>
      <c r="C184" s="66">
        <f t="shared" si="175"/>
        <v>2.5454545454545455E-2</v>
      </c>
      <c r="D184" s="66">
        <f t="shared" si="175"/>
        <v>2.5454545454545455E-2</v>
      </c>
      <c r="E184" s="66">
        <f t="shared" si="175"/>
        <v>2.5454545454545455E-2</v>
      </c>
      <c r="F184" s="66">
        <f t="shared" si="175"/>
        <v>2.5454545454545455E-2</v>
      </c>
      <c r="G184" s="66">
        <f t="shared" si="175"/>
        <v>2.5454545454545455E-2</v>
      </c>
      <c r="H184" s="66">
        <f t="shared" si="175"/>
        <v>2.5454545454545455E-2</v>
      </c>
      <c r="I184" s="66">
        <f t="shared" si="175"/>
        <v>2.5454545454545455E-2</v>
      </c>
      <c r="J184" s="66">
        <f t="shared" si="175"/>
        <v>2.5454545454545455E-2</v>
      </c>
      <c r="K184" s="66">
        <f t="shared" si="175"/>
        <v>2.5454545454545455E-2</v>
      </c>
      <c r="L184" s="66">
        <f t="shared" si="175"/>
        <v>2.5454545454545455E-2</v>
      </c>
      <c r="M184" s="66">
        <f t="shared" si="175"/>
        <v>2.5454545454545455E-2</v>
      </c>
      <c r="N184" s="66">
        <f t="shared" si="175"/>
        <v>2.5454545454545455E-2</v>
      </c>
      <c r="O184" s="66">
        <f t="shared" si="175"/>
        <v>2.5454545454545455E-2</v>
      </c>
      <c r="P184" s="66">
        <f t="shared" si="175"/>
        <v>2.5454545454545455E-2</v>
      </c>
      <c r="Q184" s="66">
        <f t="shared" si="175"/>
        <v>2.5454545454545455E-2</v>
      </c>
      <c r="R184" s="66">
        <f t="shared" si="175"/>
        <v>2.5454545454545455E-2</v>
      </c>
      <c r="S184" s="66">
        <f t="shared" si="175"/>
        <v>2.5454545454545455E-2</v>
      </c>
      <c r="T184" s="66">
        <f t="shared" si="175"/>
        <v>2.5454545454545455E-2</v>
      </c>
      <c r="U184" s="66">
        <f t="shared" si="175"/>
        <v>2.5454545454545455E-2</v>
      </c>
      <c r="V184" s="66">
        <f t="shared" si="175"/>
        <v>2.5454545454545455E-2</v>
      </c>
      <c r="W184" s="66">
        <f t="shared" si="175"/>
        <v>2.5454545454545455E-2</v>
      </c>
      <c r="X184" s="66">
        <f t="shared" si="175"/>
        <v>2.5454545454545455E-2</v>
      </c>
      <c r="Y184" s="66">
        <f t="shared" si="175"/>
        <v>2.5454545454545455E-2</v>
      </c>
      <c r="Z184" s="66">
        <f t="shared" si="175"/>
        <v>2.5454545454545455E-2</v>
      </c>
      <c r="AA184" s="66">
        <f t="shared" si="175"/>
        <v>2.5454545454545455E-2</v>
      </c>
      <c r="AB184" s="66">
        <f t="shared" si="175"/>
        <v>2.5454545454545455E-2</v>
      </c>
      <c r="AC184" s="66">
        <f t="shared" si="175"/>
        <v>2.5454545454545455E-2</v>
      </c>
    </row>
    <row r="185" spans="1:29" x14ac:dyDescent="0.3">
      <c r="A185" s="30" t="str">
        <f t="shared" si="170"/>
        <v>Opex maintenance &amp; repair</v>
      </c>
      <c r="B185" s="66">
        <f t="shared" ref="B185:AC185" si="176">B143/B153/(B150)</f>
        <v>7.2727272727272727E-3</v>
      </c>
      <c r="C185" s="66">
        <f t="shared" si="176"/>
        <v>7.2727272727272727E-3</v>
      </c>
      <c r="D185" s="66">
        <f t="shared" si="176"/>
        <v>7.2727272727272727E-3</v>
      </c>
      <c r="E185" s="66">
        <f t="shared" si="176"/>
        <v>7.2727272727272727E-3</v>
      </c>
      <c r="F185" s="66">
        <f t="shared" si="176"/>
        <v>7.2727272727272727E-3</v>
      </c>
      <c r="G185" s="66">
        <f t="shared" si="176"/>
        <v>7.2727272727272727E-3</v>
      </c>
      <c r="H185" s="66">
        <f t="shared" si="176"/>
        <v>7.2727272727272727E-3</v>
      </c>
      <c r="I185" s="66">
        <f t="shared" si="176"/>
        <v>7.2727272727272727E-3</v>
      </c>
      <c r="J185" s="66">
        <f t="shared" si="176"/>
        <v>7.2727272727272727E-3</v>
      </c>
      <c r="K185" s="66">
        <f t="shared" si="176"/>
        <v>7.2727272727272727E-3</v>
      </c>
      <c r="L185" s="66">
        <f t="shared" si="176"/>
        <v>7.2727272727272727E-3</v>
      </c>
      <c r="M185" s="66">
        <f t="shared" si="176"/>
        <v>7.2727272727272727E-3</v>
      </c>
      <c r="N185" s="66">
        <f t="shared" si="176"/>
        <v>7.2727272727272727E-3</v>
      </c>
      <c r="O185" s="66">
        <f t="shared" si="176"/>
        <v>7.2727272727272727E-3</v>
      </c>
      <c r="P185" s="66">
        <f t="shared" si="176"/>
        <v>7.2727272727272727E-3</v>
      </c>
      <c r="Q185" s="66">
        <f t="shared" si="176"/>
        <v>7.2727272727272727E-3</v>
      </c>
      <c r="R185" s="66">
        <f t="shared" si="176"/>
        <v>7.2727272727272727E-3</v>
      </c>
      <c r="S185" s="66">
        <f t="shared" si="176"/>
        <v>7.2727272727272727E-3</v>
      </c>
      <c r="T185" s="66">
        <f t="shared" si="176"/>
        <v>7.2727272727272727E-3</v>
      </c>
      <c r="U185" s="66">
        <f t="shared" si="176"/>
        <v>7.2727272727272727E-3</v>
      </c>
      <c r="V185" s="66">
        <f t="shared" si="176"/>
        <v>7.2727272727272727E-3</v>
      </c>
      <c r="W185" s="66">
        <f t="shared" si="176"/>
        <v>7.2727272727272727E-3</v>
      </c>
      <c r="X185" s="66">
        <f t="shared" si="176"/>
        <v>7.2727272727272727E-3</v>
      </c>
      <c r="Y185" s="66">
        <f t="shared" si="176"/>
        <v>7.2727272727272727E-3</v>
      </c>
      <c r="Z185" s="66">
        <f t="shared" si="176"/>
        <v>7.2727272727272727E-3</v>
      </c>
      <c r="AA185" s="66">
        <f t="shared" si="176"/>
        <v>7.2727272727272727E-3</v>
      </c>
      <c r="AB185" s="66">
        <f t="shared" si="176"/>
        <v>7.2727272727272727E-3</v>
      </c>
      <c r="AC185" s="66">
        <f t="shared" si="176"/>
        <v>7.2727272727272727E-3</v>
      </c>
    </row>
    <row r="186" spans="1:29" x14ac:dyDescent="0.3">
      <c r="A186" s="30" t="str">
        <f t="shared" si="170"/>
        <v>Opex var (mode-fees)</v>
      </c>
      <c r="B186" s="66">
        <f t="shared" ref="B186:AC186" si="177">B144*B153/B153/(B150)</f>
        <v>4.4000000000000003E-3</v>
      </c>
      <c r="C186" s="66">
        <f t="shared" si="177"/>
        <v>4.4000000000000003E-3</v>
      </c>
      <c r="D186" s="66">
        <f t="shared" si="177"/>
        <v>4.4000000000000003E-3</v>
      </c>
      <c r="E186" s="66">
        <f t="shared" si="177"/>
        <v>4.4000000000000003E-3</v>
      </c>
      <c r="F186" s="66">
        <f t="shared" si="177"/>
        <v>4.4000000000000003E-3</v>
      </c>
      <c r="G186" s="66">
        <f t="shared" si="177"/>
        <v>4.4000000000000003E-3</v>
      </c>
      <c r="H186" s="66">
        <f t="shared" si="177"/>
        <v>4.4000000000000003E-3</v>
      </c>
      <c r="I186" s="66">
        <f t="shared" si="177"/>
        <v>4.4000000000000003E-3</v>
      </c>
      <c r="J186" s="66">
        <f t="shared" si="177"/>
        <v>4.4000000000000003E-3</v>
      </c>
      <c r="K186" s="66">
        <f t="shared" si="177"/>
        <v>4.4000000000000003E-3</v>
      </c>
      <c r="L186" s="66">
        <f t="shared" si="177"/>
        <v>4.4000000000000003E-3</v>
      </c>
      <c r="M186" s="66">
        <f t="shared" si="177"/>
        <v>4.4000000000000003E-3</v>
      </c>
      <c r="N186" s="66">
        <f t="shared" si="177"/>
        <v>4.4000000000000003E-3</v>
      </c>
      <c r="O186" s="66">
        <f t="shared" si="177"/>
        <v>4.4000000000000003E-3</v>
      </c>
      <c r="P186" s="66">
        <f t="shared" si="177"/>
        <v>4.4000000000000003E-3</v>
      </c>
      <c r="Q186" s="66">
        <f t="shared" si="177"/>
        <v>4.4000000000000003E-3</v>
      </c>
      <c r="R186" s="66">
        <f t="shared" si="177"/>
        <v>4.4000000000000003E-3</v>
      </c>
      <c r="S186" s="66">
        <f t="shared" si="177"/>
        <v>4.4000000000000003E-3</v>
      </c>
      <c r="T186" s="66">
        <f t="shared" si="177"/>
        <v>4.4000000000000003E-3</v>
      </c>
      <c r="U186" s="66">
        <f t="shared" si="177"/>
        <v>4.4000000000000003E-3</v>
      </c>
      <c r="V186" s="66">
        <f t="shared" si="177"/>
        <v>4.4000000000000003E-3</v>
      </c>
      <c r="W186" s="66">
        <f t="shared" si="177"/>
        <v>4.4000000000000003E-3</v>
      </c>
      <c r="X186" s="66">
        <f t="shared" si="177"/>
        <v>4.4000000000000003E-3</v>
      </c>
      <c r="Y186" s="66">
        <f t="shared" si="177"/>
        <v>4.4000000000000003E-3</v>
      </c>
      <c r="Z186" s="66">
        <f t="shared" si="177"/>
        <v>4.4000000000000003E-3</v>
      </c>
      <c r="AA186" s="66">
        <f t="shared" si="177"/>
        <v>4.4000000000000003E-3</v>
      </c>
      <c r="AB186" s="66">
        <f t="shared" si="177"/>
        <v>4.4000000000000003E-3</v>
      </c>
      <c r="AC186" s="66">
        <f t="shared" si="177"/>
        <v>4.4000000000000003E-3</v>
      </c>
    </row>
    <row r="187" spans="1:29" x14ac:dyDescent="0.3">
      <c r="A187" s="30" t="str">
        <f t="shared" ref="A187" si="178">A163</f>
        <v>Fuel Cost</v>
      </c>
      <c r="B187" s="66">
        <f t="shared" ref="B187:AC187" si="179">B145*B146*B153/B153/(B150)</f>
        <v>1.1573595723149675E-2</v>
      </c>
      <c r="C187" s="66">
        <f t="shared" si="179"/>
        <v>1.1562290195257166E-2</v>
      </c>
      <c r="D187" s="66">
        <f t="shared" si="179"/>
        <v>1.154623796631744E-2</v>
      </c>
      <c r="E187" s="66">
        <f t="shared" si="179"/>
        <v>1.1523549683231857E-2</v>
      </c>
      <c r="F187" s="66">
        <f t="shared" si="179"/>
        <v>1.1491695743110229E-2</v>
      </c>
      <c r="G187" s="66">
        <f t="shared" si="179"/>
        <v>1.1447407203002828E-2</v>
      </c>
      <c r="H187" s="66">
        <f t="shared" si="179"/>
        <v>1.1386689271353168E-2</v>
      </c>
      <c r="I187" s="66">
        <f t="shared" si="179"/>
        <v>1.130509087748654E-2</v>
      </c>
      <c r="J187" s="66">
        <f t="shared" si="179"/>
        <v>1.1198426013052478E-2</v>
      </c>
      <c r="K187" s="66">
        <f t="shared" si="179"/>
        <v>1.1064099644999867E-2</v>
      </c>
      <c r="L187" s="66">
        <f t="shared" si="179"/>
        <v>1.0902911859175732E-2</v>
      </c>
      <c r="M187" s="66">
        <f t="shared" si="179"/>
        <v>1.0720644957616992E-2</v>
      </c>
      <c r="N187" s="66">
        <f t="shared" si="179"/>
        <v>1.0528226537463705E-2</v>
      </c>
      <c r="O187" s="66">
        <f t="shared" si="179"/>
        <v>1.0339594551910478E-2</v>
      </c>
      <c r="P187" s="66">
        <f t="shared" si="179"/>
        <v>1.0167878972744624E-2</v>
      </c>
      <c r="Q187" s="66">
        <f t="shared" si="179"/>
        <v>1.0021945183222353E-2</v>
      </c>
      <c r="R187" s="66">
        <f t="shared" si="179"/>
        <v>9.9050783530759638E-3</v>
      </c>
      <c r="S187" s="66">
        <f t="shared" si="179"/>
        <v>9.8159037747541991E-3</v>
      </c>
      <c r="T187" s="66">
        <f t="shared" si="179"/>
        <v>9.7503533078761844E-3</v>
      </c>
      <c r="U187" s="66">
        <f t="shared" si="179"/>
        <v>9.7034856723550063E-3</v>
      </c>
      <c r="V187" s="66">
        <f t="shared" si="179"/>
        <v>9.670638381250693E-3</v>
      </c>
      <c r="W187" s="66">
        <f t="shared" si="179"/>
        <v>9.647938884145316E-3</v>
      </c>
      <c r="X187" s="66">
        <f t="shared" si="179"/>
        <v>9.6324044871167799E-3</v>
      </c>
      <c r="Y187" s="66">
        <f t="shared" si="179"/>
        <v>9.6218444811282163E-3</v>
      </c>
      <c r="Z187" s="66">
        <f t="shared" si="179"/>
        <v>9.6146986425812171E-3</v>
      </c>
      <c r="AA187" s="66">
        <f t="shared" si="179"/>
        <v>9.6098780524370136E-3</v>
      </c>
      <c r="AB187" s="66">
        <f t="shared" si="179"/>
        <v>9.6066328550985913E-3</v>
      </c>
      <c r="AC187" s="66">
        <f t="shared" si="179"/>
        <v>9.604451272429336E-3</v>
      </c>
    </row>
    <row r="188" spans="1:29" x14ac:dyDescent="0.3">
      <c r="A188" s="59" t="str">
        <f>A151</f>
        <v>Market failure (av. utilization)</v>
      </c>
      <c r="B188" s="66">
        <f t="shared" ref="B188:AC188" si="180">B177/B151-B177/B150</f>
        <v>6.5149603783989984E-2</v>
      </c>
      <c r="C188" s="66">
        <f t="shared" si="180"/>
        <v>6.5150207048561365E-2</v>
      </c>
      <c r="D188" s="66">
        <f t="shared" si="180"/>
        <v>6.5151133759755564E-2</v>
      </c>
      <c r="E188" s="66">
        <f t="shared" si="180"/>
        <v>6.5152591937947202E-2</v>
      </c>
      <c r="F188" s="66">
        <f t="shared" si="180"/>
        <v>6.5154951238110936E-2</v>
      </c>
      <c r="G188" s="66">
        <f t="shared" si="180"/>
        <v>6.5158882733950985E-2</v>
      </c>
      <c r="H188" s="66">
        <f t="shared" si="180"/>
        <v>6.5165616437129648E-2</v>
      </c>
      <c r="I188" s="66">
        <f t="shared" si="180"/>
        <v>6.5177394349027293E-2</v>
      </c>
      <c r="J188" s="66">
        <f t="shared" si="180"/>
        <v>6.5198207069112807E-2</v>
      </c>
      <c r="K188" s="66">
        <f t="shared" si="180"/>
        <v>6.5234844072363074E-2</v>
      </c>
      <c r="L188" s="66">
        <f t="shared" si="180"/>
        <v>6.5298075724935678E-2</v>
      </c>
      <c r="M188" s="66">
        <f t="shared" si="180"/>
        <v>6.5403373288047129E-2</v>
      </c>
      <c r="N188" s="66">
        <f t="shared" si="180"/>
        <v>6.5570130853058142E-2</v>
      </c>
      <c r="O188" s="66">
        <f t="shared" si="180"/>
        <v>6.5818347362652657E-2</v>
      </c>
      <c r="P188" s="66">
        <f t="shared" si="180"/>
        <v>6.6162578685367041E-2</v>
      </c>
      <c r="Q188" s="66">
        <f t="shared" si="180"/>
        <v>6.6604544171391361E-2</v>
      </c>
      <c r="R188" s="66">
        <f t="shared" si="180"/>
        <v>6.712745189098758E-2</v>
      </c>
      <c r="S188" s="66">
        <f t="shared" si="180"/>
        <v>6.7695922891562094E-2</v>
      </c>
      <c r="T188" s="66">
        <f t="shared" si="180"/>
        <v>6.8263719340987503E-2</v>
      </c>
      <c r="U188" s="66">
        <f t="shared" si="180"/>
        <v>6.8786750761866813E-2</v>
      </c>
      <c r="V188" s="66">
        <f t="shared" si="180"/>
        <v>6.9234609749121767E-2</v>
      </c>
      <c r="W188" s="66">
        <f t="shared" si="180"/>
        <v>6.9594997545337017E-2</v>
      </c>
      <c r="X188" s="66">
        <f t="shared" si="180"/>
        <v>6.9870848060026497E-2</v>
      </c>
      <c r="Y188" s="66">
        <f t="shared" si="180"/>
        <v>7.0074033216247889E-2</v>
      </c>
      <c r="Z188" s="66">
        <f t="shared" si="180"/>
        <v>7.0219502052115954E-2</v>
      </c>
      <c r="AA188" s="66">
        <f t="shared" si="180"/>
        <v>7.0321544390621632E-2</v>
      </c>
      <c r="AB188" s="66">
        <f t="shared" si="180"/>
        <v>7.0392103316957569E-2</v>
      </c>
      <c r="AC188" s="66">
        <f t="shared" si="180"/>
        <v>7.0440409181026703E-2</v>
      </c>
    </row>
    <row r="189" spans="1:29" x14ac:dyDescent="0.3">
      <c r="A189" s="59" t="str">
        <f>A152</f>
        <v>Payload loss (fuel)</v>
      </c>
      <c r="B189" s="66">
        <f>B177/(B150-B152)-B177/B150</f>
        <v>0</v>
      </c>
      <c r="C189" s="66">
        <f t="shared" ref="C189:AC189" si="181">C177/(C150-C152)-C177/C150</f>
        <v>0</v>
      </c>
      <c r="D189" s="66">
        <f t="shared" si="181"/>
        <v>0</v>
      </c>
      <c r="E189" s="66">
        <f t="shared" si="181"/>
        <v>0</v>
      </c>
      <c r="F189" s="66">
        <f t="shared" si="181"/>
        <v>0</v>
      </c>
      <c r="G189" s="66">
        <f t="shared" si="181"/>
        <v>0</v>
      </c>
      <c r="H189" s="66">
        <f t="shared" si="181"/>
        <v>0</v>
      </c>
      <c r="I189" s="66">
        <f t="shared" si="181"/>
        <v>0</v>
      </c>
      <c r="J189" s="66">
        <f t="shared" si="181"/>
        <v>0</v>
      </c>
      <c r="K189" s="66">
        <f t="shared" si="181"/>
        <v>0</v>
      </c>
      <c r="L189" s="66">
        <f t="shared" si="181"/>
        <v>0</v>
      </c>
      <c r="M189" s="66">
        <f t="shared" si="181"/>
        <v>0</v>
      </c>
      <c r="N189" s="66">
        <f t="shared" si="181"/>
        <v>0</v>
      </c>
      <c r="O189" s="66">
        <f t="shared" si="181"/>
        <v>0</v>
      </c>
      <c r="P189" s="66">
        <f t="shared" si="181"/>
        <v>0</v>
      </c>
      <c r="Q189" s="66">
        <f t="shared" si="181"/>
        <v>0</v>
      </c>
      <c r="R189" s="66">
        <f t="shared" si="181"/>
        <v>0</v>
      </c>
      <c r="S189" s="66">
        <f t="shared" si="181"/>
        <v>0</v>
      </c>
      <c r="T189" s="66">
        <f t="shared" si="181"/>
        <v>0</v>
      </c>
      <c r="U189" s="66">
        <f t="shared" si="181"/>
        <v>0</v>
      </c>
      <c r="V189" s="66">
        <f t="shared" si="181"/>
        <v>0</v>
      </c>
      <c r="W189" s="66">
        <f t="shared" si="181"/>
        <v>0</v>
      </c>
      <c r="X189" s="66">
        <f t="shared" si="181"/>
        <v>0</v>
      </c>
      <c r="Y189" s="66">
        <f t="shared" si="181"/>
        <v>0</v>
      </c>
      <c r="Z189" s="66">
        <f t="shared" si="181"/>
        <v>0</v>
      </c>
      <c r="AA189" s="66">
        <f t="shared" si="181"/>
        <v>0</v>
      </c>
      <c r="AB189" s="66">
        <f t="shared" si="181"/>
        <v>0</v>
      </c>
      <c r="AC189" s="66">
        <f t="shared" si="181"/>
        <v>0</v>
      </c>
    </row>
    <row r="190" spans="1:29" ht="15" thickBot="1" x14ac:dyDescent="0.35">
      <c r="A190" s="59" t="str">
        <f>A127</f>
        <v>Emission Cost</v>
      </c>
      <c r="B190" s="68">
        <f>B147*B153/B153/(B150)</f>
        <v>3.105564911133563E-3</v>
      </c>
      <c r="C190" s="68">
        <f t="shared" ref="C190:AC190" si="182">C147*C153/C153/(C150)</f>
        <v>3.1111379658149869E-3</v>
      </c>
      <c r="D190" s="68">
        <f t="shared" si="182"/>
        <v>3.1191156694616588E-3</v>
      </c>
      <c r="E190" s="68">
        <f t="shared" si="182"/>
        <v>3.130528335545424E-3</v>
      </c>
      <c r="F190" s="68">
        <f t="shared" si="182"/>
        <v>3.1468395537089262E-3</v>
      </c>
      <c r="G190" s="68">
        <f t="shared" si="182"/>
        <v>3.1701191870286659E-3</v>
      </c>
      <c r="H190" s="68">
        <f t="shared" si="182"/>
        <v>3.2032750959951769E-3</v>
      </c>
      <c r="I190" s="68">
        <f t="shared" si="182"/>
        <v>3.2503517337687839E-3</v>
      </c>
      <c r="J190" s="68">
        <f t="shared" si="182"/>
        <v>3.3168900374857192E-3</v>
      </c>
      <c r="K190" s="68">
        <f t="shared" si="182"/>
        <v>3.4103086154538588E-3</v>
      </c>
      <c r="L190" s="68">
        <f t="shared" si="182"/>
        <v>3.5401943508234922E-3</v>
      </c>
      <c r="M190" s="68">
        <f t="shared" si="182"/>
        <v>3.7182628349802355E-3</v>
      </c>
      <c r="N190" s="68">
        <f t="shared" si="182"/>
        <v>3.9575677966395585E-3</v>
      </c>
      <c r="O190" s="68">
        <f t="shared" si="182"/>
        <v>4.2703856118469392E-3</v>
      </c>
      <c r="P190" s="68">
        <f t="shared" si="182"/>
        <v>4.6643267770273026E-3</v>
      </c>
      <c r="Q190" s="68">
        <f t="shared" si="182"/>
        <v>5.1370448671608218E-3</v>
      </c>
      <c r="R190" s="68">
        <f t="shared" si="182"/>
        <v>5.6715820292595051E-3</v>
      </c>
      <c r="S190" s="68">
        <f t="shared" si="182"/>
        <v>6.2358907181362952E-3</v>
      </c>
      <c r="T190" s="68">
        <f t="shared" si="182"/>
        <v>6.7890948675257863E-3</v>
      </c>
      <c r="U190" s="68">
        <f t="shared" si="182"/>
        <v>7.292687991622789E-3</v>
      </c>
      <c r="V190" s="68">
        <f t="shared" si="182"/>
        <v>7.7206704340653069E-3</v>
      </c>
      <c r="W190" s="68">
        <f t="shared" si="182"/>
        <v>8.0634077231489607E-3</v>
      </c>
      <c r="X190" s="68">
        <f t="shared" si="182"/>
        <v>8.3249314864862114E-3</v>
      </c>
      <c r="Y190" s="68">
        <f t="shared" si="182"/>
        <v>8.5171724267752297E-3</v>
      </c>
      <c r="Z190" s="68">
        <f t="shared" si="182"/>
        <v>8.6546219179967215E-3</v>
      </c>
      <c r="AA190" s="68">
        <f t="shared" si="182"/>
        <v>8.7509537128501579E-3</v>
      </c>
      <c r="AB190" s="68">
        <f t="shared" si="182"/>
        <v>8.8175249041087325E-3</v>
      </c>
      <c r="AC190" s="68">
        <f t="shared" si="182"/>
        <v>8.8630828876566804E-3</v>
      </c>
    </row>
    <row r="191" spans="1:29" ht="15" thickBot="1" x14ac:dyDescent="0.35">
      <c r="A191" s="31" t="s">
        <v>210</v>
      </c>
      <c r="B191" s="67">
        <f>B180+B181+B182+B183+B184+B185+B186+B187+B188+B189+B190</f>
        <v>0.1238055036767374</v>
      </c>
      <c r="C191" s="67">
        <f t="shared" ref="C191:AC191" si="183">C180+C181+C182+C183+C184+C185+C186+C187+C188+C189+C190</f>
        <v>0.12380666380091311</v>
      </c>
      <c r="D191" s="67">
        <f t="shared" si="183"/>
        <v>0.12380844593782504</v>
      </c>
      <c r="E191" s="67">
        <f t="shared" si="183"/>
        <v>0.12381125012665511</v>
      </c>
      <c r="F191" s="67">
        <f t="shared" si="183"/>
        <v>0.12381578724235459</v>
      </c>
      <c r="G191" s="67">
        <f t="shared" si="183"/>
        <v>0.1238233478112778</v>
      </c>
      <c r="H191" s="67">
        <f t="shared" si="183"/>
        <v>0.1238362972404675</v>
      </c>
      <c r="I191" s="67">
        <f t="shared" si="183"/>
        <v>0.12385894707103991</v>
      </c>
      <c r="J191" s="67">
        <f t="shared" si="183"/>
        <v>0.12389897153274283</v>
      </c>
      <c r="K191" s="67">
        <f t="shared" si="183"/>
        <v>0.12396942730822411</v>
      </c>
      <c r="L191" s="67">
        <f t="shared" si="183"/>
        <v>0.12409102664009448</v>
      </c>
      <c r="M191" s="67">
        <f t="shared" si="183"/>
        <v>0.12429352195377036</v>
      </c>
      <c r="N191" s="67">
        <f t="shared" si="183"/>
        <v>0.12461420957879153</v>
      </c>
      <c r="O191" s="67">
        <f t="shared" si="183"/>
        <v>0.12509154902031946</v>
      </c>
      <c r="P191" s="67">
        <f t="shared" si="183"/>
        <v>0.12575353233323172</v>
      </c>
      <c r="Q191" s="67">
        <f t="shared" si="183"/>
        <v>0.12660346596020158</v>
      </c>
      <c r="R191" s="67">
        <f t="shared" si="183"/>
        <v>0.12760905772865583</v>
      </c>
      <c r="S191" s="67">
        <f t="shared" si="183"/>
        <v>0.12870227119129912</v>
      </c>
      <c r="T191" s="67">
        <f t="shared" si="183"/>
        <v>0.12979418744019416</v>
      </c>
      <c r="U191" s="67">
        <f t="shared" si="183"/>
        <v>0.13080001709573127</v>
      </c>
      <c r="V191" s="67">
        <f t="shared" si="183"/>
        <v>0.13166128437891389</v>
      </c>
      <c r="W191" s="67">
        <f t="shared" si="183"/>
        <v>0.13235433783317396</v>
      </c>
      <c r="X191" s="67">
        <f t="shared" si="183"/>
        <v>0.13288481959219223</v>
      </c>
      <c r="Y191" s="67">
        <f t="shared" si="183"/>
        <v>0.13327556027723336</v>
      </c>
      <c r="Z191" s="67">
        <f t="shared" si="183"/>
        <v>0.13355530803851812</v>
      </c>
      <c r="AA191" s="67">
        <f t="shared" si="183"/>
        <v>0.13375154330487515</v>
      </c>
      <c r="AB191" s="67">
        <f t="shared" si="183"/>
        <v>0.13388723354782889</v>
      </c>
      <c r="AC191" s="67">
        <f t="shared" si="183"/>
        <v>0.13398012944026955</v>
      </c>
    </row>
    <row r="193" spans="2:2" x14ac:dyDescent="0.3">
      <c r="B193" s="40"/>
    </row>
    <row r="215" spans="1:44" s="3" customFormat="1" ht="21" x14ac:dyDescent="0.4">
      <c r="A215" s="2" t="str">
        <f>'Parameter Input'!A32</f>
        <v>Road long-haul: Container</v>
      </c>
    </row>
    <row r="216" spans="1:44" s="3" customFormat="1" ht="21" x14ac:dyDescent="0.4">
      <c r="A216" s="2" t="s">
        <v>11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Input'!L8</f>
        <v>105000</v>
      </c>
      <c r="C225" s="42">
        <f>'Parameter Input'!M8</f>
        <v>115000</v>
      </c>
      <c r="D225" s="1" t="s">
        <v>15</v>
      </c>
      <c r="L225" s="51">
        <f>'Parameter Input'!O8</f>
        <v>12</v>
      </c>
      <c r="M225" s="52">
        <v>0</v>
      </c>
      <c r="N225" s="52">
        <v>1</v>
      </c>
      <c r="O225" s="52">
        <f>'Parameter Input'!P8</f>
        <v>0.9</v>
      </c>
      <c r="P225" s="53">
        <f>'Parameter Input'!Q8</f>
        <v>0.4</v>
      </c>
      <c r="Q225" s="4">
        <f t="shared" ref="Q225:AR234" si="184">$N225+($M225-$N225)*((1/(1+EXP(-$P225*(Q$9-$L225)))^$O225))</f>
        <v>0.9867978615748374</v>
      </c>
      <c r="R225" s="4">
        <f t="shared" si="184"/>
        <v>0.98114509762858249</v>
      </c>
      <c r="S225" s="4">
        <f t="shared" si="184"/>
        <v>0.97311898315872036</v>
      </c>
      <c r="T225" s="4">
        <f t="shared" si="184"/>
        <v>0.96177484161592774</v>
      </c>
      <c r="U225" s="4">
        <f t="shared" si="184"/>
        <v>0.94584787155511363</v>
      </c>
      <c r="V225" s="4">
        <f t="shared" si="184"/>
        <v>0.92370360150141495</v>
      </c>
      <c r="W225" s="4">
        <f t="shared" si="184"/>
        <v>0.89334463567658451</v>
      </c>
      <c r="X225" s="4">
        <f t="shared" si="184"/>
        <v>0.85254543874327005</v>
      </c>
      <c r="Y225" s="4">
        <f t="shared" si="184"/>
        <v>0.79921300652623883</v>
      </c>
      <c r="Z225" s="4">
        <f t="shared" si="184"/>
        <v>0.73204982249993378</v>
      </c>
      <c r="AA225" s="4">
        <f t="shared" si="184"/>
        <v>0.65145592958786691</v>
      </c>
      <c r="AB225" s="4">
        <f t="shared" si="184"/>
        <v>0.56032247880849573</v>
      </c>
      <c r="AC225" s="4">
        <f t="shared" si="184"/>
        <v>0.46411326873185343</v>
      </c>
      <c r="AD225" s="4">
        <f t="shared" si="184"/>
        <v>0.36979727595523937</v>
      </c>
      <c r="AE225" s="4">
        <f t="shared" si="184"/>
        <v>0.28393948637231203</v>
      </c>
      <c r="AF225" s="4">
        <f t="shared" si="184"/>
        <v>0.21097259161117732</v>
      </c>
      <c r="AG225" s="4">
        <f t="shared" si="184"/>
        <v>0.15253917653798199</v>
      </c>
      <c r="AH225" s="4">
        <f t="shared" si="184"/>
        <v>0.10795188737709993</v>
      </c>
      <c r="AI225" s="4">
        <f t="shared" si="184"/>
        <v>7.5176653938091809E-2</v>
      </c>
      <c r="AJ225" s="4">
        <f t="shared" si="184"/>
        <v>5.1742836177502194E-2</v>
      </c>
      <c r="AK225" s="4">
        <f t="shared" si="184"/>
        <v>3.5319190625345942E-2</v>
      </c>
      <c r="AL225" s="4">
        <f t="shared" si="184"/>
        <v>2.3969442072658165E-2</v>
      </c>
      <c r="AM225" s="4">
        <f t="shared" si="184"/>
        <v>1.6202243558389728E-2</v>
      </c>
      <c r="AN225" s="4">
        <f t="shared" si="184"/>
        <v>1.0922240564108399E-2</v>
      </c>
      <c r="AO225" s="4">
        <f t="shared" si="184"/>
        <v>7.3493212906090566E-3</v>
      </c>
      <c r="AP225" s="4">
        <f t="shared" si="184"/>
        <v>4.9390262185057265E-3</v>
      </c>
      <c r="AQ225" s="4">
        <f t="shared" si="184"/>
        <v>3.3164275492956197E-3</v>
      </c>
      <c r="AR225" s="4">
        <f t="shared" si="184"/>
        <v>2.2256362146679809E-3</v>
      </c>
    </row>
    <row r="226" spans="1:44" x14ac:dyDescent="0.3">
      <c r="A226" s="24" t="s">
        <v>28</v>
      </c>
      <c r="B226" s="60">
        <f>'Parameter Input'!L9</f>
        <v>-26250</v>
      </c>
      <c r="C226" s="61">
        <f>'Parameter Input'!M9</f>
        <v>-17250</v>
      </c>
      <c r="D226" s="1" t="s">
        <v>15</v>
      </c>
      <c r="L226" s="54">
        <f>'Parameter Input'!O9</f>
        <v>12</v>
      </c>
      <c r="M226" s="37">
        <v>0</v>
      </c>
      <c r="N226" s="37">
        <v>1</v>
      </c>
      <c r="O226" s="37">
        <f>'Parameter Input'!P9</f>
        <v>0.9</v>
      </c>
      <c r="P226" s="55">
        <f>'Parameter Input'!Q9</f>
        <v>0.4</v>
      </c>
      <c r="Q226" s="4">
        <f t="shared" si="184"/>
        <v>0.9867978615748374</v>
      </c>
      <c r="R226" s="4">
        <f t="shared" si="184"/>
        <v>0.98114509762858249</v>
      </c>
      <c r="S226" s="4">
        <f t="shared" si="184"/>
        <v>0.97311898315872036</v>
      </c>
      <c r="T226" s="4">
        <f t="shared" si="184"/>
        <v>0.96177484161592774</v>
      </c>
      <c r="U226" s="4">
        <f t="shared" si="184"/>
        <v>0.94584787155511363</v>
      </c>
      <c r="V226" s="4">
        <f t="shared" si="184"/>
        <v>0.92370360150141495</v>
      </c>
      <c r="W226" s="4">
        <f t="shared" si="184"/>
        <v>0.89334463567658451</v>
      </c>
      <c r="X226" s="4">
        <f t="shared" si="184"/>
        <v>0.85254543874327005</v>
      </c>
      <c r="Y226" s="4">
        <f t="shared" si="184"/>
        <v>0.79921300652623883</v>
      </c>
      <c r="Z226" s="4">
        <f t="shared" si="184"/>
        <v>0.73204982249993378</v>
      </c>
      <c r="AA226" s="4">
        <f t="shared" si="184"/>
        <v>0.65145592958786691</v>
      </c>
      <c r="AB226" s="4">
        <f t="shared" si="184"/>
        <v>0.56032247880849573</v>
      </c>
      <c r="AC226" s="4">
        <f t="shared" si="184"/>
        <v>0.46411326873185343</v>
      </c>
      <c r="AD226" s="4">
        <f t="shared" si="184"/>
        <v>0.36979727595523937</v>
      </c>
      <c r="AE226" s="4">
        <f t="shared" si="184"/>
        <v>0.28393948637231203</v>
      </c>
      <c r="AF226" s="4">
        <f t="shared" si="184"/>
        <v>0.21097259161117732</v>
      </c>
      <c r="AG226" s="4">
        <f t="shared" si="184"/>
        <v>0.15253917653798199</v>
      </c>
      <c r="AH226" s="4">
        <f t="shared" si="184"/>
        <v>0.10795188737709993</v>
      </c>
      <c r="AI226" s="4">
        <f t="shared" si="184"/>
        <v>7.5176653938091809E-2</v>
      </c>
      <c r="AJ226" s="4">
        <f t="shared" si="184"/>
        <v>5.1742836177502194E-2</v>
      </c>
      <c r="AK226" s="4">
        <f t="shared" si="184"/>
        <v>3.5319190625345942E-2</v>
      </c>
      <c r="AL226" s="4">
        <f t="shared" si="184"/>
        <v>2.3969442072658165E-2</v>
      </c>
      <c r="AM226" s="4">
        <f t="shared" si="184"/>
        <v>1.6202243558389728E-2</v>
      </c>
      <c r="AN226" s="4">
        <f t="shared" si="184"/>
        <v>1.0922240564108399E-2</v>
      </c>
      <c r="AO226" s="4">
        <f t="shared" si="184"/>
        <v>7.3493212906090566E-3</v>
      </c>
      <c r="AP226" s="4">
        <f t="shared" si="184"/>
        <v>4.9390262185057265E-3</v>
      </c>
      <c r="AQ226" s="4">
        <f t="shared" si="184"/>
        <v>3.3164275492956197E-3</v>
      </c>
      <c r="AR226" s="4">
        <f t="shared" si="184"/>
        <v>2.2256362146679809E-3</v>
      </c>
    </row>
    <row r="227" spans="1:44" x14ac:dyDescent="0.3">
      <c r="A227" s="24" t="s">
        <v>14</v>
      </c>
      <c r="B227" s="60">
        <f>'Parameter Input'!B33</f>
        <v>30000</v>
      </c>
      <c r="C227" s="61">
        <f>'Parameter Input'!C33</f>
        <v>30000</v>
      </c>
      <c r="D227" s="1" t="s">
        <v>15</v>
      </c>
      <c r="L227" s="54">
        <f>'Parameter Input'!E33</f>
        <v>12</v>
      </c>
      <c r="M227" s="37">
        <v>0</v>
      </c>
      <c r="N227" s="37">
        <v>1</v>
      </c>
      <c r="O227" s="37">
        <f>'Parameter Input'!F33</f>
        <v>0.9</v>
      </c>
      <c r="P227" s="55">
        <f>'Parameter Input'!G33</f>
        <v>0.4</v>
      </c>
      <c r="Q227" s="4">
        <f t="shared" si="184"/>
        <v>0.9867978615748374</v>
      </c>
      <c r="R227" s="4">
        <f t="shared" si="184"/>
        <v>0.98114509762858249</v>
      </c>
      <c r="S227" s="4">
        <f t="shared" si="184"/>
        <v>0.97311898315872036</v>
      </c>
      <c r="T227" s="4">
        <f t="shared" si="184"/>
        <v>0.96177484161592774</v>
      </c>
      <c r="U227" s="4">
        <f t="shared" si="184"/>
        <v>0.94584787155511363</v>
      </c>
      <c r="V227" s="4">
        <f t="shared" si="184"/>
        <v>0.92370360150141495</v>
      </c>
      <c r="W227" s="4">
        <f t="shared" si="184"/>
        <v>0.89334463567658451</v>
      </c>
      <c r="X227" s="4">
        <f t="shared" si="184"/>
        <v>0.85254543874327005</v>
      </c>
      <c r="Y227" s="4">
        <f t="shared" si="184"/>
        <v>0.79921300652623883</v>
      </c>
      <c r="Z227" s="4">
        <f t="shared" si="184"/>
        <v>0.73204982249993378</v>
      </c>
      <c r="AA227" s="4">
        <f t="shared" si="184"/>
        <v>0.65145592958786691</v>
      </c>
      <c r="AB227" s="4">
        <f t="shared" si="184"/>
        <v>0.56032247880849573</v>
      </c>
      <c r="AC227" s="4">
        <f t="shared" si="184"/>
        <v>0.46411326873185343</v>
      </c>
      <c r="AD227" s="4">
        <f t="shared" si="184"/>
        <v>0.36979727595523937</v>
      </c>
      <c r="AE227" s="4">
        <f t="shared" si="184"/>
        <v>0.28393948637231203</v>
      </c>
      <c r="AF227" s="4">
        <f t="shared" si="184"/>
        <v>0.21097259161117732</v>
      </c>
      <c r="AG227" s="4">
        <f t="shared" si="184"/>
        <v>0.15253917653798199</v>
      </c>
      <c r="AH227" s="4">
        <f t="shared" si="184"/>
        <v>0.10795188737709993</v>
      </c>
      <c r="AI227" s="4">
        <f t="shared" si="184"/>
        <v>7.5176653938091809E-2</v>
      </c>
      <c r="AJ227" s="4">
        <f t="shared" si="184"/>
        <v>5.1742836177502194E-2</v>
      </c>
      <c r="AK227" s="4">
        <f t="shared" si="184"/>
        <v>3.5319190625345942E-2</v>
      </c>
      <c r="AL227" s="4">
        <f t="shared" si="184"/>
        <v>2.3969442072658165E-2</v>
      </c>
      <c r="AM227" s="4">
        <f t="shared" si="184"/>
        <v>1.6202243558389728E-2</v>
      </c>
      <c r="AN227" s="4">
        <f t="shared" si="184"/>
        <v>1.0922240564108399E-2</v>
      </c>
      <c r="AO227" s="4">
        <f t="shared" si="184"/>
        <v>7.3493212906090566E-3</v>
      </c>
      <c r="AP227" s="4">
        <f t="shared" si="184"/>
        <v>4.9390262185057265E-3</v>
      </c>
      <c r="AQ227" s="4">
        <f t="shared" si="184"/>
        <v>3.3164275492956197E-3</v>
      </c>
      <c r="AR227" s="4">
        <f t="shared" si="184"/>
        <v>2.2256362146679809E-3</v>
      </c>
    </row>
    <row r="228" spans="1:44" x14ac:dyDescent="0.3">
      <c r="A228" s="24" t="s">
        <v>25</v>
      </c>
      <c r="B228" s="60">
        <f>'Parameter Input'!B34</f>
        <v>-7500</v>
      </c>
      <c r="C228" s="61">
        <f>'Parameter Input'!C34</f>
        <v>-7500</v>
      </c>
      <c r="D228" s="1" t="s">
        <v>15</v>
      </c>
      <c r="L228" s="54">
        <f>'Parameter Input'!E34</f>
        <v>12</v>
      </c>
      <c r="M228" s="37">
        <v>0</v>
      </c>
      <c r="N228" s="37">
        <v>1</v>
      </c>
      <c r="O228" s="37">
        <f>'Parameter Input'!F21</f>
        <v>0.9</v>
      </c>
      <c r="P228" s="55">
        <f>'Parameter Input'!G21</f>
        <v>0.4</v>
      </c>
      <c r="Q228" s="4">
        <f t="shared" si="184"/>
        <v>0.9867978615748374</v>
      </c>
      <c r="R228" s="4">
        <f t="shared" si="184"/>
        <v>0.98114509762858249</v>
      </c>
      <c r="S228" s="4">
        <f t="shared" si="184"/>
        <v>0.97311898315872036</v>
      </c>
      <c r="T228" s="4">
        <f t="shared" si="184"/>
        <v>0.96177484161592774</v>
      </c>
      <c r="U228" s="4">
        <f t="shared" si="184"/>
        <v>0.94584787155511363</v>
      </c>
      <c r="V228" s="4">
        <f t="shared" si="184"/>
        <v>0.92370360150141495</v>
      </c>
      <c r="W228" s="4">
        <f t="shared" si="184"/>
        <v>0.89334463567658451</v>
      </c>
      <c r="X228" s="4">
        <f t="shared" si="184"/>
        <v>0.85254543874327005</v>
      </c>
      <c r="Y228" s="4">
        <f t="shared" si="184"/>
        <v>0.79921300652623883</v>
      </c>
      <c r="Z228" s="4">
        <f t="shared" si="184"/>
        <v>0.73204982249993378</v>
      </c>
      <c r="AA228" s="4">
        <f t="shared" si="184"/>
        <v>0.65145592958786691</v>
      </c>
      <c r="AB228" s="4">
        <f t="shared" si="184"/>
        <v>0.56032247880849573</v>
      </c>
      <c r="AC228" s="4">
        <f t="shared" si="184"/>
        <v>0.46411326873185343</v>
      </c>
      <c r="AD228" s="4">
        <f t="shared" si="184"/>
        <v>0.36979727595523937</v>
      </c>
      <c r="AE228" s="4">
        <f t="shared" si="184"/>
        <v>0.28393948637231203</v>
      </c>
      <c r="AF228" s="4">
        <f t="shared" si="184"/>
        <v>0.21097259161117732</v>
      </c>
      <c r="AG228" s="4">
        <f t="shared" si="184"/>
        <v>0.15253917653798199</v>
      </c>
      <c r="AH228" s="4">
        <f t="shared" si="184"/>
        <v>0.10795188737709993</v>
      </c>
      <c r="AI228" s="4">
        <f t="shared" si="184"/>
        <v>7.5176653938091809E-2</v>
      </c>
      <c r="AJ228" s="4">
        <f t="shared" si="184"/>
        <v>5.1742836177502194E-2</v>
      </c>
      <c r="AK228" s="4">
        <f t="shared" si="184"/>
        <v>3.5319190625345942E-2</v>
      </c>
      <c r="AL228" s="4">
        <f t="shared" si="184"/>
        <v>2.3969442072658165E-2</v>
      </c>
      <c r="AM228" s="4">
        <f t="shared" si="184"/>
        <v>1.6202243558389728E-2</v>
      </c>
      <c r="AN228" s="4">
        <f t="shared" si="184"/>
        <v>1.0922240564108399E-2</v>
      </c>
      <c r="AO228" s="4">
        <f t="shared" si="184"/>
        <v>7.3493212906090566E-3</v>
      </c>
      <c r="AP228" s="4">
        <f t="shared" si="184"/>
        <v>4.9390262185057265E-3</v>
      </c>
      <c r="AQ228" s="4">
        <f t="shared" si="184"/>
        <v>3.3164275492956197E-3</v>
      </c>
      <c r="AR228" s="4">
        <f t="shared" si="184"/>
        <v>2.2256362146679809E-3</v>
      </c>
    </row>
    <row r="229" spans="1:44" x14ac:dyDescent="0.3">
      <c r="A229" s="24" t="s">
        <v>79</v>
      </c>
      <c r="B229" s="60">
        <f>'Parameter Input'!L15</f>
        <v>0.06</v>
      </c>
      <c r="C229" s="61">
        <f>'Parameter Input'!M15</f>
        <v>0.06</v>
      </c>
      <c r="D229" s="1" t="s">
        <v>57</v>
      </c>
      <c r="L229" s="54">
        <f>'Parameter Input'!O15</f>
        <v>12</v>
      </c>
      <c r="M229" s="37">
        <v>0</v>
      </c>
      <c r="N229" s="37">
        <v>1</v>
      </c>
      <c r="O229" s="37">
        <f>'Parameter Input'!P15</f>
        <v>0.9</v>
      </c>
      <c r="P229" s="55">
        <f>'Parameter Input'!Q15</f>
        <v>0.4</v>
      </c>
      <c r="Q229" s="4">
        <f t="shared" si="184"/>
        <v>0.9867978615748374</v>
      </c>
      <c r="R229" s="4">
        <f t="shared" si="184"/>
        <v>0.98114509762858249</v>
      </c>
      <c r="S229" s="4">
        <f t="shared" si="184"/>
        <v>0.97311898315872036</v>
      </c>
      <c r="T229" s="4">
        <f t="shared" si="184"/>
        <v>0.96177484161592774</v>
      </c>
      <c r="U229" s="4">
        <f t="shared" si="184"/>
        <v>0.94584787155511363</v>
      </c>
      <c r="V229" s="4">
        <f t="shared" si="184"/>
        <v>0.92370360150141495</v>
      </c>
      <c r="W229" s="4">
        <f t="shared" si="184"/>
        <v>0.89334463567658451</v>
      </c>
      <c r="X229" s="4">
        <f t="shared" si="184"/>
        <v>0.85254543874327005</v>
      </c>
      <c r="Y229" s="4">
        <f t="shared" si="184"/>
        <v>0.79921300652623883</v>
      </c>
      <c r="Z229" s="4">
        <f t="shared" si="184"/>
        <v>0.73204982249993378</v>
      </c>
      <c r="AA229" s="4">
        <f t="shared" si="184"/>
        <v>0.65145592958786691</v>
      </c>
      <c r="AB229" s="4">
        <f t="shared" si="184"/>
        <v>0.56032247880849573</v>
      </c>
      <c r="AC229" s="4">
        <f t="shared" si="184"/>
        <v>0.46411326873185343</v>
      </c>
      <c r="AD229" s="4">
        <f t="shared" si="184"/>
        <v>0.36979727595523937</v>
      </c>
      <c r="AE229" s="4">
        <f t="shared" si="184"/>
        <v>0.28393948637231203</v>
      </c>
      <c r="AF229" s="4">
        <f t="shared" si="184"/>
        <v>0.21097259161117732</v>
      </c>
      <c r="AG229" s="4">
        <f t="shared" si="184"/>
        <v>0.15253917653798199</v>
      </c>
      <c r="AH229" s="4">
        <f t="shared" si="184"/>
        <v>0.10795188737709993</v>
      </c>
      <c r="AI229" s="4">
        <f t="shared" si="184"/>
        <v>7.5176653938091809E-2</v>
      </c>
      <c r="AJ229" s="4">
        <f t="shared" si="184"/>
        <v>5.1742836177502194E-2</v>
      </c>
      <c r="AK229" s="4">
        <f t="shared" si="184"/>
        <v>3.5319190625345942E-2</v>
      </c>
      <c r="AL229" s="4">
        <f t="shared" si="184"/>
        <v>2.3969442072658165E-2</v>
      </c>
      <c r="AM229" s="4">
        <f t="shared" si="184"/>
        <v>1.6202243558389728E-2</v>
      </c>
      <c r="AN229" s="4">
        <f t="shared" si="184"/>
        <v>1.0922240564108399E-2</v>
      </c>
      <c r="AO229" s="4">
        <f t="shared" si="184"/>
        <v>7.3493212906090566E-3</v>
      </c>
      <c r="AP229" s="4">
        <f t="shared" si="184"/>
        <v>4.9390262185057265E-3</v>
      </c>
      <c r="AQ229" s="4">
        <f t="shared" si="184"/>
        <v>3.3164275492956197E-3</v>
      </c>
      <c r="AR229" s="4">
        <f t="shared" si="184"/>
        <v>2.2256362146679809E-3</v>
      </c>
    </row>
    <row r="230" spans="1:44" x14ac:dyDescent="0.3">
      <c r="A230" s="24" t="s">
        <v>37</v>
      </c>
      <c r="B230" s="60">
        <f>'Parameter Input'!B35</f>
        <v>70000</v>
      </c>
      <c r="C230" s="61">
        <f>'Parameter Input'!C35</f>
        <v>70000</v>
      </c>
      <c r="D230" s="1" t="s">
        <v>38</v>
      </c>
      <c r="L230" s="54">
        <f>'Parameter Input'!E35</f>
        <v>12</v>
      </c>
      <c r="M230" s="37">
        <v>0</v>
      </c>
      <c r="N230" s="37">
        <v>1</v>
      </c>
      <c r="O230" s="37">
        <f>'Parameter Input'!F35</f>
        <v>0.9</v>
      </c>
      <c r="P230" s="55">
        <f>'Parameter Input'!G35</f>
        <v>0.4</v>
      </c>
      <c r="Q230" s="4">
        <f t="shared" si="184"/>
        <v>0.9867978615748374</v>
      </c>
      <c r="R230" s="4">
        <f t="shared" si="184"/>
        <v>0.98114509762858249</v>
      </c>
      <c r="S230" s="4">
        <f t="shared" si="184"/>
        <v>0.97311898315872036</v>
      </c>
      <c r="T230" s="4">
        <f t="shared" si="184"/>
        <v>0.96177484161592774</v>
      </c>
      <c r="U230" s="4">
        <f t="shared" si="184"/>
        <v>0.94584787155511363</v>
      </c>
      <c r="V230" s="4">
        <f t="shared" si="184"/>
        <v>0.92370360150141495</v>
      </c>
      <c r="W230" s="4">
        <f t="shared" si="184"/>
        <v>0.89334463567658451</v>
      </c>
      <c r="X230" s="4">
        <f t="shared" si="184"/>
        <v>0.85254543874327005</v>
      </c>
      <c r="Y230" s="4">
        <f t="shared" si="184"/>
        <v>0.79921300652623883</v>
      </c>
      <c r="Z230" s="4">
        <f t="shared" si="184"/>
        <v>0.73204982249993378</v>
      </c>
      <c r="AA230" s="4">
        <f t="shared" si="184"/>
        <v>0.65145592958786691</v>
      </c>
      <c r="AB230" s="4">
        <f t="shared" si="184"/>
        <v>0.56032247880849573</v>
      </c>
      <c r="AC230" s="4">
        <f t="shared" si="184"/>
        <v>0.46411326873185343</v>
      </c>
      <c r="AD230" s="4">
        <f t="shared" si="184"/>
        <v>0.36979727595523937</v>
      </c>
      <c r="AE230" s="4">
        <f t="shared" si="184"/>
        <v>0.28393948637231203</v>
      </c>
      <c r="AF230" s="4">
        <f t="shared" si="184"/>
        <v>0.21097259161117732</v>
      </c>
      <c r="AG230" s="4">
        <f t="shared" si="184"/>
        <v>0.15253917653798199</v>
      </c>
      <c r="AH230" s="4">
        <f t="shared" si="184"/>
        <v>0.10795188737709993</v>
      </c>
      <c r="AI230" s="4">
        <f t="shared" si="184"/>
        <v>7.5176653938091809E-2</v>
      </c>
      <c r="AJ230" s="4">
        <f t="shared" si="184"/>
        <v>5.1742836177502194E-2</v>
      </c>
      <c r="AK230" s="4">
        <f t="shared" si="184"/>
        <v>3.5319190625345942E-2</v>
      </c>
      <c r="AL230" s="4">
        <f t="shared" si="184"/>
        <v>2.3969442072658165E-2</v>
      </c>
      <c r="AM230" s="4">
        <f t="shared" si="184"/>
        <v>1.6202243558389728E-2</v>
      </c>
      <c r="AN230" s="4">
        <f t="shared" si="184"/>
        <v>1.0922240564108399E-2</v>
      </c>
      <c r="AO230" s="4">
        <f t="shared" si="184"/>
        <v>7.3493212906090566E-3</v>
      </c>
      <c r="AP230" s="4">
        <f t="shared" si="184"/>
        <v>4.9390262185057265E-3</v>
      </c>
      <c r="AQ230" s="4">
        <f t="shared" si="184"/>
        <v>3.3164275492956197E-3</v>
      </c>
      <c r="AR230" s="4">
        <f t="shared" si="184"/>
        <v>2.2256362146679809E-3</v>
      </c>
    </row>
    <row r="231" spans="1:44" x14ac:dyDescent="0.3">
      <c r="A231" s="24" t="s">
        <v>52</v>
      </c>
      <c r="B231" s="60">
        <f>'Parameter Input'!L11</f>
        <v>20000</v>
      </c>
      <c r="C231" s="61">
        <f>'Parameter Input'!M11</f>
        <v>20000</v>
      </c>
      <c r="D231" s="1" t="s">
        <v>38</v>
      </c>
      <c r="L231" s="54">
        <f>'Parameter Input'!O11</f>
        <v>12</v>
      </c>
      <c r="M231" s="37">
        <v>0</v>
      </c>
      <c r="N231" s="37">
        <v>1</v>
      </c>
      <c r="O231" s="37">
        <f>'Parameter Input'!P11</f>
        <v>0.9</v>
      </c>
      <c r="P231" s="55">
        <f>'Parameter Input'!Q11</f>
        <v>0.4</v>
      </c>
      <c r="Q231" s="4">
        <f t="shared" si="184"/>
        <v>0.9867978615748374</v>
      </c>
      <c r="R231" s="4">
        <f t="shared" si="184"/>
        <v>0.98114509762858249</v>
      </c>
      <c r="S231" s="4">
        <f t="shared" si="184"/>
        <v>0.97311898315872036</v>
      </c>
      <c r="T231" s="4">
        <f t="shared" si="184"/>
        <v>0.96177484161592774</v>
      </c>
      <c r="U231" s="4">
        <f t="shared" si="184"/>
        <v>0.94584787155511363</v>
      </c>
      <c r="V231" s="4">
        <f t="shared" si="184"/>
        <v>0.92370360150141495</v>
      </c>
      <c r="W231" s="4">
        <f t="shared" si="184"/>
        <v>0.89334463567658451</v>
      </c>
      <c r="X231" s="4">
        <f t="shared" si="184"/>
        <v>0.85254543874327005</v>
      </c>
      <c r="Y231" s="4">
        <f t="shared" si="184"/>
        <v>0.79921300652623883</v>
      </c>
      <c r="Z231" s="4">
        <f t="shared" si="184"/>
        <v>0.73204982249993378</v>
      </c>
      <c r="AA231" s="4">
        <f t="shared" si="184"/>
        <v>0.65145592958786691</v>
      </c>
      <c r="AB231" s="4">
        <f t="shared" si="184"/>
        <v>0.56032247880849573</v>
      </c>
      <c r="AC231" s="4">
        <f t="shared" si="184"/>
        <v>0.46411326873185343</v>
      </c>
      <c r="AD231" s="4">
        <f t="shared" si="184"/>
        <v>0.36979727595523937</v>
      </c>
      <c r="AE231" s="4">
        <f t="shared" si="184"/>
        <v>0.28393948637231203</v>
      </c>
      <c r="AF231" s="4">
        <f t="shared" si="184"/>
        <v>0.21097259161117732</v>
      </c>
      <c r="AG231" s="4">
        <f t="shared" si="184"/>
        <v>0.15253917653798199</v>
      </c>
      <c r="AH231" s="4">
        <f t="shared" si="184"/>
        <v>0.10795188737709993</v>
      </c>
      <c r="AI231" s="4">
        <f t="shared" si="184"/>
        <v>7.5176653938091809E-2</v>
      </c>
      <c r="AJ231" s="4">
        <f t="shared" si="184"/>
        <v>5.1742836177502194E-2</v>
      </c>
      <c r="AK231" s="4">
        <f t="shared" si="184"/>
        <v>3.5319190625345942E-2</v>
      </c>
      <c r="AL231" s="4">
        <f t="shared" si="184"/>
        <v>2.3969442072658165E-2</v>
      </c>
      <c r="AM231" s="4">
        <f t="shared" si="184"/>
        <v>1.6202243558389728E-2</v>
      </c>
      <c r="AN231" s="4">
        <f t="shared" si="184"/>
        <v>1.0922240564108399E-2</v>
      </c>
      <c r="AO231" s="4">
        <f t="shared" si="184"/>
        <v>7.3493212906090566E-3</v>
      </c>
      <c r="AP231" s="4">
        <f t="shared" si="184"/>
        <v>4.9390262185057265E-3</v>
      </c>
      <c r="AQ231" s="4">
        <f t="shared" si="184"/>
        <v>3.3164275492956197E-3</v>
      </c>
      <c r="AR231" s="4">
        <f t="shared" si="184"/>
        <v>2.2256362146679809E-3</v>
      </c>
    </row>
    <row r="232" spans="1:44" x14ac:dyDescent="0.3">
      <c r="A232" s="24" t="s">
        <v>273</v>
      </c>
      <c r="B232" s="60">
        <f>'Parameter Input'!B40</f>
        <v>0.11</v>
      </c>
      <c r="C232" s="61">
        <f>'Parameter Input'!C40</f>
        <v>0.11</v>
      </c>
      <c r="D232" s="1" t="s">
        <v>76</v>
      </c>
      <c r="L232" s="54">
        <f>'Parameter Input'!E40</f>
        <v>12</v>
      </c>
      <c r="M232" s="37">
        <v>0</v>
      </c>
      <c r="N232" s="37">
        <v>1</v>
      </c>
      <c r="O232" s="37">
        <f>'Parameter Input'!F40</f>
        <v>0.9</v>
      </c>
      <c r="P232" s="55">
        <f>'Parameter Input'!G40</f>
        <v>0.4</v>
      </c>
      <c r="Q232" s="4">
        <f t="shared" si="184"/>
        <v>0.9867978615748374</v>
      </c>
      <c r="R232" s="4">
        <f t="shared" si="184"/>
        <v>0.98114509762858249</v>
      </c>
      <c r="S232" s="4">
        <f t="shared" si="184"/>
        <v>0.97311898315872036</v>
      </c>
      <c r="T232" s="4">
        <f t="shared" si="184"/>
        <v>0.96177484161592774</v>
      </c>
      <c r="U232" s="4">
        <f t="shared" si="184"/>
        <v>0.94584787155511363</v>
      </c>
      <c r="V232" s="4">
        <f t="shared" si="184"/>
        <v>0.92370360150141495</v>
      </c>
      <c r="W232" s="4">
        <f t="shared" si="184"/>
        <v>0.89334463567658451</v>
      </c>
      <c r="X232" s="4">
        <f t="shared" si="184"/>
        <v>0.85254543874327005</v>
      </c>
      <c r="Y232" s="4">
        <f t="shared" si="184"/>
        <v>0.79921300652623883</v>
      </c>
      <c r="Z232" s="4">
        <f t="shared" si="184"/>
        <v>0.73204982249993378</v>
      </c>
      <c r="AA232" s="4">
        <f t="shared" si="184"/>
        <v>0.65145592958786691</v>
      </c>
      <c r="AB232" s="4">
        <f t="shared" si="184"/>
        <v>0.56032247880849573</v>
      </c>
      <c r="AC232" s="4">
        <f t="shared" si="184"/>
        <v>0.46411326873185343</v>
      </c>
      <c r="AD232" s="4">
        <f t="shared" si="184"/>
        <v>0.36979727595523937</v>
      </c>
      <c r="AE232" s="4">
        <f t="shared" si="184"/>
        <v>0.28393948637231203</v>
      </c>
      <c r="AF232" s="4">
        <f t="shared" si="184"/>
        <v>0.21097259161117732</v>
      </c>
      <c r="AG232" s="4">
        <f t="shared" si="184"/>
        <v>0.15253917653798199</v>
      </c>
      <c r="AH232" s="4">
        <f t="shared" si="184"/>
        <v>0.10795188737709993</v>
      </c>
      <c r="AI232" s="4">
        <f t="shared" si="184"/>
        <v>7.5176653938091809E-2</v>
      </c>
      <c r="AJ232" s="4">
        <f t="shared" si="184"/>
        <v>5.1742836177502194E-2</v>
      </c>
      <c r="AK232" s="4">
        <f t="shared" si="184"/>
        <v>3.5319190625345942E-2</v>
      </c>
      <c r="AL232" s="4">
        <f t="shared" si="184"/>
        <v>2.3969442072658165E-2</v>
      </c>
      <c r="AM232" s="4">
        <f t="shared" si="184"/>
        <v>1.6202243558389728E-2</v>
      </c>
      <c r="AN232" s="4">
        <f t="shared" si="184"/>
        <v>1.0922240564108399E-2</v>
      </c>
      <c r="AO232" s="4">
        <f t="shared" si="184"/>
        <v>7.3493212906090566E-3</v>
      </c>
      <c r="AP232" s="4">
        <f t="shared" si="184"/>
        <v>4.9390262185057265E-3</v>
      </c>
      <c r="AQ232" s="4">
        <f t="shared" si="184"/>
        <v>3.3164275492956197E-3</v>
      </c>
      <c r="AR232" s="4">
        <f t="shared" si="184"/>
        <v>2.2256362146679809E-3</v>
      </c>
    </row>
    <row r="233" spans="1:44" x14ac:dyDescent="0.3">
      <c r="A233" s="24" t="s">
        <v>59</v>
      </c>
      <c r="B233" s="60">
        <f>'Parameter Input'!L12</f>
        <v>2.9</v>
      </c>
      <c r="C233" s="61">
        <f>'Parameter Input'!M12</f>
        <v>2.4</v>
      </c>
      <c r="D233" s="1" t="s">
        <v>60</v>
      </c>
      <c r="L233" s="54">
        <f>'Parameter Input'!O12</f>
        <v>12</v>
      </c>
      <c r="M233" s="37">
        <v>0</v>
      </c>
      <c r="N233" s="37">
        <v>1</v>
      </c>
      <c r="O233" s="37">
        <f>'Parameter Input'!P12</f>
        <v>0.9</v>
      </c>
      <c r="P233" s="55">
        <f>'Parameter Input'!Q12</f>
        <v>0.4</v>
      </c>
      <c r="Q233" s="4">
        <f t="shared" si="184"/>
        <v>0.9867978615748374</v>
      </c>
      <c r="R233" s="4">
        <f t="shared" si="184"/>
        <v>0.98114509762858249</v>
      </c>
      <c r="S233" s="4">
        <f t="shared" si="184"/>
        <v>0.97311898315872036</v>
      </c>
      <c r="T233" s="4">
        <f t="shared" si="184"/>
        <v>0.96177484161592774</v>
      </c>
      <c r="U233" s="4">
        <f t="shared" si="184"/>
        <v>0.94584787155511363</v>
      </c>
      <c r="V233" s="4">
        <f t="shared" si="184"/>
        <v>0.92370360150141495</v>
      </c>
      <c r="W233" s="4">
        <f t="shared" si="184"/>
        <v>0.89334463567658451</v>
      </c>
      <c r="X233" s="4">
        <f t="shared" si="184"/>
        <v>0.85254543874327005</v>
      </c>
      <c r="Y233" s="4">
        <f t="shared" si="184"/>
        <v>0.79921300652623883</v>
      </c>
      <c r="Z233" s="4">
        <f t="shared" si="184"/>
        <v>0.73204982249993378</v>
      </c>
      <c r="AA233" s="4">
        <f t="shared" si="184"/>
        <v>0.65145592958786691</v>
      </c>
      <c r="AB233" s="4">
        <f t="shared" si="184"/>
        <v>0.56032247880849573</v>
      </c>
      <c r="AC233" s="4">
        <f t="shared" si="184"/>
        <v>0.46411326873185343</v>
      </c>
      <c r="AD233" s="4">
        <f t="shared" si="184"/>
        <v>0.36979727595523937</v>
      </c>
      <c r="AE233" s="4">
        <f t="shared" si="184"/>
        <v>0.28393948637231203</v>
      </c>
      <c r="AF233" s="4">
        <f t="shared" si="184"/>
        <v>0.21097259161117732</v>
      </c>
      <c r="AG233" s="4">
        <f t="shared" si="184"/>
        <v>0.15253917653798199</v>
      </c>
      <c r="AH233" s="4">
        <f t="shared" si="184"/>
        <v>0.10795188737709993</v>
      </c>
      <c r="AI233" s="4">
        <f t="shared" si="184"/>
        <v>7.5176653938091809E-2</v>
      </c>
      <c r="AJ233" s="4">
        <f t="shared" si="184"/>
        <v>5.1742836177502194E-2</v>
      </c>
      <c r="AK233" s="4">
        <f t="shared" si="184"/>
        <v>3.5319190625345942E-2</v>
      </c>
      <c r="AL233" s="4">
        <f t="shared" si="184"/>
        <v>2.3969442072658165E-2</v>
      </c>
      <c r="AM233" s="4">
        <f t="shared" si="184"/>
        <v>1.6202243558389728E-2</v>
      </c>
      <c r="AN233" s="4">
        <f t="shared" si="184"/>
        <v>1.0922240564108399E-2</v>
      </c>
      <c r="AO233" s="4">
        <f t="shared" si="184"/>
        <v>7.3493212906090566E-3</v>
      </c>
      <c r="AP233" s="4">
        <f t="shared" si="184"/>
        <v>4.9390262185057265E-3</v>
      </c>
      <c r="AQ233" s="4">
        <f t="shared" si="184"/>
        <v>3.3164275492956197E-3</v>
      </c>
      <c r="AR233" s="4">
        <f t="shared" si="184"/>
        <v>2.2256362146679809E-3</v>
      </c>
    </row>
    <row r="234" spans="1:44" x14ac:dyDescent="0.3">
      <c r="A234" s="24" t="s">
        <v>67</v>
      </c>
      <c r="B234" s="60">
        <f>'Parameter Input'!L13</f>
        <v>0.1</v>
      </c>
      <c r="C234" s="61">
        <f>'Parameter Input'!M13</f>
        <v>0.1</v>
      </c>
      <c r="D234" s="1" t="s">
        <v>68</v>
      </c>
      <c r="L234" s="54">
        <f>'Parameter Input'!O13</f>
        <v>12</v>
      </c>
      <c r="M234" s="37">
        <v>0</v>
      </c>
      <c r="N234" s="37">
        <v>1</v>
      </c>
      <c r="O234" s="37">
        <f>'Parameter Input'!P13</f>
        <v>0.9</v>
      </c>
      <c r="P234" s="55">
        <f>'Parameter Input'!Q13</f>
        <v>0.4</v>
      </c>
      <c r="Q234" s="4">
        <f t="shared" si="184"/>
        <v>0.9867978615748374</v>
      </c>
      <c r="R234" s="4">
        <f t="shared" si="184"/>
        <v>0.98114509762858249</v>
      </c>
      <c r="S234" s="4">
        <f t="shared" si="184"/>
        <v>0.97311898315872036</v>
      </c>
      <c r="T234" s="4">
        <f t="shared" ref="T234:AI241" si="185">$N234+($M234-$N234)*((1/(1+EXP(-$P234*(T$9-$L234)))^$O234))</f>
        <v>0.96177484161592774</v>
      </c>
      <c r="U234" s="4">
        <f t="shared" si="185"/>
        <v>0.94584787155511363</v>
      </c>
      <c r="V234" s="4">
        <f t="shared" si="185"/>
        <v>0.92370360150141495</v>
      </c>
      <c r="W234" s="4">
        <f t="shared" si="185"/>
        <v>0.89334463567658451</v>
      </c>
      <c r="X234" s="4">
        <f t="shared" si="185"/>
        <v>0.85254543874327005</v>
      </c>
      <c r="Y234" s="4">
        <f t="shared" si="185"/>
        <v>0.79921300652623883</v>
      </c>
      <c r="Z234" s="4">
        <f t="shared" si="185"/>
        <v>0.73204982249993378</v>
      </c>
      <c r="AA234" s="4">
        <f t="shared" si="185"/>
        <v>0.65145592958786691</v>
      </c>
      <c r="AB234" s="4">
        <f t="shared" si="185"/>
        <v>0.56032247880849573</v>
      </c>
      <c r="AC234" s="4">
        <f t="shared" si="185"/>
        <v>0.46411326873185343</v>
      </c>
      <c r="AD234" s="4">
        <f t="shared" si="185"/>
        <v>0.36979727595523937</v>
      </c>
      <c r="AE234" s="4">
        <f t="shared" si="185"/>
        <v>0.28393948637231203</v>
      </c>
      <c r="AF234" s="4">
        <f t="shared" si="185"/>
        <v>0.21097259161117732</v>
      </c>
      <c r="AG234" s="4">
        <f t="shared" si="185"/>
        <v>0.15253917653798199</v>
      </c>
      <c r="AH234" s="4">
        <f t="shared" si="185"/>
        <v>0.10795188737709993</v>
      </c>
      <c r="AI234" s="4">
        <f t="shared" si="185"/>
        <v>7.5176653938091809E-2</v>
      </c>
      <c r="AJ234" s="4">
        <f t="shared" ref="AJ234:AR241" si="186">$N234+($M234-$N234)*((1/(1+EXP(-$P234*(AJ$9-$L234)))^$O234))</f>
        <v>5.1742836177502194E-2</v>
      </c>
      <c r="AK234" s="4">
        <f t="shared" si="186"/>
        <v>3.5319190625345942E-2</v>
      </c>
      <c r="AL234" s="4">
        <f t="shared" si="186"/>
        <v>2.3969442072658165E-2</v>
      </c>
      <c r="AM234" s="4">
        <f t="shared" si="186"/>
        <v>1.6202243558389728E-2</v>
      </c>
      <c r="AN234" s="4">
        <f t="shared" si="186"/>
        <v>1.0922240564108399E-2</v>
      </c>
      <c r="AO234" s="4">
        <f t="shared" si="186"/>
        <v>7.3493212906090566E-3</v>
      </c>
      <c r="AP234" s="4">
        <f t="shared" si="186"/>
        <v>4.9390262185057265E-3</v>
      </c>
      <c r="AQ234" s="4">
        <f t="shared" si="186"/>
        <v>3.3164275492956197E-3</v>
      </c>
      <c r="AR234" s="4">
        <f t="shared" si="186"/>
        <v>2.2256362146679809E-3</v>
      </c>
    </row>
    <row r="235" spans="1:44" x14ac:dyDescent="0.3">
      <c r="A235" s="24" t="s">
        <v>206</v>
      </c>
      <c r="B235" s="45">
        <f>'Parameter Input'!$L$16</f>
        <v>7.7317073170731707E-2</v>
      </c>
      <c r="C235" s="46">
        <f>'Parameter Input'!$M$16</f>
        <v>0.22395290159798151</v>
      </c>
      <c r="D235" s="1" t="s">
        <v>76</v>
      </c>
      <c r="L235" s="54">
        <f>'Parameter Input'!$O$16</f>
        <v>17</v>
      </c>
      <c r="M235" s="37">
        <v>0</v>
      </c>
      <c r="N235" s="37">
        <v>1</v>
      </c>
      <c r="O235" s="37">
        <f>'Parameter Input'!$P$16</f>
        <v>0.9</v>
      </c>
      <c r="P235" s="55">
        <f>'Parameter Input'!$Q$16</f>
        <v>0.4</v>
      </c>
      <c r="Q235" s="4">
        <f t="shared" ref="Q235:AR235" si="187">$N235+($M235-$N235)*((1/(1+EXP(-$P235*(Q$9-$L235)))^$O235))</f>
        <v>0.99780374543478534</v>
      </c>
      <c r="R235" s="4">
        <f t="shared" si="187"/>
        <v>0.99685359315256394</v>
      </c>
      <c r="S235" s="4">
        <f t="shared" si="187"/>
        <v>0.99549347132349975</v>
      </c>
      <c r="T235" s="4">
        <f t="shared" si="187"/>
        <v>0.99354772139898062</v>
      </c>
      <c r="U235" s="4">
        <f t="shared" si="187"/>
        <v>0.99076681540580536</v>
      </c>
      <c r="V235" s="4">
        <f t="shared" si="187"/>
        <v>0.9867978615748374</v>
      </c>
      <c r="W235" s="4">
        <f t="shared" si="187"/>
        <v>0.98114509762858249</v>
      </c>
      <c r="X235" s="4">
        <f t="shared" si="187"/>
        <v>0.97311898315872036</v>
      </c>
      <c r="Y235" s="4">
        <f t="shared" si="187"/>
        <v>0.96177484161592774</v>
      </c>
      <c r="Z235" s="4">
        <f t="shared" si="187"/>
        <v>0.94584787155511363</v>
      </c>
      <c r="AA235" s="4">
        <f t="shared" si="187"/>
        <v>0.92370360150141495</v>
      </c>
      <c r="AB235" s="4">
        <f t="shared" si="187"/>
        <v>0.89334463567658451</v>
      </c>
      <c r="AC235" s="4">
        <f t="shared" si="187"/>
        <v>0.85254543874327005</v>
      </c>
      <c r="AD235" s="4">
        <f t="shared" si="187"/>
        <v>0.79921300652623883</v>
      </c>
      <c r="AE235" s="4">
        <f t="shared" si="187"/>
        <v>0.73204982249993378</v>
      </c>
      <c r="AF235" s="4">
        <f t="shared" si="187"/>
        <v>0.65145592958786691</v>
      </c>
      <c r="AG235" s="4">
        <f t="shared" si="187"/>
        <v>0.56032247880849573</v>
      </c>
      <c r="AH235" s="4">
        <f t="shared" si="187"/>
        <v>0.46411326873185343</v>
      </c>
      <c r="AI235" s="4">
        <f t="shared" si="187"/>
        <v>0.36979727595523937</v>
      </c>
      <c r="AJ235" s="4">
        <f t="shared" si="187"/>
        <v>0.28393948637231203</v>
      </c>
      <c r="AK235" s="4">
        <f t="shared" si="187"/>
        <v>0.21097259161117732</v>
      </c>
      <c r="AL235" s="4">
        <f t="shared" si="187"/>
        <v>0.15253917653798199</v>
      </c>
      <c r="AM235" s="4">
        <f t="shared" si="187"/>
        <v>0.10795188737709993</v>
      </c>
      <c r="AN235" s="4">
        <f t="shared" si="187"/>
        <v>7.5176653938091809E-2</v>
      </c>
      <c r="AO235" s="4">
        <f t="shared" si="187"/>
        <v>5.1742836177502194E-2</v>
      </c>
      <c r="AP235" s="4">
        <f t="shared" si="187"/>
        <v>3.5319190625345942E-2</v>
      </c>
      <c r="AQ235" s="4">
        <f t="shared" si="187"/>
        <v>2.3969442072658165E-2</v>
      </c>
      <c r="AR235" s="4">
        <f t="shared" si="187"/>
        <v>1.6202243558389728E-2</v>
      </c>
    </row>
    <row r="236" spans="1:44" x14ac:dyDescent="0.3">
      <c r="A236" s="24" t="s">
        <v>41</v>
      </c>
      <c r="B236" s="60">
        <f>'Parameter Input'!L10</f>
        <v>8</v>
      </c>
      <c r="C236" s="61">
        <f>'Parameter Input'!M10</f>
        <v>8</v>
      </c>
      <c r="D236" s="1" t="s">
        <v>42</v>
      </c>
      <c r="L236" s="54">
        <f>'Parameter Input'!O10</f>
        <v>12</v>
      </c>
      <c r="M236" s="37">
        <v>0</v>
      </c>
      <c r="N236" s="37">
        <v>1</v>
      </c>
      <c r="O236" s="37">
        <f>'Parameter Input'!P10</f>
        <v>0.9</v>
      </c>
      <c r="P236" s="55">
        <f>'Parameter Input'!Q10</f>
        <v>0.4</v>
      </c>
      <c r="Q236" s="4">
        <f t="shared" ref="Q236:AF241" si="188">$N236+($M236-$N236)*((1/(1+EXP(-$P236*(Q$9-$L236)))^$O236))</f>
        <v>0.9867978615748374</v>
      </c>
      <c r="R236" s="4">
        <f t="shared" si="188"/>
        <v>0.98114509762858249</v>
      </c>
      <c r="S236" s="4">
        <f t="shared" si="188"/>
        <v>0.97311898315872036</v>
      </c>
      <c r="T236" s="4">
        <f t="shared" si="188"/>
        <v>0.96177484161592774</v>
      </c>
      <c r="U236" s="4">
        <f t="shared" si="188"/>
        <v>0.94584787155511363</v>
      </c>
      <c r="V236" s="4">
        <f t="shared" si="188"/>
        <v>0.92370360150141495</v>
      </c>
      <c r="W236" s="4">
        <f t="shared" si="188"/>
        <v>0.89334463567658451</v>
      </c>
      <c r="X236" s="4">
        <f t="shared" si="188"/>
        <v>0.85254543874327005</v>
      </c>
      <c r="Y236" s="4">
        <f t="shared" si="188"/>
        <v>0.79921300652623883</v>
      </c>
      <c r="Z236" s="4">
        <f t="shared" si="188"/>
        <v>0.73204982249993378</v>
      </c>
      <c r="AA236" s="4">
        <f t="shared" si="188"/>
        <v>0.65145592958786691</v>
      </c>
      <c r="AB236" s="4">
        <f t="shared" si="188"/>
        <v>0.56032247880849573</v>
      </c>
      <c r="AC236" s="4">
        <f t="shared" si="188"/>
        <v>0.46411326873185343</v>
      </c>
      <c r="AD236" s="4">
        <f t="shared" si="188"/>
        <v>0.36979727595523937</v>
      </c>
      <c r="AE236" s="4">
        <f t="shared" si="188"/>
        <v>0.28393948637231203</v>
      </c>
      <c r="AF236" s="4">
        <f t="shared" si="188"/>
        <v>0.21097259161117732</v>
      </c>
      <c r="AG236" s="4">
        <f t="shared" si="185"/>
        <v>0.15253917653798199</v>
      </c>
      <c r="AH236" s="4">
        <f t="shared" si="185"/>
        <v>0.10795188737709993</v>
      </c>
      <c r="AI236" s="4">
        <f t="shared" si="185"/>
        <v>7.5176653938091809E-2</v>
      </c>
      <c r="AJ236" s="4">
        <f t="shared" si="186"/>
        <v>5.1742836177502194E-2</v>
      </c>
      <c r="AK236" s="4">
        <f t="shared" si="186"/>
        <v>3.5319190625345942E-2</v>
      </c>
      <c r="AL236" s="4">
        <f t="shared" si="186"/>
        <v>2.3969442072658165E-2</v>
      </c>
      <c r="AM236" s="4">
        <f t="shared" si="186"/>
        <v>1.6202243558389728E-2</v>
      </c>
      <c r="AN236" s="4">
        <f t="shared" si="186"/>
        <v>1.0922240564108399E-2</v>
      </c>
      <c r="AO236" s="4">
        <f t="shared" si="186"/>
        <v>7.3493212906090566E-3</v>
      </c>
      <c r="AP236" s="4">
        <f t="shared" si="186"/>
        <v>4.9390262185057265E-3</v>
      </c>
      <c r="AQ236" s="4">
        <f t="shared" si="186"/>
        <v>3.3164275492956197E-3</v>
      </c>
      <c r="AR236" s="4">
        <f t="shared" si="186"/>
        <v>2.2256362146679809E-3</v>
      </c>
    </row>
    <row r="237" spans="1:44" x14ac:dyDescent="0.3">
      <c r="A237" s="24" t="s">
        <v>70</v>
      </c>
      <c r="B237" s="60">
        <f>'Parameter Input'!B39</f>
        <v>10</v>
      </c>
      <c r="C237" s="61">
        <f>'Parameter Input'!C39</f>
        <v>10</v>
      </c>
      <c r="D237" s="1" t="s">
        <v>42</v>
      </c>
      <c r="L237" s="54">
        <f>'Parameter Input'!E39</f>
        <v>12</v>
      </c>
      <c r="M237" s="37">
        <v>0</v>
      </c>
      <c r="N237" s="37">
        <v>1</v>
      </c>
      <c r="O237" s="37">
        <f>'Parameter Input'!F39</f>
        <v>0.9</v>
      </c>
      <c r="P237" s="55">
        <f>'Parameter Input'!G39</f>
        <v>0.4</v>
      </c>
      <c r="Q237" s="4">
        <f t="shared" si="188"/>
        <v>0.9867978615748374</v>
      </c>
      <c r="R237" s="4">
        <f t="shared" si="188"/>
        <v>0.98114509762858249</v>
      </c>
      <c r="S237" s="4">
        <f t="shared" si="188"/>
        <v>0.97311898315872036</v>
      </c>
      <c r="T237" s="4">
        <f t="shared" si="188"/>
        <v>0.96177484161592774</v>
      </c>
      <c r="U237" s="4">
        <f t="shared" si="188"/>
        <v>0.94584787155511363</v>
      </c>
      <c r="V237" s="4">
        <f t="shared" si="188"/>
        <v>0.92370360150141495</v>
      </c>
      <c r="W237" s="4">
        <f t="shared" si="188"/>
        <v>0.89334463567658451</v>
      </c>
      <c r="X237" s="4">
        <f t="shared" si="188"/>
        <v>0.85254543874327005</v>
      </c>
      <c r="Y237" s="4">
        <f t="shared" si="188"/>
        <v>0.79921300652623883</v>
      </c>
      <c r="Z237" s="4">
        <f t="shared" si="188"/>
        <v>0.73204982249993378</v>
      </c>
      <c r="AA237" s="4">
        <f t="shared" si="188"/>
        <v>0.65145592958786691</v>
      </c>
      <c r="AB237" s="4">
        <f t="shared" si="188"/>
        <v>0.56032247880849573</v>
      </c>
      <c r="AC237" s="4">
        <f t="shared" si="188"/>
        <v>0.46411326873185343</v>
      </c>
      <c r="AD237" s="4">
        <f t="shared" si="188"/>
        <v>0.36979727595523937</v>
      </c>
      <c r="AE237" s="4">
        <f t="shared" si="188"/>
        <v>0.28393948637231203</v>
      </c>
      <c r="AF237" s="4">
        <f t="shared" si="188"/>
        <v>0.21097259161117732</v>
      </c>
      <c r="AG237" s="4">
        <f t="shared" si="185"/>
        <v>0.15253917653798199</v>
      </c>
      <c r="AH237" s="4">
        <f t="shared" si="185"/>
        <v>0.10795188737709993</v>
      </c>
      <c r="AI237" s="4">
        <f t="shared" si="185"/>
        <v>7.5176653938091809E-2</v>
      </c>
      <c r="AJ237" s="4">
        <f t="shared" si="186"/>
        <v>5.1742836177502194E-2</v>
      </c>
      <c r="AK237" s="4">
        <f t="shared" si="186"/>
        <v>3.5319190625345942E-2</v>
      </c>
      <c r="AL237" s="4">
        <f t="shared" si="186"/>
        <v>2.3969442072658165E-2</v>
      </c>
      <c r="AM237" s="4">
        <f t="shared" si="186"/>
        <v>1.6202243558389728E-2</v>
      </c>
      <c r="AN237" s="4">
        <f t="shared" si="186"/>
        <v>1.0922240564108399E-2</v>
      </c>
      <c r="AO237" s="4">
        <f t="shared" si="186"/>
        <v>7.3493212906090566E-3</v>
      </c>
      <c r="AP237" s="4">
        <f t="shared" si="186"/>
        <v>4.9390262185057265E-3</v>
      </c>
      <c r="AQ237" s="4">
        <f t="shared" si="186"/>
        <v>3.3164275492956197E-3</v>
      </c>
      <c r="AR237" s="4">
        <f t="shared" si="186"/>
        <v>2.2256362146679809E-3</v>
      </c>
    </row>
    <row r="238" spans="1:44" x14ac:dyDescent="0.3">
      <c r="A238" s="24" t="s">
        <v>207</v>
      </c>
      <c r="B238" s="43">
        <f>'Parameter Input'!B36</f>
        <v>25</v>
      </c>
      <c r="C238" s="44">
        <f>'Parameter Input'!C36</f>
        <v>25</v>
      </c>
      <c r="D238" s="1" t="s">
        <v>49</v>
      </c>
      <c r="L238" s="54">
        <f>'Parameter Input'!E36</f>
        <v>12</v>
      </c>
      <c r="M238" s="37">
        <v>0</v>
      </c>
      <c r="N238" s="37">
        <v>1</v>
      </c>
      <c r="O238" s="37">
        <f>'Parameter Input'!F36</f>
        <v>0.9</v>
      </c>
      <c r="P238" s="55">
        <f>'Parameter Input'!G36</f>
        <v>0.4</v>
      </c>
      <c r="Q238" s="4">
        <f t="shared" si="188"/>
        <v>0.9867978615748374</v>
      </c>
      <c r="R238" s="4">
        <f t="shared" si="188"/>
        <v>0.98114509762858249</v>
      </c>
      <c r="S238" s="4">
        <f t="shared" si="188"/>
        <v>0.97311898315872036</v>
      </c>
      <c r="T238" s="4">
        <f t="shared" si="188"/>
        <v>0.96177484161592774</v>
      </c>
      <c r="U238" s="4">
        <f t="shared" si="188"/>
        <v>0.94584787155511363</v>
      </c>
      <c r="V238" s="4">
        <f t="shared" si="188"/>
        <v>0.92370360150141495</v>
      </c>
      <c r="W238" s="4">
        <f t="shared" si="188"/>
        <v>0.89334463567658451</v>
      </c>
      <c r="X238" s="4">
        <f t="shared" si="188"/>
        <v>0.85254543874327005</v>
      </c>
      <c r="Y238" s="4">
        <f t="shared" si="188"/>
        <v>0.79921300652623883</v>
      </c>
      <c r="Z238" s="4">
        <f t="shared" si="188"/>
        <v>0.73204982249993378</v>
      </c>
      <c r="AA238" s="4">
        <f t="shared" si="188"/>
        <v>0.65145592958786691</v>
      </c>
      <c r="AB238" s="4">
        <f t="shared" si="188"/>
        <v>0.56032247880849573</v>
      </c>
      <c r="AC238" s="4">
        <f t="shared" si="188"/>
        <v>0.46411326873185343</v>
      </c>
      <c r="AD238" s="4">
        <f t="shared" si="188"/>
        <v>0.36979727595523937</v>
      </c>
      <c r="AE238" s="4">
        <f t="shared" si="188"/>
        <v>0.28393948637231203</v>
      </c>
      <c r="AF238" s="4">
        <f t="shared" si="188"/>
        <v>0.21097259161117732</v>
      </c>
      <c r="AG238" s="4">
        <f t="shared" si="185"/>
        <v>0.15253917653798199</v>
      </c>
      <c r="AH238" s="4">
        <f t="shared" si="185"/>
        <v>0.10795188737709993</v>
      </c>
      <c r="AI238" s="4">
        <f t="shared" si="185"/>
        <v>7.5176653938091809E-2</v>
      </c>
      <c r="AJ238" s="4">
        <f t="shared" si="186"/>
        <v>5.1742836177502194E-2</v>
      </c>
      <c r="AK238" s="4">
        <f t="shared" si="186"/>
        <v>3.5319190625345942E-2</v>
      </c>
      <c r="AL238" s="4">
        <f t="shared" si="186"/>
        <v>2.3969442072658165E-2</v>
      </c>
      <c r="AM238" s="4">
        <f t="shared" si="186"/>
        <v>1.6202243558389728E-2</v>
      </c>
      <c r="AN238" s="4">
        <f t="shared" si="186"/>
        <v>1.0922240564108399E-2</v>
      </c>
      <c r="AO238" s="4">
        <f t="shared" si="186"/>
        <v>7.3493212906090566E-3</v>
      </c>
      <c r="AP238" s="4">
        <f t="shared" si="186"/>
        <v>4.9390262185057265E-3</v>
      </c>
      <c r="AQ238" s="4">
        <f t="shared" si="186"/>
        <v>3.3164275492956197E-3</v>
      </c>
      <c r="AR238" s="4">
        <f t="shared" si="186"/>
        <v>2.2256362146679809E-3</v>
      </c>
    </row>
    <row r="239" spans="1:44" x14ac:dyDescent="0.3">
      <c r="A239" s="24" t="s">
        <v>56</v>
      </c>
      <c r="B239" s="45">
        <f>'Parameter Input'!B37</f>
        <v>0.46</v>
      </c>
      <c r="C239" s="46">
        <f>'Parameter Input'!C37</f>
        <v>0.46</v>
      </c>
      <c r="D239" s="1" t="s">
        <v>57</v>
      </c>
      <c r="L239" s="54">
        <f>'Parameter Input'!E37</f>
        <v>12</v>
      </c>
      <c r="M239" s="37">
        <v>0</v>
      </c>
      <c r="N239" s="37">
        <v>1</v>
      </c>
      <c r="O239" s="37">
        <f>'Parameter Input'!F37</f>
        <v>0.9</v>
      </c>
      <c r="P239" s="55">
        <f>'Parameter Input'!G37</f>
        <v>0.4</v>
      </c>
      <c r="Q239" s="4">
        <f t="shared" si="188"/>
        <v>0.9867978615748374</v>
      </c>
      <c r="R239" s="4">
        <f t="shared" si="188"/>
        <v>0.98114509762858249</v>
      </c>
      <c r="S239" s="4">
        <f t="shared" si="188"/>
        <v>0.97311898315872036</v>
      </c>
      <c r="T239" s="4">
        <f t="shared" si="188"/>
        <v>0.96177484161592774</v>
      </c>
      <c r="U239" s="4">
        <f t="shared" si="188"/>
        <v>0.94584787155511363</v>
      </c>
      <c r="V239" s="4">
        <f t="shared" si="188"/>
        <v>0.92370360150141495</v>
      </c>
      <c r="W239" s="4">
        <f t="shared" si="188"/>
        <v>0.89334463567658451</v>
      </c>
      <c r="X239" s="4">
        <f t="shared" si="188"/>
        <v>0.85254543874327005</v>
      </c>
      <c r="Y239" s="4">
        <f t="shared" si="188"/>
        <v>0.79921300652623883</v>
      </c>
      <c r="Z239" s="4">
        <f t="shared" si="188"/>
        <v>0.73204982249993378</v>
      </c>
      <c r="AA239" s="4">
        <f t="shared" si="188"/>
        <v>0.65145592958786691</v>
      </c>
      <c r="AB239" s="4">
        <f t="shared" si="188"/>
        <v>0.56032247880849573</v>
      </c>
      <c r="AC239" s="4">
        <f t="shared" si="188"/>
        <v>0.46411326873185343</v>
      </c>
      <c r="AD239" s="4">
        <f t="shared" si="188"/>
        <v>0.36979727595523937</v>
      </c>
      <c r="AE239" s="4">
        <f t="shared" si="188"/>
        <v>0.28393948637231203</v>
      </c>
      <c r="AF239" s="4">
        <f t="shared" si="188"/>
        <v>0.21097259161117732</v>
      </c>
      <c r="AG239" s="4">
        <f t="shared" si="185"/>
        <v>0.15253917653798199</v>
      </c>
      <c r="AH239" s="4">
        <f t="shared" si="185"/>
        <v>0.10795188737709993</v>
      </c>
      <c r="AI239" s="4">
        <f t="shared" si="185"/>
        <v>7.5176653938091809E-2</v>
      </c>
      <c r="AJ239" s="4">
        <f t="shared" si="186"/>
        <v>5.1742836177502194E-2</v>
      </c>
      <c r="AK239" s="4">
        <f t="shared" si="186"/>
        <v>3.5319190625345942E-2</v>
      </c>
      <c r="AL239" s="4">
        <f t="shared" si="186"/>
        <v>2.3969442072658165E-2</v>
      </c>
      <c r="AM239" s="4">
        <f t="shared" si="186"/>
        <v>1.6202243558389728E-2</v>
      </c>
      <c r="AN239" s="4">
        <f t="shared" si="186"/>
        <v>1.0922240564108399E-2</v>
      </c>
      <c r="AO239" s="4">
        <f t="shared" si="186"/>
        <v>7.3493212906090566E-3</v>
      </c>
      <c r="AP239" s="4">
        <f t="shared" si="186"/>
        <v>4.9390262185057265E-3</v>
      </c>
      <c r="AQ239" s="4">
        <f t="shared" si="186"/>
        <v>3.3164275492956197E-3</v>
      </c>
      <c r="AR239" s="4">
        <f t="shared" si="186"/>
        <v>2.2256362146679809E-3</v>
      </c>
    </row>
    <row r="240" spans="1:44" x14ac:dyDescent="0.3">
      <c r="A240" s="24" t="s">
        <v>73</v>
      </c>
      <c r="B240" s="45">
        <f>'Parameter Input'!L14</f>
        <v>0</v>
      </c>
      <c r="C240" s="46">
        <f>'Parameter Input'!M14</f>
        <v>0</v>
      </c>
      <c r="D240" s="1" t="s">
        <v>57</v>
      </c>
      <c r="L240" s="54">
        <f>'Parameter Input'!O14</f>
        <v>12</v>
      </c>
      <c r="M240" s="37">
        <v>0</v>
      </c>
      <c r="N240" s="37">
        <v>1</v>
      </c>
      <c r="O240" s="37">
        <f>'Parameter Input'!P14</f>
        <v>0.9</v>
      </c>
      <c r="P240" s="55">
        <f>'Parameter Input'!Q14</f>
        <v>0.4</v>
      </c>
      <c r="Q240" s="4">
        <f t="shared" si="188"/>
        <v>0.9867978615748374</v>
      </c>
      <c r="R240" s="4">
        <f t="shared" si="188"/>
        <v>0.98114509762858249</v>
      </c>
      <c r="S240" s="4">
        <f t="shared" si="188"/>
        <v>0.97311898315872036</v>
      </c>
      <c r="T240" s="4">
        <f t="shared" si="188"/>
        <v>0.96177484161592774</v>
      </c>
      <c r="U240" s="4">
        <f t="shared" si="188"/>
        <v>0.94584787155511363</v>
      </c>
      <c r="V240" s="4">
        <f t="shared" si="188"/>
        <v>0.92370360150141495</v>
      </c>
      <c r="W240" s="4">
        <f t="shared" si="188"/>
        <v>0.89334463567658451</v>
      </c>
      <c r="X240" s="4">
        <f t="shared" si="188"/>
        <v>0.85254543874327005</v>
      </c>
      <c r="Y240" s="4">
        <f t="shared" si="188"/>
        <v>0.79921300652623883</v>
      </c>
      <c r="Z240" s="4">
        <f t="shared" si="188"/>
        <v>0.73204982249993378</v>
      </c>
      <c r="AA240" s="4">
        <f t="shared" si="188"/>
        <v>0.65145592958786691</v>
      </c>
      <c r="AB240" s="4">
        <f t="shared" si="188"/>
        <v>0.56032247880849573</v>
      </c>
      <c r="AC240" s="4">
        <f t="shared" si="188"/>
        <v>0.46411326873185343</v>
      </c>
      <c r="AD240" s="4">
        <f t="shared" si="188"/>
        <v>0.36979727595523937</v>
      </c>
      <c r="AE240" s="4">
        <f t="shared" si="188"/>
        <v>0.28393948637231203</v>
      </c>
      <c r="AF240" s="4">
        <f t="shared" si="188"/>
        <v>0.21097259161117732</v>
      </c>
      <c r="AG240" s="4">
        <f t="shared" si="185"/>
        <v>0.15253917653798199</v>
      </c>
      <c r="AH240" s="4">
        <f t="shared" si="185"/>
        <v>0.10795188737709993</v>
      </c>
      <c r="AI240" s="4">
        <f t="shared" si="185"/>
        <v>7.5176653938091809E-2</v>
      </c>
      <c r="AJ240" s="4">
        <f t="shared" si="186"/>
        <v>5.1742836177502194E-2</v>
      </c>
      <c r="AK240" s="4">
        <f t="shared" si="186"/>
        <v>3.5319190625345942E-2</v>
      </c>
      <c r="AL240" s="4">
        <f t="shared" si="186"/>
        <v>2.3969442072658165E-2</v>
      </c>
      <c r="AM240" s="4">
        <f t="shared" si="186"/>
        <v>1.6202243558389728E-2</v>
      </c>
      <c r="AN240" s="4">
        <f t="shared" si="186"/>
        <v>1.0922240564108399E-2</v>
      </c>
      <c r="AO240" s="4">
        <f t="shared" si="186"/>
        <v>7.3493212906090566E-3</v>
      </c>
      <c r="AP240" s="4">
        <f t="shared" si="186"/>
        <v>4.9390262185057265E-3</v>
      </c>
      <c r="AQ240" s="4">
        <f t="shared" si="186"/>
        <v>3.3164275492956197E-3</v>
      </c>
      <c r="AR240" s="4">
        <f t="shared" si="186"/>
        <v>2.2256362146679809E-3</v>
      </c>
    </row>
    <row r="241" spans="1:44" ht="15" thickBot="1" x14ac:dyDescent="0.35">
      <c r="A241" s="24" t="s">
        <v>64</v>
      </c>
      <c r="B241" s="49">
        <f>'Parameter Input'!B38</f>
        <v>105000</v>
      </c>
      <c r="C241" s="50">
        <f>'Parameter Input'!C38</f>
        <v>105000</v>
      </c>
      <c r="D241" s="1" t="s">
        <v>65</v>
      </c>
      <c r="L241" s="56">
        <f>'Parameter Input'!E38</f>
        <v>12</v>
      </c>
      <c r="M241" s="57">
        <v>0</v>
      </c>
      <c r="N241" s="57">
        <v>1</v>
      </c>
      <c r="O241" s="57">
        <f>'Parameter Input'!F38</f>
        <v>0.9</v>
      </c>
      <c r="P241" s="58">
        <f>'Parameter Input'!G38</f>
        <v>0.4</v>
      </c>
      <c r="Q241" s="4">
        <f t="shared" si="188"/>
        <v>0.9867978615748374</v>
      </c>
      <c r="R241" s="4">
        <f t="shared" si="188"/>
        <v>0.98114509762858249</v>
      </c>
      <c r="S241" s="4">
        <f t="shared" si="188"/>
        <v>0.97311898315872036</v>
      </c>
      <c r="T241" s="4">
        <f t="shared" si="188"/>
        <v>0.96177484161592774</v>
      </c>
      <c r="U241" s="4">
        <f t="shared" si="188"/>
        <v>0.94584787155511363</v>
      </c>
      <c r="V241" s="4">
        <f t="shared" si="188"/>
        <v>0.92370360150141495</v>
      </c>
      <c r="W241" s="4">
        <f t="shared" si="188"/>
        <v>0.89334463567658451</v>
      </c>
      <c r="X241" s="4">
        <f t="shared" si="188"/>
        <v>0.85254543874327005</v>
      </c>
      <c r="Y241" s="4">
        <f t="shared" si="188"/>
        <v>0.79921300652623883</v>
      </c>
      <c r="Z241" s="4">
        <f t="shared" si="188"/>
        <v>0.73204982249993378</v>
      </c>
      <c r="AA241" s="4">
        <f t="shared" si="188"/>
        <v>0.65145592958786691</v>
      </c>
      <c r="AB241" s="4">
        <f t="shared" si="188"/>
        <v>0.56032247880849573</v>
      </c>
      <c r="AC241" s="4">
        <f t="shared" si="188"/>
        <v>0.46411326873185343</v>
      </c>
      <c r="AD241" s="4">
        <f t="shared" si="188"/>
        <v>0.36979727595523937</v>
      </c>
      <c r="AE241" s="4">
        <f t="shared" si="188"/>
        <v>0.28393948637231203</v>
      </c>
      <c r="AF241" s="4">
        <f t="shared" si="188"/>
        <v>0.21097259161117732</v>
      </c>
      <c r="AG241" s="4">
        <f t="shared" si="185"/>
        <v>0.15253917653798199</v>
      </c>
      <c r="AH241" s="4">
        <f t="shared" si="185"/>
        <v>0.10795188737709993</v>
      </c>
      <c r="AI241" s="4">
        <f t="shared" si="185"/>
        <v>7.5176653938091809E-2</v>
      </c>
      <c r="AJ241" s="4">
        <f t="shared" si="186"/>
        <v>5.1742836177502194E-2</v>
      </c>
      <c r="AK241" s="4">
        <f t="shared" si="186"/>
        <v>3.5319190625345942E-2</v>
      </c>
      <c r="AL241" s="4">
        <f t="shared" si="186"/>
        <v>2.3969442072658165E-2</v>
      </c>
      <c r="AM241" s="4">
        <f t="shared" si="186"/>
        <v>1.6202243558389728E-2</v>
      </c>
      <c r="AN241" s="4">
        <f t="shared" si="186"/>
        <v>1.0922240564108399E-2</v>
      </c>
      <c r="AO241" s="4">
        <f t="shared" si="186"/>
        <v>7.3493212906090566E-3</v>
      </c>
      <c r="AP241" s="4">
        <f t="shared" si="186"/>
        <v>4.9390262185057265E-3</v>
      </c>
      <c r="AQ241" s="4">
        <f t="shared" si="186"/>
        <v>3.3164275492956197E-3</v>
      </c>
      <c r="AR241" s="4">
        <f t="shared" si="186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9" si="189">A225</f>
        <v>Capex vehicle</v>
      </c>
      <c r="B245" s="62">
        <f t="shared" ref="B245:B253" si="190">$B225+($C225-$B225)*(1-Q225)</f>
        <v>105132.02138425162</v>
      </c>
      <c r="C245" s="62">
        <f t="shared" ref="C245:C253" si="191">$B225+($C225-$B225)*(1-R225)</f>
        <v>105188.54902371418</v>
      </c>
      <c r="D245" s="62">
        <f t="shared" ref="D245:D253" si="192">$B225+($C225-$B225)*(1-S225)</f>
        <v>105268.81016841279</v>
      </c>
      <c r="E245" s="62">
        <f t="shared" ref="E245:E253" si="193">$B225+($C225-$B225)*(1-T225)</f>
        <v>105382.25158384073</v>
      </c>
      <c r="F245" s="62">
        <f t="shared" ref="F245:F253" si="194">$B225+($C225-$B225)*(1-U225)</f>
        <v>105541.52128444887</v>
      </c>
      <c r="G245" s="62">
        <f t="shared" ref="G245:G253" si="195">$B225+($C225-$B225)*(1-V225)</f>
        <v>105762.96398498585</v>
      </c>
      <c r="H245" s="62">
        <f t="shared" ref="H245:H253" si="196">$B225+($C225-$B225)*(1-W225)</f>
        <v>106066.55364323416</v>
      </c>
      <c r="I245" s="62">
        <f t="shared" ref="I245:I253" si="197">$B225+($C225-$B225)*(1-X225)</f>
        <v>106474.54561256729</v>
      </c>
      <c r="J245" s="62">
        <f t="shared" ref="J245:J253" si="198">$B225+($C225-$B225)*(1-Y225)</f>
        <v>107007.86993473761</v>
      </c>
      <c r="K245" s="62">
        <f t="shared" ref="K245:K253" si="199">$B225+($C225-$B225)*(1-Z225)</f>
        <v>107679.50177500067</v>
      </c>
      <c r="L245" s="62">
        <f t="shared" ref="L245:L253" si="200">$B225+($C225-$B225)*(1-AA225)</f>
        <v>108485.44070412133</v>
      </c>
      <c r="M245" s="62">
        <f t="shared" ref="M245:M253" si="201">$B225+($C225-$B225)*(1-AB225)</f>
        <v>109396.77521191504</v>
      </c>
      <c r="N245" s="62">
        <f t="shared" ref="N245:N253" si="202">$B225+($C225-$B225)*(1-AC225)</f>
        <v>110358.86731268147</v>
      </c>
      <c r="O245" s="62">
        <f t="shared" ref="O245:O253" si="203">$B225+($C225-$B225)*(1-AD225)</f>
        <v>111302.02724044761</v>
      </c>
      <c r="P245" s="62">
        <f t="shared" ref="P245:P253" si="204">$B225+($C225-$B225)*(1-AE225)</f>
        <v>112160.60513627688</v>
      </c>
      <c r="Q245" s="62">
        <f t="shared" ref="Q245:Q253" si="205">$B225+($C225-$B225)*(1-AF225)</f>
        <v>112890.27408388823</v>
      </c>
      <c r="R245" s="62">
        <f t="shared" ref="R245:R253" si="206">$B225+($C225-$B225)*(1-AG225)</f>
        <v>113474.60823462019</v>
      </c>
      <c r="S245" s="62">
        <f t="shared" ref="S245:S253" si="207">$B225+($C225-$B225)*(1-AH225)</f>
        <v>113920.481126229</v>
      </c>
      <c r="T245" s="62">
        <f t="shared" ref="T245:T253" si="208">$B225+($C225-$B225)*(1-AI225)</f>
        <v>114248.23346061909</v>
      </c>
      <c r="U245" s="62">
        <f t="shared" ref="U245:U253" si="209">$B225+($C225-$B225)*(1-AJ225)</f>
        <v>114482.57163822498</v>
      </c>
      <c r="V245" s="62">
        <f t="shared" ref="V245:V253" si="210">$B225+($C225-$B225)*(1-AK225)</f>
        <v>114646.80809374654</v>
      </c>
      <c r="W245" s="62">
        <f t="shared" ref="W245:W253" si="211">$B225+($C225-$B225)*(1-AL225)</f>
        <v>114760.30557927342</v>
      </c>
      <c r="X245" s="62">
        <f t="shared" ref="X245:X253" si="212">$B225+($C225-$B225)*(1-AM225)</f>
        <v>114837.9775644161</v>
      </c>
      <c r="Y245" s="62">
        <f t="shared" ref="Y245:Y253" si="213">$B225+($C225-$B225)*(1-AN225)</f>
        <v>114890.77759435892</v>
      </c>
      <c r="Z245" s="62">
        <f t="shared" ref="Z245:Z253" si="214">$B225+($C225-$B225)*(1-AO225)</f>
        <v>114926.50678709391</v>
      </c>
      <c r="AA245" s="62">
        <f t="shared" ref="AA245:AA253" si="215">$B225+($C225-$B225)*(1-AP225)</f>
        <v>114950.60973781494</v>
      </c>
      <c r="AB245" s="62">
        <f t="shared" ref="AB245:AB253" si="216">$B225+($C225-$B225)*(1-AQ225)</f>
        <v>114966.83572450705</v>
      </c>
      <c r="AC245" s="62">
        <f t="shared" ref="AC245:AC253" si="217">$B225+($C225-$B225)*(1-AR225)</f>
        <v>114977.74363785332</v>
      </c>
    </row>
    <row r="246" spans="1:44" x14ac:dyDescent="0.3">
      <c r="A246" s="30" t="str">
        <f t="shared" si="189"/>
        <v>Residual value (vehicle)</v>
      </c>
      <c r="B246" s="62">
        <f t="shared" si="190"/>
        <v>-26131.180754173536</v>
      </c>
      <c r="C246" s="62">
        <f t="shared" si="191"/>
        <v>-26080.305878657244</v>
      </c>
      <c r="D246" s="62">
        <f t="shared" si="192"/>
        <v>-26008.070848428484</v>
      </c>
      <c r="E246" s="62">
        <f t="shared" si="193"/>
        <v>-25905.97357454335</v>
      </c>
      <c r="F246" s="62">
        <f t="shared" si="194"/>
        <v>-25762.630843996023</v>
      </c>
      <c r="G246" s="62">
        <f t="shared" si="195"/>
        <v>-25563.332413512733</v>
      </c>
      <c r="H246" s="62">
        <f t="shared" si="196"/>
        <v>-25290.101721089261</v>
      </c>
      <c r="I246" s="62">
        <f t="shared" si="197"/>
        <v>-24922.90894868943</v>
      </c>
      <c r="J246" s="62">
        <f t="shared" si="198"/>
        <v>-24442.917058736151</v>
      </c>
      <c r="K246" s="62">
        <f t="shared" si="199"/>
        <v>-23838.448402499405</v>
      </c>
      <c r="L246" s="62">
        <f t="shared" si="200"/>
        <v>-23113.103366290801</v>
      </c>
      <c r="M246" s="62">
        <f t="shared" si="201"/>
        <v>-22292.902309276462</v>
      </c>
      <c r="N246" s="62">
        <f t="shared" si="202"/>
        <v>-21427.019418586682</v>
      </c>
      <c r="O246" s="62">
        <f t="shared" si="203"/>
        <v>-20578.175483597155</v>
      </c>
      <c r="P246" s="62">
        <f t="shared" si="204"/>
        <v>-19805.455377350809</v>
      </c>
      <c r="Q246" s="62">
        <f t="shared" si="205"/>
        <v>-19148.753324500598</v>
      </c>
      <c r="R246" s="62">
        <f t="shared" si="206"/>
        <v>-18622.852588841837</v>
      </c>
      <c r="S246" s="62">
        <f t="shared" si="207"/>
        <v>-18221.5669863939</v>
      </c>
      <c r="T246" s="62">
        <f t="shared" si="208"/>
        <v>-17926.589885442827</v>
      </c>
      <c r="U246" s="62">
        <f t="shared" si="209"/>
        <v>-17715.685525597521</v>
      </c>
      <c r="V246" s="62">
        <f t="shared" si="210"/>
        <v>-17567.872715628113</v>
      </c>
      <c r="W246" s="62">
        <f t="shared" si="211"/>
        <v>-17465.724978653925</v>
      </c>
      <c r="X246" s="62">
        <f t="shared" si="212"/>
        <v>-17395.820192025509</v>
      </c>
      <c r="Y246" s="62">
        <f t="shared" si="213"/>
        <v>-17348.300165076973</v>
      </c>
      <c r="Z246" s="62">
        <f t="shared" si="214"/>
        <v>-17316.14389161548</v>
      </c>
      <c r="AA246" s="62">
        <f t="shared" si="215"/>
        <v>-17294.451235966553</v>
      </c>
      <c r="AB246" s="62">
        <f t="shared" si="216"/>
        <v>-17279.84784794366</v>
      </c>
      <c r="AC246" s="62">
        <f t="shared" si="217"/>
        <v>-17270.030725932011</v>
      </c>
    </row>
    <row r="247" spans="1:44" x14ac:dyDescent="0.3">
      <c r="A247" s="30" t="str">
        <f t="shared" si="189"/>
        <v>Capex costumization</v>
      </c>
      <c r="B247" s="62">
        <f t="shared" si="190"/>
        <v>30000</v>
      </c>
      <c r="C247" s="62">
        <f t="shared" si="191"/>
        <v>30000</v>
      </c>
      <c r="D247" s="62">
        <f t="shared" si="192"/>
        <v>30000</v>
      </c>
      <c r="E247" s="62">
        <f t="shared" si="193"/>
        <v>30000</v>
      </c>
      <c r="F247" s="62">
        <f t="shared" si="194"/>
        <v>30000</v>
      </c>
      <c r="G247" s="62">
        <f t="shared" si="195"/>
        <v>30000</v>
      </c>
      <c r="H247" s="62">
        <f t="shared" si="196"/>
        <v>30000</v>
      </c>
      <c r="I247" s="62">
        <f t="shared" si="197"/>
        <v>30000</v>
      </c>
      <c r="J247" s="62">
        <f t="shared" si="198"/>
        <v>30000</v>
      </c>
      <c r="K247" s="62">
        <f t="shared" si="199"/>
        <v>30000</v>
      </c>
      <c r="L247" s="62">
        <f t="shared" si="200"/>
        <v>30000</v>
      </c>
      <c r="M247" s="62">
        <f t="shared" si="201"/>
        <v>30000</v>
      </c>
      <c r="N247" s="62">
        <f t="shared" si="202"/>
        <v>30000</v>
      </c>
      <c r="O247" s="62">
        <f t="shared" si="203"/>
        <v>30000</v>
      </c>
      <c r="P247" s="62">
        <f t="shared" si="204"/>
        <v>30000</v>
      </c>
      <c r="Q247" s="62">
        <f t="shared" si="205"/>
        <v>30000</v>
      </c>
      <c r="R247" s="62">
        <f t="shared" si="206"/>
        <v>30000</v>
      </c>
      <c r="S247" s="62">
        <f t="shared" si="207"/>
        <v>30000</v>
      </c>
      <c r="T247" s="62">
        <f t="shared" si="208"/>
        <v>30000</v>
      </c>
      <c r="U247" s="62">
        <f t="shared" si="209"/>
        <v>30000</v>
      </c>
      <c r="V247" s="62">
        <f t="shared" si="210"/>
        <v>30000</v>
      </c>
      <c r="W247" s="62">
        <f t="shared" si="211"/>
        <v>30000</v>
      </c>
      <c r="X247" s="62">
        <f t="shared" si="212"/>
        <v>30000</v>
      </c>
      <c r="Y247" s="62">
        <f t="shared" si="213"/>
        <v>30000</v>
      </c>
      <c r="Z247" s="62">
        <f t="shared" si="214"/>
        <v>30000</v>
      </c>
      <c r="AA247" s="62">
        <f t="shared" si="215"/>
        <v>30000</v>
      </c>
      <c r="AB247" s="62">
        <f t="shared" si="216"/>
        <v>30000</v>
      </c>
      <c r="AC247" s="62">
        <f t="shared" si="217"/>
        <v>30000</v>
      </c>
    </row>
    <row r="248" spans="1:44" x14ac:dyDescent="0.3">
      <c r="A248" s="30" t="str">
        <f t="shared" si="189"/>
        <v>Residual value (costumization)</v>
      </c>
      <c r="B248" s="62">
        <f t="shared" si="190"/>
        <v>-7500</v>
      </c>
      <c r="C248" s="62">
        <f t="shared" si="191"/>
        <v>-7500</v>
      </c>
      <c r="D248" s="62">
        <f t="shared" si="192"/>
        <v>-7500</v>
      </c>
      <c r="E248" s="62">
        <f t="shared" si="193"/>
        <v>-7500</v>
      </c>
      <c r="F248" s="62">
        <f t="shared" si="194"/>
        <v>-7500</v>
      </c>
      <c r="G248" s="62">
        <f t="shared" si="195"/>
        <v>-7500</v>
      </c>
      <c r="H248" s="62">
        <f t="shared" si="196"/>
        <v>-7500</v>
      </c>
      <c r="I248" s="62">
        <f t="shared" si="197"/>
        <v>-7500</v>
      </c>
      <c r="J248" s="62">
        <f t="shared" si="198"/>
        <v>-7500</v>
      </c>
      <c r="K248" s="62">
        <f t="shared" si="199"/>
        <v>-7500</v>
      </c>
      <c r="L248" s="62">
        <f t="shared" si="200"/>
        <v>-7500</v>
      </c>
      <c r="M248" s="62">
        <f t="shared" si="201"/>
        <v>-7500</v>
      </c>
      <c r="N248" s="62">
        <f t="shared" si="202"/>
        <v>-7500</v>
      </c>
      <c r="O248" s="62">
        <f t="shared" si="203"/>
        <v>-7500</v>
      </c>
      <c r="P248" s="62">
        <f t="shared" si="204"/>
        <v>-7500</v>
      </c>
      <c r="Q248" s="62">
        <f t="shared" si="205"/>
        <v>-7500</v>
      </c>
      <c r="R248" s="62">
        <f t="shared" si="206"/>
        <v>-7500</v>
      </c>
      <c r="S248" s="62">
        <f t="shared" si="207"/>
        <v>-7500</v>
      </c>
      <c r="T248" s="62">
        <f t="shared" si="208"/>
        <v>-7500</v>
      </c>
      <c r="U248" s="62">
        <f t="shared" si="209"/>
        <v>-7500</v>
      </c>
      <c r="V248" s="62">
        <f t="shared" si="210"/>
        <v>-7500</v>
      </c>
      <c r="W248" s="62">
        <f t="shared" si="211"/>
        <v>-7500</v>
      </c>
      <c r="X248" s="62">
        <f t="shared" si="212"/>
        <v>-7500</v>
      </c>
      <c r="Y248" s="62">
        <f t="shared" si="213"/>
        <v>-7500</v>
      </c>
      <c r="Z248" s="62">
        <f t="shared" si="214"/>
        <v>-7500</v>
      </c>
      <c r="AA248" s="62">
        <f t="shared" si="215"/>
        <v>-7500</v>
      </c>
      <c r="AB248" s="62">
        <f t="shared" si="216"/>
        <v>-7500</v>
      </c>
      <c r="AC248" s="62">
        <f t="shared" si="217"/>
        <v>-7500</v>
      </c>
    </row>
    <row r="249" spans="1:44" x14ac:dyDescent="0.3">
      <c r="A249" s="30" t="str">
        <f t="shared" si="189"/>
        <v>WACC</v>
      </c>
      <c r="B249" s="62">
        <f t="shared" si="190"/>
        <v>0.06</v>
      </c>
      <c r="C249" s="62">
        <f t="shared" si="191"/>
        <v>0.06</v>
      </c>
      <c r="D249" s="62">
        <f t="shared" si="192"/>
        <v>0.06</v>
      </c>
      <c r="E249" s="62">
        <f t="shared" si="193"/>
        <v>0.06</v>
      </c>
      <c r="F249" s="62">
        <f t="shared" si="194"/>
        <v>0.06</v>
      </c>
      <c r="G249" s="62">
        <f t="shared" si="195"/>
        <v>0.06</v>
      </c>
      <c r="H249" s="62">
        <f t="shared" si="196"/>
        <v>0.06</v>
      </c>
      <c r="I249" s="62">
        <f t="shared" si="197"/>
        <v>0.06</v>
      </c>
      <c r="J249" s="62">
        <f t="shared" si="198"/>
        <v>0.06</v>
      </c>
      <c r="K249" s="62">
        <f t="shared" si="199"/>
        <v>0.06</v>
      </c>
      <c r="L249" s="62">
        <f t="shared" si="200"/>
        <v>0.06</v>
      </c>
      <c r="M249" s="62">
        <f t="shared" si="201"/>
        <v>0.06</v>
      </c>
      <c r="N249" s="62">
        <f t="shared" si="202"/>
        <v>0.06</v>
      </c>
      <c r="O249" s="62">
        <f t="shared" si="203"/>
        <v>0.06</v>
      </c>
      <c r="P249" s="62">
        <f t="shared" si="204"/>
        <v>0.06</v>
      </c>
      <c r="Q249" s="62">
        <f t="shared" si="205"/>
        <v>0.06</v>
      </c>
      <c r="R249" s="62">
        <f t="shared" si="206"/>
        <v>0.06</v>
      </c>
      <c r="S249" s="62">
        <f t="shared" si="207"/>
        <v>0.06</v>
      </c>
      <c r="T249" s="62">
        <f t="shared" si="208"/>
        <v>0.06</v>
      </c>
      <c r="U249" s="62">
        <f t="shared" si="209"/>
        <v>0.06</v>
      </c>
      <c r="V249" s="62">
        <f t="shared" si="210"/>
        <v>0.06</v>
      </c>
      <c r="W249" s="62">
        <f t="shared" si="211"/>
        <v>0.06</v>
      </c>
      <c r="X249" s="62">
        <f t="shared" si="212"/>
        <v>0.06</v>
      </c>
      <c r="Y249" s="62">
        <f t="shared" si="213"/>
        <v>0.06</v>
      </c>
      <c r="Z249" s="62">
        <f t="shared" si="214"/>
        <v>0.06</v>
      </c>
      <c r="AA249" s="62">
        <f t="shared" si="215"/>
        <v>0.06</v>
      </c>
      <c r="AB249" s="62">
        <f t="shared" si="216"/>
        <v>0.06</v>
      </c>
      <c r="AC249" s="62">
        <f t="shared" si="217"/>
        <v>0.06</v>
      </c>
    </row>
    <row r="250" spans="1:44" x14ac:dyDescent="0.3">
      <c r="A250" s="30" t="str">
        <f t="shared" si="189"/>
        <v>Opex fix (admin, crew, insurance)</v>
      </c>
      <c r="B250" s="62">
        <f t="shared" si="190"/>
        <v>70000</v>
      </c>
      <c r="C250" s="62">
        <f t="shared" si="191"/>
        <v>70000</v>
      </c>
      <c r="D250" s="62">
        <f t="shared" si="192"/>
        <v>70000</v>
      </c>
      <c r="E250" s="62">
        <f t="shared" si="193"/>
        <v>70000</v>
      </c>
      <c r="F250" s="62">
        <f t="shared" si="194"/>
        <v>70000</v>
      </c>
      <c r="G250" s="62">
        <f t="shared" si="195"/>
        <v>70000</v>
      </c>
      <c r="H250" s="62">
        <f t="shared" si="196"/>
        <v>70000</v>
      </c>
      <c r="I250" s="62">
        <f t="shared" si="197"/>
        <v>70000</v>
      </c>
      <c r="J250" s="62">
        <f t="shared" si="198"/>
        <v>70000</v>
      </c>
      <c r="K250" s="62">
        <f t="shared" si="199"/>
        <v>70000</v>
      </c>
      <c r="L250" s="62">
        <f t="shared" si="200"/>
        <v>70000</v>
      </c>
      <c r="M250" s="62">
        <f t="shared" si="201"/>
        <v>70000</v>
      </c>
      <c r="N250" s="62">
        <f t="shared" si="202"/>
        <v>70000</v>
      </c>
      <c r="O250" s="62">
        <f t="shared" si="203"/>
        <v>70000</v>
      </c>
      <c r="P250" s="62">
        <f t="shared" si="204"/>
        <v>70000</v>
      </c>
      <c r="Q250" s="62">
        <f t="shared" si="205"/>
        <v>70000</v>
      </c>
      <c r="R250" s="62">
        <f t="shared" si="206"/>
        <v>70000</v>
      </c>
      <c r="S250" s="62">
        <f t="shared" si="207"/>
        <v>70000</v>
      </c>
      <c r="T250" s="62">
        <f t="shared" si="208"/>
        <v>70000</v>
      </c>
      <c r="U250" s="62">
        <f t="shared" si="209"/>
        <v>70000</v>
      </c>
      <c r="V250" s="62">
        <f t="shared" si="210"/>
        <v>70000</v>
      </c>
      <c r="W250" s="62">
        <f t="shared" si="211"/>
        <v>70000</v>
      </c>
      <c r="X250" s="62">
        <f t="shared" si="212"/>
        <v>70000</v>
      </c>
      <c r="Y250" s="62">
        <f t="shared" si="213"/>
        <v>70000</v>
      </c>
      <c r="Z250" s="62">
        <f t="shared" si="214"/>
        <v>70000</v>
      </c>
      <c r="AA250" s="62">
        <f t="shared" si="215"/>
        <v>70000</v>
      </c>
      <c r="AB250" s="62">
        <f t="shared" si="216"/>
        <v>70000</v>
      </c>
      <c r="AC250" s="62">
        <f t="shared" si="217"/>
        <v>70000</v>
      </c>
    </row>
    <row r="251" spans="1:44" x14ac:dyDescent="0.3">
      <c r="A251" s="30" t="str">
        <f t="shared" si="189"/>
        <v>Opex maintenance &amp; repair</v>
      </c>
      <c r="B251" s="62">
        <f t="shared" si="190"/>
        <v>20000</v>
      </c>
      <c r="C251" s="62">
        <f t="shared" si="191"/>
        <v>20000</v>
      </c>
      <c r="D251" s="62">
        <f t="shared" si="192"/>
        <v>20000</v>
      </c>
      <c r="E251" s="62">
        <f t="shared" si="193"/>
        <v>20000</v>
      </c>
      <c r="F251" s="62">
        <f t="shared" si="194"/>
        <v>20000</v>
      </c>
      <c r="G251" s="62">
        <f t="shared" si="195"/>
        <v>20000</v>
      </c>
      <c r="H251" s="62">
        <f t="shared" si="196"/>
        <v>20000</v>
      </c>
      <c r="I251" s="62">
        <f t="shared" si="197"/>
        <v>20000</v>
      </c>
      <c r="J251" s="62">
        <f t="shared" si="198"/>
        <v>20000</v>
      </c>
      <c r="K251" s="62">
        <f t="shared" si="199"/>
        <v>20000</v>
      </c>
      <c r="L251" s="62">
        <f t="shared" si="200"/>
        <v>20000</v>
      </c>
      <c r="M251" s="62">
        <f t="shared" si="201"/>
        <v>20000</v>
      </c>
      <c r="N251" s="62">
        <f t="shared" si="202"/>
        <v>20000</v>
      </c>
      <c r="O251" s="62">
        <f t="shared" si="203"/>
        <v>20000</v>
      </c>
      <c r="P251" s="62">
        <f t="shared" si="204"/>
        <v>20000</v>
      </c>
      <c r="Q251" s="62">
        <f t="shared" si="205"/>
        <v>20000</v>
      </c>
      <c r="R251" s="62">
        <f t="shared" si="206"/>
        <v>20000</v>
      </c>
      <c r="S251" s="62">
        <f t="shared" si="207"/>
        <v>20000</v>
      </c>
      <c r="T251" s="62">
        <f t="shared" si="208"/>
        <v>20000</v>
      </c>
      <c r="U251" s="62">
        <f t="shared" si="209"/>
        <v>20000</v>
      </c>
      <c r="V251" s="62">
        <f t="shared" si="210"/>
        <v>20000</v>
      </c>
      <c r="W251" s="62">
        <f t="shared" si="211"/>
        <v>20000</v>
      </c>
      <c r="X251" s="62">
        <f t="shared" si="212"/>
        <v>20000</v>
      </c>
      <c r="Y251" s="62">
        <f t="shared" si="213"/>
        <v>20000</v>
      </c>
      <c r="Z251" s="62">
        <f t="shared" si="214"/>
        <v>20000</v>
      </c>
      <c r="AA251" s="62">
        <f t="shared" si="215"/>
        <v>20000</v>
      </c>
      <c r="AB251" s="62">
        <f t="shared" si="216"/>
        <v>20000</v>
      </c>
      <c r="AC251" s="62">
        <f t="shared" si="217"/>
        <v>20000</v>
      </c>
    </row>
    <row r="252" spans="1:44" x14ac:dyDescent="0.3">
      <c r="A252" s="30" t="str">
        <f t="shared" si="189"/>
        <v>Opex var (mode-fees)</v>
      </c>
      <c r="B252" s="62">
        <f t="shared" si="190"/>
        <v>0.11</v>
      </c>
      <c r="C252" s="62">
        <f t="shared" si="191"/>
        <v>0.11</v>
      </c>
      <c r="D252" s="62">
        <f t="shared" si="192"/>
        <v>0.11</v>
      </c>
      <c r="E252" s="62">
        <f t="shared" si="193"/>
        <v>0.11</v>
      </c>
      <c r="F252" s="62">
        <f t="shared" si="194"/>
        <v>0.11</v>
      </c>
      <c r="G252" s="62">
        <f t="shared" si="195"/>
        <v>0.11</v>
      </c>
      <c r="H252" s="62">
        <f t="shared" si="196"/>
        <v>0.11</v>
      </c>
      <c r="I252" s="62">
        <f t="shared" si="197"/>
        <v>0.11</v>
      </c>
      <c r="J252" s="62">
        <f t="shared" si="198"/>
        <v>0.11</v>
      </c>
      <c r="K252" s="62">
        <f t="shared" si="199"/>
        <v>0.11</v>
      </c>
      <c r="L252" s="62">
        <f t="shared" si="200"/>
        <v>0.11</v>
      </c>
      <c r="M252" s="62">
        <f t="shared" si="201"/>
        <v>0.11</v>
      </c>
      <c r="N252" s="62">
        <f t="shared" si="202"/>
        <v>0.11</v>
      </c>
      <c r="O252" s="62">
        <f t="shared" si="203"/>
        <v>0.11</v>
      </c>
      <c r="P252" s="62">
        <f t="shared" si="204"/>
        <v>0.11</v>
      </c>
      <c r="Q252" s="62">
        <f t="shared" si="205"/>
        <v>0.11</v>
      </c>
      <c r="R252" s="62">
        <f t="shared" si="206"/>
        <v>0.11</v>
      </c>
      <c r="S252" s="62">
        <f t="shared" si="207"/>
        <v>0.11</v>
      </c>
      <c r="T252" s="62">
        <f t="shared" si="208"/>
        <v>0.11</v>
      </c>
      <c r="U252" s="62">
        <f t="shared" si="209"/>
        <v>0.11</v>
      </c>
      <c r="V252" s="62">
        <f t="shared" si="210"/>
        <v>0.11</v>
      </c>
      <c r="W252" s="62">
        <f t="shared" si="211"/>
        <v>0.11</v>
      </c>
      <c r="X252" s="62">
        <f t="shared" si="212"/>
        <v>0.11</v>
      </c>
      <c r="Y252" s="62">
        <f t="shared" si="213"/>
        <v>0.11</v>
      </c>
      <c r="Z252" s="62">
        <f t="shared" si="214"/>
        <v>0.11</v>
      </c>
      <c r="AA252" s="62">
        <f t="shared" si="215"/>
        <v>0.11</v>
      </c>
      <c r="AB252" s="62">
        <f t="shared" si="216"/>
        <v>0.11</v>
      </c>
      <c r="AC252" s="62">
        <f t="shared" si="217"/>
        <v>0.11</v>
      </c>
    </row>
    <row r="253" spans="1:44" x14ac:dyDescent="0.3">
      <c r="A253" s="30" t="str">
        <f t="shared" si="189"/>
        <v>Fuel Economy</v>
      </c>
      <c r="B253" s="62">
        <f t="shared" si="190"/>
        <v>2.8933989307874186</v>
      </c>
      <c r="C253" s="62">
        <f t="shared" si="191"/>
        <v>2.890572548814291</v>
      </c>
      <c r="D253" s="62">
        <f t="shared" si="192"/>
        <v>2.88655949157936</v>
      </c>
      <c r="E253" s="62">
        <f t="shared" si="193"/>
        <v>2.880887420807964</v>
      </c>
      <c r="F253" s="62">
        <f t="shared" si="194"/>
        <v>2.8729239357775569</v>
      </c>
      <c r="G253" s="62">
        <f t="shared" si="195"/>
        <v>2.8618518007507072</v>
      </c>
      <c r="H253" s="62">
        <f t="shared" si="196"/>
        <v>2.846672317838292</v>
      </c>
      <c r="I253" s="62">
        <f t="shared" si="197"/>
        <v>2.826272719371635</v>
      </c>
      <c r="J253" s="62">
        <f t="shared" si="198"/>
        <v>2.7996065032631194</v>
      </c>
      <c r="K253" s="62">
        <f t="shared" si="199"/>
        <v>2.7660249112499669</v>
      </c>
      <c r="L253" s="62">
        <f t="shared" si="200"/>
        <v>2.7257279647939332</v>
      </c>
      <c r="M253" s="62">
        <f t="shared" si="201"/>
        <v>2.6801612394042476</v>
      </c>
      <c r="N253" s="62">
        <f t="shared" si="202"/>
        <v>2.6320566343659264</v>
      </c>
      <c r="O253" s="62">
        <f t="shared" si="203"/>
        <v>2.5848986379776195</v>
      </c>
      <c r="P253" s="62">
        <f t="shared" si="204"/>
        <v>2.5419697431861561</v>
      </c>
      <c r="Q253" s="62">
        <f t="shared" si="205"/>
        <v>2.5054862958055883</v>
      </c>
      <c r="R253" s="62">
        <f t="shared" si="206"/>
        <v>2.4762695882689911</v>
      </c>
      <c r="S253" s="62">
        <f t="shared" si="207"/>
        <v>2.4539759436885498</v>
      </c>
      <c r="T253" s="62">
        <f t="shared" si="208"/>
        <v>2.4375883269690459</v>
      </c>
      <c r="U253" s="62">
        <f t="shared" si="209"/>
        <v>2.4258714180887511</v>
      </c>
      <c r="V253" s="62">
        <f t="shared" si="210"/>
        <v>2.4176595953126729</v>
      </c>
      <c r="W253" s="62">
        <f t="shared" si="211"/>
        <v>2.4119847210363288</v>
      </c>
      <c r="X253" s="62">
        <f t="shared" si="212"/>
        <v>2.408101121779195</v>
      </c>
      <c r="Y253" s="62">
        <f t="shared" si="213"/>
        <v>2.4054611202820539</v>
      </c>
      <c r="Z253" s="62">
        <f t="shared" si="214"/>
        <v>2.4036746606453043</v>
      </c>
      <c r="AA253" s="62">
        <f t="shared" si="215"/>
        <v>2.4024695131092528</v>
      </c>
      <c r="AB253" s="62">
        <f t="shared" si="216"/>
        <v>2.4016582137746476</v>
      </c>
      <c r="AC253" s="62">
        <f t="shared" si="217"/>
        <v>2.4011128181073338</v>
      </c>
    </row>
    <row r="254" spans="1:44" x14ac:dyDescent="0.3">
      <c r="A254" s="30" t="str">
        <f t="shared" si="189"/>
        <v>Fuel Cost</v>
      </c>
      <c r="B254" s="66">
        <f>$B234+($C234-$B234)*(1-Q234)</f>
        <v>0.1</v>
      </c>
      <c r="C254" s="66">
        <f t="shared" ref="C254:AC254" si="218">$B234+($C234-$B234)*(1-R234)</f>
        <v>0.1</v>
      </c>
      <c r="D254" s="66">
        <f t="shared" si="218"/>
        <v>0.1</v>
      </c>
      <c r="E254" s="66">
        <f t="shared" si="218"/>
        <v>0.1</v>
      </c>
      <c r="F254" s="66">
        <f t="shared" si="218"/>
        <v>0.1</v>
      </c>
      <c r="G254" s="66">
        <f t="shared" si="218"/>
        <v>0.1</v>
      </c>
      <c r="H254" s="66">
        <f t="shared" si="218"/>
        <v>0.1</v>
      </c>
      <c r="I254" s="66">
        <f t="shared" si="218"/>
        <v>0.1</v>
      </c>
      <c r="J254" s="66">
        <f t="shared" si="218"/>
        <v>0.1</v>
      </c>
      <c r="K254" s="66">
        <f t="shared" si="218"/>
        <v>0.1</v>
      </c>
      <c r="L254" s="66">
        <f t="shared" si="218"/>
        <v>0.1</v>
      </c>
      <c r="M254" s="66">
        <f t="shared" si="218"/>
        <v>0.1</v>
      </c>
      <c r="N254" s="66">
        <f t="shared" si="218"/>
        <v>0.1</v>
      </c>
      <c r="O254" s="66">
        <f t="shared" si="218"/>
        <v>0.1</v>
      </c>
      <c r="P254" s="66">
        <f t="shared" si="218"/>
        <v>0.1</v>
      </c>
      <c r="Q254" s="66">
        <f t="shared" si="218"/>
        <v>0.1</v>
      </c>
      <c r="R254" s="66">
        <f t="shared" si="218"/>
        <v>0.1</v>
      </c>
      <c r="S254" s="66">
        <f t="shared" si="218"/>
        <v>0.1</v>
      </c>
      <c r="T254" s="66">
        <f t="shared" si="218"/>
        <v>0.1</v>
      </c>
      <c r="U254" s="66">
        <f t="shared" si="218"/>
        <v>0.1</v>
      </c>
      <c r="V254" s="66">
        <f t="shared" si="218"/>
        <v>0.1</v>
      </c>
      <c r="W254" s="66">
        <f t="shared" si="218"/>
        <v>0.1</v>
      </c>
      <c r="X254" s="66">
        <f t="shared" si="218"/>
        <v>0.1</v>
      </c>
      <c r="Y254" s="66">
        <f t="shared" si="218"/>
        <v>0.1</v>
      </c>
      <c r="Z254" s="66">
        <f t="shared" si="218"/>
        <v>0.1</v>
      </c>
      <c r="AA254" s="66">
        <f t="shared" si="218"/>
        <v>0.1</v>
      </c>
      <c r="AB254" s="66">
        <f t="shared" si="218"/>
        <v>0.1</v>
      </c>
      <c r="AC254" s="66">
        <f t="shared" si="218"/>
        <v>0.1</v>
      </c>
    </row>
    <row r="255" spans="1:44" x14ac:dyDescent="0.3">
      <c r="A255" s="30" t="str">
        <f t="shared" si="189"/>
        <v>Emission Cost</v>
      </c>
      <c r="B255" s="66">
        <f>$B235+($C235-$B235)*(1-Q235)</f>
        <v>7.7639122778339092E-2</v>
      </c>
      <c r="C255" s="66">
        <f t="shared" ref="C255:AC255" si="219">$B235+($C235-$B235)*(1-R235)</f>
        <v>7.777844914537467E-2</v>
      </c>
      <c r="D255" s="66">
        <f t="shared" si="219"/>
        <v>7.7977891736541474E-2</v>
      </c>
      <c r="E255" s="66">
        <f t="shared" si="219"/>
        <v>7.8263208388635597E-2</v>
      </c>
      <c r="F255" s="66">
        <f t="shared" si="219"/>
        <v>7.8670988842723152E-2</v>
      </c>
      <c r="G255" s="66">
        <f t="shared" si="219"/>
        <v>7.925297967571665E-2</v>
      </c>
      <c r="H255" s="66">
        <f t="shared" si="219"/>
        <v>8.0081877399879431E-2</v>
      </c>
      <c r="I255" s="66">
        <f t="shared" si="219"/>
        <v>8.1258793344219593E-2</v>
      </c>
      <c r="J255" s="66">
        <f t="shared" si="219"/>
        <v>8.2922250937142977E-2</v>
      </c>
      <c r="K255" s="66">
        <f t="shared" si="219"/>
        <v>8.5257715386346467E-2</v>
      </c>
      <c r="L255" s="66">
        <f t="shared" si="219"/>
        <v>8.8504858770587308E-2</v>
      </c>
      <c r="M255" s="66">
        <f t="shared" si="219"/>
        <v>9.2956570874505887E-2</v>
      </c>
      <c r="N255" s="66">
        <f t="shared" si="219"/>
        <v>9.8939194915988959E-2</v>
      </c>
      <c r="O255" s="66">
        <f t="shared" si="219"/>
        <v>0.10675964029617348</v>
      </c>
      <c r="P255" s="66">
        <f t="shared" si="219"/>
        <v>0.11660816942568256</v>
      </c>
      <c r="Q255" s="66">
        <f t="shared" si="219"/>
        <v>0.12842612167902054</v>
      </c>
      <c r="R255" s="66">
        <f t="shared" si="219"/>
        <v>0.14178955073148763</v>
      </c>
      <c r="S255" s="66">
        <f t="shared" si="219"/>
        <v>0.15589726795340736</v>
      </c>
      <c r="T255" s="66">
        <f t="shared" si="219"/>
        <v>0.16972737168814467</v>
      </c>
      <c r="U255" s="66">
        <f t="shared" si="219"/>
        <v>0.18231719979056973</v>
      </c>
      <c r="V255" s="66">
        <f t="shared" si="219"/>
        <v>0.19301676085163266</v>
      </c>
      <c r="W255" s="66">
        <f t="shared" si="219"/>
        <v>0.20158519307872402</v>
      </c>
      <c r="X255" s="66">
        <f t="shared" si="219"/>
        <v>0.20812328716215528</v>
      </c>
      <c r="Y255" s="66">
        <f t="shared" si="219"/>
        <v>0.21292931066938076</v>
      </c>
      <c r="Z255" s="66">
        <f t="shared" si="219"/>
        <v>0.21636554794991802</v>
      </c>
      <c r="AA255" s="66">
        <f t="shared" si="219"/>
        <v>0.21877384282125395</v>
      </c>
      <c r="AB255" s="66">
        <f t="shared" si="219"/>
        <v>0.22043812260271833</v>
      </c>
      <c r="AC255" s="66">
        <f t="shared" si="219"/>
        <v>0.22157707219141698</v>
      </c>
    </row>
    <row r="256" spans="1:44" x14ac:dyDescent="0.3">
      <c r="A256" s="30" t="str">
        <f t="shared" si="189"/>
        <v>Lifetime vehicle</v>
      </c>
      <c r="B256" s="62">
        <f>$B236+($C236-$B236)*(1-Q236)</f>
        <v>8</v>
      </c>
      <c r="C256" s="62">
        <f t="shared" ref="C256:L258" si="220">$B236+($C236-$B236)*(1-R236)</f>
        <v>8</v>
      </c>
      <c r="D256" s="62">
        <f t="shared" si="220"/>
        <v>8</v>
      </c>
      <c r="E256" s="62">
        <f t="shared" si="220"/>
        <v>8</v>
      </c>
      <c r="F256" s="62">
        <f t="shared" si="220"/>
        <v>8</v>
      </c>
      <c r="G256" s="62">
        <f t="shared" si="220"/>
        <v>8</v>
      </c>
      <c r="H256" s="62">
        <f t="shared" si="220"/>
        <v>8</v>
      </c>
      <c r="I256" s="62">
        <f t="shared" si="220"/>
        <v>8</v>
      </c>
      <c r="J256" s="62">
        <f t="shared" si="220"/>
        <v>8</v>
      </c>
      <c r="K256" s="62">
        <f t="shared" si="220"/>
        <v>8</v>
      </c>
      <c r="L256" s="62">
        <f t="shared" si="220"/>
        <v>8</v>
      </c>
      <c r="M256" s="62">
        <f t="shared" ref="M256:V258" si="221">$B236+($C236-$B236)*(1-AB236)</f>
        <v>8</v>
      </c>
      <c r="N256" s="62">
        <f t="shared" si="221"/>
        <v>8</v>
      </c>
      <c r="O256" s="62">
        <f t="shared" si="221"/>
        <v>8</v>
      </c>
      <c r="P256" s="62">
        <f t="shared" si="221"/>
        <v>8</v>
      </c>
      <c r="Q256" s="62">
        <f t="shared" si="221"/>
        <v>8</v>
      </c>
      <c r="R256" s="62">
        <f t="shared" si="221"/>
        <v>8</v>
      </c>
      <c r="S256" s="62">
        <f t="shared" si="221"/>
        <v>8</v>
      </c>
      <c r="T256" s="62">
        <f t="shared" si="221"/>
        <v>8</v>
      </c>
      <c r="U256" s="62">
        <f t="shared" si="221"/>
        <v>8</v>
      </c>
      <c r="V256" s="62">
        <f t="shared" si="221"/>
        <v>8</v>
      </c>
      <c r="W256" s="62">
        <f t="shared" ref="W256:AC258" si="222">$B236+($C236-$B236)*(1-AL236)</f>
        <v>8</v>
      </c>
      <c r="X256" s="62">
        <f t="shared" si="222"/>
        <v>8</v>
      </c>
      <c r="Y256" s="62">
        <f t="shared" si="222"/>
        <v>8</v>
      </c>
      <c r="Z256" s="62">
        <f t="shared" si="222"/>
        <v>8</v>
      </c>
      <c r="AA256" s="62">
        <f t="shared" si="222"/>
        <v>8</v>
      </c>
      <c r="AB256" s="62">
        <f t="shared" si="222"/>
        <v>8</v>
      </c>
      <c r="AC256" s="62">
        <f t="shared" si="222"/>
        <v>8</v>
      </c>
    </row>
    <row r="257" spans="1:29" x14ac:dyDescent="0.3">
      <c r="A257" s="30" t="str">
        <f t="shared" si="189"/>
        <v>Lifetime costumization</v>
      </c>
      <c r="B257" s="62">
        <f>$B237+($C237-$B237)*(1-Q237)</f>
        <v>10</v>
      </c>
      <c r="C257" s="62">
        <f t="shared" si="220"/>
        <v>10</v>
      </c>
      <c r="D257" s="62">
        <f t="shared" si="220"/>
        <v>10</v>
      </c>
      <c r="E257" s="62">
        <f t="shared" si="220"/>
        <v>10</v>
      </c>
      <c r="F257" s="62">
        <f t="shared" si="220"/>
        <v>10</v>
      </c>
      <c r="G257" s="62">
        <f t="shared" si="220"/>
        <v>10</v>
      </c>
      <c r="H257" s="62">
        <f t="shared" si="220"/>
        <v>10</v>
      </c>
      <c r="I257" s="62">
        <f t="shared" si="220"/>
        <v>10</v>
      </c>
      <c r="J257" s="62">
        <f t="shared" si="220"/>
        <v>10</v>
      </c>
      <c r="K257" s="62">
        <f t="shared" si="220"/>
        <v>10</v>
      </c>
      <c r="L257" s="62">
        <f t="shared" si="220"/>
        <v>10</v>
      </c>
      <c r="M257" s="62">
        <f t="shared" si="221"/>
        <v>10</v>
      </c>
      <c r="N257" s="62">
        <f t="shared" si="221"/>
        <v>10</v>
      </c>
      <c r="O257" s="62">
        <f t="shared" si="221"/>
        <v>10</v>
      </c>
      <c r="P257" s="62">
        <f t="shared" si="221"/>
        <v>10</v>
      </c>
      <c r="Q257" s="62">
        <f t="shared" si="221"/>
        <v>10</v>
      </c>
      <c r="R257" s="62">
        <f t="shared" si="221"/>
        <v>10</v>
      </c>
      <c r="S257" s="62">
        <f t="shared" si="221"/>
        <v>10</v>
      </c>
      <c r="T257" s="62">
        <f t="shared" si="221"/>
        <v>10</v>
      </c>
      <c r="U257" s="62">
        <f t="shared" si="221"/>
        <v>10</v>
      </c>
      <c r="V257" s="62">
        <f t="shared" si="221"/>
        <v>10</v>
      </c>
      <c r="W257" s="62">
        <f t="shared" si="222"/>
        <v>10</v>
      </c>
      <c r="X257" s="62">
        <f t="shared" si="222"/>
        <v>10</v>
      </c>
      <c r="Y257" s="62">
        <f t="shared" si="222"/>
        <v>10</v>
      </c>
      <c r="Z257" s="62">
        <f t="shared" si="222"/>
        <v>10</v>
      </c>
      <c r="AA257" s="62">
        <f t="shared" si="222"/>
        <v>10</v>
      </c>
      <c r="AB257" s="62">
        <f t="shared" si="222"/>
        <v>10</v>
      </c>
      <c r="AC257" s="62">
        <f t="shared" si="222"/>
        <v>10</v>
      </c>
    </row>
    <row r="258" spans="1:29" x14ac:dyDescent="0.3">
      <c r="A258" s="30" t="str">
        <f t="shared" si="189"/>
        <v>Tonnage .</v>
      </c>
      <c r="B258" s="62">
        <f>$B238+($C238-$B238)*(1-Q238)</f>
        <v>25</v>
      </c>
      <c r="C258" s="62">
        <f t="shared" si="220"/>
        <v>25</v>
      </c>
      <c r="D258" s="62">
        <f t="shared" si="220"/>
        <v>25</v>
      </c>
      <c r="E258" s="62">
        <f t="shared" si="220"/>
        <v>25</v>
      </c>
      <c r="F258" s="62">
        <f t="shared" si="220"/>
        <v>25</v>
      </c>
      <c r="G258" s="62">
        <f t="shared" si="220"/>
        <v>25</v>
      </c>
      <c r="H258" s="62">
        <f t="shared" si="220"/>
        <v>25</v>
      </c>
      <c r="I258" s="62">
        <f t="shared" si="220"/>
        <v>25</v>
      </c>
      <c r="J258" s="62">
        <f t="shared" si="220"/>
        <v>25</v>
      </c>
      <c r="K258" s="62">
        <f t="shared" si="220"/>
        <v>25</v>
      </c>
      <c r="L258" s="62">
        <f t="shared" si="220"/>
        <v>25</v>
      </c>
      <c r="M258" s="62">
        <f t="shared" si="221"/>
        <v>25</v>
      </c>
      <c r="N258" s="62">
        <f t="shared" si="221"/>
        <v>25</v>
      </c>
      <c r="O258" s="62">
        <f t="shared" si="221"/>
        <v>25</v>
      </c>
      <c r="P258" s="62">
        <f t="shared" si="221"/>
        <v>25</v>
      </c>
      <c r="Q258" s="62">
        <f t="shared" si="221"/>
        <v>25</v>
      </c>
      <c r="R258" s="62">
        <f t="shared" si="221"/>
        <v>25</v>
      </c>
      <c r="S258" s="62">
        <f t="shared" si="221"/>
        <v>25</v>
      </c>
      <c r="T258" s="62">
        <f t="shared" si="221"/>
        <v>25</v>
      </c>
      <c r="U258" s="62">
        <f t="shared" si="221"/>
        <v>25</v>
      </c>
      <c r="V258" s="62">
        <f t="shared" si="221"/>
        <v>25</v>
      </c>
      <c r="W258" s="62">
        <f t="shared" si="222"/>
        <v>25</v>
      </c>
      <c r="X258" s="62">
        <f t="shared" si="222"/>
        <v>25</v>
      </c>
      <c r="Y258" s="62">
        <f t="shared" si="222"/>
        <v>25</v>
      </c>
      <c r="Z258" s="62">
        <f t="shared" si="222"/>
        <v>25</v>
      </c>
      <c r="AA258" s="62">
        <f t="shared" si="222"/>
        <v>25</v>
      </c>
      <c r="AB258" s="62">
        <f t="shared" si="222"/>
        <v>25</v>
      </c>
      <c r="AC258" s="62">
        <f t="shared" si="222"/>
        <v>25</v>
      </c>
    </row>
    <row r="259" spans="1:29" x14ac:dyDescent="0.3">
      <c r="A259" s="30" t="str">
        <f t="shared" si="189"/>
        <v>Market failure (av. utilization)</v>
      </c>
      <c r="B259" s="62">
        <f t="shared" ref="B259:K260" si="223">($B239+($C239-$B239)*(1-Q239))*B$44</f>
        <v>11.5</v>
      </c>
      <c r="C259" s="62">
        <f t="shared" si="223"/>
        <v>11.5</v>
      </c>
      <c r="D259" s="62">
        <f t="shared" si="223"/>
        <v>11.5</v>
      </c>
      <c r="E259" s="62">
        <f t="shared" si="223"/>
        <v>11.5</v>
      </c>
      <c r="F259" s="62">
        <f t="shared" si="223"/>
        <v>11.5</v>
      </c>
      <c r="G259" s="62">
        <f t="shared" si="223"/>
        <v>11.5</v>
      </c>
      <c r="H259" s="62">
        <f t="shared" si="223"/>
        <v>11.5</v>
      </c>
      <c r="I259" s="62">
        <f t="shared" si="223"/>
        <v>11.5</v>
      </c>
      <c r="J259" s="62">
        <f t="shared" si="223"/>
        <v>11.5</v>
      </c>
      <c r="K259" s="62">
        <f t="shared" si="223"/>
        <v>11.5</v>
      </c>
      <c r="L259" s="62">
        <f t="shared" ref="L259:U260" si="224">($B239+($C239-$B239)*(1-AA239))*L$44</f>
        <v>11.5</v>
      </c>
      <c r="M259" s="62">
        <f t="shared" si="224"/>
        <v>11.5</v>
      </c>
      <c r="N259" s="62">
        <f t="shared" si="224"/>
        <v>11.5</v>
      </c>
      <c r="O259" s="62">
        <f t="shared" si="224"/>
        <v>11.5</v>
      </c>
      <c r="P259" s="62">
        <f t="shared" si="224"/>
        <v>11.5</v>
      </c>
      <c r="Q259" s="62">
        <f t="shared" si="224"/>
        <v>11.5</v>
      </c>
      <c r="R259" s="62">
        <f t="shared" si="224"/>
        <v>11.5</v>
      </c>
      <c r="S259" s="62">
        <f t="shared" si="224"/>
        <v>11.5</v>
      </c>
      <c r="T259" s="62">
        <f t="shared" si="224"/>
        <v>11.5</v>
      </c>
      <c r="U259" s="62">
        <f t="shared" si="224"/>
        <v>11.5</v>
      </c>
      <c r="V259" s="62">
        <f t="shared" ref="V259:AC260" si="225">($B239+($C239-$B239)*(1-AK239))*V$44</f>
        <v>11.5</v>
      </c>
      <c r="W259" s="62">
        <f t="shared" si="225"/>
        <v>11.5</v>
      </c>
      <c r="X259" s="62">
        <f t="shared" si="225"/>
        <v>11.5</v>
      </c>
      <c r="Y259" s="62">
        <f t="shared" si="225"/>
        <v>11.5</v>
      </c>
      <c r="Z259" s="62">
        <f t="shared" si="225"/>
        <v>11.5</v>
      </c>
      <c r="AA259" s="62">
        <f t="shared" si="225"/>
        <v>11.5</v>
      </c>
      <c r="AB259" s="62">
        <f t="shared" si="225"/>
        <v>11.5</v>
      </c>
      <c r="AC259" s="62">
        <f t="shared" si="225"/>
        <v>11.5</v>
      </c>
    </row>
    <row r="260" spans="1:29" x14ac:dyDescent="0.3">
      <c r="A260" s="30" t="s">
        <v>73</v>
      </c>
      <c r="B260" s="62">
        <f t="shared" si="223"/>
        <v>0</v>
      </c>
      <c r="C260" s="62">
        <f t="shared" si="223"/>
        <v>0</v>
      </c>
      <c r="D260" s="62">
        <f t="shared" si="223"/>
        <v>0</v>
      </c>
      <c r="E260" s="62">
        <f t="shared" si="223"/>
        <v>0</v>
      </c>
      <c r="F260" s="62">
        <f t="shared" si="223"/>
        <v>0</v>
      </c>
      <c r="G260" s="62">
        <f t="shared" si="223"/>
        <v>0</v>
      </c>
      <c r="H260" s="62">
        <f t="shared" si="223"/>
        <v>0</v>
      </c>
      <c r="I260" s="62">
        <f t="shared" si="223"/>
        <v>0</v>
      </c>
      <c r="J260" s="62">
        <f t="shared" si="223"/>
        <v>0</v>
      </c>
      <c r="K260" s="62">
        <f t="shared" si="223"/>
        <v>0</v>
      </c>
      <c r="L260" s="62">
        <f t="shared" si="224"/>
        <v>0</v>
      </c>
      <c r="M260" s="62">
        <f t="shared" si="224"/>
        <v>0</v>
      </c>
      <c r="N260" s="62">
        <f t="shared" si="224"/>
        <v>0</v>
      </c>
      <c r="O260" s="62">
        <f t="shared" si="224"/>
        <v>0</v>
      </c>
      <c r="P260" s="62">
        <f t="shared" si="224"/>
        <v>0</v>
      </c>
      <c r="Q260" s="62">
        <f t="shared" si="224"/>
        <v>0</v>
      </c>
      <c r="R260" s="62">
        <f t="shared" si="224"/>
        <v>0</v>
      </c>
      <c r="S260" s="62">
        <f t="shared" si="224"/>
        <v>0</v>
      </c>
      <c r="T260" s="62">
        <f t="shared" si="224"/>
        <v>0</v>
      </c>
      <c r="U260" s="62">
        <f t="shared" si="224"/>
        <v>0</v>
      </c>
      <c r="V260" s="62">
        <f t="shared" si="225"/>
        <v>0</v>
      </c>
      <c r="W260" s="62">
        <f t="shared" si="225"/>
        <v>0</v>
      </c>
      <c r="X260" s="62">
        <f t="shared" si="225"/>
        <v>0</v>
      </c>
      <c r="Y260" s="62">
        <f t="shared" si="225"/>
        <v>0</v>
      </c>
      <c r="Z260" s="62">
        <f t="shared" si="225"/>
        <v>0</v>
      </c>
      <c r="AA260" s="62">
        <f t="shared" si="225"/>
        <v>0</v>
      </c>
      <c r="AB260" s="62">
        <f t="shared" si="225"/>
        <v>0</v>
      </c>
      <c r="AC260" s="62">
        <f t="shared" si="225"/>
        <v>0</v>
      </c>
    </row>
    <row r="261" spans="1:29" x14ac:dyDescent="0.3">
      <c r="A261" s="30" t="str">
        <f>A241</f>
        <v>Annual Mileage</v>
      </c>
      <c r="B261" s="62">
        <f t="shared" ref="B261" si="226">$B241+($C241-$B241)*(1-Q241)</f>
        <v>105000</v>
      </c>
      <c r="C261" s="62">
        <f t="shared" ref="C261" si="227">$B241+($C241-$B241)*(1-R241)</f>
        <v>105000</v>
      </c>
      <c r="D261" s="62">
        <f t="shared" ref="D261" si="228">$B241+($C241-$B241)*(1-S241)</f>
        <v>105000</v>
      </c>
      <c r="E261" s="62">
        <f t="shared" ref="E261" si="229">$B241+($C241-$B241)*(1-T241)</f>
        <v>105000</v>
      </c>
      <c r="F261" s="62">
        <f t="shared" ref="F261" si="230">$B241+($C241-$B241)*(1-U241)</f>
        <v>105000</v>
      </c>
      <c r="G261" s="62">
        <f t="shared" ref="G261" si="231">$B241+($C241-$B241)*(1-V241)</f>
        <v>105000</v>
      </c>
      <c r="H261" s="62">
        <f t="shared" ref="H261" si="232">$B241+($C241-$B241)*(1-W241)</f>
        <v>105000</v>
      </c>
      <c r="I261" s="62">
        <f t="shared" ref="I261" si="233">$B241+($C241-$B241)*(1-X241)</f>
        <v>105000</v>
      </c>
      <c r="J261" s="62">
        <f t="shared" ref="J261" si="234">$B241+($C241-$B241)*(1-Y241)</f>
        <v>105000</v>
      </c>
      <c r="K261" s="62">
        <f t="shared" ref="K261" si="235">$B241+($C241-$B241)*(1-Z241)</f>
        <v>105000</v>
      </c>
      <c r="L261" s="62">
        <f t="shared" ref="L261" si="236">$B241+($C241-$B241)*(1-AA241)</f>
        <v>105000</v>
      </c>
      <c r="M261" s="62">
        <f t="shared" ref="M261" si="237">$B241+($C241-$B241)*(1-AB241)</f>
        <v>105000</v>
      </c>
      <c r="N261" s="62">
        <f t="shared" ref="N261" si="238">$B241+($C241-$B241)*(1-AC241)</f>
        <v>105000</v>
      </c>
      <c r="O261" s="62">
        <f t="shared" ref="O261" si="239">$B241+($C241-$B241)*(1-AD241)</f>
        <v>105000</v>
      </c>
      <c r="P261" s="62">
        <f t="shared" ref="P261" si="240">$B241+($C241-$B241)*(1-AE241)</f>
        <v>105000</v>
      </c>
      <c r="Q261" s="62">
        <f t="shared" ref="Q261" si="241">$B241+($C241-$B241)*(1-AF241)</f>
        <v>105000</v>
      </c>
      <c r="R261" s="62">
        <f t="shared" ref="R261" si="242">$B241+($C241-$B241)*(1-AG241)</f>
        <v>105000</v>
      </c>
      <c r="S261" s="62">
        <f t="shared" ref="S261" si="243">$B241+($C241-$B241)*(1-AH241)</f>
        <v>105000</v>
      </c>
      <c r="T261" s="62">
        <f t="shared" ref="T261" si="244">$B241+($C241-$B241)*(1-AI241)</f>
        <v>105000</v>
      </c>
      <c r="U261" s="62">
        <f t="shared" ref="U261" si="245">$B241+($C241-$B241)*(1-AJ241)</f>
        <v>105000</v>
      </c>
      <c r="V261" s="62">
        <f t="shared" ref="V261" si="246">$B241+($C241-$B241)*(1-AK241)</f>
        <v>105000</v>
      </c>
      <c r="W261" s="62">
        <f t="shared" ref="W261" si="247">$B241+($C241-$B241)*(1-AL241)</f>
        <v>105000</v>
      </c>
      <c r="X261" s="62">
        <f t="shared" ref="X261" si="248">$B241+($C241-$B241)*(1-AM241)</f>
        <v>105000</v>
      </c>
      <c r="Y261" s="62">
        <f t="shared" ref="Y261" si="249">$B241+($C241-$B241)*(1-AN241)</f>
        <v>105000</v>
      </c>
      <c r="Z261" s="62">
        <f t="shared" ref="Z261" si="250">$B241+($C241-$B241)*(1-AO241)</f>
        <v>105000</v>
      </c>
      <c r="AA261" s="62">
        <f t="shared" ref="AA261" si="251">$B241+($C241-$B241)*(1-AP241)</f>
        <v>105000</v>
      </c>
      <c r="AB261" s="62">
        <f t="shared" ref="AB261" si="252">$B241+($C241-$B241)*(1-AQ241)</f>
        <v>105000</v>
      </c>
      <c r="AC261" s="62">
        <f t="shared" ref="AC261" si="253">$B241+($C241-$B241)*(1-AR241)</f>
        <v>105000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16930.034166116213</v>
      </c>
      <c r="C264" s="63">
        <f t="shared" ref="C264:AC264" si="254">((1+C249)^C256)*C249/(((1+C249)^C256)-1)*(C245)</f>
        <v>16939.137147822737</v>
      </c>
      <c r="D264" s="63">
        <f t="shared" si="254"/>
        <v>16952.062076917297</v>
      </c>
      <c r="E264" s="63">
        <f t="shared" si="254"/>
        <v>16970.330222186072</v>
      </c>
      <c r="F264" s="63">
        <f t="shared" si="254"/>
        <v>16995.97836855879</v>
      </c>
      <c r="G264" s="63">
        <f t="shared" si="254"/>
        <v>17031.638602582309</v>
      </c>
      <c r="H264" s="63">
        <f t="shared" si="254"/>
        <v>17080.52744937655</v>
      </c>
      <c r="I264" s="63">
        <f t="shared" si="254"/>
        <v>17146.228820750977</v>
      </c>
      <c r="J264" s="63">
        <f t="shared" si="254"/>
        <v>17232.113205708847</v>
      </c>
      <c r="K264" s="63">
        <f t="shared" si="254"/>
        <v>17340.270072218107</v>
      </c>
      <c r="L264" s="63">
        <f t="shared" si="254"/>
        <v>17470.055207385878</v>
      </c>
      <c r="M264" s="63">
        <f t="shared" si="254"/>
        <v>17616.812818916205</v>
      </c>
      <c r="N264" s="63">
        <f t="shared" si="254"/>
        <v>17771.744227277446</v>
      </c>
      <c r="O264" s="63">
        <f t="shared" si="254"/>
        <v>17923.62687531321</v>
      </c>
      <c r="P264" s="63">
        <f t="shared" si="254"/>
        <v>18061.888776104923</v>
      </c>
      <c r="Q264" s="63">
        <f t="shared" si="254"/>
        <v>18179.391702904584</v>
      </c>
      <c r="R264" s="63">
        <f t="shared" si="254"/>
        <v>18273.490503689198</v>
      </c>
      <c r="S264" s="63">
        <f t="shared" si="254"/>
        <v>18345.292065090671</v>
      </c>
      <c r="T264" s="63">
        <f t="shared" si="254"/>
        <v>18398.071971214304</v>
      </c>
      <c r="U264" s="63">
        <f t="shared" si="254"/>
        <v>18435.808840543512</v>
      </c>
      <c r="V264" s="63">
        <f t="shared" si="254"/>
        <v>18462.256812975615</v>
      </c>
      <c r="W264" s="63">
        <f t="shared" si="254"/>
        <v>18480.533987545627</v>
      </c>
      <c r="X264" s="63">
        <f t="shared" si="254"/>
        <v>18493.041968890429</v>
      </c>
      <c r="Y264" s="63">
        <f t="shared" si="254"/>
        <v>18501.544671484124</v>
      </c>
      <c r="Z264" s="63">
        <f t="shared" si="254"/>
        <v>18507.298355716259</v>
      </c>
      <c r="AA264" s="63">
        <f t="shared" si="254"/>
        <v>18511.179797106222</v>
      </c>
      <c r="AB264" s="63">
        <f t="shared" si="254"/>
        <v>18513.792764168582</v>
      </c>
      <c r="AC264" s="63">
        <f t="shared" si="254"/>
        <v>18515.549330276619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-4208.0593252569806</v>
      </c>
      <c r="C265" s="62">
        <f t="shared" ref="C265:AC265" si="255">((1+C249)^C256)*C249/(((1+C249)^C256)-1)*(C246)</f>
        <v>-4199.866641721108</v>
      </c>
      <c r="D265" s="62">
        <f t="shared" si="255"/>
        <v>-4188.2342055360041</v>
      </c>
      <c r="E265" s="62">
        <f t="shared" si="255"/>
        <v>-4171.7928747941069</v>
      </c>
      <c r="F265" s="62">
        <f t="shared" si="255"/>
        <v>-4148.7095430586614</v>
      </c>
      <c r="G265" s="62">
        <f t="shared" si="255"/>
        <v>-4116.6153324374927</v>
      </c>
      <c r="H265" s="62">
        <f t="shared" si="255"/>
        <v>-4072.6153703226773</v>
      </c>
      <c r="I265" s="62">
        <f t="shared" si="255"/>
        <v>-4013.4841360856908</v>
      </c>
      <c r="J265" s="62">
        <f t="shared" si="255"/>
        <v>-3936.1881896236077</v>
      </c>
      <c r="K265" s="62">
        <f t="shared" si="255"/>
        <v>-3838.8470097652757</v>
      </c>
      <c r="L265" s="62">
        <f t="shared" si="255"/>
        <v>-3722.0403881142815</v>
      </c>
      <c r="M265" s="62">
        <f t="shared" si="255"/>
        <v>-3589.9585377369858</v>
      </c>
      <c r="N265" s="62">
        <f t="shared" si="255"/>
        <v>-3450.5202702118704</v>
      </c>
      <c r="O265" s="62">
        <f t="shared" si="255"/>
        <v>-3313.8258869796846</v>
      </c>
      <c r="P265" s="62">
        <f t="shared" si="255"/>
        <v>-3189.3901762671421</v>
      </c>
      <c r="Q265" s="62">
        <f t="shared" si="255"/>
        <v>-3083.6375421474468</v>
      </c>
      <c r="R265" s="62">
        <f t="shared" si="255"/>
        <v>-2998.9486214412941</v>
      </c>
      <c r="S265" s="62">
        <f t="shared" si="255"/>
        <v>-2934.3272161799682</v>
      </c>
      <c r="T265" s="62">
        <f t="shared" si="255"/>
        <v>-2886.8253006686996</v>
      </c>
      <c r="U265" s="62">
        <f t="shared" si="255"/>
        <v>-2852.8621182724105</v>
      </c>
      <c r="V265" s="62">
        <f t="shared" si="255"/>
        <v>-2829.0589430835184</v>
      </c>
      <c r="W265" s="62">
        <f t="shared" si="255"/>
        <v>-2812.6094859705067</v>
      </c>
      <c r="X265" s="62">
        <f t="shared" si="255"/>
        <v>-2801.3523027601836</v>
      </c>
      <c r="Y265" s="62">
        <f t="shared" si="255"/>
        <v>-2793.6998704258613</v>
      </c>
      <c r="Z265" s="62">
        <f t="shared" si="255"/>
        <v>-2788.5215546169388</v>
      </c>
      <c r="AA265" s="62">
        <f t="shared" si="255"/>
        <v>-2785.0282573659729</v>
      </c>
      <c r="AB265" s="62">
        <f t="shared" si="255"/>
        <v>-2782.6765870098498</v>
      </c>
      <c r="AC265" s="62">
        <f t="shared" si="255"/>
        <v>-2781.0956775126119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4076.0387466115117</v>
      </c>
      <c r="C266" s="62">
        <f t="shared" ref="C266:AC266" si="256">((1+C249)^C257)*C249/(((1+C249)^C257)-1)*(C247)</f>
        <v>4076.0387466115117</v>
      </c>
      <c r="D266" s="62">
        <f t="shared" si="256"/>
        <v>4076.0387466115117</v>
      </c>
      <c r="E266" s="62">
        <f t="shared" si="256"/>
        <v>4076.0387466115117</v>
      </c>
      <c r="F266" s="62">
        <f t="shared" si="256"/>
        <v>4076.0387466115117</v>
      </c>
      <c r="G266" s="62">
        <f t="shared" si="256"/>
        <v>4076.0387466115117</v>
      </c>
      <c r="H266" s="62">
        <f t="shared" si="256"/>
        <v>4076.0387466115117</v>
      </c>
      <c r="I266" s="62">
        <f t="shared" si="256"/>
        <v>4076.0387466115117</v>
      </c>
      <c r="J266" s="62">
        <f t="shared" si="256"/>
        <v>4076.0387466115117</v>
      </c>
      <c r="K266" s="62">
        <f t="shared" si="256"/>
        <v>4076.0387466115117</v>
      </c>
      <c r="L266" s="62">
        <f t="shared" si="256"/>
        <v>4076.0387466115117</v>
      </c>
      <c r="M266" s="62">
        <f t="shared" si="256"/>
        <v>4076.0387466115117</v>
      </c>
      <c r="N266" s="62">
        <f t="shared" si="256"/>
        <v>4076.0387466115117</v>
      </c>
      <c r="O266" s="62">
        <f t="shared" si="256"/>
        <v>4076.0387466115117</v>
      </c>
      <c r="P266" s="62">
        <f t="shared" si="256"/>
        <v>4076.0387466115117</v>
      </c>
      <c r="Q266" s="62">
        <f t="shared" si="256"/>
        <v>4076.0387466115117</v>
      </c>
      <c r="R266" s="62">
        <f t="shared" si="256"/>
        <v>4076.0387466115117</v>
      </c>
      <c r="S266" s="62">
        <f t="shared" si="256"/>
        <v>4076.0387466115117</v>
      </c>
      <c r="T266" s="62">
        <f t="shared" si="256"/>
        <v>4076.0387466115117</v>
      </c>
      <c r="U266" s="62">
        <f t="shared" si="256"/>
        <v>4076.0387466115117</v>
      </c>
      <c r="V266" s="62">
        <f t="shared" si="256"/>
        <v>4076.0387466115117</v>
      </c>
      <c r="W266" s="62">
        <f t="shared" si="256"/>
        <v>4076.0387466115117</v>
      </c>
      <c r="X266" s="62">
        <f t="shared" si="256"/>
        <v>4076.0387466115117</v>
      </c>
      <c r="Y266" s="62">
        <f t="shared" si="256"/>
        <v>4076.0387466115117</v>
      </c>
      <c r="Z266" s="62">
        <f t="shared" si="256"/>
        <v>4076.0387466115117</v>
      </c>
      <c r="AA266" s="62">
        <f t="shared" si="256"/>
        <v>4076.0387466115117</v>
      </c>
      <c r="AB266" s="62">
        <f t="shared" si="256"/>
        <v>4076.0387466115117</v>
      </c>
      <c r="AC266" s="62">
        <f t="shared" si="256"/>
        <v>4076.0387466115117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-1019.0096866528779</v>
      </c>
      <c r="C267" s="62">
        <f t="shared" ref="C267:AC267" si="257">((1+C249)^C257)*C249/(((1+C249)^C257)-1)*(C248)</f>
        <v>-1019.0096866528779</v>
      </c>
      <c r="D267" s="62">
        <f t="shared" si="257"/>
        <v>-1019.0096866528779</v>
      </c>
      <c r="E267" s="62">
        <f t="shared" si="257"/>
        <v>-1019.0096866528779</v>
      </c>
      <c r="F267" s="62">
        <f t="shared" si="257"/>
        <v>-1019.0096866528779</v>
      </c>
      <c r="G267" s="62">
        <f t="shared" si="257"/>
        <v>-1019.0096866528779</v>
      </c>
      <c r="H267" s="62">
        <f t="shared" si="257"/>
        <v>-1019.0096866528779</v>
      </c>
      <c r="I267" s="62">
        <f t="shared" si="257"/>
        <v>-1019.0096866528779</v>
      </c>
      <c r="J267" s="62">
        <f t="shared" si="257"/>
        <v>-1019.0096866528779</v>
      </c>
      <c r="K267" s="62">
        <f t="shared" si="257"/>
        <v>-1019.0096866528779</v>
      </c>
      <c r="L267" s="62">
        <f t="shared" si="257"/>
        <v>-1019.0096866528779</v>
      </c>
      <c r="M267" s="62">
        <f t="shared" si="257"/>
        <v>-1019.0096866528779</v>
      </c>
      <c r="N267" s="62">
        <f t="shared" si="257"/>
        <v>-1019.0096866528779</v>
      </c>
      <c r="O267" s="62">
        <f t="shared" si="257"/>
        <v>-1019.0096866528779</v>
      </c>
      <c r="P267" s="62">
        <f t="shared" si="257"/>
        <v>-1019.0096866528779</v>
      </c>
      <c r="Q267" s="62">
        <f t="shared" si="257"/>
        <v>-1019.0096866528779</v>
      </c>
      <c r="R267" s="62">
        <f t="shared" si="257"/>
        <v>-1019.0096866528779</v>
      </c>
      <c r="S267" s="62">
        <f t="shared" si="257"/>
        <v>-1019.0096866528779</v>
      </c>
      <c r="T267" s="62">
        <f t="shared" si="257"/>
        <v>-1019.0096866528779</v>
      </c>
      <c r="U267" s="62">
        <f t="shared" si="257"/>
        <v>-1019.0096866528779</v>
      </c>
      <c r="V267" s="62">
        <f t="shared" si="257"/>
        <v>-1019.0096866528779</v>
      </c>
      <c r="W267" s="62">
        <f t="shared" si="257"/>
        <v>-1019.0096866528779</v>
      </c>
      <c r="X267" s="62">
        <f t="shared" si="257"/>
        <v>-1019.0096866528779</v>
      </c>
      <c r="Y267" s="62">
        <f t="shared" si="257"/>
        <v>-1019.0096866528779</v>
      </c>
      <c r="Z267" s="62">
        <f t="shared" si="257"/>
        <v>-1019.0096866528779</v>
      </c>
      <c r="AA267" s="62">
        <f t="shared" si="257"/>
        <v>-1019.0096866528779</v>
      </c>
      <c r="AB267" s="62">
        <f t="shared" si="257"/>
        <v>-1019.0096866528779</v>
      </c>
      <c r="AC267" s="62">
        <f t="shared" si="257"/>
        <v>-1019.0096866528779</v>
      </c>
    </row>
    <row r="268" spans="1:29" x14ac:dyDescent="0.3">
      <c r="A268" s="30" t="str">
        <f>A250</f>
        <v>Opex fix (admin, crew, insurance)</v>
      </c>
      <c r="B268" s="62">
        <f>B250</f>
        <v>70000</v>
      </c>
      <c r="C268" s="62">
        <f t="shared" ref="C268:AC268" si="258">C250</f>
        <v>70000</v>
      </c>
      <c r="D268" s="62">
        <f t="shared" si="258"/>
        <v>70000</v>
      </c>
      <c r="E268" s="62">
        <f t="shared" si="258"/>
        <v>70000</v>
      </c>
      <c r="F268" s="62">
        <f t="shared" si="258"/>
        <v>70000</v>
      </c>
      <c r="G268" s="62">
        <f t="shared" si="258"/>
        <v>70000</v>
      </c>
      <c r="H268" s="62">
        <f t="shared" si="258"/>
        <v>70000</v>
      </c>
      <c r="I268" s="62">
        <f t="shared" si="258"/>
        <v>70000</v>
      </c>
      <c r="J268" s="62">
        <f t="shared" si="258"/>
        <v>70000</v>
      </c>
      <c r="K268" s="62">
        <f t="shared" si="258"/>
        <v>70000</v>
      </c>
      <c r="L268" s="62">
        <f t="shared" si="258"/>
        <v>70000</v>
      </c>
      <c r="M268" s="62">
        <f t="shared" si="258"/>
        <v>70000</v>
      </c>
      <c r="N268" s="62">
        <f t="shared" si="258"/>
        <v>70000</v>
      </c>
      <c r="O268" s="62">
        <f t="shared" si="258"/>
        <v>70000</v>
      </c>
      <c r="P268" s="62">
        <f t="shared" si="258"/>
        <v>70000</v>
      </c>
      <c r="Q268" s="62">
        <f t="shared" si="258"/>
        <v>70000</v>
      </c>
      <c r="R268" s="62">
        <f t="shared" si="258"/>
        <v>70000</v>
      </c>
      <c r="S268" s="62">
        <f t="shared" si="258"/>
        <v>70000</v>
      </c>
      <c r="T268" s="62">
        <f t="shared" si="258"/>
        <v>70000</v>
      </c>
      <c r="U268" s="62">
        <f t="shared" si="258"/>
        <v>70000</v>
      </c>
      <c r="V268" s="62">
        <f t="shared" si="258"/>
        <v>70000</v>
      </c>
      <c r="W268" s="62">
        <f t="shared" si="258"/>
        <v>70000</v>
      </c>
      <c r="X268" s="62">
        <f t="shared" si="258"/>
        <v>70000</v>
      </c>
      <c r="Y268" s="62">
        <f t="shared" si="258"/>
        <v>70000</v>
      </c>
      <c r="Z268" s="62">
        <f t="shared" si="258"/>
        <v>70000</v>
      </c>
      <c r="AA268" s="62">
        <f t="shared" si="258"/>
        <v>70000</v>
      </c>
      <c r="AB268" s="62">
        <f t="shared" si="258"/>
        <v>70000</v>
      </c>
      <c r="AC268" s="62">
        <f t="shared" si="258"/>
        <v>70000</v>
      </c>
    </row>
    <row r="269" spans="1:29" x14ac:dyDescent="0.3">
      <c r="A269" s="30" t="str">
        <f>A251</f>
        <v>Opex maintenance &amp; repair</v>
      </c>
      <c r="B269" s="62">
        <f>B251</f>
        <v>20000</v>
      </c>
      <c r="C269" s="62">
        <f t="shared" ref="C269:AC269" si="259">C251</f>
        <v>20000</v>
      </c>
      <c r="D269" s="62">
        <f t="shared" si="259"/>
        <v>20000</v>
      </c>
      <c r="E269" s="62">
        <f t="shared" si="259"/>
        <v>20000</v>
      </c>
      <c r="F269" s="62">
        <f t="shared" si="259"/>
        <v>20000</v>
      </c>
      <c r="G269" s="62">
        <f t="shared" si="259"/>
        <v>20000</v>
      </c>
      <c r="H269" s="62">
        <f t="shared" si="259"/>
        <v>20000</v>
      </c>
      <c r="I269" s="62">
        <f t="shared" si="259"/>
        <v>20000</v>
      </c>
      <c r="J269" s="62">
        <f t="shared" si="259"/>
        <v>20000</v>
      </c>
      <c r="K269" s="62">
        <f t="shared" si="259"/>
        <v>20000</v>
      </c>
      <c r="L269" s="62">
        <f t="shared" si="259"/>
        <v>20000</v>
      </c>
      <c r="M269" s="62">
        <f t="shared" si="259"/>
        <v>20000</v>
      </c>
      <c r="N269" s="62">
        <f t="shared" si="259"/>
        <v>20000</v>
      </c>
      <c r="O269" s="62">
        <f t="shared" si="259"/>
        <v>20000</v>
      </c>
      <c r="P269" s="62">
        <f t="shared" si="259"/>
        <v>20000</v>
      </c>
      <c r="Q269" s="62">
        <f t="shared" si="259"/>
        <v>20000</v>
      </c>
      <c r="R269" s="62">
        <f t="shared" si="259"/>
        <v>20000</v>
      </c>
      <c r="S269" s="62">
        <f t="shared" si="259"/>
        <v>20000</v>
      </c>
      <c r="T269" s="62">
        <f t="shared" si="259"/>
        <v>20000</v>
      </c>
      <c r="U269" s="62">
        <f t="shared" si="259"/>
        <v>20000</v>
      </c>
      <c r="V269" s="62">
        <f t="shared" si="259"/>
        <v>20000</v>
      </c>
      <c r="W269" s="62">
        <f t="shared" si="259"/>
        <v>20000</v>
      </c>
      <c r="X269" s="62">
        <f t="shared" si="259"/>
        <v>20000</v>
      </c>
      <c r="Y269" s="62">
        <f t="shared" si="259"/>
        <v>20000</v>
      </c>
      <c r="Z269" s="62">
        <f t="shared" si="259"/>
        <v>20000</v>
      </c>
      <c r="AA269" s="62">
        <f t="shared" si="259"/>
        <v>20000</v>
      </c>
      <c r="AB269" s="62">
        <f t="shared" si="259"/>
        <v>20000</v>
      </c>
      <c r="AC269" s="62">
        <f t="shared" si="259"/>
        <v>20000</v>
      </c>
    </row>
    <row r="270" spans="1:29" x14ac:dyDescent="0.3">
      <c r="A270" s="30" t="str">
        <f>A252</f>
        <v>Opex var (mode-fees)</v>
      </c>
      <c r="B270" s="62">
        <f>B252*B261</f>
        <v>11550</v>
      </c>
      <c r="C270" s="62">
        <f t="shared" ref="C270:AC270" si="260">C252*C261</f>
        <v>11550</v>
      </c>
      <c r="D270" s="62">
        <f t="shared" si="260"/>
        <v>11550</v>
      </c>
      <c r="E270" s="62">
        <f t="shared" si="260"/>
        <v>11550</v>
      </c>
      <c r="F270" s="62">
        <f t="shared" si="260"/>
        <v>11550</v>
      </c>
      <c r="G270" s="62">
        <f t="shared" si="260"/>
        <v>11550</v>
      </c>
      <c r="H270" s="62">
        <f t="shared" si="260"/>
        <v>11550</v>
      </c>
      <c r="I270" s="62">
        <f t="shared" si="260"/>
        <v>11550</v>
      </c>
      <c r="J270" s="62">
        <f t="shared" si="260"/>
        <v>11550</v>
      </c>
      <c r="K270" s="62">
        <f t="shared" si="260"/>
        <v>11550</v>
      </c>
      <c r="L270" s="62">
        <f t="shared" si="260"/>
        <v>11550</v>
      </c>
      <c r="M270" s="62">
        <f t="shared" si="260"/>
        <v>11550</v>
      </c>
      <c r="N270" s="62">
        <f t="shared" si="260"/>
        <v>11550</v>
      </c>
      <c r="O270" s="62">
        <f t="shared" si="260"/>
        <v>11550</v>
      </c>
      <c r="P270" s="62">
        <f t="shared" si="260"/>
        <v>11550</v>
      </c>
      <c r="Q270" s="62">
        <f t="shared" si="260"/>
        <v>11550</v>
      </c>
      <c r="R270" s="62">
        <f t="shared" si="260"/>
        <v>11550</v>
      </c>
      <c r="S270" s="62">
        <f t="shared" si="260"/>
        <v>11550</v>
      </c>
      <c r="T270" s="62">
        <f t="shared" si="260"/>
        <v>11550</v>
      </c>
      <c r="U270" s="62">
        <f t="shared" si="260"/>
        <v>11550</v>
      </c>
      <c r="V270" s="62">
        <f t="shared" si="260"/>
        <v>11550</v>
      </c>
      <c r="W270" s="62">
        <f t="shared" si="260"/>
        <v>11550</v>
      </c>
      <c r="X270" s="62">
        <f t="shared" si="260"/>
        <v>11550</v>
      </c>
      <c r="Y270" s="62">
        <f t="shared" si="260"/>
        <v>11550</v>
      </c>
      <c r="Z270" s="62">
        <f t="shared" si="260"/>
        <v>11550</v>
      </c>
      <c r="AA270" s="62">
        <f t="shared" si="260"/>
        <v>11550</v>
      </c>
      <c r="AB270" s="62">
        <f t="shared" si="260"/>
        <v>11550</v>
      </c>
      <c r="AC270" s="62">
        <f t="shared" si="260"/>
        <v>11550</v>
      </c>
    </row>
    <row r="271" spans="1:29" x14ac:dyDescent="0.3">
      <c r="A271" s="30" t="str">
        <f>A254</f>
        <v>Fuel Cost</v>
      </c>
      <c r="B271" s="62">
        <f>B253*B254*B261</f>
        <v>30380.688773267895</v>
      </c>
      <c r="C271" s="62">
        <f t="shared" ref="C271:AC271" si="261">C253*C254*C261</f>
        <v>30351.011762550061</v>
      </c>
      <c r="D271" s="62">
        <f t="shared" si="261"/>
        <v>30308.874661583282</v>
      </c>
      <c r="E271" s="62">
        <f t="shared" si="261"/>
        <v>30249.317918483626</v>
      </c>
      <c r="F271" s="62">
        <f t="shared" si="261"/>
        <v>30165.701325664351</v>
      </c>
      <c r="G271" s="62">
        <f t="shared" si="261"/>
        <v>30049.443907882425</v>
      </c>
      <c r="H271" s="62">
        <f t="shared" si="261"/>
        <v>29890.059337302064</v>
      </c>
      <c r="I271" s="62">
        <f t="shared" si="261"/>
        <v>29675.863553402171</v>
      </c>
      <c r="J271" s="62">
        <f t="shared" si="261"/>
        <v>29395.868284262757</v>
      </c>
      <c r="K271" s="62">
        <f t="shared" si="261"/>
        <v>29043.261568124653</v>
      </c>
      <c r="L271" s="62">
        <f t="shared" si="261"/>
        <v>28620.143630336297</v>
      </c>
      <c r="M271" s="62">
        <f t="shared" si="261"/>
        <v>28141.693013744603</v>
      </c>
      <c r="N271" s="62">
        <f t="shared" si="261"/>
        <v>27636.594660842227</v>
      </c>
      <c r="O271" s="62">
        <f t="shared" si="261"/>
        <v>27141.435698765006</v>
      </c>
      <c r="P271" s="62">
        <f t="shared" si="261"/>
        <v>26690.68230345464</v>
      </c>
      <c r="Q271" s="62">
        <f t="shared" si="261"/>
        <v>26307.606105958679</v>
      </c>
      <c r="R271" s="62">
        <f t="shared" si="261"/>
        <v>26000.830676824407</v>
      </c>
      <c r="S271" s="62">
        <f t="shared" si="261"/>
        <v>25766.747408729774</v>
      </c>
      <c r="T271" s="62">
        <f t="shared" si="261"/>
        <v>25594.677433174984</v>
      </c>
      <c r="U271" s="62">
        <f t="shared" si="261"/>
        <v>25471.649889931887</v>
      </c>
      <c r="V271" s="62">
        <f t="shared" si="261"/>
        <v>25385.425750783066</v>
      </c>
      <c r="W271" s="62">
        <f t="shared" si="261"/>
        <v>25325.839570881453</v>
      </c>
      <c r="X271" s="62">
        <f t="shared" si="261"/>
        <v>25285.061778681549</v>
      </c>
      <c r="Y271" s="62">
        <f t="shared" si="261"/>
        <v>25257.341762961569</v>
      </c>
      <c r="Z271" s="62">
        <f t="shared" si="261"/>
        <v>25238.583936775696</v>
      </c>
      <c r="AA271" s="62">
        <f t="shared" si="261"/>
        <v>25225.929887647155</v>
      </c>
      <c r="AB271" s="62">
        <f t="shared" si="261"/>
        <v>25217.411244633804</v>
      </c>
      <c r="AC271" s="62">
        <f t="shared" si="261"/>
        <v>25211.684590127006</v>
      </c>
    </row>
    <row r="272" spans="1:29" ht="15" thickBot="1" x14ac:dyDescent="0.35">
      <c r="A272" s="59" t="str">
        <f>A235</f>
        <v>Emission Cost</v>
      </c>
      <c r="B272" s="62">
        <f>B255*B261</f>
        <v>8152.1078917256045</v>
      </c>
      <c r="C272" s="62">
        <f t="shared" ref="C272:AC272" si="262">C255*C261</f>
        <v>8166.7371602643407</v>
      </c>
      <c r="D272" s="62">
        <f t="shared" si="262"/>
        <v>8187.6786323368551</v>
      </c>
      <c r="E272" s="62">
        <f t="shared" si="262"/>
        <v>8217.6368808067382</v>
      </c>
      <c r="F272" s="62">
        <f t="shared" si="262"/>
        <v>8260.4538284859318</v>
      </c>
      <c r="G272" s="62">
        <f t="shared" si="262"/>
        <v>8321.562865950249</v>
      </c>
      <c r="H272" s="62">
        <f t="shared" si="262"/>
        <v>8408.5971269873407</v>
      </c>
      <c r="I272" s="62">
        <f t="shared" si="262"/>
        <v>8532.173301143057</v>
      </c>
      <c r="J272" s="62">
        <f t="shared" si="262"/>
        <v>8706.8363484000129</v>
      </c>
      <c r="K272" s="62">
        <f t="shared" si="262"/>
        <v>8952.060115566379</v>
      </c>
      <c r="L272" s="62">
        <f t="shared" si="262"/>
        <v>9293.010170911668</v>
      </c>
      <c r="M272" s="62">
        <f t="shared" si="262"/>
        <v>9760.4399418231187</v>
      </c>
      <c r="N272" s="62">
        <f t="shared" si="262"/>
        <v>10388.615466178841</v>
      </c>
      <c r="O272" s="62">
        <f t="shared" si="262"/>
        <v>11209.762231098215</v>
      </c>
      <c r="P272" s="62">
        <f t="shared" si="262"/>
        <v>12243.857789696669</v>
      </c>
      <c r="Q272" s="62">
        <f t="shared" si="262"/>
        <v>13484.742776297157</v>
      </c>
      <c r="R272" s="62">
        <f t="shared" si="262"/>
        <v>14887.902826806201</v>
      </c>
      <c r="S272" s="62">
        <f t="shared" si="262"/>
        <v>16369.213135107773</v>
      </c>
      <c r="T272" s="62">
        <f t="shared" si="262"/>
        <v>17821.374027255191</v>
      </c>
      <c r="U272" s="62">
        <f t="shared" si="262"/>
        <v>19143.305978009823</v>
      </c>
      <c r="V272" s="62">
        <f t="shared" si="262"/>
        <v>20266.759889421428</v>
      </c>
      <c r="W272" s="62">
        <f t="shared" si="262"/>
        <v>21166.445273266021</v>
      </c>
      <c r="X272" s="62">
        <f t="shared" si="262"/>
        <v>21852.945152026303</v>
      </c>
      <c r="Y272" s="62">
        <f t="shared" si="262"/>
        <v>22357.577620284981</v>
      </c>
      <c r="Z272" s="62">
        <f t="shared" si="262"/>
        <v>22718.382534741391</v>
      </c>
      <c r="AA272" s="62">
        <f t="shared" si="262"/>
        <v>22971.253496231664</v>
      </c>
      <c r="AB272" s="62">
        <f t="shared" si="262"/>
        <v>23146.002873285426</v>
      </c>
      <c r="AC272" s="62">
        <f t="shared" si="262"/>
        <v>23265.592580098782</v>
      </c>
    </row>
    <row r="273" spans="1:29" ht="15" thickBot="1" x14ac:dyDescent="0.35">
      <c r="A273" s="31" t="s">
        <v>209</v>
      </c>
      <c r="B273" s="64">
        <f>B264+B265+B266+B267+B268+B269+B270+B271+B272</f>
        <v>155861.80056581137</v>
      </c>
      <c r="C273" s="64">
        <f t="shared" ref="C273:AC273" si="263">C264+C265+C266+C267+C268+C269+C270+C271+C272</f>
        <v>155864.04848887466</v>
      </c>
      <c r="D273" s="64">
        <f t="shared" si="263"/>
        <v>155867.41022526004</v>
      </c>
      <c r="E273" s="64">
        <f t="shared" si="263"/>
        <v>155872.52120664096</v>
      </c>
      <c r="F273" s="64">
        <f t="shared" si="263"/>
        <v>155880.45303960904</v>
      </c>
      <c r="G273" s="64">
        <f t="shared" si="263"/>
        <v>155893.05910393613</v>
      </c>
      <c r="H273" s="64">
        <f t="shared" si="263"/>
        <v>155913.59760330193</v>
      </c>
      <c r="I273" s="64">
        <f t="shared" si="263"/>
        <v>155947.81059916914</v>
      </c>
      <c r="J273" s="64">
        <f t="shared" si="263"/>
        <v>156005.65870870664</v>
      </c>
      <c r="K273" s="64">
        <f t="shared" si="263"/>
        <v>156103.77380610249</v>
      </c>
      <c r="L273" s="64">
        <f t="shared" si="263"/>
        <v>156268.19768047819</v>
      </c>
      <c r="M273" s="64">
        <f t="shared" si="263"/>
        <v>156536.01629670558</v>
      </c>
      <c r="N273" s="64">
        <f t="shared" si="263"/>
        <v>156953.46314404526</v>
      </c>
      <c r="O273" s="64">
        <f t="shared" si="263"/>
        <v>157568.02797815538</v>
      </c>
      <c r="P273" s="64">
        <f t="shared" si="263"/>
        <v>158414.06775294771</v>
      </c>
      <c r="Q273" s="64">
        <f t="shared" si="263"/>
        <v>159495.13210297161</v>
      </c>
      <c r="R273" s="64">
        <f t="shared" si="263"/>
        <v>160770.30444583716</v>
      </c>
      <c r="S273" s="64">
        <f t="shared" si="263"/>
        <v>162153.95445270688</v>
      </c>
      <c r="T273" s="64">
        <f t="shared" si="263"/>
        <v>163534.32719093442</v>
      </c>
      <c r="U273" s="64">
        <f t="shared" si="263"/>
        <v>164804.93165017146</v>
      </c>
      <c r="V273" s="64">
        <f t="shared" si="263"/>
        <v>165892.41257005522</v>
      </c>
      <c r="W273" s="64">
        <f t="shared" si="263"/>
        <v>166767.23840568124</v>
      </c>
      <c r="X273" s="64">
        <f t="shared" si="263"/>
        <v>167436.72565679674</v>
      </c>
      <c r="Y273" s="64">
        <f t="shared" si="263"/>
        <v>167929.79324426345</v>
      </c>
      <c r="Z273" s="64">
        <f t="shared" si="263"/>
        <v>168282.77233257503</v>
      </c>
      <c r="AA273" s="64">
        <f t="shared" si="263"/>
        <v>168530.3639835777</v>
      </c>
      <c r="AB273" s="64">
        <f t="shared" si="263"/>
        <v>168701.55935503659</v>
      </c>
      <c r="AC273" s="64">
        <f t="shared" si="263"/>
        <v>168818.75988294842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64">A264</f>
        <v>Capex vehicle</v>
      </c>
      <c r="B276" s="65">
        <f>((1+B249)^B256)*B249/(((1+B249)^B256)-1)*(B245)/B261</f>
        <v>0.16123842062967822</v>
      </c>
      <c r="C276" s="65">
        <f t="shared" ref="C276:AC276" si="265">((1+C249)^C256)*C249/(((1+C249)^C256)-1)*(C245)/C261</f>
        <v>0.16132511569354988</v>
      </c>
      <c r="D276" s="65">
        <f t="shared" si="265"/>
        <v>0.1614482102563552</v>
      </c>
      <c r="E276" s="65">
        <f t="shared" si="265"/>
        <v>0.1616221925922483</v>
      </c>
      <c r="F276" s="65">
        <f t="shared" si="265"/>
        <v>0.16186646065294086</v>
      </c>
      <c r="G276" s="65">
        <f t="shared" si="265"/>
        <v>0.16220608192935532</v>
      </c>
      <c r="H276" s="65">
        <f t="shared" si="265"/>
        <v>0.16267168999406237</v>
      </c>
      <c r="I276" s="65">
        <f t="shared" si="265"/>
        <v>0.1632974173404855</v>
      </c>
      <c r="J276" s="65">
        <f t="shared" si="265"/>
        <v>0.16411536386389378</v>
      </c>
      <c r="K276" s="65">
        <f t="shared" si="265"/>
        <v>0.16514542925922007</v>
      </c>
      <c r="L276" s="65">
        <f t="shared" si="265"/>
        <v>0.1663814781655798</v>
      </c>
      <c r="M276" s="65">
        <f t="shared" si="265"/>
        <v>0.16777916970396387</v>
      </c>
      <c r="N276" s="65">
        <f t="shared" si="265"/>
        <v>0.16925470692645186</v>
      </c>
      <c r="O276" s="65">
        <f t="shared" si="265"/>
        <v>0.17070120833631627</v>
      </c>
      <c r="P276" s="65">
        <f t="shared" si="265"/>
        <v>0.1720179883438564</v>
      </c>
      <c r="Q276" s="65">
        <f t="shared" si="265"/>
        <v>0.17313706383718652</v>
      </c>
      <c r="R276" s="65">
        <f t="shared" si="265"/>
        <v>0.17403324289227806</v>
      </c>
      <c r="S276" s="65">
        <f t="shared" si="265"/>
        <v>0.17471706728657782</v>
      </c>
      <c r="T276" s="65">
        <f t="shared" si="265"/>
        <v>0.17521973305918384</v>
      </c>
      <c r="U276" s="65">
        <f t="shared" si="265"/>
        <v>0.17557913181470011</v>
      </c>
      <c r="V276" s="65">
        <f t="shared" si="265"/>
        <v>0.17583101726643444</v>
      </c>
      <c r="W276" s="65">
        <f t="shared" si="265"/>
        <v>0.17600508559567263</v>
      </c>
      <c r="X276" s="65">
        <f t="shared" si="265"/>
        <v>0.17612420922752789</v>
      </c>
      <c r="Y276" s="65">
        <f t="shared" si="265"/>
        <v>0.17620518734746785</v>
      </c>
      <c r="Z276" s="65">
        <f t="shared" si="265"/>
        <v>0.17625998434015486</v>
      </c>
      <c r="AA276" s="65">
        <f t="shared" si="265"/>
        <v>0.1762969504486307</v>
      </c>
      <c r="AB276" s="65">
        <f t="shared" si="265"/>
        <v>0.17632183584922459</v>
      </c>
      <c r="AC276" s="65">
        <f t="shared" si="265"/>
        <v>0.17633856505025353</v>
      </c>
    </row>
    <row r="277" spans="1:29" x14ac:dyDescent="0.3">
      <c r="A277" s="30" t="str">
        <f t="shared" si="264"/>
        <v>Residual value (vehicle)</v>
      </c>
      <c r="B277" s="66">
        <f>((1+B249)^B256)*B249/(((1+B249)^B256)-1)*(B246)/B261</f>
        <v>-4.0076755478637913E-2</v>
      </c>
      <c r="C277" s="66">
        <f t="shared" ref="C277:AC277" si="266">((1+C249)^C256)*C249/(((1+C249)^C256)-1)*(C246)/C261</f>
        <v>-3.9998729921153407E-2</v>
      </c>
      <c r="D277" s="66">
        <f t="shared" si="266"/>
        <v>-3.9887944814628609E-2</v>
      </c>
      <c r="E277" s="66">
        <f t="shared" si="266"/>
        <v>-3.9731360712324824E-2</v>
      </c>
      <c r="F277" s="66">
        <f t="shared" si="266"/>
        <v>-3.9511519457701538E-2</v>
      </c>
      <c r="G277" s="66">
        <f t="shared" si="266"/>
        <v>-3.9205860308928503E-2</v>
      </c>
      <c r="H277" s="66">
        <f t="shared" si="266"/>
        <v>-3.8786813050692162E-2</v>
      </c>
      <c r="I277" s="66">
        <f t="shared" si="266"/>
        <v>-3.8223658438911338E-2</v>
      </c>
      <c r="J277" s="66">
        <f t="shared" si="266"/>
        <v>-3.748750656784388E-2</v>
      </c>
      <c r="K277" s="66">
        <f t="shared" si="266"/>
        <v>-3.6560447712050248E-2</v>
      </c>
      <c r="L277" s="66">
        <f t="shared" si="266"/>
        <v>-3.5448003696326488E-2</v>
      </c>
      <c r="M277" s="66">
        <f t="shared" si="266"/>
        <v>-3.4190081311780821E-2</v>
      </c>
      <c r="N277" s="66">
        <f t="shared" si="266"/>
        <v>-3.2862097811541625E-2</v>
      </c>
      <c r="O277" s="66">
        <f t="shared" si="266"/>
        <v>-3.1560246542663664E-2</v>
      </c>
      <c r="P277" s="66">
        <f t="shared" si="266"/>
        <v>-3.0375144535877543E-2</v>
      </c>
      <c r="Q277" s="66">
        <f t="shared" si="266"/>
        <v>-2.9367976591880444E-2</v>
      </c>
      <c r="R277" s="66">
        <f t="shared" si="266"/>
        <v>-2.8561415442298038E-2</v>
      </c>
      <c r="S277" s="66">
        <f t="shared" si="266"/>
        <v>-2.794597348742827E-2</v>
      </c>
      <c r="T277" s="66">
        <f t="shared" si="266"/>
        <v>-2.7493574292082854E-2</v>
      </c>
      <c r="U277" s="66">
        <f t="shared" si="266"/>
        <v>-2.7170115412118195E-2</v>
      </c>
      <c r="V277" s="66">
        <f t="shared" si="266"/>
        <v>-2.6943418505557318E-2</v>
      </c>
      <c r="W277" s="66">
        <f t="shared" si="266"/>
        <v>-2.678675700924292E-2</v>
      </c>
      <c r="X277" s="66">
        <f t="shared" si="266"/>
        <v>-2.6679545740573178E-2</v>
      </c>
      <c r="Y277" s="66">
        <f t="shared" si="266"/>
        <v>-2.6606665432627252E-2</v>
      </c>
      <c r="Z277" s="66">
        <f t="shared" si="266"/>
        <v>-2.6557348139208941E-2</v>
      </c>
      <c r="AA277" s="66">
        <f t="shared" si="266"/>
        <v>-2.6524078641580694E-2</v>
      </c>
      <c r="AB277" s="66">
        <f t="shared" si="266"/>
        <v>-2.6501681781046189E-2</v>
      </c>
      <c r="AC277" s="66">
        <f t="shared" si="266"/>
        <v>-2.6486625500120115E-2</v>
      </c>
    </row>
    <row r="278" spans="1:29" x14ac:dyDescent="0.3">
      <c r="A278" s="30" t="str">
        <f t="shared" si="264"/>
        <v>Capex costumization</v>
      </c>
      <c r="B278" s="66">
        <f>((1+B249)^B257)*B249/(((1+B249)^B257)-1)*(B247)/B261</f>
        <v>3.8819416634395351E-2</v>
      </c>
      <c r="C278" s="66">
        <f t="shared" ref="C278:AC278" si="267">((1+C249)^C257)*C249/(((1+C249)^C257)-1)*(C247)/C261</f>
        <v>3.8819416634395351E-2</v>
      </c>
      <c r="D278" s="66">
        <f t="shared" si="267"/>
        <v>3.8819416634395351E-2</v>
      </c>
      <c r="E278" s="66">
        <f t="shared" si="267"/>
        <v>3.8819416634395351E-2</v>
      </c>
      <c r="F278" s="66">
        <f t="shared" si="267"/>
        <v>3.8819416634395351E-2</v>
      </c>
      <c r="G278" s="66">
        <f t="shared" si="267"/>
        <v>3.8819416634395351E-2</v>
      </c>
      <c r="H278" s="66">
        <f t="shared" si="267"/>
        <v>3.8819416634395351E-2</v>
      </c>
      <c r="I278" s="66">
        <f t="shared" si="267"/>
        <v>3.8819416634395351E-2</v>
      </c>
      <c r="J278" s="66">
        <f t="shared" si="267"/>
        <v>3.8819416634395351E-2</v>
      </c>
      <c r="K278" s="66">
        <f t="shared" si="267"/>
        <v>3.8819416634395351E-2</v>
      </c>
      <c r="L278" s="66">
        <f t="shared" si="267"/>
        <v>3.8819416634395351E-2</v>
      </c>
      <c r="M278" s="66">
        <f t="shared" si="267"/>
        <v>3.8819416634395351E-2</v>
      </c>
      <c r="N278" s="66">
        <f t="shared" si="267"/>
        <v>3.8819416634395351E-2</v>
      </c>
      <c r="O278" s="66">
        <f t="shared" si="267"/>
        <v>3.8819416634395351E-2</v>
      </c>
      <c r="P278" s="66">
        <f t="shared" si="267"/>
        <v>3.8819416634395351E-2</v>
      </c>
      <c r="Q278" s="66">
        <f t="shared" si="267"/>
        <v>3.8819416634395351E-2</v>
      </c>
      <c r="R278" s="66">
        <f t="shared" si="267"/>
        <v>3.8819416634395351E-2</v>
      </c>
      <c r="S278" s="66">
        <f t="shared" si="267"/>
        <v>3.8819416634395351E-2</v>
      </c>
      <c r="T278" s="66">
        <f t="shared" si="267"/>
        <v>3.8819416634395351E-2</v>
      </c>
      <c r="U278" s="66">
        <f t="shared" si="267"/>
        <v>3.8819416634395351E-2</v>
      </c>
      <c r="V278" s="66">
        <f t="shared" si="267"/>
        <v>3.8819416634395351E-2</v>
      </c>
      <c r="W278" s="66">
        <f t="shared" si="267"/>
        <v>3.8819416634395351E-2</v>
      </c>
      <c r="X278" s="66">
        <f t="shared" si="267"/>
        <v>3.8819416634395351E-2</v>
      </c>
      <c r="Y278" s="66">
        <f t="shared" si="267"/>
        <v>3.8819416634395351E-2</v>
      </c>
      <c r="Z278" s="66">
        <f t="shared" si="267"/>
        <v>3.8819416634395351E-2</v>
      </c>
      <c r="AA278" s="66">
        <f t="shared" si="267"/>
        <v>3.8819416634395351E-2</v>
      </c>
      <c r="AB278" s="66">
        <f t="shared" si="267"/>
        <v>3.8819416634395351E-2</v>
      </c>
      <c r="AC278" s="66">
        <f t="shared" si="267"/>
        <v>3.8819416634395351E-2</v>
      </c>
    </row>
    <row r="279" spans="1:29" x14ac:dyDescent="0.3">
      <c r="A279" s="30" t="str">
        <f t="shared" si="264"/>
        <v>Residual value (costumization)</v>
      </c>
      <c r="B279" s="66">
        <f>((1+B249)^B257)*B249/(((1+B249)^B257)-1)*(B248)/B261</f>
        <v>-9.7048541585988378E-3</v>
      </c>
      <c r="C279" s="66">
        <f t="shared" ref="C279:AC279" si="268">((1+C249)^C257)*C249/(((1+C249)^C257)-1)*(C248)/C261</f>
        <v>-9.7048541585988378E-3</v>
      </c>
      <c r="D279" s="66">
        <f t="shared" si="268"/>
        <v>-9.7048541585988378E-3</v>
      </c>
      <c r="E279" s="66">
        <f t="shared" si="268"/>
        <v>-9.7048541585988378E-3</v>
      </c>
      <c r="F279" s="66">
        <f t="shared" si="268"/>
        <v>-9.7048541585988378E-3</v>
      </c>
      <c r="G279" s="66">
        <f t="shared" si="268"/>
        <v>-9.7048541585988378E-3</v>
      </c>
      <c r="H279" s="66">
        <f t="shared" si="268"/>
        <v>-9.7048541585988378E-3</v>
      </c>
      <c r="I279" s="66">
        <f t="shared" si="268"/>
        <v>-9.7048541585988378E-3</v>
      </c>
      <c r="J279" s="66">
        <f t="shared" si="268"/>
        <v>-9.7048541585988378E-3</v>
      </c>
      <c r="K279" s="66">
        <f t="shared" si="268"/>
        <v>-9.7048541585988378E-3</v>
      </c>
      <c r="L279" s="66">
        <f t="shared" si="268"/>
        <v>-9.7048541585988378E-3</v>
      </c>
      <c r="M279" s="66">
        <f t="shared" si="268"/>
        <v>-9.7048541585988378E-3</v>
      </c>
      <c r="N279" s="66">
        <f t="shared" si="268"/>
        <v>-9.7048541585988378E-3</v>
      </c>
      <c r="O279" s="66">
        <f t="shared" si="268"/>
        <v>-9.7048541585988378E-3</v>
      </c>
      <c r="P279" s="66">
        <f t="shared" si="268"/>
        <v>-9.7048541585988378E-3</v>
      </c>
      <c r="Q279" s="66">
        <f t="shared" si="268"/>
        <v>-9.7048541585988378E-3</v>
      </c>
      <c r="R279" s="66">
        <f t="shared" si="268"/>
        <v>-9.7048541585988378E-3</v>
      </c>
      <c r="S279" s="66">
        <f t="shared" si="268"/>
        <v>-9.7048541585988378E-3</v>
      </c>
      <c r="T279" s="66">
        <f t="shared" si="268"/>
        <v>-9.7048541585988378E-3</v>
      </c>
      <c r="U279" s="66">
        <f t="shared" si="268"/>
        <v>-9.7048541585988378E-3</v>
      </c>
      <c r="V279" s="66">
        <f t="shared" si="268"/>
        <v>-9.7048541585988378E-3</v>
      </c>
      <c r="W279" s="66">
        <f t="shared" si="268"/>
        <v>-9.7048541585988378E-3</v>
      </c>
      <c r="X279" s="66">
        <f t="shared" si="268"/>
        <v>-9.7048541585988378E-3</v>
      </c>
      <c r="Y279" s="66">
        <f t="shared" si="268"/>
        <v>-9.7048541585988378E-3</v>
      </c>
      <c r="Z279" s="66">
        <f t="shared" si="268"/>
        <v>-9.7048541585988378E-3</v>
      </c>
      <c r="AA279" s="66">
        <f t="shared" si="268"/>
        <v>-9.7048541585988378E-3</v>
      </c>
      <c r="AB279" s="66">
        <f t="shared" si="268"/>
        <v>-9.7048541585988378E-3</v>
      </c>
      <c r="AC279" s="66">
        <f t="shared" si="268"/>
        <v>-9.7048541585988378E-3</v>
      </c>
    </row>
    <row r="280" spans="1:29" x14ac:dyDescent="0.3">
      <c r="A280" s="30" t="str">
        <f t="shared" si="264"/>
        <v>Opex fix (admin, crew, insurance)</v>
      </c>
      <c r="B280" s="66">
        <f>B250/B261</f>
        <v>0.66666666666666663</v>
      </c>
      <c r="C280" s="66">
        <f t="shared" ref="C280:AC280" si="269">C250/C261</f>
        <v>0.66666666666666663</v>
      </c>
      <c r="D280" s="66">
        <f t="shared" si="269"/>
        <v>0.66666666666666663</v>
      </c>
      <c r="E280" s="66">
        <f t="shared" si="269"/>
        <v>0.66666666666666663</v>
      </c>
      <c r="F280" s="66">
        <f t="shared" si="269"/>
        <v>0.66666666666666663</v>
      </c>
      <c r="G280" s="66">
        <f t="shared" si="269"/>
        <v>0.66666666666666663</v>
      </c>
      <c r="H280" s="66">
        <f t="shared" si="269"/>
        <v>0.66666666666666663</v>
      </c>
      <c r="I280" s="66">
        <f t="shared" si="269"/>
        <v>0.66666666666666663</v>
      </c>
      <c r="J280" s="66">
        <f t="shared" si="269"/>
        <v>0.66666666666666663</v>
      </c>
      <c r="K280" s="66">
        <f t="shared" si="269"/>
        <v>0.66666666666666663</v>
      </c>
      <c r="L280" s="66">
        <f t="shared" si="269"/>
        <v>0.66666666666666663</v>
      </c>
      <c r="M280" s="66">
        <f t="shared" si="269"/>
        <v>0.66666666666666663</v>
      </c>
      <c r="N280" s="66">
        <f t="shared" si="269"/>
        <v>0.66666666666666663</v>
      </c>
      <c r="O280" s="66">
        <f t="shared" si="269"/>
        <v>0.66666666666666663</v>
      </c>
      <c r="P280" s="66">
        <f t="shared" si="269"/>
        <v>0.66666666666666663</v>
      </c>
      <c r="Q280" s="66">
        <f t="shared" si="269"/>
        <v>0.66666666666666663</v>
      </c>
      <c r="R280" s="66">
        <f t="shared" si="269"/>
        <v>0.66666666666666663</v>
      </c>
      <c r="S280" s="66">
        <f t="shared" si="269"/>
        <v>0.66666666666666663</v>
      </c>
      <c r="T280" s="66">
        <f t="shared" si="269"/>
        <v>0.66666666666666663</v>
      </c>
      <c r="U280" s="66">
        <f t="shared" si="269"/>
        <v>0.66666666666666663</v>
      </c>
      <c r="V280" s="66">
        <f t="shared" si="269"/>
        <v>0.66666666666666663</v>
      </c>
      <c r="W280" s="66">
        <f t="shared" si="269"/>
        <v>0.66666666666666663</v>
      </c>
      <c r="X280" s="66">
        <f t="shared" si="269"/>
        <v>0.66666666666666663</v>
      </c>
      <c r="Y280" s="66">
        <f t="shared" si="269"/>
        <v>0.66666666666666663</v>
      </c>
      <c r="Z280" s="66">
        <f t="shared" si="269"/>
        <v>0.66666666666666663</v>
      </c>
      <c r="AA280" s="66">
        <f t="shared" si="269"/>
        <v>0.66666666666666663</v>
      </c>
      <c r="AB280" s="66">
        <f t="shared" si="269"/>
        <v>0.66666666666666663</v>
      </c>
      <c r="AC280" s="66">
        <f t="shared" si="269"/>
        <v>0.66666666666666663</v>
      </c>
    </row>
    <row r="281" spans="1:29" x14ac:dyDescent="0.3">
      <c r="A281" s="30" t="str">
        <f t="shared" si="264"/>
        <v>Opex maintenance &amp; repair</v>
      </c>
      <c r="B281" s="66">
        <f>B251/B261</f>
        <v>0.19047619047619047</v>
      </c>
      <c r="C281" s="66">
        <f t="shared" ref="C281:AC281" si="270">C251/C261</f>
        <v>0.19047619047619047</v>
      </c>
      <c r="D281" s="66">
        <f t="shared" si="270"/>
        <v>0.19047619047619047</v>
      </c>
      <c r="E281" s="66">
        <f t="shared" si="270"/>
        <v>0.19047619047619047</v>
      </c>
      <c r="F281" s="66">
        <f t="shared" si="270"/>
        <v>0.19047619047619047</v>
      </c>
      <c r="G281" s="66">
        <f t="shared" si="270"/>
        <v>0.19047619047619047</v>
      </c>
      <c r="H281" s="66">
        <f t="shared" si="270"/>
        <v>0.19047619047619047</v>
      </c>
      <c r="I281" s="66">
        <f t="shared" si="270"/>
        <v>0.19047619047619047</v>
      </c>
      <c r="J281" s="66">
        <f t="shared" si="270"/>
        <v>0.19047619047619047</v>
      </c>
      <c r="K281" s="66">
        <f t="shared" si="270"/>
        <v>0.19047619047619047</v>
      </c>
      <c r="L281" s="66">
        <f t="shared" si="270"/>
        <v>0.19047619047619047</v>
      </c>
      <c r="M281" s="66">
        <f t="shared" si="270"/>
        <v>0.19047619047619047</v>
      </c>
      <c r="N281" s="66">
        <f t="shared" si="270"/>
        <v>0.19047619047619047</v>
      </c>
      <c r="O281" s="66">
        <f t="shared" si="270"/>
        <v>0.19047619047619047</v>
      </c>
      <c r="P281" s="66">
        <f t="shared" si="270"/>
        <v>0.19047619047619047</v>
      </c>
      <c r="Q281" s="66">
        <f t="shared" si="270"/>
        <v>0.19047619047619047</v>
      </c>
      <c r="R281" s="66">
        <f t="shared" si="270"/>
        <v>0.19047619047619047</v>
      </c>
      <c r="S281" s="66">
        <f t="shared" si="270"/>
        <v>0.19047619047619047</v>
      </c>
      <c r="T281" s="66">
        <f t="shared" si="270"/>
        <v>0.19047619047619047</v>
      </c>
      <c r="U281" s="66">
        <f t="shared" si="270"/>
        <v>0.19047619047619047</v>
      </c>
      <c r="V281" s="66">
        <f t="shared" si="270"/>
        <v>0.19047619047619047</v>
      </c>
      <c r="W281" s="66">
        <f t="shared" si="270"/>
        <v>0.19047619047619047</v>
      </c>
      <c r="X281" s="66">
        <f t="shared" si="270"/>
        <v>0.19047619047619047</v>
      </c>
      <c r="Y281" s="66">
        <f t="shared" si="270"/>
        <v>0.19047619047619047</v>
      </c>
      <c r="Z281" s="66">
        <f t="shared" si="270"/>
        <v>0.19047619047619047</v>
      </c>
      <c r="AA281" s="66">
        <f t="shared" si="270"/>
        <v>0.19047619047619047</v>
      </c>
      <c r="AB281" s="66">
        <f t="shared" si="270"/>
        <v>0.19047619047619047</v>
      </c>
      <c r="AC281" s="66">
        <f t="shared" si="270"/>
        <v>0.19047619047619047</v>
      </c>
    </row>
    <row r="282" spans="1:29" x14ac:dyDescent="0.3">
      <c r="A282" s="30" t="str">
        <f t="shared" si="264"/>
        <v>Opex var (mode-fees)</v>
      </c>
      <c r="B282" s="66">
        <f>B252*B261/B261</f>
        <v>0.11</v>
      </c>
      <c r="C282" s="66">
        <f t="shared" ref="C282:AC282" si="271">C252*C261/C261</f>
        <v>0.11</v>
      </c>
      <c r="D282" s="66">
        <f t="shared" si="271"/>
        <v>0.11</v>
      </c>
      <c r="E282" s="66">
        <f t="shared" si="271"/>
        <v>0.11</v>
      </c>
      <c r="F282" s="66">
        <f t="shared" si="271"/>
        <v>0.11</v>
      </c>
      <c r="G282" s="66">
        <f t="shared" si="271"/>
        <v>0.11</v>
      </c>
      <c r="H282" s="66">
        <f t="shared" si="271"/>
        <v>0.11</v>
      </c>
      <c r="I282" s="66">
        <f t="shared" si="271"/>
        <v>0.11</v>
      </c>
      <c r="J282" s="66">
        <f t="shared" si="271"/>
        <v>0.11</v>
      </c>
      <c r="K282" s="66">
        <f t="shared" si="271"/>
        <v>0.11</v>
      </c>
      <c r="L282" s="66">
        <f t="shared" si="271"/>
        <v>0.11</v>
      </c>
      <c r="M282" s="66">
        <f t="shared" si="271"/>
        <v>0.11</v>
      </c>
      <c r="N282" s="66">
        <f t="shared" si="271"/>
        <v>0.11</v>
      </c>
      <c r="O282" s="66">
        <f t="shared" si="271"/>
        <v>0.11</v>
      </c>
      <c r="P282" s="66">
        <f t="shared" si="271"/>
        <v>0.11</v>
      </c>
      <c r="Q282" s="66">
        <f t="shared" si="271"/>
        <v>0.11</v>
      </c>
      <c r="R282" s="66">
        <f t="shared" si="271"/>
        <v>0.11</v>
      </c>
      <c r="S282" s="66">
        <f t="shared" si="271"/>
        <v>0.11</v>
      </c>
      <c r="T282" s="66">
        <f t="shared" si="271"/>
        <v>0.11</v>
      </c>
      <c r="U282" s="66">
        <f t="shared" si="271"/>
        <v>0.11</v>
      </c>
      <c r="V282" s="66">
        <f t="shared" si="271"/>
        <v>0.11</v>
      </c>
      <c r="W282" s="66">
        <f t="shared" si="271"/>
        <v>0.11</v>
      </c>
      <c r="X282" s="66">
        <f t="shared" si="271"/>
        <v>0.11</v>
      </c>
      <c r="Y282" s="66">
        <f t="shared" si="271"/>
        <v>0.11</v>
      </c>
      <c r="Z282" s="66">
        <f t="shared" si="271"/>
        <v>0.11</v>
      </c>
      <c r="AA282" s="66">
        <f t="shared" si="271"/>
        <v>0.11</v>
      </c>
      <c r="AB282" s="66">
        <f t="shared" si="271"/>
        <v>0.11</v>
      </c>
      <c r="AC282" s="66">
        <f t="shared" si="271"/>
        <v>0.11</v>
      </c>
    </row>
    <row r="283" spans="1:29" x14ac:dyDescent="0.3">
      <c r="A283" s="30" t="str">
        <f t="shared" si="264"/>
        <v>Fuel Cost</v>
      </c>
      <c r="B283" s="66">
        <f>B253*B254*B261/B261</f>
        <v>0.28933989307874186</v>
      </c>
      <c r="C283" s="66">
        <f t="shared" ref="C283:AC283" si="272">C253*C254*C261/C261</f>
        <v>0.28905725488142914</v>
      </c>
      <c r="D283" s="66">
        <f t="shared" si="272"/>
        <v>0.28865594915793602</v>
      </c>
      <c r="E283" s="66">
        <f t="shared" si="272"/>
        <v>0.28808874208079643</v>
      </c>
      <c r="F283" s="66">
        <f t="shared" si="272"/>
        <v>0.28729239357775571</v>
      </c>
      <c r="G283" s="66">
        <f t="shared" si="272"/>
        <v>0.28618518007507071</v>
      </c>
      <c r="H283" s="66">
        <f t="shared" si="272"/>
        <v>0.28466723178382919</v>
      </c>
      <c r="I283" s="66">
        <f t="shared" si="272"/>
        <v>0.28262727193716353</v>
      </c>
      <c r="J283" s="66">
        <f t="shared" si="272"/>
        <v>0.27996065032631196</v>
      </c>
      <c r="K283" s="66">
        <f t="shared" si="272"/>
        <v>0.27660249112499669</v>
      </c>
      <c r="L283" s="66">
        <f t="shared" si="272"/>
        <v>0.27257279647939331</v>
      </c>
      <c r="M283" s="66">
        <f t="shared" si="272"/>
        <v>0.26801612394042479</v>
      </c>
      <c r="N283" s="66">
        <f t="shared" si="272"/>
        <v>0.26320566343659263</v>
      </c>
      <c r="O283" s="66">
        <f t="shared" si="272"/>
        <v>0.25848986379776195</v>
      </c>
      <c r="P283" s="66">
        <f t="shared" si="272"/>
        <v>0.2541969743186156</v>
      </c>
      <c r="Q283" s="66">
        <f t="shared" si="272"/>
        <v>0.25054862958055885</v>
      </c>
      <c r="R283" s="66">
        <f t="shared" si="272"/>
        <v>0.24762695882689911</v>
      </c>
      <c r="S283" s="66">
        <f t="shared" si="272"/>
        <v>0.245397594368855</v>
      </c>
      <c r="T283" s="66">
        <f t="shared" si="272"/>
        <v>0.2437588326969046</v>
      </c>
      <c r="U283" s="66">
        <f t="shared" si="272"/>
        <v>0.24258714180887511</v>
      </c>
      <c r="V283" s="66">
        <f t="shared" si="272"/>
        <v>0.24176595953126731</v>
      </c>
      <c r="W283" s="66">
        <f t="shared" si="272"/>
        <v>0.24119847210363288</v>
      </c>
      <c r="X283" s="66">
        <f t="shared" si="272"/>
        <v>0.24081011217791951</v>
      </c>
      <c r="Y283" s="66">
        <f t="shared" si="272"/>
        <v>0.24054611202820542</v>
      </c>
      <c r="Z283" s="66">
        <f t="shared" si="272"/>
        <v>0.24036746606453044</v>
      </c>
      <c r="AA283" s="66">
        <f t="shared" si="272"/>
        <v>0.24024695131092527</v>
      </c>
      <c r="AB283" s="66">
        <f t="shared" si="272"/>
        <v>0.24016582137746481</v>
      </c>
      <c r="AC283" s="66">
        <f t="shared" si="272"/>
        <v>0.24011128181073338</v>
      </c>
    </row>
    <row r="284" spans="1:29" ht="15" thickBot="1" x14ac:dyDescent="0.35">
      <c r="A284" s="59" t="str">
        <f>A235</f>
        <v>Emission Cost</v>
      </c>
      <c r="B284" s="66">
        <f>B255</f>
        <v>7.7639122778339092E-2</v>
      </c>
      <c r="C284" s="66">
        <f t="shared" ref="C284:AC284" si="273">C255</f>
        <v>7.777844914537467E-2</v>
      </c>
      <c r="D284" s="66">
        <f t="shared" si="273"/>
        <v>7.7977891736541474E-2</v>
      </c>
      <c r="E284" s="66">
        <f t="shared" si="273"/>
        <v>7.8263208388635597E-2</v>
      </c>
      <c r="F284" s="66">
        <f t="shared" si="273"/>
        <v>7.8670988842723152E-2</v>
      </c>
      <c r="G284" s="66">
        <f t="shared" si="273"/>
        <v>7.925297967571665E-2</v>
      </c>
      <c r="H284" s="66">
        <f t="shared" si="273"/>
        <v>8.0081877399879431E-2</v>
      </c>
      <c r="I284" s="66">
        <f t="shared" si="273"/>
        <v>8.1258793344219593E-2</v>
      </c>
      <c r="J284" s="66">
        <f t="shared" si="273"/>
        <v>8.2922250937142977E-2</v>
      </c>
      <c r="K284" s="66">
        <f t="shared" si="273"/>
        <v>8.5257715386346467E-2</v>
      </c>
      <c r="L284" s="66">
        <f t="shared" si="273"/>
        <v>8.8504858770587308E-2</v>
      </c>
      <c r="M284" s="66">
        <f t="shared" si="273"/>
        <v>9.2956570874505887E-2</v>
      </c>
      <c r="N284" s="66">
        <f t="shared" si="273"/>
        <v>9.8939194915988959E-2</v>
      </c>
      <c r="O284" s="66">
        <f t="shared" si="273"/>
        <v>0.10675964029617348</v>
      </c>
      <c r="P284" s="66">
        <f t="shared" si="273"/>
        <v>0.11660816942568256</v>
      </c>
      <c r="Q284" s="66">
        <f t="shared" si="273"/>
        <v>0.12842612167902054</v>
      </c>
      <c r="R284" s="66">
        <f t="shared" si="273"/>
        <v>0.14178955073148763</v>
      </c>
      <c r="S284" s="66">
        <f t="shared" si="273"/>
        <v>0.15589726795340736</v>
      </c>
      <c r="T284" s="66">
        <f t="shared" si="273"/>
        <v>0.16972737168814467</v>
      </c>
      <c r="U284" s="66">
        <f t="shared" si="273"/>
        <v>0.18231719979056973</v>
      </c>
      <c r="V284" s="66">
        <f t="shared" si="273"/>
        <v>0.19301676085163266</v>
      </c>
      <c r="W284" s="66">
        <f t="shared" si="273"/>
        <v>0.20158519307872402</v>
      </c>
      <c r="X284" s="66">
        <f t="shared" si="273"/>
        <v>0.20812328716215528</v>
      </c>
      <c r="Y284" s="66">
        <f t="shared" si="273"/>
        <v>0.21292931066938076</v>
      </c>
      <c r="Z284" s="66">
        <f t="shared" si="273"/>
        <v>0.21636554794991802</v>
      </c>
      <c r="AA284" s="66">
        <f t="shared" si="273"/>
        <v>0.21877384282125395</v>
      </c>
      <c r="AB284" s="66">
        <f t="shared" si="273"/>
        <v>0.22043812260271833</v>
      </c>
      <c r="AC284" s="66">
        <f t="shared" si="273"/>
        <v>0.22157707219141698</v>
      </c>
    </row>
    <row r="285" spans="1:29" ht="15" thickBot="1" x14ac:dyDescent="0.35">
      <c r="A285" s="31" t="s">
        <v>63</v>
      </c>
      <c r="B285" s="76">
        <f>B276+B277+B278-B279+B280+B281+B282+B283+B284</f>
        <v>1.5038078089439726</v>
      </c>
      <c r="C285" s="76">
        <f t="shared" ref="C285:AC285" si="274">C276+C277+C278-C279+C280+C281+C282+C283+C284</f>
        <v>1.5038292177350516</v>
      </c>
      <c r="D285" s="76">
        <f t="shared" si="274"/>
        <v>1.5038612342720554</v>
      </c>
      <c r="E285" s="76">
        <f t="shared" si="274"/>
        <v>1.5039099102852069</v>
      </c>
      <c r="F285" s="76">
        <f t="shared" si="274"/>
        <v>1.5039854515515696</v>
      </c>
      <c r="G285" s="76">
        <f t="shared" si="274"/>
        <v>1.5041055093070657</v>
      </c>
      <c r="H285" s="76">
        <f t="shared" si="274"/>
        <v>1.5043011140629303</v>
      </c>
      <c r="I285" s="76">
        <f t="shared" si="274"/>
        <v>1.5046269521188087</v>
      </c>
      <c r="J285" s="76">
        <f t="shared" si="274"/>
        <v>1.5051778864953562</v>
      </c>
      <c r="K285" s="76">
        <f t="shared" si="274"/>
        <v>1.5061123159943643</v>
      </c>
      <c r="L285" s="76">
        <f t="shared" si="274"/>
        <v>1.5076782576550853</v>
      </c>
      <c r="M285" s="76">
        <f t="shared" si="274"/>
        <v>1.5102289111429652</v>
      </c>
      <c r="N285" s="76">
        <f t="shared" si="274"/>
        <v>1.5142045954033434</v>
      </c>
      <c r="O285" s="76">
        <f t="shared" si="274"/>
        <v>1.5200575938234395</v>
      </c>
      <c r="P285" s="76">
        <f t="shared" si="274"/>
        <v>1.5281151154881285</v>
      </c>
      <c r="Q285" s="76">
        <f t="shared" si="274"/>
        <v>1.5384109664407368</v>
      </c>
      <c r="R285" s="76">
        <f t="shared" si="274"/>
        <v>1.5505554649442181</v>
      </c>
      <c r="S285" s="76">
        <f t="shared" si="274"/>
        <v>1.5637330840572634</v>
      </c>
      <c r="T285" s="76">
        <f t="shared" si="274"/>
        <v>1.5768794910880017</v>
      </c>
      <c r="U285" s="76">
        <f t="shared" si="274"/>
        <v>1.5889804859378782</v>
      </c>
      <c r="V285" s="76">
        <f t="shared" si="274"/>
        <v>1.5993374470796284</v>
      </c>
      <c r="W285" s="76">
        <f t="shared" si="274"/>
        <v>1.6076691217046379</v>
      </c>
      <c r="X285" s="76">
        <f t="shared" si="274"/>
        <v>1.614045190762881</v>
      </c>
      <c r="Y285" s="76">
        <f t="shared" si="274"/>
        <v>1.618741072548278</v>
      </c>
      <c r="Z285" s="76">
        <f t="shared" si="274"/>
        <v>1.6221027781512458</v>
      </c>
      <c r="AA285" s="76">
        <f t="shared" si="274"/>
        <v>1.6244607938750808</v>
      </c>
      <c r="AB285" s="76">
        <f t="shared" si="274"/>
        <v>1.6260912259842131</v>
      </c>
      <c r="AC285" s="76">
        <f t="shared" si="274"/>
        <v>1.6272074214881351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75">A264</f>
        <v>Capex vehicle</v>
      </c>
      <c r="B288" s="65">
        <f>((1+B249)^B256)*B249/(((1+B249)^B256)-1)*(B245)/B261/(B258)</f>
        <v>6.4495368251871292E-3</v>
      </c>
      <c r="C288" s="65">
        <f t="shared" ref="C288:AC288" si="276">((1+C249)^C256)*C249/(((1+C249)^C256)-1)*(C245)/C261/(C258)</f>
        <v>6.4530046277419947E-3</v>
      </c>
      <c r="D288" s="65">
        <f t="shared" si="276"/>
        <v>6.4579284102542081E-3</v>
      </c>
      <c r="E288" s="65">
        <f t="shared" si="276"/>
        <v>6.4648877036899317E-3</v>
      </c>
      <c r="F288" s="65">
        <f t="shared" si="276"/>
        <v>6.4746584261176346E-3</v>
      </c>
      <c r="G288" s="65">
        <f t="shared" si="276"/>
        <v>6.4882432771742127E-3</v>
      </c>
      <c r="H288" s="65">
        <f t="shared" si="276"/>
        <v>6.5068675997624944E-3</v>
      </c>
      <c r="I288" s="65">
        <f t="shared" si="276"/>
        <v>6.5318966936194203E-3</v>
      </c>
      <c r="J288" s="65">
        <f t="shared" si="276"/>
        <v>6.564614554555751E-3</v>
      </c>
      <c r="K288" s="65">
        <f t="shared" si="276"/>
        <v>6.6058171703688032E-3</v>
      </c>
      <c r="L288" s="65">
        <f t="shared" si="276"/>
        <v>6.6552591266231921E-3</v>
      </c>
      <c r="M288" s="65">
        <f t="shared" si="276"/>
        <v>6.7111667881585542E-3</v>
      </c>
      <c r="N288" s="65">
        <f t="shared" si="276"/>
        <v>6.7701882770580743E-3</v>
      </c>
      <c r="O288" s="65">
        <f t="shared" si="276"/>
        <v>6.8280483334526507E-3</v>
      </c>
      <c r="P288" s="65">
        <f t="shared" si="276"/>
        <v>6.8807195337542556E-3</v>
      </c>
      <c r="Q288" s="65">
        <f t="shared" si="276"/>
        <v>6.9254825534874609E-3</v>
      </c>
      <c r="R288" s="65">
        <f t="shared" si="276"/>
        <v>6.9613297156911223E-3</v>
      </c>
      <c r="S288" s="65">
        <f t="shared" si="276"/>
        <v>6.9886826914631129E-3</v>
      </c>
      <c r="T288" s="65">
        <f t="shared" si="276"/>
        <v>7.0087893223673538E-3</v>
      </c>
      <c r="U288" s="65">
        <f t="shared" si="276"/>
        <v>7.0231652725880047E-3</v>
      </c>
      <c r="V288" s="65">
        <f t="shared" si="276"/>
        <v>7.0332406906573773E-3</v>
      </c>
      <c r="W288" s="65">
        <f t="shared" si="276"/>
        <v>7.0402034238269051E-3</v>
      </c>
      <c r="X288" s="65">
        <f t="shared" si="276"/>
        <v>7.0449683691011155E-3</v>
      </c>
      <c r="Y288" s="65">
        <f t="shared" si="276"/>
        <v>7.0482074938987135E-3</v>
      </c>
      <c r="Z288" s="65">
        <f t="shared" si="276"/>
        <v>7.0503993736061943E-3</v>
      </c>
      <c r="AA288" s="65">
        <f t="shared" si="276"/>
        <v>7.0518780179452279E-3</v>
      </c>
      <c r="AB288" s="65">
        <f t="shared" si="276"/>
        <v>7.0528734339689834E-3</v>
      </c>
      <c r="AC288" s="65">
        <f t="shared" si="276"/>
        <v>7.0535426020101408E-3</v>
      </c>
    </row>
    <row r="289" spans="1:29" x14ac:dyDescent="0.3">
      <c r="A289" s="30" t="str">
        <f t="shared" si="275"/>
        <v>Residual value (vehicle)</v>
      </c>
      <c r="B289" s="68">
        <f>((1+B249)^B256)*B249/(((1+B249)^B256)-1)*(B246)/B261/(B258)</f>
        <v>-1.6030702191455165E-3</v>
      </c>
      <c r="C289" s="68">
        <f t="shared" ref="C289:AC289" si="277">((1+C249)^C256)*C249/(((1+C249)^C256)-1)*(C246)/C261/(C258)</f>
        <v>-1.5999491968461362E-3</v>
      </c>
      <c r="D289" s="68">
        <f t="shared" si="277"/>
        <v>-1.5955177925851443E-3</v>
      </c>
      <c r="E289" s="68">
        <f t="shared" si="277"/>
        <v>-1.5892544284929931E-3</v>
      </c>
      <c r="F289" s="68">
        <f t="shared" si="277"/>
        <v>-1.5804607783080616E-3</v>
      </c>
      <c r="G289" s="68">
        <f t="shared" si="277"/>
        <v>-1.5682344123571401E-3</v>
      </c>
      <c r="H289" s="68">
        <f t="shared" si="277"/>
        <v>-1.5514725220276864E-3</v>
      </c>
      <c r="I289" s="68">
        <f t="shared" si="277"/>
        <v>-1.5289463375564535E-3</v>
      </c>
      <c r="J289" s="68">
        <f t="shared" si="277"/>
        <v>-1.4995002627137552E-3</v>
      </c>
      <c r="K289" s="68">
        <f t="shared" si="277"/>
        <v>-1.4624179084820098E-3</v>
      </c>
      <c r="L289" s="68">
        <f t="shared" si="277"/>
        <v>-1.4179201478530595E-3</v>
      </c>
      <c r="M289" s="68">
        <f t="shared" si="277"/>
        <v>-1.3676032524712327E-3</v>
      </c>
      <c r="N289" s="68">
        <f t="shared" si="277"/>
        <v>-1.314483912461665E-3</v>
      </c>
      <c r="O289" s="68">
        <f t="shared" si="277"/>
        <v>-1.2624098617065465E-3</v>
      </c>
      <c r="P289" s="68">
        <f t="shared" si="277"/>
        <v>-1.2150057814351016E-3</v>
      </c>
      <c r="Q289" s="68">
        <f t="shared" si="277"/>
        <v>-1.1747190636752177E-3</v>
      </c>
      <c r="R289" s="68">
        <f t="shared" si="277"/>
        <v>-1.1424566176919215E-3</v>
      </c>
      <c r="S289" s="68">
        <f t="shared" si="277"/>
        <v>-1.1178389394971308E-3</v>
      </c>
      <c r="T289" s="68">
        <f t="shared" si="277"/>
        <v>-1.0997429716833142E-3</v>
      </c>
      <c r="U289" s="68">
        <f t="shared" si="277"/>
        <v>-1.0868046164847279E-3</v>
      </c>
      <c r="V289" s="68">
        <f t="shared" si="277"/>
        <v>-1.0777367402222927E-3</v>
      </c>
      <c r="W289" s="68">
        <f t="shared" si="277"/>
        <v>-1.0714702803697167E-3</v>
      </c>
      <c r="X289" s="68">
        <f t="shared" si="277"/>
        <v>-1.0671818296229272E-3</v>
      </c>
      <c r="Y289" s="68">
        <f t="shared" si="277"/>
        <v>-1.06426661730509E-3</v>
      </c>
      <c r="Z289" s="68">
        <f t="shared" si="277"/>
        <v>-1.0622939255683576E-3</v>
      </c>
      <c r="AA289" s="68">
        <f t="shared" si="277"/>
        <v>-1.0609631456632278E-3</v>
      </c>
      <c r="AB289" s="68">
        <f t="shared" si="277"/>
        <v>-1.0600672712418476E-3</v>
      </c>
      <c r="AC289" s="68">
        <f t="shared" si="277"/>
        <v>-1.0594650200048046E-3</v>
      </c>
    </row>
    <row r="290" spans="1:29" x14ac:dyDescent="0.3">
      <c r="A290" s="30" t="str">
        <f t="shared" si="275"/>
        <v>Capex costumization</v>
      </c>
      <c r="B290" s="66">
        <f>((1+B249)^B257)*B249/(((1+B249)^B257)-1)*(B247)/B261/(B258)</f>
        <v>1.552776665375814E-3</v>
      </c>
      <c r="C290" s="66">
        <f t="shared" ref="C290:AC290" si="278">((1+C249)^C257)*C249/(((1+C249)^C257)-1)*(C247)/C261/(C258)</f>
        <v>1.552776665375814E-3</v>
      </c>
      <c r="D290" s="66">
        <f t="shared" si="278"/>
        <v>1.552776665375814E-3</v>
      </c>
      <c r="E290" s="66">
        <f t="shared" si="278"/>
        <v>1.552776665375814E-3</v>
      </c>
      <c r="F290" s="66">
        <f t="shared" si="278"/>
        <v>1.552776665375814E-3</v>
      </c>
      <c r="G290" s="66">
        <f t="shared" si="278"/>
        <v>1.552776665375814E-3</v>
      </c>
      <c r="H290" s="66">
        <f t="shared" si="278"/>
        <v>1.552776665375814E-3</v>
      </c>
      <c r="I290" s="66">
        <f t="shared" si="278"/>
        <v>1.552776665375814E-3</v>
      </c>
      <c r="J290" s="66">
        <f t="shared" si="278"/>
        <v>1.552776665375814E-3</v>
      </c>
      <c r="K290" s="66">
        <f t="shared" si="278"/>
        <v>1.552776665375814E-3</v>
      </c>
      <c r="L290" s="66">
        <f t="shared" si="278"/>
        <v>1.552776665375814E-3</v>
      </c>
      <c r="M290" s="66">
        <f t="shared" si="278"/>
        <v>1.552776665375814E-3</v>
      </c>
      <c r="N290" s="66">
        <f t="shared" si="278"/>
        <v>1.552776665375814E-3</v>
      </c>
      <c r="O290" s="66">
        <f t="shared" si="278"/>
        <v>1.552776665375814E-3</v>
      </c>
      <c r="P290" s="66">
        <f t="shared" si="278"/>
        <v>1.552776665375814E-3</v>
      </c>
      <c r="Q290" s="66">
        <f t="shared" si="278"/>
        <v>1.552776665375814E-3</v>
      </c>
      <c r="R290" s="66">
        <f t="shared" si="278"/>
        <v>1.552776665375814E-3</v>
      </c>
      <c r="S290" s="66">
        <f t="shared" si="278"/>
        <v>1.552776665375814E-3</v>
      </c>
      <c r="T290" s="66">
        <f t="shared" si="278"/>
        <v>1.552776665375814E-3</v>
      </c>
      <c r="U290" s="66">
        <f t="shared" si="278"/>
        <v>1.552776665375814E-3</v>
      </c>
      <c r="V290" s="66">
        <f t="shared" si="278"/>
        <v>1.552776665375814E-3</v>
      </c>
      <c r="W290" s="66">
        <f t="shared" si="278"/>
        <v>1.552776665375814E-3</v>
      </c>
      <c r="X290" s="66">
        <f t="shared" si="278"/>
        <v>1.552776665375814E-3</v>
      </c>
      <c r="Y290" s="66">
        <f t="shared" si="278"/>
        <v>1.552776665375814E-3</v>
      </c>
      <c r="Z290" s="66">
        <f t="shared" si="278"/>
        <v>1.552776665375814E-3</v>
      </c>
      <c r="AA290" s="66">
        <f t="shared" si="278"/>
        <v>1.552776665375814E-3</v>
      </c>
      <c r="AB290" s="66">
        <f t="shared" si="278"/>
        <v>1.552776665375814E-3</v>
      </c>
      <c r="AC290" s="66">
        <f t="shared" si="278"/>
        <v>1.552776665375814E-3</v>
      </c>
    </row>
    <row r="291" spans="1:29" x14ac:dyDescent="0.3">
      <c r="A291" s="30" t="str">
        <f t="shared" si="275"/>
        <v>Residual value (costumization)</v>
      </c>
      <c r="B291" s="69">
        <f>((1+B249)^B257)*B249/(((1+B249)^B257)-1)*(B248)/B261/(B258)</f>
        <v>-3.8819416634395349E-4</v>
      </c>
      <c r="C291" s="69">
        <f t="shared" ref="C291:AC291" si="279">((1+C249)^C257)*C249/(((1+C249)^C257)-1)*(C248)/C261/(C258)</f>
        <v>-3.8819416634395349E-4</v>
      </c>
      <c r="D291" s="69">
        <f t="shared" si="279"/>
        <v>-3.8819416634395349E-4</v>
      </c>
      <c r="E291" s="69">
        <f t="shared" si="279"/>
        <v>-3.8819416634395349E-4</v>
      </c>
      <c r="F291" s="69">
        <f t="shared" si="279"/>
        <v>-3.8819416634395349E-4</v>
      </c>
      <c r="G291" s="69">
        <f t="shared" si="279"/>
        <v>-3.8819416634395349E-4</v>
      </c>
      <c r="H291" s="69">
        <f t="shared" si="279"/>
        <v>-3.8819416634395349E-4</v>
      </c>
      <c r="I291" s="69">
        <f t="shared" si="279"/>
        <v>-3.8819416634395349E-4</v>
      </c>
      <c r="J291" s="69">
        <f t="shared" si="279"/>
        <v>-3.8819416634395349E-4</v>
      </c>
      <c r="K291" s="69">
        <f t="shared" si="279"/>
        <v>-3.8819416634395349E-4</v>
      </c>
      <c r="L291" s="69">
        <f t="shared" si="279"/>
        <v>-3.8819416634395349E-4</v>
      </c>
      <c r="M291" s="69">
        <f t="shared" si="279"/>
        <v>-3.8819416634395349E-4</v>
      </c>
      <c r="N291" s="69">
        <f t="shared" si="279"/>
        <v>-3.8819416634395349E-4</v>
      </c>
      <c r="O291" s="69">
        <f t="shared" si="279"/>
        <v>-3.8819416634395349E-4</v>
      </c>
      <c r="P291" s="69">
        <f t="shared" si="279"/>
        <v>-3.8819416634395349E-4</v>
      </c>
      <c r="Q291" s="69">
        <f t="shared" si="279"/>
        <v>-3.8819416634395349E-4</v>
      </c>
      <c r="R291" s="69">
        <f t="shared" si="279"/>
        <v>-3.8819416634395349E-4</v>
      </c>
      <c r="S291" s="69">
        <f t="shared" si="279"/>
        <v>-3.8819416634395349E-4</v>
      </c>
      <c r="T291" s="69">
        <f t="shared" si="279"/>
        <v>-3.8819416634395349E-4</v>
      </c>
      <c r="U291" s="69">
        <f t="shared" si="279"/>
        <v>-3.8819416634395349E-4</v>
      </c>
      <c r="V291" s="69">
        <f t="shared" si="279"/>
        <v>-3.8819416634395349E-4</v>
      </c>
      <c r="W291" s="69">
        <f t="shared" si="279"/>
        <v>-3.8819416634395349E-4</v>
      </c>
      <c r="X291" s="69">
        <f t="shared" si="279"/>
        <v>-3.8819416634395349E-4</v>
      </c>
      <c r="Y291" s="69">
        <f t="shared" si="279"/>
        <v>-3.8819416634395349E-4</v>
      </c>
      <c r="Z291" s="69">
        <f t="shared" si="279"/>
        <v>-3.8819416634395349E-4</v>
      </c>
      <c r="AA291" s="69">
        <f t="shared" si="279"/>
        <v>-3.8819416634395349E-4</v>
      </c>
      <c r="AB291" s="69">
        <f t="shared" si="279"/>
        <v>-3.8819416634395349E-4</v>
      </c>
      <c r="AC291" s="69">
        <f t="shared" si="279"/>
        <v>-3.8819416634395349E-4</v>
      </c>
    </row>
    <row r="292" spans="1:29" x14ac:dyDescent="0.3">
      <c r="A292" s="30" t="str">
        <f t="shared" si="275"/>
        <v>Opex fix (admin, crew, insurance)</v>
      </c>
      <c r="B292" s="66">
        <f>B250/B261/(B258)</f>
        <v>2.6666666666666665E-2</v>
      </c>
      <c r="C292" s="66">
        <f t="shared" ref="C292:AC292" si="280">C250/C261/(C258)</f>
        <v>2.6666666666666665E-2</v>
      </c>
      <c r="D292" s="66">
        <f t="shared" si="280"/>
        <v>2.6666666666666665E-2</v>
      </c>
      <c r="E292" s="66">
        <f t="shared" si="280"/>
        <v>2.6666666666666665E-2</v>
      </c>
      <c r="F292" s="66">
        <f t="shared" si="280"/>
        <v>2.6666666666666665E-2</v>
      </c>
      <c r="G292" s="66">
        <f t="shared" si="280"/>
        <v>2.6666666666666665E-2</v>
      </c>
      <c r="H292" s="66">
        <f t="shared" si="280"/>
        <v>2.6666666666666665E-2</v>
      </c>
      <c r="I292" s="66">
        <f t="shared" si="280"/>
        <v>2.6666666666666665E-2</v>
      </c>
      <c r="J292" s="66">
        <f t="shared" si="280"/>
        <v>2.6666666666666665E-2</v>
      </c>
      <c r="K292" s="66">
        <f t="shared" si="280"/>
        <v>2.6666666666666665E-2</v>
      </c>
      <c r="L292" s="66">
        <f t="shared" si="280"/>
        <v>2.6666666666666665E-2</v>
      </c>
      <c r="M292" s="66">
        <f t="shared" si="280"/>
        <v>2.6666666666666665E-2</v>
      </c>
      <c r="N292" s="66">
        <f t="shared" si="280"/>
        <v>2.6666666666666665E-2</v>
      </c>
      <c r="O292" s="66">
        <f t="shared" si="280"/>
        <v>2.6666666666666665E-2</v>
      </c>
      <c r="P292" s="66">
        <f t="shared" si="280"/>
        <v>2.6666666666666665E-2</v>
      </c>
      <c r="Q292" s="66">
        <f t="shared" si="280"/>
        <v>2.6666666666666665E-2</v>
      </c>
      <c r="R292" s="66">
        <f t="shared" si="280"/>
        <v>2.6666666666666665E-2</v>
      </c>
      <c r="S292" s="66">
        <f t="shared" si="280"/>
        <v>2.6666666666666665E-2</v>
      </c>
      <c r="T292" s="66">
        <f t="shared" si="280"/>
        <v>2.6666666666666665E-2</v>
      </c>
      <c r="U292" s="66">
        <f t="shared" si="280"/>
        <v>2.6666666666666665E-2</v>
      </c>
      <c r="V292" s="66">
        <f t="shared" si="280"/>
        <v>2.6666666666666665E-2</v>
      </c>
      <c r="W292" s="66">
        <f t="shared" si="280"/>
        <v>2.6666666666666665E-2</v>
      </c>
      <c r="X292" s="66">
        <f t="shared" si="280"/>
        <v>2.6666666666666665E-2</v>
      </c>
      <c r="Y292" s="66">
        <f t="shared" si="280"/>
        <v>2.6666666666666665E-2</v>
      </c>
      <c r="Z292" s="66">
        <f t="shared" si="280"/>
        <v>2.6666666666666665E-2</v>
      </c>
      <c r="AA292" s="66">
        <f t="shared" si="280"/>
        <v>2.6666666666666665E-2</v>
      </c>
      <c r="AB292" s="66">
        <f t="shared" si="280"/>
        <v>2.6666666666666665E-2</v>
      </c>
      <c r="AC292" s="66">
        <f t="shared" si="280"/>
        <v>2.6666666666666665E-2</v>
      </c>
    </row>
    <row r="293" spans="1:29" x14ac:dyDescent="0.3">
      <c r="A293" s="30" t="str">
        <f t="shared" si="275"/>
        <v>Opex maintenance &amp; repair</v>
      </c>
      <c r="B293" s="66">
        <f>B251/B261/(B258)</f>
        <v>7.619047619047619E-3</v>
      </c>
      <c r="C293" s="66">
        <f t="shared" ref="C293:AC293" si="281">C251/C261/(C258)</f>
        <v>7.619047619047619E-3</v>
      </c>
      <c r="D293" s="66">
        <f t="shared" si="281"/>
        <v>7.619047619047619E-3</v>
      </c>
      <c r="E293" s="66">
        <f t="shared" si="281"/>
        <v>7.619047619047619E-3</v>
      </c>
      <c r="F293" s="66">
        <f t="shared" si="281"/>
        <v>7.619047619047619E-3</v>
      </c>
      <c r="G293" s="66">
        <f t="shared" si="281"/>
        <v>7.619047619047619E-3</v>
      </c>
      <c r="H293" s="66">
        <f t="shared" si="281"/>
        <v>7.619047619047619E-3</v>
      </c>
      <c r="I293" s="66">
        <f t="shared" si="281"/>
        <v>7.619047619047619E-3</v>
      </c>
      <c r="J293" s="66">
        <f t="shared" si="281"/>
        <v>7.619047619047619E-3</v>
      </c>
      <c r="K293" s="66">
        <f t="shared" si="281"/>
        <v>7.619047619047619E-3</v>
      </c>
      <c r="L293" s="66">
        <f t="shared" si="281"/>
        <v>7.619047619047619E-3</v>
      </c>
      <c r="M293" s="66">
        <f t="shared" si="281"/>
        <v>7.619047619047619E-3</v>
      </c>
      <c r="N293" s="66">
        <f t="shared" si="281"/>
        <v>7.619047619047619E-3</v>
      </c>
      <c r="O293" s="66">
        <f t="shared" si="281"/>
        <v>7.619047619047619E-3</v>
      </c>
      <c r="P293" s="66">
        <f t="shared" si="281"/>
        <v>7.619047619047619E-3</v>
      </c>
      <c r="Q293" s="66">
        <f t="shared" si="281"/>
        <v>7.619047619047619E-3</v>
      </c>
      <c r="R293" s="66">
        <f t="shared" si="281"/>
        <v>7.619047619047619E-3</v>
      </c>
      <c r="S293" s="66">
        <f t="shared" si="281"/>
        <v>7.619047619047619E-3</v>
      </c>
      <c r="T293" s="66">
        <f t="shared" si="281"/>
        <v>7.619047619047619E-3</v>
      </c>
      <c r="U293" s="66">
        <f t="shared" si="281"/>
        <v>7.619047619047619E-3</v>
      </c>
      <c r="V293" s="66">
        <f t="shared" si="281"/>
        <v>7.619047619047619E-3</v>
      </c>
      <c r="W293" s="66">
        <f t="shared" si="281"/>
        <v>7.619047619047619E-3</v>
      </c>
      <c r="X293" s="66">
        <f t="shared" si="281"/>
        <v>7.619047619047619E-3</v>
      </c>
      <c r="Y293" s="66">
        <f t="shared" si="281"/>
        <v>7.619047619047619E-3</v>
      </c>
      <c r="Z293" s="66">
        <f t="shared" si="281"/>
        <v>7.619047619047619E-3</v>
      </c>
      <c r="AA293" s="66">
        <f t="shared" si="281"/>
        <v>7.619047619047619E-3</v>
      </c>
      <c r="AB293" s="66">
        <f t="shared" si="281"/>
        <v>7.619047619047619E-3</v>
      </c>
      <c r="AC293" s="66">
        <f t="shared" si="281"/>
        <v>7.619047619047619E-3</v>
      </c>
    </row>
    <row r="294" spans="1:29" x14ac:dyDescent="0.3">
      <c r="A294" s="30" t="str">
        <f t="shared" si="275"/>
        <v>Opex var (mode-fees)</v>
      </c>
      <c r="B294" s="66">
        <f>B252*B261/B261/(B258)</f>
        <v>4.4000000000000003E-3</v>
      </c>
      <c r="C294" s="66">
        <f t="shared" ref="C294:AC294" si="282">C252*C261/C261/(C258)</f>
        <v>4.4000000000000003E-3</v>
      </c>
      <c r="D294" s="66">
        <f t="shared" si="282"/>
        <v>4.4000000000000003E-3</v>
      </c>
      <c r="E294" s="66">
        <f t="shared" si="282"/>
        <v>4.4000000000000003E-3</v>
      </c>
      <c r="F294" s="66">
        <f t="shared" si="282"/>
        <v>4.4000000000000003E-3</v>
      </c>
      <c r="G294" s="66">
        <f t="shared" si="282"/>
        <v>4.4000000000000003E-3</v>
      </c>
      <c r="H294" s="66">
        <f t="shared" si="282"/>
        <v>4.4000000000000003E-3</v>
      </c>
      <c r="I294" s="66">
        <f t="shared" si="282"/>
        <v>4.4000000000000003E-3</v>
      </c>
      <c r="J294" s="66">
        <f t="shared" si="282"/>
        <v>4.4000000000000003E-3</v>
      </c>
      <c r="K294" s="66">
        <f t="shared" si="282"/>
        <v>4.4000000000000003E-3</v>
      </c>
      <c r="L294" s="66">
        <f t="shared" si="282"/>
        <v>4.4000000000000003E-3</v>
      </c>
      <c r="M294" s="66">
        <f t="shared" si="282"/>
        <v>4.4000000000000003E-3</v>
      </c>
      <c r="N294" s="66">
        <f t="shared" si="282"/>
        <v>4.4000000000000003E-3</v>
      </c>
      <c r="O294" s="66">
        <f t="shared" si="282"/>
        <v>4.4000000000000003E-3</v>
      </c>
      <c r="P294" s="66">
        <f t="shared" si="282"/>
        <v>4.4000000000000003E-3</v>
      </c>
      <c r="Q294" s="66">
        <f t="shared" si="282"/>
        <v>4.4000000000000003E-3</v>
      </c>
      <c r="R294" s="66">
        <f t="shared" si="282"/>
        <v>4.4000000000000003E-3</v>
      </c>
      <c r="S294" s="66">
        <f t="shared" si="282"/>
        <v>4.4000000000000003E-3</v>
      </c>
      <c r="T294" s="66">
        <f t="shared" si="282"/>
        <v>4.4000000000000003E-3</v>
      </c>
      <c r="U294" s="66">
        <f t="shared" si="282"/>
        <v>4.4000000000000003E-3</v>
      </c>
      <c r="V294" s="66">
        <f t="shared" si="282"/>
        <v>4.4000000000000003E-3</v>
      </c>
      <c r="W294" s="66">
        <f t="shared" si="282"/>
        <v>4.4000000000000003E-3</v>
      </c>
      <c r="X294" s="66">
        <f t="shared" si="282"/>
        <v>4.4000000000000003E-3</v>
      </c>
      <c r="Y294" s="66">
        <f t="shared" si="282"/>
        <v>4.4000000000000003E-3</v>
      </c>
      <c r="Z294" s="66">
        <f t="shared" si="282"/>
        <v>4.4000000000000003E-3</v>
      </c>
      <c r="AA294" s="66">
        <f t="shared" si="282"/>
        <v>4.4000000000000003E-3</v>
      </c>
      <c r="AB294" s="66">
        <f t="shared" si="282"/>
        <v>4.4000000000000003E-3</v>
      </c>
      <c r="AC294" s="66">
        <f t="shared" si="282"/>
        <v>4.4000000000000003E-3</v>
      </c>
    </row>
    <row r="295" spans="1:29" x14ac:dyDescent="0.3">
      <c r="A295" s="30" t="str">
        <f t="shared" si="275"/>
        <v>Fuel Cost</v>
      </c>
      <c r="B295" s="66">
        <f>B253*B254*B261/B261/(B258)</f>
        <v>1.1573595723149675E-2</v>
      </c>
      <c r="C295" s="66">
        <f t="shared" ref="C295:AC295" si="283">C253*C254*C261/C261/(C258)</f>
        <v>1.1562290195257166E-2</v>
      </c>
      <c r="D295" s="66">
        <f t="shared" si="283"/>
        <v>1.154623796631744E-2</v>
      </c>
      <c r="E295" s="66">
        <f t="shared" si="283"/>
        <v>1.1523549683231857E-2</v>
      </c>
      <c r="F295" s="66">
        <f t="shared" si="283"/>
        <v>1.1491695743110229E-2</v>
      </c>
      <c r="G295" s="66">
        <f t="shared" si="283"/>
        <v>1.1447407203002828E-2</v>
      </c>
      <c r="H295" s="66">
        <f t="shared" si="283"/>
        <v>1.1386689271353168E-2</v>
      </c>
      <c r="I295" s="66">
        <f t="shared" si="283"/>
        <v>1.130509087748654E-2</v>
      </c>
      <c r="J295" s="66">
        <f t="shared" si="283"/>
        <v>1.1198426013052478E-2</v>
      </c>
      <c r="K295" s="66">
        <f t="shared" si="283"/>
        <v>1.1064099644999867E-2</v>
      </c>
      <c r="L295" s="66">
        <f t="shared" si="283"/>
        <v>1.0902911859175732E-2</v>
      </c>
      <c r="M295" s="66">
        <f t="shared" si="283"/>
        <v>1.0720644957616992E-2</v>
      </c>
      <c r="N295" s="66">
        <f t="shared" si="283"/>
        <v>1.0528226537463705E-2</v>
      </c>
      <c r="O295" s="66">
        <f t="shared" si="283"/>
        <v>1.0339594551910478E-2</v>
      </c>
      <c r="P295" s="66">
        <f t="shared" si="283"/>
        <v>1.0167878972744624E-2</v>
      </c>
      <c r="Q295" s="66">
        <f t="shared" si="283"/>
        <v>1.0021945183222353E-2</v>
      </c>
      <c r="R295" s="66">
        <f t="shared" si="283"/>
        <v>9.9050783530759638E-3</v>
      </c>
      <c r="S295" s="66">
        <f t="shared" si="283"/>
        <v>9.8159037747541991E-3</v>
      </c>
      <c r="T295" s="66">
        <f t="shared" si="283"/>
        <v>9.7503533078761844E-3</v>
      </c>
      <c r="U295" s="66">
        <f t="shared" si="283"/>
        <v>9.7034856723550045E-3</v>
      </c>
      <c r="V295" s="66">
        <f t="shared" si="283"/>
        <v>9.670638381250693E-3</v>
      </c>
      <c r="W295" s="66">
        <f t="shared" si="283"/>
        <v>9.6479388841453143E-3</v>
      </c>
      <c r="X295" s="66">
        <f t="shared" si="283"/>
        <v>9.6324044871167799E-3</v>
      </c>
      <c r="Y295" s="66">
        <f t="shared" si="283"/>
        <v>9.6218444811282163E-3</v>
      </c>
      <c r="Z295" s="66">
        <f t="shared" si="283"/>
        <v>9.6146986425812171E-3</v>
      </c>
      <c r="AA295" s="66">
        <f t="shared" si="283"/>
        <v>9.6098780524370101E-3</v>
      </c>
      <c r="AB295" s="66">
        <f t="shared" si="283"/>
        <v>9.606632855098593E-3</v>
      </c>
      <c r="AC295" s="66">
        <f t="shared" si="283"/>
        <v>9.604451272429336E-3</v>
      </c>
    </row>
    <row r="296" spans="1:29" x14ac:dyDescent="0.3">
      <c r="A296" s="59" t="str">
        <f>A259</f>
        <v>Market failure (av. utilization)</v>
      </c>
      <c r="B296" s="66">
        <f t="shared" ref="B296:AC296" si="284">B285/B259-B285/B258</f>
        <v>7.061358407215175E-2</v>
      </c>
      <c r="C296" s="66">
        <f t="shared" si="284"/>
        <v>7.061458935451545E-2</v>
      </c>
      <c r="D296" s="66">
        <f t="shared" si="284"/>
        <v>7.0616092739731295E-2</v>
      </c>
      <c r="E296" s="66">
        <f t="shared" si="284"/>
        <v>7.0618378396001019E-2</v>
      </c>
      <c r="F296" s="66">
        <f t="shared" si="284"/>
        <v>7.0621925551117182E-2</v>
      </c>
      <c r="G296" s="66">
        <f t="shared" si="284"/>
        <v>7.0627563045723082E-2</v>
      </c>
      <c r="H296" s="66">
        <f t="shared" si="284"/>
        <v>7.063674796469413E-2</v>
      </c>
      <c r="I296" s="66">
        <f t="shared" si="284"/>
        <v>7.0652048186448407E-2</v>
      </c>
      <c r="J296" s="66">
        <f t="shared" si="284"/>
        <v>7.0677918148477598E-2</v>
      </c>
      <c r="K296" s="66">
        <f t="shared" si="284"/>
        <v>7.0721795707561458E-2</v>
      </c>
      <c r="L296" s="66">
        <f t="shared" si="284"/>
        <v>7.0795326881195303E-2</v>
      </c>
      <c r="M296" s="66">
        <f t="shared" si="284"/>
        <v>7.091509669714792E-2</v>
      </c>
      <c r="N296" s="66">
        <f t="shared" si="284"/>
        <v>7.1101781001548292E-2</v>
      </c>
      <c r="O296" s="66">
        <f t="shared" si="284"/>
        <v>7.1376617449100649E-2</v>
      </c>
      <c r="P296" s="66">
        <f t="shared" si="284"/>
        <v>7.1754970640312124E-2</v>
      </c>
      <c r="Q296" s="66">
        <f t="shared" si="284"/>
        <v>7.2238427989391119E-2</v>
      </c>
      <c r="R296" s="66">
        <f t="shared" si="284"/>
        <v>7.2808691397380679E-2</v>
      </c>
      <c r="S296" s="66">
        <f t="shared" si="284"/>
        <v>7.342746655573236E-2</v>
      </c>
      <c r="T296" s="66">
        <f t="shared" si="284"/>
        <v>7.4044776103262697E-2</v>
      </c>
      <c r="U296" s="66">
        <f t="shared" si="284"/>
        <v>7.4612996730996001E-2</v>
      </c>
      <c r="V296" s="66">
        <f t="shared" si="284"/>
        <v>7.5099323601999932E-2</v>
      </c>
      <c r="W296" s="66">
        <f t="shared" si="284"/>
        <v>7.5490550062652567E-2</v>
      </c>
      <c r="X296" s="66">
        <f t="shared" si="284"/>
        <v>7.5789948087996148E-2</v>
      </c>
      <c r="Y296" s="66">
        <f t="shared" si="284"/>
        <v>7.6010450363136542E-2</v>
      </c>
      <c r="Z296" s="66">
        <f t="shared" si="284"/>
        <v>7.6168304365362843E-2</v>
      </c>
      <c r="AA296" s="66">
        <f t="shared" si="284"/>
        <v>7.6279028581960312E-2</v>
      </c>
      <c r="AB296" s="66">
        <f t="shared" si="284"/>
        <v>7.6355588002736979E-2</v>
      </c>
      <c r="AC296" s="66">
        <f t="shared" si="284"/>
        <v>7.6408000661182016E-2</v>
      </c>
    </row>
    <row r="297" spans="1:29" x14ac:dyDescent="0.3">
      <c r="A297" s="59" t="str">
        <f>A260</f>
        <v>Payload loss (fuel)</v>
      </c>
      <c r="B297" s="66">
        <f>B285/(B258-B260)-B285/B258</f>
        <v>0</v>
      </c>
      <c r="C297" s="66">
        <f t="shared" ref="C297:AC297" si="285">C285/(C258-C260)-C285/C258</f>
        <v>0</v>
      </c>
      <c r="D297" s="66">
        <f t="shared" si="285"/>
        <v>0</v>
      </c>
      <c r="E297" s="66">
        <f t="shared" si="285"/>
        <v>0</v>
      </c>
      <c r="F297" s="66">
        <f t="shared" si="285"/>
        <v>0</v>
      </c>
      <c r="G297" s="66">
        <f t="shared" si="285"/>
        <v>0</v>
      </c>
      <c r="H297" s="66">
        <f t="shared" si="285"/>
        <v>0</v>
      </c>
      <c r="I297" s="66">
        <f t="shared" si="285"/>
        <v>0</v>
      </c>
      <c r="J297" s="66">
        <f t="shared" si="285"/>
        <v>0</v>
      </c>
      <c r="K297" s="66">
        <f t="shared" si="285"/>
        <v>0</v>
      </c>
      <c r="L297" s="66">
        <f t="shared" si="285"/>
        <v>0</v>
      </c>
      <c r="M297" s="66">
        <f t="shared" si="285"/>
        <v>0</v>
      </c>
      <c r="N297" s="66">
        <f t="shared" si="285"/>
        <v>0</v>
      </c>
      <c r="O297" s="66">
        <f t="shared" si="285"/>
        <v>0</v>
      </c>
      <c r="P297" s="66">
        <f t="shared" si="285"/>
        <v>0</v>
      </c>
      <c r="Q297" s="66">
        <f t="shared" si="285"/>
        <v>0</v>
      </c>
      <c r="R297" s="66">
        <f t="shared" si="285"/>
        <v>0</v>
      </c>
      <c r="S297" s="66">
        <f t="shared" si="285"/>
        <v>0</v>
      </c>
      <c r="T297" s="66">
        <f t="shared" si="285"/>
        <v>0</v>
      </c>
      <c r="U297" s="66">
        <f t="shared" si="285"/>
        <v>0</v>
      </c>
      <c r="V297" s="66">
        <f t="shared" si="285"/>
        <v>0</v>
      </c>
      <c r="W297" s="66">
        <f t="shared" si="285"/>
        <v>0</v>
      </c>
      <c r="X297" s="66">
        <f t="shared" si="285"/>
        <v>0</v>
      </c>
      <c r="Y297" s="66">
        <f t="shared" si="285"/>
        <v>0</v>
      </c>
      <c r="Z297" s="66">
        <f t="shared" si="285"/>
        <v>0</v>
      </c>
      <c r="AA297" s="66">
        <f t="shared" si="285"/>
        <v>0</v>
      </c>
      <c r="AB297" s="66">
        <f t="shared" si="285"/>
        <v>0</v>
      </c>
      <c r="AC297" s="66">
        <f t="shared" si="285"/>
        <v>0</v>
      </c>
    </row>
    <row r="298" spans="1:29" ht="15" thickBot="1" x14ac:dyDescent="0.35">
      <c r="A298" s="59" t="str">
        <f>A235</f>
        <v>Emission Cost</v>
      </c>
      <c r="B298" s="68">
        <f>B255*B261/B261/(B258)</f>
        <v>3.1055649111335639E-3</v>
      </c>
      <c r="C298" s="68">
        <f t="shared" ref="C298:AC298" si="286">C255*C261/C261/(C258)</f>
        <v>3.1111379658149869E-3</v>
      </c>
      <c r="D298" s="68">
        <f t="shared" si="286"/>
        <v>3.1191156694616588E-3</v>
      </c>
      <c r="E298" s="68">
        <f t="shared" si="286"/>
        <v>3.130528335545424E-3</v>
      </c>
      <c r="F298" s="68">
        <f t="shared" si="286"/>
        <v>3.1468395537089266E-3</v>
      </c>
      <c r="G298" s="68">
        <f t="shared" si="286"/>
        <v>3.1701191870286667E-3</v>
      </c>
      <c r="H298" s="68">
        <f t="shared" si="286"/>
        <v>3.2032750959951773E-3</v>
      </c>
      <c r="I298" s="68">
        <f t="shared" si="286"/>
        <v>3.2503517337687839E-3</v>
      </c>
      <c r="J298" s="68">
        <f t="shared" si="286"/>
        <v>3.3168900374857192E-3</v>
      </c>
      <c r="K298" s="68">
        <f t="shared" si="286"/>
        <v>3.4103086154538588E-3</v>
      </c>
      <c r="L298" s="68">
        <f t="shared" si="286"/>
        <v>3.5401943508234922E-3</v>
      </c>
      <c r="M298" s="68">
        <f t="shared" si="286"/>
        <v>3.7182628349802355E-3</v>
      </c>
      <c r="N298" s="68">
        <f t="shared" si="286"/>
        <v>3.9575677966395585E-3</v>
      </c>
      <c r="O298" s="68">
        <f t="shared" si="286"/>
        <v>4.2703856118469392E-3</v>
      </c>
      <c r="P298" s="68">
        <f t="shared" si="286"/>
        <v>4.6643267770273026E-3</v>
      </c>
      <c r="Q298" s="68">
        <f t="shared" si="286"/>
        <v>5.1370448671608218E-3</v>
      </c>
      <c r="R298" s="68">
        <f t="shared" si="286"/>
        <v>5.6715820292595051E-3</v>
      </c>
      <c r="S298" s="68">
        <f t="shared" si="286"/>
        <v>6.2358907181362944E-3</v>
      </c>
      <c r="T298" s="68">
        <f t="shared" si="286"/>
        <v>6.7890948675257863E-3</v>
      </c>
      <c r="U298" s="68">
        <f t="shared" si="286"/>
        <v>7.292687991622789E-3</v>
      </c>
      <c r="V298" s="68">
        <f t="shared" si="286"/>
        <v>7.7206704340653052E-3</v>
      </c>
      <c r="W298" s="68">
        <f t="shared" si="286"/>
        <v>8.0634077231489607E-3</v>
      </c>
      <c r="X298" s="68">
        <f t="shared" si="286"/>
        <v>8.3249314864862096E-3</v>
      </c>
      <c r="Y298" s="68">
        <f t="shared" si="286"/>
        <v>8.5171724267752314E-3</v>
      </c>
      <c r="Z298" s="68">
        <f t="shared" si="286"/>
        <v>8.6546219179967215E-3</v>
      </c>
      <c r="AA298" s="68">
        <f t="shared" si="286"/>
        <v>8.7509537128501579E-3</v>
      </c>
      <c r="AB298" s="68">
        <f t="shared" si="286"/>
        <v>8.8175249041087325E-3</v>
      </c>
      <c r="AC298" s="68">
        <f t="shared" si="286"/>
        <v>8.8630828876566786E-3</v>
      </c>
    </row>
    <row r="299" spans="1:29" ht="15" thickBot="1" x14ac:dyDescent="0.35">
      <c r="A299" s="31" t="s">
        <v>210</v>
      </c>
      <c r="B299" s="67">
        <f>B288+B289+B290+B291+B292+B293+B294+B295+B296+B297+B298</f>
        <v>0.12998950809722276</v>
      </c>
      <c r="C299" s="67">
        <f t="shared" ref="C299:AC299" si="287">C288+C289+C290+C291+C292+C293+C294+C295+C296+C297+C298</f>
        <v>0.12999136973122963</v>
      </c>
      <c r="D299" s="67">
        <f t="shared" si="287"/>
        <v>0.12999415377792561</v>
      </c>
      <c r="E299" s="67">
        <f t="shared" si="287"/>
        <v>0.12999838647472137</v>
      </c>
      <c r="F299" s="67">
        <f t="shared" si="287"/>
        <v>0.13000495528049205</v>
      </c>
      <c r="G299" s="67">
        <f t="shared" si="287"/>
        <v>0.13001539508531781</v>
      </c>
      <c r="H299" s="67">
        <f t="shared" si="287"/>
        <v>0.13003240419452344</v>
      </c>
      <c r="I299" s="67">
        <f t="shared" si="287"/>
        <v>0.13006073793851283</v>
      </c>
      <c r="J299" s="67">
        <f t="shared" si="287"/>
        <v>0.13010864527560395</v>
      </c>
      <c r="K299" s="67">
        <f t="shared" si="287"/>
        <v>0.13018990001464811</v>
      </c>
      <c r="L299" s="67">
        <f t="shared" si="287"/>
        <v>0.13032606885471082</v>
      </c>
      <c r="M299" s="67">
        <f t="shared" si="287"/>
        <v>0.1305478648101786</v>
      </c>
      <c r="N299" s="67">
        <f t="shared" si="287"/>
        <v>0.13089357648499411</v>
      </c>
      <c r="O299" s="67">
        <f t="shared" si="287"/>
        <v>0.13140253286935033</v>
      </c>
      <c r="P299" s="67">
        <f t="shared" si="287"/>
        <v>0.13210318692714937</v>
      </c>
      <c r="Q299" s="67">
        <f t="shared" si="287"/>
        <v>0.13299847831433267</v>
      </c>
      <c r="R299" s="67">
        <f t="shared" si="287"/>
        <v>0.13405452166246148</v>
      </c>
      <c r="S299" s="67">
        <f t="shared" si="287"/>
        <v>0.13520040158533497</v>
      </c>
      <c r="T299" s="67">
        <f t="shared" si="287"/>
        <v>0.13634356741409487</v>
      </c>
      <c r="U299" s="67">
        <f t="shared" si="287"/>
        <v>0.13739582783582319</v>
      </c>
      <c r="V299" s="67">
        <f t="shared" si="287"/>
        <v>0.13829643315249715</v>
      </c>
      <c r="W299" s="67">
        <f t="shared" si="287"/>
        <v>0.13902092659815016</v>
      </c>
      <c r="X299" s="67">
        <f t="shared" si="287"/>
        <v>0.13957536738582349</v>
      </c>
      <c r="Y299" s="67">
        <f t="shared" si="287"/>
        <v>0.13998370493237977</v>
      </c>
      <c r="Z299" s="67">
        <f t="shared" si="287"/>
        <v>0.14027602715872478</v>
      </c>
      <c r="AA299" s="67">
        <f t="shared" si="287"/>
        <v>0.14048107200427562</v>
      </c>
      <c r="AB299" s="67">
        <f t="shared" si="287"/>
        <v>0.14062284870941757</v>
      </c>
      <c r="AC299" s="67">
        <f t="shared" si="287"/>
        <v>0.14071990918801952</v>
      </c>
    </row>
    <row r="301" spans="1:29" x14ac:dyDescent="0.3">
      <c r="B301" s="40"/>
    </row>
    <row r="324" spans="1:44" s="3" customFormat="1" ht="21" x14ac:dyDescent="0.4">
      <c r="A324" s="2" t="str">
        <f>'Parameter Input'!A45</f>
        <v>Road long-haul: Break bulk</v>
      </c>
    </row>
    <row r="325" spans="1:44" s="3" customFormat="1" ht="21" x14ac:dyDescent="0.4">
      <c r="A325" s="2" t="s">
        <v>11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Input'!L8</f>
        <v>105000</v>
      </c>
      <c r="C334" s="42">
        <f>'Parameter Input'!M8</f>
        <v>115000</v>
      </c>
      <c r="D334" s="1" t="s">
        <v>15</v>
      </c>
      <c r="L334" s="51">
        <f>'Parameter Input'!O8</f>
        <v>12</v>
      </c>
      <c r="M334" s="52">
        <v>0</v>
      </c>
      <c r="N334" s="52">
        <v>1</v>
      </c>
      <c r="O334" s="52">
        <f>'Parameter Input'!P8</f>
        <v>0.9</v>
      </c>
      <c r="P334" s="53">
        <f>'Parameter Input'!Q8</f>
        <v>0.4</v>
      </c>
      <c r="Q334" s="4">
        <f t="shared" ref="Q334:AR343" si="288">$N334+($M334-$N334)*((1/(1+EXP(-$P334*(Q$9-$L334)))^$O334))</f>
        <v>0.9867978615748374</v>
      </c>
      <c r="R334" s="4">
        <f t="shared" si="288"/>
        <v>0.98114509762858249</v>
      </c>
      <c r="S334" s="4">
        <f t="shared" si="288"/>
        <v>0.97311898315872036</v>
      </c>
      <c r="T334" s="4">
        <f t="shared" si="288"/>
        <v>0.96177484161592774</v>
      </c>
      <c r="U334" s="4">
        <f t="shared" si="288"/>
        <v>0.94584787155511363</v>
      </c>
      <c r="V334" s="4">
        <f t="shared" si="288"/>
        <v>0.92370360150141495</v>
      </c>
      <c r="W334" s="4">
        <f t="shared" si="288"/>
        <v>0.89334463567658451</v>
      </c>
      <c r="X334" s="4">
        <f t="shared" si="288"/>
        <v>0.85254543874327005</v>
      </c>
      <c r="Y334" s="4">
        <f t="shared" si="288"/>
        <v>0.79921300652623883</v>
      </c>
      <c r="Z334" s="4">
        <f t="shared" si="288"/>
        <v>0.73204982249993378</v>
      </c>
      <c r="AA334" s="4">
        <f t="shared" si="288"/>
        <v>0.65145592958786691</v>
      </c>
      <c r="AB334" s="4">
        <f t="shared" si="288"/>
        <v>0.56032247880849573</v>
      </c>
      <c r="AC334" s="4">
        <f t="shared" si="288"/>
        <v>0.46411326873185343</v>
      </c>
      <c r="AD334" s="4">
        <f t="shared" si="288"/>
        <v>0.36979727595523937</v>
      </c>
      <c r="AE334" s="4">
        <f t="shared" si="288"/>
        <v>0.28393948637231203</v>
      </c>
      <c r="AF334" s="4">
        <f t="shared" si="288"/>
        <v>0.21097259161117732</v>
      </c>
      <c r="AG334" s="4">
        <f t="shared" si="288"/>
        <v>0.15253917653798199</v>
      </c>
      <c r="AH334" s="4">
        <f t="shared" si="288"/>
        <v>0.10795188737709993</v>
      </c>
      <c r="AI334" s="4">
        <f t="shared" si="288"/>
        <v>7.5176653938091809E-2</v>
      </c>
      <c r="AJ334" s="4">
        <f t="shared" si="288"/>
        <v>5.1742836177502194E-2</v>
      </c>
      <c r="AK334" s="4">
        <f t="shared" si="288"/>
        <v>3.5319190625345942E-2</v>
      </c>
      <c r="AL334" s="4">
        <f t="shared" si="288"/>
        <v>2.3969442072658165E-2</v>
      </c>
      <c r="AM334" s="4">
        <f t="shared" si="288"/>
        <v>1.6202243558389728E-2</v>
      </c>
      <c r="AN334" s="4">
        <f t="shared" si="288"/>
        <v>1.0922240564108399E-2</v>
      </c>
      <c r="AO334" s="4">
        <f t="shared" si="288"/>
        <v>7.3493212906090566E-3</v>
      </c>
      <c r="AP334" s="4">
        <f t="shared" si="288"/>
        <v>4.9390262185057265E-3</v>
      </c>
      <c r="AQ334" s="4">
        <f t="shared" si="288"/>
        <v>3.3164275492956197E-3</v>
      </c>
      <c r="AR334" s="4">
        <f t="shared" si="288"/>
        <v>2.2256362146679809E-3</v>
      </c>
    </row>
    <row r="335" spans="1:44" x14ac:dyDescent="0.3">
      <c r="A335" s="24" t="s">
        <v>28</v>
      </c>
      <c r="B335" s="60">
        <f>'Parameter Input'!L9</f>
        <v>-26250</v>
      </c>
      <c r="C335" s="61">
        <f>'Parameter Input'!M9</f>
        <v>-17250</v>
      </c>
      <c r="D335" s="1" t="s">
        <v>15</v>
      </c>
      <c r="L335" s="54">
        <f>'Parameter Input'!O9</f>
        <v>12</v>
      </c>
      <c r="M335" s="37">
        <v>0</v>
      </c>
      <c r="N335" s="37">
        <v>1</v>
      </c>
      <c r="O335" s="37">
        <f>'Parameter Input'!P9</f>
        <v>0.9</v>
      </c>
      <c r="P335" s="55">
        <f>'Parameter Input'!Q9</f>
        <v>0.4</v>
      </c>
      <c r="Q335" s="4">
        <f t="shared" si="288"/>
        <v>0.9867978615748374</v>
      </c>
      <c r="R335" s="4">
        <f t="shared" si="288"/>
        <v>0.98114509762858249</v>
      </c>
      <c r="S335" s="4">
        <f t="shared" si="288"/>
        <v>0.97311898315872036</v>
      </c>
      <c r="T335" s="4">
        <f t="shared" si="288"/>
        <v>0.96177484161592774</v>
      </c>
      <c r="U335" s="4">
        <f t="shared" si="288"/>
        <v>0.94584787155511363</v>
      </c>
      <c r="V335" s="4">
        <f t="shared" si="288"/>
        <v>0.92370360150141495</v>
      </c>
      <c r="W335" s="4">
        <f t="shared" si="288"/>
        <v>0.89334463567658451</v>
      </c>
      <c r="X335" s="4">
        <f t="shared" si="288"/>
        <v>0.85254543874327005</v>
      </c>
      <c r="Y335" s="4">
        <f t="shared" si="288"/>
        <v>0.79921300652623883</v>
      </c>
      <c r="Z335" s="4">
        <f t="shared" si="288"/>
        <v>0.73204982249993378</v>
      </c>
      <c r="AA335" s="4">
        <f t="shared" si="288"/>
        <v>0.65145592958786691</v>
      </c>
      <c r="AB335" s="4">
        <f t="shared" si="288"/>
        <v>0.56032247880849573</v>
      </c>
      <c r="AC335" s="4">
        <f t="shared" si="288"/>
        <v>0.46411326873185343</v>
      </c>
      <c r="AD335" s="4">
        <f t="shared" si="288"/>
        <v>0.36979727595523937</v>
      </c>
      <c r="AE335" s="4">
        <f t="shared" si="288"/>
        <v>0.28393948637231203</v>
      </c>
      <c r="AF335" s="4">
        <f t="shared" si="288"/>
        <v>0.21097259161117732</v>
      </c>
      <c r="AG335" s="4">
        <f t="shared" si="288"/>
        <v>0.15253917653798199</v>
      </c>
      <c r="AH335" s="4">
        <f t="shared" si="288"/>
        <v>0.10795188737709993</v>
      </c>
      <c r="AI335" s="4">
        <f t="shared" si="288"/>
        <v>7.5176653938091809E-2</v>
      </c>
      <c r="AJ335" s="4">
        <f t="shared" si="288"/>
        <v>5.1742836177502194E-2</v>
      </c>
      <c r="AK335" s="4">
        <f t="shared" si="288"/>
        <v>3.5319190625345942E-2</v>
      </c>
      <c r="AL335" s="4">
        <f t="shared" si="288"/>
        <v>2.3969442072658165E-2</v>
      </c>
      <c r="AM335" s="4">
        <f t="shared" si="288"/>
        <v>1.6202243558389728E-2</v>
      </c>
      <c r="AN335" s="4">
        <f t="shared" si="288"/>
        <v>1.0922240564108399E-2</v>
      </c>
      <c r="AO335" s="4">
        <f t="shared" si="288"/>
        <v>7.3493212906090566E-3</v>
      </c>
      <c r="AP335" s="4">
        <f t="shared" si="288"/>
        <v>4.9390262185057265E-3</v>
      </c>
      <c r="AQ335" s="4">
        <f t="shared" si="288"/>
        <v>3.3164275492956197E-3</v>
      </c>
      <c r="AR335" s="4">
        <f t="shared" si="288"/>
        <v>2.2256362146679809E-3</v>
      </c>
    </row>
    <row r="336" spans="1:44" x14ac:dyDescent="0.3">
      <c r="A336" s="24" t="s">
        <v>14</v>
      </c>
      <c r="B336" s="60">
        <f>'Parameter Input'!B46</f>
        <v>40000</v>
      </c>
      <c r="C336" s="61">
        <f>'Parameter Input'!C46</f>
        <v>40000</v>
      </c>
      <c r="D336" s="1" t="s">
        <v>15</v>
      </c>
      <c r="L336" s="54">
        <f>'Parameter Input'!E46</f>
        <v>12</v>
      </c>
      <c r="M336" s="37">
        <v>0</v>
      </c>
      <c r="N336" s="37">
        <v>1</v>
      </c>
      <c r="O336" s="37">
        <f>'Parameter Input'!F46</f>
        <v>0.9</v>
      </c>
      <c r="P336" s="55">
        <f>'Parameter Input'!G46</f>
        <v>0.4</v>
      </c>
      <c r="Q336" s="4">
        <f t="shared" si="288"/>
        <v>0.9867978615748374</v>
      </c>
      <c r="R336" s="4">
        <f t="shared" si="288"/>
        <v>0.98114509762858249</v>
      </c>
      <c r="S336" s="4">
        <f t="shared" si="288"/>
        <v>0.97311898315872036</v>
      </c>
      <c r="T336" s="4">
        <f t="shared" si="288"/>
        <v>0.96177484161592774</v>
      </c>
      <c r="U336" s="4">
        <f t="shared" si="288"/>
        <v>0.94584787155511363</v>
      </c>
      <c r="V336" s="4">
        <f t="shared" si="288"/>
        <v>0.92370360150141495</v>
      </c>
      <c r="W336" s="4">
        <f t="shared" si="288"/>
        <v>0.89334463567658451</v>
      </c>
      <c r="X336" s="4">
        <f t="shared" si="288"/>
        <v>0.85254543874327005</v>
      </c>
      <c r="Y336" s="4">
        <f t="shared" si="288"/>
        <v>0.79921300652623883</v>
      </c>
      <c r="Z336" s="4">
        <f t="shared" si="288"/>
        <v>0.73204982249993378</v>
      </c>
      <c r="AA336" s="4">
        <f t="shared" si="288"/>
        <v>0.65145592958786691</v>
      </c>
      <c r="AB336" s="4">
        <f t="shared" si="288"/>
        <v>0.56032247880849573</v>
      </c>
      <c r="AC336" s="4">
        <f t="shared" si="288"/>
        <v>0.46411326873185343</v>
      </c>
      <c r="AD336" s="4">
        <f t="shared" si="288"/>
        <v>0.36979727595523937</v>
      </c>
      <c r="AE336" s="4">
        <f t="shared" si="288"/>
        <v>0.28393948637231203</v>
      </c>
      <c r="AF336" s="4">
        <f t="shared" si="288"/>
        <v>0.21097259161117732</v>
      </c>
      <c r="AG336" s="4">
        <f t="shared" si="288"/>
        <v>0.15253917653798199</v>
      </c>
      <c r="AH336" s="4">
        <f t="shared" si="288"/>
        <v>0.10795188737709993</v>
      </c>
      <c r="AI336" s="4">
        <f t="shared" si="288"/>
        <v>7.5176653938091809E-2</v>
      </c>
      <c r="AJ336" s="4">
        <f t="shared" si="288"/>
        <v>5.1742836177502194E-2</v>
      </c>
      <c r="AK336" s="4">
        <f t="shared" si="288"/>
        <v>3.5319190625345942E-2</v>
      </c>
      <c r="AL336" s="4">
        <f t="shared" si="288"/>
        <v>2.3969442072658165E-2</v>
      </c>
      <c r="AM336" s="4">
        <f t="shared" si="288"/>
        <v>1.6202243558389728E-2</v>
      </c>
      <c r="AN336" s="4">
        <f t="shared" si="288"/>
        <v>1.0922240564108399E-2</v>
      </c>
      <c r="AO336" s="4">
        <f t="shared" si="288"/>
        <v>7.3493212906090566E-3</v>
      </c>
      <c r="AP336" s="4">
        <f t="shared" si="288"/>
        <v>4.9390262185057265E-3</v>
      </c>
      <c r="AQ336" s="4">
        <f t="shared" si="288"/>
        <v>3.3164275492956197E-3</v>
      </c>
      <c r="AR336" s="4">
        <f t="shared" si="288"/>
        <v>2.2256362146679809E-3</v>
      </c>
    </row>
    <row r="337" spans="1:44" x14ac:dyDescent="0.3">
      <c r="A337" s="24" t="s">
        <v>25</v>
      </c>
      <c r="B337" s="60">
        <f>'Parameter Input'!B47</f>
        <v>-10000</v>
      </c>
      <c r="C337" s="61">
        <f>'Parameter Input'!C47</f>
        <v>-10000</v>
      </c>
      <c r="D337" s="1" t="s">
        <v>15</v>
      </c>
      <c r="L337" s="54">
        <f>'Parameter Input'!E47</f>
        <v>12</v>
      </c>
      <c r="M337" s="37">
        <v>0</v>
      </c>
      <c r="N337" s="37">
        <v>1</v>
      </c>
      <c r="O337" s="37">
        <f>'Parameter Input'!F47</f>
        <v>0.9</v>
      </c>
      <c r="P337" s="55">
        <f>'Parameter Input'!G47</f>
        <v>0.4</v>
      </c>
      <c r="Q337" s="4">
        <f t="shared" si="288"/>
        <v>0.9867978615748374</v>
      </c>
      <c r="R337" s="4">
        <f t="shared" si="288"/>
        <v>0.98114509762858249</v>
      </c>
      <c r="S337" s="4">
        <f t="shared" si="288"/>
        <v>0.97311898315872036</v>
      </c>
      <c r="T337" s="4">
        <f t="shared" si="288"/>
        <v>0.96177484161592774</v>
      </c>
      <c r="U337" s="4">
        <f t="shared" si="288"/>
        <v>0.94584787155511363</v>
      </c>
      <c r="V337" s="4">
        <f t="shared" si="288"/>
        <v>0.92370360150141495</v>
      </c>
      <c r="W337" s="4">
        <f t="shared" si="288"/>
        <v>0.89334463567658451</v>
      </c>
      <c r="X337" s="4">
        <f t="shared" si="288"/>
        <v>0.85254543874327005</v>
      </c>
      <c r="Y337" s="4">
        <f t="shared" si="288"/>
        <v>0.79921300652623883</v>
      </c>
      <c r="Z337" s="4">
        <f t="shared" si="288"/>
        <v>0.73204982249993378</v>
      </c>
      <c r="AA337" s="4">
        <f t="shared" si="288"/>
        <v>0.65145592958786691</v>
      </c>
      <c r="AB337" s="4">
        <f t="shared" si="288"/>
        <v>0.56032247880849573</v>
      </c>
      <c r="AC337" s="4">
        <f t="shared" si="288"/>
        <v>0.46411326873185343</v>
      </c>
      <c r="AD337" s="4">
        <f t="shared" si="288"/>
        <v>0.36979727595523937</v>
      </c>
      <c r="AE337" s="4">
        <f t="shared" si="288"/>
        <v>0.28393948637231203</v>
      </c>
      <c r="AF337" s="4">
        <f t="shared" si="288"/>
        <v>0.21097259161117732</v>
      </c>
      <c r="AG337" s="4">
        <f t="shared" si="288"/>
        <v>0.15253917653798199</v>
      </c>
      <c r="AH337" s="4">
        <f t="shared" si="288"/>
        <v>0.10795188737709993</v>
      </c>
      <c r="AI337" s="4">
        <f t="shared" si="288"/>
        <v>7.5176653938091809E-2</v>
      </c>
      <c r="AJ337" s="4">
        <f t="shared" si="288"/>
        <v>5.1742836177502194E-2</v>
      </c>
      <c r="AK337" s="4">
        <f t="shared" si="288"/>
        <v>3.5319190625345942E-2</v>
      </c>
      <c r="AL337" s="4">
        <f t="shared" si="288"/>
        <v>2.3969442072658165E-2</v>
      </c>
      <c r="AM337" s="4">
        <f t="shared" si="288"/>
        <v>1.6202243558389728E-2</v>
      </c>
      <c r="AN337" s="4">
        <f t="shared" si="288"/>
        <v>1.0922240564108399E-2</v>
      </c>
      <c r="AO337" s="4">
        <f t="shared" si="288"/>
        <v>7.3493212906090566E-3</v>
      </c>
      <c r="AP337" s="4">
        <f t="shared" si="288"/>
        <v>4.9390262185057265E-3</v>
      </c>
      <c r="AQ337" s="4">
        <f t="shared" si="288"/>
        <v>3.3164275492956197E-3</v>
      </c>
      <c r="AR337" s="4">
        <f t="shared" si="288"/>
        <v>2.2256362146679809E-3</v>
      </c>
    </row>
    <row r="338" spans="1:44" x14ac:dyDescent="0.3">
      <c r="A338" s="24" t="s">
        <v>79</v>
      </c>
      <c r="B338" s="60">
        <f>'Parameter Input'!L15</f>
        <v>0.06</v>
      </c>
      <c r="C338" s="61">
        <f>'Parameter Input'!M15</f>
        <v>0.06</v>
      </c>
      <c r="D338" s="1" t="s">
        <v>57</v>
      </c>
      <c r="L338" s="54">
        <f>'Parameter Input'!O15</f>
        <v>12</v>
      </c>
      <c r="M338" s="37">
        <v>0</v>
      </c>
      <c r="N338" s="37">
        <v>1</v>
      </c>
      <c r="O338" s="37">
        <f>'Parameter Input'!P15</f>
        <v>0.9</v>
      </c>
      <c r="P338" s="55">
        <f>'Parameter Input'!Q15</f>
        <v>0.4</v>
      </c>
      <c r="Q338" s="4">
        <f t="shared" si="288"/>
        <v>0.9867978615748374</v>
      </c>
      <c r="R338" s="4">
        <f t="shared" si="288"/>
        <v>0.98114509762858249</v>
      </c>
      <c r="S338" s="4">
        <f t="shared" si="288"/>
        <v>0.97311898315872036</v>
      </c>
      <c r="T338" s="4">
        <f t="shared" si="288"/>
        <v>0.96177484161592774</v>
      </c>
      <c r="U338" s="4">
        <f t="shared" si="288"/>
        <v>0.94584787155511363</v>
      </c>
      <c r="V338" s="4">
        <f t="shared" si="288"/>
        <v>0.92370360150141495</v>
      </c>
      <c r="W338" s="4">
        <f t="shared" si="288"/>
        <v>0.89334463567658451</v>
      </c>
      <c r="X338" s="4">
        <f t="shared" si="288"/>
        <v>0.85254543874327005</v>
      </c>
      <c r="Y338" s="4">
        <f t="shared" si="288"/>
        <v>0.79921300652623883</v>
      </c>
      <c r="Z338" s="4">
        <f t="shared" si="288"/>
        <v>0.73204982249993378</v>
      </c>
      <c r="AA338" s="4">
        <f t="shared" si="288"/>
        <v>0.65145592958786691</v>
      </c>
      <c r="AB338" s="4">
        <f t="shared" si="288"/>
        <v>0.56032247880849573</v>
      </c>
      <c r="AC338" s="4">
        <f t="shared" si="288"/>
        <v>0.46411326873185343</v>
      </c>
      <c r="AD338" s="4">
        <f t="shared" si="288"/>
        <v>0.36979727595523937</v>
      </c>
      <c r="AE338" s="4">
        <f t="shared" si="288"/>
        <v>0.28393948637231203</v>
      </c>
      <c r="AF338" s="4">
        <f t="shared" si="288"/>
        <v>0.21097259161117732</v>
      </c>
      <c r="AG338" s="4">
        <f t="shared" si="288"/>
        <v>0.15253917653798199</v>
      </c>
      <c r="AH338" s="4">
        <f t="shared" si="288"/>
        <v>0.10795188737709993</v>
      </c>
      <c r="AI338" s="4">
        <f t="shared" si="288"/>
        <v>7.5176653938091809E-2</v>
      </c>
      <c r="AJ338" s="4">
        <f t="shared" si="288"/>
        <v>5.1742836177502194E-2</v>
      </c>
      <c r="AK338" s="4">
        <f t="shared" si="288"/>
        <v>3.5319190625345942E-2</v>
      </c>
      <c r="AL338" s="4">
        <f t="shared" si="288"/>
        <v>2.3969442072658165E-2</v>
      </c>
      <c r="AM338" s="4">
        <f t="shared" si="288"/>
        <v>1.6202243558389728E-2</v>
      </c>
      <c r="AN338" s="4">
        <f t="shared" si="288"/>
        <v>1.0922240564108399E-2</v>
      </c>
      <c r="AO338" s="4">
        <f t="shared" si="288"/>
        <v>7.3493212906090566E-3</v>
      </c>
      <c r="AP338" s="4">
        <f t="shared" si="288"/>
        <v>4.9390262185057265E-3</v>
      </c>
      <c r="AQ338" s="4">
        <f t="shared" si="288"/>
        <v>3.3164275492956197E-3</v>
      </c>
      <c r="AR338" s="4">
        <f t="shared" si="288"/>
        <v>2.2256362146679809E-3</v>
      </c>
    </row>
    <row r="339" spans="1:44" x14ac:dyDescent="0.3">
      <c r="A339" s="24" t="s">
        <v>37</v>
      </c>
      <c r="B339" s="60">
        <f>'Parameter Input'!B48</f>
        <v>70000</v>
      </c>
      <c r="C339" s="61">
        <f>'Parameter Input'!C48</f>
        <v>70000</v>
      </c>
      <c r="D339" s="1" t="s">
        <v>38</v>
      </c>
      <c r="L339" s="54">
        <f>'Parameter Input'!E48</f>
        <v>12</v>
      </c>
      <c r="M339" s="37">
        <v>0</v>
      </c>
      <c r="N339" s="37">
        <v>1</v>
      </c>
      <c r="O339" s="37">
        <f>'Parameter Input'!F48</f>
        <v>0.9</v>
      </c>
      <c r="P339" s="55">
        <f>'Parameter Input'!G48</f>
        <v>0.4</v>
      </c>
      <c r="Q339" s="4">
        <f t="shared" si="288"/>
        <v>0.9867978615748374</v>
      </c>
      <c r="R339" s="4">
        <f t="shared" si="288"/>
        <v>0.98114509762858249</v>
      </c>
      <c r="S339" s="4">
        <f t="shared" si="288"/>
        <v>0.97311898315872036</v>
      </c>
      <c r="T339" s="4">
        <f t="shared" si="288"/>
        <v>0.96177484161592774</v>
      </c>
      <c r="U339" s="4">
        <f t="shared" si="288"/>
        <v>0.94584787155511363</v>
      </c>
      <c r="V339" s="4">
        <f t="shared" si="288"/>
        <v>0.92370360150141495</v>
      </c>
      <c r="W339" s="4">
        <f t="shared" si="288"/>
        <v>0.89334463567658451</v>
      </c>
      <c r="X339" s="4">
        <f t="shared" si="288"/>
        <v>0.85254543874327005</v>
      </c>
      <c r="Y339" s="4">
        <f t="shared" si="288"/>
        <v>0.79921300652623883</v>
      </c>
      <c r="Z339" s="4">
        <f t="shared" si="288"/>
        <v>0.73204982249993378</v>
      </c>
      <c r="AA339" s="4">
        <f t="shared" si="288"/>
        <v>0.65145592958786691</v>
      </c>
      <c r="AB339" s="4">
        <f t="shared" si="288"/>
        <v>0.56032247880849573</v>
      </c>
      <c r="AC339" s="4">
        <f t="shared" si="288"/>
        <v>0.46411326873185343</v>
      </c>
      <c r="AD339" s="4">
        <f t="shared" si="288"/>
        <v>0.36979727595523937</v>
      </c>
      <c r="AE339" s="4">
        <f t="shared" si="288"/>
        <v>0.28393948637231203</v>
      </c>
      <c r="AF339" s="4">
        <f t="shared" si="288"/>
        <v>0.21097259161117732</v>
      </c>
      <c r="AG339" s="4">
        <f t="shared" si="288"/>
        <v>0.15253917653798199</v>
      </c>
      <c r="AH339" s="4">
        <f t="shared" si="288"/>
        <v>0.10795188737709993</v>
      </c>
      <c r="AI339" s="4">
        <f t="shared" si="288"/>
        <v>7.5176653938091809E-2</v>
      </c>
      <c r="AJ339" s="4">
        <f t="shared" si="288"/>
        <v>5.1742836177502194E-2</v>
      </c>
      <c r="AK339" s="4">
        <f t="shared" si="288"/>
        <v>3.5319190625345942E-2</v>
      </c>
      <c r="AL339" s="4">
        <f t="shared" si="288"/>
        <v>2.3969442072658165E-2</v>
      </c>
      <c r="AM339" s="4">
        <f t="shared" si="288"/>
        <v>1.6202243558389728E-2</v>
      </c>
      <c r="AN339" s="4">
        <f t="shared" si="288"/>
        <v>1.0922240564108399E-2</v>
      </c>
      <c r="AO339" s="4">
        <f t="shared" si="288"/>
        <v>7.3493212906090566E-3</v>
      </c>
      <c r="AP339" s="4">
        <f t="shared" si="288"/>
        <v>4.9390262185057265E-3</v>
      </c>
      <c r="AQ339" s="4">
        <f t="shared" si="288"/>
        <v>3.3164275492956197E-3</v>
      </c>
      <c r="AR339" s="4">
        <f t="shared" si="288"/>
        <v>2.2256362146679809E-3</v>
      </c>
    </row>
    <row r="340" spans="1:44" x14ac:dyDescent="0.3">
      <c r="A340" s="24" t="s">
        <v>52</v>
      </c>
      <c r="B340" s="60">
        <f>'Parameter Input'!L11</f>
        <v>20000</v>
      </c>
      <c r="C340" s="61">
        <f>'Parameter Input'!M11</f>
        <v>20000</v>
      </c>
      <c r="D340" s="1" t="s">
        <v>38</v>
      </c>
      <c r="L340" s="54">
        <f>'Parameter Input'!O11</f>
        <v>12</v>
      </c>
      <c r="M340" s="37">
        <v>0</v>
      </c>
      <c r="N340" s="37">
        <v>1</v>
      </c>
      <c r="O340" s="37">
        <f>'Parameter Input'!P11</f>
        <v>0.9</v>
      </c>
      <c r="P340" s="55">
        <f>'Parameter Input'!Q11</f>
        <v>0.4</v>
      </c>
      <c r="Q340" s="4">
        <f t="shared" si="288"/>
        <v>0.9867978615748374</v>
      </c>
      <c r="R340" s="4">
        <f t="shared" si="288"/>
        <v>0.98114509762858249</v>
      </c>
      <c r="S340" s="4">
        <f t="shared" si="288"/>
        <v>0.97311898315872036</v>
      </c>
      <c r="T340" s="4">
        <f t="shared" si="288"/>
        <v>0.96177484161592774</v>
      </c>
      <c r="U340" s="4">
        <f t="shared" si="288"/>
        <v>0.94584787155511363</v>
      </c>
      <c r="V340" s="4">
        <f t="shared" si="288"/>
        <v>0.92370360150141495</v>
      </c>
      <c r="W340" s="4">
        <f t="shared" si="288"/>
        <v>0.89334463567658451</v>
      </c>
      <c r="X340" s="4">
        <f t="shared" si="288"/>
        <v>0.85254543874327005</v>
      </c>
      <c r="Y340" s="4">
        <f t="shared" si="288"/>
        <v>0.79921300652623883</v>
      </c>
      <c r="Z340" s="4">
        <f t="shared" si="288"/>
        <v>0.73204982249993378</v>
      </c>
      <c r="AA340" s="4">
        <f t="shared" si="288"/>
        <v>0.65145592958786691</v>
      </c>
      <c r="AB340" s="4">
        <f t="shared" si="288"/>
        <v>0.56032247880849573</v>
      </c>
      <c r="AC340" s="4">
        <f t="shared" si="288"/>
        <v>0.46411326873185343</v>
      </c>
      <c r="AD340" s="4">
        <f t="shared" si="288"/>
        <v>0.36979727595523937</v>
      </c>
      <c r="AE340" s="4">
        <f t="shared" si="288"/>
        <v>0.28393948637231203</v>
      </c>
      <c r="AF340" s="4">
        <f t="shared" si="288"/>
        <v>0.21097259161117732</v>
      </c>
      <c r="AG340" s="4">
        <f t="shared" si="288"/>
        <v>0.15253917653798199</v>
      </c>
      <c r="AH340" s="4">
        <f t="shared" si="288"/>
        <v>0.10795188737709993</v>
      </c>
      <c r="AI340" s="4">
        <f t="shared" si="288"/>
        <v>7.5176653938091809E-2</v>
      </c>
      <c r="AJ340" s="4">
        <f t="shared" si="288"/>
        <v>5.1742836177502194E-2</v>
      </c>
      <c r="AK340" s="4">
        <f t="shared" si="288"/>
        <v>3.5319190625345942E-2</v>
      </c>
      <c r="AL340" s="4">
        <f t="shared" si="288"/>
        <v>2.3969442072658165E-2</v>
      </c>
      <c r="AM340" s="4">
        <f t="shared" si="288"/>
        <v>1.6202243558389728E-2</v>
      </c>
      <c r="AN340" s="4">
        <f t="shared" si="288"/>
        <v>1.0922240564108399E-2</v>
      </c>
      <c r="AO340" s="4">
        <f t="shared" si="288"/>
        <v>7.3493212906090566E-3</v>
      </c>
      <c r="AP340" s="4">
        <f t="shared" si="288"/>
        <v>4.9390262185057265E-3</v>
      </c>
      <c r="AQ340" s="4">
        <f t="shared" si="288"/>
        <v>3.3164275492956197E-3</v>
      </c>
      <c r="AR340" s="4">
        <f t="shared" si="288"/>
        <v>2.2256362146679809E-3</v>
      </c>
    </row>
    <row r="341" spans="1:44" x14ac:dyDescent="0.3">
      <c r="A341" s="24" t="s">
        <v>273</v>
      </c>
      <c r="B341" s="60">
        <f>'Parameter Input'!B53</f>
        <v>0.11</v>
      </c>
      <c r="C341" s="61">
        <f>'Parameter Input'!C53</f>
        <v>0.11</v>
      </c>
      <c r="D341" s="1" t="s">
        <v>76</v>
      </c>
      <c r="L341" s="54">
        <f>'Parameter Input'!E53</f>
        <v>12</v>
      </c>
      <c r="M341" s="37">
        <v>0</v>
      </c>
      <c r="N341" s="37">
        <v>1</v>
      </c>
      <c r="O341" s="37">
        <f>'Parameter Input'!F53</f>
        <v>0.9</v>
      </c>
      <c r="P341" s="55">
        <f>'Parameter Input'!G53</f>
        <v>0.4</v>
      </c>
      <c r="Q341" s="4">
        <f t="shared" si="288"/>
        <v>0.9867978615748374</v>
      </c>
      <c r="R341" s="4">
        <f t="shared" si="288"/>
        <v>0.98114509762858249</v>
      </c>
      <c r="S341" s="4">
        <f t="shared" si="288"/>
        <v>0.97311898315872036</v>
      </c>
      <c r="T341" s="4">
        <f t="shared" si="288"/>
        <v>0.96177484161592774</v>
      </c>
      <c r="U341" s="4">
        <f t="shared" si="288"/>
        <v>0.94584787155511363</v>
      </c>
      <c r="V341" s="4">
        <f t="shared" si="288"/>
        <v>0.92370360150141495</v>
      </c>
      <c r="W341" s="4">
        <f t="shared" si="288"/>
        <v>0.89334463567658451</v>
      </c>
      <c r="X341" s="4">
        <f t="shared" si="288"/>
        <v>0.85254543874327005</v>
      </c>
      <c r="Y341" s="4">
        <f t="shared" si="288"/>
        <v>0.79921300652623883</v>
      </c>
      <c r="Z341" s="4">
        <f t="shared" si="288"/>
        <v>0.73204982249993378</v>
      </c>
      <c r="AA341" s="4">
        <f t="shared" si="288"/>
        <v>0.65145592958786691</v>
      </c>
      <c r="AB341" s="4">
        <f t="shared" si="288"/>
        <v>0.56032247880849573</v>
      </c>
      <c r="AC341" s="4">
        <f t="shared" si="288"/>
        <v>0.46411326873185343</v>
      </c>
      <c r="AD341" s="4">
        <f t="shared" si="288"/>
        <v>0.36979727595523937</v>
      </c>
      <c r="AE341" s="4">
        <f t="shared" si="288"/>
        <v>0.28393948637231203</v>
      </c>
      <c r="AF341" s="4">
        <f t="shared" si="288"/>
        <v>0.21097259161117732</v>
      </c>
      <c r="AG341" s="4">
        <f t="shared" si="288"/>
        <v>0.15253917653798199</v>
      </c>
      <c r="AH341" s="4">
        <f t="shared" si="288"/>
        <v>0.10795188737709993</v>
      </c>
      <c r="AI341" s="4">
        <f t="shared" si="288"/>
        <v>7.5176653938091809E-2</v>
      </c>
      <c r="AJ341" s="4">
        <f t="shared" si="288"/>
        <v>5.1742836177502194E-2</v>
      </c>
      <c r="AK341" s="4">
        <f t="shared" si="288"/>
        <v>3.5319190625345942E-2</v>
      </c>
      <c r="AL341" s="4">
        <f t="shared" si="288"/>
        <v>2.3969442072658165E-2</v>
      </c>
      <c r="AM341" s="4">
        <f t="shared" si="288"/>
        <v>1.6202243558389728E-2</v>
      </c>
      <c r="AN341" s="4">
        <f t="shared" si="288"/>
        <v>1.0922240564108399E-2</v>
      </c>
      <c r="AO341" s="4">
        <f t="shared" si="288"/>
        <v>7.3493212906090566E-3</v>
      </c>
      <c r="AP341" s="4">
        <f t="shared" si="288"/>
        <v>4.9390262185057265E-3</v>
      </c>
      <c r="AQ341" s="4">
        <f t="shared" si="288"/>
        <v>3.3164275492956197E-3</v>
      </c>
      <c r="AR341" s="4">
        <f t="shared" si="288"/>
        <v>2.2256362146679809E-3</v>
      </c>
    </row>
    <row r="342" spans="1:44" x14ac:dyDescent="0.3">
      <c r="A342" s="24" t="s">
        <v>59</v>
      </c>
      <c r="B342" s="60">
        <f>'Parameter Input'!L12</f>
        <v>2.9</v>
      </c>
      <c r="C342" s="61">
        <f>'Parameter Input'!M12</f>
        <v>2.4</v>
      </c>
      <c r="D342" s="1" t="s">
        <v>60</v>
      </c>
      <c r="L342" s="54">
        <f>'Parameter Input'!O12</f>
        <v>12</v>
      </c>
      <c r="M342" s="37">
        <v>0</v>
      </c>
      <c r="N342" s="37">
        <v>1</v>
      </c>
      <c r="O342" s="37">
        <f>'Parameter Input'!P12</f>
        <v>0.9</v>
      </c>
      <c r="P342" s="55">
        <f>'Parameter Input'!Q12</f>
        <v>0.4</v>
      </c>
      <c r="Q342" s="4">
        <f t="shared" si="288"/>
        <v>0.9867978615748374</v>
      </c>
      <c r="R342" s="4">
        <f t="shared" si="288"/>
        <v>0.98114509762858249</v>
      </c>
      <c r="S342" s="4">
        <f t="shared" si="288"/>
        <v>0.97311898315872036</v>
      </c>
      <c r="T342" s="4">
        <f t="shared" si="288"/>
        <v>0.96177484161592774</v>
      </c>
      <c r="U342" s="4">
        <f t="shared" si="288"/>
        <v>0.94584787155511363</v>
      </c>
      <c r="V342" s="4">
        <f t="shared" si="288"/>
        <v>0.92370360150141495</v>
      </c>
      <c r="W342" s="4">
        <f t="shared" si="288"/>
        <v>0.89334463567658451</v>
      </c>
      <c r="X342" s="4">
        <f t="shared" si="288"/>
        <v>0.85254543874327005</v>
      </c>
      <c r="Y342" s="4">
        <f t="shared" si="288"/>
        <v>0.79921300652623883</v>
      </c>
      <c r="Z342" s="4">
        <f t="shared" si="288"/>
        <v>0.73204982249993378</v>
      </c>
      <c r="AA342" s="4">
        <f t="shared" si="288"/>
        <v>0.65145592958786691</v>
      </c>
      <c r="AB342" s="4">
        <f t="shared" si="288"/>
        <v>0.56032247880849573</v>
      </c>
      <c r="AC342" s="4">
        <f t="shared" si="288"/>
        <v>0.46411326873185343</v>
      </c>
      <c r="AD342" s="4">
        <f t="shared" si="288"/>
        <v>0.36979727595523937</v>
      </c>
      <c r="AE342" s="4">
        <f t="shared" si="288"/>
        <v>0.28393948637231203</v>
      </c>
      <c r="AF342" s="4">
        <f t="shared" si="288"/>
        <v>0.21097259161117732</v>
      </c>
      <c r="AG342" s="4">
        <f t="shared" si="288"/>
        <v>0.15253917653798199</v>
      </c>
      <c r="AH342" s="4">
        <f t="shared" si="288"/>
        <v>0.10795188737709993</v>
      </c>
      <c r="AI342" s="4">
        <f t="shared" si="288"/>
        <v>7.5176653938091809E-2</v>
      </c>
      <c r="AJ342" s="4">
        <f t="shared" si="288"/>
        <v>5.1742836177502194E-2</v>
      </c>
      <c r="AK342" s="4">
        <f t="shared" si="288"/>
        <v>3.5319190625345942E-2</v>
      </c>
      <c r="AL342" s="4">
        <f t="shared" si="288"/>
        <v>2.3969442072658165E-2</v>
      </c>
      <c r="AM342" s="4">
        <f t="shared" si="288"/>
        <v>1.6202243558389728E-2</v>
      </c>
      <c r="AN342" s="4">
        <f t="shared" si="288"/>
        <v>1.0922240564108399E-2</v>
      </c>
      <c r="AO342" s="4">
        <f t="shared" si="288"/>
        <v>7.3493212906090566E-3</v>
      </c>
      <c r="AP342" s="4">
        <f t="shared" si="288"/>
        <v>4.9390262185057265E-3</v>
      </c>
      <c r="AQ342" s="4">
        <f t="shared" si="288"/>
        <v>3.3164275492956197E-3</v>
      </c>
      <c r="AR342" s="4">
        <f t="shared" si="288"/>
        <v>2.2256362146679809E-3</v>
      </c>
    </row>
    <row r="343" spans="1:44" x14ac:dyDescent="0.3">
      <c r="A343" s="24" t="s">
        <v>67</v>
      </c>
      <c r="B343" s="60">
        <f>'Parameter Input'!L13</f>
        <v>0.1</v>
      </c>
      <c r="C343" s="61">
        <f>'Parameter Input'!M13</f>
        <v>0.1</v>
      </c>
      <c r="D343" s="1" t="s">
        <v>68</v>
      </c>
      <c r="L343" s="54">
        <f>'Parameter Input'!O13</f>
        <v>12</v>
      </c>
      <c r="M343" s="37">
        <v>0</v>
      </c>
      <c r="N343" s="37">
        <v>1</v>
      </c>
      <c r="O343" s="37">
        <f>'Parameter Input'!P13</f>
        <v>0.9</v>
      </c>
      <c r="P343" s="55">
        <f>'Parameter Input'!Q13</f>
        <v>0.4</v>
      </c>
      <c r="Q343" s="4">
        <f t="shared" si="288"/>
        <v>0.9867978615748374</v>
      </c>
      <c r="R343" s="4">
        <f t="shared" si="288"/>
        <v>0.98114509762858249</v>
      </c>
      <c r="S343" s="4">
        <f t="shared" si="288"/>
        <v>0.97311898315872036</v>
      </c>
      <c r="T343" s="4">
        <f t="shared" ref="T343:AI350" si="289">$N343+($M343-$N343)*((1/(1+EXP(-$P343*(T$9-$L343)))^$O343))</f>
        <v>0.96177484161592774</v>
      </c>
      <c r="U343" s="4">
        <f t="shared" si="289"/>
        <v>0.94584787155511363</v>
      </c>
      <c r="V343" s="4">
        <f t="shared" si="289"/>
        <v>0.92370360150141495</v>
      </c>
      <c r="W343" s="4">
        <f t="shared" si="289"/>
        <v>0.89334463567658451</v>
      </c>
      <c r="X343" s="4">
        <f t="shared" si="289"/>
        <v>0.85254543874327005</v>
      </c>
      <c r="Y343" s="4">
        <f t="shared" si="289"/>
        <v>0.79921300652623883</v>
      </c>
      <c r="Z343" s="4">
        <f t="shared" si="289"/>
        <v>0.73204982249993378</v>
      </c>
      <c r="AA343" s="4">
        <f t="shared" si="289"/>
        <v>0.65145592958786691</v>
      </c>
      <c r="AB343" s="4">
        <f t="shared" si="289"/>
        <v>0.56032247880849573</v>
      </c>
      <c r="AC343" s="4">
        <f t="shared" si="289"/>
        <v>0.46411326873185343</v>
      </c>
      <c r="AD343" s="4">
        <f t="shared" si="289"/>
        <v>0.36979727595523937</v>
      </c>
      <c r="AE343" s="4">
        <f t="shared" si="289"/>
        <v>0.28393948637231203</v>
      </c>
      <c r="AF343" s="4">
        <f t="shared" si="289"/>
        <v>0.21097259161117732</v>
      </c>
      <c r="AG343" s="4">
        <f t="shared" si="289"/>
        <v>0.15253917653798199</v>
      </c>
      <c r="AH343" s="4">
        <f t="shared" si="289"/>
        <v>0.10795188737709993</v>
      </c>
      <c r="AI343" s="4">
        <f t="shared" si="289"/>
        <v>7.5176653938091809E-2</v>
      </c>
      <c r="AJ343" s="4">
        <f t="shared" ref="AJ343:AR350" si="290">$N343+($M343-$N343)*((1/(1+EXP(-$P343*(AJ$9-$L343)))^$O343))</f>
        <v>5.1742836177502194E-2</v>
      </c>
      <c r="AK343" s="4">
        <f t="shared" si="290"/>
        <v>3.5319190625345942E-2</v>
      </c>
      <c r="AL343" s="4">
        <f t="shared" si="290"/>
        <v>2.3969442072658165E-2</v>
      </c>
      <c r="AM343" s="4">
        <f t="shared" si="290"/>
        <v>1.6202243558389728E-2</v>
      </c>
      <c r="AN343" s="4">
        <f t="shared" si="290"/>
        <v>1.0922240564108399E-2</v>
      </c>
      <c r="AO343" s="4">
        <f t="shared" si="290"/>
        <v>7.3493212906090566E-3</v>
      </c>
      <c r="AP343" s="4">
        <f t="shared" si="290"/>
        <v>4.9390262185057265E-3</v>
      </c>
      <c r="AQ343" s="4">
        <f t="shared" si="290"/>
        <v>3.3164275492956197E-3</v>
      </c>
      <c r="AR343" s="4">
        <f t="shared" si="290"/>
        <v>2.2256362146679809E-3</v>
      </c>
    </row>
    <row r="344" spans="1:44" x14ac:dyDescent="0.3">
      <c r="A344" s="24" t="s">
        <v>206</v>
      </c>
      <c r="B344" s="45">
        <f>'Parameter Input'!$L$16</f>
        <v>7.7317073170731707E-2</v>
      </c>
      <c r="C344" s="46">
        <f>'Parameter Input'!$M$16</f>
        <v>0.22395290159798151</v>
      </c>
      <c r="D344" s="1" t="s">
        <v>76</v>
      </c>
      <c r="L344" s="54">
        <f>'Parameter Input'!$O$16</f>
        <v>17</v>
      </c>
      <c r="M344" s="37">
        <v>0</v>
      </c>
      <c r="N344" s="37">
        <v>1</v>
      </c>
      <c r="O344" s="37">
        <f>'Parameter Input'!$P$16</f>
        <v>0.9</v>
      </c>
      <c r="P344" s="55">
        <f>'Parameter Input'!$Q$16</f>
        <v>0.4</v>
      </c>
      <c r="Q344" s="4">
        <f t="shared" ref="Q344:AR344" si="291">$N344+($M344-$N344)*((1/(1+EXP(-$P344*(Q$9-$L344)))^$O344))</f>
        <v>0.99780374543478534</v>
      </c>
      <c r="R344" s="4">
        <f t="shared" si="291"/>
        <v>0.99685359315256394</v>
      </c>
      <c r="S344" s="4">
        <f t="shared" si="291"/>
        <v>0.99549347132349975</v>
      </c>
      <c r="T344" s="4">
        <f t="shared" si="291"/>
        <v>0.99354772139898062</v>
      </c>
      <c r="U344" s="4">
        <f t="shared" si="291"/>
        <v>0.99076681540580536</v>
      </c>
      <c r="V344" s="4">
        <f t="shared" si="291"/>
        <v>0.9867978615748374</v>
      </c>
      <c r="W344" s="4">
        <f t="shared" si="291"/>
        <v>0.98114509762858249</v>
      </c>
      <c r="X344" s="4">
        <f t="shared" si="291"/>
        <v>0.97311898315872036</v>
      </c>
      <c r="Y344" s="4">
        <f t="shared" si="291"/>
        <v>0.96177484161592774</v>
      </c>
      <c r="Z344" s="4">
        <f t="shared" si="291"/>
        <v>0.94584787155511363</v>
      </c>
      <c r="AA344" s="4">
        <f t="shared" si="291"/>
        <v>0.92370360150141495</v>
      </c>
      <c r="AB344" s="4">
        <f t="shared" si="291"/>
        <v>0.89334463567658451</v>
      </c>
      <c r="AC344" s="4">
        <f t="shared" si="291"/>
        <v>0.85254543874327005</v>
      </c>
      <c r="AD344" s="4">
        <f t="shared" si="291"/>
        <v>0.79921300652623883</v>
      </c>
      <c r="AE344" s="4">
        <f t="shared" si="291"/>
        <v>0.73204982249993378</v>
      </c>
      <c r="AF344" s="4">
        <f t="shared" si="291"/>
        <v>0.65145592958786691</v>
      </c>
      <c r="AG344" s="4">
        <f t="shared" si="291"/>
        <v>0.56032247880849573</v>
      </c>
      <c r="AH344" s="4">
        <f t="shared" si="291"/>
        <v>0.46411326873185343</v>
      </c>
      <c r="AI344" s="4">
        <f t="shared" si="291"/>
        <v>0.36979727595523937</v>
      </c>
      <c r="AJ344" s="4">
        <f t="shared" si="291"/>
        <v>0.28393948637231203</v>
      </c>
      <c r="AK344" s="4">
        <f t="shared" si="291"/>
        <v>0.21097259161117732</v>
      </c>
      <c r="AL344" s="4">
        <f t="shared" si="291"/>
        <v>0.15253917653798199</v>
      </c>
      <c r="AM344" s="4">
        <f t="shared" si="291"/>
        <v>0.10795188737709993</v>
      </c>
      <c r="AN344" s="4">
        <f t="shared" si="291"/>
        <v>7.5176653938091809E-2</v>
      </c>
      <c r="AO344" s="4">
        <f t="shared" si="291"/>
        <v>5.1742836177502194E-2</v>
      </c>
      <c r="AP344" s="4">
        <f t="shared" si="291"/>
        <v>3.5319190625345942E-2</v>
      </c>
      <c r="AQ344" s="4">
        <f t="shared" si="291"/>
        <v>2.3969442072658165E-2</v>
      </c>
      <c r="AR344" s="4">
        <f t="shared" si="291"/>
        <v>1.6202243558389728E-2</v>
      </c>
    </row>
    <row r="345" spans="1:44" x14ac:dyDescent="0.3">
      <c r="A345" s="24" t="s">
        <v>41</v>
      </c>
      <c r="B345" s="60">
        <f>'Parameter Input'!L10</f>
        <v>8</v>
      </c>
      <c r="C345" s="61">
        <f>'Parameter Input'!M10</f>
        <v>8</v>
      </c>
      <c r="D345" s="1" t="s">
        <v>42</v>
      </c>
      <c r="L345" s="54">
        <f>'Parameter Input'!O10</f>
        <v>12</v>
      </c>
      <c r="M345" s="37">
        <v>0</v>
      </c>
      <c r="N345" s="37">
        <v>1</v>
      </c>
      <c r="O345" s="37">
        <f>'Parameter Input'!P10</f>
        <v>0.9</v>
      </c>
      <c r="P345" s="55">
        <f>'Parameter Input'!Q10</f>
        <v>0.4</v>
      </c>
      <c r="Q345" s="4">
        <f t="shared" ref="Q345:AF350" si="292">$N345+($M345-$N345)*((1/(1+EXP(-$P345*(Q$9-$L345)))^$O345))</f>
        <v>0.9867978615748374</v>
      </c>
      <c r="R345" s="4">
        <f t="shared" si="292"/>
        <v>0.98114509762858249</v>
      </c>
      <c r="S345" s="4">
        <f t="shared" si="292"/>
        <v>0.97311898315872036</v>
      </c>
      <c r="T345" s="4">
        <f t="shared" si="292"/>
        <v>0.96177484161592774</v>
      </c>
      <c r="U345" s="4">
        <f t="shared" si="292"/>
        <v>0.94584787155511363</v>
      </c>
      <c r="V345" s="4">
        <f t="shared" si="292"/>
        <v>0.92370360150141495</v>
      </c>
      <c r="W345" s="4">
        <f t="shared" si="292"/>
        <v>0.89334463567658451</v>
      </c>
      <c r="X345" s="4">
        <f t="shared" si="292"/>
        <v>0.85254543874327005</v>
      </c>
      <c r="Y345" s="4">
        <f t="shared" si="292"/>
        <v>0.79921300652623883</v>
      </c>
      <c r="Z345" s="4">
        <f t="shared" si="292"/>
        <v>0.73204982249993378</v>
      </c>
      <c r="AA345" s="4">
        <f t="shared" si="292"/>
        <v>0.65145592958786691</v>
      </c>
      <c r="AB345" s="4">
        <f t="shared" si="292"/>
        <v>0.56032247880849573</v>
      </c>
      <c r="AC345" s="4">
        <f t="shared" si="292"/>
        <v>0.46411326873185343</v>
      </c>
      <c r="AD345" s="4">
        <f t="shared" si="292"/>
        <v>0.36979727595523937</v>
      </c>
      <c r="AE345" s="4">
        <f t="shared" si="292"/>
        <v>0.28393948637231203</v>
      </c>
      <c r="AF345" s="4">
        <f t="shared" si="292"/>
        <v>0.21097259161117732</v>
      </c>
      <c r="AG345" s="4">
        <f t="shared" si="289"/>
        <v>0.15253917653798199</v>
      </c>
      <c r="AH345" s="4">
        <f t="shared" si="289"/>
        <v>0.10795188737709993</v>
      </c>
      <c r="AI345" s="4">
        <f t="shared" si="289"/>
        <v>7.5176653938091809E-2</v>
      </c>
      <c r="AJ345" s="4">
        <f t="shared" si="290"/>
        <v>5.1742836177502194E-2</v>
      </c>
      <c r="AK345" s="4">
        <f t="shared" si="290"/>
        <v>3.5319190625345942E-2</v>
      </c>
      <c r="AL345" s="4">
        <f t="shared" si="290"/>
        <v>2.3969442072658165E-2</v>
      </c>
      <c r="AM345" s="4">
        <f t="shared" si="290"/>
        <v>1.6202243558389728E-2</v>
      </c>
      <c r="AN345" s="4">
        <f t="shared" si="290"/>
        <v>1.0922240564108399E-2</v>
      </c>
      <c r="AO345" s="4">
        <f t="shared" si="290"/>
        <v>7.3493212906090566E-3</v>
      </c>
      <c r="AP345" s="4">
        <f t="shared" si="290"/>
        <v>4.9390262185057265E-3</v>
      </c>
      <c r="AQ345" s="4">
        <f t="shared" si="290"/>
        <v>3.3164275492956197E-3</v>
      </c>
      <c r="AR345" s="4">
        <f t="shared" si="290"/>
        <v>2.2256362146679809E-3</v>
      </c>
    </row>
    <row r="346" spans="1:44" x14ac:dyDescent="0.3">
      <c r="A346" s="24" t="s">
        <v>70</v>
      </c>
      <c r="B346" s="60">
        <f>'Parameter Input'!B52</f>
        <v>10</v>
      </c>
      <c r="C346" s="61">
        <f>'Parameter Input'!C52</f>
        <v>10</v>
      </c>
      <c r="D346" s="1" t="s">
        <v>42</v>
      </c>
      <c r="L346" s="54">
        <f>'Parameter Input'!E52</f>
        <v>12</v>
      </c>
      <c r="M346" s="37">
        <v>0</v>
      </c>
      <c r="N346" s="37">
        <v>1</v>
      </c>
      <c r="O346" s="37">
        <f>'Parameter Input'!F52</f>
        <v>0.9</v>
      </c>
      <c r="P346" s="55">
        <f>'Parameter Input'!G52</f>
        <v>0.4</v>
      </c>
      <c r="Q346" s="4">
        <f t="shared" si="292"/>
        <v>0.9867978615748374</v>
      </c>
      <c r="R346" s="4">
        <f t="shared" si="292"/>
        <v>0.98114509762858249</v>
      </c>
      <c r="S346" s="4">
        <f t="shared" si="292"/>
        <v>0.97311898315872036</v>
      </c>
      <c r="T346" s="4">
        <f t="shared" si="292"/>
        <v>0.96177484161592774</v>
      </c>
      <c r="U346" s="4">
        <f t="shared" si="292"/>
        <v>0.94584787155511363</v>
      </c>
      <c r="V346" s="4">
        <f t="shared" si="292"/>
        <v>0.92370360150141495</v>
      </c>
      <c r="W346" s="4">
        <f t="shared" si="292"/>
        <v>0.89334463567658451</v>
      </c>
      <c r="X346" s="4">
        <f t="shared" si="292"/>
        <v>0.85254543874327005</v>
      </c>
      <c r="Y346" s="4">
        <f t="shared" si="292"/>
        <v>0.79921300652623883</v>
      </c>
      <c r="Z346" s="4">
        <f t="shared" si="292"/>
        <v>0.73204982249993378</v>
      </c>
      <c r="AA346" s="4">
        <f t="shared" si="292"/>
        <v>0.65145592958786691</v>
      </c>
      <c r="AB346" s="4">
        <f t="shared" si="292"/>
        <v>0.56032247880849573</v>
      </c>
      <c r="AC346" s="4">
        <f t="shared" si="292"/>
        <v>0.46411326873185343</v>
      </c>
      <c r="AD346" s="4">
        <f t="shared" si="292"/>
        <v>0.36979727595523937</v>
      </c>
      <c r="AE346" s="4">
        <f t="shared" si="292"/>
        <v>0.28393948637231203</v>
      </c>
      <c r="AF346" s="4">
        <f t="shared" si="292"/>
        <v>0.21097259161117732</v>
      </c>
      <c r="AG346" s="4">
        <f t="shared" si="289"/>
        <v>0.15253917653798199</v>
      </c>
      <c r="AH346" s="4">
        <f t="shared" si="289"/>
        <v>0.10795188737709993</v>
      </c>
      <c r="AI346" s="4">
        <f t="shared" si="289"/>
        <v>7.5176653938091809E-2</v>
      </c>
      <c r="AJ346" s="4">
        <f t="shared" si="290"/>
        <v>5.1742836177502194E-2</v>
      </c>
      <c r="AK346" s="4">
        <f t="shared" si="290"/>
        <v>3.5319190625345942E-2</v>
      </c>
      <c r="AL346" s="4">
        <f t="shared" si="290"/>
        <v>2.3969442072658165E-2</v>
      </c>
      <c r="AM346" s="4">
        <f t="shared" si="290"/>
        <v>1.6202243558389728E-2</v>
      </c>
      <c r="AN346" s="4">
        <f t="shared" si="290"/>
        <v>1.0922240564108399E-2</v>
      </c>
      <c r="AO346" s="4">
        <f t="shared" si="290"/>
        <v>7.3493212906090566E-3</v>
      </c>
      <c r="AP346" s="4">
        <f t="shared" si="290"/>
        <v>4.9390262185057265E-3</v>
      </c>
      <c r="AQ346" s="4">
        <f t="shared" si="290"/>
        <v>3.3164275492956197E-3</v>
      </c>
      <c r="AR346" s="4">
        <f t="shared" si="290"/>
        <v>2.2256362146679809E-3</v>
      </c>
    </row>
    <row r="347" spans="1:44" x14ac:dyDescent="0.3">
      <c r="A347" s="24" t="s">
        <v>207</v>
      </c>
      <c r="B347" s="43">
        <f>'Parameter Input'!B49</f>
        <v>25</v>
      </c>
      <c r="C347" s="44">
        <f>'Parameter Input'!C49</f>
        <v>25</v>
      </c>
      <c r="D347" s="1" t="s">
        <v>49</v>
      </c>
      <c r="L347" s="54">
        <f>'Parameter Input'!E49</f>
        <v>12</v>
      </c>
      <c r="M347" s="37">
        <v>0</v>
      </c>
      <c r="N347" s="37">
        <v>1</v>
      </c>
      <c r="O347" s="37">
        <f>'Parameter Input'!F49</f>
        <v>0.9</v>
      </c>
      <c r="P347" s="55">
        <f>'Parameter Input'!G49</f>
        <v>0.4</v>
      </c>
      <c r="Q347" s="4">
        <f t="shared" si="292"/>
        <v>0.9867978615748374</v>
      </c>
      <c r="R347" s="4">
        <f t="shared" si="292"/>
        <v>0.98114509762858249</v>
      </c>
      <c r="S347" s="4">
        <f t="shared" si="292"/>
        <v>0.97311898315872036</v>
      </c>
      <c r="T347" s="4">
        <f t="shared" si="292"/>
        <v>0.96177484161592774</v>
      </c>
      <c r="U347" s="4">
        <f t="shared" si="292"/>
        <v>0.94584787155511363</v>
      </c>
      <c r="V347" s="4">
        <f t="shared" si="292"/>
        <v>0.92370360150141495</v>
      </c>
      <c r="W347" s="4">
        <f t="shared" si="292"/>
        <v>0.89334463567658451</v>
      </c>
      <c r="X347" s="4">
        <f t="shared" si="292"/>
        <v>0.85254543874327005</v>
      </c>
      <c r="Y347" s="4">
        <f t="shared" si="292"/>
        <v>0.79921300652623883</v>
      </c>
      <c r="Z347" s="4">
        <f t="shared" si="292"/>
        <v>0.73204982249993378</v>
      </c>
      <c r="AA347" s="4">
        <f t="shared" si="292"/>
        <v>0.65145592958786691</v>
      </c>
      <c r="AB347" s="4">
        <f t="shared" si="292"/>
        <v>0.56032247880849573</v>
      </c>
      <c r="AC347" s="4">
        <f t="shared" si="292"/>
        <v>0.46411326873185343</v>
      </c>
      <c r="AD347" s="4">
        <f t="shared" si="292"/>
        <v>0.36979727595523937</v>
      </c>
      <c r="AE347" s="4">
        <f t="shared" si="292"/>
        <v>0.28393948637231203</v>
      </c>
      <c r="AF347" s="4">
        <f t="shared" si="292"/>
        <v>0.21097259161117732</v>
      </c>
      <c r="AG347" s="4">
        <f t="shared" si="289"/>
        <v>0.15253917653798199</v>
      </c>
      <c r="AH347" s="4">
        <f t="shared" si="289"/>
        <v>0.10795188737709993</v>
      </c>
      <c r="AI347" s="4">
        <f t="shared" si="289"/>
        <v>7.5176653938091809E-2</v>
      </c>
      <c r="AJ347" s="4">
        <f t="shared" si="290"/>
        <v>5.1742836177502194E-2</v>
      </c>
      <c r="AK347" s="4">
        <f t="shared" si="290"/>
        <v>3.5319190625345942E-2</v>
      </c>
      <c r="AL347" s="4">
        <f t="shared" si="290"/>
        <v>2.3969442072658165E-2</v>
      </c>
      <c r="AM347" s="4">
        <f t="shared" si="290"/>
        <v>1.6202243558389728E-2</v>
      </c>
      <c r="AN347" s="4">
        <f t="shared" si="290"/>
        <v>1.0922240564108399E-2</v>
      </c>
      <c r="AO347" s="4">
        <f t="shared" si="290"/>
        <v>7.3493212906090566E-3</v>
      </c>
      <c r="AP347" s="4">
        <f t="shared" si="290"/>
        <v>4.9390262185057265E-3</v>
      </c>
      <c r="AQ347" s="4">
        <f t="shared" si="290"/>
        <v>3.3164275492956197E-3</v>
      </c>
      <c r="AR347" s="4">
        <f t="shared" si="290"/>
        <v>2.2256362146679809E-3</v>
      </c>
    </row>
    <row r="348" spans="1:44" x14ac:dyDescent="0.3">
      <c r="A348" s="24" t="s">
        <v>56</v>
      </c>
      <c r="B348" s="45">
        <f>'Parameter Input'!B50</f>
        <v>0.46</v>
      </c>
      <c r="C348" s="46">
        <f>'Parameter Input'!C50</f>
        <v>0.46</v>
      </c>
      <c r="D348" s="1" t="s">
        <v>57</v>
      </c>
      <c r="L348" s="54">
        <f>'Parameter Input'!E50</f>
        <v>12</v>
      </c>
      <c r="M348" s="37">
        <v>0</v>
      </c>
      <c r="N348" s="37">
        <v>1</v>
      </c>
      <c r="O348" s="37">
        <f>'Parameter Input'!F50</f>
        <v>0.9</v>
      </c>
      <c r="P348" s="55">
        <f>'Parameter Input'!G50</f>
        <v>0.4</v>
      </c>
      <c r="Q348" s="4">
        <f t="shared" si="292"/>
        <v>0.9867978615748374</v>
      </c>
      <c r="R348" s="4">
        <f t="shared" si="292"/>
        <v>0.98114509762858249</v>
      </c>
      <c r="S348" s="4">
        <f t="shared" si="292"/>
        <v>0.97311898315872036</v>
      </c>
      <c r="T348" s="4">
        <f t="shared" si="292"/>
        <v>0.96177484161592774</v>
      </c>
      <c r="U348" s="4">
        <f t="shared" si="292"/>
        <v>0.94584787155511363</v>
      </c>
      <c r="V348" s="4">
        <f t="shared" si="292"/>
        <v>0.92370360150141495</v>
      </c>
      <c r="W348" s="4">
        <f t="shared" si="292"/>
        <v>0.89334463567658451</v>
      </c>
      <c r="X348" s="4">
        <f t="shared" si="292"/>
        <v>0.85254543874327005</v>
      </c>
      <c r="Y348" s="4">
        <f t="shared" si="292"/>
        <v>0.79921300652623883</v>
      </c>
      <c r="Z348" s="4">
        <f t="shared" si="292"/>
        <v>0.73204982249993378</v>
      </c>
      <c r="AA348" s="4">
        <f t="shared" si="292"/>
        <v>0.65145592958786691</v>
      </c>
      <c r="AB348" s="4">
        <f t="shared" si="292"/>
        <v>0.56032247880849573</v>
      </c>
      <c r="AC348" s="4">
        <f t="shared" si="292"/>
        <v>0.46411326873185343</v>
      </c>
      <c r="AD348" s="4">
        <f t="shared" si="292"/>
        <v>0.36979727595523937</v>
      </c>
      <c r="AE348" s="4">
        <f t="shared" si="292"/>
        <v>0.28393948637231203</v>
      </c>
      <c r="AF348" s="4">
        <f t="shared" si="292"/>
        <v>0.21097259161117732</v>
      </c>
      <c r="AG348" s="4">
        <f t="shared" si="289"/>
        <v>0.15253917653798199</v>
      </c>
      <c r="AH348" s="4">
        <f t="shared" si="289"/>
        <v>0.10795188737709993</v>
      </c>
      <c r="AI348" s="4">
        <f t="shared" si="289"/>
        <v>7.5176653938091809E-2</v>
      </c>
      <c r="AJ348" s="4">
        <f t="shared" si="290"/>
        <v>5.1742836177502194E-2</v>
      </c>
      <c r="AK348" s="4">
        <f t="shared" si="290"/>
        <v>3.5319190625345942E-2</v>
      </c>
      <c r="AL348" s="4">
        <f t="shared" si="290"/>
        <v>2.3969442072658165E-2</v>
      </c>
      <c r="AM348" s="4">
        <f t="shared" si="290"/>
        <v>1.6202243558389728E-2</v>
      </c>
      <c r="AN348" s="4">
        <f t="shared" si="290"/>
        <v>1.0922240564108399E-2</v>
      </c>
      <c r="AO348" s="4">
        <f t="shared" si="290"/>
        <v>7.3493212906090566E-3</v>
      </c>
      <c r="AP348" s="4">
        <f t="shared" si="290"/>
        <v>4.9390262185057265E-3</v>
      </c>
      <c r="AQ348" s="4">
        <f t="shared" si="290"/>
        <v>3.3164275492956197E-3</v>
      </c>
      <c r="AR348" s="4">
        <f t="shared" si="290"/>
        <v>2.2256362146679809E-3</v>
      </c>
    </row>
    <row r="349" spans="1:44" x14ac:dyDescent="0.3">
      <c r="A349" s="24" t="s">
        <v>73</v>
      </c>
      <c r="B349" s="45">
        <f>'Parameter Input'!L14</f>
        <v>0</v>
      </c>
      <c r="C349" s="46">
        <f>'Parameter Input'!M14</f>
        <v>0</v>
      </c>
      <c r="D349" s="1" t="s">
        <v>57</v>
      </c>
      <c r="L349" s="54">
        <f>'Parameter Input'!O14</f>
        <v>12</v>
      </c>
      <c r="M349" s="37">
        <v>0</v>
      </c>
      <c r="N349" s="37">
        <v>1</v>
      </c>
      <c r="O349" s="37">
        <f>'Parameter Input'!P14</f>
        <v>0.9</v>
      </c>
      <c r="P349" s="55">
        <f>'Parameter Input'!Q14</f>
        <v>0.4</v>
      </c>
      <c r="Q349" s="4">
        <f t="shared" si="292"/>
        <v>0.9867978615748374</v>
      </c>
      <c r="R349" s="4">
        <f t="shared" si="292"/>
        <v>0.98114509762858249</v>
      </c>
      <c r="S349" s="4">
        <f t="shared" si="292"/>
        <v>0.97311898315872036</v>
      </c>
      <c r="T349" s="4">
        <f t="shared" si="292"/>
        <v>0.96177484161592774</v>
      </c>
      <c r="U349" s="4">
        <f t="shared" si="292"/>
        <v>0.94584787155511363</v>
      </c>
      <c r="V349" s="4">
        <f t="shared" si="292"/>
        <v>0.92370360150141495</v>
      </c>
      <c r="W349" s="4">
        <f t="shared" si="292"/>
        <v>0.89334463567658451</v>
      </c>
      <c r="X349" s="4">
        <f t="shared" si="292"/>
        <v>0.85254543874327005</v>
      </c>
      <c r="Y349" s="4">
        <f t="shared" si="292"/>
        <v>0.79921300652623883</v>
      </c>
      <c r="Z349" s="4">
        <f t="shared" si="292"/>
        <v>0.73204982249993378</v>
      </c>
      <c r="AA349" s="4">
        <f t="shared" si="292"/>
        <v>0.65145592958786691</v>
      </c>
      <c r="AB349" s="4">
        <f t="shared" si="292"/>
        <v>0.56032247880849573</v>
      </c>
      <c r="AC349" s="4">
        <f t="shared" si="292"/>
        <v>0.46411326873185343</v>
      </c>
      <c r="AD349" s="4">
        <f t="shared" si="292"/>
        <v>0.36979727595523937</v>
      </c>
      <c r="AE349" s="4">
        <f t="shared" si="292"/>
        <v>0.28393948637231203</v>
      </c>
      <c r="AF349" s="4">
        <f t="shared" si="292"/>
        <v>0.21097259161117732</v>
      </c>
      <c r="AG349" s="4">
        <f t="shared" si="289"/>
        <v>0.15253917653798199</v>
      </c>
      <c r="AH349" s="4">
        <f t="shared" si="289"/>
        <v>0.10795188737709993</v>
      </c>
      <c r="AI349" s="4">
        <f t="shared" si="289"/>
        <v>7.5176653938091809E-2</v>
      </c>
      <c r="AJ349" s="4">
        <f t="shared" si="290"/>
        <v>5.1742836177502194E-2</v>
      </c>
      <c r="AK349" s="4">
        <f t="shared" si="290"/>
        <v>3.5319190625345942E-2</v>
      </c>
      <c r="AL349" s="4">
        <f t="shared" si="290"/>
        <v>2.3969442072658165E-2</v>
      </c>
      <c r="AM349" s="4">
        <f t="shared" si="290"/>
        <v>1.6202243558389728E-2</v>
      </c>
      <c r="AN349" s="4">
        <f t="shared" si="290"/>
        <v>1.0922240564108399E-2</v>
      </c>
      <c r="AO349" s="4">
        <f t="shared" si="290"/>
        <v>7.3493212906090566E-3</v>
      </c>
      <c r="AP349" s="4">
        <f t="shared" si="290"/>
        <v>4.9390262185057265E-3</v>
      </c>
      <c r="AQ349" s="4">
        <f t="shared" si="290"/>
        <v>3.3164275492956197E-3</v>
      </c>
      <c r="AR349" s="4">
        <f t="shared" si="290"/>
        <v>2.2256362146679809E-3</v>
      </c>
    </row>
    <row r="350" spans="1:44" ht="15" thickBot="1" x14ac:dyDescent="0.35">
      <c r="A350" s="24" t="s">
        <v>64</v>
      </c>
      <c r="B350" s="49">
        <f>'Parameter Input'!B51</f>
        <v>78000</v>
      </c>
      <c r="C350" s="50">
        <f>'Parameter Input'!C51</f>
        <v>78000</v>
      </c>
      <c r="D350" s="1" t="s">
        <v>65</v>
      </c>
      <c r="L350" s="56">
        <f>'Parameter Input'!E51</f>
        <v>12</v>
      </c>
      <c r="M350" s="57">
        <v>0</v>
      </c>
      <c r="N350" s="57">
        <v>1</v>
      </c>
      <c r="O350" s="57">
        <f>'Parameter Input'!F51</f>
        <v>0.9</v>
      </c>
      <c r="P350" s="58">
        <f>'Parameter Input'!G51</f>
        <v>0.4</v>
      </c>
      <c r="Q350" s="4">
        <f t="shared" si="292"/>
        <v>0.9867978615748374</v>
      </c>
      <c r="R350" s="4">
        <f t="shared" si="292"/>
        <v>0.98114509762858249</v>
      </c>
      <c r="S350" s="4">
        <f t="shared" si="292"/>
        <v>0.97311898315872036</v>
      </c>
      <c r="T350" s="4">
        <f t="shared" si="292"/>
        <v>0.96177484161592774</v>
      </c>
      <c r="U350" s="4">
        <f t="shared" si="292"/>
        <v>0.94584787155511363</v>
      </c>
      <c r="V350" s="4">
        <f t="shared" si="292"/>
        <v>0.92370360150141495</v>
      </c>
      <c r="W350" s="4">
        <f t="shared" si="292"/>
        <v>0.89334463567658451</v>
      </c>
      <c r="X350" s="4">
        <f t="shared" si="292"/>
        <v>0.85254543874327005</v>
      </c>
      <c r="Y350" s="4">
        <f t="shared" si="292"/>
        <v>0.79921300652623883</v>
      </c>
      <c r="Z350" s="4">
        <f t="shared" si="292"/>
        <v>0.73204982249993378</v>
      </c>
      <c r="AA350" s="4">
        <f t="shared" si="292"/>
        <v>0.65145592958786691</v>
      </c>
      <c r="AB350" s="4">
        <f t="shared" si="292"/>
        <v>0.56032247880849573</v>
      </c>
      <c r="AC350" s="4">
        <f t="shared" si="292"/>
        <v>0.46411326873185343</v>
      </c>
      <c r="AD350" s="4">
        <f t="shared" si="292"/>
        <v>0.36979727595523937</v>
      </c>
      <c r="AE350" s="4">
        <f t="shared" si="292"/>
        <v>0.28393948637231203</v>
      </c>
      <c r="AF350" s="4">
        <f t="shared" si="292"/>
        <v>0.21097259161117732</v>
      </c>
      <c r="AG350" s="4">
        <f t="shared" si="289"/>
        <v>0.15253917653798199</v>
      </c>
      <c r="AH350" s="4">
        <f t="shared" si="289"/>
        <v>0.10795188737709993</v>
      </c>
      <c r="AI350" s="4">
        <f t="shared" si="289"/>
        <v>7.5176653938091809E-2</v>
      </c>
      <c r="AJ350" s="4">
        <f t="shared" si="290"/>
        <v>5.1742836177502194E-2</v>
      </c>
      <c r="AK350" s="4">
        <f t="shared" si="290"/>
        <v>3.5319190625345942E-2</v>
      </c>
      <c r="AL350" s="4">
        <f t="shared" si="290"/>
        <v>2.3969442072658165E-2</v>
      </c>
      <c r="AM350" s="4">
        <f t="shared" si="290"/>
        <v>1.6202243558389728E-2</v>
      </c>
      <c r="AN350" s="4">
        <f t="shared" si="290"/>
        <v>1.0922240564108399E-2</v>
      </c>
      <c r="AO350" s="4">
        <f t="shared" si="290"/>
        <v>7.3493212906090566E-3</v>
      </c>
      <c r="AP350" s="4">
        <f t="shared" si="290"/>
        <v>4.9390262185057265E-3</v>
      </c>
      <c r="AQ350" s="4">
        <f t="shared" si="290"/>
        <v>3.3164275492956197E-3</v>
      </c>
      <c r="AR350" s="4">
        <f t="shared" si="290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8" si="293">A334</f>
        <v>Capex vehicle</v>
      </c>
      <c r="B354" s="62">
        <f t="shared" ref="B354:B363" si="294">$B334+($C334-$B334)*(1-Q334)</f>
        <v>105132.02138425162</v>
      </c>
      <c r="C354" s="62">
        <f t="shared" ref="C354:C363" si="295">$B334+($C334-$B334)*(1-R334)</f>
        <v>105188.54902371418</v>
      </c>
      <c r="D354" s="62">
        <f t="shared" ref="D354:D363" si="296">$B334+($C334-$B334)*(1-S334)</f>
        <v>105268.81016841279</v>
      </c>
      <c r="E354" s="62">
        <f t="shared" ref="E354:E363" si="297">$B334+($C334-$B334)*(1-T334)</f>
        <v>105382.25158384073</v>
      </c>
      <c r="F354" s="62">
        <f t="shared" ref="F354:F363" si="298">$B334+($C334-$B334)*(1-U334)</f>
        <v>105541.52128444887</v>
      </c>
      <c r="G354" s="62">
        <f t="shared" ref="G354:G363" si="299">$B334+($C334-$B334)*(1-V334)</f>
        <v>105762.96398498585</v>
      </c>
      <c r="H354" s="62">
        <f t="shared" ref="H354:H363" si="300">$B334+($C334-$B334)*(1-W334)</f>
        <v>106066.55364323416</v>
      </c>
      <c r="I354" s="62">
        <f t="shared" ref="I354:I363" si="301">$B334+($C334-$B334)*(1-X334)</f>
        <v>106474.54561256729</v>
      </c>
      <c r="J354" s="62">
        <f t="shared" ref="J354:J363" si="302">$B334+($C334-$B334)*(1-Y334)</f>
        <v>107007.86993473761</v>
      </c>
      <c r="K354" s="62">
        <f t="shared" ref="K354:K363" si="303">$B334+($C334-$B334)*(1-Z334)</f>
        <v>107679.50177500067</v>
      </c>
      <c r="L354" s="62">
        <f t="shared" ref="L354:L363" si="304">$B334+($C334-$B334)*(1-AA334)</f>
        <v>108485.44070412133</v>
      </c>
      <c r="M354" s="62">
        <f t="shared" ref="M354:M363" si="305">$B334+($C334-$B334)*(1-AB334)</f>
        <v>109396.77521191504</v>
      </c>
      <c r="N354" s="62">
        <f t="shared" ref="N354:N363" si="306">$B334+($C334-$B334)*(1-AC334)</f>
        <v>110358.86731268147</v>
      </c>
      <c r="O354" s="62">
        <f t="shared" ref="O354:O363" si="307">$B334+($C334-$B334)*(1-AD334)</f>
        <v>111302.02724044761</v>
      </c>
      <c r="P354" s="62">
        <f t="shared" ref="P354:P363" si="308">$B334+($C334-$B334)*(1-AE334)</f>
        <v>112160.60513627688</v>
      </c>
      <c r="Q354" s="62">
        <f t="shared" ref="Q354:Q363" si="309">$B334+($C334-$B334)*(1-AF334)</f>
        <v>112890.27408388823</v>
      </c>
      <c r="R354" s="62">
        <f t="shared" ref="R354:R363" si="310">$B334+($C334-$B334)*(1-AG334)</f>
        <v>113474.60823462019</v>
      </c>
      <c r="S354" s="62">
        <f t="shared" ref="S354:S363" si="311">$B334+($C334-$B334)*(1-AH334)</f>
        <v>113920.481126229</v>
      </c>
      <c r="T354" s="62">
        <f t="shared" ref="T354:T363" si="312">$B334+($C334-$B334)*(1-AI334)</f>
        <v>114248.23346061909</v>
      </c>
      <c r="U354" s="62">
        <f t="shared" ref="U354:U363" si="313">$B334+($C334-$B334)*(1-AJ334)</f>
        <v>114482.57163822498</v>
      </c>
      <c r="V354" s="62">
        <f t="shared" ref="V354:V363" si="314">$B334+($C334-$B334)*(1-AK334)</f>
        <v>114646.80809374654</v>
      </c>
      <c r="W354" s="62">
        <f t="shared" ref="W354:W363" si="315">$B334+($C334-$B334)*(1-AL334)</f>
        <v>114760.30557927342</v>
      </c>
      <c r="X354" s="62">
        <f t="shared" ref="X354:X363" si="316">$B334+($C334-$B334)*(1-AM334)</f>
        <v>114837.9775644161</v>
      </c>
      <c r="Y354" s="62">
        <f t="shared" ref="Y354:Y363" si="317">$B334+($C334-$B334)*(1-AN334)</f>
        <v>114890.77759435892</v>
      </c>
      <c r="Z354" s="62">
        <f t="shared" ref="Z354:Z363" si="318">$B334+($C334-$B334)*(1-AO334)</f>
        <v>114926.50678709391</v>
      </c>
      <c r="AA354" s="62">
        <f t="shared" ref="AA354:AA363" si="319">$B334+($C334-$B334)*(1-AP334)</f>
        <v>114950.60973781494</v>
      </c>
      <c r="AB354" s="62">
        <f t="shared" ref="AB354:AB363" si="320">$B334+($C334-$B334)*(1-AQ334)</f>
        <v>114966.83572450705</v>
      </c>
      <c r="AC354" s="62">
        <f t="shared" ref="AC354:AC363" si="321">$B334+($C334-$B334)*(1-AR334)</f>
        <v>114977.74363785332</v>
      </c>
    </row>
    <row r="355" spans="1:29" x14ac:dyDescent="0.3">
      <c r="A355" s="30" t="str">
        <f t="shared" si="293"/>
        <v>Residual value (vehicle)</v>
      </c>
      <c r="B355" s="62">
        <f t="shared" si="294"/>
        <v>-26131.180754173536</v>
      </c>
      <c r="C355" s="62">
        <f t="shared" si="295"/>
        <v>-26080.305878657244</v>
      </c>
      <c r="D355" s="62">
        <f t="shared" si="296"/>
        <v>-26008.070848428484</v>
      </c>
      <c r="E355" s="62">
        <f t="shared" si="297"/>
        <v>-25905.97357454335</v>
      </c>
      <c r="F355" s="62">
        <f t="shared" si="298"/>
        <v>-25762.630843996023</v>
      </c>
      <c r="G355" s="62">
        <f t="shared" si="299"/>
        <v>-25563.332413512733</v>
      </c>
      <c r="H355" s="62">
        <f t="shared" si="300"/>
        <v>-25290.101721089261</v>
      </c>
      <c r="I355" s="62">
        <f t="shared" si="301"/>
        <v>-24922.90894868943</v>
      </c>
      <c r="J355" s="62">
        <f t="shared" si="302"/>
        <v>-24442.917058736151</v>
      </c>
      <c r="K355" s="62">
        <f t="shared" si="303"/>
        <v>-23838.448402499405</v>
      </c>
      <c r="L355" s="62">
        <f t="shared" si="304"/>
        <v>-23113.103366290801</v>
      </c>
      <c r="M355" s="62">
        <f t="shared" si="305"/>
        <v>-22292.902309276462</v>
      </c>
      <c r="N355" s="62">
        <f t="shared" si="306"/>
        <v>-21427.019418586682</v>
      </c>
      <c r="O355" s="62">
        <f t="shared" si="307"/>
        <v>-20578.175483597155</v>
      </c>
      <c r="P355" s="62">
        <f t="shared" si="308"/>
        <v>-19805.455377350809</v>
      </c>
      <c r="Q355" s="62">
        <f t="shared" si="309"/>
        <v>-19148.753324500598</v>
      </c>
      <c r="R355" s="62">
        <f t="shared" si="310"/>
        <v>-18622.852588841837</v>
      </c>
      <c r="S355" s="62">
        <f t="shared" si="311"/>
        <v>-18221.5669863939</v>
      </c>
      <c r="T355" s="62">
        <f t="shared" si="312"/>
        <v>-17926.589885442827</v>
      </c>
      <c r="U355" s="62">
        <f t="shared" si="313"/>
        <v>-17715.685525597521</v>
      </c>
      <c r="V355" s="62">
        <f t="shared" si="314"/>
        <v>-17567.872715628113</v>
      </c>
      <c r="W355" s="62">
        <f t="shared" si="315"/>
        <v>-17465.724978653925</v>
      </c>
      <c r="X355" s="62">
        <f t="shared" si="316"/>
        <v>-17395.820192025509</v>
      </c>
      <c r="Y355" s="62">
        <f t="shared" si="317"/>
        <v>-17348.300165076973</v>
      </c>
      <c r="Z355" s="62">
        <f t="shared" si="318"/>
        <v>-17316.14389161548</v>
      </c>
      <c r="AA355" s="62">
        <f t="shared" si="319"/>
        <v>-17294.451235966553</v>
      </c>
      <c r="AB355" s="62">
        <f t="shared" si="320"/>
        <v>-17279.84784794366</v>
      </c>
      <c r="AC355" s="62">
        <f t="shared" si="321"/>
        <v>-17270.030725932011</v>
      </c>
    </row>
    <row r="356" spans="1:29" x14ac:dyDescent="0.3">
      <c r="A356" s="30" t="str">
        <f t="shared" si="293"/>
        <v>Capex costumization</v>
      </c>
      <c r="B356" s="62">
        <f t="shared" si="294"/>
        <v>40000</v>
      </c>
      <c r="C356" s="62">
        <f t="shared" si="295"/>
        <v>40000</v>
      </c>
      <c r="D356" s="62">
        <f t="shared" si="296"/>
        <v>40000</v>
      </c>
      <c r="E356" s="62">
        <f t="shared" si="297"/>
        <v>40000</v>
      </c>
      <c r="F356" s="62">
        <f t="shared" si="298"/>
        <v>40000</v>
      </c>
      <c r="G356" s="62">
        <f t="shared" si="299"/>
        <v>40000</v>
      </c>
      <c r="H356" s="62">
        <f t="shared" si="300"/>
        <v>40000</v>
      </c>
      <c r="I356" s="62">
        <f t="shared" si="301"/>
        <v>40000</v>
      </c>
      <c r="J356" s="62">
        <f t="shared" si="302"/>
        <v>40000</v>
      </c>
      <c r="K356" s="62">
        <f t="shared" si="303"/>
        <v>40000</v>
      </c>
      <c r="L356" s="62">
        <f t="shared" si="304"/>
        <v>40000</v>
      </c>
      <c r="M356" s="62">
        <f t="shared" si="305"/>
        <v>40000</v>
      </c>
      <c r="N356" s="62">
        <f t="shared" si="306"/>
        <v>40000</v>
      </c>
      <c r="O356" s="62">
        <f t="shared" si="307"/>
        <v>40000</v>
      </c>
      <c r="P356" s="62">
        <f t="shared" si="308"/>
        <v>40000</v>
      </c>
      <c r="Q356" s="62">
        <f t="shared" si="309"/>
        <v>40000</v>
      </c>
      <c r="R356" s="62">
        <f t="shared" si="310"/>
        <v>40000</v>
      </c>
      <c r="S356" s="62">
        <f t="shared" si="311"/>
        <v>40000</v>
      </c>
      <c r="T356" s="62">
        <f t="shared" si="312"/>
        <v>40000</v>
      </c>
      <c r="U356" s="62">
        <f t="shared" si="313"/>
        <v>40000</v>
      </c>
      <c r="V356" s="62">
        <f t="shared" si="314"/>
        <v>40000</v>
      </c>
      <c r="W356" s="62">
        <f t="shared" si="315"/>
        <v>40000</v>
      </c>
      <c r="X356" s="62">
        <f t="shared" si="316"/>
        <v>40000</v>
      </c>
      <c r="Y356" s="62">
        <f t="shared" si="317"/>
        <v>40000</v>
      </c>
      <c r="Z356" s="62">
        <f t="shared" si="318"/>
        <v>40000</v>
      </c>
      <c r="AA356" s="62">
        <f t="shared" si="319"/>
        <v>40000</v>
      </c>
      <c r="AB356" s="62">
        <f t="shared" si="320"/>
        <v>40000</v>
      </c>
      <c r="AC356" s="62">
        <f t="shared" si="321"/>
        <v>40000</v>
      </c>
    </row>
    <row r="357" spans="1:29" x14ac:dyDescent="0.3">
      <c r="A357" s="30" t="str">
        <f t="shared" si="293"/>
        <v>Residual value (costumization)</v>
      </c>
      <c r="B357" s="62">
        <f t="shared" si="294"/>
        <v>-10000</v>
      </c>
      <c r="C357" s="62">
        <f t="shared" si="295"/>
        <v>-10000</v>
      </c>
      <c r="D357" s="62">
        <f t="shared" si="296"/>
        <v>-10000</v>
      </c>
      <c r="E357" s="62">
        <f t="shared" si="297"/>
        <v>-10000</v>
      </c>
      <c r="F357" s="62">
        <f t="shared" si="298"/>
        <v>-10000</v>
      </c>
      <c r="G357" s="62">
        <f t="shared" si="299"/>
        <v>-10000</v>
      </c>
      <c r="H357" s="62">
        <f t="shared" si="300"/>
        <v>-10000</v>
      </c>
      <c r="I357" s="62">
        <f t="shared" si="301"/>
        <v>-10000</v>
      </c>
      <c r="J357" s="62">
        <f t="shared" si="302"/>
        <v>-10000</v>
      </c>
      <c r="K357" s="62">
        <f t="shared" si="303"/>
        <v>-10000</v>
      </c>
      <c r="L357" s="62">
        <f t="shared" si="304"/>
        <v>-10000</v>
      </c>
      <c r="M357" s="62">
        <f t="shared" si="305"/>
        <v>-10000</v>
      </c>
      <c r="N357" s="62">
        <f t="shared" si="306"/>
        <v>-10000</v>
      </c>
      <c r="O357" s="62">
        <f t="shared" si="307"/>
        <v>-10000</v>
      </c>
      <c r="P357" s="62">
        <f t="shared" si="308"/>
        <v>-10000</v>
      </c>
      <c r="Q357" s="62">
        <f t="shared" si="309"/>
        <v>-10000</v>
      </c>
      <c r="R357" s="62">
        <f t="shared" si="310"/>
        <v>-10000</v>
      </c>
      <c r="S357" s="62">
        <f t="shared" si="311"/>
        <v>-10000</v>
      </c>
      <c r="T357" s="62">
        <f t="shared" si="312"/>
        <v>-10000</v>
      </c>
      <c r="U357" s="62">
        <f t="shared" si="313"/>
        <v>-10000</v>
      </c>
      <c r="V357" s="62">
        <f t="shared" si="314"/>
        <v>-10000</v>
      </c>
      <c r="W357" s="62">
        <f t="shared" si="315"/>
        <v>-10000</v>
      </c>
      <c r="X357" s="62">
        <f t="shared" si="316"/>
        <v>-10000</v>
      </c>
      <c r="Y357" s="62">
        <f t="shared" si="317"/>
        <v>-10000</v>
      </c>
      <c r="Z357" s="62">
        <f t="shared" si="318"/>
        <v>-10000</v>
      </c>
      <c r="AA357" s="62">
        <f t="shared" si="319"/>
        <v>-10000</v>
      </c>
      <c r="AB357" s="62">
        <f t="shared" si="320"/>
        <v>-10000</v>
      </c>
      <c r="AC357" s="62">
        <f t="shared" si="321"/>
        <v>-10000</v>
      </c>
    </row>
    <row r="358" spans="1:29" x14ac:dyDescent="0.3">
      <c r="A358" s="30" t="str">
        <f t="shared" si="293"/>
        <v>WACC</v>
      </c>
      <c r="B358" s="62">
        <f t="shared" si="294"/>
        <v>0.06</v>
      </c>
      <c r="C358" s="62">
        <f t="shared" si="295"/>
        <v>0.06</v>
      </c>
      <c r="D358" s="62">
        <f t="shared" si="296"/>
        <v>0.06</v>
      </c>
      <c r="E358" s="62">
        <f t="shared" si="297"/>
        <v>0.06</v>
      </c>
      <c r="F358" s="62">
        <f t="shared" si="298"/>
        <v>0.06</v>
      </c>
      <c r="G358" s="62">
        <f t="shared" si="299"/>
        <v>0.06</v>
      </c>
      <c r="H358" s="62">
        <f t="shared" si="300"/>
        <v>0.06</v>
      </c>
      <c r="I358" s="62">
        <f t="shared" si="301"/>
        <v>0.06</v>
      </c>
      <c r="J358" s="62">
        <f t="shared" si="302"/>
        <v>0.06</v>
      </c>
      <c r="K358" s="62">
        <f t="shared" si="303"/>
        <v>0.06</v>
      </c>
      <c r="L358" s="62">
        <f t="shared" si="304"/>
        <v>0.06</v>
      </c>
      <c r="M358" s="62">
        <f t="shared" si="305"/>
        <v>0.06</v>
      </c>
      <c r="N358" s="62">
        <f t="shared" si="306"/>
        <v>0.06</v>
      </c>
      <c r="O358" s="62">
        <f t="shared" si="307"/>
        <v>0.06</v>
      </c>
      <c r="P358" s="62">
        <f t="shared" si="308"/>
        <v>0.06</v>
      </c>
      <c r="Q358" s="62">
        <f t="shared" si="309"/>
        <v>0.06</v>
      </c>
      <c r="R358" s="62">
        <f t="shared" si="310"/>
        <v>0.06</v>
      </c>
      <c r="S358" s="62">
        <f t="shared" si="311"/>
        <v>0.06</v>
      </c>
      <c r="T358" s="62">
        <f t="shared" si="312"/>
        <v>0.06</v>
      </c>
      <c r="U358" s="62">
        <f t="shared" si="313"/>
        <v>0.06</v>
      </c>
      <c r="V358" s="62">
        <f t="shared" si="314"/>
        <v>0.06</v>
      </c>
      <c r="W358" s="62">
        <f t="shared" si="315"/>
        <v>0.06</v>
      </c>
      <c r="X358" s="62">
        <f t="shared" si="316"/>
        <v>0.06</v>
      </c>
      <c r="Y358" s="62">
        <f t="shared" si="317"/>
        <v>0.06</v>
      </c>
      <c r="Z358" s="62">
        <f t="shared" si="318"/>
        <v>0.06</v>
      </c>
      <c r="AA358" s="62">
        <f t="shared" si="319"/>
        <v>0.06</v>
      </c>
      <c r="AB358" s="62">
        <f t="shared" si="320"/>
        <v>0.06</v>
      </c>
      <c r="AC358" s="62">
        <f t="shared" si="321"/>
        <v>0.06</v>
      </c>
    </row>
    <row r="359" spans="1:29" x14ac:dyDescent="0.3">
      <c r="A359" s="30" t="str">
        <f t="shared" si="293"/>
        <v>Opex fix (admin, crew, insurance)</v>
      </c>
      <c r="B359" s="62">
        <f t="shared" si="294"/>
        <v>70000</v>
      </c>
      <c r="C359" s="62">
        <f t="shared" si="295"/>
        <v>70000</v>
      </c>
      <c r="D359" s="62">
        <f t="shared" si="296"/>
        <v>70000</v>
      </c>
      <c r="E359" s="62">
        <f t="shared" si="297"/>
        <v>70000</v>
      </c>
      <c r="F359" s="62">
        <f t="shared" si="298"/>
        <v>70000</v>
      </c>
      <c r="G359" s="62">
        <f t="shared" si="299"/>
        <v>70000</v>
      </c>
      <c r="H359" s="62">
        <f t="shared" si="300"/>
        <v>70000</v>
      </c>
      <c r="I359" s="62">
        <f t="shared" si="301"/>
        <v>70000</v>
      </c>
      <c r="J359" s="62">
        <f t="shared" si="302"/>
        <v>70000</v>
      </c>
      <c r="K359" s="62">
        <f t="shared" si="303"/>
        <v>70000</v>
      </c>
      <c r="L359" s="62">
        <f t="shared" si="304"/>
        <v>70000</v>
      </c>
      <c r="M359" s="62">
        <f t="shared" si="305"/>
        <v>70000</v>
      </c>
      <c r="N359" s="62">
        <f t="shared" si="306"/>
        <v>70000</v>
      </c>
      <c r="O359" s="62">
        <f t="shared" si="307"/>
        <v>70000</v>
      </c>
      <c r="P359" s="62">
        <f t="shared" si="308"/>
        <v>70000</v>
      </c>
      <c r="Q359" s="62">
        <f t="shared" si="309"/>
        <v>70000</v>
      </c>
      <c r="R359" s="62">
        <f t="shared" si="310"/>
        <v>70000</v>
      </c>
      <c r="S359" s="62">
        <f t="shared" si="311"/>
        <v>70000</v>
      </c>
      <c r="T359" s="62">
        <f t="shared" si="312"/>
        <v>70000</v>
      </c>
      <c r="U359" s="62">
        <f t="shared" si="313"/>
        <v>70000</v>
      </c>
      <c r="V359" s="62">
        <f t="shared" si="314"/>
        <v>70000</v>
      </c>
      <c r="W359" s="62">
        <f t="shared" si="315"/>
        <v>70000</v>
      </c>
      <c r="X359" s="62">
        <f t="shared" si="316"/>
        <v>70000</v>
      </c>
      <c r="Y359" s="62">
        <f t="shared" si="317"/>
        <v>70000</v>
      </c>
      <c r="Z359" s="62">
        <f t="shared" si="318"/>
        <v>70000</v>
      </c>
      <c r="AA359" s="62">
        <f t="shared" si="319"/>
        <v>70000</v>
      </c>
      <c r="AB359" s="62">
        <f t="shared" si="320"/>
        <v>70000</v>
      </c>
      <c r="AC359" s="62">
        <f t="shared" si="321"/>
        <v>70000</v>
      </c>
    </row>
    <row r="360" spans="1:29" x14ac:dyDescent="0.3">
      <c r="A360" s="30" t="str">
        <f t="shared" si="293"/>
        <v>Opex maintenance &amp; repair</v>
      </c>
      <c r="B360" s="62">
        <f t="shared" si="294"/>
        <v>20000</v>
      </c>
      <c r="C360" s="62">
        <f t="shared" si="295"/>
        <v>20000</v>
      </c>
      <c r="D360" s="62">
        <f t="shared" si="296"/>
        <v>20000</v>
      </c>
      <c r="E360" s="62">
        <f t="shared" si="297"/>
        <v>20000</v>
      </c>
      <c r="F360" s="62">
        <f t="shared" si="298"/>
        <v>20000</v>
      </c>
      <c r="G360" s="62">
        <f t="shared" si="299"/>
        <v>20000</v>
      </c>
      <c r="H360" s="62">
        <f t="shared" si="300"/>
        <v>20000</v>
      </c>
      <c r="I360" s="62">
        <f t="shared" si="301"/>
        <v>20000</v>
      </c>
      <c r="J360" s="62">
        <f t="shared" si="302"/>
        <v>20000</v>
      </c>
      <c r="K360" s="62">
        <f t="shared" si="303"/>
        <v>20000</v>
      </c>
      <c r="L360" s="62">
        <f t="shared" si="304"/>
        <v>20000</v>
      </c>
      <c r="M360" s="62">
        <f t="shared" si="305"/>
        <v>20000</v>
      </c>
      <c r="N360" s="62">
        <f t="shared" si="306"/>
        <v>20000</v>
      </c>
      <c r="O360" s="62">
        <f t="shared" si="307"/>
        <v>20000</v>
      </c>
      <c r="P360" s="62">
        <f t="shared" si="308"/>
        <v>20000</v>
      </c>
      <c r="Q360" s="62">
        <f t="shared" si="309"/>
        <v>20000</v>
      </c>
      <c r="R360" s="62">
        <f t="shared" si="310"/>
        <v>20000</v>
      </c>
      <c r="S360" s="62">
        <f t="shared" si="311"/>
        <v>20000</v>
      </c>
      <c r="T360" s="62">
        <f t="shared" si="312"/>
        <v>20000</v>
      </c>
      <c r="U360" s="62">
        <f t="shared" si="313"/>
        <v>20000</v>
      </c>
      <c r="V360" s="62">
        <f t="shared" si="314"/>
        <v>20000</v>
      </c>
      <c r="W360" s="62">
        <f t="shared" si="315"/>
        <v>20000</v>
      </c>
      <c r="X360" s="62">
        <f t="shared" si="316"/>
        <v>20000</v>
      </c>
      <c r="Y360" s="62">
        <f t="shared" si="317"/>
        <v>20000</v>
      </c>
      <c r="Z360" s="62">
        <f t="shared" si="318"/>
        <v>20000</v>
      </c>
      <c r="AA360" s="62">
        <f t="shared" si="319"/>
        <v>20000</v>
      </c>
      <c r="AB360" s="62">
        <f t="shared" si="320"/>
        <v>20000</v>
      </c>
      <c r="AC360" s="62">
        <f t="shared" si="321"/>
        <v>20000</v>
      </c>
    </row>
    <row r="361" spans="1:29" x14ac:dyDescent="0.3">
      <c r="A361" s="30" t="str">
        <f t="shared" si="293"/>
        <v>Opex var (mode-fees)</v>
      </c>
      <c r="B361" s="62">
        <f t="shared" si="294"/>
        <v>0.11</v>
      </c>
      <c r="C361" s="62">
        <f t="shared" si="295"/>
        <v>0.11</v>
      </c>
      <c r="D361" s="62">
        <f t="shared" si="296"/>
        <v>0.11</v>
      </c>
      <c r="E361" s="62">
        <f t="shared" si="297"/>
        <v>0.11</v>
      </c>
      <c r="F361" s="62">
        <f t="shared" si="298"/>
        <v>0.11</v>
      </c>
      <c r="G361" s="62">
        <f t="shared" si="299"/>
        <v>0.11</v>
      </c>
      <c r="H361" s="62">
        <f t="shared" si="300"/>
        <v>0.11</v>
      </c>
      <c r="I361" s="62">
        <f t="shared" si="301"/>
        <v>0.11</v>
      </c>
      <c r="J361" s="62">
        <f t="shared" si="302"/>
        <v>0.11</v>
      </c>
      <c r="K361" s="62">
        <f t="shared" si="303"/>
        <v>0.11</v>
      </c>
      <c r="L361" s="62">
        <f t="shared" si="304"/>
        <v>0.11</v>
      </c>
      <c r="M361" s="62">
        <f t="shared" si="305"/>
        <v>0.11</v>
      </c>
      <c r="N361" s="62">
        <f t="shared" si="306"/>
        <v>0.11</v>
      </c>
      <c r="O361" s="62">
        <f t="shared" si="307"/>
        <v>0.11</v>
      </c>
      <c r="P361" s="62">
        <f t="shared" si="308"/>
        <v>0.11</v>
      </c>
      <c r="Q361" s="62">
        <f t="shared" si="309"/>
        <v>0.11</v>
      </c>
      <c r="R361" s="62">
        <f t="shared" si="310"/>
        <v>0.11</v>
      </c>
      <c r="S361" s="62">
        <f t="shared" si="311"/>
        <v>0.11</v>
      </c>
      <c r="T361" s="62">
        <f t="shared" si="312"/>
        <v>0.11</v>
      </c>
      <c r="U361" s="62">
        <f t="shared" si="313"/>
        <v>0.11</v>
      </c>
      <c r="V361" s="62">
        <f t="shared" si="314"/>
        <v>0.11</v>
      </c>
      <c r="W361" s="62">
        <f t="shared" si="315"/>
        <v>0.11</v>
      </c>
      <c r="X361" s="62">
        <f t="shared" si="316"/>
        <v>0.11</v>
      </c>
      <c r="Y361" s="62">
        <f t="shared" si="317"/>
        <v>0.11</v>
      </c>
      <c r="Z361" s="62">
        <f t="shared" si="318"/>
        <v>0.11</v>
      </c>
      <c r="AA361" s="62">
        <f t="shared" si="319"/>
        <v>0.11</v>
      </c>
      <c r="AB361" s="62">
        <f t="shared" si="320"/>
        <v>0.11</v>
      </c>
      <c r="AC361" s="62">
        <f t="shared" si="321"/>
        <v>0.11</v>
      </c>
    </row>
    <row r="362" spans="1:29" x14ac:dyDescent="0.3">
      <c r="A362" s="30" t="str">
        <f t="shared" si="293"/>
        <v>Fuel Economy</v>
      </c>
      <c r="B362" s="62">
        <f t="shared" si="294"/>
        <v>2.8933989307874186</v>
      </c>
      <c r="C362" s="62">
        <f t="shared" si="295"/>
        <v>2.890572548814291</v>
      </c>
      <c r="D362" s="62">
        <f t="shared" si="296"/>
        <v>2.88655949157936</v>
      </c>
      <c r="E362" s="62">
        <f t="shared" si="297"/>
        <v>2.880887420807964</v>
      </c>
      <c r="F362" s="62">
        <f t="shared" si="298"/>
        <v>2.8729239357775569</v>
      </c>
      <c r="G362" s="62">
        <f t="shared" si="299"/>
        <v>2.8618518007507072</v>
      </c>
      <c r="H362" s="62">
        <f t="shared" si="300"/>
        <v>2.846672317838292</v>
      </c>
      <c r="I362" s="62">
        <f t="shared" si="301"/>
        <v>2.826272719371635</v>
      </c>
      <c r="J362" s="62">
        <f t="shared" si="302"/>
        <v>2.7996065032631194</v>
      </c>
      <c r="K362" s="62">
        <f t="shared" si="303"/>
        <v>2.7660249112499669</v>
      </c>
      <c r="L362" s="62">
        <f t="shared" si="304"/>
        <v>2.7257279647939332</v>
      </c>
      <c r="M362" s="62">
        <f t="shared" si="305"/>
        <v>2.6801612394042476</v>
      </c>
      <c r="N362" s="62">
        <f t="shared" si="306"/>
        <v>2.6320566343659264</v>
      </c>
      <c r="O362" s="62">
        <f t="shared" si="307"/>
        <v>2.5848986379776195</v>
      </c>
      <c r="P362" s="62">
        <f t="shared" si="308"/>
        <v>2.5419697431861561</v>
      </c>
      <c r="Q362" s="62">
        <f t="shared" si="309"/>
        <v>2.5054862958055883</v>
      </c>
      <c r="R362" s="62">
        <f t="shared" si="310"/>
        <v>2.4762695882689911</v>
      </c>
      <c r="S362" s="62">
        <f t="shared" si="311"/>
        <v>2.4539759436885498</v>
      </c>
      <c r="T362" s="62">
        <f t="shared" si="312"/>
        <v>2.4375883269690459</v>
      </c>
      <c r="U362" s="62">
        <f t="shared" si="313"/>
        <v>2.4258714180887511</v>
      </c>
      <c r="V362" s="62">
        <f t="shared" si="314"/>
        <v>2.4176595953126729</v>
      </c>
      <c r="W362" s="62">
        <f t="shared" si="315"/>
        <v>2.4119847210363288</v>
      </c>
      <c r="X362" s="62">
        <f t="shared" si="316"/>
        <v>2.408101121779195</v>
      </c>
      <c r="Y362" s="62">
        <f t="shared" si="317"/>
        <v>2.4054611202820539</v>
      </c>
      <c r="Z362" s="62">
        <f t="shared" si="318"/>
        <v>2.4036746606453043</v>
      </c>
      <c r="AA362" s="62">
        <f t="shared" si="319"/>
        <v>2.4024695131092528</v>
      </c>
      <c r="AB362" s="62">
        <f t="shared" si="320"/>
        <v>2.4016582137746476</v>
      </c>
      <c r="AC362" s="62">
        <f t="shared" si="321"/>
        <v>2.4011128181073338</v>
      </c>
    </row>
    <row r="363" spans="1:29" x14ac:dyDescent="0.3">
      <c r="A363" s="30" t="str">
        <f t="shared" si="293"/>
        <v>Fuel Cost</v>
      </c>
      <c r="B363" s="62">
        <f t="shared" si="294"/>
        <v>0.1</v>
      </c>
      <c r="C363" s="62">
        <f t="shared" si="295"/>
        <v>0.1</v>
      </c>
      <c r="D363" s="62">
        <f t="shared" si="296"/>
        <v>0.1</v>
      </c>
      <c r="E363" s="62">
        <f t="shared" si="297"/>
        <v>0.1</v>
      </c>
      <c r="F363" s="62">
        <f t="shared" si="298"/>
        <v>0.1</v>
      </c>
      <c r="G363" s="62">
        <f t="shared" si="299"/>
        <v>0.1</v>
      </c>
      <c r="H363" s="62">
        <f t="shared" si="300"/>
        <v>0.1</v>
      </c>
      <c r="I363" s="62">
        <f t="shared" si="301"/>
        <v>0.1</v>
      </c>
      <c r="J363" s="62">
        <f t="shared" si="302"/>
        <v>0.1</v>
      </c>
      <c r="K363" s="62">
        <f t="shared" si="303"/>
        <v>0.1</v>
      </c>
      <c r="L363" s="62">
        <f t="shared" si="304"/>
        <v>0.1</v>
      </c>
      <c r="M363" s="62">
        <f t="shared" si="305"/>
        <v>0.1</v>
      </c>
      <c r="N363" s="62">
        <f t="shared" si="306"/>
        <v>0.1</v>
      </c>
      <c r="O363" s="62">
        <f t="shared" si="307"/>
        <v>0.1</v>
      </c>
      <c r="P363" s="62">
        <f t="shared" si="308"/>
        <v>0.1</v>
      </c>
      <c r="Q363" s="62">
        <f t="shared" si="309"/>
        <v>0.1</v>
      </c>
      <c r="R363" s="62">
        <f t="shared" si="310"/>
        <v>0.1</v>
      </c>
      <c r="S363" s="62">
        <f t="shared" si="311"/>
        <v>0.1</v>
      </c>
      <c r="T363" s="62">
        <f t="shared" si="312"/>
        <v>0.1</v>
      </c>
      <c r="U363" s="62">
        <f t="shared" si="313"/>
        <v>0.1</v>
      </c>
      <c r="V363" s="62">
        <f t="shared" si="314"/>
        <v>0.1</v>
      </c>
      <c r="W363" s="62">
        <f t="shared" si="315"/>
        <v>0.1</v>
      </c>
      <c r="X363" s="62">
        <f t="shared" si="316"/>
        <v>0.1</v>
      </c>
      <c r="Y363" s="62">
        <f t="shared" si="317"/>
        <v>0.1</v>
      </c>
      <c r="Z363" s="62">
        <f t="shared" si="318"/>
        <v>0.1</v>
      </c>
      <c r="AA363" s="62">
        <f t="shared" si="319"/>
        <v>0.1</v>
      </c>
      <c r="AB363" s="62">
        <f t="shared" si="320"/>
        <v>0.1</v>
      </c>
      <c r="AC363" s="62">
        <f t="shared" si="321"/>
        <v>0.1</v>
      </c>
    </row>
    <row r="364" spans="1:29" x14ac:dyDescent="0.3">
      <c r="A364" s="30" t="str">
        <f t="shared" si="293"/>
        <v>Emission Cost</v>
      </c>
      <c r="B364" s="62">
        <f>$B344+($C344-$B344)*(1-Q344)</f>
        <v>7.7639122778339092E-2</v>
      </c>
      <c r="C364" s="62">
        <f t="shared" ref="C364:AC364" si="322">$B344+($C344-$B344)*(1-R344)</f>
        <v>7.777844914537467E-2</v>
      </c>
      <c r="D364" s="62">
        <f t="shared" si="322"/>
        <v>7.7977891736541474E-2</v>
      </c>
      <c r="E364" s="62">
        <f t="shared" si="322"/>
        <v>7.8263208388635597E-2</v>
      </c>
      <c r="F364" s="62">
        <f t="shared" si="322"/>
        <v>7.8670988842723152E-2</v>
      </c>
      <c r="G364" s="62">
        <f t="shared" si="322"/>
        <v>7.925297967571665E-2</v>
      </c>
      <c r="H364" s="62">
        <f t="shared" si="322"/>
        <v>8.0081877399879431E-2</v>
      </c>
      <c r="I364" s="62">
        <f t="shared" si="322"/>
        <v>8.1258793344219593E-2</v>
      </c>
      <c r="J364" s="62">
        <f t="shared" si="322"/>
        <v>8.2922250937142977E-2</v>
      </c>
      <c r="K364" s="62">
        <f t="shared" si="322"/>
        <v>8.5257715386346467E-2</v>
      </c>
      <c r="L364" s="62">
        <f t="shared" si="322"/>
        <v>8.8504858770587308E-2</v>
      </c>
      <c r="M364" s="62">
        <f t="shared" si="322"/>
        <v>9.2956570874505887E-2</v>
      </c>
      <c r="N364" s="62">
        <f t="shared" si="322"/>
        <v>9.8939194915988959E-2</v>
      </c>
      <c r="O364" s="62">
        <f t="shared" si="322"/>
        <v>0.10675964029617348</v>
      </c>
      <c r="P364" s="62">
        <f t="shared" si="322"/>
        <v>0.11660816942568256</v>
      </c>
      <c r="Q364" s="62">
        <f t="shared" si="322"/>
        <v>0.12842612167902054</v>
      </c>
      <c r="R364" s="62">
        <f t="shared" si="322"/>
        <v>0.14178955073148763</v>
      </c>
      <c r="S364" s="62">
        <f t="shared" si="322"/>
        <v>0.15589726795340736</v>
      </c>
      <c r="T364" s="62">
        <f t="shared" si="322"/>
        <v>0.16972737168814467</v>
      </c>
      <c r="U364" s="62">
        <f t="shared" si="322"/>
        <v>0.18231719979056973</v>
      </c>
      <c r="V364" s="62">
        <f t="shared" si="322"/>
        <v>0.19301676085163266</v>
      </c>
      <c r="W364" s="62">
        <f t="shared" si="322"/>
        <v>0.20158519307872402</v>
      </c>
      <c r="X364" s="62">
        <f t="shared" si="322"/>
        <v>0.20812328716215528</v>
      </c>
      <c r="Y364" s="62">
        <f t="shared" si="322"/>
        <v>0.21292931066938076</v>
      </c>
      <c r="Z364" s="62">
        <f t="shared" si="322"/>
        <v>0.21636554794991802</v>
      </c>
      <c r="AA364" s="62">
        <f t="shared" si="322"/>
        <v>0.21877384282125395</v>
      </c>
      <c r="AB364" s="62">
        <f t="shared" si="322"/>
        <v>0.22043812260271833</v>
      </c>
      <c r="AC364" s="62">
        <f t="shared" si="322"/>
        <v>0.22157707219141698</v>
      </c>
    </row>
    <row r="365" spans="1:29" x14ac:dyDescent="0.3">
      <c r="A365" s="30" t="str">
        <f t="shared" si="293"/>
        <v>Lifetime vehicle</v>
      </c>
      <c r="B365" s="62">
        <f>$B345+($C345-$B345)*(1-Q345)</f>
        <v>8</v>
      </c>
      <c r="C365" s="62">
        <f t="shared" ref="C365:L367" si="323">$B345+($C345-$B345)*(1-R345)</f>
        <v>8</v>
      </c>
      <c r="D365" s="62">
        <f t="shared" si="323"/>
        <v>8</v>
      </c>
      <c r="E365" s="62">
        <f t="shared" si="323"/>
        <v>8</v>
      </c>
      <c r="F365" s="62">
        <f t="shared" si="323"/>
        <v>8</v>
      </c>
      <c r="G365" s="62">
        <f t="shared" si="323"/>
        <v>8</v>
      </c>
      <c r="H365" s="62">
        <f t="shared" si="323"/>
        <v>8</v>
      </c>
      <c r="I365" s="62">
        <f t="shared" si="323"/>
        <v>8</v>
      </c>
      <c r="J365" s="62">
        <f t="shared" si="323"/>
        <v>8</v>
      </c>
      <c r="K365" s="62">
        <f t="shared" si="323"/>
        <v>8</v>
      </c>
      <c r="L365" s="62">
        <f t="shared" si="323"/>
        <v>8</v>
      </c>
      <c r="M365" s="62">
        <f t="shared" ref="M365:V367" si="324">$B345+($C345-$B345)*(1-AB345)</f>
        <v>8</v>
      </c>
      <c r="N365" s="62">
        <f t="shared" si="324"/>
        <v>8</v>
      </c>
      <c r="O365" s="62">
        <f t="shared" si="324"/>
        <v>8</v>
      </c>
      <c r="P365" s="62">
        <f t="shared" si="324"/>
        <v>8</v>
      </c>
      <c r="Q365" s="62">
        <f t="shared" si="324"/>
        <v>8</v>
      </c>
      <c r="R365" s="62">
        <f t="shared" si="324"/>
        <v>8</v>
      </c>
      <c r="S365" s="62">
        <f t="shared" si="324"/>
        <v>8</v>
      </c>
      <c r="T365" s="62">
        <f t="shared" si="324"/>
        <v>8</v>
      </c>
      <c r="U365" s="62">
        <f t="shared" si="324"/>
        <v>8</v>
      </c>
      <c r="V365" s="62">
        <f t="shared" si="324"/>
        <v>8</v>
      </c>
      <c r="W365" s="62">
        <f t="shared" ref="W365:AC367" si="325">$B345+($C345-$B345)*(1-AL345)</f>
        <v>8</v>
      </c>
      <c r="X365" s="62">
        <f t="shared" si="325"/>
        <v>8</v>
      </c>
      <c r="Y365" s="62">
        <f t="shared" si="325"/>
        <v>8</v>
      </c>
      <c r="Z365" s="62">
        <f t="shared" si="325"/>
        <v>8</v>
      </c>
      <c r="AA365" s="62">
        <f t="shared" si="325"/>
        <v>8</v>
      </c>
      <c r="AB365" s="62">
        <f t="shared" si="325"/>
        <v>8</v>
      </c>
      <c r="AC365" s="62">
        <f t="shared" si="325"/>
        <v>8</v>
      </c>
    </row>
    <row r="366" spans="1:29" x14ac:dyDescent="0.3">
      <c r="A366" s="30" t="str">
        <f t="shared" si="293"/>
        <v>Lifetime costumization</v>
      </c>
      <c r="B366" s="62">
        <f>$B346+($C346-$B346)*(1-Q346)</f>
        <v>10</v>
      </c>
      <c r="C366" s="62">
        <f t="shared" si="323"/>
        <v>10</v>
      </c>
      <c r="D366" s="62">
        <f t="shared" si="323"/>
        <v>10</v>
      </c>
      <c r="E366" s="62">
        <f t="shared" si="323"/>
        <v>10</v>
      </c>
      <c r="F366" s="62">
        <f t="shared" si="323"/>
        <v>10</v>
      </c>
      <c r="G366" s="62">
        <f t="shared" si="323"/>
        <v>10</v>
      </c>
      <c r="H366" s="62">
        <f t="shared" si="323"/>
        <v>10</v>
      </c>
      <c r="I366" s="62">
        <f t="shared" si="323"/>
        <v>10</v>
      </c>
      <c r="J366" s="62">
        <f t="shared" si="323"/>
        <v>10</v>
      </c>
      <c r="K366" s="62">
        <f t="shared" si="323"/>
        <v>10</v>
      </c>
      <c r="L366" s="62">
        <f t="shared" si="323"/>
        <v>10</v>
      </c>
      <c r="M366" s="62">
        <f t="shared" si="324"/>
        <v>10</v>
      </c>
      <c r="N366" s="62">
        <f t="shared" si="324"/>
        <v>10</v>
      </c>
      <c r="O366" s="62">
        <f t="shared" si="324"/>
        <v>10</v>
      </c>
      <c r="P366" s="62">
        <f t="shared" si="324"/>
        <v>10</v>
      </c>
      <c r="Q366" s="62">
        <f t="shared" si="324"/>
        <v>10</v>
      </c>
      <c r="R366" s="62">
        <f t="shared" si="324"/>
        <v>10</v>
      </c>
      <c r="S366" s="62">
        <f t="shared" si="324"/>
        <v>10</v>
      </c>
      <c r="T366" s="62">
        <f t="shared" si="324"/>
        <v>10</v>
      </c>
      <c r="U366" s="62">
        <f t="shared" si="324"/>
        <v>10</v>
      </c>
      <c r="V366" s="62">
        <f t="shared" si="324"/>
        <v>10</v>
      </c>
      <c r="W366" s="62">
        <f t="shared" si="325"/>
        <v>10</v>
      </c>
      <c r="X366" s="62">
        <f t="shared" si="325"/>
        <v>10</v>
      </c>
      <c r="Y366" s="62">
        <f t="shared" si="325"/>
        <v>10</v>
      </c>
      <c r="Z366" s="62">
        <f t="shared" si="325"/>
        <v>10</v>
      </c>
      <c r="AA366" s="62">
        <f t="shared" si="325"/>
        <v>10</v>
      </c>
      <c r="AB366" s="62">
        <f t="shared" si="325"/>
        <v>10</v>
      </c>
      <c r="AC366" s="62">
        <f t="shared" si="325"/>
        <v>10</v>
      </c>
    </row>
    <row r="367" spans="1:29" x14ac:dyDescent="0.3">
      <c r="A367" s="30" t="str">
        <f t="shared" si="293"/>
        <v>Tonnage .</v>
      </c>
      <c r="B367" s="62">
        <f>$B347+($C347-$B347)*(1-Q347)</f>
        <v>25</v>
      </c>
      <c r="C367" s="62">
        <f t="shared" si="323"/>
        <v>25</v>
      </c>
      <c r="D367" s="62">
        <f t="shared" si="323"/>
        <v>25</v>
      </c>
      <c r="E367" s="62">
        <f t="shared" si="323"/>
        <v>25</v>
      </c>
      <c r="F367" s="62">
        <f t="shared" si="323"/>
        <v>25</v>
      </c>
      <c r="G367" s="62">
        <f t="shared" si="323"/>
        <v>25</v>
      </c>
      <c r="H367" s="62">
        <f t="shared" si="323"/>
        <v>25</v>
      </c>
      <c r="I367" s="62">
        <f t="shared" si="323"/>
        <v>25</v>
      </c>
      <c r="J367" s="62">
        <f t="shared" si="323"/>
        <v>25</v>
      </c>
      <c r="K367" s="62">
        <f t="shared" si="323"/>
        <v>25</v>
      </c>
      <c r="L367" s="62">
        <f t="shared" si="323"/>
        <v>25</v>
      </c>
      <c r="M367" s="62">
        <f t="shared" si="324"/>
        <v>25</v>
      </c>
      <c r="N367" s="62">
        <f t="shared" si="324"/>
        <v>25</v>
      </c>
      <c r="O367" s="62">
        <f t="shared" si="324"/>
        <v>25</v>
      </c>
      <c r="P367" s="62">
        <f t="shared" si="324"/>
        <v>25</v>
      </c>
      <c r="Q367" s="62">
        <f t="shared" si="324"/>
        <v>25</v>
      </c>
      <c r="R367" s="62">
        <f t="shared" si="324"/>
        <v>25</v>
      </c>
      <c r="S367" s="62">
        <f t="shared" si="324"/>
        <v>25</v>
      </c>
      <c r="T367" s="62">
        <f t="shared" si="324"/>
        <v>25</v>
      </c>
      <c r="U367" s="62">
        <f t="shared" si="324"/>
        <v>25</v>
      </c>
      <c r="V367" s="62">
        <f t="shared" si="324"/>
        <v>25</v>
      </c>
      <c r="W367" s="62">
        <f t="shared" si="325"/>
        <v>25</v>
      </c>
      <c r="X367" s="62">
        <f t="shared" si="325"/>
        <v>25</v>
      </c>
      <c r="Y367" s="62">
        <f t="shared" si="325"/>
        <v>25</v>
      </c>
      <c r="Z367" s="62">
        <f t="shared" si="325"/>
        <v>25</v>
      </c>
      <c r="AA367" s="62">
        <f t="shared" si="325"/>
        <v>25</v>
      </c>
      <c r="AB367" s="62">
        <f t="shared" si="325"/>
        <v>25</v>
      </c>
      <c r="AC367" s="62">
        <f t="shared" si="325"/>
        <v>25</v>
      </c>
    </row>
    <row r="368" spans="1:29" x14ac:dyDescent="0.3">
      <c r="A368" s="30" t="str">
        <f t="shared" si="293"/>
        <v>Market failure (av. utilization)</v>
      </c>
      <c r="B368" s="62">
        <f t="shared" ref="B368:K369" si="326">($B348+($C348-$B348)*(1-Q348))*B$44</f>
        <v>11.5</v>
      </c>
      <c r="C368" s="62">
        <f t="shared" si="326"/>
        <v>11.5</v>
      </c>
      <c r="D368" s="62">
        <f t="shared" si="326"/>
        <v>11.5</v>
      </c>
      <c r="E368" s="62">
        <f t="shared" si="326"/>
        <v>11.5</v>
      </c>
      <c r="F368" s="62">
        <f t="shared" si="326"/>
        <v>11.5</v>
      </c>
      <c r="G368" s="62">
        <f t="shared" si="326"/>
        <v>11.5</v>
      </c>
      <c r="H368" s="62">
        <f t="shared" si="326"/>
        <v>11.5</v>
      </c>
      <c r="I368" s="62">
        <f t="shared" si="326"/>
        <v>11.5</v>
      </c>
      <c r="J368" s="62">
        <f t="shared" si="326"/>
        <v>11.5</v>
      </c>
      <c r="K368" s="62">
        <f t="shared" si="326"/>
        <v>11.5</v>
      </c>
      <c r="L368" s="62">
        <f t="shared" ref="L368:U369" si="327">($B348+($C348-$B348)*(1-AA348))*L$44</f>
        <v>11.5</v>
      </c>
      <c r="M368" s="62">
        <f t="shared" si="327"/>
        <v>11.5</v>
      </c>
      <c r="N368" s="62">
        <f t="shared" si="327"/>
        <v>11.5</v>
      </c>
      <c r="O368" s="62">
        <f t="shared" si="327"/>
        <v>11.5</v>
      </c>
      <c r="P368" s="62">
        <f t="shared" si="327"/>
        <v>11.5</v>
      </c>
      <c r="Q368" s="62">
        <f t="shared" si="327"/>
        <v>11.5</v>
      </c>
      <c r="R368" s="62">
        <f t="shared" si="327"/>
        <v>11.5</v>
      </c>
      <c r="S368" s="62">
        <f t="shared" si="327"/>
        <v>11.5</v>
      </c>
      <c r="T368" s="62">
        <f t="shared" si="327"/>
        <v>11.5</v>
      </c>
      <c r="U368" s="62">
        <f t="shared" si="327"/>
        <v>11.5</v>
      </c>
      <c r="V368" s="62">
        <f t="shared" ref="V368:AC369" si="328">($B348+($C348-$B348)*(1-AK348))*V$44</f>
        <v>11.5</v>
      </c>
      <c r="W368" s="62">
        <f t="shared" si="328"/>
        <v>11.5</v>
      </c>
      <c r="X368" s="62">
        <f t="shared" si="328"/>
        <v>11.5</v>
      </c>
      <c r="Y368" s="62">
        <f t="shared" si="328"/>
        <v>11.5</v>
      </c>
      <c r="Z368" s="62">
        <f t="shared" si="328"/>
        <v>11.5</v>
      </c>
      <c r="AA368" s="62">
        <f t="shared" si="328"/>
        <v>11.5</v>
      </c>
      <c r="AB368" s="62">
        <f t="shared" si="328"/>
        <v>11.5</v>
      </c>
      <c r="AC368" s="62">
        <f t="shared" si="328"/>
        <v>11.5</v>
      </c>
    </row>
    <row r="369" spans="1:29" x14ac:dyDescent="0.3">
      <c r="A369" s="30" t="s">
        <v>73</v>
      </c>
      <c r="B369" s="62">
        <f t="shared" si="326"/>
        <v>0</v>
      </c>
      <c r="C369" s="62">
        <f t="shared" si="326"/>
        <v>0</v>
      </c>
      <c r="D369" s="62">
        <f t="shared" si="326"/>
        <v>0</v>
      </c>
      <c r="E369" s="62">
        <f t="shared" si="326"/>
        <v>0</v>
      </c>
      <c r="F369" s="62">
        <f t="shared" si="326"/>
        <v>0</v>
      </c>
      <c r="G369" s="62">
        <f t="shared" si="326"/>
        <v>0</v>
      </c>
      <c r="H369" s="62">
        <f t="shared" si="326"/>
        <v>0</v>
      </c>
      <c r="I369" s="62">
        <f t="shared" si="326"/>
        <v>0</v>
      </c>
      <c r="J369" s="62">
        <f t="shared" si="326"/>
        <v>0</v>
      </c>
      <c r="K369" s="62">
        <f t="shared" si="326"/>
        <v>0</v>
      </c>
      <c r="L369" s="62">
        <f t="shared" si="327"/>
        <v>0</v>
      </c>
      <c r="M369" s="62">
        <f t="shared" si="327"/>
        <v>0</v>
      </c>
      <c r="N369" s="62">
        <f t="shared" si="327"/>
        <v>0</v>
      </c>
      <c r="O369" s="62">
        <f t="shared" si="327"/>
        <v>0</v>
      </c>
      <c r="P369" s="62">
        <f t="shared" si="327"/>
        <v>0</v>
      </c>
      <c r="Q369" s="62">
        <f t="shared" si="327"/>
        <v>0</v>
      </c>
      <c r="R369" s="62">
        <f t="shared" si="327"/>
        <v>0</v>
      </c>
      <c r="S369" s="62">
        <f t="shared" si="327"/>
        <v>0</v>
      </c>
      <c r="T369" s="62">
        <f t="shared" si="327"/>
        <v>0</v>
      </c>
      <c r="U369" s="62">
        <f t="shared" si="327"/>
        <v>0</v>
      </c>
      <c r="V369" s="62">
        <f t="shared" si="328"/>
        <v>0</v>
      </c>
      <c r="W369" s="62">
        <f t="shared" si="328"/>
        <v>0</v>
      </c>
      <c r="X369" s="62">
        <f t="shared" si="328"/>
        <v>0</v>
      </c>
      <c r="Y369" s="62">
        <f t="shared" si="328"/>
        <v>0</v>
      </c>
      <c r="Z369" s="62">
        <f t="shared" si="328"/>
        <v>0</v>
      </c>
      <c r="AA369" s="62">
        <f t="shared" si="328"/>
        <v>0</v>
      </c>
      <c r="AB369" s="62">
        <f t="shared" si="328"/>
        <v>0</v>
      </c>
      <c r="AC369" s="62">
        <f t="shared" si="328"/>
        <v>0</v>
      </c>
    </row>
    <row r="370" spans="1:29" x14ac:dyDescent="0.3">
      <c r="A370" s="30" t="str">
        <f>A350</f>
        <v>Annual Mileage</v>
      </c>
      <c r="B370" s="62">
        <f t="shared" ref="B370" si="329">$B350+($C350-$B350)*(1-Q350)</f>
        <v>78000</v>
      </c>
      <c r="C370" s="62">
        <f t="shared" ref="C370" si="330">$B350+($C350-$B350)*(1-R350)</f>
        <v>78000</v>
      </c>
      <c r="D370" s="62">
        <f t="shared" ref="D370" si="331">$B350+($C350-$B350)*(1-S350)</f>
        <v>78000</v>
      </c>
      <c r="E370" s="62">
        <f t="shared" ref="E370" si="332">$B350+($C350-$B350)*(1-T350)</f>
        <v>78000</v>
      </c>
      <c r="F370" s="62">
        <f t="shared" ref="F370" si="333">$B350+($C350-$B350)*(1-U350)</f>
        <v>78000</v>
      </c>
      <c r="G370" s="62">
        <f t="shared" ref="G370" si="334">$B350+($C350-$B350)*(1-V350)</f>
        <v>78000</v>
      </c>
      <c r="H370" s="62">
        <f t="shared" ref="H370" si="335">$B350+($C350-$B350)*(1-W350)</f>
        <v>78000</v>
      </c>
      <c r="I370" s="62">
        <f t="shared" ref="I370" si="336">$B350+($C350-$B350)*(1-X350)</f>
        <v>78000</v>
      </c>
      <c r="J370" s="62">
        <f t="shared" ref="J370" si="337">$B350+($C350-$B350)*(1-Y350)</f>
        <v>78000</v>
      </c>
      <c r="K370" s="62">
        <f t="shared" ref="K370" si="338">$B350+($C350-$B350)*(1-Z350)</f>
        <v>78000</v>
      </c>
      <c r="L370" s="62">
        <f t="shared" ref="L370" si="339">$B350+($C350-$B350)*(1-AA350)</f>
        <v>78000</v>
      </c>
      <c r="M370" s="62">
        <f t="shared" ref="M370" si="340">$B350+($C350-$B350)*(1-AB350)</f>
        <v>78000</v>
      </c>
      <c r="N370" s="62">
        <f t="shared" ref="N370" si="341">$B350+($C350-$B350)*(1-AC350)</f>
        <v>78000</v>
      </c>
      <c r="O370" s="62">
        <f t="shared" ref="O370" si="342">$B350+($C350-$B350)*(1-AD350)</f>
        <v>78000</v>
      </c>
      <c r="P370" s="62">
        <f t="shared" ref="P370" si="343">$B350+($C350-$B350)*(1-AE350)</f>
        <v>78000</v>
      </c>
      <c r="Q370" s="62">
        <f t="shared" ref="Q370" si="344">$B350+($C350-$B350)*(1-AF350)</f>
        <v>78000</v>
      </c>
      <c r="R370" s="62">
        <f t="shared" ref="R370" si="345">$B350+($C350-$B350)*(1-AG350)</f>
        <v>78000</v>
      </c>
      <c r="S370" s="62">
        <f t="shared" ref="S370" si="346">$B350+($C350-$B350)*(1-AH350)</f>
        <v>78000</v>
      </c>
      <c r="T370" s="62">
        <f t="shared" ref="T370" si="347">$B350+($C350-$B350)*(1-AI350)</f>
        <v>78000</v>
      </c>
      <c r="U370" s="62">
        <f t="shared" ref="U370" si="348">$B350+($C350-$B350)*(1-AJ350)</f>
        <v>78000</v>
      </c>
      <c r="V370" s="62">
        <f t="shared" ref="V370" si="349">$B350+($C350-$B350)*(1-AK350)</f>
        <v>78000</v>
      </c>
      <c r="W370" s="62">
        <f t="shared" ref="W370" si="350">$B350+($C350-$B350)*(1-AL350)</f>
        <v>78000</v>
      </c>
      <c r="X370" s="62">
        <f t="shared" ref="X370" si="351">$B350+($C350-$B350)*(1-AM350)</f>
        <v>78000</v>
      </c>
      <c r="Y370" s="62">
        <f t="shared" ref="Y370" si="352">$B350+($C350-$B350)*(1-AN350)</f>
        <v>78000</v>
      </c>
      <c r="Z370" s="62">
        <f t="shared" ref="Z370" si="353">$B350+($C350-$B350)*(1-AO350)</f>
        <v>78000</v>
      </c>
      <c r="AA370" s="62">
        <f t="shared" ref="AA370" si="354">$B350+($C350-$B350)*(1-AP350)</f>
        <v>78000</v>
      </c>
      <c r="AB370" s="62">
        <f t="shared" ref="AB370" si="355">$B350+($C350-$B350)*(1-AQ350)</f>
        <v>78000</v>
      </c>
      <c r="AC370" s="62">
        <f t="shared" ref="AC370" si="356">$B350+($C350-$B350)*(1-AR350)</f>
        <v>78000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16930.034166116213</v>
      </c>
      <c r="C373" s="63">
        <f t="shared" ref="C373:AC373" si="357">((1+C358)^C365)*C358/(((1+C358)^C365)-1)*(C354)</f>
        <v>16939.137147822737</v>
      </c>
      <c r="D373" s="63">
        <f t="shared" si="357"/>
        <v>16952.062076917297</v>
      </c>
      <c r="E373" s="63">
        <f t="shared" si="357"/>
        <v>16970.330222186072</v>
      </c>
      <c r="F373" s="63">
        <f t="shared" si="357"/>
        <v>16995.97836855879</v>
      </c>
      <c r="G373" s="63">
        <f t="shared" si="357"/>
        <v>17031.638602582309</v>
      </c>
      <c r="H373" s="63">
        <f t="shared" si="357"/>
        <v>17080.52744937655</v>
      </c>
      <c r="I373" s="63">
        <f t="shared" si="357"/>
        <v>17146.228820750977</v>
      </c>
      <c r="J373" s="63">
        <f t="shared" si="357"/>
        <v>17232.113205708847</v>
      </c>
      <c r="K373" s="63">
        <f t="shared" si="357"/>
        <v>17340.270072218107</v>
      </c>
      <c r="L373" s="63">
        <f t="shared" si="357"/>
        <v>17470.055207385878</v>
      </c>
      <c r="M373" s="63">
        <f t="shared" si="357"/>
        <v>17616.812818916205</v>
      </c>
      <c r="N373" s="63">
        <f t="shared" si="357"/>
        <v>17771.744227277446</v>
      </c>
      <c r="O373" s="63">
        <f t="shared" si="357"/>
        <v>17923.62687531321</v>
      </c>
      <c r="P373" s="63">
        <f t="shared" si="357"/>
        <v>18061.888776104923</v>
      </c>
      <c r="Q373" s="63">
        <f t="shared" si="357"/>
        <v>18179.391702904584</v>
      </c>
      <c r="R373" s="63">
        <f t="shared" si="357"/>
        <v>18273.490503689198</v>
      </c>
      <c r="S373" s="63">
        <f t="shared" si="357"/>
        <v>18345.292065090671</v>
      </c>
      <c r="T373" s="63">
        <f t="shared" si="357"/>
        <v>18398.071971214304</v>
      </c>
      <c r="U373" s="63">
        <f t="shared" si="357"/>
        <v>18435.808840543512</v>
      </c>
      <c r="V373" s="63">
        <f t="shared" si="357"/>
        <v>18462.256812975615</v>
      </c>
      <c r="W373" s="63">
        <f t="shared" si="357"/>
        <v>18480.533987545627</v>
      </c>
      <c r="X373" s="63">
        <f t="shared" si="357"/>
        <v>18493.041968890429</v>
      </c>
      <c r="Y373" s="63">
        <f t="shared" si="357"/>
        <v>18501.544671484124</v>
      </c>
      <c r="Z373" s="63">
        <f t="shared" si="357"/>
        <v>18507.298355716259</v>
      </c>
      <c r="AA373" s="63">
        <f t="shared" si="357"/>
        <v>18511.179797106222</v>
      </c>
      <c r="AB373" s="63">
        <f t="shared" si="357"/>
        <v>18513.792764168582</v>
      </c>
      <c r="AC373" s="63">
        <f t="shared" si="357"/>
        <v>18515.549330276619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-4208.0593252569806</v>
      </c>
      <c r="C374" s="62">
        <f t="shared" ref="C374:AC374" si="358">((1+C358)^C365)*C358/(((1+C358)^C365)-1)*(C355)</f>
        <v>-4199.866641721108</v>
      </c>
      <c r="D374" s="62">
        <f t="shared" si="358"/>
        <v>-4188.2342055360041</v>
      </c>
      <c r="E374" s="62">
        <f t="shared" si="358"/>
        <v>-4171.7928747941069</v>
      </c>
      <c r="F374" s="62">
        <f t="shared" si="358"/>
        <v>-4148.7095430586614</v>
      </c>
      <c r="G374" s="62">
        <f t="shared" si="358"/>
        <v>-4116.6153324374927</v>
      </c>
      <c r="H374" s="62">
        <f t="shared" si="358"/>
        <v>-4072.6153703226773</v>
      </c>
      <c r="I374" s="62">
        <f t="shared" si="358"/>
        <v>-4013.4841360856908</v>
      </c>
      <c r="J374" s="62">
        <f t="shared" si="358"/>
        <v>-3936.1881896236077</v>
      </c>
      <c r="K374" s="62">
        <f t="shared" si="358"/>
        <v>-3838.8470097652757</v>
      </c>
      <c r="L374" s="62">
        <f t="shared" si="358"/>
        <v>-3722.0403881142815</v>
      </c>
      <c r="M374" s="62">
        <f t="shared" si="358"/>
        <v>-3589.9585377369858</v>
      </c>
      <c r="N374" s="62">
        <f t="shared" si="358"/>
        <v>-3450.5202702118704</v>
      </c>
      <c r="O374" s="62">
        <f t="shared" si="358"/>
        <v>-3313.8258869796846</v>
      </c>
      <c r="P374" s="62">
        <f t="shared" si="358"/>
        <v>-3189.3901762671421</v>
      </c>
      <c r="Q374" s="62">
        <f t="shared" si="358"/>
        <v>-3083.6375421474468</v>
      </c>
      <c r="R374" s="62">
        <f t="shared" si="358"/>
        <v>-2998.9486214412941</v>
      </c>
      <c r="S374" s="62">
        <f t="shared" si="358"/>
        <v>-2934.3272161799682</v>
      </c>
      <c r="T374" s="62">
        <f t="shared" si="358"/>
        <v>-2886.8253006686996</v>
      </c>
      <c r="U374" s="62">
        <f t="shared" si="358"/>
        <v>-2852.8621182724105</v>
      </c>
      <c r="V374" s="62">
        <f t="shared" si="358"/>
        <v>-2829.0589430835184</v>
      </c>
      <c r="W374" s="62">
        <f t="shared" si="358"/>
        <v>-2812.6094859705067</v>
      </c>
      <c r="X374" s="62">
        <f t="shared" si="358"/>
        <v>-2801.3523027601836</v>
      </c>
      <c r="Y374" s="62">
        <f t="shared" si="358"/>
        <v>-2793.6998704258613</v>
      </c>
      <c r="Z374" s="62">
        <f t="shared" si="358"/>
        <v>-2788.5215546169388</v>
      </c>
      <c r="AA374" s="62">
        <f t="shared" si="358"/>
        <v>-2785.0282573659729</v>
      </c>
      <c r="AB374" s="62">
        <f t="shared" si="358"/>
        <v>-2782.6765870098498</v>
      </c>
      <c r="AC374" s="62">
        <f t="shared" si="358"/>
        <v>-2781.0956775126119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5434.7183288153492</v>
      </c>
      <c r="C375" s="62">
        <f t="shared" ref="C375:AC375" si="359">((1+C358)^C366)*C358/(((1+C358)^C366)-1)*(C356)</f>
        <v>5434.7183288153492</v>
      </c>
      <c r="D375" s="62">
        <f t="shared" si="359"/>
        <v>5434.7183288153492</v>
      </c>
      <c r="E375" s="62">
        <f t="shared" si="359"/>
        <v>5434.7183288153492</v>
      </c>
      <c r="F375" s="62">
        <f t="shared" si="359"/>
        <v>5434.7183288153492</v>
      </c>
      <c r="G375" s="62">
        <f t="shared" si="359"/>
        <v>5434.7183288153492</v>
      </c>
      <c r="H375" s="62">
        <f t="shared" si="359"/>
        <v>5434.7183288153492</v>
      </c>
      <c r="I375" s="62">
        <f t="shared" si="359"/>
        <v>5434.7183288153492</v>
      </c>
      <c r="J375" s="62">
        <f t="shared" si="359"/>
        <v>5434.7183288153492</v>
      </c>
      <c r="K375" s="62">
        <f t="shared" si="359"/>
        <v>5434.7183288153492</v>
      </c>
      <c r="L375" s="62">
        <f t="shared" si="359"/>
        <v>5434.7183288153492</v>
      </c>
      <c r="M375" s="62">
        <f t="shared" si="359"/>
        <v>5434.7183288153492</v>
      </c>
      <c r="N375" s="62">
        <f t="shared" si="359"/>
        <v>5434.7183288153492</v>
      </c>
      <c r="O375" s="62">
        <f t="shared" si="359"/>
        <v>5434.7183288153492</v>
      </c>
      <c r="P375" s="62">
        <f t="shared" si="359"/>
        <v>5434.7183288153492</v>
      </c>
      <c r="Q375" s="62">
        <f t="shared" si="359"/>
        <v>5434.7183288153492</v>
      </c>
      <c r="R375" s="62">
        <f t="shared" si="359"/>
        <v>5434.7183288153492</v>
      </c>
      <c r="S375" s="62">
        <f t="shared" si="359"/>
        <v>5434.7183288153492</v>
      </c>
      <c r="T375" s="62">
        <f t="shared" si="359"/>
        <v>5434.7183288153492</v>
      </c>
      <c r="U375" s="62">
        <f t="shared" si="359"/>
        <v>5434.7183288153492</v>
      </c>
      <c r="V375" s="62">
        <f t="shared" si="359"/>
        <v>5434.7183288153492</v>
      </c>
      <c r="W375" s="62">
        <f t="shared" si="359"/>
        <v>5434.7183288153492</v>
      </c>
      <c r="X375" s="62">
        <f t="shared" si="359"/>
        <v>5434.7183288153492</v>
      </c>
      <c r="Y375" s="62">
        <f t="shared" si="359"/>
        <v>5434.7183288153492</v>
      </c>
      <c r="Z375" s="62">
        <f t="shared" si="359"/>
        <v>5434.7183288153492</v>
      </c>
      <c r="AA375" s="62">
        <f t="shared" si="359"/>
        <v>5434.7183288153492</v>
      </c>
      <c r="AB375" s="62">
        <f t="shared" si="359"/>
        <v>5434.7183288153492</v>
      </c>
      <c r="AC375" s="62">
        <f t="shared" si="359"/>
        <v>5434.7183288153492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-1358.6795822038373</v>
      </c>
      <c r="C376" s="62">
        <f t="shared" ref="C376:AC376" si="360">((1+C358)^C366)*C358/(((1+C358)^C366)-1)*(C357)</f>
        <v>-1358.6795822038373</v>
      </c>
      <c r="D376" s="62">
        <f t="shared" si="360"/>
        <v>-1358.6795822038373</v>
      </c>
      <c r="E376" s="62">
        <f t="shared" si="360"/>
        <v>-1358.6795822038373</v>
      </c>
      <c r="F376" s="62">
        <f t="shared" si="360"/>
        <v>-1358.6795822038373</v>
      </c>
      <c r="G376" s="62">
        <f t="shared" si="360"/>
        <v>-1358.6795822038373</v>
      </c>
      <c r="H376" s="62">
        <f t="shared" si="360"/>
        <v>-1358.6795822038373</v>
      </c>
      <c r="I376" s="62">
        <f t="shared" si="360"/>
        <v>-1358.6795822038373</v>
      </c>
      <c r="J376" s="62">
        <f t="shared" si="360"/>
        <v>-1358.6795822038373</v>
      </c>
      <c r="K376" s="62">
        <f t="shared" si="360"/>
        <v>-1358.6795822038373</v>
      </c>
      <c r="L376" s="62">
        <f t="shared" si="360"/>
        <v>-1358.6795822038373</v>
      </c>
      <c r="M376" s="62">
        <f t="shared" si="360"/>
        <v>-1358.6795822038373</v>
      </c>
      <c r="N376" s="62">
        <f t="shared" si="360"/>
        <v>-1358.6795822038373</v>
      </c>
      <c r="O376" s="62">
        <f t="shared" si="360"/>
        <v>-1358.6795822038373</v>
      </c>
      <c r="P376" s="62">
        <f t="shared" si="360"/>
        <v>-1358.6795822038373</v>
      </c>
      <c r="Q376" s="62">
        <f t="shared" si="360"/>
        <v>-1358.6795822038373</v>
      </c>
      <c r="R376" s="62">
        <f t="shared" si="360"/>
        <v>-1358.6795822038373</v>
      </c>
      <c r="S376" s="62">
        <f t="shared" si="360"/>
        <v>-1358.6795822038373</v>
      </c>
      <c r="T376" s="62">
        <f t="shared" si="360"/>
        <v>-1358.6795822038373</v>
      </c>
      <c r="U376" s="62">
        <f t="shared" si="360"/>
        <v>-1358.6795822038373</v>
      </c>
      <c r="V376" s="62">
        <f t="shared" si="360"/>
        <v>-1358.6795822038373</v>
      </c>
      <c r="W376" s="62">
        <f t="shared" si="360"/>
        <v>-1358.6795822038373</v>
      </c>
      <c r="X376" s="62">
        <f t="shared" si="360"/>
        <v>-1358.6795822038373</v>
      </c>
      <c r="Y376" s="62">
        <f t="shared" si="360"/>
        <v>-1358.6795822038373</v>
      </c>
      <c r="Z376" s="62">
        <f t="shared" si="360"/>
        <v>-1358.6795822038373</v>
      </c>
      <c r="AA376" s="62">
        <f t="shared" si="360"/>
        <v>-1358.6795822038373</v>
      </c>
      <c r="AB376" s="62">
        <f t="shared" si="360"/>
        <v>-1358.6795822038373</v>
      </c>
      <c r="AC376" s="62">
        <f t="shared" si="360"/>
        <v>-1358.6795822038373</v>
      </c>
    </row>
    <row r="377" spans="1:29" x14ac:dyDescent="0.3">
      <c r="A377" s="30" t="str">
        <f>A359</f>
        <v>Opex fix (admin, crew, insurance)</v>
      </c>
      <c r="B377" s="62">
        <f>B359</f>
        <v>70000</v>
      </c>
      <c r="C377" s="62">
        <f t="shared" ref="C377:AC377" si="361">C359</f>
        <v>70000</v>
      </c>
      <c r="D377" s="62">
        <f t="shared" si="361"/>
        <v>70000</v>
      </c>
      <c r="E377" s="62">
        <f t="shared" si="361"/>
        <v>70000</v>
      </c>
      <c r="F377" s="62">
        <f t="shared" si="361"/>
        <v>70000</v>
      </c>
      <c r="G377" s="62">
        <f t="shared" si="361"/>
        <v>70000</v>
      </c>
      <c r="H377" s="62">
        <f t="shared" si="361"/>
        <v>70000</v>
      </c>
      <c r="I377" s="62">
        <f t="shared" si="361"/>
        <v>70000</v>
      </c>
      <c r="J377" s="62">
        <f t="shared" si="361"/>
        <v>70000</v>
      </c>
      <c r="K377" s="62">
        <f t="shared" si="361"/>
        <v>70000</v>
      </c>
      <c r="L377" s="62">
        <f t="shared" si="361"/>
        <v>70000</v>
      </c>
      <c r="M377" s="62">
        <f t="shared" si="361"/>
        <v>70000</v>
      </c>
      <c r="N377" s="62">
        <f t="shared" si="361"/>
        <v>70000</v>
      </c>
      <c r="O377" s="62">
        <f t="shared" si="361"/>
        <v>70000</v>
      </c>
      <c r="P377" s="62">
        <f t="shared" si="361"/>
        <v>70000</v>
      </c>
      <c r="Q377" s="62">
        <f t="shared" si="361"/>
        <v>70000</v>
      </c>
      <c r="R377" s="62">
        <f t="shared" si="361"/>
        <v>70000</v>
      </c>
      <c r="S377" s="62">
        <f t="shared" si="361"/>
        <v>70000</v>
      </c>
      <c r="T377" s="62">
        <f t="shared" si="361"/>
        <v>70000</v>
      </c>
      <c r="U377" s="62">
        <f t="shared" si="361"/>
        <v>70000</v>
      </c>
      <c r="V377" s="62">
        <f t="shared" si="361"/>
        <v>70000</v>
      </c>
      <c r="W377" s="62">
        <f t="shared" si="361"/>
        <v>70000</v>
      </c>
      <c r="X377" s="62">
        <f t="shared" si="361"/>
        <v>70000</v>
      </c>
      <c r="Y377" s="62">
        <f t="shared" si="361"/>
        <v>70000</v>
      </c>
      <c r="Z377" s="62">
        <f t="shared" si="361"/>
        <v>70000</v>
      </c>
      <c r="AA377" s="62">
        <f t="shared" si="361"/>
        <v>70000</v>
      </c>
      <c r="AB377" s="62">
        <f t="shared" si="361"/>
        <v>70000</v>
      </c>
      <c r="AC377" s="62">
        <f t="shared" si="361"/>
        <v>70000</v>
      </c>
    </row>
    <row r="378" spans="1:29" x14ac:dyDescent="0.3">
      <c r="A378" s="30" t="str">
        <f>A360</f>
        <v>Opex maintenance &amp; repair</v>
      </c>
      <c r="B378" s="62">
        <f>B360</f>
        <v>20000</v>
      </c>
      <c r="C378" s="62">
        <f t="shared" ref="C378:AC378" si="362">C360</f>
        <v>20000</v>
      </c>
      <c r="D378" s="62">
        <f t="shared" si="362"/>
        <v>20000</v>
      </c>
      <c r="E378" s="62">
        <f t="shared" si="362"/>
        <v>20000</v>
      </c>
      <c r="F378" s="62">
        <f t="shared" si="362"/>
        <v>20000</v>
      </c>
      <c r="G378" s="62">
        <f t="shared" si="362"/>
        <v>20000</v>
      </c>
      <c r="H378" s="62">
        <f t="shared" si="362"/>
        <v>20000</v>
      </c>
      <c r="I378" s="62">
        <f t="shared" si="362"/>
        <v>20000</v>
      </c>
      <c r="J378" s="62">
        <f t="shared" si="362"/>
        <v>20000</v>
      </c>
      <c r="K378" s="62">
        <f t="shared" si="362"/>
        <v>20000</v>
      </c>
      <c r="L378" s="62">
        <f t="shared" si="362"/>
        <v>20000</v>
      </c>
      <c r="M378" s="62">
        <f t="shared" si="362"/>
        <v>20000</v>
      </c>
      <c r="N378" s="62">
        <f t="shared" si="362"/>
        <v>20000</v>
      </c>
      <c r="O378" s="62">
        <f t="shared" si="362"/>
        <v>20000</v>
      </c>
      <c r="P378" s="62">
        <f t="shared" si="362"/>
        <v>20000</v>
      </c>
      <c r="Q378" s="62">
        <f t="shared" si="362"/>
        <v>20000</v>
      </c>
      <c r="R378" s="62">
        <f t="shared" si="362"/>
        <v>20000</v>
      </c>
      <c r="S378" s="62">
        <f t="shared" si="362"/>
        <v>20000</v>
      </c>
      <c r="T378" s="62">
        <f t="shared" si="362"/>
        <v>20000</v>
      </c>
      <c r="U378" s="62">
        <f t="shared" si="362"/>
        <v>20000</v>
      </c>
      <c r="V378" s="62">
        <f t="shared" si="362"/>
        <v>20000</v>
      </c>
      <c r="W378" s="62">
        <f t="shared" si="362"/>
        <v>20000</v>
      </c>
      <c r="X378" s="62">
        <f t="shared" si="362"/>
        <v>20000</v>
      </c>
      <c r="Y378" s="62">
        <f t="shared" si="362"/>
        <v>20000</v>
      </c>
      <c r="Z378" s="62">
        <f t="shared" si="362"/>
        <v>20000</v>
      </c>
      <c r="AA378" s="62">
        <f t="shared" si="362"/>
        <v>20000</v>
      </c>
      <c r="AB378" s="62">
        <f t="shared" si="362"/>
        <v>20000</v>
      </c>
      <c r="AC378" s="62">
        <f t="shared" si="362"/>
        <v>20000</v>
      </c>
    </row>
    <row r="379" spans="1:29" x14ac:dyDescent="0.3">
      <c r="A379" s="30" t="str">
        <f>A361</f>
        <v>Opex var (mode-fees)</v>
      </c>
      <c r="B379" s="62">
        <f>B361*B370</f>
        <v>8580</v>
      </c>
      <c r="C379" s="62">
        <f t="shared" ref="C379:AC379" si="363">C361*C370</f>
        <v>8580</v>
      </c>
      <c r="D379" s="62">
        <f t="shared" si="363"/>
        <v>8580</v>
      </c>
      <c r="E379" s="62">
        <f t="shared" si="363"/>
        <v>8580</v>
      </c>
      <c r="F379" s="62">
        <f t="shared" si="363"/>
        <v>8580</v>
      </c>
      <c r="G379" s="62">
        <f t="shared" si="363"/>
        <v>8580</v>
      </c>
      <c r="H379" s="62">
        <f t="shared" si="363"/>
        <v>8580</v>
      </c>
      <c r="I379" s="62">
        <f t="shared" si="363"/>
        <v>8580</v>
      </c>
      <c r="J379" s="62">
        <f t="shared" si="363"/>
        <v>8580</v>
      </c>
      <c r="K379" s="62">
        <f t="shared" si="363"/>
        <v>8580</v>
      </c>
      <c r="L379" s="62">
        <f t="shared" si="363"/>
        <v>8580</v>
      </c>
      <c r="M379" s="62">
        <f t="shared" si="363"/>
        <v>8580</v>
      </c>
      <c r="N379" s="62">
        <f t="shared" si="363"/>
        <v>8580</v>
      </c>
      <c r="O379" s="62">
        <f t="shared" si="363"/>
        <v>8580</v>
      </c>
      <c r="P379" s="62">
        <f t="shared" si="363"/>
        <v>8580</v>
      </c>
      <c r="Q379" s="62">
        <f t="shared" si="363"/>
        <v>8580</v>
      </c>
      <c r="R379" s="62">
        <f t="shared" si="363"/>
        <v>8580</v>
      </c>
      <c r="S379" s="62">
        <f t="shared" si="363"/>
        <v>8580</v>
      </c>
      <c r="T379" s="62">
        <f t="shared" si="363"/>
        <v>8580</v>
      </c>
      <c r="U379" s="62">
        <f t="shared" si="363"/>
        <v>8580</v>
      </c>
      <c r="V379" s="62">
        <f t="shared" si="363"/>
        <v>8580</v>
      </c>
      <c r="W379" s="62">
        <f t="shared" si="363"/>
        <v>8580</v>
      </c>
      <c r="X379" s="62">
        <f t="shared" si="363"/>
        <v>8580</v>
      </c>
      <c r="Y379" s="62">
        <f t="shared" si="363"/>
        <v>8580</v>
      </c>
      <c r="Z379" s="62">
        <f t="shared" si="363"/>
        <v>8580</v>
      </c>
      <c r="AA379" s="62">
        <f t="shared" si="363"/>
        <v>8580</v>
      </c>
      <c r="AB379" s="62">
        <f t="shared" si="363"/>
        <v>8580</v>
      </c>
      <c r="AC379" s="62">
        <f t="shared" si="363"/>
        <v>8580</v>
      </c>
    </row>
    <row r="380" spans="1:29" x14ac:dyDescent="0.3">
      <c r="A380" s="30" t="str">
        <f>A363</f>
        <v>Fuel Cost</v>
      </c>
      <c r="B380" s="62">
        <f>B362*B363*B370</f>
        <v>22568.511660141867</v>
      </c>
      <c r="C380" s="62">
        <f t="shared" ref="C380:AC380" si="364">C362*C363*C370</f>
        <v>22546.465880751472</v>
      </c>
      <c r="D380" s="62">
        <f t="shared" si="364"/>
        <v>22515.164034319008</v>
      </c>
      <c r="E380" s="62">
        <f t="shared" si="364"/>
        <v>22470.921882302122</v>
      </c>
      <c r="F380" s="62">
        <f t="shared" si="364"/>
        <v>22408.806699064946</v>
      </c>
      <c r="G380" s="62">
        <f t="shared" si="364"/>
        <v>22322.444045855515</v>
      </c>
      <c r="H380" s="62">
        <f t="shared" si="364"/>
        <v>22204.044079138675</v>
      </c>
      <c r="I380" s="62">
        <f t="shared" si="364"/>
        <v>22044.927211098755</v>
      </c>
      <c r="J380" s="62">
        <f t="shared" si="364"/>
        <v>21836.930725452334</v>
      </c>
      <c r="K380" s="62">
        <f t="shared" si="364"/>
        <v>21574.994307749741</v>
      </c>
      <c r="L380" s="62">
        <f t="shared" si="364"/>
        <v>21260.678125392678</v>
      </c>
      <c r="M380" s="62">
        <f t="shared" si="364"/>
        <v>20905.257667353133</v>
      </c>
      <c r="N380" s="62">
        <f t="shared" si="364"/>
        <v>20530.041748054224</v>
      </c>
      <c r="O380" s="62">
        <f t="shared" si="364"/>
        <v>20162.209376225434</v>
      </c>
      <c r="P380" s="62">
        <f t="shared" si="364"/>
        <v>19827.363996852018</v>
      </c>
      <c r="Q380" s="62">
        <f t="shared" si="364"/>
        <v>19542.793107283589</v>
      </c>
      <c r="R380" s="62">
        <f t="shared" si="364"/>
        <v>19314.90278849813</v>
      </c>
      <c r="S380" s="62">
        <f t="shared" si="364"/>
        <v>19141.012360770688</v>
      </c>
      <c r="T380" s="62">
        <f t="shared" si="364"/>
        <v>19013.188950358559</v>
      </c>
      <c r="U380" s="62">
        <f t="shared" si="364"/>
        <v>18921.79706109226</v>
      </c>
      <c r="V380" s="62">
        <f t="shared" si="364"/>
        <v>18857.74484343885</v>
      </c>
      <c r="W380" s="62">
        <f t="shared" si="364"/>
        <v>18813.480824083363</v>
      </c>
      <c r="X380" s="62">
        <f t="shared" si="364"/>
        <v>18783.188749877721</v>
      </c>
      <c r="Y380" s="62">
        <f t="shared" si="364"/>
        <v>18762.596738200024</v>
      </c>
      <c r="Z380" s="62">
        <f t="shared" si="364"/>
        <v>18748.662353033375</v>
      </c>
      <c r="AA380" s="62">
        <f t="shared" si="364"/>
        <v>18739.262202252172</v>
      </c>
      <c r="AB380" s="62">
        <f t="shared" si="364"/>
        <v>18732.934067442253</v>
      </c>
      <c r="AC380" s="62">
        <f t="shared" si="364"/>
        <v>18728.679981237205</v>
      </c>
    </row>
    <row r="381" spans="1:29" ht="15" thickBot="1" x14ac:dyDescent="0.35">
      <c r="A381" s="59" t="str">
        <f>A344</f>
        <v>Emission Cost</v>
      </c>
      <c r="B381" s="62">
        <f>B364*B370</f>
        <v>6055.8515767104491</v>
      </c>
      <c r="C381" s="62">
        <f t="shared" ref="C381:AC381" si="365">C364*C370</f>
        <v>6066.7190333392246</v>
      </c>
      <c r="D381" s="62">
        <f t="shared" si="365"/>
        <v>6082.2755554502346</v>
      </c>
      <c r="E381" s="62">
        <f t="shared" si="365"/>
        <v>6104.5302543135767</v>
      </c>
      <c r="F381" s="62">
        <f t="shared" si="365"/>
        <v>6136.3371297324056</v>
      </c>
      <c r="G381" s="62">
        <f t="shared" si="365"/>
        <v>6181.7324147058989</v>
      </c>
      <c r="H381" s="62">
        <f t="shared" si="365"/>
        <v>6246.3864371905956</v>
      </c>
      <c r="I381" s="62">
        <f t="shared" si="365"/>
        <v>6338.1858808491279</v>
      </c>
      <c r="J381" s="62">
        <f t="shared" si="365"/>
        <v>6467.935573097152</v>
      </c>
      <c r="K381" s="62">
        <f t="shared" si="365"/>
        <v>6650.101800135024</v>
      </c>
      <c r="L381" s="62">
        <f t="shared" si="365"/>
        <v>6903.3789841058096</v>
      </c>
      <c r="M381" s="62">
        <f t="shared" si="365"/>
        <v>7250.612528211459</v>
      </c>
      <c r="N381" s="62">
        <f t="shared" si="365"/>
        <v>7717.2572034471386</v>
      </c>
      <c r="O381" s="62">
        <f t="shared" si="365"/>
        <v>8327.2519431015317</v>
      </c>
      <c r="P381" s="62">
        <f t="shared" si="365"/>
        <v>9095.4372152032392</v>
      </c>
      <c r="Q381" s="62">
        <f t="shared" si="365"/>
        <v>10017.237490963602</v>
      </c>
      <c r="R381" s="62">
        <f t="shared" si="365"/>
        <v>11059.584957056035</v>
      </c>
      <c r="S381" s="62">
        <f t="shared" si="365"/>
        <v>12159.986900365773</v>
      </c>
      <c r="T381" s="62">
        <f t="shared" si="365"/>
        <v>13238.734991675285</v>
      </c>
      <c r="U381" s="62">
        <f t="shared" si="365"/>
        <v>14220.74158366444</v>
      </c>
      <c r="V381" s="62">
        <f t="shared" si="365"/>
        <v>15055.307346427348</v>
      </c>
      <c r="W381" s="62">
        <f t="shared" si="365"/>
        <v>15723.645060140474</v>
      </c>
      <c r="X381" s="62">
        <f t="shared" si="365"/>
        <v>16233.616398648111</v>
      </c>
      <c r="Y381" s="62">
        <f t="shared" si="365"/>
        <v>16608.486232211701</v>
      </c>
      <c r="Z381" s="62">
        <f t="shared" si="365"/>
        <v>16876.512740093607</v>
      </c>
      <c r="AA381" s="62">
        <f t="shared" si="365"/>
        <v>17064.359740057807</v>
      </c>
      <c r="AB381" s="62">
        <f t="shared" si="365"/>
        <v>17194.173563012031</v>
      </c>
      <c r="AC381" s="62">
        <f t="shared" si="365"/>
        <v>17283.011630930523</v>
      </c>
    </row>
    <row r="382" spans="1:29" ht="15" thickBot="1" x14ac:dyDescent="0.35">
      <c r="A382" s="31" t="s">
        <v>209</v>
      </c>
      <c r="B382" s="64">
        <f>B373+B374+B375+B376+B377+B378+B379+B380+B381</f>
        <v>144002.37682432306</v>
      </c>
      <c r="C382" s="64">
        <f t="shared" ref="C382:AC382" si="366">C373+C374+C375+C376+C377+C378+C379+C380+C381</f>
        <v>144008.49416680384</v>
      </c>
      <c r="D382" s="64">
        <f t="shared" si="366"/>
        <v>144017.30620776204</v>
      </c>
      <c r="E382" s="64">
        <f t="shared" si="366"/>
        <v>144030.02823061918</v>
      </c>
      <c r="F382" s="64">
        <f t="shared" si="366"/>
        <v>144048.45140090899</v>
      </c>
      <c r="G382" s="64">
        <f t="shared" si="366"/>
        <v>144075.23847731776</v>
      </c>
      <c r="H382" s="64">
        <f t="shared" si="366"/>
        <v>144114.38134199465</v>
      </c>
      <c r="I382" s="64">
        <f t="shared" si="366"/>
        <v>144171.89652322468</v>
      </c>
      <c r="J382" s="64">
        <f t="shared" si="366"/>
        <v>144256.83006124623</v>
      </c>
      <c r="K382" s="64">
        <f t="shared" si="366"/>
        <v>144382.5579169491</v>
      </c>
      <c r="L382" s="64">
        <f t="shared" si="366"/>
        <v>144568.11067538158</v>
      </c>
      <c r="M382" s="64">
        <f t="shared" si="366"/>
        <v>144838.76322335534</v>
      </c>
      <c r="N382" s="64">
        <f t="shared" si="366"/>
        <v>145224.56165517846</v>
      </c>
      <c r="O382" s="64">
        <f t="shared" si="366"/>
        <v>145755.30105427199</v>
      </c>
      <c r="P382" s="64">
        <f t="shared" si="366"/>
        <v>146451.33855850456</v>
      </c>
      <c r="Q382" s="64">
        <f t="shared" si="366"/>
        <v>147311.82350561584</v>
      </c>
      <c r="R382" s="64">
        <f t="shared" si="366"/>
        <v>148305.06837441359</v>
      </c>
      <c r="S382" s="64">
        <f t="shared" si="366"/>
        <v>149368.00285665866</v>
      </c>
      <c r="T382" s="64">
        <f t="shared" si="366"/>
        <v>150419.20935919095</v>
      </c>
      <c r="U382" s="64">
        <f t="shared" si="366"/>
        <v>151381.52411363932</v>
      </c>
      <c r="V382" s="64">
        <f t="shared" si="366"/>
        <v>152202.28880636982</v>
      </c>
      <c r="W382" s="64">
        <f t="shared" si="366"/>
        <v>152861.08913241045</v>
      </c>
      <c r="X382" s="64">
        <f t="shared" si="366"/>
        <v>153364.5335612676</v>
      </c>
      <c r="Y382" s="64">
        <f t="shared" si="366"/>
        <v>153734.96651808149</v>
      </c>
      <c r="Z382" s="64">
        <f t="shared" si="366"/>
        <v>153999.99064083782</v>
      </c>
      <c r="AA382" s="64">
        <f t="shared" si="366"/>
        <v>154185.81222866176</v>
      </c>
      <c r="AB382" s="64">
        <f t="shared" si="366"/>
        <v>154314.26255422452</v>
      </c>
      <c r="AC382" s="64">
        <f t="shared" si="366"/>
        <v>154402.18401154326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367">A373</f>
        <v>Capex vehicle</v>
      </c>
      <c r="B385" s="65">
        <f>((1+B358)^B365)*B358/(((1+B358)^B365)-1)*(B354)/B370</f>
        <v>0.21705172007841297</v>
      </c>
      <c r="C385" s="65">
        <f t="shared" ref="C385:AC385" si="368">((1+C358)^C365)*C358/(((1+C358)^C365)-1)*(C354)/C370</f>
        <v>0.21716842497208638</v>
      </c>
      <c r="D385" s="65">
        <f t="shared" si="368"/>
        <v>0.21733412919124739</v>
      </c>
      <c r="E385" s="65">
        <f t="shared" si="368"/>
        <v>0.21756833618187271</v>
      </c>
      <c r="F385" s="65">
        <f t="shared" si="368"/>
        <v>0.21789715857126654</v>
      </c>
      <c r="G385" s="65">
        <f t="shared" si="368"/>
        <v>0.21835434105874754</v>
      </c>
      <c r="H385" s="65">
        <f t="shared" si="368"/>
        <v>0.21898112114585322</v>
      </c>
      <c r="I385" s="65">
        <f t="shared" si="368"/>
        <v>0.21982344641988433</v>
      </c>
      <c r="J385" s="65">
        <f t="shared" si="368"/>
        <v>0.22092452827831854</v>
      </c>
      <c r="K385" s="65">
        <f t="shared" si="368"/>
        <v>0.22231115477202701</v>
      </c>
      <c r="L385" s="65">
        <f t="shared" si="368"/>
        <v>0.22397506676135742</v>
      </c>
      <c r="M385" s="65">
        <f t="shared" si="368"/>
        <v>0.22585657460148981</v>
      </c>
      <c r="N385" s="65">
        <f t="shared" si="368"/>
        <v>0.22784287470868519</v>
      </c>
      <c r="O385" s="65">
        <f t="shared" si="368"/>
        <v>0.22979008814504115</v>
      </c>
      <c r="P385" s="65">
        <f t="shared" si="368"/>
        <v>0.23156267661672977</v>
      </c>
      <c r="Q385" s="65">
        <f t="shared" si="368"/>
        <v>0.23306912439621261</v>
      </c>
      <c r="R385" s="65">
        <f t="shared" si="368"/>
        <v>0.23427551927806664</v>
      </c>
      <c r="S385" s="65">
        <f t="shared" si="368"/>
        <v>0.23519605211654707</v>
      </c>
      <c r="T385" s="65">
        <f t="shared" si="368"/>
        <v>0.23587271757967057</v>
      </c>
      <c r="U385" s="65">
        <f t="shared" si="368"/>
        <v>0.23635652359671169</v>
      </c>
      <c r="V385" s="65">
        <f t="shared" si="368"/>
        <v>0.23669560016635402</v>
      </c>
      <c r="W385" s="65">
        <f t="shared" si="368"/>
        <v>0.23692992291725162</v>
      </c>
      <c r="X385" s="65">
        <f t="shared" si="368"/>
        <v>0.23709028165244139</v>
      </c>
      <c r="Y385" s="65">
        <f t="shared" si="368"/>
        <v>0.23719929066005288</v>
      </c>
      <c r="Z385" s="65">
        <f t="shared" si="368"/>
        <v>0.23727305584251615</v>
      </c>
      <c r="AA385" s="65">
        <f t="shared" si="368"/>
        <v>0.23732281791161824</v>
      </c>
      <c r="AB385" s="65">
        <f t="shared" si="368"/>
        <v>0.2373563174893408</v>
      </c>
      <c r="AC385" s="65">
        <f t="shared" si="368"/>
        <v>0.23737883756764896</v>
      </c>
    </row>
    <row r="386" spans="1:29" x14ac:dyDescent="0.3">
      <c r="A386" s="30" t="str">
        <f t="shared" si="367"/>
        <v>Residual value (vehicle)</v>
      </c>
      <c r="B386" s="66">
        <f>((1+B358)^B365)*B358/(((1+B358)^B365)-1)*(B355)/B370</f>
        <v>-5.3949478528935647E-2</v>
      </c>
      <c r="C386" s="66">
        <f t="shared" ref="C386:AC386" si="369">((1+C358)^C365)*C358/(((1+C358)^C365)-1)*(C355)/C370</f>
        <v>-5.384444412462959E-2</v>
      </c>
      <c r="D386" s="66">
        <f t="shared" si="369"/>
        <v>-5.3695310327384671E-2</v>
      </c>
      <c r="E386" s="66">
        <f t="shared" si="369"/>
        <v>-5.3484524035821886E-2</v>
      </c>
      <c r="F386" s="66">
        <f t="shared" si="369"/>
        <v>-5.3188583885367458E-2</v>
      </c>
      <c r="G386" s="66">
        <f t="shared" si="369"/>
        <v>-5.2777119646634521E-2</v>
      </c>
      <c r="H386" s="66">
        <f t="shared" si="369"/>
        <v>-5.2213017568239456E-2</v>
      </c>
      <c r="I386" s="66">
        <f t="shared" si="369"/>
        <v>-5.1454924821611424E-2</v>
      </c>
      <c r="J386" s="66">
        <f t="shared" si="369"/>
        <v>-5.0463951149020615E-2</v>
      </c>
      <c r="K386" s="66">
        <f t="shared" si="369"/>
        <v>-4.9215987304683025E-2</v>
      </c>
      <c r="L386" s="66">
        <f t="shared" si="369"/>
        <v>-4.7718466514285664E-2</v>
      </c>
      <c r="M386" s="66">
        <f t="shared" si="369"/>
        <v>-4.6025109458166485E-2</v>
      </c>
      <c r="N386" s="66">
        <f t="shared" si="369"/>
        <v>-4.4237439361690646E-2</v>
      </c>
      <c r="O386" s="66">
        <f t="shared" si="369"/>
        <v>-4.2484947268970313E-2</v>
      </c>
      <c r="P386" s="66">
        <f t="shared" si="369"/>
        <v>-4.0889617644450538E-2</v>
      </c>
      <c r="Q386" s="66">
        <f t="shared" si="369"/>
        <v>-3.9533814642915985E-2</v>
      </c>
      <c r="R386" s="66">
        <f t="shared" si="369"/>
        <v>-3.8448059249247359E-2</v>
      </c>
      <c r="S386" s="66">
        <f t="shared" si="369"/>
        <v>-3.7619579694614977E-2</v>
      </c>
      <c r="T386" s="66">
        <f t="shared" si="369"/>
        <v>-3.7010580777803843E-2</v>
      </c>
      <c r="U386" s="66">
        <f t="shared" si="369"/>
        <v>-3.6575155362466805E-2</v>
      </c>
      <c r="V386" s="66">
        <f t="shared" si="369"/>
        <v>-3.6269986449788696E-2</v>
      </c>
      <c r="W386" s="66">
        <f t="shared" si="369"/>
        <v>-3.6059095973980854E-2</v>
      </c>
      <c r="X386" s="66">
        <f t="shared" si="369"/>
        <v>-3.5914773112310047E-2</v>
      </c>
      <c r="Y386" s="66">
        <f t="shared" si="369"/>
        <v>-3.5816665005459762E-2</v>
      </c>
      <c r="Z386" s="66">
        <f t="shared" si="369"/>
        <v>-3.5750276341242802E-2</v>
      </c>
      <c r="AA386" s="66">
        <f t="shared" si="369"/>
        <v>-3.5705490479050937E-2</v>
      </c>
      <c r="AB386" s="66">
        <f t="shared" si="369"/>
        <v>-3.5675340859100638E-2</v>
      </c>
      <c r="AC386" s="66">
        <f t="shared" si="369"/>
        <v>-3.5655072788623232E-2</v>
      </c>
    </row>
    <row r="387" spans="1:29" x14ac:dyDescent="0.3">
      <c r="A387" s="30" t="str">
        <f t="shared" si="367"/>
        <v>Capex costumization</v>
      </c>
      <c r="B387" s="66">
        <f>((1+B358)^B366)*B358/(((1+B358)^B366)-1)*(B356)/B370</f>
        <v>6.9675876010453192E-2</v>
      </c>
      <c r="C387" s="66">
        <f t="shared" ref="C387:AC387" si="370">((1+C358)^C366)*C358/(((1+C358)^C366)-1)*(C356)/C370</f>
        <v>6.9675876010453192E-2</v>
      </c>
      <c r="D387" s="66">
        <f t="shared" si="370"/>
        <v>6.9675876010453192E-2</v>
      </c>
      <c r="E387" s="66">
        <f t="shared" si="370"/>
        <v>6.9675876010453192E-2</v>
      </c>
      <c r="F387" s="66">
        <f t="shared" si="370"/>
        <v>6.9675876010453192E-2</v>
      </c>
      <c r="G387" s="66">
        <f t="shared" si="370"/>
        <v>6.9675876010453192E-2</v>
      </c>
      <c r="H387" s="66">
        <f t="shared" si="370"/>
        <v>6.9675876010453192E-2</v>
      </c>
      <c r="I387" s="66">
        <f t="shared" si="370"/>
        <v>6.9675876010453192E-2</v>
      </c>
      <c r="J387" s="66">
        <f t="shared" si="370"/>
        <v>6.9675876010453192E-2</v>
      </c>
      <c r="K387" s="66">
        <f t="shared" si="370"/>
        <v>6.9675876010453192E-2</v>
      </c>
      <c r="L387" s="66">
        <f t="shared" si="370"/>
        <v>6.9675876010453192E-2</v>
      </c>
      <c r="M387" s="66">
        <f t="shared" si="370"/>
        <v>6.9675876010453192E-2</v>
      </c>
      <c r="N387" s="66">
        <f t="shared" si="370"/>
        <v>6.9675876010453192E-2</v>
      </c>
      <c r="O387" s="66">
        <f t="shared" si="370"/>
        <v>6.9675876010453192E-2</v>
      </c>
      <c r="P387" s="66">
        <f t="shared" si="370"/>
        <v>6.9675876010453192E-2</v>
      </c>
      <c r="Q387" s="66">
        <f t="shared" si="370"/>
        <v>6.9675876010453192E-2</v>
      </c>
      <c r="R387" s="66">
        <f t="shared" si="370"/>
        <v>6.9675876010453192E-2</v>
      </c>
      <c r="S387" s="66">
        <f t="shared" si="370"/>
        <v>6.9675876010453192E-2</v>
      </c>
      <c r="T387" s="66">
        <f t="shared" si="370"/>
        <v>6.9675876010453192E-2</v>
      </c>
      <c r="U387" s="66">
        <f t="shared" si="370"/>
        <v>6.9675876010453192E-2</v>
      </c>
      <c r="V387" s="66">
        <f t="shared" si="370"/>
        <v>6.9675876010453192E-2</v>
      </c>
      <c r="W387" s="66">
        <f t="shared" si="370"/>
        <v>6.9675876010453192E-2</v>
      </c>
      <c r="X387" s="66">
        <f t="shared" si="370"/>
        <v>6.9675876010453192E-2</v>
      </c>
      <c r="Y387" s="66">
        <f t="shared" si="370"/>
        <v>6.9675876010453192E-2</v>
      </c>
      <c r="Z387" s="66">
        <f t="shared" si="370"/>
        <v>6.9675876010453192E-2</v>
      </c>
      <c r="AA387" s="66">
        <f t="shared" si="370"/>
        <v>6.9675876010453192E-2</v>
      </c>
      <c r="AB387" s="66">
        <f t="shared" si="370"/>
        <v>6.9675876010453192E-2</v>
      </c>
      <c r="AC387" s="66">
        <f t="shared" si="370"/>
        <v>6.9675876010453192E-2</v>
      </c>
    </row>
    <row r="388" spans="1:29" x14ac:dyDescent="0.3">
      <c r="A388" s="30" t="str">
        <f t="shared" si="367"/>
        <v>Residual value (costumization)</v>
      </c>
      <c r="B388" s="66">
        <f>((1+B358)^B366)*B358/(((1+B358)^B366)-1)*(B357)/B370</f>
        <v>-1.7418969002613298E-2</v>
      </c>
      <c r="C388" s="66">
        <f t="shared" ref="C388:AC388" si="371">((1+C358)^C366)*C358/(((1+C358)^C366)-1)*(C357)/C370</f>
        <v>-1.7418969002613298E-2</v>
      </c>
      <c r="D388" s="66">
        <f t="shared" si="371"/>
        <v>-1.7418969002613298E-2</v>
      </c>
      <c r="E388" s="66">
        <f t="shared" si="371"/>
        <v>-1.7418969002613298E-2</v>
      </c>
      <c r="F388" s="66">
        <f t="shared" si="371"/>
        <v>-1.7418969002613298E-2</v>
      </c>
      <c r="G388" s="66">
        <f t="shared" si="371"/>
        <v>-1.7418969002613298E-2</v>
      </c>
      <c r="H388" s="66">
        <f t="shared" si="371"/>
        <v>-1.7418969002613298E-2</v>
      </c>
      <c r="I388" s="66">
        <f t="shared" si="371"/>
        <v>-1.7418969002613298E-2</v>
      </c>
      <c r="J388" s="66">
        <f t="shared" si="371"/>
        <v>-1.7418969002613298E-2</v>
      </c>
      <c r="K388" s="66">
        <f t="shared" si="371"/>
        <v>-1.7418969002613298E-2</v>
      </c>
      <c r="L388" s="66">
        <f t="shared" si="371"/>
        <v>-1.7418969002613298E-2</v>
      </c>
      <c r="M388" s="66">
        <f t="shared" si="371"/>
        <v>-1.7418969002613298E-2</v>
      </c>
      <c r="N388" s="66">
        <f t="shared" si="371"/>
        <v>-1.7418969002613298E-2</v>
      </c>
      <c r="O388" s="66">
        <f t="shared" si="371"/>
        <v>-1.7418969002613298E-2</v>
      </c>
      <c r="P388" s="66">
        <f t="shared" si="371"/>
        <v>-1.7418969002613298E-2</v>
      </c>
      <c r="Q388" s="66">
        <f t="shared" si="371"/>
        <v>-1.7418969002613298E-2</v>
      </c>
      <c r="R388" s="66">
        <f t="shared" si="371"/>
        <v>-1.7418969002613298E-2</v>
      </c>
      <c r="S388" s="66">
        <f t="shared" si="371"/>
        <v>-1.7418969002613298E-2</v>
      </c>
      <c r="T388" s="66">
        <f t="shared" si="371"/>
        <v>-1.7418969002613298E-2</v>
      </c>
      <c r="U388" s="66">
        <f t="shared" si="371"/>
        <v>-1.7418969002613298E-2</v>
      </c>
      <c r="V388" s="66">
        <f t="shared" si="371"/>
        <v>-1.7418969002613298E-2</v>
      </c>
      <c r="W388" s="66">
        <f t="shared" si="371"/>
        <v>-1.7418969002613298E-2</v>
      </c>
      <c r="X388" s="66">
        <f t="shared" si="371"/>
        <v>-1.7418969002613298E-2</v>
      </c>
      <c r="Y388" s="66">
        <f t="shared" si="371"/>
        <v>-1.7418969002613298E-2</v>
      </c>
      <c r="Z388" s="66">
        <f t="shared" si="371"/>
        <v>-1.7418969002613298E-2</v>
      </c>
      <c r="AA388" s="66">
        <f t="shared" si="371"/>
        <v>-1.7418969002613298E-2</v>
      </c>
      <c r="AB388" s="66">
        <f t="shared" si="371"/>
        <v>-1.7418969002613298E-2</v>
      </c>
      <c r="AC388" s="66">
        <f t="shared" si="371"/>
        <v>-1.7418969002613298E-2</v>
      </c>
    </row>
    <row r="389" spans="1:29" x14ac:dyDescent="0.3">
      <c r="A389" s="30" t="str">
        <f t="shared" si="367"/>
        <v>Opex fix (admin, crew, insurance)</v>
      </c>
      <c r="B389" s="66">
        <f>B359/B370</f>
        <v>0.89743589743589747</v>
      </c>
      <c r="C389" s="66">
        <f t="shared" ref="C389:AC389" si="372">C359/C370</f>
        <v>0.89743589743589747</v>
      </c>
      <c r="D389" s="66">
        <f t="shared" si="372"/>
        <v>0.89743589743589747</v>
      </c>
      <c r="E389" s="66">
        <f t="shared" si="372"/>
        <v>0.89743589743589747</v>
      </c>
      <c r="F389" s="66">
        <f t="shared" si="372"/>
        <v>0.89743589743589747</v>
      </c>
      <c r="G389" s="66">
        <f t="shared" si="372"/>
        <v>0.89743589743589747</v>
      </c>
      <c r="H389" s="66">
        <f t="shared" si="372"/>
        <v>0.89743589743589747</v>
      </c>
      <c r="I389" s="66">
        <f t="shared" si="372"/>
        <v>0.89743589743589747</v>
      </c>
      <c r="J389" s="66">
        <f t="shared" si="372"/>
        <v>0.89743589743589747</v>
      </c>
      <c r="K389" s="66">
        <f t="shared" si="372"/>
        <v>0.89743589743589747</v>
      </c>
      <c r="L389" s="66">
        <f t="shared" si="372"/>
        <v>0.89743589743589747</v>
      </c>
      <c r="M389" s="66">
        <f t="shared" si="372"/>
        <v>0.89743589743589747</v>
      </c>
      <c r="N389" s="66">
        <f t="shared" si="372"/>
        <v>0.89743589743589747</v>
      </c>
      <c r="O389" s="66">
        <f t="shared" si="372"/>
        <v>0.89743589743589747</v>
      </c>
      <c r="P389" s="66">
        <f t="shared" si="372"/>
        <v>0.89743589743589747</v>
      </c>
      <c r="Q389" s="66">
        <f t="shared" si="372"/>
        <v>0.89743589743589747</v>
      </c>
      <c r="R389" s="66">
        <f t="shared" si="372"/>
        <v>0.89743589743589747</v>
      </c>
      <c r="S389" s="66">
        <f t="shared" si="372"/>
        <v>0.89743589743589747</v>
      </c>
      <c r="T389" s="66">
        <f t="shared" si="372"/>
        <v>0.89743589743589747</v>
      </c>
      <c r="U389" s="66">
        <f t="shared" si="372"/>
        <v>0.89743589743589747</v>
      </c>
      <c r="V389" s="66">
        <f t="shared" si="372"/>
        <v>0.89743589743589747</v>
      </c>
      <c r="W389" s="66">
        <f t="shared" si="372"/>
        <v>0.89743589743589747</v>
      </c>
      <c r="X389" s="66">
        <f t="shared" si="372"/>
        <v>0.89743589743589747</v>
      </c>
      <c r="Y389" s="66">
        <f t="shared" si="372"/>
        <v>0.89743589743589747</v>
      </c>
      <c r="Z389" s="66">
        <f t="shared" si="372"/>
        <v>0.89743589743589747</v>
      </c>
      <c r="AA389" s="66">
        <f t="shared" si="372"/>
        <v>0.89743589743589747</v>
      </c>
      <c r="AB389" s="66">
        <f t="shared" si="372"/>
        <v>0.89743589743589747</v>
      </c>
      <c r="AC389" s="66">
        <f t="shared" si="372"/>
        <v>0.89743589743589747</v>
      </c>
    </row>
    <row r="390" spans="1:29" x14ac:dyDescent="0.3">
      <c r="A390" s="30" t="str">
        <f t="shared" si="367"/>
        <v>Opex maintenance &amp; repair</v>
      </c>
      <c r="B390" s="66">
        <f>B360/B370</f>
        <v>0.25641025641025639</v>
      </c>
      <c r="C390" s="66">
        <f t="shared" ref="C390:AC390" si="373">C360/C370</f>
        <v>0.25641025641025639</v>
      </c>
      <c r="D390" s="66">
        <f t="shared" si="373"/>
        <v>0.25641025641025639</v>
      </c>
      <c r="E390" s="66">
        <f t="shared" si="373"/>
        <v>0.25641025641025639</v>
      </c>
      <c r="F390" s="66">
        <f t="shared" si="373"/>
        <v>0.25641025641025639</v>
      </c>
      <c r="G390" s="66">
        <f t="shared" si="373"/>
        <v>0.25641025641025639</v>
      </c>
      <c r="H390" s="66">
        <f t="shared" si="373"/>
        <v>0.25641025641025639</v>
      </c>
      <c r="I390" s="66">
        <f t="shared" si="373"/>
        <v>0.25641025641025639</v>
      </c>
      <c r="J390" s="66">
        <f t="shared" si="373"/>
        <v>0.25641025641025639</v>
      </c>
      <c r="K390" s="66">
        <f t="shared" si="373"/>
        <v>0.25641025641025639</v>
      </c>
      <c r="L390" s="66">
        <f t="shared" si="373"/>
        <v>0.25641025641025639</v>
      </c>
      <c r="M390" s="66">
        <f t="shared" si="373"/>
        <v>0.25641025641025639</v>
      </c>
      <c r="N390" s="66">
        <f t="shared" si="373"/>
        <v>0.25641025641025639</v>
      </c>
      <c r="O390" s="66">
        <f t="shared" si="373"/>
        <v>0.25641025641025639</v>
      </c>
      <c r="P390" s="66">
        <f t="shared" si="373"/>
        <v>0.25641025641025639</v>
      </c>
      <c r="Q390" s="66">
        <f t="shared" si="373"/>
        <v>0.25641025641025639</v>
      </c>
      <c r="R390" s="66">
        <f t="shared" si="373"/>
        <v>0.25641025641025639</v>
      </c>
      <c r="S390" s="66">
        <f t="shared" si="373"/>
        <v>0.25641025641025639</v>
      </c>
      <c r="T390" s="66">
        <f t="shared" si="373"/>
        <v>0.25641025641025639</v>
      </c>
      <c r="U390" s="66">
        <f t="shared" si="373"/>
        <v>0.25641025641025639</v>
      </c>
      <c r="V390" s="66">
        <f t="shared" si="373"/>
        <v>0.25641025641025639</v>
      </c>
      <c r="W390" s="66">
        <f t="shared" si="373"/>
        <v>0.25641025641025639</v>
      </c>
      <c r="X390" s="66">
        <f t="shared" si="373"/>
        <v>0.25641025641025639</v>
      </c>
      <c r="Y390" s="66">
        <f t="shared" si="373"/>
        <v>0.25641025641025639</v>
      </c>
      <c r="Z390" s="66">
        <f t="shared" si="373"/>
        <v>0.25641025641025639</v>
      </c>
      <c r="AA390" s="66">
        <f t="shared" si="373"/>
        <v>0.25641025641025639</v>
      </c>
      <c r="AB390" s="66">
        <f t="shared" si="373"/>
        <v>0.25641025641025639</v>
      </c>
      <c r="AC390" s="66">
        <f t="shared" si="373"/>
        <v>0.25641025641025639</v>
      </c>
    </row>
    <row r="391" spans="1:29" x14ac:dyDescent="0.3">
      <c r="A391" s="30" t="str">
        <f t="shared" si="367"/>
        <v>Opex var (mode-fees)</v>
      </c>
      <c r="B391" s="66">
        <f>B361*B370/B370</f>
        <v>0.11</v>
      </c>
      <c r="C391" s="66">
        <f t="shared" ref="C391:AC391" si="374">C361*C370/C370</f>
        <v>0.11</v>
      </c>
      <c r="D391" s="66">
        <f t="shared" si="374"/>
        <v>0.11</v>
      </c>
      <c r="E391" s="66">
        <f t="shared" si="374"/>
        <v>0.11</v>
      </c>
      <c r="F391" s="66">
        <f t="shared" si="374"/>
        <v>0.11</v>
      </c>
      <c r="G391" s="66">
        <f t="shared" si="374"/>
        <v>0.11</v>
      </c>
      <c r="H391" s="66">
        <f t="shared" si="374"/>
        <v>0.11</v>
      </c>
      <c r="I391" s="66">
        <f t="shared" si="374"/>
        <v>0.11</v>
      </c>
      <c r="J391" s="66">
        <f t="shared" si="374"/>
        <v>0.11</v>
      </c>
      <c r="K391" s="66">
        <f t="shared" si="374"/>
        <v>0.11</v>
      </c>
      <c r="L391" s="66">
        <f t="shared" si="374"/>
        <v>0.11</v>
      </c>
      <c r="M391" s="66">
        <f t="shared" si="374"/>
        <v>0.11</v>
      </c>
      <c r="N391" s="66">
        <f t="shared" si="374"/>
        <v>0.11</v>
      </c>
      <c r="O391" s="66">
        <f t="shared" si="374"/>
        <v>0.11</v>
      </c>
      <c r="P391" s="66">
        <f t="shared" si="374"/>
        <v>0.11</v>
      </c>
      <c r="Q391" s="66">
        <f t="shared" si="374"/>
        <v>0.11</v>
      </c>
      <c r="R391" s="66">
        <f t="shared" si="374"/>
        <v>0.11</v>
      </c>
      <c r="S391" s="66">
        <f t="shared" si="374"/>
        <v>0.11</v>
      </c>
      <c r="T391" s="66">
        <f t="shared" si="374"/>
        <v>0.11</v>
      </c>
      <c r="U391" s="66">
        <f t="shared" si="374"/>
        <v>0.11</v>
      </c>
      <c r="V391" s="66">
        <f t="shared" si="374"/>
        <v>0.11</v>
      </c>
      <c r="W391" s="66">
        <f t="shared" si="374"/>
        <v>0.11</v>
      </c>
      <c r="X391" s="66">
        <f t="shared" si="374"/>
        <v>0.11</v>
      </c>
      <c r="Y391" s="66">
        <f t="shared" si="374"/>
        <v>0.11</v>
      </c>
      <c r="Z391" s="66">
        <f t="shared" si="374"/>
        <v>0.11</v>
      </c>
      <c r="AA391" s="66">
        <f t="shared" si="374"/>
        <v>0.11</v>
      </c>
      <c r="AB391" s="66">
        <f t="shared" si="374"/>
        <v>0.11</v>
      </c>
      <c r="AC391" s="66">
        <f t="shared" si="374"/>
        <v>0.11</v>
      </c>
    </row>
    <row r="392" spans="1:29" x14ac:dyDescent="0.3">
      <c r="A392" s="30" t="str">
        <f t="shared" si="367"/>
        <v>Fuel Cost</v>
      </c>
      <c r="B392" s="66">
        <f>B362*B363*B370/B370</f>
        <v>0.28933989307874186</v>
      </c>
      <c r="C392" s="66">
        <f t="shared" ref="C392:AC392" si="375">C362*C363*C370/C370</f>
        <v>0.28905725488142914</v>
      </c>
      <c r="D392" s="66">
        <f t="shared" si="375"/>
        <v>0.28865594915793602</v>
      </c>
      <c r="E392" s="66">
        <f t="shared" si="375"/>
        <v>0.28808874208079643</v>
      </c>
      <c r="F392" s="66">
        <f t="shared" si="375"/>
        <v>0.28729239357775571</v>
      </c>
      <c r="G392" s="66">
        <f t="shared" si="375"/>
        <v>0.28618518007507071</v>
      </c>
      <c r="H392" s="66">
        <f t="shared" si="375"/>
        <v>0.28466723178382919</v>
      </c>
      <c r="I392" s="66">
        <f t="shared" si="375"/>
        <v>0.28262727193716353</v>
      </c>
      <c r="J392" s="66">
        <f t="shared" si="375"/>
        <v>0.27996065032631196</v>
      </c>
      <c r="K392" s="66">
        <f t="shared" si="375"/>
        <v>0.27660249112499669</v>
      </c>
      <c r="L392" s="66">
        <f t="shared" si="375"/>
        <v>0.27257279647939331</v>
      </c>
      <c r="M392" s="66">
        <f t="shared" si="375"/>
        <v>0.26801612394042479</v>
      </c>
      <c r="N392" s="66">
        <f t="shared" si="375"/>
        <v>0.26320566343659263</v>
      </c>
      <c r="O392" s="66">
        <f t="shared" si="375"/>
        <v>0.25848986379776195</v>
      </c>
      <c r="P392" s="66">
        <f t="shared" si="375"/>
        <v>0.2541969743186156</v>
      </c>
      <c r="Q392" s="66">
        <f t="shared" si="375"/>
        <v>0.25054862958055885</v>
      </c>
      <c r="R392" s="66">
        <f t="shared" si="375"/>
        <v>0.24762695882689909</v>
      </c>
      <c r="S392" s="66">
        <f t="shared" si="375"/>
        <v>0.24539759436885497</v>
      </c>
      <c r="T392" s="66">
        <f t="shared" si="375"/>
        <v>0.2437588326969046</v>
      </c>
      <c r="U392" s="66">
        <f t="shared" si="375"/>
        <v>0.24258714180887514</v>
      </c>
      <c r="V392" s="66">
        <f t="shared" si="375"/>
        <v>0.24176595953126731</v>
      </c>
      <c r="W392" s="66">
        <f t="shared" si="375"/>
        <v>0.24119847210363285</v>
      </c>
      <c r="X392" s="66">
        <f t="shared" si="375"/>
        <v>0.24081011217791951</v>
      </c>
      <c r="Y392" s="66">
        <f t="shared" si="375"/>
        <v>0.24054611202820542</v>
      </c>
      <c r="Z392" s="66">
        <f t="shared" si="375"/>
        <v>0.24036746606453044</v>
      </c>
      <c r="AA392" s="66">
        <f t="shared" si="375"/>
        <v>0.24024695131092527</v>
      </c>
      <c r="AB392" s="66">
        <f t="shared" si="375"/>
        <v>0.24016582137746478</v>
      </c>
      <c r="AC392" s="66">
        <f t="shared" si="375"/>
        <v>0.24011128181073338</v>
      </c>
    </row>
    <row r="393" spans="1:29" ht="15" thickBot="1" x14ac:dyDescent="0.35">
      <c r="A393" s="59" t="str">
        <f>A344</f>
        <v>Emission Cost</v>
      </c>
      <c r="B393" s="66">
        <f>B364</f>
        <v>7.7639122778339092E-2</v>
      </c>
      <c r="C393" s="66">
        <f t="shared" ref="C393:AC393" si="376">C364</f>
        <v>7.777844914537467E-2</v>
      </c>
      <c r="D393" s="66">
        <f t="shared" si="376"/>
        <v>7.7977891736541474E-2</v>
      </c>
      <c r="E393" s="66">
        <f t="shared" si="376"/>
        <v>7.8263208388635597E-2</v>
      </c>
      <c r="F393" s="66">
        <f t="shared" si="376"/>
        <v>7.8670988842723152E-2</v>
      </c>
      <c r="G393" s="66">
        <f t="shared" si="376"/>
        <v>7.925297967571665E-2</v>
      </c>
      <c r="H393" s="66">
        <f t="shared" si="376"/>
        <v>8.0081877399879431E-2</v>
      </c>
      <c r="I393" s="66">
        <f t="shared" si="376"/>
        <v>8.1258793344219593E-2</v>
      </c>
      <c r="J393" s="66">
        <f t="shared" si="376"/>
        <v>8.2922250937142977E-2</v>
      </c>
      <c r="K393" s="66">
        <f t="shared" si="376"/>
        <v>8.5257715386346467E-2</v>
      </c>
      <c r="L393" s="66">
        <f t="shared" si="376"/>
        <v>8.8504858770587308E-2</v>
      </c>
      <c r="M393" s="66">
        <f t="shared" si="376"/>
        <v>9.2956570874505887E-2</v>
      </c>
      <c r="N393" s="66">
        <f t="shared" si="376"/>
        <v>9.8939194915988959E-2</v>
      </c>
      <c r="O393" s="66">
        <f t="shared" si="376"/>
        <v>0.10675964029617348</v>
      </c>
      <c r="P393" s="66">
        <f t="shared" si="376"/>
        <v>0.11660816942568256</v>
      </c>
      <c r="Q393" s="66">
        <f t="shared" si="376"/>
        <v>0.12842612167902054</v>
      </c>
      <c r="R393" s="66">
        <f t="shared" si="376"/>
        <v>0.14178955073148763</v>
      </c>
      <c r="S393" s="66">
        <f t="shared" si="376"/>
        <v>0.15589726795340736</v>
      </c>
      <c r="T393" s="66">
        <f t="shared" si="376"/>
        <v>0.16972737168814467</v>
      </c>
      <c r="U393" s="66">
        <f t="shared" si="376"/>
        <v>0.18231719979056973</v>
      </c>
      <c r="V393" s="66">
        <f t="shared" si="376"/>
        <v>0.19301676085163266</v>
      </c>
      <c r="W393" s="66">
        <f t="shared" si="376"/>
        <v>0.20158519307872402</v>
      </c>
      <c r="X393" s="66">
        <f t="shared" si="376"/>
        <v>0.20812328716215528</v>
      </c>
      <c r="Y393" s="66">
        <f t="shared" si="376"/>
        <v>0.21292931066938076</v>
      </c>
      <c r="Z393" s="66">
        <f t="shared" si="376"/>
        <v>0.21636554794991802</v>
      </c>
      <c r="AA393" s="66">
        <f t="shared" si="376"/>
        <v>0.21877384282125395</v>
      </c>
      <c r="AB393" s="66">
        <f t="shared" si="376"/>
        <v>0.22043812260271833</v>
      </c>
      <c r="AC393" s="66">
        <f t="shared" si="376"/>
        <v>0.22157707219141698</v>
      </c>
    </row>
    <row r="394" spans="1:29" ht="15" thickBot="1" x14ac:dyDescent="0.35">
      <c r="A394" s="31" t="s">
        <v>63</v>
      </c>
      <c r="B394" s="76">
        <f>B385+B386+B387-B388+B389+B390+B391+B392+B393</f>
        <v>1.8810222562657786</v>
      </c>
      <c r="C394" s="76">
        <f t="shared" ref="C394:AC394" si="377">C385+C386+C387-C388+C389+C390+C391+C392+C393</f>
        <v>1.8811006837334809</v>
      </c>
      <c r="D394" s="76">
        <f t="shared" si="377"/>
        <v>1.8812136586175605</v>
      </c>
      <c r="E394" s="76">
        <f t="shared" si="377"/>
        <v>1.8813767614747035</v>
      </c>
      <c r="F394" s="76">
        <f t="shared" si="377"/>
        <v>1.8816129559655983</v>
      </c>
      <c r="G394" s="76">
        <f t="shared" si="377"/>
        <v>1.8819563800221208</v>
      </c>
      <c r="H394" s="76">
        <f t="shared" si="377"/>
        <v>1.8824582116205431</v>
      </c>
      <c r="I394" s="76">
        <f t="shared" si="377"/>
        <v>1.8831955857388767</v>
      </c>
      <c r="J394" s="76">
        <f t="shared" si="377"/>
        <v>1.8842844772519733</v>
      </c>
      <c r="K394" s="76">
        <f t="shared" si="377"/>
        <v>1.8858963728379077</v>
      </c>
      <c r="L394" s="76">
        <f t="shared" si="377"/>
        <v>1.8882752543562729</v>
      </c>
      <c r="M394" s="76">
        <f t="shared" si="377"/>
        <v>1.8917451588174745</v>
      </c>
      <c r="N394" s="76">
        <f t="shared" si="377"/>
        <v>1.8966912925587966</v>
      </c>
      <c r="O394" s="76">
        <f t="shared" si="377"/>
        <v>1.9034956438292268</v>
      </c>
      <c r="P394" s="76">
        <f t="shared" si="377"/>
        <v>1.9124192015757979</v>
      </c>
      <c r="Q394" s="76">
        <f t="shared" si="377"/>
        <v>1.9234510598720964</v>
      </c>
      <c r="R394" s="76">
        <f t="shared" si="377"/>
        <v>1.9361849684464265</v>
      </c>
      <c r="S394" s="76">
        <f t="shared" si="377"/>
        <v>1.9498123336034148</v>
      </c>
      <c r="T394" s="76">
        <f t="shared" si="377"/>
        <v>1.9632893400461366</v>
      </c>
      <c r="U394" s="76">
        <f t="shared" si="377"/>
        <v>1.9756267086929102</v>
      </c>
      <c r="V394" s="76">
        <f t="shared" si="377"/>
        <v>1.9861493329586857</v>
      </c>
      <c r="W394" s="76">
        <f t="shared" si="377"/>
        <v>1.9945954909848482</v>
      </c>
      <c r="X394" s="76">
        <f t="shared" si="377"/>
        <v>2.0010499067394267</v>
      </c>
      <c r="Y394" s="76">
        <f t="shared" si="377"/>
        <v>2.0057990472113998</v>
      </c>
      <c r="Z394" s="76">
        <f t="shared" si="377"/>
        <v>2.0091967923749423</v>
      </c>
      <c r="AA394" s="76">
        <f t="shared" si="377"/>
        <v>2.011579120423967</v>
      </c>
      <c r="AB394" s="76">
        <f t="shared" si="377"/>
        <v>2.0132259194696438</v>
      </c>
      <c r="AC394" s="76">
        <f t="shared" si="377"/>
        <v>2.0143531176403968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378">A373</f>
        <v>Capex vehicle</v>
      </c>
      <c r="B397" s="65">
        <f>((1+B358)^B365)*B358/(((1+B358)^B365)-1)*(B354)/B370/(B367)</f>
        <v>8.6820688031365185E-3</v>
      </c>
      <c r="C397" s="65">
        <f t="shared" ref="C397:AC397" si="379">((1+C358)^C365)*C358/(((1+C358)^C365)-1)*(C354)/C370/(C367)</f>
        <v>8.6867369988834556E-3</v>
      </c>
      <c r="D397" s="65">
        <f t="shared" si="379"/>
        <v>8.6933651676498955E-3</v>
      </c>
      <c r="E397" s="65">
        <f t="shared" si="379"/>
        <v>8.7027334472749088E-3</v>
      </c>
      <c r="F397" s="65">
        <f t="shared" si="379"/>
        <v>8.7158863428506619E-3</v>
      </c>
      <c r="G397" s="65">
        <f t="shared" si="379"/>
        <v>8.734173642349902E-3</v>
      </c>
      <c r="H397" s="65">
        <f t="shared" si="379"/>
        <v>8.7592448458341295E-3</v>
      </c>
      <c r="I397" s="65">
        <f t="shared" si="379"/>
        <v>8.7929378567953732E-3</v>
      </c>
      <c r="J397" s="65">
        <f t="shared" si="379"/>
        <v>8.8369811311327425E-3</v>
      </c>
      <c r="K397" s="65">
        <f t="shared" si="379"/>
        <v>8.8924461908810801E-3</v>
      </c>
      <c r="L397" s="65">
        <f t="shared" si="379"/>
        <v>8.9590026704542969E-3</v>
      </c>
      <c r="M397" s="65">
        <f t="shared" si="379"/>
        <v>9.034262984059592E-3</v>
      </c>
      <c r="N397" s="65">
        <f t="shared" si="379"/>
        <v>9.1137149883474076E-3</v>
      </c>
      <c r="O397" s="65">
        <f t="shared" si="379"/>
        <v>9.1916035258016466E-3</v>
      </c>
      <c r="P397" s="65">
        <f t="shared" si="379"/>
        <v>9.2625070646691916E-3</v>
      </c>
      <c r="Q397" s="65">
        <f t="shared" si="379"/>
        <v>9.3227649758485034E-3</v>
      </c>
      <c r="R397" s="65">
        <f t="shared" si="379"/>
        <v>9.3710207711226665E-3</v>
      </c>
      <c r="S397" s="65">
        <f t="shared" si="379"/>
        <v>9.407842084661883E-3</v>
      </c>
      <c r="T397" s="65">
        <f t="shared" si="379"/>
        <v>9.4349087031868235E-3</v>
      </c>
      <c r="U397" s="65">
        <f t="shared" si="379"/>
        <v>9.4542609438684685E-3</v>
      </c>
      <c r="V397" s="65">
        <f t="shared" si="379"/>
        <v>9.4678240066541613E-3</v>
      </c>
      <c r="W397" s="65">
        <f t="shared" si="379"/>
        <v>9.4771969166900644E-3</v>
      </c>
      <c r="X397" s="65">
        <f t="shared" si="379"/>
        <v>9.4836112660976555E-3</v>
      </c>
      <c r="Y397" s="65">
        <f t="shared" si="379"/>
        <v>9.4879716264021155E-3</v>
      </c>
      <c r="Z397" s="65">
        <f t="shared" si="379"/>
        <v>9.4909222337006462E-3</v>
      </c>
      <c r="AA397" s="65">
        <f t="shared" si="379"/>
        <v>9.4929127164647305E-3</v>
      </c>
      <c r="AB397" s="65">
        <f t="shared" si="379"/>
        <v>9.4942526995736316E-3</v>
      </c>
      <c r="AC397" s="65">
        <f t="shared" si="379"/>
        <v>9.4951535027059594E-3</v>
      </c>
    </row>
    <row r="398" spans="1:29" x14ac:dyDescent="0.3">
      <c r="A398" s="30" t="str">
        <f t="shared" si="378"/>
        <v>Residual value (vehicle)</v>
      </c>
      <c r="B398" s="68">
        <f>((1+B358)^B365)*B358/(((1+B358)^B365)-1)*(B355)/B370/(B367)</f>
        <v>-2.157979141157426E-3</v>
      </c>
      <c r="C398" s="68">
        <f t="shared" ref="C398:AC398" si="380">((1+C358)^C365)*C358/(((1+C358)^C365)-1)*(C355)/C370/(C367)</f>
        <v>-2.1537777649851837E-3</v>
      </c>
      <c r="D398" s="68">
        <f t="shared" si="380"/>
        <v>-2.1478124130953867E-3</v>
      </c>
      <c r="E398" s="68">
        <f t="shared" si="380"/>
        <v>-2.1393809614328753E-3</v>
      </c>
      <c r="F398" s="68">
        <f t="shared" si="380"/>
        <v>-2.1275433554146985E-3</v>
      </c>
      <c r="G398" s="68">
        <f t="shared" si="380"/>
        <v>-2.1110847858653806E-3</v>
      </c>
      <c r="H398" s="68">
        <f t="shared" si="380"/>
        <v>-2.088520702729578E-3</v>
      </c>
      <c r="I398" s="68">
        <f t="shared" si="380"/>
        <v>-2.0581969928644569E-3</v>
      </c>
      <c r="J398" s="68">
        <f t="shared" si="380"/>
        <v>-2.0185580459608247E-3</v>
      </c>
      <c r="K398" s="68">
        <f t="shared" si="380"/>
        <v>-1.9686394921873212E-3</v>
      </c>
      <c r="L398" s="68">
        <f t="shared" si="380"/>
        <v>-1.9087386605714267E-3</v>
      </c>
      <c r="M398" s="68">
        <f t="shared" si="380"/>
        <v>-1.8410043783266593E-3</v>
      </c>
      <c r="N398" s="68">
        <f t="shared" si="380"/>
        <v>-1.7694975744676259E-3</v>
      </c>
      <c r="O398" s="68">
        <f t="shared" si="380"/>
        <v>-1.6993978907588125E-3</v>
      </c>
      <c r="P398" s="68">
        <f t="shared" si="380"/>
        <v>-1.6355847057780216E-3</v>
      </c>
      <c r="Q398" s="68">
        <f t="shared" si="380"/>
        <v>-1.5813525857166393E-3</v>
      </c>
      <c r="R398" s="68">
        <f t="shared" si="380"/>
        <v>-1.5379223699698943E-3</v>
      </c>
      <c r="S398" s="68">
        <f t="shared" si="380"/>
        <v>-1.5047831877845991E-3</v>
      </c>
      <c r="T398" s="68">
        <f t="shared" si="380"/>
        <v>-1.4804232311121537E-3</v>
      </c>
      <c r="U398" s="68">
        <f t="shared" si="380"/>
        <v>-1.4630062144986723E-3</v>
      </c>
      <c r="V398" s="68">
        <f t="shared" si="380"/>
        <v>-1.4507994579915479E-3</v>
      </c>
      <c r="W398" s="68">
        <f t="shared" si="380"/>
        <v>-1.4423638389592342E-3</v>
      </c>
      <c r="X398" s="68">
        <f t="shared" si="380"/>
        <v>-1.4365909244924019E-3</v>
      </c>
      <c r="Y398" s="68">
        <f t="shared" si="380"/>
        <v>-1.4326666002183906E-3</v>
      </c>
      <c r="Z398" s="68">
        <f t="shared" si="380"/>
        <v>-1.4300110536497122E-3</v>
      </c>
      <c r="AA398" s="68">
        <f t="shared" si="380"/>
        <v>-1.4282196191620375E-3</v>
      </c>
      <c r="AB398" s="68">
        <f t="shared" si="380"/>
        <v>-1.4270136343640255E-3</v>
      </c>
      <c r="AC398" s="68">
        <f t="shared" si="380"/>
        <v>-1.4262029115449293E-3</v>
      </c>
    </row>
    <row r="399" spans="1:29" x14ac:dyDescent="0.3">
      <c r="A399" s="30" t="str">
        <f t="shared" si="378"/>
        <v>Capex costumization</v>
      </c>
      <c r="B399" s="66">
        <f>((1+B358)^B366)*B358/(((1+B358)^B366)-1)*(B356)/B370/(B367)</f>
        <v>2.7870350404181278E-3</v>
      </c>
      <c r="C399" s="66">
        <f t="shared" ref="C399:AC399" si="381">((1+C358)^C366)*C358/(((1+C358)^C366)-1)*(C356)/C370/(C367)</f>
        <v>2.7870350404181278E-3</v>
      </c>
      <c r="D399" s="66">
        <f t="shared" si="381"/>
        <v>2.7870350404181278E-3</v>
      </c>
      <c r="E399" s="66">
        <f t="shared" si="381"/>
        <v>2.7870350404181278E-3</v>
      </c>
      <c r="F399" s="66">
        <f t="shared" si="381"/>
        <v>2.7870350404181278E-3</v>
      </c>
      <c r="G399" s="66">
        <f t="shared" si="381"/>
        <v>2.7870350404181278E-3</v>
      </c>
      <c r="H399" s="66">
        <f t="shared" si="381"/>
        <v>2.7870350404181278E-3</v>
      </c>
      <c r="I399" s="66">
        <f t="shared" si="381"/>
        <v>2.7870350404181278E-3</v>
      </c>
      <c r="J399" s="66">
        <f t="shared" si="381"/>
        <v>2.7870350404181278E-3</v>
      </c>
      <c r="K399" s="66">
        <f t="shared" si="381"/>
        <v>2.7870350404181278E-3</v>
      </c>
      <c r="L399" s="66">
        <f t="shared" si="381"/>
        <v>2.7870350404181278E-3</v>
      </c>
      <c r="M399" s="66">
        <f t="shared" si="381"/>
        <v>2.7870350404181278E-3</v>
      </c>
      <c r="N399" s="66">
        <f t="shared" si="381"/>
        <v>2.7870350404181278E-3</v>
      </c>
      <c r="O399" s="66">
        <f t="shared" si="381"/>
        <v>2.7870350404181278E-3</v>
      </c>
      <c r="P399" s="66">
        <f t="shared" si="381"/>
        <v>2.7870350404181278E-3</v>
      </c>
      <c r="Q399" s="66">
        <f t="shared" si="381"/>
        <v>2.7870350404181278E-3</v>
      </c>
      <c r="R399" s="66">
        <f t="shared" si="381"/>
        <v>2.7870350404181278E-3</v>
      </c>
      <c r="S399" s="66">
        <f t="shared" si="381"/>
        <v>2.7870350404181278E-3</v>
      </c>
      <c r="T399" s="66">
        <f t="shared" si="381"/>
        <v>2.7870350404181278E-3</v>
      </c>
      <c r="U399" s="66">
        <f t="shared" si="381"/>
        <v>2.7870350404181278E-3</v>
      </c>
      <c r="V399" s="66">
        <f t="shared" si="381"/>
        <v>2.7870350404181278E-3</v>
      </c>
      <c r="W399" s="66">
        <f t="shared" si="381"/>
        <v>2.7870350404181278E-3</v>
      </c>
      <c r="X399" s="66">
        <f t="shared" si="381"/>
        <v>2.7870350404181278E-3</v>
      </c>
      <c r="Y399" s="66">
        <f t="shared" si="381"/>
        <v>2.7870350404181278E-3</v>
      </c>
      <c r="Z399" s="66">
        <f t="shared" si="381"/>
        <v>2.7870350404181278E-3</v>
      </c>
      <c r="AA399" s="66">
        <f t="shared" si="381"/>
        <v>2.7870350404181278E-3</v>
      </c>
      <c r="AB399" s="66">
        <f t="shared" si="381"/>
        <v>2.7870350404181278E-3</v>
      </c>
      <c r="AC399" s="66">
        <f t="shared" si="381"/>
        <v>2.7870350404181278E-3</v>
      </c>
    </row>
    <row r="400" spans="1:29" x14ac:dyDescent="0.3">
      <c r="A400" s="30" t="str">
        <f t="shared" si="378"/>
        <v>Residual value (costumization)</v>
      </c>
      <c r="B400" s="69">
        <f>((1+B358)^B366)*B358/(((1+B358)^B366)-1)*(B357)/B370/(B367)</f>
        <v>-6.9675876010453195E-4</v>
      </c>
      <c r="C400" s="69">
        <f t="shared" ref="C400:AC400" si="382">((1+C358)^C366)*C358/(((1+C358)^C366)-1)*(C357)/C370/(C367)</f>
        <v>-6.9675876010453195E-4</v>
      </c>
      <c r="D400" s="69">
        <f t="shared" si="382"/>
        <v>-6.9675876010453195E-4</v>
      </c>
      <c r="E400" s="69">
        <f t="shared" si="382"/>
        <v>-6.9675876010453195E-4</v>
      </c>
      <c r="F400" s="69">
        <f t="shared" si="382"/>
        <v>-6.9675876010453195E-4</v>
      </c>
      <c r="G400" s="69">
        <f t="shared" si="382"/>
        <v>-6.9675876010453195E-4</v>
      </c>
      <c r="H400" s="69">
        <f t="shared" si="382"/>
        <v>-6.9675876010453195E-4</v>
      </c>
      <c r="I400" s="69">
        <f t="shared" si="382"/>
        <v>-6.9675876010453195E-4</v>
      </c>
      <c r="J400" s="69">
        <f t="shared" si="382"/>
        <v>-6.9675876010453195E-4</v>
      </c>
      <c r="K400" s="69">
        <f t="shared" si="382"/>
        <v>-6.9675876010453195E-4</v>
      </c>
      <c r="L400" s="69">
        <f t="shared" si="382"/>
        <v>-6.9675876010453195E-4</v>
      </c>
      <c r="M400" s="69">
        <f t="shared" si="382"/>
        <v>-6.9675876010453195E-4</v>
      </c>
      <c r="N400" s="69">
        <f t="shared" si="382"/>
        <v>-6.9675876010453195E-4</v>
      </c>
      <c r="O400" s="69">
        <f t="shared" si="382"/>
        <v>-6.9675876010453195E-4</v>
      </c>
      <c r="P400" s="69">
        <f t="shared" si="382"/>
        <v>-6.9675876010453195E-4</v>
      </c>
      <c r="Q400" s="69">
        <f t="shared" si="382"/>
        <v>-6.9675876010453195E-4</v>
      </c>
      <c r="R400" s="69">
        <f t="shared" si="382"/>
        <v>-6.9675876010453195E-4</v>
      </c>
      <c r="S400" s="69">
        <f t="shared" si="382"/>
        <v>-6.9675876010453195E-4</v>
      </c>
      <c r="T400" s="69">
        <f t="shared" si="382"/>
        <v>-6.9675876010453195E-4</v>
      </c>
      <c r="U400" s="69">
        <f t="shared" si="382"/>
        <v>-6.9675876010453195E-4</v>
      </c>
      <c r="V400" s="69">
        <f t="shared" si="382"/>
        <v>-6.9675876010453195E-4</v>
      </c>
      <c r="W400" s="69">
        <f t="shared" si="382"/>
        <v>-6.9675876010453195E-4</v>
      </c>
      <c r="X400" s="69">
        <f t="shared" si="382"/>
        <v>-6.9675876010453195E-4</v>
      </c>
      <c r="Y400" s="69">
        <f t="shared" si="382"/>
        <v>-6.9675876010453195E-4</v>
      </c>
      <c r="Z400" s="69">
        <f t="shared" si="382"/>
        <v>-6.9675876010453195E-4</v>
      </c>
      <c r="AA400" s="69">
        <f t="shared" si="382"/>
        <v>-6.9675876010453195E-4</v>
      </c>
      <c r="AB400" s="69">
        <f t="shared" si="382"/>
        <v>-6.9675876010453195E-4</v>
      </c>
      <c r="AC400" s="69">
        <f t="shared" si="382"/>
        <v>-6.9675876010453195E-4</v>
      </c>
    </row>
    <row r="401" spans="1:29" x14ac:dyDescent="0.3">
      <c r="A401" s="30" t="str">
        <f t="shared" si="378"/>
        <v>Opex fix (admin, crew, insurance)</v>
      </c>
      <c r="B401" s="66">
        <f>B359/B370/(B367)</f>
        <v>3.5897435897435902E-2</v>
      </c>
      <c r="C401" s="66">
        <f t="shared" ref="C401:AC401" si="383">C359/C370/(C367)</f>
        <v>3.5897435897435902E-2</v>
      </c>
      <c r="D401" s="66">
        <f t="shared" si="383"/>
        <v>3.5897435897435902E-2</v>
      </c>
      <c r="E401" s="66">
        <f t="shared" si="383"/>
        <v>3.5897435897435902E-2</v>
      </c>
      <c r="F401" s="66">
        <f t="shared" si="383"/>
        <v>3.5897435897435902E-2</v>
      </c>
      <c r="G401" s="66">
        <f t="shared" si="383"/>
        <v>3.5897435897435902E-2</v>
      </c>
      <c r="H401" s="66">
        <f t="shared" si="383"/>
        <v>3.5897435897435902E-2</v>
      </c>
      <c r="I401" s="66">
        <f t="shared" si="383"/>
        <v>3.5897435897435902E-2</v>
      </c>
      <c r="J401" s="66">
        <f t="shared" si="383"/>
        <v>3.5897435897435902E-2</v>
      </c>
      <c r="K401" s="66">
        <f t="shared" si="383"/>
        <v>3.5897435897435902E-2</v>
      </c>
      <c r="L401" s="66">
        <f t="shared" si="383"/>
        <v>3.5897435897435902E-2</v>
      </c>
      <c r="M401" s="66">
        <f t="shared" si="383"/>
        <v>3.5897435897435902E-2</v>
      </c>
      <c r="N401" s="66">
        <f t="shared" si="383"/>
        <v>3.5897435897435902E-2</v>
      </c>
      <c r="O401" s="66">
        <f t="shared" si="383"/>
        <v>3.5897435897435902E-2</v>
      </c>
      <c r="P401" s="66">
        <f t="shared" si="383"/>
        <v>3.5897435897435902E-2</v>
      </c>
      <c r="Q401" s="66">
        <f t="shared" si="383"/>
        <v>3.5897435897435902E-2</v>
      </c>
      <c r="R401" s="66">
        <f t="shared" si="383"/>
        <v>3.5897435897435902E-2</v>
      </c>
      <c r="S401" s="66">
        <f t="shared" si="383"/>
        <v>3.5897435897435902E-2</v>
      </c>
      <c r="T401" s="66">
        <f t="shared" si="383"/>
        <v>3.5897435897435902E-2</v>
      </c>
      <c r="U401" s="66">
        <f t="shared" si="383"/>
        <v>3.5897435897435902E-2</v>
      </c>
      <c r="V401" s="66">
        <f t="shared" si="383"/>
        <v>3.5897435897435902E-2</v>
      </c>
      <c r="W401" s="66">
        <f t="shared" si="383"/>
        <v>3.5897435897435902E-2</v>
      </c>
      <c r="X401" s="66">
        <f t="shared" si="383"/>
        <v>3.5897435897435902E-2</v>
      </c>
      <c r="Y401" s="66">
        <f t="shared" si="383"/>
        <v>3.5897435897435902E-2</v>
      </c>
      <c r="Z401" s="66">
        <f t="shared" si="383"/>
        <v>3.5897435897435902E-2</v>
      </c>
      <c r="AA401" s="66">
        <f t="shared" si="383"/>
        <v>3.5897435897435902E-2</v>
      </c>
      <c r="AB401" s="66">
        <f t="shared" si="383"/>
        <v>3.5897435897435902E-2</v>
      </c>
      <c r="AC401" s="66">
        <f t="shared" si="383"/>
        <v>3.5897435897435902E-2</v>
      </c>
    </row>
    <row r="402" spans="1:29" x14ac:dyDescent="0.3">
      <c r="A402" s="30" t="str">
        <f t="shared" si="378"/>
        <v>Opex maintenance &amp; repair</v>
      </c>
      <c r="B402" s="66">
        <f>B360/B370/(B367)</f>
        <v>1.0256410256410255E-2</v>
      </c>
      <c r="C402" s="66">
        <f t="shared" ref="C402:AC402" si="384">C360/C370/(C367)</f>
        <v>1.0256410256410255E-2</v>
      </c>
      <c r="D402" s="66">
        <f t="shared" si="384"/>
        <v>1.0256410256410255E-2</v>
      </c>
      <c r="E402" s="66">
        <f t="shared" si="384"/>
        <v>1.0256410256410255E-2</v>
      </c>
      <c r="F402" s="66">
        <f t="shared" si="384"/>
        <v>1.0256410256410255E-2</v>
      </c>
      <c r="G402" s="66">
        <f t="shared" si="384"/>
        <v>1.0256410256410255E-2</v>
      </c>
      <c r="H402" s="66">
        <f t="shared" si="384"/>
        <v>1.0256410256410255E-2</v>
      </c>
      <c r="I402" s="66">
        <f t="shared" si="384"/>
        <v>1.0256410256410255E-2</v>
      </c>
      <c r="J402" s="66">
        <f t="shared" si="384"/>
        <v>1.0256410256410255E-2</v>
      </c>
      <c r="K402" s="66">
        <f t="shared" si="384"/>
        <v>1.0256410256410255E-2</v>
      </c>
      <c r="L402" s="66">
        <f t="shared" si="384"/>
        <v>1.0256410256410255E-2</v>
      </c>
      <c r="M402" s="66">
        <f t="shared" si="384"/>
        <v>1.0256410256410255E-2</v>
      </c>
      <c r="N402" s="66">
        <f t="shared" si="384"/>
        <v>1.0256410256410255E-2</v>
      </c>
      <c r="O402" s="66">
        <f t="shared" si="384"/>
        <v>1.0256410256410255E-2</v>
      </c>
      <c r="P402" s="66">
        <f t="shared" si="384"/>
        <v>1.0256410256410255E-2</v>
      </c>
      <c r="Q402" s="66">
        <f t="shared" si="384"/>
        <v>1.0256410256410255E-2</v>
      </c>
      <c r="R402" s="66">
        <f t="shared" si="384"/>
        <v>1.0256410256410255E-2</v>
      </c>
      <c r="S402" s="66">
        <f t="shared" si="384"/>
        <v>1.0256410256410255E-2</v>
      </c>
      <c r="T402" s="66">
        <f t="shared" si="384"/>
        <v>1.0256410256410255E-2</v>
      </c>
      <c r="U402" s="66">
        <f t="shared" si="384"/>
        <v>1.0256410256410255E-2</v>
      </c>
      <c r="V402" s="66">
        <f t="shared" si="384"/>
        <v>1.0256410256410255E-2</v>
      </c>
      <c r="W402" s="66">
        <f t="shared" si="384"/>
        <v>1.0256410256410255E-2</v>
      </c>
      <c r="X402" s="66">
        <f t="shared" si="384"/>
        <v>1.0256410256410255E-2</v>
      </c>
      <c r="Y402" s="66">
        <f t="shared" si="384"/>
        <v>1.0256410256410255E-2</v>
      </c>
      <c r="Z402" s="66">
        <f t="shared" si="384"/>
        <v>1.0256410256410255E-2</v>
      </c>
      <c r="AA402" s="66">
        <f t="shared" si="384"/>
        <v>1.0256410256410255E-2</v>
      </c>
      <c r="AB402" s="66">
        <f t="shared" si="384"/>
        <v>1.0256410256410255E-2</v>
      </c>
      <c r="AC402" s="66">
        <f t="shared" si="384"/>
        <v>1.0256410256410255E-2</v>
      </c>
    </row>
    <row r="403" spans="1:29" x14ac:dyDescent="0.3">
      <c r="A403" s="30" t="str">
        <f t="shared" si="378"/>
        <v>Opex var (mode-fees)</v>
      </c>
      <c r="B403" s="66">
        <f>B361*B370/B370/(B367)</f>
        <v>4.4000000000000003E-3</v>
      </c>
      <c r="C403" s="66">
        <f t="shared" ref="C403:AC403" si="385">C361*C370/C370/(C367)</f>
        <v>4.4000000000000003E-3</v>
      </c>
      <c r="D403" s="66">
        <f t="shared" si="385"/>
        <v>4.4000000000000003E-3</v>
      </c>
      <c r="E403" s="66">
        <f t="shared" si="385"/>
        <v>4.4000000000000003E-3</v>
      </c>
      <c r="F403" s="66">
        <f t="shared" si="385"/>
        <v>4.4000000000000003E-3</v>
      </c>
      <c r="G403" s="66">
        <f t="shared" si="385"/>
        <v>4.4000000000000003E-3</v>
      </c>
      <c r="H403" s="66">
        <f t="shared" si="385"/>
        <v>4.4000000000000003E-3</v>
      </c>
      <c r="I403" s="66">
        <f t="shared" si="385"/>
        <v>4.4000000000000003E-3</v>
      </c>
      <c r="J403" s="66">
        <f t="shared" si="385"/>
        <v>4.4000000000000003E-3</v>
      </c>
      <c r="K403" s="66">
        <f t="shared" si="385"/>
        <v>4.4000000000000003E-3</v>
      </c>
      <c r="L403" s="66">
        <f t="shared" si="385"/>
        <v>4.4000000000000003E-3</v>
      </c>
      <c r="M403" s="66">
        <f t="shared" si="385"/>
        <v>4.4000000000000003E-3</v>
      </c>
      <c r="N403" s="66">
        <f t="shared" si="385"/>
        <v>4.4000000000000003E-3</v>
      </c>
      <c r="O403" s="66">
        <f t="shared" si="385"/>
        <v>4.4000000000000003E-3</v>
      </c>
      <c r="P403" s="66">
        <f t="shared" si="385"/>
        <v>4.4000000000000003E-3</v>
      </c>
      <c r="Q403" s="66">
        <f t="shared" si="385"/>
        <v>4.4000000000000003E-3</v>
      </c>
      <c r="R403" s="66">
        <f t="shared" si="385"/>
        <v>4.4000000000000003E-3</v>
      </c>
      <c r="S403" s="66">
        <f t="shared" si="385"/>
        <v>4.4000000000000003E-3</v>
      </c>
      <c r="T403" s="66">
        <f t="shared" si="385"/>
        <v>4.4000000000000003E-3</v>
      </c>
      <c r="U403" s="66">
        <f t="shared" si="385"/>
        <v>4.4000000000000003E-3</v>
      </c>
      <c r="V403" s="66">
        <f t="shared" si="385"/>
        <v>4.4000000000000003E-3</v>
      </c>
      <c r="W403" s="66">
        <f t="shared" si="385"/>
        <v>4.4000000000000003E-3</v>
      </c>
      <c r="X403" s="66">
        <f t="shared" si="385"/>
        <v>4.4000000000000003E-3</v>
      </c>
      <c r="Y403" s="66">
        <f t="shared" si="385"/>
        <v>4.4000000000000003E-3</v>
      </c>
      <c r="Z403" s="66">
        <f t="shared" si="385"/>
        <v>4.4000000000000003E-3</v>
      </c>
      <c r="AA403" s="66">
        <f t="shared" si="385"/>
        <v>4.4000000000000003E-3</v>
      </c>
      <c r="AB403" s="66">
        <f t="shared" si="385"/>
        <v>4.4000000000000003E-3</v>
      </c>
      <c r="AC403" s="66">
        <f t="shared" si="385"/>
        <v>4.4000000000000003E-3</v>
      </c>
    </row>
    <row r="404" spans="1:29" x14ac:dyDescent="0.3">
      <c r="A404" s="30" t="str">
        <f t="shared" si="378"/>
        <v>Fuel Cost</v>
      </c>
      <c r="B404" s="66">
        <f>B362*B363*B370/B370/(B367)</f>
        <v>1.1573595723149675E-2</v>
      </c>
      <c r="C404" s="66">
        <f t="shared" ref="C404:AC404" si="386">C362*C363*C370/C370/(C367)</f>
        <v>1.1562290195257166E-2</v>
      </c>
      <c r="D404" s="66">
        <f t="shared" si="386"/>
        <v>1.154623796631744E-2</v>
      </c>
      <c r="E404" s="66">
        <f t="shared" si="386"/>
        <v>1.1523549683231857E-2</v>
      </c>
      <c r="F404" s="66">
        <f t="shared" si="386"/>
        <v>1.1491695743110229E-2</v>
      </c>
      <c r="G404" s="66">
        <f t="shared" si="386"/>
        <v>1.1447407203002828E-2</v>
      </c>
      <c r="H404" s="66">
        <f t="shared" si="386"/>
        <v>1.1386689271353168E-2</v>
      </c>
      <c r="I404" s="66">
        <f t="shared" si="386"/>
        <v>1.130509087748654E-2</v>
      </c>
      <c r="J404" s="66">
        <f t="shared" si="386"/>
        <v>1.1198426013052478E-2</v>
      </c>
      <c r="K404" s="66">
        <f t="shared" si="386"/>
        <v>1.1064099644999867E-2</v>
      </c>
      <c r="L404" s="66">
        <f t="shared" si="386"/>
        <v>1.0902911859175732E-2</v>
      </c>
      <c r="M404" s="66">
        <f t="shared" si="386"/>
        <v>1.0720644957616992E-2</v>
      </c>
      <c r="N404" s="66">
        <f t="shared" si="386"/>
        <v>1.0528226537463705E-2</v>
      </c>
      <c r="O404" s="66">
        <f t="shared" si="386"/>
        <v>1.0339594551910478E-2</v>
      </c>
      <c r="P404" s="66">
        <f t="shared" si="386"/>
        <v>1.0167878972744624E-2</v>
      </c>
      <c r="Q404" s="66">
        <f t="shared" si="386"/>
        <v>1.0021945183222353E-2</v>
      </c>
      <c r="R404" s="66">
        <f t="shared" si="386"/>
        <v>9.9050783530759638E-3</v>
      </c>
      <c r="S404" s="66">
        <f t="shared" si="386"/>
        <v>9.8159037747541991E-3</v>
      </c>
      <c r="T404" s="66">
        <f t="shared" si="386"/>
        <v>9.7503533078761844E-3</v>
      </c>
      <c r="U404" s="66">
        <f t="shared" si="386"/>
        <v>9.7034856723550063E-3</v>
      </c>
      <c r="V404" s="66">
        <f t="shared" si="386"/>
        <v>9.670638381250693E-3</v>
      </c>
      <c r="W404" s="66">
        <f t="shared" si="386"/>
        <v>9.6479388841453143E-3</v>
      </c>
      <c r="X404" s="66">
        <f t="shared" si="386"/>
        <v>9.6324044871167799E-3</v>
      </c>
      <c r="Y404" s="66">
        <f t="shared" si="386"/>
        <v>9.6218444811282163E-3</v>
      </c>
      <c r="Z404" s="66">
        <f t="shared" si="386"/>
        <v>9.6146986425812171E-3</v>
      </c>
      <c r="AA404" s="66">
        <f t="shared" si="386"/>
        <v>9.6098780524370101E-3</v>
      </c>
      <c r="AB404" s="66">
        <f t="shared" si="386"/>
        <v>9.6066328550985913E-3</v>
      </c>
      <c r="AC404" s="66">
        <f t="shared" si="386"/>
        <v>9.604451272429336E-3</v>
      </c>
    </row>
    <row r="405" spans="1:29" x14ac:dyDescent="0.3">
      <c r="A405" s="59" t="str">
        <f>A368</f>
        <v>Market failure (av. utilization)</v>
      </c>
      <c r="B405" s="66">
        <f t="shared" ref="B405:AC405" si="387">B394/B368-B394/B367</f>
        <v>8.8326262468132202E-2</v>
      </c>
      <c r="C405" s="66">
        <f t="shared" si="387"/>
        <v>8.832994514922432E-2</v>
      </c>
      <c r="D405" s="66">
        <f t="shared" si="387"/>
        <v>8.8335250056824591E-2</v>
      </c>
      <c r="E405" s="66">
        <f t="shared" si="387"/>
        <v>8.8342908799681735E-2</v>
      </c>
      <c r="F405" s="66">
        <f t="shared" si="387"/>
        <v>8.8353999671428096E-2</v>
      </c>
      <c r="G405" s="66">
        <f t="shared" si="387"/>
        <v>8.8370125670603941E-2</v>
      </c>
      <c r="H405" s="66">
        <f t="shared" si="387"/>
        <v>8.8393689936964628E-2</v>
      </c>
      <c r="I405" s="66">
        <f t="shared" si="387"/>
        <v>8.8428314460782032E-2</v>
      </c>
      <c r="J405" s="66">
        <f t="shared" si="387"/>
        <v>8.8479445018788322E-2</v>
      </c>
      <c r="K405" s="66">
        <f t="shared" si="387"/>
        <v>8.8555134028910451E-2</v>
      </c>
      <c r="L405" s="66">
        <f t="shared" si="387"/>
        <v>8.8666838030642389E-2</v>
      </c>
      <c r="M405" s="66">
        <f t="shared" si="387"/>
        <v>8.8829772674907492E-2</v>
      </c>
      <c r="N405" s="66">
        <f t="shared" si="387"/>
        <v>8.9062025911456552E-2</v>
      </c>
      <c r="O405" s="66">
        <f t="shared" si="387"/>
        <v>8.9381534579807159E-2</v>
      </c>
      <c r="P405" s="66">
        <f t="shared" si="387"/>
        <v>8.980055381312442E-2</v>
      </c>
      <c r="Q405" s="66">
        <f t="shared" si="387"/>
        <v>9.0318571507037565E-2</v>
      </c>
      <c r="R405" s="66">
        <f t="shared" si="387"/>
        <v>9.0916511561832197E-2</v>
      </c>
      <c r="S405" s="66">
        <f t="shared" si="387"/>
        <v>9.1556405230073398E-2</v>
      </c>
      <c r="T405" s="66">
        <f t="shared" si="387"/>
        <v>9.2189238576079455E-2</v>
      </c>
      <c r="U405" s="66">
        <f t="shared" si="387"/>
        <v>9.2768558495145342E-2</v>
      </c>
      <c r="V405" s="66">
        <f t="shared" si="387"/>
        <v>9.3262664330233933E-2</v>
      </c>
      <c r="W405" s="66">
        <f t="shared" si="387"/>
        <v>9.3659266533201557E-2</v>
      </c>
      <c r="X405" s="66">
        <f t="shared" si="387"/>
        <v>9.3962343446894817E-2</v>
      </c>
      <c r="Y405" s="66">
        <f t="shared" si="387"/>
        <v>9.4185346564709199E-2</v>
      </c>
      <c r="Z405" s="66">
        <f t="shared" si="387"/>
        <v>9.4344892859345122E-2</v>
      </c>
      <c r="AA405" s="66">
        <f t="shared" si="387"/>
        <v>9.4456758698168872E-2</v>
      </c>
      <c r="AB405" s="66">
        <f t="shared" si="387"/>
        <v>9.4534086653357191E-2</v>
      </c>
      <c r="AC405" s="66">
        <f t="shared" si="387"/>
        <v>9.4587015958766452E-2</v>
      </c>
    </row>
    <row r="406" spans="1:29" x14ac:dyDescent="0.3">
      <c r="A406" s="59" t="str">
        <f>A369</f>
        <v>Payload loss (fuel)</v>
      </c>
      <c r="B406" s="66">
        <f>B394/(B367-B369)-B394/B367</f>
        <v>0</v>
      </c>
      <c r="C406" s="66">
        <f t="shared" ref="C406:AC406" si="388">C394/(C367-C369)-C394/C367</f>
        <v>0</v>
      </c>
      <c r="D406" s="66">
        <f t="shared" si="388"/>
        <v>0</v>
      </c>
      <c r="E406" s="66">
        <f t="shared" si="388"/>
        <v>0</v>
      </c>
      <c r="F406" s="66">
        <f t="shared" si="388"/>
        <v>0</v>
      </c>
      <c r="G406" s="66">
        <f t="shared" si="388"/>
        <v>0</v>
      </c>
      <c r="H406" s="66">
        <f t="shared" si="388"/>
        <v>0</v>
      </c>
      <c r="I406" s="66">
        <f t="shared" si="388"/>
        <v>0</v>
      </c>
      <c r="J406" s="66">
        <f t="shared" si="388"/>
        <v>0</v>
      </c>
      <c r="K406" s="66">
        <f t="shared" si="388"/>
        <v>0</v>
      </c>
      <c r="L406" s="66">
        <f t="shared" si="388"/>
        <v>0</v>
      </c>
      <c r="M406" s="66">
        <f t="shared" si="388"/>
        <v>0</v>
      </c>
      <c r="N406" s="66">
        <f t="shared" si="388"/>
        <v>0</v>
      </c>
      <c r="O406" s="66">
        <f t="shared" si="388"/>
        <v>0</v>
      </c>
      <c r="P406" s="66">
        <f t="shared" si="388"/>
        <v>0</v>
      </c>
      <c r="Q406" s="66">
        <f t="shared" si="388"/>
        <v>0</v>
      </c>
      <c r="R406" s="66">
        <f t="shared" si="388"/>
        <v>0</v>
      </c>
      <c r="S406" s="66">
        <f t="shared" si="388"/>
        <v>0</v>
      </c>
      <c r="T406" s="66">
        <f t="shared" si="388"/>
        <v>0</v>
      </c>
      <c r="U406" s="66">
        <f t="shared" si="388"/>
        <v>0</v>
      </c>
      <c r="V406" s="66">
        <f t="shared" si="388"/>
        <v>0</v>
      </c>
      <c r="W406" s="66">
        <f t="shared" si="388"/>
        <v>0</v>
      </c>
      <c r="X406" s="66">
        <f t="shared" si="388"/>
        <v>0</v>
      </c>
      <c r="Y406" s="66">
        <f t="shared" si="388"/>
        <v>0</v>
      </c>
      <c r="Z406" s="66">
        <f t="shared" si="388"/>
        <v>0</v>
      </c>
      <c r="AA406" s="66">
        <f t="shared" si="388"/>
        <v>0</v>
      </c>
      <c r="AB406" s="66">
        <f t="shared" si="388"/>
        <v>0</v>
      </c>
      <c r="AC406" s="66">
        <f t="shared" si="388"/>
        <v>0</v>
      </c>
    </row>
    <row r="407" spans="1:29" ht="15" thickBot="1" x14ac:dyDescent="0.35">
      <c r="A407" s="59" t="str">
        <f>A344</f>
        <v>Emission Cost</v>
      </c>
      <c r="B407" s="68">
        <f>B364*B370/B370/(B367)</f>
        <v>3.1055649111335639E-3</v>
      </c>
      <c r="C407" s="68">
        <f t="shared" ref="C407:AC407" si="389">C364*C370/C370/(C367)</f>
        <v>3.1111379658149869E-3</v>
      </c>
      <c r="D407" s="68">
        <f t="shared" si="389"/>
        <v>3.1191156694616588E-3</v>
      </c>
      <c r="E407" s="68">
        <f t="shared" si="389"/>
        <v>3.130528335545424E-3</v>
      </c>
      <c r="F407" s="68">
        <f t="shared" si="389"/>
        <v>3.1468395537089262E-3</v>
      </c>
      <c r="G407" s="68">
        <f t="shared" si="389"/>
        <v>3.1701191870286659E-3</v>
      </c>
      <c r="H407" s="68">
        <f t="shared" si="389"/>
        <v>3.2032750959951773E-3</v>
      </c>
      <c r="I407" s="68">
        <f t="shared" si="389"/>
        <v>3.2503517337687839E-3</v>
      </c>
      <c r="J407" s="68">
        <f t="shared" si="389"/>
        <v>3.3168900374857192E-3</v>
      </c>
      <c r="K407" s="68">
        <f t="shared" si="389"/>
        <v>3.4103086154538588E-3</v>
      </c>
      <c r="L407" s="68">
        <f t="shared" si="389"/>
        <v>3.5401943508234922E-3</v>
      </c>
      <c r="M407" s="68">
        <f t="shared" si="389"/>
        <v>3.7182628349802355E-3</v>
      </c>
      <c r="N407" s="68">
        <f t="shared" si="389"/>
        <v>3.9575677966395585E-3</v>
      </c>
      <c r="O407" s="68">
        <f t="shared" si="389"/>
        <v>4.2703856118469392E-3</v>
      </c>
      <c r="P407" s="68">
        <f t="shared" si="389"/>
        <v>4.6643267770273026E-3</v>
      </c>
      <c r="Q407" s="68">
        <f t="shared" si="389"/>
        <v>5.1370448671608218E-3</v>
      </c>
      <c r="R407" s="68">
        <f t="shared" si="389"/>
        <v>5.6715820292595051E-3</v>
      </c>
      <c r="S407" s="68">
        <f t="shared" si="389"/>
        <v>6.2358907181362944E-3</v>
      </c>
      <c r="T407" s="68">
        <f t="shared" si="389"/>
        <v>6.7890948675257863E-3</v>
      </c>
      <c r="U407" s="68">
        <f t="shared" si="389"/>
        <v>7.292687991622789E-3</v>
      </c>
      <c r="V407" s="68">
        <f t="shared" si="389"/>
        <v>7.7206704340653069E-3</v>
      </c>
      <c r="W407" s="68">
        <f t="shared" si="389"/>
        <v>8.0634077231489607E-3</v>
      </c>
      <c r="X407" s="68">
        <f t="shared" si="389"/>
        <v>8.3249314864862114E-3</v>
      </c>
      <c r="Y407" s="68">
        <f t="shared" si="389"/>
        <v>8.5171724267752314E-3</v>
      </c>
      <c r="Z407" s="68">
        <f t="shared" si="389"/>
        <v>8.6546219179967215E-3</v>
      </c>
      <c r="AA407" s="68">
        <f t="shared" si="389"/>
        <v>8.7509537128501579E-3</v>
      </c>
      <c r="AB407" s="68">
        <f t="shared" si="389"/>
        <v>8.8175249041087325E-3</v>
      </c>
      <c r="AC407" s="68">
        <f t="shared" si="389"/>
        <v>8.8630828876566786E-3</v>
      </c>
    </row>
    <row r="408" spans="1:29" ht="15" thickBot="1" x14ac:dyDescent="0.35">
      <c r="A408" s="31" t="s">
        <v>210</v>
      </c>
      <c r="B408" s="67">
        <f>B397+B398+B399+B400+B401+B402+B403+B404+B405+B406+B407</f>
        <v>0.16217363519855427</v>
      </c>
      <c r="C408" s="67">
        <f t="shared" ref="C408:AC408" si="390">C397+C398+C399+C400+C401+C402+C403+C404+C405+C406+C407</f>
        <v>0.16218045497835451</v>
      </c>
      <c r="D408" s="67">
        <f t="shared" si="390"/>
        <v>0.16219027888131796</v>
      </c>
      <c r="E408" s="67">
        <f t="shared" si="390"/>
        <v>0.16220446173846079</v>
      </c>
      <c r="F408" s="67">
        <f t="shared" si="390"/>
        <v>0.16222500038984297</v>
      </c>
      <c r="G408" s="67">
        <f t="shared" si="390"/>
        <v>0.16225486335127973</v>
      </c>
      <c r="H408" s="67">
        <f t="shared" si="390"/>
        <v>0.1622985008815773</v>
      </c>
      <c r="I408" s="67">
        <f t="shared" si="390"/>
        <v>0.16236262037012802</v>
      </c>
      <c r="J408" s="67">
        <f t="shared" si="390"/>
        <v>0.1624573065886582</v>
      </c>
      <c r="K408" s="67">
        <f t="shared" si="390"/>
        <v>0.16259747142221767</v>
      </c>
      <c r="L408" s="67">
        <f t="shared" si="390"/>
        <v>0.16280433068468425</v>
      </c>
      <c r="M408" s="67">
        <f t="shared" si="390"/>
        <v>0.1631060615073974</v>
      </c>
      <c r="N408" s="67">
        <f t="shared" si="390"/>
        <v>0.16353616009359936</v>
      </c>
      <c r="O408" s="67">
        <f t="shared" si="390"/>
        <v>0.16412784281276716</v>
      </c>
      <c r="P408" s="67">
        <f t="shared" si="390"/>
        <v>0.16490380435594726</v>
      </c>
      <c r="Q408" s="67">
        <f t="shared" si="390"/>
        <v>0.16586309638171237</v>
      </c>
      <c r="R408" s="67">
        <f t="shared" si="390"/>
        <v>0.16697039277948017</v>
      </c>
      <c r="S408" s="67">
        <f t="shared" si="390"/>
        <v>0.16815538105400091</v>
      </c>
      <c r="T408" s="67">
        <f t="shared" si="390"/>
        <v>0.16932729465771587</v>
      </c>
      <c r="U408" s="67">
        <f t="shared" si="390"/>
        <v>0.17040010932265268</v>
      </c>
      <c r="V408" s="67">
        <f t="shared" si="390"/>
        <v>0.17131512012837227</v>
      </c>
      <c r="W408" s="67">
        <f t="shared" si="390"/>
        <v>0.17204956865238641</v>
      </c>
      <c r="X408" s="67">
        <f t="shared" si="390"/>
        <v>0.17261082219626284</v>
      </c>
      <c r="Y408" s="67">
        <f t="shared" si="390"/>
        <v>0.17302379093295614</v>
      </c>
      <c r="Z408" s="67">
        <f t="shared" si="390"/>
        <v>0.17331924703413376</v>
      </c>
      <c r="AA408" s="67">
        <f t="shared" si="390"/>
        <v>0.17352640599491848</v>
      </c>
      <c r="AB408" s="67">
        <f t="shared" si="390"/>
        <v>0.17366960591193387</v>
      </c>
      <c r="AC408" s="67">
        <f t="shared" si="390"/>
        <v>0.17376762314417327</v>
      </c>
    </row>
    <row r="410" spans="1:29" x14ac:dyDescent="0.3">
      <c r="B410" s="40"/>
    </row>
    <row r="429" spans="1:1" s="3" customFormat="1" ht="21" x14ac:dyDescent="0.4">
      <c r="A429" s="2" t="str">
        <f>'Parameter Input'!A59</f>
        <v>Road long-haul:  Neo bulk</v>
      </c>
    </row>
    <row r="430" spans="1:1" s="3" customFormat="1" ht="21" x14ac:dyDescent="0.4">
      <c r="A430" s="2" t="s">
        <v>11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Input'!L8</f>
        <v>105000</v>
      </c>
      <c r="C439" s="42">
        <f>'Parameter Input'!M8</f>
        <v>115000</v>
      </c>
      <c r="D439" s="1" t="s">
        <v>15</v>
      </c>
      <c r="L439" s="51">
        <f>'Parameter Input'!O8</f>
        <v>12</v>
      </c>
      <c r="M439" s="52">
        <v>0</v>
      </c>
      <c r="N439" s="52">
        <v>1</v>
      </c>
      <c r="O439" s="52">
        <f>'Parameter Input'!P8</f>
        <v>0.9</v>
      </c>
      <c r="P439" s="53">
        <f>'Parameter Input'!Q8</f>
        <v>0.4</v>
      </c>
      <c r="Q439" s="4">
        <f t="shared" ref="Q439:AR448" si="391">$N439+($M439-$N439)*((1/(1+EXP(-$P439*(Q$9-$L439)))^$O439))</f>
        <v>0.9867978615748374</v>
      </c>
      <c r="R439" s="4">
        <f t="shared" si="391"/>
        <v>0.98114509762858249</v>
      </c>
      <c r="S439" s="4">
        <f t="shared" si="391"/>
        <v>0.97311898315872036</v>
      </c>
      <c r="T439" s="4">
        <f t="shared" si="391"/>
        <v>0.96177484161592774</v>
      </c>
      <c r="U439" s="4">
        <f t="shared" si="391"/>
        <v>0.94584787155511363</v>
      </c>
      <c r="V439" s="4">
        <f t="shared" si="391"/>
        <v>0.92370360150141495</v>
      </c>
      <c r="W439" s="4">
        <f t="shared" si="391"/>
        <v>0.89334463567658451</v>
      </c>
      <c r="X439" s="4">
        <f t="shared" si="391"/>
        <v>0.85254543874327005</v>
      </c>
      <c r="Y439" s="4">
        <f t="shared" si="391"/>
        <v>0.79921300652623883</v>
      </c>
      <c r="Z439" s="4">
        <f t="shared" si="391"/>
        <v>0.73204982249993378</v>
      </c>
      <c r="AA439" s="4">
        <f t="shared" si="391"/>
        <v>0.65145592958786691</v>
      </c>
      <c r="AB439" s="4">
        <f t="shared" si="391"/>
        <v>0.56032247880849573</v>
      </c>
      <c r="AC439" s="4">
        <f t="shared" si="391"/>
        <v>0.46411326873185343</v>
      </c>
      <c r="AD439" s="4">
        <f t="shared" si="391"/>
        <v>0.36979727595523937</v>
      </c>
      <c r="AE439" s="4">
        <f t="shared" si="391"/>
        <v>0.28393948637231203</v>
      </c>
      <c r="AF439" s="4">
        <f t="shared" si="391"/>
        <v>0.21097259161117732</v>
      </c>
      <c r="AG439" s="4">
        <f t="shared" si="391"/>
        <v>0.15253917653798199</v>
      </c>
      <c r="AH439" s="4">
        <f t="shared" si="391"/>
        <v>0.10795188737709993</v>
      </c>
      <c r="AI439" s="4">
        <f t="shared" si="391"/>
        <v>7.5176653938091809E-2</v>
      </c>
      <c r="AJ439" s="4">
        <f t="shared" si="391"/>
        <v>5.1742836177502194E-2</v>
      </c>
      <c r="AK439" s="4">
        <f t="shared" si="391"/>
        <v>3.5319190625345942E-2</v>
      </c>
      <c r="AL439" s="4">
        <f t="shared" si="391"/>
        <v>2.3969442072658165E-2</v>
      </c>
      <c r="AM439" s="4">
        <f t="shared" si="391"/>
        <v>1.6202243558389728E-2</v>
      </c>
      <c r="AN439" s="4">
        <f t="shared" si="391"/>
        <v>1.0922240564108399E-2</v>
      </c>
      <c r="AO439" s="4">
        <f t="shared" si="391"/>
        <v>7.3493212906090566E-3</v>
      </c>
      <c r="AP439" s="4">
        <f t="shared" si="391"/>
        <v>4.9390262185057265E-3</v>
      </c>
      <c r="AQ439" s="4">
        <f t="shared" si="391"/>
        <v>3.3164275492956197E-3</v>
      </c>
      <c r="AR439" s="4">
        <f t="shared" si="391"/>
        <v>2.2256362146679809E-3</v>
      </c>
    </row>
    <row r="440" spans="1:44" x14ac:dyDescent="0.3">
      <c r="A440" s="24" t="s">
        <v>28</v>
      </c>
      <c r="B440" s="60">
        <f>'Parameter Input'!L9</f>
        <v>-26250</v>
      </c>
      <c r="C440" s="61">
        <f>'Parameter Input'!M9</f>
        <v>-17250</v>
      </c>
      <c r="D440" s="1" t="s">
        <v>15</v>
      </c>
      <c r="L440" s="54">
        <f>'Parameter Input'!O9</f>
        <v>12</v>
      </c>
      <c r="M440" s="37">
        <v>0</v>
      </c>
      <c r="N440" s="37">
        <v>1</v>
      </c>
      <c r="O440" s="37">
        <f>'Parameter Input'!P9</f>
        <v>0.9</v>
      </c>
      <c r="P440" s="55">
        <f>'Parameter Input'!Q9</f>
        <v>0.4</v>
      </c>
      <c r="Q440" s="4">
        <f t="shared" si="391"/>
        <v>0.9867978615748374</v>
      </c>
      <c r="R440" s="4">
        <f t="shared" si="391"/>
        <v>0.98114509762858249</v>
      </c>
      <c r="S440" s="4">
        <f t="shared" si="391"/>
        <v>0.97311898315872036</v>
      </c>
      <c r="T440" s="4">
        <f t="shared" si="391"/>
        <v>0.96177484161592774</v>
      </c>
      <c r="U440" s="4">
        <f t="shared" si="391"/>
        <v>0.94584787155511363</v>
      </c>
      <c r="V440" s="4">
        <f t="shared" si="391"/>
        <v>0.92370360150141495</v>
      </c>
      <c r="W440" s="4">
        <f t="shared" si="391"/>
        <v>0.89334463567658451</v>
      </c>
      <c r="X440" s="4">
        <f t="shared" si="391"/>
        <v>0.85254543874327005</v>
      </c>
      <c r="Y440" s="4">
        <f t="shared" si="391"/>
        <v>0.79921300652623883</v>
      </c>
      <c r="Z440" s="4">
        <f t="shared" si="391"/>
        <v>0.73204982249993378</v>
      </c>
      <c r="AA440" s="4">
        <f t="shared" si="391"/>
        <v>0.65145592958786691</v>
      </c>
      <c r="AB440" s="4">
        <f t="shared" si="391"/>
        <v>0.56032247880849573</v>
      </c>
      <c r="AC440" s="4">
        <f t="shared" si="391"/>
        <v>0.46411326873185343</v>
      </c>
      <c r="AD440" s="4">
        <f t="shared" si="391"/>
        <v>0.36979727595523937</v>
      </c>
      <c r="AE440" s="4">
        <f t="shared" si="391"/>
        <v>0.28393948637231203</v>
      </c>
      <c r="AF440" s="4">
        <f t="shared" si="391"/>
        <v>0.21097259161117732</v>
      </c>
      <c r="AG440" s="4">
        <f t="shared" si="391"/>
        <v>0.15253917653798199</v>
      </c>
      <c r="AH440" s="4">
        <f t="shared" si="391"/>
        <v>0.10795188737709993</v>
      </c>
      <c r="AI440" s="4">
        <f t="shared" si="391"/>
        <v>7.5176653938091809E-2</v>
      </c>
      <c r="AJ440" s="4">
        <f t="shared" si="391"/>
        <v>5.1742836177502194E-2</v>
      </c>
      <c r="AK440" s="4">
        <f t="shared" si="391"/>
        <v>3.5319190625345942E-2</v>
      </c>
      <c r="AL440" s="4">
        <f t="shared" si="391"/>
        <v>2.3969442072658165E-2</v>
      </c>
      <c r="AM440" s="4">
        <f t="shared" si="391"/>
        <v>1.6202243558389728E-2</v>
      </c>
      <c r="AN440" s="4">
        <f t="shared" si="391"/>
        <v>1.0922240564108399E-2</v>
      </c>
      <c r="AO440" s="4">
        <f t="shared" si="391"/>
        <v>7.3493212906090566E-3</v>
      </c>
      <c r="AP440" s="4">
        <f t="shared" si="391"/>
        <v>4.9390262185057265E-3</v>
      </c>
      <c r="AQ440" s="4">
        <f t="shared" si="391"/>
        <v>3.3164275492956197E-3</v>
      </c>
      <c r="AR440" s="4">
        <f t="shared" si="391"/>
        <v>2.2256362146679809E-3</v>
      </c>
    </row>
    <row r="441" spans="1:44" x14ac:dyDescent="0.3">
      <c r="A441" s="24" t="s">
        <v>14</v>
      </c>
      <c r="B441" s="60">
        <f>'Parameter Input'!B60</f>
        <v>35000</v>
      </c>
      <c r="C441" s="61">
        <f>'Parameter Input'!C60</f>
        <v>35000</v>
      </c>
      <c r="D441" s="1" t="s">
        <v>15</v>
      </c>
      <c r="L441" s="54">
        <f>'Parameter Input'!E60</f>
        <v>12</v>
      </c>
      <c r="M441" s="37">
        <v>0</v>
      </c>
      <c r="N441" s="37">
        <v>1</v>
      </c>
      <c r="O441" s="37">
        <f>'Parameter Input'!F46</f>
        <v>0.9</v>
      </c>
      <c r="P441" s="55">
        <f>'Parameter Input'!G60</f>
        <v>0.4</v>
      </c>
      <c r="Q441" s="4">
        <f t="shared" si="391"/>
        <v>0.9867978615748374</v>
      </c>
      <c r="R441" s="4">
        <f t="shared" si="391"/>
        <v>0.98114509762858249</v>
      </c>
      <c r="S441" s="4">
        <f t="shared" si="391"/>
        <v>0.97311898315872036</v>
      </c>
      <c r="T441" s="4">
        <f t="shared" si="391"/>
        <v>0.96177484161592774</v>
      </c>
      <c r="U441" s="4">
        <f t="shared" si="391"/>
        <v>0.94584787155511363</v>
      </c>
      <c r="V441" s="4">
        <f t="shared" si="391"/>
        <v>0.92370360150141495</v>
      </c>
      <c r="W441" s="4">
        <f t="shared" si="391"/>
        <v>0.89334463567658451</v>
      </c>
      <c r="X441" s="4">
        <f t="shared" si="391"/>
        <v>0.85254543874327005</v>
      </c>
      <c r="Y441" s="4">
        <f t="shared" si="391"/>
        <v>0.79921300652623883</v>
      </c>
      <c r="Z441" s="4">
        <f t="shared" si="391"/>
        <v>0.73204982249993378</v>
      </c>
      <c r="AA441" s="4">
        <f t="shared" si="391"/>
        <v>0.65145592958786691</v>
      </c>
      <c r="AB441" s="4">
        <f t="shared" si="391"/>
        <v>0.56032247880849573</v>
      </c>
      <c r="AC441" s="4">
        <f t="shared" si="391"/>
        <v>0.46411326873185343</v>
      </c>
      <c r="AD441" s="4">
        <f t="shared" si="391"/>
        <v>0.36979727595523937</v>
      </c>
      <c r="AE441" s="4">
        <f t="shared" si="391"/>
        <v>0.28393948637231203</v>
      </c>
      <c r="AF441" s="4">
        <f t="shared" si="391"/>
        <v>0.21097259161117732</v>
      </c>
      <c r="AG441" s="4">
        <f t="shared" si="391"/>
        <v>0.15253917653798199</v>
      </c>
      <c r="AH441" s="4">
        <f t="shared" si="391"/>
        <v>0.10795188737709993</v>
      </c>
      <c r="AI441" s="4">
        <f t="shared" si="391"/>
        <v>7.5176653938091809E-2</v>
      </c>
      <c r="AJ441" s="4">
        <f t="shared" si="391"/>
        <v>5.1742836177502194E-2</v>
      </c>
      <c r="AK441" s="4">
        <f t="shared" si="391"/>
        <v>3.5319190625345942E-2</v>
      </c>
      <c r="AL441" s="4">
        <f t="shared" si="391"/>
        <v>2.3969442072658165E-2</v>
      </c>
      <c r="AM441" s="4">
        <f t="shared" si="391"/>
        <v>1.6202243558389728E-2</v>
      </c>
      <c r="AN441" s="4">
        <f t="shared" si="391"/>
        <v>1.0922240564108399E-2</v>
      </c>
      <c r="AO441" s="4">
        <f t="shared" si="391"/>
        <v>7.3493212906090566E-3</v>
      </c>
      <c r="AP441" s="4">
        <f t="shared" si="391"/>
        <v>4.9390262185057265E-3</v>
      </c>
      <c r="AQ441" s="4">
        <f t="shared" si="391"/>
        <v>3.3164275492956197E-3</v>
      </c>
      <c r="AR441" s="4">
        <f t="shared" si="391"/>
        <v>2.2256362146679809E-3</v>
      </c>
    </row>
    <row r="442" spans="1:44" x14ac:dyDescent="0.3">
      <c r="A442" s="24" t="s">
        <v>25</v>
      </c>
      <c r="B442" s="60">
        <f>'Parameter Input'!B61</f>
        <v>-8750</v>
      </c>
      <c r="C442" s="61">
        <f>'Parameter Input'!C61</f>
        <v>-8750</v>
      </c>
      <c r="D442" s="1" t="s">
        <v>15</v>
      </c>
      <c r="L442" s="54">
        <f>'Parameter Input'!E61</f>
        <v>12</v>
      </c>
      <c r="M442" s="37">
        <v>0</v>
      </c>
      <c r="N442" s="37">
        <v>1</v>
      </c>
      <c r="O442" s="37">
        <f>'Parameter Input'!F61</f>
        <v>0.9</v>
      </c>
      <c r="P442" s="55">
        <f>'Parameter Input'!G61</f>
        <v>0.4</v>
      </c>
      <c r="Q442" s="4">
        <f t="shared" si="391"/>
        <v>0.9867978615748374</v>
      </c>
      <c r="R442" s="4">
        <f t="shared" si="391"/>
        <v>0.98114509762858249</v>
      </c>
      <c r="S442" s="4">
        <f t="shared" si="391"/>
        <v>0.97311898315872036</v>
      </c>
      <c r="T442" s="4">
        <f t="shared" si="391"/>
        <v>0.96177484161592774</v>
      </c>
      <c r="U442" s="4">
        <f t="shared" si="391"/>
        <v>0.94584787155511363</v>
      </c>
      <c r="V442" s="4">
        <f t="shared" si="391"/>
        <v>0.92370360150141495</v>
      </c>
      <c r="W442" s="4">
        <f t="shared" si="391"/>
        <v>0.89334463567658451</v>
      </c>
      <c r="X442" s="4">
        <f t="shared" si="391"/>
        <v>0.85254543874327005</v>
      </c>
      <c r="Y442" s="4">
        <f t="shared" si="391"/>
        <v>0.79921300652623883</v>
      </c>
      <c r="Z442" s="4">
        <f t="shared" si="391"/>
        <v>0.73204982249993378</v>
      </c>
      <c r="AA442" s="4">
        <f t="shared" si="391"/>
        <v>0.65145592958786691</v>
      </c>
      <c r="AB442" s="4">
        <f t="shared" si="391"/>
        <v>0.56032247880849573</v>
      </c>
      <c r="AC442" s="4">
        <f t="shared" si="391"/>
        <v>0.46411326873185343</v>
      </c>
      <c r="AD442" s="4">
        <f t="shared" si="391"/>
        <v>0.36979727595523937</v>
      </c>
      <c r="AE442" s="4">
        <f t="shared" si="391"/>
        <v>0.28393948637231203</v>
      </c>
      <c r="AF442" s="4">
        <f t="shared" si="391"/>
        <v>0.21097259161117732</v>
      </c>
      <c r="AG442" s="4">
        <f t="shared" si="391"/>
        <v>0.15253917653798199</v>
      </c>
      <c r="AH442" s="4">
        <f t="shared" si="391"/>
        <v>0.10795188737709993</v>
      </c>
      <c r="AI442" s="4">
        <f t="shared" si="391"/>
        <v>7.5176653938091809E-2</v>
      </c>
      <c r="AJ442" s="4">
        <f t="shared" si="391"/>
        <v>5.1742836177502194E-2</v>
      </c>
      <c r="AK442" s="4">
        <f t="shared" si="391"/>
        <v>3.5319190625345942E-2</v>
      </c>
      <c r="AL442" s="4">
        <f t="shared" si="391"/>
        <v>2.3969442072658165E-2</v>
      </c>
      <c r="AM442" s="4">
        <f t="shared" si="391"/>
        <v>1.6202243558389728E-2</v>
      </c>
      <c r="AN442" s="4">
        <f t="shared" si="391"/>
        <v>1.0922240564108399E-2</v>
      </c>
      <c r="AO442" s="4">
        <f t="shared" si="391"/>
        <v>7.3493212906090566E-3</v>
      </c>
      <c r="AP442" s="4">
        <f t="shared" si="391"/>
        <v>4.9390262185057265E-3</v>
      </c>
      <c r="AQ442" s="4">
        <f t="shared" si="391"/>
        <v>3.3164275492956197E-3</v>
      </c>
      <c r="AR442" s="4">
        <f t="shared" si="391"/>
        <v>2.2256362146679809E-3</v>
      </c>
    </row>
    <row r="443" spans="1:44" x14ac:dyDescent="0.3">
      <c r="A443" s="24" t="s">
        <v>79</v>
      </c>
      <c r="B443" s="60">
        <f>'Parameter Input'!L15</f>
        <v>0.06</v>
      </c>
      <c r="C443" s="61">
        <f>'Parameter Input'!M15</f>
        <v>0.06</v>
      </c>
      <c r="D443" s="1" t="s">
        <v>57</v>
      </c>
      <c r="L443" s="54">
        <f>'Parameter Input'!O15</f>
        <v>12</v>
      </c>
      <c r="M443" s="37">
        <v>0</v>
      </c>
      <c r="N443" s="37">
        <v>1</v>
      </c>
      <c r="O443" s="37">
        <f>'Parameter Input'!P15</f>
        <v>0.9</v>
      </c>
      <c r="P443" s="55">
        <f>'Parameter Input'!Q15</f>
        <v>0.4</v>
      </c>
      <c r="Q443" s="4">
        <f t="shared" si="391"/>
        <v>0.9867978615748374</v>
      </c>
      <c r="R443" s="4">
        <f t="shared" si="391"/>
        <v>0.98114509762858249</v>
      </c>
      <c r="S443" s="4">
        <f t="shared" si="391"/>
        <v>0.97311898315872036</v>
      </c>
      <c r="T443" s="4">
        <f t="shared" si="391"/>
        <v>0.96177484161592774</v>
      </c>
      <c r="U443" s="4">
        <f t="shared" si="391"/>
        <v>0.94584787155511363</v>
      </c>
      <c r="V443" s="4">
        <f t="shared" si="391"/>
        <v>0.92370360150141495</v>
      </c>
      <c r="W443" s="4">
        <f t="shared" si="391"/>
        <v>0.89334463567658451</v>
      </c>
      <c r="X443" s="4">
        <f t="shared" si="391"/>
        <v>0.85254543874327005</v>
      </c>
      <c r="Y443" s="4">
        <f t="shared" si="391"/>
        <v>0.79921300652623883</v>
      </c>
      <c r="Z443" s="4">
        <f t="shared" si="391"/>
        <v>0.73204982249993378</v>
      </c>
      <c r="AA443" s="4">
        <f t="shared" si="391"/>
        <v>0.65145592958786691</v>
      </c>
      <c r="AB443" s="4">
        <f t="shared" si="391"/>
        <v>0.56032247880849573</v>
      </c>
      <c r="AC443" s="4">
        <f t="shared" si="391"/>
        <v>0.46411326873185343</v>
      </c>
      <c r="AD443" s="4">
        <f t="shared" si="391"/>
        <v>0.36979727595523937</v>
      </c>
      <c r="AE443" s="4">
        <f t="shared" si="391"/>
        <v>0.28393948637231203</v>
      </c>
      <c r="AF443" s="4">
        <f t="shared" si="391"/>
        <v>0.21097259161117732</v>
      </c>
      <c r="AG443" s="4">
        <f t="shared" si="391"/>
        <v>0.15253917653798199</v>
      </c>
      <c r="AH443" s="4">
        <f t="shared" si="391"/>
        <v>0.10795188737709993</v>
      </c>
      <c r="AI443" s="4">
        <f t="shared" si="391"/>
        <v>7.5176653938091809E-2</v>
      </c>
      <c r="AJ443" s="4">
        <f t="shared" si="391"/>
        <v>5.1742836177502194E-2</v>
      </c>
      <c r="AK443" s="4">
        <f t="shared" si="391"/>
        <v>3.5319190625345942E-2</v>
      </c>
      <c r="AL443" s="4">
        <f t="shared" si="391"/>
        <v>2.3969442072658165E-2</v>
      </c>
      <c r="AM443" s="4">
        <f t="shared" si="391"/>
        <v>1.6202243558389728E-2</v>
      </c>
      <c r="AN443" s="4">
        <f t="shared" si="391"/>
        <v>1.0922240564108399E-2</v>
      </c>
      <c r="AO443" s="4">
        <f t="shared" si="391"/>
        <v>7.3493212906090566E-3</v>
      </c>
      <c r="AP443" s="4">
        <f t="shared" si="391"/>
        <v>4.9390262185057265E-3</v>
      </c>
      <c r="AQ443" s="4">
        <f t="shared" si="391"/>
        <v>3.3164275492956197E-3</v>
      </c>
      <c r="AR443" s="4">
        <f t="shared" si="391"/>
        <v>2.2256362146679809E-3</v>
      </c>
    </row>
    <row r="444" spans="1:44" x14ac:dyDescent="0.3">
      <c r="A444" s="24" t="s">
        <v>37</v>
      </c>
      <c r="B444" s="60">
        <f>'Parameter Input'!B62</f>
        <v>70000</v>
      </c>
      <c r="C444" s="61">
        <f>'Parameter Input'!C62</f>
        <v>70000</v>
      </c>
      <c r="D444" s="1" t="s">
        <v>38</v>
      </c>
      <c r="L444" s="54">
        <f>'Parameter Input'!E62</f>
        <v>12</v>
      </c>
      <c r="M444" s="37">
        <v>0</v>
      </c>
      <c r="N444" s="37">
        <v>1</v>
      </c>
      <c r="O444" s="37">
        <f>'Parameter Input'!F62</f>
        <v>0.9</v>
      </c>
      <c r="P444" s="55">
        <f>'Parameter Input'!G62</f>
        <v>0.4</v>
      </c>
      <c r="Q444" s="4">
        <f t="shared" si="391"/>
        <v>0.9867978615748374</v>
      </c>
      <c r="R444" s="4">
        <f t="shared" si="391"/>
        <v>0.98114509762858249</v>
      </c>
      <c r="S444" s="4">
        <f t="shared" si="391"/>
        <v>0.97311898315872036</v>
      </c>
      <c r="T444" s="4">
        <f t="shared" si="391"/>
        <v>0.96177484161592774</v>
      </c>
      <c r="U444" s="4">
        <f t="shared" si="391"/>
        <v>0.94584787155511363</v>
      </c>
      <c r="V444" s="4">
        <f t="shared" si="391"/>
        <v>0.92370360150141495</v>
      </c>
      <c r="W444" s="4">
        <f t="shared" si="391"/>
        <v>0.89334463567658451</v>
      </c>
      <c r="X444" s="4">
        <f t="shared" si="391"/>
        <v>0.85254543874327005</v>
      </c>
      <c r="Y444" s="4">
        <f t="shared" si="391"/>
        <v>0.79921300652623883</v>
      </c>
      <c r="Z444" s="4">
        <f t="shared" si="391"/>
        <v>0.73204982249993378</v>
      </c>
      <c r="AA444" s="4">
        <f t="shared" si="391"/>
        <v>0.65145592958786691</v>
      </c>
      <c r="AB444" s="4">
        <f t="shared" si="391"/>
        <v>0.56032247880849573</v>
      </c>
      <c r="AC444" s="4">
        <f t="shared" si="391"/>
        <v>0.46411326873185343</v>
      </c>
      <c r="AD444" s="4">
        <f t="shared" si="391"/>
        <v>0.36979727595523937</v>
      </c>
      <c r="AE444" s="4">
        <f t="shared" si="391"/>
        <v>0.28393948637231203</v>
      </c>
      <c r="AF444" s="4">
        <f t="shared" si="391"/>
        <v>0.21097259161117732</v>
      </c>
      <c r="AG444" s="4">
        <f t="shared" si="391"/>
        <v>0.15253917653798199</v>
      </c>
      <c r="AH444" s="4">
        <f t="shared" si="391"/>
        <v>0.10795188737709993</v>
      </c>
      <c r="AI444" s="4">
        <f t="shared" si="391"/>
        <v>7.5176653938091809E-2</v>
      </c>
      <c r="AJ444" s="4">
        <f t="shared" si="391"/>
        <v>5.1742836177502194E-2</v>
      </c>
      <c r="AK444" s="4">
        <f t="shared" si="391"/>
        <v>3.5319190625345942E-2</v>
      </c>
      <c r="AL444" s="4">
        <f t="shared" si="391"/>
        <v>2.3969442072658165E-2</v>
      </c>
      <c r="AM444" s="4">
        <f t="shared" si="391"/>
        <v>1.6202243558389728E-2</v>
      </c>
      <c r="AN444" s="4">
        <f t="shared" si="391"/>
        <v>1.0922240564108399E-2</v>
      </c>
      <c r="AO444" s="4">
        <f t="shared" si="391"/>
        <v>7.3493212906090566E-3</v>
      </c>
      <c r="AP444" s="4">
        <f t="shared" si="391"/>
        <v>4.9390262185057265E-3</v>
      </c>
      <c r="AQ444" s="4">
        <f t="shared" si="391"/>
        <v>3.3164275492956197E-3</v>
      </c>
      <c r="AR444" s="4">
        <f t="shared" si="391"/>
        <v>2.2256362146679809E-3</v>
      </c>
    </row>
    <row r="445" spans="1:44" x14ac:dyDescent="0.3">
      <c r="A445" s="24" t="s">
        <v>52</v>
      </c>
      <c r="B445" s="60">
        <f>'Parameter Input'!L11</f>
        <v>20000</v>
      </c>
      <c r="C445" s="61">
        <f>'Parameter Input'!M11</f>
        <v>20000</v>
      </c>
      <c r="D445" s="1" t="s">
        <v>38</v>
      </c>
      <c r="L445" s="54">
        <f>'Parameter Input'!O11</f>
        <v>12</v>
      </c>
      <c r="M445" s="37">
        <v>0</v>
      </c>
      <c r="N445" s="37">
        <v>1</v>
      </c>
      <c r="O445" s="37">
        <f>'Parameter Input'!P11</f>
        <v>0.9</v>
      </c>
      <c r="P445" s="55">
        <f>'Parameter Input'!Q11</f>
        <v>0.4</v>
      </c>
      <c r="Q445" s="4">
        <f t="shared" si="391"/>
        <v>0.9867978615748374</v>
      </c>
      <c r="R445" s="4">
        <f t="shared" si="391"/>
        <v>0.98114509762858249</v>
      </c>
      <c r="S445" s="4">
        <f t="shared" si="391"/>
        <v>0.97311898315872036</v>
      </c>
      <c r="T445" s="4">
        <f t="shared" si="391"/>
        <v>0.96177484161592774</v>
      </c>
      <c r="U445" s="4">
        <f t="shared" si="391"/>
        <v>0.94584787155511363</v>
      </c>
      <c r="V445" s="4">
        <f t="shared" si="391"/>
        <v>0.92370360150141495</v>
      </c>
      <c r="W445" s="4">
        <f t="shared" si="391"/>
        <v>0.89334463567658451</v>
      </c>
      <c r="X445" s="4">
        <f t="shared" si="391"/>
        <v>0.85254543874327005</v>
      </c>
      <c r="Y445" s="4">
        <f t="shared" si="391"/>
        <v>0.79921300652623883</v>
      </c>
      <c r="Z445" s="4">
        <f t="shared" si="391"/>
        <v>0.73204982249993378</v>
      </c>
      <c r="AA445" s="4">
        <f t="shared" si="391"/>
        <v>0.65145592958786691</v>
      </c>
      <c r="AB445" s="4">
        <f t="shared" si="391"/>
        <v>0.56032247880849573</v>
      </c>
      <c r="AC445" s="4">
        <f t="shared" si="391"/>
        <v>0.46411326873185343</v>
      </c>
      <c r="AD445" s="4">
        <f t="shared" si="391"/>
        <v>0.36979727595523937</v>
      </c>
      <c r="AE445" s="4">
        <f t="shared" si="391"/>
        <v>0.28393948637231203</v>
      </c>
      <c r="AF445" s="4">
        <f t="shared" si="391"/>
        <v>0.21097259161117732</v>
      </c>
      <c r="AG445" s="4">
        <f t="shared" si="391"/>
        <v>0.15253917653798199</v>
      </c>
      <c r="AH445" s="4">
        <f t="shared" si="391"/>
        <v>0.10795188737709993</v>
      </c>
      <c r="AI445" s="4">
        <f t="shared" si="391"/>
        <v>7.5176653938091809E-2</v>
      </c>
      <c r="AJ445" s="4">
        <f t="shared" si="391"/>
        <v>5.1742836177502194E-2</v>
      </c>
      <c r="AK445" s="4">
        <f t="shared" si="391"/>
        <v>3.5319190625345942E-2</v>
      </c>
      <c r="AL445" s="4">
        <f t="shared" si="391"/>
        <v>2.3969442072658165E-2</v>
      </c>
      <c r="AM445" s="4">
        <f t="shared" si="391"/>
        <v>1.6202243558389728E-2</v>
      </c>
      <c r="AN445" s="4">
        <f t="shared" si="391"/>
        <v>1.0922240564108399E-2</v>
      </c>
      <c r="AO445" s="4">
        <f t="shared" si="391"/>
        <v>7.3493212906090566E-3</v>
      </c>
      <c r="AP445" s="4">
        <f t="shared" si="391"/>
        <v>4.9390262185057265E-3</v>
      </c>
      <c r="AQ445" s="4">
        <f t="shared" si="391"/>
        <v>3.3164275492956197E-3</v>
      </c>
      <c r="AR445" s="4">
        <f t="shared" si="391"/>
        <v>2.2256362146679809E-3</v>
      </c>
    </row>
    <row r="446" spans="1:44" x14ac:dyDescent="0.3">
      <c r="A446" s="24" t="s">
        <v>273</v>
      </c>
      <c r="B446" s="60">
        <f>'Parameter Input'!B67</f>
        <v>0.11</v>
      </c>
      <c r="C446" s="61">
        <f>'Parameter Input'!C67</f>
        <v>0.11</v>
      </c>
      <c r="D446" s="1" t="s">
        <v>76</v>
      </c>
      <c r="L446" s="54">
        <f>'Parameter Input'!E67</f>
        <v>12</v>
      </c>
      <c r="M446" s="37">
        <v>0</v>
      </c>
      <c r="N446" s="37">
        <v>1</v>
      </c>
      <c r="O446" s="37">
        <f>'Parameter Input'!F67</f>
        <v>0.9</v>
      </c>
      <c r="P446" s="55">
        <f>'Parameter Input'!G67</f>
        <v>0.4</v>
      </c>
      <c r="Q446" s="4">
        <f t="shared" si="391"/>
        <v>0.9867978615748374</v>
      </c>
      <c r="R446" s="4">
        <f t="shared" si="391"/>
        <v>0.98114509762858249</v>
      </c>
      <c r="S446" s="4">
        <f t="shared" si="391"/>
        <v>0.97311898315872036</v>
      </c>
      <c r="T446" s="4">
        <f t="shared" si="391"/>
        <v>0.96177484161592774</v>
      </c>
      <c r="U446" s="4">
        <f t="shared" si="391"/>
        <v>0.94584787155511363</v>
      </c>
      <c r="V446" s="4">
        <f t="shared" si="391"/>
        <v>0.92370360150141495</v>
      </c>
      <c r="W446" s="4">
        <f t="shared" si="391"/>
        <v>0.89334463567658451</v>
      </c>
      <c r="X446" s="4">
        <f t="shared" si="391"/>
        <v>0.85254543874327005</v>
      </c>
      <c r="Y446" s="4">
        <f t="shared" si="391"/>
        <v>0.79921300652623883</v>
      </c>
      <c r="Z446" s="4">
        <f t="shared" si="391"/>
        <v>0.73204982249993378</v>
      </c>
      <c r="AA446" s="4">
        <f t="shared" si="391"/>
        <v>0.65145592958786691</v>
      </c>
      <c r="AB446" s="4">
        <f t="shared" si="391"/>
        <v>0.56032247880849573</v>
      </c>
      <c r="AC446" s="4">
        <f t="shared" si="391"/>
        <v>0.46411326873185343</v>
      </c>
      <c r="AD446" s="4">
        <f t="shared" si="391"/>
        <v>0.36979727595523937</v>
      </c>
      <c r="AE446" s="4">
        <f t="shared" si="391"/>
        <v>0.28393948637231203</v>
      </c>
      <c r="AF446" s="4">
        <f t="shared" si="391"/>
        <v>0.21097259161117732</v>
      </c>
      <c r="AG446" s="4">
        <f t="shared" si="391"/>
        <v>0.15253917653798199</v>
      </c>
      <c r="AH446" s="4">
        <f t="shared" si="391"/>
        <v>0.10795188737709993</v>
      </c>
      <c r="AI446" s="4">
        <f t="shared" si="391"/>
        <v>7.5176653938091809E-2</v>
      </c>
      <c r="AJ446" s="4">
        <f t="shared" si="391"/>
        <v>5.1742836177502194E-2</v>
      </c>
      <c r="AK446" s="4">
        <f t="shared" si="391"/>
        <v>3.5319190625345942E-2</v>
      </c>
      <c r="AL446" s="4">
        <f t="shared" si="391"/>
        <v>2.3969442072658165E-2</v>
      </c>
      <c r="AM446" s="4">
        <f t="shared" si="391"/>
        <v>1.6202243558389728E-2</v>
      </c>
      <c r="AN446" s="4">
        <f t="shared" si="391"/>
        <v>1.0922240564108399E-2</v>
      </c>
      <c r="AO446" s="4">
        <f t="shared" si="391"/>
        <v>7.3493212906090566E-3</v>
      </c>
      <c r="AP446" s="4">
        <f t="shared" si="391"/>
        <v>4.9390262185057265E-3</v>
      </c>
      <c r="AQ446" s="4">
        <f t="shared" si="391"/>
        <v>3.3164275492956197E-3</v>
      </c>
      <c r="AR446" s="4">
        <f t="shared" si="391"/>
        <v>2.2256362146679809E-3</v>
      </c>
    </row>
    <row r="447" spans="1:44" x14ac:dyDescent="0.3">
      <c r="A447" s="24" t="s">
        <v>59</v>
      </c>
      <c r="B447" s="60">
        <f>'Parameter Input'!L12</f>
        <v>2.9</v>
      </c>
      <c r="C447" s="61">
        <f>'Parameter Input'!M12</f>
        <v>2.4</v>
      </c>
      <c r="D447" s="1" t="s">
        <v>60</v>
      </c>
      <c r="L447" s="54">
        <f>'Parameter Input'!O12</f>
        <v>12</v>
      </c>
      <c r="M447" s="37">
        <v>0</v>
      </c>
      <c r="N447" s="37">
        <v>1</v>
      </c>
      <c r="O447" s="37">
        <f>'Parameter Input'!P12</f>
        <v>0.9</v>
      </c>
      <c r="P447" s="55">
        <f>'Parameter Input'!Q12</f>
        <v>0.4</v>
      </c>
      <c r="Q447" s="4">
        <f t="shared" si="391"/>
        <v>0.9867978615748374</v>
      </c>
      <c r="R447" s="4">
        <f t="shared" si="391"/>
        <v>0.98114509762858249</v>
      </c>
      <c r="S447" s="4">
        <f t="shared" si="391"/>
        <v>0.97311898315872036</v>
      </c>
      <c r="T447" s="4">
        <f t="shared" si="391"/>
        <v>0.96177484161592774</v>
      </c>
      <c r="U447" s="4">
        <f t="shared" si="391"/>
        <v>0.94584787155511363</v>
      </c>
      <c r="V447" s="4">
        <f t="shared" si="391"/>
        <v>0.92370360150141495</v>
      </c>
      <c r="W447" s="4">
        <f t="shared" si="391"/>
        <v>0.89334463567658451</v>
      </c>
      <c r="X447" s="4">
        <f t="shared" si="391"/>
        <v>0.85254543874327005</v>
      </c>
      <c r="Y447" s="4">
        <f t="shared" si="391"/>
        <v>0.79921300652623883</v>
      </c>
      <c r="Z447" s="4">
        <f t="shared" si="391"/>
        <v>0.73204982249993378</v>
      </c>
      <c r="AA447" s="4">
        <f t="shared" si="391"/>
        <v>0.65145592958786691</v>
      </c>
      <c r="AB447" s="4">
        <f t="shared" si="391"/>
        <v>0.56032247880849573</v>
      </c>
      <c r="AC447" s="4">
        <f t="shared" si="391"/>
        <v>0.46411326873185343</v>
      </c>
      <c r="AD447" s="4">
        <f t="shared" si="391"/>
        <v>0.36979727595523937</v>
      </c>
      <c r="AE447" s="4">
        <f t="shared" si="391"/>
        <v>0.28393948637231203</v>
      </c>
      <c r="AF447" s="4">
        <f t="shared" si="391"/>
        <v>0.21097259161117732</v>
      </c>
      <c r="AG447" s="4">
        <f t="shared" si="391"/>
        <v>0.15253917653798199</v>
      </c>
      <c r="AH447" s="4">
        <f t="shared" si="391"/>
        <v>0.10795188737709993</v>
      </c>
      <c r="AI447" s="4">
        <f t="shared" si="391"/>
        <v>7.5176653938091809E-2</v>
      </c>
      <c r="AJ447" s="4">
        <f t="shared" si="391"/>
        <v>5.1742836177502194E-2</v>
      </c>
      <c r="AK447" s="4">
        <f t="shared" si="391"/>
        <v>3.5319190625345942E-2</v>
      </c>
      <c r="AL447" s="4">
        <f t="shared" si="391"/>
        <v>2.3969442072658165E-2</v>
      </c>
      <c r="AM447" s="4">
        <f t="shared" si="391"/>
        <v>1.6202243558389728E-2</v>
      </c>
      <c r="AN447" s="4">
        <f t="shared" si="391"/>
        <v>1.0922240564108399E-2</v>
      </c>
      <c r="AO447" s="4">
        <f t="shared" si="391"/>
        <v>7.3493212906090566E-3</v>
      </c>
      <c r="AP447" s="4">
        <f t="shared" si="391"/>
        <v>4.9390262185057265E-3</v>
      </c>
      <c r="AQ447" s="4">
        <f t="shared" si="391"/>
        <v>3.3164275492956197E-3</v>
      </c>
      <c r="AR447" s="4">
        <f t="shared" si="391"/>
        <v>2.2256362146679809E-3</v>
      </c>
    </row>
    <row r="448" spans="1:44" x14ac:dyDescent="0.3">
      <c r="A448" s="24" t="s">
        <v>67</v>
      </c>
      <c r="B448" s="60">
        <f>'Parameter Input'!L13</f>
        <v>0.1</v>
      </c>
      <c r="C448" s="61">
        <f>'Parameter Input'!M13</f>
        <v>0.1</v>
      </c>
      <c r="D448" s="1" t="s">
        <v>68</v>
      </c>
      <c r="L448" s="54">
        <f>'Parameter Input'!O13</f>
        <v>12</v>
      </c>
      <c r="M448" s="37">
        <v>0</v>
      </c>
      <c r="N448" s="37">
        <v>1</v>
      </c>
      <c r="O448" s="37">
        <f>'Parameter Input'!P13</f>
        <v>0.9</v>
      </c>
      <c r="P448" s="55">
        <f>'Parameter Input'!Q13</f>
        <v>0.4</v>
      </c>
      <c r="Q448" s="4">
        <f t="shared" si="391"/>
        <v>0.9867978615748374</v>
      </c>
      <c r="R448" s="4">
        <f t="shared" si="391"/>
        <v>0.98114509762858249</v>
      </c>
      <c r="S448" s="4">
        <f t="shared" si="391"/>
        <v>0.97311898315872036</v>
      </c>
      <c r="T448" s="4">
        <f t="shared" ref="T448:AI455" si="392">$N448+($M448-$N448)*((1/(1+EXP(-$P448*(T$9-$L448)))^$O448))</f>
        <v>0.96177484161592774</v>
      </c>
      <c r="U448" s="4">
        <f t="shared" si="392"/>
        <v>0.94584787155511363</v>
      </c>
      <c r="V448" s="4">
        <f t="shared" si="392"/>
        <v>0.92370360150141495</v>
      </c>
      <c r="W448" s="4">
        <f t="shared" si="392"/>
        <v>0.89334463567658451</v>
      </c>
      <c r="X448" s="4">
        <f t="shared" si="392"/>
        <v>0.85254543874327005</v>
      </c>
      <c r="Y448" s="4">
        <f t="shared" si="392"/>
        <v>0.79921300652623883</v>
      </c>
      <c r="Z448" s="4">
        <f t="shared" si="392"/>
        <v>0.73204982249993378</v>
      </c>
      <c r="AA448" s="4">
        <f t="shared" si="392"/>
        <v>0.65145592958786691</v>
      </c>
      <c r="AB448" s="4">
        <f t="shared" si="392"/>
        <v>0.56032247880849573</v>
      </c>
      <c r="AC448" s="4">
        <f t="shared" si="392"/>
        <v>0.46411326873185343</v>
      </c>
      <c r="AD448" s="4">
        <f t="shared" si="392"/>
        <v>0.36979727595523937</v>
      </c>
      <c r="AE448" s="4">
        <f t="shared" si="392"/>
        <v>0.28393948637231203</v>
      </c>
      <c r="AF448" s="4">
        <f t="shared" si="392"/>
        <v>0.21097259161117732</v>
      </c>
      <c r="AG448" s="4">
        <f t="shared" si="392"/>
        <v>0.15253917653798199</v>
      </c>
      <c r="AH448" s="4">
        <f t="shared" si="392"/>
        <v>0.10795188737709993</v>
      </c>
      <c r="AI448" s="4">
        <f t="shared" si="392"/>
        <v>7.5176653938091809E-2</v>
      </c>
      <c r="AJ448" s="4">
        <f t="shared" ref="AJ448:AR455" si="393">$N448+($M448-$N448)*((1/(1+EXP(-$P448*(AJ$9-$L448)))^$O448))</f>
        <v>5.1742836177502194E-2</v>
      </c>
      <c r="AK448" s="4">
        <f t="shared" si="393"/>
        <v>3.5319190625345942E-2</v>
      </c>
      <c r="AL448" s="4">
        <f t="shared" si="393"/>
        <v>2.3969442072658165E-2</v>
      </c>
      <c r="AM448" s="4">
        <f t="shared" si="393"/>
        <v>1.6202243558389728E-2</v>
      </c>
      <c r="AN448" s="4">
        <f t="shared" si="393"/>
        <v>1.0922240564108399E-2</v>
      </c>
      <c r="AO448" s="4">
        <f t="shared" si="393"/>
        <v>7.3493212906090566E-3</v>
      </c>
      <c r="AP448" s="4">
        <f t="shared" si="393"/>
        <v>4.9390262185057265E-3</v>
      </c>
      <c r="AQ448" s="4">
        <f t="shared" si="393"/>
        <v>3.3164275492956197E-3</v>
      </c>
      <c r="AR448" s="4">
        <f t="shared" si="393"/>
        <v>2.2256362146679809E-3</v>
      </c>
    </row>
    <row r="449" spans="1:44" x14ac:dyDescent="0.3">
      <c r="A449" s="24" t="s">
        <v>206</v>
      </c>
      <c r="B449" s="45">
        <f>'Parameter Input'!$L$16</f>
        <v>7.7317073170731707E-2</v>
      </c>
      <c r="C449" s="46">
        <f>'Parameter Input'!$M$16</f>
        <v>0.22395290159798151</v>
      </c>
      <c r="D449" s="1" t="s">
        <v>76</v>
      </c>
      <c r="L449" s="54">
        <f>'Parameter Input'!$O$16</f>
        <v>17</v>
      </c>
      <c r="M449" s="37">
        <v>0</v>
      </c>
      <c r="N449" s="37">
        <v>1</v>
      </c>
      <c r="O449" s="37">
        <f>'Parameter Input'!$P$16</f>
        <v>0.9</v>
      </c>
      <c r="P449" s="55">
        <f>'Parameter Input'!$Q$16</f>
        <v>0.4</v>
      </c>
      <c r="Q449" s="4">
        <f t="shared" ref="Q449:AR449" si="394">$N449+($M449-$N449)*((1/(1+EXP(-$P449*(Q$9-$L449)))^$O449))</f>
        <v>0.99780374543478534</v>
      </c>
      <c r="R449" s="4">
        <f t="shared" si="394"/>
        <v>0.99685359315256394</v>
      </c>
      <c r="S449" s="4">
        <f t="shared" si="394"/>
        <v>0.99549347132349975</v>
      </c>
      <c r="T449" s="4">
        <f t="shared" si="394"/>
        <v>0.99354772139898062</v>
      </c>
      <c r="U449" s="4">
        <f t="shared" si="394"/>
        <v>0.99076681540580536</v>
      </c>
      <c r="V449" s="4">
        <f t="shared" si="394"/>
        <v>0.9867978615748374</v>
      </c>
      <c r="W449" s="4">
        <f t="shared" si="394"/>
        <v>0.98114509762858249</v>
      </c>
      <c r="X449" s="4">
        <f t="shared" si="394"/>
        <v>0.97311898315872036</v>
      </c>
      <c r="Y449" s="4">
        <f t="shared" si="394"/>
        <v>0.96177484161592774</v>
      </c>
      <c r="Z449" s="4">
        <f t="shared" si="394"/>
        <v>0.94584787155511363</v>
      </c>
      <c r="AA449" s="4">
        <f t="shared" si="394"/>
        <v>0.92370360150141495</v>
      </c>
      <c r="AB449" s="4">
        <f t="shared" si="394"/>
        <v>0.89334463567658451</v>
      </c>
      <c r="AC449" s="4">
        <f t="shared" si="394"/>
        <v>0.85254543874327005</v>
      </c>
      <c r="AD449" s="4">
        <f t="shared" si="394"/>
        <v>0.79921300652623883</v>
      </c>
      <c r="AE449" s="4">
        <f t="shared" si="394"/>
        <v>0.73204982249993378</v>
      </c>
      <c r="AF449" s="4">
        <f t="shared" si="394"/>
        <v>0.65145592958786691</v>
      </c>
      <c r="AG449" s="4">
        <f t="shared" si="394"/>
        <v>0.56032247880849573</v>
      </c>
      <c r="AH449" s="4">
        <f t="shared" si="394"/>
        <v>0.46411326873185343</v>
      </c>
      <c r="AI449" s="4">
        <f t="shared" si="394"/>
        <v>0.36979727595523937</v>
      </c>
      <c r="AJ449" s="4">
        <f t="shared" si="394"/>
        <v>0.28393948637231203</v>
      </c>
      <c r="AK449" s="4">
        <f t="shared" si="394"/>
        <v>0.21097259161117732</v>
      </c>
      <c r="AL449" s="4">
        <f t="shared" si="394"/>
        <v>0.15253917653798199</v>
      </c>
      <c r="AM449" s="4">
        <f t="shared" si="394"/>
        <v>0.10795188737709993</v>
      </c>
      <c r="AN449" s="4">
        <f t="shared" si="394"/>
        <v>7.5176653938091809E-2</v>
      </c>
      <c r="AO449" s="4">
        <f t="shared" si="394"/>
        <v>5.1742836177502194E-2</v>
      </c>
      <c r="AP449" s="4">
        <f t="shared" si="394"/>
        <v>3.5319190625345942E-2</v>
      </c>
      <c r="AQ449" s="4">
        <f t="shared" si="394"/>
        <v>2.3969442072658165E-2</v>
      </c>
      <c r="AR449" s="4">
        <f t="shared" si="394"/>
        <v>1.6202243558389728E-2</v>
      </c>
    </row>
    <row r="450" spans="1:44" x14ac:dyDescent="0.3">
      <c r="A450" s="24" t="s">
        <v>41</v>
      </c>
      <c r="B450" s="60">
        <f>'Parameter Input'!L10</f>
        <v>8</v>
      </c>
      <c r="C450" s="61">
        <f>'Parameter Input'!M10</f>
        <v>8</v>
      </c>
      <c r="D450" s="1" t="s">
        <v>42</v>
      </c>
      <c r="L450" s="54">
        <f>'Parameter Input'!O10</f>
        <v>12</v>
      </c>
      <c r="M450" s="37">
        <v>0</v>
      </c>
      <c r="N450" s="37">
        <v>1</v>
      </c>
      <c r="O450" s="37">
        <f>'Parameter Input'!P10</f>
        <v>0.9</v>
      </c>
      <c r="P450" s="55">
        <f>'Parameter Input'!Q10</f>
        <v>0.4</v>
      </c>
      <c r="Q450" s="4">
        <f t="shared" ref="Q450:AF455" si="395">$N450+($M450-$N450)*((1/(1+EXP(-$P450*(Q$9-$L450)))^$O450))</f>
        <v>0.9867978615748374</v>
      </c>
      <c r="R450" s="4">
        <f t="shared" si="395"/>
        <v>0.98114509762858249</v>
      </c>
      <c r="S450" s="4">
        <f t="shared" si="395"/>
        <v>0.97311898315872036</v>
      </c>
      <c r="T450" s="4">
        <f t="shared" si="395"/>
        <v>0.96177484161592774</v>
      </c>
      <c r="U450" s="4">
        <f t="shared" si="395"/>
        <v>0.94584787155511363</v>
      </c>
      <c r="V450" s="4">
        <f t="shared" si="395"/>
        <v>0.92370360150141495</v>
      </c>
      <c r="W450" s="4">
        <f t="shared" si="395"/>
        <v>0.89334463567658451</v>
      </c>
      <c r="X450" s="4">
        <f t="shared" si="395"/>
        <v>0.85254543874327005</v>
      </c>
      <c r="Y450" s="4">
        <f t="shared" si="395"/>
        <v>0.79921300652623883</v>
      </c>
      <c r="Z450" s="4">
        <f t="shared" si="395"/>
        <v>0.73204982249993378</v>
      </c>
      <c r="AA450" s="4">
        <f t="shared" si="395"/>
        <v>0.65145592958786691</v>
      </c>
      <c r="AB450" s="4">
        <f t="shared" si="395"/>
        <v>0.56032247880849573</v>
      </c>
      <c r="AC450" s="4">
        <f t="shared" si="395"/>
        <v>0.46411326873185343</v>
      </c>
      <c r="AD450" s="4">
        <f t="shared" si="395"/>
        <v>0.36979727595523937</v>
      </c>
      <c r="AE450" s="4">
        <f t="shared" si="395"/>
        <v>0.28393948637231203</v>
      </c>
      <c r="AF450" s="4">
        <f t="shared" si="395"/>
        <v>0.21097259161117732</v>
      </c>
      <c r="AG450" s="4">
        <f t="shared" si="392"/>
        <v>0.15253917653798199</v>
      </c>
      <c r="AH450" s="4">
        <f t="shared" si="392"/>
        <v>0.10795188737709993</v>
      </c>
      <c r="AI450" s="4">
        <f t="shared" si="392"/>
        <v>7.5176653938091809E-2</v>
      </c>
      <c r="AJ450" s="4">
        <f t="shared" si="393"/>
        <v>5.1742836177502194E-2</v>
      </c>
      <c r="AK450" s="4">
        <f t="shared" si="393"/>
        <v>3.5319190625345942E-2</v>
      </c>
      <c r="AL450" s="4">
        <f t="shared" si="393"/>
        <v>2.3969442072658165E-2</v>
      </c>
      <c r="AM450" s="4">
        <f t="shared" si="393"/>
        <v>1.6202243558389728E-2</v>
      </c>
      <c r="AN450" s="4">
        <f t="shared" si="393"/>
        <v>1.0922240564108399E-2</v>
      </c>
      <c r="AO450" s="4">
        <f t="shared" si="393"/>
        <v>7.3493212906090566E-3</v>
      </c>
      <c r="AP450" s="4">
        <f t="shared" si="393"/>
        <v>4.9390262185057265E-3</v>
      </c>
      <c r="AQ450" s="4">
        <f t="shared" si="393"/>
        <v>3.3164275492956197E-3</v>
      </c>
      <c r="AR450" s="4">
        <f t="shared" si="393"/>
        <v>2.2256362146679809E-3</v>
      </c>
    </row>
    <row r="451" spans="1:44" x14ac:dyDescent="0.3">
      <c r="A451" s="24" t="s">
        <v>70</v>
      </c>
      <c r="B451" s="60">
        <f>'Parameter Input'!B66</f>
        <v>10</v>
      </c>
      <c r="C451" s="61">
        <f>'Parameter Input'!C66</f>
        <v>10</v>
      </c>
      <c r="D451" s="1" t="s">
        <v>42</v>
      </c>
      <c r="L451" s="54">
        <f>'Parameter Input'!E66</f>
        <v>12</v>
      </c>
      <c r="M451" s="37">
        <v>0</v>
      </c>
      <c r="N451" s="37">
        <v>1</v>
      </c>
      <c r="O451" s="37">
        <f>'Parameter Input'!F66</f>
        <v>0.9</v>
      </c>
      <c r="P451" s="55">
        <f>'Parameter Input'!G66</f>
        <v>0.4</v>
      </c>
      <c r="Q451" s="4">
        <f t="shared" si="395"/>
        <v>0.9867978615748374</v>
      </c>
      <c r="R451" s="4">
        <f t="shared" si="395"/>
        <v>0.98114509762858249</v>
      </c>
      <c r="S451" s="4">
        <f t="shared" si="395"/>
        <v>0.97311898315872036</v>
      </c>
      <c r="T451" s="4">
        <f t="shared" si="395"/>
        <v>0.96177484161592774</v>
      </c>
      <c r="U451" s="4">
        <f t="shared" si="395"/>
        <v>0.94584787155511363</v>
      </c>
      <c r="V451" s="4">
        <f t="shared" si="395"/>
        <v>0.92370360150141495</v>
      </c>
      <c r="W451" s="4">
        <f t="shared" si="395"/>
        <v>0.89334463567658451</v>
      </c>
      <c r="X451" s="4">
        <f t="shared" si="395"/>
        <v>0.85254543874327005</v>
      </c>
      <c r="Y451" s="4">
        <f t="shared" si="395"/>
        <v>0.79921300652623883</v>
      </c>
      <c r="Z451" s="4">
        <f t="shared" si="395"/>
        <v>0.73204982249993378</v>
      </c>
      <c r="AA451" s="4">
        <f t="shared" si="395"/>
        <v>0.65145592958786691</v>
      </c>
      <c r="AB451" s="4">
        <f t="shared" si="395"/>
        <v>0.56032247880849573</v>
      </c>
      <c r="AC451" s="4">
        <f t="shared" si="395"/>
        <v>0.46411326873185343</v>
      </c>
      <c r="AD451" s="4">
        <f t="shared" si="395"/>
        <v>0.36979727595523937</v>
      </c>
      <c r="AE451" s="4">
        <f t="shared" si="395"/>
        <v>0.28393948637231203</v>
      </c>
      <c r="AF451" s="4">
        <f t="shared" si="395"/>
        <v>0.21097259161117732</v>
      </c>
      <c r="AG451" s="4">
        <f t="shared" si="392"/>
        <v>0.15253917653798199</v>
      </c>
      <c r="AH451" s="4">
        <f t="shared" si="392"/>
        <v>0.10795188737709993</v>
      </c>
      <c r="AI451" s="4">
        <f t="shared" si="392"/>
        <v>7.5176653938091809E-2</v>
      </c>
      <c r="AJ451" s="4">
        <f t="shared" si="393"/>
        <v>5.1742836177502194E-2</v>
      </c>
      <c r="AK451" s="4">
        <f t="shared" si="393"/>
        <v>3.5319190625345942E-2</v>
      </c>
      <c r="AL451" s="4">
        <f t="shared" si="393"/>
        <v>2.3969442072658165E-2</v>
      </c>
      <c r="AM451" s="4">
        <f t="shared" si="393"/>
        <v>1.6202243558389728E-2</v>
      </c>
      <c r="AN451" s="4">
        <f t="shared" si="393"/>
        <v>1.0922240564108399E-2</v>
      </c>
      <c r="AO451" s="4">
        <f t="shared" si="393"/>
        <v>7.3493212906090566E-3</v>
      </c>
      <c r="AP451" s="4">
        <f t="shared" si="393"/>
        <v>4.9390262185057265E-3</v>
      </c>
      <c r="AQ451" s="4">
        <f t="shared" si="393"/>
        <v>3.3164275492956197E-3</v>
      </c>
      <c r="AR451" s="4">
        <f t="shared" si="393"/>
        <v>2.2256362146679809E-3</v>
      </c>
    </row>
    <row r="452" spans="1:44" x14ac:dyDescent="0.3">
      <c r="A452" s="24" t="s">
        <v>207</v>
      </c>
      <c r="B452" s="43">
        <f>'Parameter Input'!B63</f>
        <v>25</v>
      </c>
      <c r="C452" s="44">
        <f>'Parameter Input'!C63</f>
        <v>25</v>
      </c>
      <c r="D452" s="1" t="s">
        <v>49</v>
      </c>
      <c r="L452" s="54">
        <f>'Parameter Input'!E63</f>
        <v>12</v>
      </c>
      <c r="M452" s="37">
        <v>0</v>
      </c>
      <c r="N452" s="37">
        <v>1</v>
      </c>
      <c r="O452" s="37">
        <f>'Parameter Input'!F63</f>
        <v>0.9</v>
      </c>
      <c r="P452" s="55">
        <f>'Parameter Input'!G63</f>
        <v>0.4</v>
      </c>
      <c r="Q452" s="4">
        <f t="shared" si="395"/>
        <v>0.9867978615748374</v>
      </c>
      <c r="R452" s="4">
        <f t="shared" si="395"/>
        <v>0.98114509762858249</v>
      </c>
      <c r="S452" s="4">
        <f t="shared" si="395"/>
        <v>0.97311898315872036</v>
      </c>
      <c r="T452" s="4">
        <f t="shared" si="395"/>
        <v>0.96177484161592774</v>
      </c>
      <c r="U452" s="4">
        <f t="shared" si="395"/>
        <v>0.94584787155511363</v>
      </c>
      <c r="V452" s="4">
        <f t="shared" si="395"/>
        <v>0.92370360150141495</v>
      </c>
      <c r="W452" s="4">
        <f t="shared" si="395"/>
        <v>0.89334463567658451</v>
      </c>
      <c r="X452" s="4">
        <f t="shared" si="395"/>
        <v>0.85254543874327005</v>
      </c>
      <c r="Y452" s="4">
        <f t="shared" si="395"/>
        <v>0.79921300652623883</v>
      </c>
      <c r="Z452" s="4">
        <f t="shared" si="395"/>
        <v>0.73204982249993378</v>
      </c>
      <c r="AA452" s="4">
        <f t="shared" si="395"/>
        <v>0.65145592958786691</v>
      </c>
      <c r="AB452" s="4">
        <f t="shared" si="395"/>
        <v>0.56032247880849573</v>
      </c>
      <c r="AC452" s="4">
        <f t="shared" si="395"/>
        <v>0.46411326873185343</v>
      </c>
      <c r="AD452" s="4">
        <f t="shared" si="395"/>
        <v>0.36979727595523937</v>
      </c>
      <c r="AE452" s="4">
        <f t="shared" si="395"/>
        <v>0.28393948637231203</v>
      </c>
      <c r="AF452" s="4">
        <f t="shared" si="395"/>
        <v>0.21097259161117732</v>
      </c>
      <c r="AG452" s="4">
        <f t="shared" si="392"/>
        <v>0.15253917653798199</v>
      </c>
      <c r="AH452" s="4">
        <f t="shared" si="392"/>
        <v>0.10795188737709993</v>
      </c>
      <c r="AI452" s="4">
        <f t="shared" si="392"/>
        <v>7.5176653938091809E-2</v>
      </c>
      <c r="AJ452" s="4">
        <f t="shared" si="393"/>
        <v>5.1742836177502194E-2</v>
      </c>
      <c r="AK452" s="4">
        <f t="shared" si="393"/>
        <v>3.5319190625345942E-2</v>
      </c>
      <c r="AL452" s="4">
        <f t="shared" si="393"/>
        <v>2.3969442072658165E-2</v>
      </c>
      <c r="AM452" s="4">
        <f t="shared" si="393"/>
        <v>1.6202243558389728E-2</v>
      </c>
      <c r="AN452" s="4">
        <f t="shared" si="393"/>
        <v>1.0922240564108399E-2</v>
      </c>
      <c r="AO452" s="4">
        <f t="shared" si="393"/>
        <v>7.3493212906090566E-3</v>
      </c>
      <c r="AP452" s="4">
        <f t="shared" si="393"/>
        <v>4.9390262185057265E-3</v>
      </c>
      <c r="AQ452" s="4">
        <f t="shared" si="393"/>
        <v>3.3164275492956197E-3</v>
      </c>
      <c r="AR452" s="4">
        <f t="shared" si="393"/>
        <v>2.2256362146679809E-3</v>
      </c>
    </row>
    <row r="453" spans="1:44" x14ac:dyDescent="0.3">
      <c r="A453" s="24" t="s">
        <v>56</v>
      </c>
      <c r="B453" s="45">
        <f>'Parameter Input'!B64</f>
        <v>0.48</v>
      </c>
      <c r="C453" s="46">
        <f>'Parameter Input'!C64</f>
        <v>0.48</v>
      </c>
      <c r="D453" s="1" t="s">
        <v>57</v>
      </c>
      <c r="L453" s="54">
        <f>'Parameter Input'!E64</f>
        <v>12</v>
      </c>
      <c r="M453" s="37">
        <v>0</v>
      </c>
      <c r="N453" s="37">
        <v>1</v>
      </c>
      <c r="O453" s="37">
        <f>'Parameter Input'!F64</f>
        <v>0.9</v>
      </c>
      <c r="P453" s="55">
        <f>'Parameter Input'!G64</f>
        <v>0.4</v>
      </c>
      <c r="Q453" s="4">
        <f t="shared" si="395"/>
        <v>0.9867978615748374</v>
      </c>
      <c r="R453" s="4">
        <f t="shared" si="395"/>
        <v>0.98114509762858249</v>
      </c>
      <c r="S453" s="4">
        <f t="shared" si="395"/>
        <v>0.97311898315872036</v>
      </c>
      <c r="T453" s="4">
        <f t="shared" si="395"/>
        <v>0.96177484161592774</v>
      </c>
      <c r="U453" s="4">
        <f t="shared" si="395"/>
        <v>0.94584787155511363</v>
      </c>
      <c r="V453" s="4">
        <f t="shared" si="395"/>
        <v>0.92370360150141495</v>
      </c>
      <c r="W453" s="4">
        <f t="shared" si="395"/>
        <v>0.89334463567658451</v>
      </c>
      <c r="X453" s="4">
        <f t="shared" si="395"/>
        <v>0.85254543874327005</v>
      </c>
      <c r="Y453" s="4">
        <f t="shared" si="395"/>
        <v>0.79921300652623883</v>
      </c>
      <c r="Z453" s="4">
        <f t="shared" si="395"/>
        <v>0.73204982249993378</v>
      </c>
      <c r="AA453" s="4">
        <f t="shared" si="395"/>
        <v>0.65145592958786691</v>
      </c>
      <c r="AB453" s="4">
        <f t="shared" si="395"/>
        <v>0.56032247880849573</v>
      </c>
      <c r="AC453" s="4">
        <f t="shared" si="395"/>
        <v>0.46411326873185343</v>
      </c>
      <c r="AD453" s="4">
        <f t="shared" si="395"/>
        <v>0.36979727595523937</v>
      </c>
      <c r="AE453" s="4">
        <f t="shared" si="395"/>
        <v>0.28393948637231203</v>
      </c>
      <c r="AF453" s="4">
        <f t="shared" si="395"/>
        <v>0.21097259161117732</v>
      </c>
      <c r="AG453" s="4">
        <f t="shared" si="392"/>
        <v>0.15253917653798199</v>
      </c>
      <c r="AH453" s="4">
        <f t="shared" si="392"/>
        <v>0.10795188737709993</v>
      </c>
      <c r="AI453" s="4">
        <f t="shared" si="392"/>
        <v>7.5176653938091809E-2</v>
      </c>
      <c r="AJ453" s="4">
        <f t="shared" si="393"/>
        <v>5.1742836177502194E-2</v>
      </c>
      <c r="AK453" s="4">
        <f t="shared" si="393"/>
        <v>3.5319190625345942E-2</v>
      </c>
      <c r="AL453" s="4">
        <f t="shared" si="393"/>
        <v>2.3969442072658165E-2</v>
      </c>
      <c r="AM453" s="4">
        <f t="shared" si="393"/>
        <v>1.6202243558389728E-2</v>
      </c>
      <c r="AN453" s="4">
        <f t="shared" si="393"/>
        <v>1.0922240564108399E-2</v>
      </c>
      <c r="AO453" s="4">
        <f t="shared" si="393"/>
        <v>7.3493212906090566E-3</v>
      </c>
      <c r="AP453" s="4">
        <f t="shared" si="393"/>
        <v>4.9390262185057265E-3</v>
      </c>
      <c r="AQ453" s="4">
        <f t="shared" si="393"/>
        <v>3.3164275492956197E-3</v>
      </c>
      <c r="AR453" s="4">
        <f t="shared" si="393"/>
        <v>2.2256362146679809E-3</v>
      </c>
    </row>
    <row r="454" spans="1:44" x14ac:dyDescent="0.3">
      <c r="A454" s="24" t="s">
        <v>73</v>
      </c>
      <c r="B454" s="45">
        <f>'Parameter Input'!L14</f>
        <v>0</v>
      </c>
      <c r="C454" s="46">
        <f>'Parameter Input'!M14</f>
        <v>0</v>
      </c>
      <c r="D454" s="1" t="s">
        <v>57</v>
      </c>
      <c r="L454" s="54">
        <f>'Parameter Input'!O14</f>
        <v>12</v>
      </c>
      <c r="M454" s="37">
        <v>0</v>
      </c>
      <c r="N454" s="37">
        <v>1</v>
      </c>
      <c r="O454" s="37">
        <f>'Parameter Input'!P14</f>
        <v>0.9</v>
      </c>
      <c r="P454" s="55">
        <f>'Parameter Input'!Q14</f>
        <v>0.4</v>
      </c>
      <c r="Q454" s="4">
        <f t="shared" si="395"/>
        <v>0.9867978615748374</v>
      </c>
      <c r="R454" s="4">
        <f t="shared" si="395"/>
        <v>0.98114509762858249</v>
      </c>
      <c r="S454" s="4">
        <f t="shared" si="395"/>
        <v>0.97311898315872036</v>
      </c>
      <c r="T454" s="4">
        <f t="shared" si="395"/>
        <v>0.96177484161592774</v>
      </c>
      <c r="U454" s="4">
        <f t="shared" si="395"/>
        <v>0.94584787155511363</v>
      </c>
      <c r="V454" s="4">
        <f t="shared" si="395"/>
        <v>0.92370360150141495</v>
      </c>
      <c r="W454" s="4">
        <f t="shared" si="395"/>
        <v>0.89334463567658451</v>
      </c>
      <c r="X454" s="4">
        <f t="shared" si="395"/>
        <v>0.85254543874327005</v>
      </c>
      <c r="Y454" s="4">
        <f t="shared" si="395"/>
        <v>0.79921300652623883</v>
      </c>
      <c r="Z454" s="4">
        <f t="shared" si="395"/>
        <v>0.73204982249993378</v>
      </c>
      <c r="AA454" s="4">
        <f t="shared" si="395"/>
        <v>0.65145592958786691</v>
      </c>
      <c r="AB454" s="4">
        <f t="shared" si="395"/>
        <v>0.56032247880849573</v>
      </c>
      <c r="AC454" s="4">
        <f t="shared" si="395"/>
        <v>0.46411326873185343</v>
      </c>
      <c r="AD454" s="4">
        <f t="shared" si="395"/>
        <v>0.36979727595523937</v>
      </c>
      <c r="AE454" s="4">
        <f t="shared" si="395"/>
        <v>0.28393948637231203</v>
      </c>
      <c r="AF454" s="4">
        <f t="shared" si="395"/>
        <v>0.21097259161117732</v>
      </c>
      <c r="AG454" s="4">
        <f t="shared" si="392"/>
        <v>0.15253917653798199</v>
      </c>
      <c r="AH454" s="4">
        <f t="shared" si="392"/>
        <v>0.10795188737709993</v>
      </c>
      <c r="AI454" s="4">
        <f t="shared" si="392"/>
        <v>7.5176653938091809E-2</v>
      </c>
      <c r="AJ454" s="4">
        <f t="shared" si="393"/>
        <v>5.1742836177502194E-2</v>
      </c>
      <c r="AK454" s="4">
        <f t="shared" si="393"/>
        <v>3.5319190625345942E-2</v>
      </c>
      <c r="AL454" s="4">
        <f t="shared" si="393"/>
        <v>2.3969442072658165E-2</v>
      </c>
      <c r="AM454" s="4">
        <f t="shared" si="393"/>
        <v>1.6202243558389728E-2</v>
      </c>
      <c r="AN454" s="4">
        <f t="shared" si="393"/>
        <v>1.0922240564108399E-2</v>
      </c>
      <c r="AO454" s="4">
        <f t="shared" si="393"/>
        <v>7.3493212906090566E-3</v>
      </c>
      <c r="AP454" s="4">
        <f t="shared" si="393"/>
        <v>4.9390262185057265E-3</v>
      </c>
      <c r="AQ454" s="4">
        <f t="shared" si="393"/>
        <v>3.3164275492956197E-3</v>
      </c>
      <c r="AR454" s="4">
        <f t="shared" si="393"/>
        <v>2.2256362146679809E-3</v>
      </c>
    </row>
    <row r="455" spans="1:44" ht="15" thickBot="1" x14ac:dyDescent="0.35">
      <c r="A455" s="24" t="s">
        <v>64</v>
      </c>
      <c r="B455" s="49">
        <f>'Parameter Input'!B65</f>
        <v>90000</v>
      </c>
      <c r="C455" s="50">
        <f>'Parameter Input'!C65</f>
        <v>90000</v>
      </c>
      <c r="D455" s="1" t="s">
        <v>65</v>
      </c>
      <c r="L455" s="56">
        <f>'Parameter Input'!E65</f>
        <v>12</v>
      </c>
      <c r="M455" s="57">
        <v>0</v>
      </c>
      <c r="N455" s="57">
        <v>1</v>
      </c>
      <c r="O455" s="57">
        <f>'Parameter Input'!F65</f>
        <v>0.9</v>
      </c>
      <c r="P455" s="58">
        <f>'Parameter Input'!G65</f>
        <v>0.4</v>
      </c>
      <c r="Q455" s="4">
        <f t="shared" si="395"/>
        <v>0.9867978615748374</v>
      </c>
      <c r="R455" s="4">
        <f t="shared" si="395"/>
        <v>0.98114509762858249</v>
      </c>
      <c r="S455" s="4">
        <f t="shared" si="395"/>
        <v>0.97311898315872036</v>
      </c>
      <c r="T455" s="4">
        <f t="shared" si="395"/>
        <v>0.96177484161592774</v>
      </c>
      <c r="U455" s="4">
        <f t="shared" si="395"/>
        <v>0.94584787155511363</v>
      </c>
      <c r="V455" s="4">
        <f t="shared" si="395"/>
        <v>0.92370360150141495</v>
      </c>
      <c r="W455" s="4">
        <f t="shared" si="395"/>
        <v>0.89334463567658451</v>
      </c>
      <c r="X455" s="4">
        <f t="shared" si="395"/>
        <v>0.85254543874327005</v>
      </c>
      <c r="Y455" s="4">
        <f t="shared" si="395"/>
        <v>0.79921300652623883</v>
      </c>
      <c r="Z455" s="4">
        <f t="shared" si="395"/>
        <v>0.73204982249993378</v>
      </c>
      <c r="AA455" s="4">
        <f t="shared" si="395"/>
        <v>0.65145592958786691</v>
      </c>
      <c r="AB455" s="4">
        <f t="shared" si="395"/>
        <v>0.56032247880849573</v>
      </c>
      <c r="AC455" s="4">
        <f t="shared" si="395"/>
        <v>0.46411326873185343</v>
      </c>
      <c r="AD455" s="4">
        <f t="shared" si="395"/>
        <v>0.36979727595523937</v>
      </c>
      <c r="AE455" s="4">
        <f t="shared" si="395"/>
        <v>0.28393948637231203</v>
      </c>
      <c r="AF455" s="4">
        <f t="shared" si="395"/>
        <v>0.21097259161117732</v>
      </c>
      <c r="AG455" s="4">
        <f t="shared" si="392"/>
        <v>0.15253917653798199</v>
      </c>
      <c r="AH455" s="4">
        <f t="shared" si="392"/>
        <v>0.10795188737709993</v>
      </c>
      <c r="AI455" s="4">
        <f t="shared" si="392"/>
        <v>7.5176653938091809E-2</v>
      </c>
      <c r="AJ455" s="4">
        <f t="shared" si="393"/>
        <v>5.1742836177502194E-2</v>
      </c>
      <c r="AK455" s="4">
        <f t="shared" si="393"/>
        <v>3.5319190625345942E-2</v>
      </c>
      <c r="AL455" s="4">
        <f t="shared" si="393"/>
        <v>2.3969442072658165E-2</v>
      </c>
      <c r="AM455" s="4">
        <f t="shared" si="393"/>
        <v>1.6202243558389728E-2</v>
      </c>
      <c r="AN455" s="4">
        <f t="shared" si="393"/>
        <v>1.0922240564108399E-2</v>
      </c>
      <c r="AO455" s="4">
        <f t="shared" si="393"/>
        <v>7.3493212906090566E-3</v>
      </c>
      <c r="AP455" s="4">
        <f t="shared" si="393"/>
        <v>4.9390262185057265E-3</v>
      </c>
      <c r="AQ455" s="4">
        <f t="shared" si="393"/>
        <v>3.3164275492956197E-3</v>
      </c>
      <c r="AR455" s="4">
        <f t="shared" si="393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73" si="396">A439</f>
        <v>Capex vehicle</v>
      </c>
      <c r="B459" s="62">
        <f t="shared" ref="B459:B468" si="397">$B439+($C439-$B439)*(1-Q439)</f>
        <v>105132.02138425162</v>
      </c>
      <c r="C459" s="62">
        <f t="shared" ref="C459:C468" si="398">$B439+($C439-$B439)*(1-R439)</f>
        <v>105188.54902371418</v>
      </c>
      <c r="D459" s="62">
        <f t="shared" ref="D459:D468" si="399">$B439+($C439-$B439)*(1-S439)</f>
        <v>105268.81016841279</v>
      </c>
      <c r="E459" s="62">
        <f t="shared" ref="E459:E468" si="400">$B439+($C439-$B439)*(1-T439)</f>
        <v>105382.25158384073</v>
      </c>
      <c r="F459" s="62">
        <f t="shared" ref="F459:F468" si="401">$B439+($C439-$B439)*(1-U439)</f>
        <v>105541.52128444887</v>
      </c>
      <c r="G459" s="62">
        <f t="shared" ref="G459:G468" si="402">$B439+($C439-$B439)*(1-V439)</f>
        <v>105762.96398498585</v>
      </c>
      <c r="H459" s="62">
        <f t="shared" ref="H459:H468" si="403">$B439+($C439-$B439)*(1-W439)</f>
        <v>106066.55364323416</v>
      </c>
      <c r="I459" s="62">
        <f t="shared" ref="I459:I468" si="404">$B439+($C439-$B439)*(1-X439)</f>
        <v>106474.54561256729</v>
      </c>
      <c r="J459" s="62">
        <f t="shared" ref="J459:J468" si="405">$B439+($C439-$B439)*(1-Y439)</f>
        <v>107007.86993473761</v>
      </c>
      <c r="K459" s="62">
        <f t="shared" ref="K459:K468" si="406">$B439+($C439-$B439)*(1-Z439)</f>
        <v>107679.50177500067</v>
      </c>
      <c r="L459" s="62">
        <f t="shared" ref="L459:L468" si="407">$B439+($C439-$B439)*(1-AA439)</f>
        <v>108485.44070412133</v>
      </c>
      <c r="M459" s="62">
        <f t="shared" ref="M459:M468" si="408">$B439+($C439-$B439)*(1-AB439)</f>
        <v>109396.77521191504</v>
      </c>
      <c r="N459" s="62">
        <f t="shared" ref="N459:N468" si="409">$B439+($C439-$B439)*(1-AC439)</f>
        <v>110358.86731268147</v>
      </c>
      <c r="O459" s="62">
        <f t="shared" ref="O459:O468" si="410">$B439+($C439-$B439)*(1-AD439)</f>
        <v>111302.02724044761</v>
      </c>
      <c r="P459" s="62">
        <f t="shared" ref="P459:P468" si="411">$B439+($C439-$B439)*(1-AE439)</f>
        <v>112160.60513627688</v>
      </c>
      <c r="Q459" s="62">
        <f t="shared" ref="Q459:Q468" si="412">$B439+($C439-$B439)*(1-AF439)</f>
        <v>112890.27408388823</v>
      </c>
      <c r="R459" s="62">
        <f t="shared" ref="R459:R468" si="413">$B439+($C439-$B439)*(1-AG439)</f>
        <v>113474.60823462019</v>
      </c>
      <c r="S459" s="62">
        <f t="shared" ref="S459:S468" si="414">$B439+($C439-$B439)*(1-AH439)</f>
        <v>113920.481126229</v>
      </c>
      <c r="T459" s="62">
        <f t="shared" ref="T459:T468" si="415">$B439+($C439-$B439)*(1-AI439)</f>
        <v>114248.23346061909</v>
      </c>
      <c r="U459" s="62">
        <f t="shared" ref="U459:U468" si="416">$B439+($C439-$B439)*(1-AJ439)</f>
        <v>114482.57163822498</v>
      </c>
      <c r="V459" s="62">
        <f t="shared" ref="V459:V468" si="417">$B439+($C439-$B439)*(1-AK439)</f>
        <v>114646.80809374654</v>
      </c>
      <c r="W459" s="62">
        <f t="shared" ref="W459:W468" si="418">$B439+($C439-$B439)*(1-AL439)</f>
        <v>114760.30557927342</v>
      </c>
      <c r="X459" s="62">
        <f t="shared" ref="X459:X468" si="419">$B439+($C439-$B439)*(1-AM439)</f>
        <v>114837.9775644161</v>
      </c>
      <c r="Y459" s="62">
        <f t="shared" ref="Y459:Y468" si="420">$B439+($C439-$B439)*(1-AN439)</f>
        <v>114890.77759435892</v>
      </c>
      <c r="Z459" s="62">
        <f t="shared" ref="Z459:Z468" si="421">$B439+($C439-$B439)*(1-AO439)</f>
        <v>114926.50678709391</v>
      </c>
      <c r="AA459" s="62">
        <f t="shared" ref="AA459:AA468" si="422">$B439+($C439-$B439)*(1-AP439)</f>
        <v>114950.60973781494</v>
      </c>
      <c r="AB459" s="62">
        <f t="shared" ref="AB459:AB468" si="423">$B439+($C439-$B439)*(1-AQ439)</f>
        <v>114966.83572450705</v>
      </c>
      <c r="AC459" s="62">
        <f t="shared" ref="AC459:AC468" si="424">$B439+($C439-$B439)*(1-AR439)</f>
        <v>114977.74363785332</v>
      </c>
    </row>
    <row r="460" spans="1:44" x14ac:dyDescent="0.3">
      <c r="A460" s="30" t="str">
        <f t="shared" si="396"/>
        <v>Residual value (vehicle)</v>
      </c>
      <c r="B460" s="62">
        <f t="shared" si="397"/>
        <v>-26131.180754173536</v>
      </c>
      <c r="C460" s="62">
        <f t="shared" si="398"/>
        <v>-26080.305878657244</v>
      </c>
      <c r="D460" s="62">
        <f t="shared" si="399"/>
        <v>-26008.070848428484</v>
      </c>
      <c r="E460" s="62">
        <f t="shared" si="400"/>
        <v>-25905.97357454335</v>
      </c>
      <c r="F460" s="62">
        <f t="shared" si="401"/>
        <v>-25762.630843996023</v>
      </c>
      <c r="G460" s="62">
        <f t="shared" si="402"/>
        <v>-25563.332413512733</v>
      </c>
      <c r="H460" s="62">
        <f t="shared" si="403"/>
        <v>-25290.101721089261</v>
      </c>
      <c r="I460" s="62">
        <f t="shared" si="404"/>
        <v>-24922.90894868943</v>
      </c>
      <c r="J460" s="62">
        <f t="shared" si="405"/>
        <v>-24442.917058736151</v>
      </c>
      <c r="K460" s="62">
        <f t="shared" si="406"/>
        <v>-23838.448402499405</v>
      </c>
      <c r="L460" s="62">
        <f t="shared" si="407"/>
        <v>-23113.103366290801</v>
      </c>
      <c r="M460" s="62">
        <f t="shared" si="408"/>
        <v>-22292.902309276462</v>
      </c>
      <c r="N460" s="62">
        <f t="shared" si="409"/>
        <v>-21427.019418586682</v>
      </c>
      <c r="O460" s="62">
        <f t="shared" si="410"/>
        <v>-20578.175483597155</v>
      </c>
      <c r="P460" s="62">
        <f t="shared" si="411"/>
        <v>-19805.455377350809</v>
      </c>
      <c r="Q460" s="62">
        <f t="shared" si="412"/>
        <v>-19148.753324500598</v>
      </c>
      <c r="R460" s="62">
        <f t="shared" si="413"/>
        <v>-18622.852588841837</v>
      </c>
      <c r="S460" s="62">
        <f t="shared" si="414"/>
        <v>-18221.5669863939</v>
      </c>
      <c r="T460" s="62">
        <f t="shared" si="415"/>
        <v>-17926.589885442827</v>
      </c>
      <c r="U460" s="62">
        <f t="shared" si="416"/>
        <v>-17715.685525597521</v>
      </c>
      <c r="V460" s="62">
        <f t="shared" si="417"/>
        <v>-17567.872715628113</v>
      </c>
      <c r="W460" s="62">
        <f t="shared" si="418"/>
        <v>-17465.724978653925</v>
      </c>
      <c r="X460" s="62">
        <f t="shared" si="419"/>
        <v>-17395.820192025509</v>
      </c>
      <c r="Y460" s="62">
        <f t="shared" si="420"/>
        <v>-17348.300165076973</v>
      </c>
      <c r="Z460" s="62">
        <f t="shared" si="421"/>
        <v>-17316.14389161548</v>
      </c>
      <c r="AA460" s="62">
        <f t="shared" si="422"/>
        <v>-17294.451235966553</v>
      </c>
      <c r="AB460" s="62">
        <f t="shared" si="423"/>
        <v>-17279.84784794366</v>
      </c>
      <c r="AC460" s="62">
        <f t="shared" si="424"/>
        <v>-17270.030725932011</v>
      </c>
    </row>
    <row r="461" spans="1:44" x14ac:dyDescent="0.3">
      <c r="A461" s="30" t="str">
        <f t="shared" si="396"/>
        <v>Capex costumization</v>
      </c>
      <c r="B461" s="62">
        <f t="shared" si="397"/>
        <v>35000</v>
      </c>
      <c r="C461" s="62">
        <f t="shared" si="398"/>
        <v>35000</v>
      </c>
      <c r="D461" s="62">
        <f t="shared" si="399"/>
        <v>35000</v>
      </c>
      <c r="E461" s="62">
        <f t="shared" si="400"/>
        <v>35000</v>
      </c>
      <c r="F461" s="62">
        <f t="shared" si="401"/>
        <v>35000</v>
      </c>
      <c r="G461" s="62">
        <f t="shared" si="402"/>
        <v>35000</v>
      </c>
      <c r="H461" s="62">
        <f t="shared" si="403"/>
        <v>35000</v>
      </c>
      <c r="I461" s="62">
        <f t="shared" si="404"/>
        <v>35000</v>
      </c>
      <c r="J461" s="62">
        <f t="shared" si="405"/>
        <v>35000</v>
      </c>
      <c r="K461" s="62">
        <f t="shared" si="406"/>
        <v>35000</v>
      </c>
      <c r="L461" s="62">
        <f t="shared" si="407"/>
        <v>35000</v>
      </c>
      <c r="M461" s="62">
        <f t="shared" si="408"/>
        <v>35000</v>
      </c>
      <c r="N461" s="62">
        <f t="shared" si="409"/>
        <v>35000</v>
      </c>
      <c r="O461" s="62">
        <f t="shared" si="410"/>
        <v>35000</v>
      </c>
      <c r="P461" s="62">
        <f t="shared" si="411"/>
        <v>35000</v>
      </c>
      <c r="Q461" s="62">
        <f t="shared" si="412"/>
        <v>35000</v>
      </c>
      <c r="R461" s="62">
        <f t="shared" si="413"/>
        <v>35000</v>
      </c>
      <c r="S461" s="62">
        <f t="shared" si="414"/>
        <v>35000</v>
      </c>
      <c r="T461" s="62">
        <f t="shared" si="415"/>
        <v>35000</v>
      </c>
      <c r="U461" s="62">
        <f t="shared" si="416"/>
        <v>35000</v>
      </c>
      <c r="V461" s="62">
        <f t="shared" si="417"/>
        <v>35000</v>
      </c>
      <c r="W461" s="62">
        <f t="shared" si="418"/>
        <v>35000</v>
      </c>
      <c r="X461" s="62">
        <f t="shared" si="419"/>
        <v>35000</v>
      </c>
      <c r="Y461" s="62">
        <f t="shared" si="420"/>
        <v>35000</v>
      </c>
      <c r="Z461" s="62">
        <f t="shared" si="421"/>
        <v>35000</v>
      </c>
      <c r="AA461" s="62">
        <f t="shared" si="422"/>
        <v>35000</v>
      </c>
      <c r="AB461" s="62">
        <f t="shared" si="423"/>
        <v>35000</v>
      </c>
      <c r="AC461" s="62">
        <f t="shared" si="424"/>
        <v>35000</v>
      </c>
    </row>
    <row r="462" spans="1:44" x14ac:dyDescent="0.3">
      <c r="A462" s="30" t="str">
        <f t="shared" si="396"/>
        <v>Residual value (costumization)</v>
      </c>
      <c r="B462" s="62">
        <f t="shared" si="397"/>
        <v>-8750</v>
      </c>
      <c r="C462" s="62">
        <f t="shared" si="398"/>
        <v>-8750</v>
      </c>
      <c r="D462" s="62">
        <f t="shared" si="399"/>
        <v>-8750</v>
      </c>
      <c r="E462" s="62">
        <f t="shared" si="400"/>
        <v>-8750</v>
      </c>
      <c r="F462" s="62">
        <f t="shared" si="401"/>
        <v>-8750</v>
      </c>
      <c r="G462" s="62">
        <f t="shared" si="402"/>
        <v>-8750</v>
      </c>
      <c r="H462" s="62">
        <f t="shared" si="403"/>
        <v>-8750</v>
      </c>
      <c r="I462" s="62">
        <f t="shared" si="404"/>
        <v>-8750</v>
      </c>
      <c r="J462" s="62">
        <f t="shared" si="405"/>
        <v>-8750</v>
      </c>
      <c r="K462" s="62">
        <f t="shared" si="406"/>
        <v>-8750</v>
      </c>
      <c r="L462" s="62">
        <f t="shared" si="407"/>
        <v>-8750</v>
      </c>
      <c r="M462" s="62">
        <f t="shared" si="408"/>
        <v>-8750</v>
      </c>
      <c r="N462" s="62">
        <f t="shared" si="409"/>
        <v>-8750</v>
      </c>
      <c r="O462" s="62">
        <f t="shared" si="410"/>
        <v>-8750</v>
      </c>
      <c r="P462" s="62">
        <f t="shared" si="411"/>
        <v>-8750</v>
      </c>
      <c r="Q462" s="62">
        <f t="shared" si="412"/>
        <v>-8750</v>
      </c>
      <c r="R462" s="62">
        <f t="shared" si="413"/>
        <v>-8750</v>
      </c>
      <c r="S462" s="62">
        <f t="shared" si="414"/>
        <v>-8750</v>
      </c>
      <c r="T462" s="62">
        <f t="shared" si="415"/>
        <v>-8750</v>
      </c>
      <c r="U462" s="62">
        <f t="shared" si="416"/>
        <v>-8750</v>
      </c>
      <c r="V462" s="62">
        <f t="shared" si="417"/>
        <v>-8750</v>
      </c>
      <c r="W462" s="62">
        <f t="shared" si="418"/>
        <v>-8750</v>
      </c>
      <c r="X462" s="62">
        <f t="shared" si="419"/>
        <v>-8750</v>
      </c>
      <c r="Y462" s="62">
        <f t="shared" si="420"/>
        <v>-8750</v>
      </c>
      <c r="Z462" s="62">
        <f t="shared" si="421"/>
        <v>-8750</v>
      </c>
      <c r="AA462" s="62">
        <f t="shared" si="422"/>
        <v>-8750</v>
      </c>
      <c r="AB462" s="62">
        <f t="shared" si="423"/>
        <v>-8750</v>
      </c>
      <c r="AC462" s="62">
        <f t="shared" si="424"/>
        <v>-8750</v>
      </c>
    </row>
    <row r="463" spans="1:44" x14ac:dyDescent="0.3">
      <c r="A463" s="30" t="str">
        <f t="shared" si="396"/>
        <v>WACC</v>
      </c>
      <c r="B463" s="62">
        <f t="shared" si="397"/>
        <v>0.06</v>
      </c>
      <c r="C463" s="62">
        <f t="shared" si="398"/>
        <v>0.06</v>
      </c>
      <c r="D463" s="62">
        <f t="shared" si="399"/>
        <v>0.06</v>
      </c>
      <c r="E463" s="62">
        <f t="shared" si="400"/>
        <v>0.06</v>
      </c>
      <c r="F463" s="62">
        <f t="shared" si="401"/>
        <v>0.06</v>
      </c>
      <c r="G463" s="62">
        <f t="shared" si="402"/>
        <v>0.06</v>
      </c>
      <c r="H463" s="62">
        <f t="shared" si="403"/>
        <v>0.06</v>
      </c>
      <c r="I463" s="62">
        <f t="shared" si="404"/>
        <v>0.06</v>
      </c>
      <c r="J463" s="62">
        <f t="shared" si="405"/>
        <v>0.06</v>
      </c>
      <c r="K463" s="62">
        <f t="shared" si="406"/>
        <v>0.06</v>
      </c>
      <c r="L463" s="62">
        <f t="shared" si="407"/>
        <v>0.06</v>
      </c>
      <c r="M463" s="62">
        <f t="shared" si="408"/>
        <v>0.06</v>
      </c>
      <c r="N463" s="62">
        <f t="shared" si="409"/>
        <v>0.06</v>
      </c>
      <c r="O463" s="62">
        <f t="shared" si="410"/>
        <v>0.06</v>
      </c>
      <c r="P463" s="62">
        <f t="shared" si="411"/>
        <v>0.06</v>
      </c>
      <c r="Q463" s="62">
        <f t="shared" si="412"/>
        <v>0.06</v>
      </c>
      <c r="R463" s="62">
        <f t="shared" si="413"/>
        <v>0.06</v>
      </c>
      <c r="S463" s="62">
        <f t="shared" si="414"/>
        <v>0.06</v>
      </c>
      <c r="T463" s="62">
        <f t="shared" si="415"/>
        <v>0.06</v>
      </c>
      <c r="U463" s="62">
        <f t="shared" si="416"/>
        <v>0.06</v>
      </c>
      <c r="V463" s="62">
        <f t="shared" si="417"/>
        <v>0.06</v>
      </c>
      <c r="W463" s="62">
        <f t="shared" si="418"/>
        <v>0.06</v>
      </c>
      <c r="X463" s="62">
        <f t="shared" si="419"/>
        <v>0.06</v>
      </c>
      <c r="Y463" s="62">
        <f t="shared" si="420"/>
        <v>0.06</v>
      </c>
      <c r="Z463" s="62">
        <f t="shared" si="421"/>
        <v>0.06</v>
      </c>
      <c r="AA463" s="62">
        <f t="shared" si="422"/>
        <v>0.06</v>
      </c>
      <c r="AB463" s="62">
        <f t="shared" si="423"/>
        <v>0.06</v>
      </c>
      <c r="AC463" s="62">
        <f t="shared" si="424"/>
        <v>0.06</v>
      </c>
    </row>
    <row r="464" spans="1:44" x14ac:dyDescent="0.3">
      <c r="A464" s="30" t="str">
        <f t="shared" si="396"/>
        <v>Opex fix (admin, crew, insurance)</v>
      </c>
      <c r="B464" s="62">
        <f t="shared" si="397"/>
        <v>70000</v>
      </c>
      <c r="C464" s="62">
        <f t="shared" si="398"/>
        <v>70000</v>
      </c>
      <c r="D464" s="62">
        <f t="shared" si="399"/>
        <v>70000</v>
      </c>
      <c r="E464" s="62">
        <f t="shared" si="400"/>
        <v>70000</v>
      </c>
      <c r="F464" s="62">
        <f t="shared" si="401"/>
        <v>70000</v>
      </c>
      <c r="G464" s="62">
        <f t="shared" si="402"/>
        <v>70000</v>
      </c>
      <c r="H464" s="62">
        <f t="shared" si="403"/>
        <v>70000</v>
      </c>
      <c r="I464" s="62">
        <f t="shared" si="404"/>
        <v>70000</v>
      </c>
      <c r="J464" s="62">
        <f t="shared" si="405"/>
        <v>70000</v>
      </c>
      <c r="K464" s="62">
        <f t="shared" si="406"/>
        <v>70000</v>
      </c>
      <c r="L464" s="62">
        <f t="shared" si="407"/>
        <v>70000</v>
      </c>
      <c r="M464" s="62">
        <f t="shared" si="408"/>
        <v>70000</v>
      </c>
      <c r="N464" s="62">
        <f t="shared" si="409"/>
        <v>70000</v>
      </c>
      <c r="O464" s="62">
        <f t="shared" si="410"/>
        <v>70000</v>
      </c>
      <c r="P464" s="62">
        <f t="shared" si="411"/>
        <v>70000</v>
      </c>
      <c r="Q464" s="62">
        <f t="shared" si="412"/>
        <v>70000</v>
      </c>
      <c r="R464" s="62">
        <f t="shared" si="413"/>
        <v>70000</v>
      </c>
      <c r="S464" s="62">
        <f t="shared" si="414"/>
        <v>70000</v>
      </c>
      <c r="T464" s="62">
        <f t="shared" si="415"/>
        <v>70000</v>
      </c>
      <c r="U464" s="62">
        <f t="shared" si="416"/>
        <v>70000</v>
      </c>
      <c r="V464" s="62">
        <f t="shared" si="417"/>
        <v>70000</v>
      </c>
      <c r="W464" s="62">
        <f t="shared" si="418"/>
        <v>70000</v>
      </c>
      <c r="X464" s="62">
        <f t="shared" si="419"/>
        <v>70000</v>
      </c>
      <c r="Y464" s="62">
        <f t="shared" si="420"/>
        <v>70000</v>
      </c>
      <c r="Z464" s="62">
        <f t="shared" si="421"/>
        <v>70000</v>
      </c>
      <c r="AA464" s="62">
        <f t="shared" si="422"/>
        <v>70000</v>
      </c>
      <c r="AB464" s="62">
        <f t="shared" si="423"/>
        <v>70000</v>
      </c>
      <c r="AC464" s="62">
        <f t="shared" si="424"/>
        <v>70000</v>
      </c>
    </row>
    <row r="465" spans="1:29" x14ac:dyDescent="0.3">
      <c r="A465" s="30" t="str">
        <f t="shared" si="396"/>
        <v>Opex maintenance &amp; repair</v>
      </c>
      <c r="B465" s="62">
        <f t="shared" si="397"/>
        <v>20000</v>
      </c>
      <c r="C465" s="62">
        <f t="shared" si="398"/>
        <v>20000</v>
      </c>
      <c r="D465" s="62">
        <f t="shared" si="399"/>
        <v>20000</v>
      </c>
      <c r="E465" s="62">
        <f t="shared" si="400"/>
        <v>20000</v>
      </c>
      <c r="F465" s="62">
        <f t="shared" si="401"/>
        <v>20000</v>
      </c>
      <c r="G465" s="62">
        <f t="shared" si="402"/>
        <v>20000</v>
      </c>
      <c r="H465" s="62">
        <f t="shared" si="403"/>
        <v>20000</v>
      </c>
      <c r="I465" s="62">
        <f t="shared" si="404"/>
        <v>20000</v>
      </c>
      <c r="J465" s="62">
        <f t="shared" si="405"/>
        <v>20000</v>
      </c>
      <c r="K465" s="62">
        <f t="shared" si="406"/>
        <v>20000</v>
      </c>
      <c r="L465" s="62">
        <f t="shared" si="407"/>
        <v>20000</v>
      </c>
      <c r="M465" s="62">
        <f t="shared" si="408"/>
        <v>20000</v>
      </c>
      <c r="N465" s="62">
        <f t="shared" si="409"/>
        <v>20000</v>
      </c>
      <c r="O465" s="62">
        <f t="shared" si="410"/>
        <v>20000</v>
      </c>
      <c r="P465" s="62">
        <f t="shared" si="411"/>
        <v>20000</v>
      </c>
      <c r="Q465" s="62">
        <f t="shared" si="412"/>
        <v>20000</v>
      </c>
      <c r="R465" s="62">
        <f t="shared" si="413"/>
        <v>20000</v>
      </c>
      <c r="S465" s="62">
        <f t="shared" si="414"/>
        <v>20000</v>
      </c>
      <c r="T465" s="62">
        <f t="shared" si="415"/>
        <v>20000</v>
      </c>
      <c r="U465" s="62">
        <f t="shared" si="416"/>
        <v>20000</v>
      </c>
      <c r="V465" s="62">
        <f t="shared" si="417"/>
        <v>20000</v>
      </c>
      <c r="W465" s="62">
        <f t="shared" si="418"/>
        <v>20000</v>
      </c>
      <c r="X465" s="62">
        <f t="shared" si="419"/>
        <v>20000</v>
      </c>
      <c r="Y465" s="62">
        <f t="shared" si="420"/>
        <v>20000</v>
      </c>
      <c r="Z465" s="62">
        <f t="shared" si="421"/>
        <v>20000</v>
      </c>
      <c r="AA465" s="62">
        <f t="shared" si="422"/>
        <v>20000</v>
      </c>
      <c r="AB465" s="62">
        <f t="shared" si="423"/>
        <v>20000</v>
      </c>
      <c r="AC465" s="62">
        <f t="shared" si="424"/>
        <v>20000</v>
      </c>
    </row>
    <row r="466" spans="1:29" x14ac:dyDescent="0.3">
      <c r="A466" s="30" t="str">
        <f t="shared" si="396"/>
        <v>Opex var (mode-fees)</v>
      </c>
      <c r="B466" s="62">
        <f t="shared" si="397"/>
        <v>0.11</v>
      </c>
      <c r="C466" s="62">
        <f t="shared" si="398"/>
        <v>0.11</v>
      </c>
      <c r="D466" s="62">
        <f t="shared" si="399"/>
        <v>0.11</v>
      </c>
      <c r="E466" s="62">
        <f t="shared" si="400"/>
        <v>0.11</v>
      </c>
      <c r="F466" s="62">
        <f t="shared" si="401"/>
        <v>0.11</v>
      </c>
      <c r="G466" s="62">
        <f t="shared" si="402"/>
        <v>0.11</v>
      </c>
      <c r="H466" s="62">
        <f t="shared" si="403"/>
        <v>0.11</v>
      </c>
      <c r="I466" s="62">
        <f t="shared" si="404"/>
        <v>0.11</v>
      </c>
      <c r="J466" s="62">
        <f t="shared" si="405"/>
        <v>0.11</v>
      </c>
      <c r="K466" s="62">
        <f t="shared" si="406"/>
        <v>0.11</v>
      </c>
      <c r="L466" s="62">
        <f t="shared" si="407"/>
        <v>0.11</v>
      </c>
      <c r="M466" s="62">
        <f t="shared" si="408"/>
        <v>0.11</v>
      </c>
      <c r="N466" s="62">
        <f t="shared" si="409"/>
        <v>0.11</v>
      </c>
      <c r="O466" s="62">
        <f t="shared" si="410"/>
        <v>0.11</v>
      </c>
      <c r="P466" s="62">
        <f t="shared" si="411"/>
        <v>0.11</v>
      </c>
      <c r="Q466" s="62">
        <f t="shared" si="412"/>
        <v>0.11</v>
      </c>
      <c r="R466" s="62">
        <f t="shared" si="413"/>
        <v>0.11</v>
      </c>
      <c r="S466" s="62">
        <f t="shared" si="414"/>
        <v>0.11</v>
      </c>
      <c r="T466" s="62">
        <f t="shared" si="415"/>
        <v>0.11</v>
      </c>
      <c r="U466" s="62">
        <f t="shared" si="416"/>
        <v>0.11</v>
      </c>
      <c r="V466" s="62">
        <f t="shared" si="417"/>
        <v>0.11</v>
      </c>
      <c r="W466" s="62">
        <f t="shared" si="418"/>
        <v>0.11</v>
      </c>
      <c r="X466" s="62">
        <f t="shared" si="419"/>
        <v>0.11</v>
      </c>
      <c r="Y466" s="62">
        <f t="shared" si="420"/>
        <v>0.11</v>
      </c>
      <c r="Z466" s="62">
        <f t="shared" si="421"/>
        <v>0.11</v>
      </c>
      <c r="AA466" s="62">
        <f t="shared" si="422"/>
        <v>0.11</v>
      </c>
      <c r="AB466" s="62">
        <f t="shared" si="423"/>
        <v>0.11</v>
      </c>
      <c r="AC466" s="62">
        <f t="shared" si="424"/>
        <v>0.11</v>
      </c>
    </row>
    <row r="467" spans="1:29" x14ac:dyDescent="0.3">
      <c r="A467" s="30" t="str">
        <f t="shared" si="396"/>
        <v>Fuel Economy</v>
      </c>
      <c r="B467" s="62">
        <f t="shared" si="397"/>
        <v>2.8933989307874186</v>
      </c>
      <c r="C467" s="62">
        <f t="shared" si="398"/>
        <v>2.890572548814291</v>
      </c>
      <c r="D467" s="62">
        <f t="shared" si="399"/>
        <v>2.88655949157936</v>
      </c>
      <c r="E467" s="62">
        <f t="shared" si="400"/>
        <v>2.880887420807964</v>
      </c>
      <c r="F467" s="62">
        <f t="shared" si="401"/>
        <v>2.8729239357775569</v>
      </c>
      <c r="G467" s="62">
        <f t="shared" si="402"/>
        <v>2.8618518007507072</v>
      </c>
      <c r="H467" s="62">
        <f t="shared" si="403"/>
        <v>2.846672317838292</v>
      </c>
      <c r="I467" s="62">
        <f t="shared" si="404"/>
        <v>2.826272719371635</v>
      </c>
      <c r="J467" s="62">
        <f t="shared" si="405"/>
        <v>2.7996065032631194</v>
      </c>
      <c r="K467" s="62">
        <f t="shared" si="406"/>
        <v>2.7660249112499669</v>
      </c>
      <c r="L467" s="62">
        <f t="shared" si="407"/>
        <v>2.7257279647939332</v>
      </c>
      <c r="M467" s="62">
        <f t="shared" si="408"/>
        <v>2.6801612394042476</v>
      </c>
      <c r="N467" s="62">
        <f t="shared" si="409"/>
        <v>2.6320566343659264</v>
      </c>
      <c r="O467" s="62">
        <f t="shared" si="410"/>
        <v>2.5848986379776195</v>
      </c>
      <c r="P467" s="62">
        <f t="shared" si="411"/>
        <v>2.5419697431861561</v>
      </c>
      <c r="Q467" s="62">
        <f t="shared" si="412"/>
        <v>2.5054862958055883</v>
      </c>
      <c r="R467" s="62">
        <f t="shared" si="413"/>
        <v>2.4762695882689911</v>
      </c>
      <c r="S467" s="62">
        <f t="shared" si="414"/>
        <v>2.4539759436885498</v>
      </c>
      <c r="T467" s="62">
        <f t="shared" si="415"/>
        <v>2.4375883269690459</v>
      </c>
      <c r="U467" s="62">
        <f t="shared" si="416"/>
        <v>2.4258714180887511</v>
      </c>
      <c r="V467" s="62">
        <f t="shared" si="417"/>
        <v>2.4176595953126729</v>
      </c>
      <c r="W467" s="62">
        <f t="shared" si="418"/>
        <v>2.4119847210363288</v>
      </c>
      <c r="X467" s="62">
        <f t="shared" si="419"/>
        <v>2.408101121779195</v>
      </c>
      <c r="Y467" s="62">
        <f t="shared" si="420"/>
        <v>2.4054611202820539</v>
      </c>
      <c r="Z467" s="62">
        <f t="shared" si="421"/>
        <v>2.4036746606453043</v>
      </c>
      <c r="AA467" s="62">
        <f t="shared" si="422"/>
        <v>2.4024695131092528</v>
      </c>
      <c r="AB467" s="62">
        <f t="shared" si="423"/>
        <v>2.4016582137746476</v>
      </c>
      <c r="AC467" s="62">
        <f t="shared" si="424"/>
        <v>2.4011128181073338</v>
      </c>
    </row>
    <row r="468" spans="1:29" x14ac:dyDescent="0.3">
      <c r="A468" s="30" t="str">
        <f t="shared" si="396"/>
        <v>Fuel Cost</v>
      </c>
      <c r="B468" s="62">
        <f t="shared" si="397"/>
        <v>0.1</v>
      </c>
      <c r="C468" s="62">
        <f t="shared" si="398"/>
        <v>0.1</v>
      </c>
      <c r="D468" s="62">
        <f t="shared" si="399"/>
        <v>0.1</v>
      </c>
      <c r="E468" s="62">
        <f t="shared" si="400"/>
        <v>0.1</v>
      </c>
      <c r="F468" s="62">
        <f t="shared" si="401"/>
        <v>0.1</v>
      </c>
      <c r="G468" s="62">
        <f t="shared" si="402"/>
        <v>0.1</v>
      </c>
      <c r="H468" s="62">
        <f t="shared" si="403"/>
        <v>0.1</v>
      </c>
      <c r="I468" s="62">
        <f t="shared" si="404"/>
        <v>0.1</v>
      </c>
      <c r="J468" s="62">
        <f t="shared" si="405"/>
        <v>0.1</v>
      </c>
      <c r="K468" s="62">
        <f t="shared" si="406"/>
        <v>0.1</v>
      </c>
      <c r="L468" s="62">
        <f t="shared" si="407"/>
        <v>0.1</v>
      </c>
      <c r="M468" s="62">
        <f t="shared" si="408"/>
        <v>0.1</v>
      </c>
      <c r="N468" s="62">
        <f t="shared" si="409"/>
        <v>0.1</v>
      </c>
      <c r="O468" s="62">
        <f t="shared" si="410"/>
        <v>0.1</v>
      </c>
      <c r="P468" s="62">
        <f t="shared" si="411"/>
        <v>0.1</v>
      </c>
      <c r="Q468" s="62">
        <f t="shared" si="412"/>
        <v>0.1</v>
      </c>
      <c r="R468" s="62">
        <f t="shared" si="413"/>
        <v>0.1</v>
      </c>
      <c r="S468" s="62">
        <f t="shared" si="414"/>
        <v>0.1</v>
      </c>
      <c r="T468" s="62">
        <f t="shared" si="415"/>
        <v>0.1</v>
      </c>
      <c r="U468" s="62">
        <f t="shared" si="416"/>
        <v>0.1</v>
      </c>
      <c r="V468" s="62">
        <f t="shared" si="417"/>
        <v>0.1</v>
      </c>
      <c r="W468" s="62">
        <f t="shared" si="418"/>
        <v>0.1</v>
      </c>
      <c r="X468" s="62">
        <f t="shared" si="419"/>
        <v>0.1</v>
      </c>
      <c r="Y468" s="62">
        <f t="shared" si="420"/>
        <v>0.1</v>
      </c>
      <c r="Z468" s="62">
        <f t="shared" si="421"/>
        <v>0.1</v>
      </c>
      <c r="AA468" s="62">
        <f t="shared" si="422"/>
        <v>0.1</v>
      </c>
      <c r="AB468" s="62">
        <f t="shared" si="423"/>
        <v>0.1</v>
      </c>
      <c r="AC468" s="62">
        <f t="shared" si="424"/>
        <v>0.1</v>
      </c>
    </row>
    <row r="469" spans="1:29" x14ac:dyDescent="0.3">
      <c r="A469" s="30" t="str">
        <f t="shared" si="396"/>
        <v>Emission Cost</v>
      </c>
      <c r="B469" s="66">
        <f>$B449+($C449-$B449)*(1-Q449)</f>
        <v>7.7639122778339092E-2</v>
      </c>
      <c r="C469" s="66">
        <f t="shared" ref="C469:AC469" si="425">$B449+($C449-$B449)*(1-R449)</f>
        <v>7.777844914537467E-2</v>
      </c>
      <c r="D469" s="66">
        <f t="shared" si="425"/>
        <v>7.7977891736541474E-2</v>
      </c>
      <c r="E469" s="66">
        <f t="shared" si="425"/>
        <v>7.8263208388635597E-2</v>
      </c>
      <c r="F469" s="66">
        <f t="shared" si="425"/>
        <v>7.8670988842723152E-2</v>
      </c>
      <c r="G469" s="66">
        <f t="shared" si="425"/>
        <v>7.925297967571665E-2</v>
      </c>
      <c r="H469" s="66">
        <f t="shared" si="425"/>
        <v>8.0081877399879431E-2</v>
      </c>
      <c r="I469" s="66">
        <f t="shared" si="425"/>
        <v>8.1258793344219593E-2</v>
      </c>
      <c r="J469" s="66">
        <f t="shared" si="425"/>
        <v>8.2922250937142977E-2</v>
      </c>
      <c r="K469" s="66">
        <f t="shared" si="425"/>
        <v>8.5257715386346467E-2</v>
      </c>
      <c r="L469" s="66">
        <f t="shared" si="425"/>
        <v>8.8504858770587308E-2</v>
      </c>
      <c r="M469" s="66">
        <f t="shared" si="425"/>
        <v>9.2956570874505887E-2</v>
      </c>
      <c r="N469" s="66">
        <f t="shared" si="425"/>
        <v>9.8939194915988959E-2</v>
      </c>
      <c r="O469" s="66">
        <f t="shared" si="425"/>
        <v>0.10675964029617348</v>
      </c>
      <c r="P469" s="66">
        <f t="shared" si="425"/>
        <v>0.11660816942568256</v>
      </c>
      <c r="Q469" s="66">
        <f t="shared" si="425"/>
        <v>0.12842612167902054</v>
      </c>
      <c r="R469" s="66">
        <f t="shared" si="425"/>
        <v>0.14178955073148763</v>
      </c>
      <c r="S469" s="66">
        <f t="shared" si="425"/>
        <v>0.15589726795340736</v>
      </c>
      <c r="T469" s="66">
        <f t="shared" si="425"/>
        <v>0.16972737168814467</v>
      </c>
      <c r="U469" s="66">
        <f t="shared" si="425"/>
        <v>0.18231719979056973</v>
      </c>
      <c r="V469" s="66">
        <f t="shared" si="425"/>
        <v>0.19301676085163266</v>
      </c>
      <c r="W469" s="66">
        <f t="shared" si="425"/>
        <v>0.20158519307872402</v>
      </c>
      <c r="X469" s="66">
        <f t="shared" si="425"/>
        <v>0.20812328716215528</v>
      </c>
      <c r="Y469" s="66">
        <f t="shared" si="425"/>
        <v>0.21292931066938076</v>
      </c>
      <c r="Z469" s="66">
        <f t="shared" si="425"/>
        <v>0.21636554794991802</v>
      </c>
      <c r="AA469" s="66">
        <f t="shared" si="425"/>
        <v>0.21877384282125395</v>
      </c>
      <c r="AB469" s="66">
        <f t="shared" si="425"/>
        <v>0.22043812260271833</v>
      </c>
      <c r="AC469" s="66">
        <f t="shared" si="425"/>
        <v>0.22157707219141698</v>
      </c>
    </row>
    <row r="470" spans="1:29" x14ac:dyDescent="0.3">
      <c r="A470" s="30" t="str">
        <f t="shared" si="396"/>
        <v>Lifetime vehicle</v>
      </c>
      <c r="B470" s="62">
        <f>$B450+($C450-$B450)*(1-Q450)</f>
        <v>8</v>
      </c>
      <c r="C470" s="62">
        <f t="shared" ref="C470:L472" si="426">$B450+($C450-$B450)*(1-R450)</f>
        <v>8</v>
      </c>
      <c r="D470" s="62">
        <f t="shared" si="426"/>
        <v>8</v>
      </c>
      <c r="E470" s="62">
        <f t="shared" si="426"/>
        <v>8</v>
      </c>
      <c r="F470" s="62">
        <f t="shared" si="426"/>
        <v>8</v>
      </c>
      <c r="G470" s="62">
        <f t="shared" si="426"/>
        <v>8</v>
      </c>
      <c r="H470" s="62">
        <f t="shared" si="426"/>
        <v>8</v>
      </c>
      <c r="I470" s="62">
        <f t="shared" si="426"/>
        <v>8</v>
      </c>
      <c r="J470" s="62">
        <f t="shared" si="426"/>
        <v>8</v>
      </c>
      <c r="K470" s="62">
        <f t="shared" si="426"/>
        <v>8</v>
      </c>
      <c r="L470" s="62">
        <f t="shared" si="426"/>
        <v>8</v>
      </c>
      <c r="M470" s="62">
        <f t="shared" ref="M470:V472" si="427">$B450+($C450-$B450)*(1-AB450)</f>
        <v>8</v>
      </c>
      <c r="N470" s="62">
        <f t="shared" si="427"/>
        <v>8</v>
      </c>
      <c r="O470" s="62">
        <f t="shared" si="427"/>
        <v>8</v>
      </c>
      <c r="P470" s="62">
        <f t="shared" si="427"/>
        <v>8</v>
      </c>
      <c r="Q470" s="62">
        <f t="shared" si="427"/>
        <v>8</v>
      </c>
      <c r="R470" s="62">
        <f t="shared" si="427"/>
        <v>8</v>
      </c>
      <c r="S470" s="62">
        <f t="shared" si="427"/>
        <v>8</v>
      </c>
      <c r="T470" s="62">
        <f t="shared" si="427"/>
        <v>8</v>
      </c>
      <c r="U470" s="62">
        <f t="shared" si="427"/>
        <v>8</v>
      </c>
      <c r="V470" s="62">
        <f t="shared" si="427"/>
        <v>8</v>
      </c>
      <c r="W470" s="62">
        <f t="shared" ref="W470:AC472" si="428">$B450+($C450-$B450)*(1-AL450)</f>
        <v>8</v>
      </c>
      <c r="X470" s="62">
        <f t="shared" si="428"/>
        <v>8</v>
      </c>
      <c r="Y470" s="62">
        <f t="shared" si="428"/>
        <v>8</v>
      </c>
      <c r="Z470" s="62">
        <f t="shared" si="428"/>
        <v>8</v>
      </c>
      <c r="AA470" s="62">
        <f t="shared" si="428"/>
        <v>8</v>
      </c>
      <c r="AB470" s="62">
        <f t="shared" si="428"/>
        <v>8</v>
      </c>
      <c r="AC470" s="62">
        <f t="shared" si="428"/>
        <v>8</v>
      </c>
    </row>
    <row r="471" spans="1:29" x14ac:dyDescent="0.3">
      <c r="A471" s="30" t="str">
        <f t="shared" si="396"/>
        <v>Lifetime costumization</v>
      </c>
      <c r="B471" s="62">
        <f>$B451+($C451-$B451)*(1-Q451)</f>
        <v>10</v>
      </c>
      <c r="C471" s="62">
        <f t="shared" si="426"/>
        <v>10</v>
      </c>
      <c r="D471" s="62">
        <f t="shared" si="426"/>
        <v>10</v>
      </c>
      <c r="E471" s="62">
        <f t="shared" si="426"/>
        <v>10</v>
      </c>
      <c r="F471" s="62">
        <f t="shared" si="426"/>
        <v>10</v>
      </c>
      <c r="G471" s="62">
        <f t="shared" si="426"/>
        <v>10</v>
      </c>
      <c r="H471" s="62">
        <f t="shared" si="426"/>
        <v>10</v>
      </c>
      <c r="I471" s="62">
        <f t="shared" si="426"/>
        <v>10</v>
      </c>
      <c r="J471" s="62">
        <f t="shared" si="426"/>
        <v>10</v>
      </c>
      <c r="K471" s="62">
        <f t="shared" si="426"/>
        <v>10</v>
      </c>
      <c r="L471" s="62">
        <f t="shared" si="426"/>
        <v>10</v>
      </c>
      <c r="M471" s="62">
        <f t="shared" si="427"/>
        <v>10</v>
      </c>
      <c r="N471" s="62">
        <f t="shared" si="427"/>
        <v>10</v>
      </c>
      <c r="O471" s="62">
        <f t="shared" si="427"/>
        <v>10</v>
      </c>
      <c r="P471" s="62">
        <f t="shared" si="427"/>
        <v>10</v>
      </c>
      <c r="Q471" s="62">
        <f t="shared" si="427"/>
        <v>10</v>
      </c>
      <c r="R471" s="62">
        <f t="shared" si="427"/>
        <v>10</v>
      </c>
      <c r="S471" s="62">
        <f t="shared" si="427"/>
        <v>10</v>
      </c>
      <c r="T471" s="62">
        <f t="shared" si="427"/>
        <v>10</v>
      </c>
      <c r="U471" s="62">
        <f t="shared" si="427"/>
        <v>10</v>
      </c>
      <c r="V471" s="62">
        <f t="shared" si="427"/>
        <v>10</v>
      </c>
      <c r="W471" s="62">
        <f t="shared" si="428"/>
        <v>10</v>
      </c>
      <c r="X471" s="62">
        <f t="shared" si="428"/>
        <v>10</v>
      </c>
      <c r="Y471" s="62">
        <f t="shared" si="428"/>
        <v>10</v>
      </c>
      <c r="Z471" s="62">
        <f t="shared" si="428"/>
        <v>10</v>
      </c>
      <c r="AA471" s="62">
        <f t="shared" si="428"/>
        <v>10</v>
      </c>
      <c r="AB471" s="62">
        <f t="shared" si="428"/>
        <v>10</v>
      </c>
      <c r="AC471" s="62">
        <f t="shared" si="428"/>
        <v>10</v>
      </c>
    </row>
    <row r="472" spans="1:29" x14ac:dyDescent="0.3">
      <c r="A472" s="30" t="str">
        <f t="shared" si="396"/>
        <v>Tonnage .</v>
      </c>
      <c r="B472" s="62">
        <f>$B452+($C452-$B452)*(1-Q452)</f>
        <v>25</v>
      </c>
      <c r="C472" s="62">
        <f t="shared" si="426"/>
        <v>25</v>
      </c>
      <c r="D472" s="62">
        <f t="shared" si="426"/>
        <v>25</v>
      </c>
      <c r="E472" s="62">
        <f t="shared" si="426"/>
        <v>25</v>
      </c>
      <c r="F472" s="62">
        <f t="shared" si="426"/>
        <v>25</v>
      </c>
      <c r="G472" s="62">
        <f t="shared" si="426"/>
        <v>25</v>
      </c>
      <c r="H472" s="62">
        <f t="shared" si="426"/>
        <v>25</v>
      </c>
      <c r="I472" s="62">
        <f t="shared" si="426"/>
        <v>25</v>
      </c>
      <c r="J472" s="62">
        <f t="shared" si="426"/>
        <v>25</v>
      </c>
      <c r="K472" s="62">
        <f t="shared" si="426"/>
        <v>25</v>
      </c>
      <c r="L472" s="62">
        <f t="shared" si="426"/>
        <v>25</v>
      </c>
      <c r="M472" s="62">
        <f t="shared" si="427"/>
        <v>25</v>
      </c>
      <c r="N472" s="62">
        <f t="shared" si="427"/>
        <v>25</v>
      </c>
      <c r="O472" s="62">
        <f t="shared" si="427"/>
        <v>25</v>
      </c>
      <c r="P472" s="62">
        <f t="shared" si="427"/>
        <v>25</v>
      </c>
      <c r="Q472" s="62">
        <f t="shared" si="427"/>
        <v>25</v>
      </c>
      <c r="R472" s="62">
        <f t="shared" si="427"/>
        <v>25</v>
      </c>
      <c r="S472" s="62">
        <f t="shared" si="427"/>
        <v>25</v>
      </c>
      <c r="T472" s="62">
        <f t="shared" si="427"/>
        <v>25</v>
      </c>
      <c r="U472" s="62">
        <f t="shared" si="427"/>
        <v>25</v>
      </c>
      <c r="V472" s="62">
        <f t="shared" si="427"/>
        <v>25</v>
      </c>
      <c r="W472" s="62">
        <f t="shared" si="428"/>
        <v>25</v>
      </c>
      <c r="X472" s="62">
        <f t="shared" si="428"/>
        <v>25</v>
      </c>
      <c r="Y472" s="62">
        <f t="shared" si="428"/>
        <v>25</v>
      </c>
      <c r="Z472" s="62">
        <f t="shared" si="428"/>
        <v>25</v>
      </c>
      <c r="AA472" s="62">
        <f t="shared" si="428"/>
        <v>25</v>
      </c>
      <c r="AB472" s="62">
        <f t="shared" si="428"/>
        <v>25</v>
      </c>
      <c r="AC472" s="62">
        <f t="shared" si="428"/>
        <v>25</v>
      </c>
    </row>
    <row r="473" spans="1:29" x14ac:dyDescent="0.3">
      <c r="A473" s="30" t="str">
        <f t="shared" si="396"/>
        <v>Market failure (av. utilization)</v>
      </c>
      <c r="B473" s="62">
        <f t="shared" ref="B473:K474" si="429">($B453+($C453-$B453)*(1-Q453))*B$44</f>
        <v>12</v>
      </c>
      <c r="C473" s="62">
        <f t="shared" si="429"/>
        <v>12</v>
      </c>
      <c r="D473" s="62">
        <f t="shared" si="429"/>
        <v>12</v>
      </c>
      <c r="E473" s="62">
        <f t="shared" si="429"/>
        <v>12</v>
      </c>
      <c r="F473" s="62">
        <f t="shared" si="429"/>
        <v>12</v>
      </c>
      <c r="G473" s="62">
        <f t="shared" si="429"/>
        <v>12</v>
      </c>
      <c r="H473" s="62">
        <f t="shared" si="429"/>
        <v>12</v>
      </c>
      <c r="I473" s="62">
        <f t="shared" si="429"/>
        <v>12</v>
      </c>
      <c r="J473" s="62">
        <f t="shared" si="429"/>
        <v>12</v>
      </c>
      <c r="K473" s="62">
        <f t="shared" si="429"/>
        <v>12</v>
      </c>
      <c r="L473" s="62">
        <f t="shared" ref="L473:U474" si="430">($B453+($C453-$B453)*(1-AA453))*L$44</f>
        <v>12</v>
      </c>
      <c r="M473" s="62">
        <f t="shared" si="430"/>
        <v>12</v>
      </c>
      <c r="N473" s="62">
        <f t="shared" si="430"/>
        <v>12</v>
      </c>
      <c r="O473" s="62">
        <f t="shared" si="430"/>
        <v>12</v>
      </c>
      <c r="P473" s="62">
        <f t="shared" si="430"/>
        <v>12</v>
      </c>
      <c r="Q473" s="62">
        <f t="shared" si="430"/>
        <v>12</v>
      </c>
      <c r="R473" s="62">
        <f t="shared" si="430"/>
        <v>12</v>
      </c>
      <c r="S473" s="62">
        <f t="shared" si="430"/>
        <v>12</v>
      </c>
      <c r="T473" s="62">
        <f t="shared" si="430"/>
        <v>12</v>
      </c>
      <c r="U473" s="62">
        <f t="shared" si="430"/>
        <v>12</v>
      </c>
      <c r="V473" s="62">
        <f t="shared" ref="V473:AC474" si="431">($B453+($C453-$B453)*(1-AK453))*V$44</f>
        <v>12</v>
      </c>
      <c r="W473" s="62">
        <f t="shared" si="431"/>
        <v>12</v>
      </c>
      <c r="X473" s="62">
        <f t="shared" si="431"/>
        <v>12</v>
      </c>
      <c r="Y473" s="62">
        <f t="shared" si="431"/>
        <v>12</v>
      </c>
      <c r="Z473" s="62">
        <f t="shared" si="431"/>
        <v>12</v>
      </c>
      <c r="AA473" s="62">
        <f t="shared" si="431"/>
        <v>12</v>
      </c>
      <c r="AB473" s="62">
        <f t="shared" si="431"/>
        <v>12</v>
      </c>
      <c r="AC473" s="62">
        <f t="shared" si="431"/>
        <v>12</v>
      </c>
    </row>
    <row r="474" spans="1:29" x14ac:dyDescent="0.3">
      <c r="A474" s="30" t="s">
        <v>73</v>
      </c>
      <c r="B474" s="62">
        <f t="shared" si="429"/>
        <v>0</v>
      </c>
      <c r="C474" s="62">
        <f t="shared" si="429"/>
        <v>0</v>
      </c>
      <c r="D474" s="62">
        <f t="shared" si="429"/>
        <v>0</v>
      </c>
      <c r="E474" s="62">
        <f t="shared" si="429"/>
        <v>0</v>
      </c>
      <c r="F474" s="62">
        <f t="shared" si="429"/>
        <v>0</v>
      </c>
      <c r="G474" s="62">
        <f t="shared" si="429"/>
        <v>0</v>
      </c>
      <c r="H474" s="62">
        <f t="shared" si="429"/>
        <v>0</v>
      </c>
      <c r="I474" s="62">
        <f t="shared" si="429"/>
        <v>0</v>
      </c>
      <c r="J474" s="62">
        <f t="shared" si="429"/>
        <v>0</v>
      </c>
      <c r="K474" s="62">
        <f t="shared" si="429"/>
        <v>0</v>
      </c>
      <c r="L474" s="62">
        <f t="shared" si="430"/>
        <v>0</v>
      </c>
      <c r="M474" s="62">
        <f t="shared" si="430"/>
        <v>0</v>
      </c>
      <c r="N474" s="62">
        <f t="shared" si="430"/>
        <v>0</v>
      </c>
      <c r="O474" s="62">
        <f t="shared" si="430"/>
        <v>0</v>
      </c>
      <c r="P474" s="62">
        <f t="shared" si="430"/>
        <v>0</v>
      </c>
      <c r="Q474" s="62">
        <f t="shared" si="430"/>
        <v>0</v>
      </c>
      <c r="R474" s="62">
        <f t="shared" si="430"/>
        <v>0</v>
      </c>
      <c r="S474" s="62">
        <f t="shared" si="430"/>
        <v>0</v>
      </c>
      <c r="T474" s="62">
        <f t="shared" si="430"/>
        <v>0</v>
      </c>
      <c r="U474" s="62">
        <f t="shared" si="430"/>
        <v>0</v>
      </c>
      <c r="V474" s="62">
        <f t="shared" si="431"/>
        <v>0</v>
      </c>
      <c r="W474" s="62">
        <f t="shared" si="431"/>
        <v>0</v>
      </c>
      <c r="X474" s="62">
        <f t="shared" si="431"/>
        <v>0</v>
      </c>
      <c r="Y474" s="62">
        <f t="shared" si="431"/>
        <v>0</v>
      </c>
      <c r="Z474" s="62">
        <f t="shared" si="431"/>
        <v>0</v>
      </c>
      <c r="AA474" s="62">
        <f t="shared" si="431"/>
        <v>0</v>
      </c>
      <c r="AB474" s="62">
        <f t="shared" si="431"/>
        <v>0</v>
      </c>
      <c r="AC474" s="62">
        <f t="shared" si="431"/>
        <v>0</v>
      </c>
    </row>
    <row r="475" spans="1:29" x14ac:dyDescent="0.3">
      <c r="A475" s="30" t="str">
        <f>A455</f>
        <v>Annual Mileage</v>
      </c>
      <c r="B475" s="62">
        <f t="shared" ref="B475" si="432">$B455+($C455-$B455)*(1-Q455)</f>
        <v>90000</v>
      </c>
      <c r="C475" s="62">
        <f t="shared" ref="C475" si="433">$B455+($C455-$B455)*(1-R455)</f>
        <v>90000</v>
      </c>
      <c r="D475" s="62">
        <f t="shared" ref="D475" si="434">$B455+($C455-$B455)*(1-S455)</f>
        <v>90000</v>
      </c>
      <c r="E475" s="62">
        <f t="shared" ref="E475" si="435">$B455+($C455-$B455)*(1-T455)</f>
        <v>90000</v>
      </c>
      <c r="F475" s="62">
        <f t="shared" ref="F475" si="436">$B455+($C455-$B455)*(1-U455)</f>
        <v>90000</v>
      </c>
      <c r="G475" s="62">
        <f t="shared" ref="G475" si="437">$B455+($C455-$B455)*(1-V455)</f>
        <v>90000</v>
      </c>
      <c r="H475" s="62">
        <f t="shared" ref="H475" si="438">$B455+($C455-$B455)*(1-W455)</f>
        <v>90000</v>
      </c>
      <c r="I475" s="62">
        <f t="shared" ref="I475" si="439">$B455+($C455-$B455)*(1-X455)</f>
        <v>90000</v>
      </c>
      <c r="J475" s="62">
        <f t="shared" ref="J475" si="440">$B455+($C455-$B455)*(1-Y455)</f>
        <v>90000</v>
      </c>
      <c r="K475" s="62">
        <f t="shared" ref="K475" si="441">$B455+($C455-$B455)*(1-Z455)</f>
        <v>90000</v>
      </c>
      <c r="L475" s="62">
        <f t="shared" ref="L475" si="442">$B455+($C455-$B455)*(1-AA455)</f>
        <v>90000</v>
      </c>
      <c r="M475" s="62">
        <f t="shared" ref="M475" si="443">$B455+($C455-$B455)*(1-AB455)</f>
        <v>90000</v>
      </c>
      <c r="N475" s="62">
        <f t="shared" ref="N475" si="444">$B455+($C455-$B455)*(1-AC455)</f>
        <v>90000</v>
      </c>
      <c r="O475" s="62">
        <f t="shared" ref="O475" si="445">$B455+($C455-$B455)*(1-AD455)</f>
        <v>90000</v>
      </c>
      <c r="P475" s="62">
        <f t="shared" ref="P475" si="446">$B455+($C455-$B455)*(1-AE455)</f>
        <v>90000</v>
      </c>
      <c r="Q475" s="62">
        <f t="shared" ref="Q475" si="447">$B455+($C455-$B455)*(1-AF455)</f>
        <v>90000</v>
      </c>
      <c r="R475" s="62">
        <f t="shared" ref="R475" si="448">$B455+($C455-$B455)*(1-AG455)</f>
        <v>90000</v>
      </c>
      <c r="S475" s="62">
        <f t="shared" ref="S475" si="449">$B455+($C455-$B455)*(1-AH455)</f>
        <v>90000</v>
      </c>
      <c r="T475" s="62">
        <f t="shared" ref="T475" si="450">$B455+($C455-$B455)*(1-AI455)</f>
        <v>90000</v>
      </c>
      <c r="U475" s="62">
        <f t="shared" ref="U475" si="451">$B455+($C455-$B455)*(1-AJ455)</f>
        <v>90000</v>
      </c>
      <c r="V475" s="62">
        <f t="shared" ref="V475" si="452">$B455+($C455-$B455)*(1-AK455)</f>
        <v>90000</v>
      </c>
      <c r="W475" s="62">
        <f t="shared" ref="W475" si="453">$B455+($C455-$B455)*(1-AL455)</f>
        <v>90000</v>
      </c>
      <c r="X475" s="62">
        <f t="shared" ref="X475" si="454">$B455+($C455-$B455)*(1-AM455)</f>
        <v>90000</v>
      </c>
      <c r="Y475" s="62">
        <f t="shared" ref="Y475" si="455">$B455+($C455-$B455)*(1-AN455)</f>
        <v>90000</v>
      </c>
      <c r="Z475" s="62">
        <f t="shared" ref="Z475" si="456">$B455+($C455-$B455)*(1-AO455)</f>
        <v>90000</v>
      </c>
      <c r="AA475" s="62">
        <f t="shared" ref="AA475" si="457">$B455+($C455-$B455)*(1-AP455)</f>
        <v>90000</v>
      </c>
      <c r="AB475" s="62">
        <f t="shared" ref="AB475" si="458">$B455+($C455-$B455)*(1-AQ455)</f>
        <v>90000</v>
      </c>
      <c r="AC475" s="62">
        <f t="shared" ref="AC475" si="459">$B455+($C455-$B455)*(1-AR455)</f>
        <v>90000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16930.034166116213</v>
      </c>
      <c r="C478" s="63">
        <f t="shared" ref="C478:AC478" si="460">((1+C463)^C470)*C463/(((1+C463)^C470)-1)*(C459)</f>
        <v>16939.137147822737</v>
      </c>
      <c r="D478" s="63">
        <f t="shared" si="460"/>
        <v>16952.062076917297</v>
      </c>
      <c r="E478" s="63">
        <f t="shared" si="460"/>
        <v>16970.330222186072</v>
      </c>
      <c r="F478" s="63">
        <f t="shared" si="460"/>
        <v>16995.97836855879</v>
      </c>
      <c r="G478" s="63">
        <f t="shared" si="460"/>
        <v>17031.638602582309</v>
      </c>
      <c r="H478" s="63">
        <f t="shared" si="460"/>
        <v>17080.52744937655</v>
      </c>
      <c r="I478" s="63">
        <f t="shared" si="460"/>
        <v>17146.228820750977</v>
      </c>
      <c r="J478" s="63">
        <f t="shared" si="460"/>
        <v>17232.113205708847</v>
      </c>
      <c r="K478" s="63">
        <f t="shared" si="460"/>
        <v>17340.270072218107</v>
      </c>
      <c r="L478" s="63">
        <f t="shared" si="460"/>
        <v>17470.055207385878</v>
      </c>
      <c r="M478" s="63">
        <f t="shared" si="460"/>
        <v>17616.812818916205</v>
      </c>
      <c r="N478" s="63">
        <f t="shared" si="460"/>
        <v>17771.744227277446</v>
      </c>
      <c r="O478" s="63">
        <f t="shared" si="460"/>
        <v>17923.62687531321</v>
      </c>
      <c r="P478" s="63">
        <f t="shared" si="460"/>
        <v>18061.888776104923</v>
      </c>
      <c r="Q478" s="63">
        <f t="shared" si="460"/>
        <v>18179.391702904584</v>
      </c>
      <c r="R478" s="63">
        <f t="shared" si="460"/>
        <v>18273.490503689198</v>
      </c>
      <c r="S478" s="63">
        <f t="shared" si="460"/>
        <v>18345.292065090671</v>
      </c>
      <c r="T478" s="63">
        <f t="shared" si="460"/>
        <v>18398.071971214304</v>
      </c>
      <c r="U478" s="63">
        <f t="shared" si="460"/>
        <v>18435.808840543512</v>
      </c>
      <c r="V478" s="63">
        <f t="shared" si="460"/>
        <v>18462.256812975615</v>
      </c>
      <c r="W478" s="63">
        <f t="shared" si="460"/>
        <v>18480.533987545627</v>
      </c>
      <c r="X478" s="63">
        <f t="shared" si="460"/>
        <v>18493.041968890429</v>
      </c>
      <c r="Y478" s="63">
        <f t="shared" si="460"/>
        <v>18501.544671484124</v>
      </c>
      <c r="Z478" s="63">
        <f t="shared" si="460"/>
        <v>18507.298355716259</v>
      </c>
      <c r="AA478" s="63">
        <f t="shared" si="460"/>
        <v>18511.179797106222</v>
      </c>
      <c r="AB478" s="63">
        <f t="shared" si="460"/>
        <v>18513.792764168582</v>
      </c>
      <c r="AC478" s="63">
        <f t="shared" si="460"/>
        <v>18515.549330276619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-4208.0593252569806</v>
      </c>
      <c r="C479" s="62">
        <f t="shared" ref="C479:AC479" si="461">((1+C463)^C470)*C463/(((1+C463)^C470)-1)*(C460)</f>
        <v>-4199.866641721108</v>
      </c>
      <c r="D479" s="62">
        <f t="shared" si="461"/>
        <v>-4188.2342055360041</v>
      </c>
      <c r="E479" s="62">
        <f t="shared" si="461"/>
        <v>-4171.7928747941069</v>
      </c>
      <c r="F479" s="62">
        <f t="shared" si="461"/>
        <v>-4148.7095430586614</v>
      </c>
      <c r="G479" s="62">
        <f t="shared" si="461"/>
        <v>-4116.6153324374927</v>
      </c>
      <c r="H479" s="62">
        <f t="shared" si="461"/>
        <v>-4072.6153703226773</v>
      </c>
      <c r="I479" s="62">
        <f t="shared" si="461"/>
        <v>-4013.4841360856908</v>
      </c>
      <c r="J479" s="62">
        <f t="shared" si="461"/>
        <v>-3936.1881896236077</v>
      </c>
      <c r="K479" s="62">
        <f t="shared" si="461"/>
        <v>-3838.8470097652757</v>
      </c>
      <c r="L479" s="62">
        <f t="shared" si="461"/>
        <v>-3722.0403881142815</v>
      </c>
      <c r="M479" s="62">
        <f t="shared" si="461"/>
        <v>-3589.9585377369858</v>
      </c>
      <c r="N479" s="62">
        <f t="shared" si="461"/>
        <v>-3450.5202702118704</v>
      </c>
      <c r="O479" s="62">
        <f t="shared" si="461"/>
        <v>-3313.8258869796846</v>
      </c>
      <c r="P479" s="62">
        <f t="shared" si="461"/>
        <v>-3189.3901762671421</v>
      </c>
      <c r="Q479" s="62">
        <f t="shared" si="461"/>
        <v>-3083.6375421474468</v>
      </c>
      <c r="R479" s="62">
        <f t="shared" si="461"/>
        <v>-2998.9486214412941</v>
      </c>
      <c r="S479" s="62">
        <f t="shared" si="461"/>
        <v>-2934.3272161799682</v>
      </c>
      <c r="T479" s="62">
        <f t="shared" si="461"/>
        <v>-2886.8253006686996</v>
      </c>
      <c r="U479" s="62">
        <f t="shared" si="461"/>
        <v>-2852.8621182724105</v>
      </c>
      <c r="V479" s="62">
        <f t="shared" si="461"/>
        <v>-2829.0589430835184</v>
      </c>
      <c r="W479" s="62">
        <f t="shared" si="461"/>
        <v>-2812.6094859705067</v>
      </c>
      <c r="X479" s="62">
        <f t="shared" si="461"/>
        <v>-2801.3523027601836</v>
      </c>
      <c r="Y479" s="62">
        <f t="shared" si="461"/>
        <v>-2793.6998704258613</v>
      </c>
      <c r="Z479" s="62">
        <f t="shared" si="461"/>
        <v>-2788.5215546169388</v>
      </c>
      <c r="AA479" s="62">
        <f t="shared" si="461"/>
        <v>-2785.0282573659729</v>
      </c>
      <c r="AB479" s="62">
        <f t="shared" si="461"/>
        <v>-2782.6765870098498</v>
      </c>
      <c r="AC479" s="62">
        <f t="shared" si="461"/>
        <v>-2781.0956775126119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4755.37853771343</v>
      </c>
      <c r="C480" s="62">
        <f t="shared" ref="C480:AC480" si="462">((1+C463)^C471)*C463/(((1+C463)^C471)-1)*(C461)</f>
        <v>4755.37853771343</v>
      </c>
      <c r="D480" s="62">
        <f t="shared" si="462"/>
        <v>4755.37853771343</v>
      </c>
      <c r="E480" s="62">
        <f t="shared" si="462"/>
        <v>4755.37853771343</v>
      </c>
      <c r="F480" s="62">
        <f t="shared" si="462"/>
        <v>4755.37853771343</v>
      </c>
      <c r="G480" s="62">
        <f t="shared" si="462"/>
        <v>4755.37853771343</v>
      </c>
      <c r="H480" s="62">
        <f t="shared" si="462"/>
        <v>4755.37853771343</v>
      </c>
      <c r="I480" s="62">
        <f t="shared" si="462"/>
        <v>4755.37853771343</v>
      </c>
      <c r="J480" s="62">
        <f t="shared" si="462"/>
        <v>4755.37853771343</v>
      </c>
      <c r="K480" s="62">
        <f t="shared" si="462"/>
        <v>4755.37853771343</v>
      </c>
      <c r="L480" s="62">
        <f t="shared" si="462"/>
        <v>4755.37853771343</v>
      </c>
      <c r="M480" s="62">
        <f t="shared" si="462"/>
        <v>4755.37853771343</v>
      </c>
      <c r="N480" s="62">
        <f t="shared" si="462"/>
        <v>4755.37853771343</v>
      </c>
      <c r="O480" s="62">
        <f t="shared" si="462"/>
        <v>4755.37853771343</v>
      </c>
      <c r="P480" s="62">
        <f t="shared" si="462"/>
        <v>4755.37853771343</v>
      </c>
      <c r="Q480" s="62">
        <f t="shared" si="462"/>
        <v>4755.37853771343</v>
      </c>
      <c r="R480" s="62">
        <f t="shared" si="462"/>
        <v>4755.37853771343</v>
      </c>
      <c r="S480" s="62">
        <f t="shared" si="462"/>
        <v>4755.37853771343</v>
      </c>
      <c r="T480" s="62">
        <f t="shared" si="462"/>
        <v>4755.37853771343</v>
      </c>
      <c r="U480" s="62">
        <f t="shared" si="462"/>
        <v>4755.37853771343</v>
      </c>
      <c r="V480" s="62">
        <f t="shared" si="462"/>
        <v>4755.37853771343</v>
      </c>
      <c r="W480" s="62">
        <f t="shared" si="462"/>
        <v>4755.37853771343</v>
      </c>
      <c r="X480" s="62">
        <f t="shared" si="462"/>
        <v>4755.37853771343</v>
      </c>
      <c r="Y480" s="62">
        <f t="shared" si="462"/>
        <v>4755.37853771343</v>
      </c>
      <c r="Z480" s="62">
        <f t="shared" si="462"/>
        <v>4755.37853771343</v>
      </c>
      <c r="AA480" s="62">
        <f t="shared" si="462"/>
        <v>4755.37853771343</v>
      </c>
      <c r="AB480" s="62">
        <f t="shared" si="462"/>
        <v>4755.37853771343</v>
      </c>
      <c r="AC480" s="62">
        <f t="shared" si="462"/>
        <v>4755.37853771343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-1188.8446344283575</v>
      </c>
      <c r="C481" s="62">
        <f t="shared" ref="C481:AC481" si="463">((1+C463)^C471)*C463/(((1+C463)^C471)-1)*(C462)</f>
        <v>-1188.8446344283575</v>
      </c>
      <c r="D481" s="62">
        <f t="shared" si="463"/>
        <v>-1188.8446344283575</v>
      </c>
      <c r="E481" s="62">
        <f t="shared" si="463"/>
        <v>-1188.8446344283575</v>
      </c>
      <c r="F481" s="62">
        <f t="shared" si="463"/>
        <v>-1188.8446344283575</v>
      </c>
      <c r="G481" s="62">
        <f t="shared" si="463"/>
        <v>-1188.8446344283575</v>
      </c>
      <c r="H481" s="62">
        <f t="shared" si="463"/>
        <v>-1188.8446344283575</v>
      </c>
      <c r="I481" s="62">
        <f t="shared" si="463"/>
        <v>-1188.8446344283575</v>
      </c>
      <c r="J481" s="62">
        <f t="shared" si="463"/>
        <v>-1188.8446344283575</v>
      </c>
      <c r="K481" s="62">
        <f t="shared" si="463"/>
        <v>-1188.8446344283575</v>
      </c>
      <c r="L481" s="62">
        <f t="shared" si="463"/>
        <v>-1188.8446344283575</v>
      </c>
      <c r="M481" s="62">
        <f t="shared" si="463"/>
        <v>-1188.8446344283575</v>
      </c>
      <c r="N481" s="62">
        <f t="shared" si="463"/>
        <v>-1188.8446344283575</v>
      </c>
      <c r="O481" s="62">
        <f t="shared" si="463"/>
        <v>-1188.8446344283575</v>
      </c>
      <c r="P481" s="62">
        <f t="shared" si="463"/>
        <v>-1188.8446344283575</v>
      </c>
      <c r="Q481" s="62">
        <f t="shared" si="463"/>
        <v>-1188.8446344283575</v>
      </c>
      <c r="R481" s="62">
        <f t="shared" si="463"/>
        <v>-1188.8446344283575</v>
      </c>
      <c r="S481" s="62">
        <f t="shared" si="463"/>
        <v>-1188.8446344283575</v>
      </c>
      <c r="T481" s="62">
        <f t="shared" si="463"/>
        <v>-1188.8446344283575</v>
      </c>
      <c r="U481" s="62">
        <f t="shared" si="463"/>
        <v>-1188.8446344283575</v>
      </c>
      <c r="V481" s="62">
        <f t="shared" si="463"/>
        <v>-1188.8446344283575</v>
      </c>
      <c r="W481" s="62">
        <f t="shared" si="463"/>
        <v>-1188.8446344283575</v>
      </c>
      <c r="X481" s="62">
        <f t="shared" si="463"/>
        <v>-1188.8446344283575</v>
      </c>
      <c r="Y481" s="62">
        <f t="shared" si="463"/>
        <v>-1188.8446344283575</v>
      </c>
      <c r="Z481" s="62">
        <f t="shared" si="463"/>
        <v>-1188.8446344283575</v>
      </c>
      <c r="AA481" s="62">
        <f t="shared" si="463"/>
        <v>-1188.8446344283575</v>
      </c>
      <c r="AB481" s="62">
        <f t="shared" si="463"/>
        <v>-1188.8446344283575</v>
      </c>
      <c r="AC481" s="62">
        <f t="shared" si="463"/>
        <v>-1188.8446344283575</v>
      </c>
    </row>
    <row r="482" spans="1:29" x14ac:dyDescent="0.3">
      <c r="A482" s="30" t="str">
        <f>A464</f>
        <v>Opex fix (admin, crew, insurance)</v>
      </c>
      <c r="B482" s="62">
        <f>B464</f>
        <v>70000</v>
      </c>
      <c r="C482" s="62">
        <f t="shared" ref="C482:AC482" si="464">C464</f>
        <v>70000</v>
      </c>
      <c r="D482" s="62">
        <f t="shared" si="464"/>
        <v>70000</v>
      </c>
      <c r="E482" s="62">
        <f t="shared" si="464"/>
        <v>70000</v>
      </c>
      <c r="F482" s="62">
        <f t="shared" si="464"/>
        <v>70000</v>
      </c>
      <c r="G482" s="62">
        <f t="shared" si="464"/>
        <v>70000</v>
      </c>
      <c r="H482" s="62">
        <f t="shared" si="464"/>
        <v>70000</v>
      </c>
      <c r="I482" s="62">
        <f t="shared" si="464"/>
        <v>70000</v>
      </c>
      <c r="J482" s="62">
        <f t="shared" si="464"/>
        <v>70000</v>
      </c>
      <c r="K482" s="62">
        <f t="shared" si="464"/>
        <v>70000</v>
      </c>
      <c r="L482" s="62">
        <f t="shared" si="464"/>
        <v>70000</v>
      </c>
      <c r="M482" s="62">
        <f t="shared" si="464"/>
        <v>70000</v>
      </c>
      <c r="N482" s="62">
        <f t="shared" si="464"/>
        <v>70000</v>
      </c>
      <c r="O482" s="62">
        <f t="shared" si="464"/>
        <v>70000</v>
      </c>
      <c r="P482" s="62">
        <f t="shared" si="464"/>
        <v>70000</v>
      </c>
      <c r="Q482" s="62">
        <f t="shared" si="464"/>
        <v>70000</v>
      </c>
      <c r="R482" s="62">
        <f t="shared" si="464"/>
        <v>70000</v>
      </c>
      <c r="S482" s="62">
        <f t="shared" si="464"/>
        <v>70000</v>
      </c>
      <c r="T482" s="62">
        <f t="shared" si="464"/>
        <v>70000</v>
      </c>
      <c r="U482" s="62">
        <f t="shared" si="464"/>
        <v>70000</v>
      </c>
      <c r="V482" s="62">
        <f t="shared" si="464"/>
        <v>70000</v>
      </c>
      <c r="W482" s="62">
        <f t="shared" si="464"/>
        <v>70000</v>
      </c>
      <c r="X482" s="62">
        <f t="shared" si="464"/>
        <v>70000</v>
      </c>
      <c r="Y482" s="62">
        <f t="shared" si="464"/>
        <v>70000</v>
      </c>
      <c r="Z482" s="62">
        <f t="shared" si="464"/>
        <v>70000</v>
      </c>
      <c r="AA482" s="62">
        <f t="shared" si="464"/>
        <v>70000</v>
      </c>
      <c r="AB482" s="62">
        <f t="shared" si="464"/>
        <v>70000</v>
      </c>
      <c r="AC482" s="62">
        <f t="shared" si="464"/>
        <v>70000</v>
      </c>
    </row>
    <row r="483" spans="1:29" x14ac:dyDescent="0.3">
      <c r="A483" s="30" t="str">
        <f>A465</f>
        <v>Opex maintenance &amp; repair</v>
      </c>
      <c r="B483" s="62">
        <f>B465</f>
        <v>20000</v>
      </c>
      <c r="C483" s="62">
        <f t="shared" ref="C483:AC483" si="465">C465</f>
        <v>20000</v>
      </c>
      <c r="D483" s="62">
        <f t="shared" si="465"/>
        <v>20000</v>
      </c>
      <c r="E483" s="62">
        <f t="shared" si="465"/>
        <v>20000</v>
      </c>
      <c r="F483" s="62">
        <f t="shared" si="465"/>
        <v>20000</v>
      </c>
      <c r="G483" s="62">
        <f t="shared" si="465"/>
        <v>20000</v>
      </c>
      <c r="H483" s="62">
        <f t="shared" si="465"/>
        <v>20000</v>
      </c>
      <c r="I483" s="62">
        <f t="shared" si="465"/>
        <v>20000</v>
      </c>
      <c r="J483" s="62">
        <f t="shared" si="465"/>
        <v>20000</v>
      </c>
      <c r="K483" s="62">
        <f t="shared" si="465"/>
        <v>20000</v>
      </c>
      <c r="L483" s="62">
        <f t="shared" si="465"/>
        <v>20000</v>
      </c>
      <c r="M483" s="62">
        <f t="shared" si="465"/>
        <v>20000</v>
      </c>
      <c r="N483" s="62">
        <f t="shared" si="465"/>
        <v>20000</v>
      </c>
      <c r="O483" s="62">
        <f t="shared" si="465"/>
        <v>20000</v>
      </c>
      <c r="P483" s="62">
        <f t="shared" si="465"/>
        <v>20000</v>
      </c>
      <c r="Q483" s="62">
        <f t="shared" si="465"/>
        <v>20000</v>
      </c>
      <c r="R483" s="62">
        <f t="shared" si="465"/>
        <v>20000</v>
      </c>
      <c r="S483" s="62">
        <f t="shared" si="465"/>
        <v>20000</v>
      </c>
      <c r="T483" s="62">
        <f t="shared" si="465"/>
        <v>20000</v>
      </c>
      <c r="U483" s="62">
        <f t="shared" si="465"/>
        <v>20000</v>
      </c>
      <c r="V483" s="62">
        <f t="shared" si="465"/>
        <v>20000</v>
      </c>
      <c r="W483" s="62">
        <f t="shared" si="465"/>
        <v>20000</v>
      </c>
      <c r="X483" s="62">
        <f t="shared" si="465"/>
        <v>20000</v>
      </c>
      <c r="Y483" s="62">
        <f t="shared" si="465"/>
        <v>20000</v>
      </c>
      <c r="Z483" s="62">
        <f t="shared" si="465"/>
        <v>20000</v>
      </c>
      <c r="AA483" s="62">
        <f t="shared" si="465"/>
        <v>20000</v>
      </c>
      <c r="AB483" s="62">
        <f t="shared" si="465"/>
        <v>20000</v>
      </c>
      <c r="AC483" s="62">
        <f t="shared" si="465"/>
        <v>20000</v>
      </c>
    </row>
    <row r="484" spans="1:29" x14ac:dyDescent="0.3">
      <c r="A484" s="30" t="str">
        <f>A466</f>
        <v>Opex var (mode-fees)</v>
      </c>
      <c r="B484" s="62">
        <f>B466*B475</f>
        <v>9900</v>
      </c>
      <c r="C484" s="62">
        <f t="shared" ref="C484:AC484" si="466">C466*C475</f>
        <v>9900</v>
      </c>
      <c r="D484" s="62">
        <f t="shared" si="466"/>
        <v>9900</v>
      </c>
      <c r="E484" s="62">
        <f t="shared" si="466"/>
        <v>9900</v>
      </c>
      <c r="F484" s="62">
        <f t="shared" si="466"/>
        <v>9900</v>
      </c>
      <c r="G484" s="62">
        <f t="shared" si="466"/>
        <v>9900</v>
      </c>
      <c r="H484" s="62">
        <f t="shared" si="466"/>
        <v>9900</v>
      </c>
      <c r="I484" s="62">
        <f t="shared" si="466"/>
        <v>9900</v>
      </c>
      <c r="J484" s="62">
        <f t="shared" si="466"/>
        <v>9900</v>
      </c>
      <c r="K484" s="62">
        <f t="shared" si="466"/>
        <v>9900</v>
      </c>
      <c r="L484" s="62">
        <f t="shared" si="466"/>
        <v>9900</v>
      </c>
      <c r="M484" s="62">
        <f t="shared" si="466"/>
        <v>9900</v>
      </c>
      <c r="N484" s="62">
        <f t="shared" si="466"/>
        <v>9900</v>
      </c>
      <c r="O484" s="62">
        <f t="shared" si="466"/>
        <v>9900</v>
      </c>
      <c r="P484" s="62">
        <f t="shared" si="466"/>
        <v>9900</v>
      </c>
      <c r="Q484" s="62">
        <f t="shared" si="466"/>
        <v>9900</v>
      </c>
      <c r="R484" s="62">
        <f t="shared" si="466"/>
        <v>9900</v>
      </c>
      <c r="S484" s="62">
        <f t="shared" si="466"/>
        <v>9900</v>
      </c>
      <c r="T484" s="62">
        <f t="shared" si="466"/>
        <v>9900</v>
      </c>
      <c r="U484" s="62">
        <f t="shared" si="466"/>
        <v>9900</v>
      </c>
      <c r="V484" s="62">
        <f t="shared" si="466"/>
        <v>9900</v>
      </c>
      <c r="W484" s="62">
        <f t="shared" si="466"/>
        <v>9900</v>
      </c>
      <c r="X484" s="62">
        <f t="shared" si="466"/>
        <v>9900</v>
      </c>
      <c r="Y484" s="62">
        <f t="shared" si="466"/>
        <v>9900</v>
      </c>
      <c r="Z484" s="62">
        <f t="shared" si="466"/>
        <v>9900</v>
      </c>
      <c r="AA484" s="62">
        <f t="shared" si="466"/>
        <v>9900</v>
      </c>
      <c r="AB484" s="62">
        <f t="shared" si="466"/>
        <v>9900</v>
      </c>
      <c r="AC484" s="62">
        <f t="shared" si="466"/>
        <v>9900</v>
      </c>
    </row>
    <row r="485" spans="1:29" x14ac:dyDescent="0.3">
      <c r="A485" s="30" t="str">
        <f>A468</f>
        <v>Fuel Cost</v>
      </c>
      <c r="B485" s="62">
        <f>B467*B468*B475</f>
        <v>26040.590377086766</v>
      </c>
      <c r="C485" s="62">
        <f t="shared" ref="C485:AC485" si="467">C467*C468*C475</f>
        <v>26015.152939328622</v>
      </c>
      <c r="D485" s="62">
        <f t="shared" si="467"/>
        <v>25979.035424214242</v>
      </c>
      <c r="E485" s="62">
        <f t="shared" si="467"/>
        <v>25927.986787271679</v>
      </c>
      <c r="F485" s="62">
        <f t="shared" si="467"/>
        <v>25856.315421998013</v>
      </c>
      <c r="G485" s="62">
        <f t="shared" si="467"/>
        <v>25756.666206756363</v>
      </c>
      <c r="H485" s="62">
        <f t="shared" si="467"/>
        <v>25620.050860544627</v>
      </c>
      <c r="I485" s="62">
        <f t="shared" si="467"/>
        <v>25436.454474344719</v>
      </c>
      <c r="J485" s="62">
        <f t="shared" si="467"/>
        <v>25196.458529368076</v>
      </c>
      <c r="K485" s="62">
        <f t="shared" si="467"/>
        <v>24894.224201249701</v>
      </c>
      <c r="L485" s="62">
        <f t="shared" si="467"/>
        <v>24531.551683145397</v>
      </c>
      <c r="M485" s="62">
        <f t="shared" si="467"/>
        <v>24121.451154638231</v>
      </c>
      <c r="N485" s="62">
        <f t="shared" si="467"/>
        <v>23688.509709293336</v>
      </c>
      <c r="O485" s="62">
        <f t="shared" si="467"/>
        <v>23264.087741798576</v>
      </c>
      <c r="P485" s="62">
        <f t="shared" si="467"/>
        <v>22877.727688675404</v>
      </c>
      <c r="Q485" s="62">
        <f t="shared" si="467"/>
        <v>22549.376662250295</v>
      </c>
      <c r="R485" s="62">
        <f t="shared" si="467"/>
        <v>22286.426294420919</v>
      </c>
      <c r="S485" s="62">
        <f t="shared" si="467"/>
        <v>22085.783493196948</v>
      </c>
      <c r="T485" s="62">
        <f t="shared" si="467"/>
        <v>21938.294942721415</v>
      </c>
      <c r="U485" s="62">
        <f t="shared" si="467"/>
        <v>21832.842762798758</v>
      </c>
      <c r="V485" s="62">
        <f t="shared" si="467"/>
        <v>21758.936357814058</v>
      </c>
      <c r="W485" s="62">
        <f t="shared" si="467"/>
        <v>21707.862489326959</v>
      </c>
      <c r="X485" s="62">
        <f t="shared" si="467"/>
        <v>21672.910096012754</v>
      </c>
      <c r="Y485" s="62">
        <f t="shared" si="467"/>
        <v>21649.150082538486</v>
      </c>
      <c r="Z485" s="62">
        <f t="shared" si="467"/>
        <v>21633.07194580774</v>
      </c>
      <c r="AA485" s="62">
        <f t="shared" si="467"/>
        <v>21622.225617983277</v>
      </c>
      <c r="AB485" s="62">
        <f t="shared" si="467"/>
        <v>21614.92392397183</v>
      </c>
      <c r="AC485" s="62">
        <f t="shared" si="467"/>
        <v>21610.015362966005</v>
      </c>
    </row>
    <row r="486" spans="1:29" ht="15" thickBot="1" x14ac:dyDescent="0.35">
      <c r="A486" s="59" t="str">
        <f>A449</f>
        <v>Emission Cost</v>
      </c>
      <c r="B486" s="62">
        <f>B469*B475</f>
        <v>6987.5210500505182</v>
      </c>
      <c r="C486" s="62">
        <f t="shared" ref="C486:AC486" si="468">C469*C475</f>
        <v>7000.0604230837207</v>
      </c>
      <c r="D486" s="62">
        <f t="shared" si="468"/>
        <v>7018.0102562887323</v>
      </c>
      <c r="E486" s="62">
        <f t="shared" si="468"/>
        <v>7043.6887549772036</v>
      </c>
      <c r="F486" s="62">
        <f t="shared" si="468"/>
        <v>7080.3889958450836</v>
      </c>
      <c r="G486" s="62">
        <f t="shared" si="468"/>
        <v>7132.7681708144983</v>
      </c>
      <c r="H486" s="62">
        <f t="shared" si="468"/>
        <v>7207.3689659891488</v>
      </c>
      <c r="I486" s="62">
        <f t="shared" si="468"/>
        <v>7313.2914009797632</v>
      </c>
      <c r="J486" s="62">
        <f t="shared" si="468"/>
        <v>7463.0025843428675</v>
      </c>
      <c r="K486" s="62">
        <f t="shared" si="468"/>
        <v>7673.1943847711818</v>
      </c>
      <c r="L486" s="62">
        <f t="shared" si="468"/>
        <v>7965.437289352858</v>
      </c>
      <c r="M486" s="62">
        <f t="shared" si="468"/>
        <v>8366.0913787055306</v>
      </c>
      <c r="N486" s="62">
        <f t="shared" si="468"/>
        <v>8904.5275424390056</v>
      </c>
      <c r="O486" s="62">
        <f t="shared" si="468"/>
        <v>9608.3676266556122</v>
      </c>
      <c r="P486" s="62">
        <f t="shared" si="468"/>
        <v>10494.73524831143</v>
      </c>
      <c r="Q486" s="62">
        <f t="shared" si="468"/>
        <v>11558.350951111848</v>
      </c>
      <c r="R486" s="62">
        <f t="shared" si="468"/>
        <v>12761.059565833888</v>
      </c>
      <c r="S486" s="62">
        <f t="shared" si="468"/>
        <v>14030.754115806662</v>
      </c>
      <c r="T486" s="62">
        <f t="shared" si="468"/>
        <v>15275.463451933019</v>
      </c>
      <c r="U486" s="62">
        <f t="shared" si="468"/>
        <v>16408.547981151278</v>
      </c>
      <c r="V486" s="62">
        <f t="shared" si="468"/>
        <v>17371.508476646941</v>
      </c>
      <c r="W486" s="62">
        <f t="shared" si="468"/>
        <v>18142.667377085163</v>
      </c>
      <c r="X486" s="62">
        <f t="shared" si="468"/>
        <v>18731.095844593976</v>
      </c>
      <c r="Y486" s="62">
        <f t="shared" si="468"/>
        <v>19163.637960244268</v>
      </c>
      <c r="Z486" s="62">
        <f t="shared" si="468"/>
        <v>19472.899315492621</v>
      </c>
      <c r="AA486" s="62">
        <f t="shared" si="468"/>
        <v>19689.645853912854</v>
      </c>
      <c r="AB486" s="62">
        <f t="shared" si="468"/>
        <v>19839.431034244652</v>
      </c>
      <c r="AC486" s="62">
        <f t="shared" si="468"/>
        <v>19941.936497227529</v>
      </c>
    </row>
    <row r="487" spans="1:29" ht="15" thickBot="1" x14ac:dyDescent="0.35">
      <c r="A487" s="31" t="s">
        <v>209</v>
      </c>
      <c r="B487" s="64">
        <f>B478+B479+B480+B481+B482+B483+B484+B485</f>
        <v>142229.09912123106</v>
      </c>
      <c r="C487" s="64">
        <f t="shared" ref="C487:AC487" si="469">C478+C479+C480+C481+C482+C483+C484+C485</f>
        <v>142220.95734871534</v>
      </c>
      <c r="D487" s="64">
        <f t="shared" si="469"/>
        <v>142209.39719888062</v>
      </c>
      <c r="E487" s="64">
        <f t="shared" si="469"/>
        <v>142193.05803794871</v>
      </c>
      <c r="F487" s="64">
        <f t="shared" si="469"/>
        <v>142170.11815078321</v>
      </c>
      <c r="G487" s="64">
        <f t="shared" si="469"/>
        <v>142138.22338018625</v>
      </c>
      <c r="H487" s="64">
        <f t="shared" si="469"/>
        <v>142094.49684288359</v>
      </c>
      <c r="I487" s="64">
        <f t="shared" si="469"/>
        <v>142035.73306229507</v>
      </c>
      <c r="J487" s="64">
        <f t="shared" si="469"/>
        <v>141958.91744873839</v>
      </c>
      <c r="K487" s="64">
        <f t="shared" si="469"/>
        <v>141862.1811669876</v>
      </c>
      <c r="L487" s="64">
        <f t="shared" si="469"/>
        <v>141746.10040570208</v>
      </c>
      <c r="M487" s="64">
        <f t="shared" si="469"/>
        <v>141614.83933910253</v>
      </c>
      <c r="N487" s="64">
        <f t="shared" si="469"/>
        <v>141476.267569644</v>
      </c>
      <c r="O487" s="64">
        <f t="shared" si="469"/>
        <v>141340.42263341718</v>
      </c>
      <c r="P487" s="64">
        <f t="shared" si="469"/>
        <v>141216.76019179827</v>
      </c>
      <c r="Q487" s="64">
        <f t="shared" si="469"/>
        <v>141111.66472629251</v>
      </c>
      <c r="R487" s="64">
        <f t="shared" si="469"/>
        <v>141027.50207995391</v>
      </c>
      <c r="S487" s="64">
        <f t="shared" si="469"/>
        <v>140963.28224539271</v>
      </c>
      <c r="T487" s="64">
        <f t="shared" si="469"/>
        <v>140916.07551655208</v>
      </c>
      <c r="U487" s="64">
        <f t="shared" si="469"/>
        <v>140882.32338835494</v>
      </c>
      <c r="V487" s="64">
        <f t="shared" si="469"/>
        <v>140858.66813099122</v>
      </c>
      <c r="W487" s="64">
        <f t="shared" si="469"/>
        <v>140842.32089418714</v>
      </c>
      <c r="X487" s="64">
        <f t="shared" si="469"/>
        <v>140831.13366542809</v>
      </c>
      <c r="Y487" s="64">
        <f t="shared" si="469"/>
        <v>140823.52878688183</v>
      </c>
      <c r="Z487" s="64">
        <f t="shared" si="469"/>
        <v>140818.38265019213</v>
      </c>
      <c r="AA487" s="64">
        <f t="shared" si="469"/>
        <v>140814.91106100858</v>
      </c>
      <c r="AB487" s="64">
        <f t="shared" si="469"/>
        <v>140812.57400441563</v>
      </c>
      <c r="AC487" s="64">
        <f t="shared" si="469"/>
        <v>140811.00291901507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470">A478</f>
        <v>Capex vehicle</v>
      </c>
      <c r="B490" s="65">
        <f>((1+B463)^B470)*B463/(((1+B463)^B470)-1)*(B459)/B475</f>
        <v>0.18811149073462458</v>
      </c>
      <c r="C490" s="65">
        <f t="shared" ref="C490:AC490" si="471">((1+C463)^C470)*C463/(((1+C463)^C470)-1)*(C459)/C475</f>
        <v>0.1882126349758082</v>
      </c>
      <c r="D490" s="65">
        <f t="shared" si="471"/>
        <v>0.18835624529908107</v>
      </c>
      <c r="E490" s="65">
        <f t="shared" si="471"/>
        <v>0.18855922469095635</v>
      </c>
      <c r="F490" s="65">
        <f t="shared" si="471"/>
        <v>0.18884420409509767</v>
      </c>
      <c r="G490" s="65">
        <f t="shared" si="471"/>
        <v>0.18924042891758119</v>
      </c>
      <c r="H490" s="65">
        <f t="shared" si="471"/>
        <v>0.1897836383264061</v>
      </c>
      <c r="I490" s="65">
        <f t="shared" si="471"/>
        <v>0.19051365356389974</v>
      </c>
      <c r="J490" s="65">
        <f t="shared" si="471"/>
        <v>0.19146792450787609</v>
      </c>
      <c r="K490" s="65">
        <f t="shared" si="471"/>
        <v>0.19266966746909009</v>
      </c>
      <c r="L490" s="65">
        <f t="shared" si="471"/>
        <v>0.19411172452650977</v>
      </c>
      <c r="M490" s="65">
        <f t="shared" si="471"/>
        <v>0.1957423646546245</v>
      </c>
      <c r="N490" s="65">
        <f t="shared" si="471"/>
        <v>0.19746382474752719</v>
      </c>
      <c r="O490" s="65">
        <f t="shared" si="471"/>
        <v>0.19915140972570233</v>
      </c>
      <c r="P490" s="65">
        <f t="shared" si="471"/>
        <v>0.20068765306783248</v>
      </c>
      <c r="Q490" s="65">
        <f t="shared" si="471"/>
        <v>0.20199324114338427</v>
      </c>
      <c r="R490" s="65">
        <f t="shared" si="471"/>
        <v>0.20303878337432443</v>
      </c>
      <c r="S490" s="65">
        <f t="shared" si="471"/>
        <v>0.20383657850100745</v>
      </c>
      <c r="T490" s="65">
        <f t="shared" si="471"/>
        <v>0.20442302190238115</v>
      </c>
      <c r="U490" s="65">
        <f t="shared" si="471"/>
        <v>0.20484232045048348</v>
      </c>
      <c r="V490" s="65">
        <f t="shared" si="471"/>
        <v>0.20513618681084017</v>
      </c>
      <c r="W490" s="65">
        <f t="shared" si="471"/>
        <v>0.20533926652828474</v>
      </c>
      <c r="X490" s="65">
        <f t="shared" si="471"/>
        <v>0.20547824409878254</v>
      </c>
      <c r="Y490" s="65">
        <f t="shared" si="471"/>
        <v>0.20557271857204581</v>
      </c>
      <c r="Z490" s="65">
        <f t="shared" si="471"/>
        <v>0.20563664839684731</v>
      </c>
      <c r="AA490" s="65">
        <f t="shared" si="471"/>
        <v>0.20567977552340247</v>
      </c>
      <c r="AB490" s="65">
        <f t="shared" si="471"/>
        <v>0.20570880849076204</v>
      </c>
      <c r="AC490" s="65">
        <f t="shared" si="471"/>
        <v>0.20572832589196244</v>
      </c>
    </row>
    <row r="491" spans="1:29" x14ac:dyDescent="0.3">
      <c r="A491" s="30" t="str">
        <f t="shared" si="470"/>
        <v>Residual value (vehicle)</v>
      </c>
      <c r="B491" s="66">
        <f>((1+B463)^B470)*B463/(((1+B463)^B470)-1)*(B460)/B475</f>
        <v>-4.6756214725077565E-2</v>
      </c>
      <c r="C491" s="66">
        <f t="shared" ref="C491:AC491" si="472">((1+C463)^C470)*C463/(((1+C463)^C470)-1)*(C460)/C475</f>
        <v>-4.666518490801231E-2</v>
      </c>
      <c r="D491" s="66">
        <f t="shared" si="472"/>
        <v>-4.6535935617066711E-2</v>
      </c>
      <c r="E491" s="66">
        <f t="shared" si="472"/>
        <v>-4.6353254164378965E-2</v>
      </c>
      <c r="F491" s="66">
        <f t="shared" si="472"/>
        <v>-4.6096772700651795E-2</v>
      </c>
      <c r="G491" s="66">
        <f t="shared" si="472"/>
        <v>-4.5740170360416589E-2</v>
      </c>
      <c r="H491" s="66">
        <f t="shared" si="472"/>
        <v>-4.5251281892474196E-2</v>
      </c>
      <c r="I491" s="66">
        <f t="shared" si="472"/>
        <v>-4.4594268178729898E-2</v>
      </c>
      <c r="J491" s="66">
        <f t="shared" si="472"/>
        <v>-4.3735424329151194E-2</v>
      </c>
      <c r="K491" s="66">
        <f t="shared" si="472"/>
        <v>-4.2653855664058618E-2</v>
      </c>
      <c r="L491" s="66">
        <f t="shared" si="472"/>
        <v>-4.1356004312380908E-2</v>
      </c>
      <c r="M491" s="66">
        <f t="shared" si="472"/>
        <v>-3.9888428197077622E-2</v>
      </c>
      <c r="N491" s="66">
        <f t="shared" si="472"/>
        <v>-3.8339114113465224E-2</v>
      </c>
      <c r="O491" s="66">
        <f t="shared" si="472"/>
        <v>-3.6820287633107608E-2</v>
      </c>
      <c r="P491" s="66">
        <f t="shared" si="472"/>
        <v>-3.5437668625190467E-2</v>
      </c>
      <c r="Q491" s="66">
        <f t="shared" si="472"/>
        <v>-3.4262639357193855E-2</v>
      </c>
      <c r="R491" s="66">
        <f t="shared" si="472"/>
        <v>-3.3321651349347711E-2</v>
      </c>
      <c r="S491" s="66">
        <f t="shared" si="472"/>
        <v>-3.2603635735332981E-2</v>
      </c>
      <c r="T491" s="66">
        <f t="shared" si="472"/>
        <v>-3.2075836674096664E-2</v>
      </c>
      <c r="U491" s="66">
        <f t="shared" si="472"/>
        <v>-3.1698467980804564E-2</v>
      </c>
      <c r="V491" s="66">
        <f t="shared" si="472"/>
        <v>-3.1433988256483539E-2</v>
      </c>
      <c r="W491" s="66">
        <f t="shared" si="472"/>
        <v>-3.1251216510783407E-2</v>
      </c>
      <c r="X491" s="66">
        <f t="shared" si="472"/>
        <v>-3.1126136697335372E-2</v>
      </c>
      <c r="Y491" s="66">
        <f t="shared" si="472"/>
        <v>-3.1041109671398458E-2</v>
      </c>
      <c r="Z491" s="66">
        <f t="shared" si="472"/>
        <v>-3.09835728290771E-2</v>
      </c>
      <c r="AA491" s="66">
        <f t="shared" si="472"/>
        <v>-3.0944758415177475E-2</v>
      </c>
      <c r="AB491" s="66">
        <f t="shared" si="472"/>
        <v>-3.0918628744553887E-2</v>
      </c>
      <c r="AC491" s="66">
        <f t="shared" si="472"/>
        <v>-3.0901063083473467E-2</v>
      </c>
    </row>
    <row r="492" spans="1:29" x14ac:dyDescent="0.3">
      <c r="A492" s="30" t="str">
        <f t="shared" si="470"/>
        <v>Capex costumization</v>
      </c>
      <c r="B492" s="66">
        <f>((1+B463)^B471)*B463/(((1+B463)^B471)-1)*(B461)/B475</f>
        <v>5.2837539307926999E-2</v>
      </c>
      <c r="C492" s="66">
        <f t="shared" ref="C492:AC492" si="473">((1+C463)^C471)*C463/(((1+C463)^C471)-1)*(C461)/C475</f>
        <v>5.2837539307926999E-2</v>
      </c>
      <c r="D492" s="66">
        <f t="shared" si="473"/>
        <v>5.2837539307926999E-2</v>
      </c>
      <c r="E492" s="66">
        <f t="shared" si="473"/>
        <v>5.2837539307926999E-2</v>
      </c>
      <c r="F492" s="66">
        <f t="shared" si="473"/>
        <v>5.2837539307926999E-2</v>
      </c>
      <c r="G492" s="66">
        <f t="shared" si="473"/>
        <v>5.2837539307926999E-2</v>
      </c>
      <c r="H492" s="66">
        <f t="shared" si="473"/>
        <v>5.2837539307926999E-2</v>
      </c>
      <c r="I492" s="66">
        <f t="shared" si="473"/>
        <v>5.2837539307926999E-2</v>
      </c>
      <c r="J492" s="66">
        <f t="shared" si="473"/>
        <v>5.2837539307926999E-2</v>
      </c>
      <c r="K492" s="66">
        <f t="shared" si="473"/>
        <v>5.2837539307926999E-2</v>
      </c>
      <c r="L492" s="66">
        <f t="shared" si="473"/>
        <v>5.2837539307926999E-2</v>
      </c>
      <c r="M492" s="66">
        <f t="shared" si="473"/>
        <v>5.2837539307926999E-2</v>
      </c>
      <c r="N492" s="66">
        <f t="shared" si="473"/>
        <v>5.2837539307926999E-2</v>
      </c>
      <c r="O492" s="66">
        <f t="shared" si="473"/>
        <v>5.2837539307926999E-2</v>
      </c>
      <c r="P492" s="66">
        <f t="shared" si="473"/>
        <v>5.2837539307926999E-2</v>
      </c>
      <c r="Q492" s="66">
        <f t="shared" si="473"/>
        <v>5.2837539307926999E-2</v>
      </c>
      <c r="R492" s="66">
        <f t="shared" si="473"/>
        <v>5.2837539307926999E-2</v>
      </c>
      <c r="S492" s="66">
        <f t="shared" si="473"/>
        <v>5.2837539307926999E-2</v>
      </c>
      <c r="T492" s="66">
        <f t="shared" si="473"/>
        <v>5.2837539307926999E-2</v>
      </c>
      <c r="U492" s="66">
        <f t="shared" si="473"/>
        <v>5.2837539307926999E-2</v>
      </c>
      <c r="V492" s="66">
        <f t="shared" si="473"/>
        <v>5.2837539307926999E-2</v>
      </c>
      <c r="W492" s="66">
        <f t="shared" si="473"/>
        <v>5.2837539307926999E-2</v>
      </c>
      <c r="X492" s="66">
        <f t="shared" si="473"/>
        <v>5.2837539307926999E-2</v>
      </c>
      <c r="Y492" s="66">
        <f t="shared" si="473"/>
        <v>5.2837539307926999E-2</v>
      </c>
      <c r="Z492" s="66">
        <f t="shared" si="473"/>
        <v>5.2837539307926999E-2</v>
      </c>
      <c r="AA492" s="66">
        <f t="shared" si="473"/>
        <v>5.2837539307926999E-2</v>
      </c>
      <c r="AB492" s="66">
        <f t="shared" si="473"/>
        <v>5.2837539307926999E-2</v>
      </c>
      <c r="AC492" s="66">
        <f t="shared" si="473"/>
        <v>5.2837539307926999E-2</v>
      </c>
    </row>
    <row r="493" spans="1:29" x14ac:dyDescent="0.3">
      <c r="A493" s="30" t="str">
        <f t="shared" si="470"/>
        <v>Residual value (costumization)</v>
      </c>
      <c r="B493" s="66">
        <f>((1+B463)^B471)*B463/(((1+B463)^B471)-1)*(B462)/B475</f>
        <v>-1.320938482698175E-2</v>
      </c>
      <c r="C493" s="66">
        <f t="shared" ref="C493:AC493" si="474">((1+C463)^C471)*C463/(((1+C463)^C471)-1)*(C462)/C475</f>
        <v>-1.320938482698175E-2</v>
      </c>
      <c r="D493" s="66">
        <f t="shared" si="474"/>
        <v>-1.320938482698175E-2</v>
      </c>
      <c r="E493" s="66">
        <f t="shared" si="474"/>
        <v>-1.320938482698175E-2</v>
      </c>
      <c r="F493" s="66">
        <f t="shared" si="474"/>
        <v>-1.320938482698175E-2</v>
      </c>
      <c r="G493" s="66">
        <f t="shared" si="474"/>
        <v>-1.320938482698175E-2</v>
      </c>
      <c r="H493" s="66">
        <f t="shared" si="474"/>
        <v>-1.320938482698175E-2</v>
      </c>
      <c r="I493" s="66">
        <f t="shared" si="474"/>
        <v>-1.320938482698175E-2</v>
      </c>
      <c r="J493" s="66">
        <f t="shared" si="474"/>
        <v>-1.320938482698175E-2</v>
      </c>
      <c r="K493" s="66">
        <f t="shared" si="474"/>
        <v>-1.320938482698175E-2</v>
      </c>
      <c r="L493" s="66">
        <f t="shared" si="474"/>
        <v>-1.320938482698175E-2</v>
      </c>
      <c r="M493" s="66">
        <f t="shared" si="474"/>
        <v>-1.320938482698175E-2</v>
      </c>
      <c r="N493" s="66">
        <f t="shared" si="474"/>
        <v>-1.320938482698175E-2</v>
      </c>
      <c r="O493" s="66">
        <f t="shared" si="474"/>
        <v>-1.320938482698175E-2</v>
      </c>
      <c r="P493" s="66">
        <f t="shared" si="474"/>
        <v>-1.320938482698175E-2</v>
      </c>
      <c r="Q493" s="66">
        <f t="shared" si="474"/>
        <v>-1.320938482698175E-2</v>
      </c>
      <c r="R493" s="66">
        <f t="shared" si="474"/>
        <v>-1.320938482698175E-2</v>
      </c>
      <c r="S493" s="66">
        <f t="shared" si="474"/>
        <v>-1.320938482698175E-2</v>
      </c>
      <c r="T493" s="66">
        <f t="shared" si="474"/>
        <v>-1.320938482698175E-2</v>
      </c>
      <c r="U493" s="66">
        <f t="shared" si="474"/>
        <v>-1.320938482698175E-2</v>
      </c>
      <c r="V493" s="66">
        <f t="shared" si="474"/>
        <v>-1.320938482698175E-2</v>
      </c>
      <c r="W493" s="66">
        <f t="shared" si="474"/>
        <v>-1.320938482698175E-2</v>
      </c>
      <c r="X493" s="66">
        <f t="shared" si="474"/>
        <v>-1.320938482698175E-2</v>
      </c>
      <c r="Y493" s="66">
        <f t="shared" si="474"/>
        <v>-1.320938482698175E-2</v>
      </c>
      <c r="Z493" s="66">
        <f t="shared" si="474"/>
        <v>-1.320938482698175E-2</v>
      </c>
      <c r="AA493" s="66">
        <f t="shared" si="474"/>
        <v>-1.320938482698175E-2</v>
      </c>
      <c r="AB493" s="66">
        <f t="shared" si="474"/>
        <v>-1.320938482698175E-2</v>
      </c>
      <c r="AC493" s="66">
        <f t="shared" si="474"/>
        <v>-1.320938482698175E-2</v>
      </c>
    </row>
    <row r="494" spans="1:29" x14ac:dyDescent="0.3">
      <c r="A494" s="30" t="str">
        <f t="shared" si="470"/>
        <v>Opex fix (admin, crew, insurance)</v>
      </c>
      <c r="B494" s="66">
        <f>B464/B475</f>
        <v>0.77777777777777779</v>
      </c>
      <c r="C494" s="66">
        <f t="shared" ref="C494:AC494" si="475">C464/C475</f>
        <v>0.77777777777777779</v>
      </c>
      <c r="D494" s="66">
        <f t="shared" si="475"/>
        <v>0.77777777777777779</v>
      </c>
      <c r="E494" s="66">
        <f t="shared" si="475"/>
        <v>0.77777777777777779</v>
      </c>
      <c r="F494" s="66">
        <f t="shared" si="475"/>
        <v>0.77777777777777779</v>
      </c>
      <c r="G494" s="66">
        <f t="shared" si="475"/>
        <v>0.77777777777777779</v>
      </c>
      <c r="H494" s="66">
        <f t="shared" si="475"/>
        <v>0.77777777777777779</v>
      </c>
      <c r="I494" s="66">
        <f t="shared" si="475"/>
        <v>0.77777777777777779</v>
      </c>
      <c r="J494" s="66">
        <f t="shared" si="475"/>
        <v>0.77777777777777779</v>
      </c>
      <c r="K494" s="66">
        <f t="shared" si="475"/>
        <v>0.77777777777777779</v>
      </c>
      <c r="L494" s="66">
        <f t="shared" si="475"/>
        <v>0.77777777777777779</v>
      </c>
      <c r="M494" s="66">
        <f t="shared" si="475"/>
        <v>0.77777777777777779</v>
      </c>
      <c r="N494" s="66">
        <f t="shared" si="475"/>
        <v>0.77777777777777779</v>
      </c>
      <c r="O494" s="66">
        <f t="shared" si="475"/>
        <v>0.77777777777777779</v>
      </c>
      <c r="P494" s="66">
        <f t="shared" si="475"/>
        <v>0.77777777777777779</v>
      </c>
      <c r="Q494" s="66">
        <f t="shared" si="475"/>
        <v>0.77777777777777779</v>
      </c>
      <c r="R494" s="66">
        <f t="shared" si="475"/>
        <v>0.77777777777777779</v>
      </c>
      <c r="S494" s="66">
        <f t="shared" si="475"/>
        <v>0.77777777777777779</v>
      </c>
      <c r="T494" s="66">
        <f t="shared" si="475"/>
        <v>0.77777777777777779</v>
      </c>
      <c r="U494" s="66">
        <f t="shared" si="475"/>
        <v>0.77777777777777779</v>
      </c>
      <c r="V494" s="66">
        <f t="shared" si="475"/>
        <v>0.77777777777777779</v>
      </c>
      <c r="W494" s="66">
        <f t="shared" si="475"/>
        <v>0.77777777777777779</v>
      </c>
      <c r="X494" s="66">
        <f t="shared" si="475"/>
        <v>0.77777777777777779</v>
      </c>
      <c r="Y494" s="66">
        <f t="shared" si="475"/>
        <v>0.77777777777777779</v>
      </c>
      <c r="Z494" s="66">
        <f t="shared" si="475"/>
        <v>0.77777777777777779</v>
      </c>
      <c r="AA494" s="66">
        <f t="shared" si="475"/>
        <v>0.77777777777777779</v>
      </c>
      <c r="AB494" s="66">
        <f t="shared" si="475"/>
        <v>0.77777777777777779</v>
      </c>
      <c r="AC494" s="66">
        <f t="shared" si="475"/>
        <v>0.77777777777777779</v>
      </c>
    </row>
    <row r="495" spans="1:29" x14ac:dyDescent="0.3">
      <c r="A495" s="30" t="str">
        <f t="shared" si="470"/>
        <v>Opex maintenance &amp; repair</v>
      </c>
      <c r="B495" s="66">
        <f>B465/B475</f>
        <v>0.22222222222222221</v>
      </c>
      <c r="C495" s="66">
        <f t="shared" ref="C495:AC495" si="476">C465/C475</f>
        <v>0.22222222222222221</v>
      </c>
      <c r="D495" s="66">
        <f t="shared" si="476"/>
        <v>0.22222222222222221</v>
      </c>
      <c r="E495" s="66">
        <f t="shared" si="476"/>
        <v>0.22222222222222221</v>
      </c>
      <c r="F495" s="66">
        <f t="shared" si="476"/>
        <v>0.22222222222222221</v>
      </c>
      <c r="G495" s="66">
        <f t="shared" si="476"/>
        <v>0.22222222222222221</v>
      </c>
      <c r="H495" s="66">
        <f t="shared" si="476"/>
        <v>0.22222222222222221</v>
      </c>
      <c r="I495" s="66">
        <f t="shared" si="476"/>
        <v>0.22222222222222221</v>
      </c>
      <c r="J495" s="66">
        <f t="shared" si="476"/>
        <v>0.22222222222222221</v>
      </c>
      <c r="K495" s="66">
        <f t="shared" si="476"/>
        <v>0.22222222222222221</v>
      </c>
      <c r="L495" s="66">
        <f t="shared" si="476"/>
        <v>0.22222222222222221</v>
      </c>
      <c r="M495" s="66">
        <f t="shared" si="476"/>
        <v>0.22222222222222221</v>
      </c>
      <c r="N495" s="66">
        <f t="shared" si="476"/>
        <v>0.22222222222222221</v>
      </c>
      <c r="O495" s="66">
        <f t="shared" si="476"/>
        <v>0.22222222222222221</v>
      </c>
      <c r="P495" s="66">
        <f t="shared" si="476"/>
        <v>0.22222222222222221</v>
      </c>
      <c r="Q495" s="66">
        <f t="shared" si="476"/>
        <v>0.22222222222222221</v>
      </c>
      <c r="R495" s="66">
        <f t="shared" si="476"/>
        <v>0.22222222222222221</v>
      </c>
      <c r="S495" s="66">
        <f t="shared" si="476"/>
        <v>0.22222222222222221</v>
      </c>
      <c r="T495" s="66">
        <f t="shared" si="476"/>
        <v>0.22222222222222221</v>
      </c>
      <c r="U495" s="66">
        <f t="shared" si="476"/>
        <v>0.22222222222222221</v>
      </c>
      <c r="V495" s="66">
        <f t="shared" si="476"/>
        <v>0.22222222222222221</v>
      </c>
      <c r="W495" s="66">
        <f t="shared" si="476"/>
        <v>0.22222222222222221</v>
      </c>
      <c r="X495" s="66">
        <f t="shared" si="476"/>
        <v>0.22222222222222221</v>
      </c>
      <c r="Y495" s="66">
        <f t="shared" si="476"/>
        <v>0.22222222222222221</v>
      </c>
      <c r="Z495" s="66">
        <f t="shared" si="476"/>
        <v>0.22222222222222221</v>
      </c>
      <c r="AA495" s="66">
        <f t="shared" si="476"/>
        <v>0.22222222222222221</v>
      </c>
      <c r="AB495" s="66">
        <f t="shared" si="476"/>
        <v>0.22222222222222221</v>
      </c>
      <c r="AC495" s="66">
        <f t="shared" si="476"/>
        <v>0.22222222222222221</v>
      </c>
    </row>
    <row r="496" spans="1:29" x14ac:dyDescent="0.3">
      <c r="A496" s="30" t="str">
        <f t="shared" si="470"/>
        <v>Opex var (mode-fees)</v>
      </c>
      <c r="B496" s="66">
        <f>B466*B475/B475</f>
        <v>0.11</v>
      </c>
      <c r="C496" s="66">
        <f t="shared" ref="C496:AC496" si="477">C466*C475/C475</f>
        <v>0.11</v>
      </c>
      <c r="D496" s="66">
        <f t="shared" si="477"/>
        <v>0.11</v>
      </c>
      <c r="E496" s="66">
        <f t="shared" si="477"/>
        <v>0.11</v>
      </c>
      <c r="F496" s="66">
        <f t="shared" si="477"/>
        <v>0.11</v>
      </c>
      <c r="G496" s="66">
        <f t="shared" si="477"/>
        <v>0.11</v>
      </c>
      <c r="H496" s="66">
        <f t="shared" si="477"/>
        <v>0.11</v>
      </c>
      <c r="I496" s="66">
        <f t="shared" si="477"/>
        <v>0.11</v>
      </c>
      <c r="J496" s="66">
        <f t="shared" si="477"/>
        <v>0.11</v>
      </c>
      <c r="K496" s="66">
        <f t="shared" si="477"/>
        <v>0.11</v>
      </c>
      <c r="L496" s="66">
        <f t="shared" si="477"/>
        <v>0.11</v>
      </c>
      <c r="M496" s="66">
        <f t="shared" si="477"/>
        <v>0.11</v>
      </c>
      <c r="N496" s="66">
        <f t="shared" si="477"/>
        <v>0.11</v>
      </c>
      <c r="O496" s="66">
        <f t="shared" si="477"/>
        <v>0.11</v>
      </c>
      <c r="P496" s="66">
        <f t="shared" si="477"/>
        <v>0.11</v>
      </c>
      <c r="Q496" s="66">
        <f t="shared" si="477"/>
        <v>0.11</v>
      </c>
      <c r="R496" s="66">
        <f t="shared" si="477"/>
        <v>0.11</v>
      </c>
      <c r="S496" s="66">
        <f t="shared" si="477"/>
        <v>0.11</v>
      </c>
      <c r="T496" s="66">
        <f t="shared" si="477"/>
        <v>0.11</v>
      </c>
      <c r="U496" s="66">
        <f t="shared" si="477"/>
        <v>0.11</v>
      </c>
      <c r="V496" s="66">
        <f t="shared" si="477"/>
        <v>0.11</v>
      </c>
      <c r="W496" s="66">
        <f t="shared" si="477"/>
        <v>0.11</v>
      </c>
      <c r="X496" s="66">
        <f t="shared" si="477"/>
        <v>0.11</v>
      </c>
      <c r="Y496" s="66">
        <f t="shared" si="477"/>
        <v>0.11</v>
      </c>
      <c r="Z496" s="66">
        <f t="shared" si="477"/>
        <v>0.11</v>
      </c>
      <c r="AA496" s="66">
        <f t="shared" si="477"/>
        <v>0.11</v>
      </c>
      <c r="AB496" s="66">
        <f t="shared" si="477"/>
        <v>0.11</v>
      </c>
      <c r="AC496" s="66">
        <f t="shared" si="477"/>
        <v>0.11</v>
      </c>
    </row>
    <row r="497" spans="1:29" x14ac:dyDescent="0.3">
      <c r="A497" s="30" t="str">
        <f t="shared" si="470"/>
        <v>Fuel Cost</v>
      </c>
      <c r="B497" s="66">
        <f>B467*B468*B475/B475</f>
        <v>0.28933989307874186</v>
      </c>
      <c r="C497" s="66">
        <f t="shared" ref="C497:AC497" si="478">C467*C468*C475/C475</f>
        <v>0.28905725488142914</v>
      </c>
      <c r="D497" s="66">
        <f t="shared" si="478"/>
        <v>0.28865594915793602</v>
      </c>
      <c r="E497" s="66">
        <f t="shared" si="478"/>
        <v>0.28808874208079643</v>
      </c>
      <c r="F497" s="66">
        <f t="shared" si="478"/>
        <v>0.28729239357775571</v>
      </c>
      <c r="G497" s="66">
        <f t="shared" si="478"/>
        <v>0.28618518007507071</v>
      </c>
      <c r="H497" s="66">
        <f t="shared" si="478"/>
        <v>0.28466723178382919</v>
      </c>
      <c r="I497" s="66">
        <f t="shared" si="478"/>
        <v>0.28262727193716353</v>
      </c>
      <c r="J497" s="66">
        <f t="shared" si="478"/>
        <v>0.27996065032631196</v>
      </c>
      <c r="K497" s="66">
        <f t="shared" si="478"/>
        <v>0.27660249112499669</v>
      </c>
      <c r="L497" s="66">
        <f t="shared" si="478"/>
        <v>0.27257279647939331</v>
      </c>
      <c r="M497" s="66">
        <f t="shared" si="478"/>
        <v>0.26801612394042479</v>
      </c>
      <c r="N497" s="66">
        <f t="shared" si="478"/>
        <v>0.26320566343659263</v>
      </c>
      <c r="O497" s="66">
        <f t="shared" si="478"/>
        <v>0.25848986379776195</v>
      </c>
      <c r="P497" s="66">
        <f t="shared" si="478"/>
        <v>0.2541969743186156</v>
      </c>
      <c r="Q497" s="66">
        <f t="shared" si="478"/>
        <v>0.25054862958055885</v>
      </c>
      <c r="R497" s="66">
        <f t="shared" si="478"/>
        <v>0.24762695882689909</v>
      </c>
      <c r="S497" s="66">
        <f t="shared" si="478"/>
        <v>0.24539759436885497</v>
      </c>
      <c r="T497" s="66">
        <f t="shared" si="478"/>
        <v>0.24375883269690463</v>
      </c>
      <c r="U497" s="66">
        <f t="shared" si="478"/>
        <v>0.24258714180887508</v>
      </c>
      <c r="V497" s="66">
        <f t="shared" si="478"/>
        <v>0.24176595953126731</v>
      </c>
      <c r="W497" s="66">
        <f t="shared" si="478"/>
        <v>0.24119847210363288</v>
      </c>
      <c r="X497" s="66">
        <f t="shared" si="478"/>
        <v>0.24081011217791951</v>
      </c>
      <c r="Y497" s="66">
        <f t="shared" si="478"/>
        <v>0.24054611202820542</v>
      </c>
      <c r="Z497" s="66">
        <f t="shared" si="478"/>
        <v>0.24036746606453044</v>
      </c>
      <c r="AA497" s="66">
        <f t="shared" si="478"/>
        <v>0.2402469513109253</v>
      </c>
      <c r="AB497" s="66">
        <f t="shared" si="478"/>
        <v>0.24016582137746478</v>
      </c>
      <c r="AC497" s="66">
        <f t="shared" si="478"/>
        <v>0.24011128181073338</v>
      </c>
    </row>
    <row r="498" spans="1:29" ht="15" thickBot="1" x14ac:dyDescent="0.35">
      <c r="A498" s="59" t="str">
        <f>A449</f>
        <v>Emission Cost</v>
      </c>
      <c r="B498" s="66">
        <f>B469</f>
        <v>7.7639122778339092E-2</v>
      </c>
      <c r="C498" s="66">
        <f t="shared" ref="C498:AC498" si="479">C469</f>
        <v>7.777844914537467E-2</v>
      </c>
      <c r="D498" s="66">
        <f t="shared" si="479"/>
        <v>7.7977891736541474E-2</v>
      </c>
      <c r="E498" s="66">
        <f t="shared" si="479"/>
        <v>7.8263208388635597E-2</v>
      </c>
      <c r="F498" s="66">
        <f t="shared" si="479"/>
        <v>7.8670988842723152E-2</v>
      </c>
      <c r="G498" s="66">
        <f t="shared" si="479"/>
        <v>7.925297967571665E-2</v>
      </c>
      <c r="H498" s="66">
        <f t="shared" si="479"/>
        <v>8.0081877399879431E-2</v>
      </c>
      <c r="I498" s="66">
        <f t="shared" si="479"/>
        <v>8.1258793344219593E-2</v>
      </c>
      <c r="J498" s="66">
        <f t="shared" si="479"/>
        <v>8.2922250937142977E-2</v>
      </c>
      <c r="K498" s="66">
        <f t="shared" si="479"/>
        <v>8.5257715386346467E-2</v>
      </c>
      <c r="L498" s="66">
        <f t="shared" si="479"/>
        <v>8.8504858770587308E-2</v>
      </c>
      <c r="M498" s="66">
        <f t="shared" si="479"/>
        <v>9.2956570874505887E-2</v>
      </c>
      <c r="N498" s="66">
        <f t="shared" si="479"/>
        <v>9.8939194915988959E-2</v>
      </c>
      <c r="O498" s="66">
        <f t="shared" si="479"/>
        <v>0.10675964029617348</v>
      </c>
      <c r="P498" s="66">
        <f t="shared" si="479"/>
        <v>0.11660816942568256</v>
      </c>
      <c r="Q498" s="66">
        <f t="shared" si="479"/>
        <v>0.12842612167902054</v>
      </c>
      <c r="R498" s="66">
        <f t="shared" si="479"/>
        <v>0.14178955073148763</v>
      </c>
      <c r="S498" s="66">
        <f t="shared" si="479"/>
        <v>0.15589726795340736</v>
      </c>
      <c r="T498" s="66">
        <f t="shared" si="479"/>
        <v>0.16972737168814467</v>
      </c>
      <c r="U498" s="66">
        <f t="shared" si="479"/>
        <v>0.18231719979056973</v>
      </c>
      <c r="V498" s="66">
        <f t="shared" si="479"/>
        <v>0.19301676085163266</v>
      </c>
      <c r="W498" s="66">
        <f t="shared" si="479"/>
        <v>0.20158519307872402</v>
      </c>
      <c r="X498" s="66">
        <f t="shared" si="479"/>
        <v>0.20812328716215528</v>
      </c>
      <c r="Y498" s="66">
        <f t="shared" si="479"/>
        <v>0.21292931066938076</v>
      </c>
      <c r="Z498" s="66">
        <f t="shared" si="479"/>
        <v>0.21636554794991802</v>
      </c>
      <c r="AA498" s="66">
        <f t="shared" si="479"/>
        <v>0.21877384282125395</v>
      </c>
      <c r="AB498" s="66">
        <f t="shared" si="479"/>
        <v>0.22043812260271833</v>
      </c>
      <c r="AC498" s="66">
        <f t="shared" si="479"/>
        <v>0.22157707219141698</v>
      </c>
    </row>
    <row r="499" spans="1:29" ht="15" thickBot="1" x14ac:dyDescent="0.35">
      <c r="A499" s="31" t="s">
        <v>63</v>
      </c>
      <c r="B499" s="76">
        <f>B490+B491+B492-B493+B494+B495+B496+B497</f>
        <v>1.6067420932231977</v>
      </c>
      <c r="C499" s="67">
        <f t="shared" ref="C499:AC499" si="480">C490+C491+C492-C493+C494+C495+C496+C497</f>
        <v>1.6066516290841339</v>
      </c>
      <c r="D499" s="67">
        <f t="shared" si="480"/>
        <v>1.606523182974859</v>
      </c>
      <c r="E499" s="67">
        <f t="shared" si="480"/>
        <v>1.6063416367422827</v>
      </c>
      <c r="F499" s="67">
        <f t="shared" si="480"/>
        <v>1.6060867491071105</v>
      </c>
      <c r="G499" s="67">
        <f t="shared" si="480"/>
        <v>1.6057323627671443</v>
      </c>
      <c r="H499" s="67">
        <f t="shared" si="480"/>
        <v>1.60524651235267</v>
      </c>
      <c r="I499" s="67">
        <f t="shared" si="480"/>
        <v>1.6045935814572423</v>
      </c>
      <c r="J499" s="67">
        <f t="shared" si="480"/>
        <v>1.6037400746399457</v>
      </c>
      <c r="K499" s="67">
        <f t="shared" si="480"/>
        <v>1.6026652270649369</v>
      </c>
      <c r="L499" s="67">
        <f t="shared" si="480"/>
        <v>1.6013754408284311</v>
      </c>
      <c r="M499" s="67">
        <f t="shared" si="480"/>
        <v>1.5999169845328807</v>
      </c>
      <c r="N499" s="67">
        <f t="shared" si="480"/>
        <v>1.5983772982055635</v>
      </c>
      <c r="O499" s="67">
        <f t="shared" si="480"/>
        <v>1.5968679100252654</v>
      </c>
      <c r="P499" s="67">
        <f t="shared" si="480"/>
        <v>1.5954938828961667</v>
      </c>
      <c r="Q499" s="67">
        <f t="shared" si="480"/>
        <v>1.5943261555016579</v>
      </c>
      <c r="R499" s="67">
        <f t="shared" si="480"/>
        <v>1.5933910149867849</v>
      </c>
      <c r="S499" s="67">
        <f t="shared" si="480"/>
        <v>1.5926774612694383</v>
      </c>
      <c r="T499" s="67">
        <f t="shared" si="480"/>
        <v>1.5921529420600979</v>
      </c>
      <c r="U499" s="67">
        <f t="shared" si="480"/>
        <v>1.5917779184134626</v>
      </c>
      <c r="V499" s="67">
        <f t="shared" si="480"/>
        <v>1.5915150822205331</v>
      </c>
      <c r="W499" s="67">
        <f t="shared" si="480"/>
        <v>1.5913334462560431</v>
      </c>
      <c r="X499" s="67">
        <f t="shared" si="480"/>
        <v>1.5912091437142755</v>
      </c>
      <c r="Y499" s="67">
        <f t="shared" si="480"/>
        <v>1.5911246450637617</v>
      </c>
      <c r="Z499" s="67">
        <f t="shared" si="480"/>
        <v>1.5910674657672097</v>
      </c>
      <c r="AA499" s="67">
        <f t="shared" si="480"/>
        <v>1.5910288925540592</v>
      </c>
      <c r="AB499" s="67">
        <f t="shared" si="480"/>
        <v>1.5910029252585818</v>
      </c>
      <c r="AC499" s="67">
        <f t="shared" si="480"/>
        <v>1.5909854687541314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481">A478</f>
        <v>Capex vehicle</v>
      </c>
      <c r="B502" s="65">
        <f>((1+B463)^B470)*B463/(((1+B463)^B470)-1)*(B459)/B475/(B472)</f>
        <v>7.5244596293849832E-3</v>
      </c>
      <c r="C502" s="65">
        <f t="shared" ref="C502:AC502" si="482">((1+C463)^C470)*C463/(((1+C463)^C470)-1)*(C459)/C475/(C472)</f>
        <v>7.5285053990323285E-3</v>
      </c>
      <c r="D502" s="65">
        <f t="shared" si="482"/>
        <v>7.534249811963243E-3</v>
      </c>
      <c r="E502" s="65">
        <f t="shared" si="482"/>
        <v>7.542368987638254E-3</v>
      </c>
      <c r="F502" s="65">
        <f t="shared" si="482"/>
        <v>7.5537681638039068E-3</v>
      </c>
      <c r="G502" s="65">
        <f t="shared" si="482"/>
        <v>7.5696171567032474E-3</v>
      </c>
      <c r="H502" s="65">
        <f t="shared" si="482"/>
        <v>7.5913455330562443E-3</v>
      </c>
      <c r="I502" s="65">
        <f t="shared" si="482"/>
        <v>7.6205461425559893E-3</v>
      </c>
      <c r="J502" s="65">
        <f t="shared" si="482"/>
        <v>7.6587169803150439E-3</v>
      </c>
      <c r="K502" s="65">
        <f t="shared" si="482"/>
        <v>7.7067866987636036E-3</v>
      </c>
      <c r="L502" s="65">
        <f t="shared" si="482"/>
        <v>7.764468981060391E-3</v>
      </c>
      <c r="M502" s="65">
        <f t="shared" si="482"/>
        <v>7.8296945861849807E-3</v>
      </c>
      <c r="N502" s="65">
        <f t="shared" si="482"/>
        <v>7.8985529899010878E-3</v>
      </c>
      <c r="O502" s="65">
        <f t="shared" si="482"/>
        <v>7.9660563890280936E-3</v>
      </c>
      <c r="P502" s="65">
        <f t="shared" si="482"/>
        <v>8.0275061227132998E-3</v>
      </c>
      <c r="Q502" s="65">
        <f t="shared" si="482"/>
        <v>8.0797296457353705E-3</v>
      </c>
      <c r="R502" s="65">
        <f t="shared" si="482"/>
        <v>8.1215513349729776E-3</v>
      </c>
      <c r="S502" s="65">
        <f t="shared" si="482"/>
        <v>8.1534631400402985E-3</v>
      </c>
      <c r="T502" s="65">
        <f t="shared" si="482"/>
        <v>8.1769208760952457E-3</v>
      </c>
      <c r="U502" s="65">
        <f t="shared" si="482"/>
        <v>8.1936928180193387E-3</v>
      </c>
      <c r="V502" s="65">
        <f t="shared" si="482"/>
        <v>8.2054474724336073E-3</v>
      </c>
      <c r="W502" s="65">
        <f t="shared" si="482"/>
        <v>8.2135706611313891E-3</v>
      </c>
      <c r="X502" s="65">
        <f t="shared" si="482"/>
        <v>8.2191297639513019E-3</v>
      </c>
      <c r="Y502" s="65">
        <f t="shared" si="482"/>
        <v>8.2229087428818334E-3</v>
      </c>
      <c r="Z502" s="65">
        <f t="shared" si="482"/>
        <v>8.2254659358738918E-3</v>
      </c>
      <c r="AA502" s="65">
        <f t="shared" si="482"/>
        <v>8.2271910209360984E-3</v>
      </c>
      <c r="AB502" s="65">
        <f t="shared" si="482"/>
        <v>8.2283523396304813E-3</v>
      </c>
      <c r="AC502" s="65">
        <f t="shared" si="482"/>
        <v>8.2291330356784979E-3</v>
      </c>
    </row>
    <row r="503" spans="1:29" x14ac:dyDescent="0.3">
      <c r="A503" s="30" t="str">
        <f t="shared" si="481"/>
        <v>Residual value (vehicle)</v>
      </c>
      <c r="B503" s="68">
        <f>((1+B463)^B470)*B463/(((1+B463)^B470)-1)*(B460)/B475/(B472)</f>
        <v>-1.8702485890031025E-3</v>
      </c>
      <c r="C503" s="68">
        <f t="shared" ref="C503:AC503" si="483">((1+C463)^C470)*C463/(((1+C463)^C470)-1)*(C460)/C475/(C472)</f>
        <v>-1.8666073963204924E-3</v>
      </c>
      <c r="D503" s="68">
        <f t="shared" si="483"/>
        <v>-1.8614374246826684E-3</v>
      </c>
      <c r="E503" s="68">
        <f t="shared" si="483"/>
        <v>-1.8541301665751587E-3</v>
      </c>
      <c r="F503" s="68">
        <f t="shared" si="483"/>
        <v>-1.8438709080260717E-3</v>
      </c>
      <c r="G503" s="68">
        <f t="shared" si="483"/>
        <v>-1.8296068144166636E-3</v>
      </c>
      <c r="H503" s="68">
        <f t="shared" si="483"/>
        <v>-1.8100512756989678E-3</v>
      </c>
      <c r="I503" s="68">
        <f t="shared" si="483"/>
        <v>-1.783770727149196E-3</v>
      </c>
      <c r="J503" s="68">
        <f t="shared" si="483"/>
        <v>-1.7494169731660477E-3</v>
      </c>
      <c r="K503" s="68">
        <f t="shared" si="483"/>
        <v>-1.7061542265623447E-3</v>
      </c>
      <c r="L503" s="68">
        <f t="shared" si="483"/>
        <v>-1.6542401724952364E-3</v>
      </c>
      <c r="M503" s="68">
        <f t="shared" si="483"/>
        <v>-1.5955371278831049E-3</v>
      </c>
      <c r="N503" s="68">
        <f t="shared" si="483"/>
        <v>-1.5335645645386089E-3</v>
      </c>
      <c r="O503" s="68">
        <f t="shared" si="483"/>
        <v>-1.4728115053243044E-3</v>
      </c>
      <c r="P503" s="68">
        <f t="shared" si="483"/>
        <v>-1.4175067450076188E-3</v>
      </c>
      <c r="Q503" s="68">
        <f t="shared" si="483"/>
        <v>-1.3705055742877542E-3</v>
      </c>
      <c r="R503" s="68">
        <f t="shared" si="483"/>
        <v>-1.3328660539739085E-3</v>
      </c>
      <c r="S503" s="68">
        <f t="shared" si="483"/>
        <v>-1.3041454294133192E-3</v>
      </c>
      <c r="T503" s="68">
        <f t="shared" si="483"/>
        <v>-1.2830334669638665E-3</v>
      </c>
      <c r="U503" s="68">
        <f t="shared" si="483"/>
        <v>-1.2679387192321826E-3</v>
      </c>
      <c r="V503" s="68">
        <f t="shared" si="483"/>
        <v>-1.2573595302593416E-3</v>
      </c>
      <c r="W503" s="68">
        <f t="shared" si="483"/>
        <v>-1.2500486604313363E-3</v>
      </c>
      <c r="X503" s="68">
        <f t="shared" si="483"/>
        <v>-1.2450454678934149E-3</v>
      </c>
      <c r="Y503" s="68">
        <f t="shared" si="483"/>
        <v>-1.2416443868559384E-3</v>
      </c>
      <c r="Z503" s="68">
        <f t="shared" si="483"/>
        <v>-1.239342913163084E-3</v>
      </c>
      <c r="AA503" s="68">
        <f t="shared" si="483"/>
        <v>-1.2377903366070991E-3</v>
      </c>
      <c r="AB503" s="68">
        <f t="shared" si="483"/>
        <v>-1.2367451497821555E-3</v>
      </c>
      <c r="AC503" s="68">
        <f t="shared" si="483"/>
        <v>-1.2360425233389387E-3</v>
      </c>
    </row>
    <row r="504" spans="1:29" x14ac:dyDescent="0.3">
      <c r="A504" s="30" t="str">
        <f t="shared" si="481"/>
        <v>Capex costumization</v>
      </c>
      <c r="B504" s="66">
        <f>((1+B463)^B471)*B463/(((1+B463)^B471)-1)*(B461)/B475/(B472)</f>
        <v>2.1135015723170798E-3</v>
      </c>
      <c r="C504" s="66">
        <f t="shared" ref="C504:AC504" si="484">((1+C463)^C471)*C463/(((1+C463)^C471)-1)*(C461)/C475/(C472)</f>
        <v>2.1135015723170798E-3</v>
      </c>
      <c r="D504" s="66">
        <f t="shared" si="484"/>
        <v>2.1135015723170798E-3</v>
      </c>
      <c r="E504" s="66">
        <f t="shared" si="484"/>
        <v>2.1135015723170798E-3</v>
      </c>
      <c r="F504" s="66">
        <f t="shared" si="484"/>
        <v>2.1135015723170798E-3</v>
      </c>
      <c r="G504" s="66">
        <f t="shared" si="484"/>
        <v>2.1135015723170798E-3</v>
      </c>
      <c r="H504" s="66">
        <f t="shared" si="484"/>
        <v>2.1135015723170798E-3</v>
      </c>
      <c r="I504" s="66">
        <f t="shared" si="484"/>
        <v>2.1135015723170798E-3</v>
      </c>
      <c r="J504" s="66">
        <f t="shared" si="484"/>
        <v>2.1135015723170798E-3</v>
      </c>
      <c r="K504" s="66">
        <f t="shared" si="484"/>
        <v>2.1135015723170798E-3</v>
      </c>
      <c r="L504" s="66">
        <f t="shared" si="484"/>
        <v>2.1135015723170798E-3</v>
      </c>
      <c r="M504" s="66">
        <f t="shared" si="484"/>
        <v>2.1135015723170798E-3</v>
      </c>
      <c r="N504" s="66">
        <f t="shared" si="484"/>
        <v>2.1135015723170798E-3</v>
      </c>
      <c r="O504" s="66">
        <f t="shared" si="484"/>
        <v>2.1135015723170798E-3</v>
      </c>
      <c r="P504" s="66">
        <f t="shared" si="484"/>
        <v>2.1135015723170798E-3</v>
      </c>
      <c r="Q504" s="66">
        <f t="shared" si="484"/>
        <v>2.1135015723170798E-3</v>
      </c>
      <c r="R504" s="66">
        <f t="shared" si="484"/>
        <v>2.1135015723170798E-3</v>
      </c>
      <c r="S504" s="66">
        <f t="shared" si="484"/>
        <v>2.1135015723170798E-3</v>
      </c>
      <c r="T504" s="66">
        <f t="shared" si="484"/>
        <v>2.1135015723170798E-3</v>
      </c>
      <c r="U504" s="66">
        <f t="shared" si="484"/>
        <v>2.1135015723170798E-3</v>
      </c>
      <c r="V504" s="66">
        <f t="shared" si="484"/>
        <v>2.1135015723170798E-3</v>
      </c>
      <c r="W504" s="66">
        <f t="shared" si="484"/>
        <v>2.1135015723170798E-3</v>
      </c>
      <c r="X504" s="66">
        <f t="shared" si="484"/>
        <v>2.1135015723170798E-3</v>
      </c>
      <c r="Y504" s="66">
        <f t="shared" si="484"/>
        <v>2.1135015723170798E-3</v>
      </c>
      <c r="Z504" s="66">
        <f t="shared" si="484"/>
        <v>2.1135015723170798E-3</v>
      </c>
      <c r="AA504" s="66">
        <f t="shared" si="484"/>
        <v>2.1135015723170798E-3</v>
      </c>
      <c r="AB504" s="66">
        <f t="shared" si="484"/>
        <v>2.1135015723170798E-3</v>
      </c>
      <c r="AC504" s="66">
        <f t="shared" si="484"/>
        <v>2.1135015723170798E-3</v>
      </c>
    </row>
    <row r="505" spans="1:29" x14ac:dyDescent="0.3">
      <c r="A505" s="30" t="str">
        <f t="shared" si="481"/>
        <v>Residual value (costumization)</v>
      </c>
      <c r="B505" s="69">
        <f>((1+B463)^B471)*B463/(((1+B463)^B471)-1)*(B462)/B475/(B472)</f>
        <v>-5.2837539307926996E-4</v>
      </c>
      <c r="C505" s="69">
        <f t="shared" ref="C505:AC505" si="485">((1+C463)^C471)*C463/(((1+C463)^C471)-1)*(C462)/C475/(C472)</f>
        <v>-5.2837539307926996E-4</v>
      </c>
      <c r="D505" s="69">
        <f t="shared" si="485"/>
        <v>-5.2837539307926996E-4</v>
      </c>
      <c r="E505" s="69">
        <f t="shared" si="485"/>
        <v>-5.2837539307926996E-4</v>
      </c>
      <c r="F505" s="69">
        <f t="shared" si="485"/>
        <v>-5.2837539307926996E-4</v>
      </c>
      <c r="G505" s="69">
        <f t="shared" si="485"/>
        <v>-5.2837539307926996E-4</v>
      </c>
      <c r="H505" s="69">
        <f t="shared" si="485"/>
        <v>-5.2837539307926996E-4</v>
      </c>
      <c r="I505" s="69">
        <f t="shared" si="485"/>
        <v>-5.2837539307926996E-4</v>
      </c>
      <c r="J505" s="69">
        <f t="shared" si="485"/>
        <v>-5.2837539307926996E-4</v>
      </c>
      <c r="K505" s="69">
        <f t="shared" si="485"/>
        <v>-5.2837539307926996E-4</v>
      </c>
      <c r="L505" s="69">
        <f t="shared" si="485"/>
        <v>-5.2837539307926996E-4</v>
      </c>
      <c r="M505" s="69">
        <f t="shared" si="485"/>
        <v>-5.2837539307926996E-4</v>
      </c>
      <c r="N505" s="69">
        <f t="shared" si="485"/>
        <v>-5.2837539307926996E-4</v>
      </c>
      <c r="O505" s="69">
        <f t="shared" si="485"/>
        <v>-5.2837539307926996E-4</v>
      </c>
      <c r="P505" s="69">
        <f t="shared" si="485"/>
        <v>-5.2837539307926996E-4</v>
      </c>
      <c r="Q505" s="69">
        <f t="shared" si="485"/>
        <v>-5.2837539307926996E-4</v>
      </c>
      <c r="R505" s="69">
        <f t="shared" si="485"/>
        <v>-5.2837539307926996E-4</v>
      </c>
      <c r="S505" s="69">
        <f t="shared" si="485"/>
        <v>-5.2837539307926996E-4</v>
      </c>
      <c r="T505" s="69">
        <f t="shared" si="485"/>
        <v>-5.2837539307926996E-4</v>
      </c>
      <c r="U505" s="69">
        <f t="shared" si="485"/>
        <v>-5.2837539307926996E-4</v>
      </c>
      <c r="V505" s="69">
        <f t="shared" si="485"/>
        <v>-5.2837539307926996E-4</v>
      </c>
      <c r="W505" s="69">
        <f t="shared" si="485"/>
        <v>-5.2837539307926996E-4</v>
      </c>
      <c r="X505" s="69">
        <f t="shared" si="485"/>
        <v>-5.2837539307926996E-4</v>
      </c>
      <c r="Y505" s="69">
        <f t="shared" si="485"/>
        <v>-5.2837539307926996E-4</v>
      </c>
      <c r="Z505" s="69">
        <f t="shared" si="485"/>
        <v>-5.2837539307926996E-4</v>
      </c>
      <c r="AA505" s="69">
        <f t="shared" si="485"/>
        <v>-5.2837539307926996E-4</v>
      </c>
      <c r="AB505" s="69">
        <f t="shared" si="485"/>
        <v>-5.2837539307926996E-4</v>
      </c>
      <c r="AC505" s="69">
        <f t="shared" si="485"/>
        <v>-5.2837539307926996E-4</v>
      </c>
    </row>
    <row r="506" spans="1:29" x14ac:dyDescent="0.3">
      <c r="A506" s="30" t="str">
        <f t="shared" si="481"/>
        <v>Opex fix (admin, crew, insurance)</v>
      </c>
      <c r="B506" s="66">
        <f>B464/B475/(B472)</f>
        <v>3.111111111111111E-2</v>
      </c>
      <c r="C506" s="66">
        <f t="shared" ref="C506:AC506" si="486">C464/C475/(C472)</f>
        <v>3.111111111111111E-2</v>
      </c>
      <c r="D506" s="66">
        <f t="shared" si="486"/>
        <v>3.111111111111111E-2</v>
      </c>
      <c r="E506" s="66">
        <f t="shared" si="486"/>
        <v>3.111111111111111E-2</v>
      </c>
      <c r="F506" s="66">
        <f t="shared" si="486"/>
        <v>3.111111111111111E-2</v>
      </c>
      <c r="G506" s="66">
        <f t="shared" si="486"/>
        <v>3.111111111111111E-2</v>
      </c>
      <c r="H506" s="66">
        <f t="shared" si="486"/>
        <v>3.111111111111111E-2</v>
      </c>
      <c r="I506" s="66">
        <f t="shared" si="486"/>
        <v>3.111111111111111E-2</v>
      </c>
      <c r="J506" s="66">
        <f t="shared" si="486"/>
        <v>3.111111111111111E-2</v>
      </c>
      <c r="K506" s="66">
        <f t="shared" si="486"/>
        <v>3.111111111111111E-2</v>
      </c>
      <c r="L506" s="66">
        <f t="shared" si="486"/>
        <v>3.111111111111111E-2</v>
      </c>
      <c r="M506" s="66">
        <f t="shared" si="486"/>
        <v>3.111111111111111E-2</v>
      </c>
      <c r="N506" s="66">
        <f t="shared" si="486"/>
        <v>3.111111111111111E-2</v>
      </c>
      <c r="O506" s="66">
        <f t="shared" si="486"/>
        <v>3.111111111111111E-2</v>
      </c>
      <c r="P506" s="66">
        <f t="shared" si="486"/>
        <v>3.111111111111111E-2</v>
      </c>
      <c r="Q506" s="66">
        <f t="shared" si="486"/>
        <v>3.111111111111111E-2</v>
      </c>
      <c r="R506" s="66">
        <f t="shared" si="486"/>
        <v>3.111111111111111E-2</v>
      </c>
      <c r="S506" s="66">
        <f t="shared" si="486"/>
        <v>3.111111111111111E-2</v>
      </c>
      <c r="T506" s="66">
        <f t="shared" si="486"/>
        <v>3.111111111111111E-2</v>
      </c>
      <c r="U506" s="66">
        <f t="shared" si="486"/>
        <v>3.111111111111111E-2</v>
      </c>
      <c r="V506" s="66">
        <f t="shared" si="486"/>
        <v>3.111111111111111E-2</v>
      </c>
      <c r="W506" s="66">
        <f t="shared" si="486"/>
        <v>3.111111111111111E-2</v>
      </c>
      <c r="X506" s="66">
        <f t="shared" si="486"/>
        <v>3.111111111111111E-2</v>
      </c>
      <c r="Y506" s="66">
        <f t="shared" si="486"/>
        <v>3.111111111111111E-2</v>
      </c>
      <c r="Z506" s="66">
        <f t="shared" si="486"/>
        <v>3.111111111111111E-2</v>
      </c>
      <c r="AA506" s="66">
        <f t="shared" si="486"/>
        <v>3.111111111111111E-2</v>
      </c>
      <c r="AB506" s="66">
        <f t="shared" si="486"/>
        <v>3.111111111111111E-2</v>
      </c>
      <c r="AC506" s="66">
        <f t="shared" si="486"/>
        <v>3.111111111111111E-2</v>
      </c>
    </row>
    <row r="507" spans="1:29" x14ac:dyDescent="0.3">
      <c r="A507" s="30" t="str">
        <f t="shared" si="481"/>
        <v>Opex maintenance &amp; repair</v>
      </c>
      <c r="B507" s="66">
        <f>B465/B475/(B472)</f>
        <v>8.8888888888888889E-3</v>
      </c>
      <c r="C507" s="66">
        <f t="shared" ref="C507:AC507" si="487">C465/C475/(C472)</f>
        <v>8.8888888888888889E-3</v>
      </c>
      <c r="D507" s="66">
        <f t="shared" si="487"/>
        <v>8.8888888888888889E-3</v>
      </c>
      <c r="E507" s="66">
        <f t="shared" si="487"/>
        <v>8.8888888888888889E-3</v>
      </c>
      <c r="F507" s="66">
        <f t="shared" si="487"/>
        <v>8.8888888888888889E-3</v>
      </c>
      <c r="G507" s="66">
        <f t="shared" si="487"/>
        <v>8.8888888888888889E-3</v>
      </c>
      <c r="H507" s="66">
        <f t="shared" si="487"/>
        <v>8.8888888888888889E-3</v>
      </c>
      <c r="I507" s="66">
        <f t="shared" si="487"/>
        <v>8.8888888888888889E-3</v>
      </c>
      <c r="J507" s="66">
        <f t="shared" si="487"/>
        <v>8.8888888888888889E-3</v>
      </c>
      <c r="K507" s="66">
        <f t="shared" si="487"/>
        <v>8.8888888888888889E-3</v>
      </c>
      <c r="L507" s="66">
        <f t="shared" si="487"/>
        <v>8.8888888888888889E-3</v>
      </c>
      <c r="M507" s="66">
        <f t="shared" si="487"/>
        <v>8.8888888888888889E-3</v>
      </c>
      <c r="N507" s="66">
        <f t="shared" si="487"/>
        <v>8.8888888888888889E-3</v>
      </c>
      <c r="O507" s="66">
        <f t="shared" si="487"/>
        <v>8.8888888888888889E-3</v>
      </c>
      <c r="P507" s="66">
        <f t="shared" si="487"/>
        <v>8.8888888888888889E-3</v>
      </c>
      <c r="Q507" s="66">
        <f t="shared" si="487"/>
        <v>8.8888888888888889E-3</v>
      </c>
      <c r="R507" s="66">
        <f t="shared" si="487"/>
        <v>8.8888888888888889E-3</v>
      </c>
      <c r="S507" s="66">
        <f t="shared" si="487"/>
        <v>8.8888888888888889E-3</v>
      </c>
      <c r="T507" s="66">
        <f t="shared" si="487"/>
        <v>8.8888888888888889E-3</v>
      </c>
      <c r="U507" s="66">
        <f t="shared" si="487"/>
        <v>8.8888888888888889E-3</v>
      </c>
      <c r="V507" s="66">
        <f t="shared" si="487"/>
        <v>8.8888888888888889E-3</v>
      </c>
      <c r="W507" s="66">
        <f t="shared" si="487"/>
        <v>8.8888888888888889E-3</v>
      </c>
      <c r="X507" s="66">
        <f t="shared" si="487"/>
        <v>8.8888888888888889E-3</v>
      </c>
      <c r="Y507" s="66">
        <f t="shared" si="487"/>
        <v>8.8888888888888889E-3</v>
      </c>
      <c r="Z507" s="66">
        <f t="shared" si="487"/>
        <v>8.8888888888888889E-3</v>
      </c>
      <c r="AA507" s="66">
        <f t="shared" si="487"/>
        <v>8.8888888888888889E-3</v>
      </c>
      <c r="AB507" s="66">
        <f t="shared" si="487"/>
        <v>8.8888888888888889E-3</v>
      </c>
      <c r="AC507" s="66">
        <f t="shared" si="487"/>
        <v>8.8888888888888889E-3</v>
      </c>
    </row>
    <row r="508" spans="1:29" x14ac:dyDescent="0.3">
      <c r="A508" s="30" t="str">
        <f t="shared" si="481"/>
        <v>Opex var (mode-fees)</v>
      </c>
      <c r="B508" s="66">
        <f>B466*B475/B475/(B472)</f>
        <v>4.4000000000000003E-3</v>
      </c>
      <c r="C508" s="66">
        <f t="shared" ref="C508:AC508" si="488">C466*C475/C475/(C472)</f>
        <v>4.4000000000000003E-3</v>
      </c>
      <c r="D508" s="66">
        <f t="shared" si="488"/>
        <v>4.4000000000000003E-3</v>
      </c>
      <c r="E508" s="66">
        <f t="shared" si="488"/>
        <v>4.4000000000000003E-3</v>
      </c>
      <c r="F508" s="66">
        <f t="shared" si="488"/>
        <v>4.4000000000000003E-3</v>
      </c>
      <c r="G508" s="66">
        <f t="shared" si="488"/>
        <v>4.4000000000000003E-3</v>
      </c>
      <c r="H508" s="66">
        <f t="shared" si="488"/>
        <v>4.4000000000000003E-3</v>
      </c>
      <c r="I508" s="66">
        <f t="shared" si="488"/>
        <v>4.4000000000000003E-3</v>
      </c>
      <c r="J508" s="66">
        <f t="shared" si="488"/>
        <v>4.4000000000000003E-3</v>
      </c>
      <c r="K508" s="66">
        <f t="shared" si="488"/>
        <v>4.4000000000000003E-3</v>
      </c>
      <c r="L508" s="66">
        <f t="shared" si="488"/>
        <v>4.4000000000000003E-3</v>
      </c>
      <c r="M508" s="66">
        <f t="shared" si="488"/>
        <v>4.4000000000000003E-3</v>
      </c>
      <c r="N508" s="66">
        <f t="shared" si="488"/>
        <v>4.4000000000000003E-3</v>
      </c>
      <c r="O508" s="66">
        <f t="shared" si="488"/>
        <v>4.4000000000000003E-3</v>
      </c>
      <c r="P508" s="66">
        <f t="shared" si="488"/>
        <v>4.4000000000000003E-3</v>
      </c>
      <c r="Q508" s="66">
        <f t="shared" si="488"/>
        <v>4.4000000000000003E-3</v>
      </c>
      <c r="R508" s="66">
        <f t="shared" si="488"/>
        <v>4.4000000000000003E-3</v>
      </c>
      <c r="S508" s="66">
        <f t="shared" si="488"/>
        <v>4.4000000000000003E-3</v>
      </c>
      <c r="T508" s="66">
        <f t="shared" si="488"/>
        <v>4.4000000000000003E-3</v>
      </c>
      <c r="U508" s="66">
        <f t="shared" si="488"/>
        <v>4.4000000000000003E-3</v>
      </c>
      <c r="V508" s="66">
        <f t="shared" si="488"/>
        <v>4.4000000000000003E-3</v>
      </c>
      <c r="W508" s="66">
        <f t="shared" si="488"/>
        <v>4.4000000000000003E-3</v>
      </c>
      <c r="X508" s="66">
        <f t="shared" si="488"/>
        <v>4.4000000000000003E-3</v>
      </c>
      <c r="Y508" s="66">
        <f t="shared" si="488"/>
        <v>4.4000000000000003E-3</v>
      </c>
      <c r="Z508" s="66">
        <f t="shared" si="488"/>
        <v>4.4000000000000003E-3</v>
      </c>
      <c r="AA508" s="66">
        <f t="shared" si="488"/>
        <v>4.4000000000000003E-3</v>
      </c>
      <c r="AB508" s="66">
        <f t="shared" si="488"/>
        <v>4.4000000000000003E-3</v>
      </c>
      <c r="AC508" s="66">
        <f t="shared" si="488"/>
        <v>4.4000000000000003E-3</v>
      </c>
    </row>
    <row r="509" spans="1:29" x14ac:dyDescent="0.3">
      <c r="A509" s="30" t="str">
        <f t="shared" si="481"/>
        <v>Fuel Cost</v>
      </c>
      <c r="B509" s="66">
        <f>B467*B468*B475/B475/(B472)</f>
        <v>1.1573595723149675E-2</v>
      </c>
      <c r="C509" s="66">
        <f t="shared" ref="C509:AC509" si="489">C467*C468*C475/C475/(C472)</f>
        <v>1.1562290195257166E-2</v>
      </c>
      <c r="D509" s="66">
        <f t="shared" si="489"/>
        <v>1.154623796631744E-2</v>
      </c>
      <c r="E509" s="66">
        <f t="shared" si="489"/>
        <v>1.1523549683231857E-2</v>
      </c>
      <c r="F509" s="66">
        <f t="shared" si="489"/>
        <v>1.1491695743110229E-2</v>
      </c>
      <c r="G509" s="66">
        <f t="shared" si="489"/>
        <v>1.1447407203002828E-2</v>
      </c>
      <c r="H509" s="66">
        <f t="shared" si="489"/>
        <v>1.1386689271353168E-2</v>
      </c>
      <c r="I509" s="66">
        <f t="shared" si="489"/>
        <v>1.130509087748654E-2</v>
      </c>
      <c r="J509" s="66">
        <f t="shared" si="489"/>
        <v>1.1198426013052478E-2</v>
      </c>
      <c r="K509" s="66">
        <f t="shared" si="489"/>
        <v>1.1064099644999867E-2</v>
      </c>
      <c r="L509" s="66">
        <f t="shared" si="489"/>
        <v>1.0902911859175732E-2</v>
      </c>
      <c r="M509" s="66">
        <f t="shared" si="489"/>
        <v>1.0720644957616992E-2</v>
      </c>
      <c r="N509" s="66">
        <f t="shared" si="489"/>
        <v>1.0528226537463705E-2</v>
      </c>
      <c r="O509" s="66">
        <f t="shared" si="489"/>
        <v>1.0339594551910478E-2</v>
      </c>
      <c r="P509" s="66">
        <f t="shared" si="489"/>
        <v>1.0167878972744624E-2</v>
      </c>
      <c r="Q509" s="66">
        <f t="shared" si="489"/>
        <v>1.0021945183222353E-2</v>
      </c>
      <c r="R509" s="66">
        <f t="shared" si="489"/>
        <v>9.9050783530759638E-3</v>
      </c>
      <c r="S509" s="66">
        <f t="shared" si="489"/>
        <v>9.8159037747541991E-3</v>
      </c>
      <c r="T509" s="66">
        <f t="shared" si="489"/>
        <v>9.7503533078761844E-3</v>
      </c>
      <c r="U509" s="66">
        <f t="shared" si="489"/>
        <v>9.7034856723550028E-3</v>
      </c>
      <c r="V509" s="66">
        <f t="shared" si="489"/>
        <v>9.670638381250693E-3</v>
      </c>
      <c r="W509" s="66">
        <f t="shared" si="489"/>
        <v>9.6479388841453143E-3</v>
      </c>
      <c r="X509" s="66">
        <f t="shared" si="489"/>
        <v>9.6324044871167799E-3</v>
      </c>
      <c r="Y509" s="66">
        <f t="shared" si="489"/>
        <v>9.6218444811282163E-3</v>
      </c>
      <c r="Z509" s="66">
        <f t="shared" si="489"/>
        <v>9.6146986425812171E-3</v>
      </c>
      <c r="AA509" s="66">
        <f t="shared" si="489"/>
        <v>9.6098780524370118E-3</v>
      </c>
      <c r="AB509" s="66">
        <f t="shared" si="489"/>
        <v>9.6066328550985913E-3</v>
      </c>
      <c r="AC509" s="66">
        <f t="shared" si="489"/>
        <v>9.604451272429336E-3</v>
      </c>
    </row>
    <row r="510" spans="1:29" x14ac:dyDescent="0.3">
      <c r="A510" s="59" t="str">
        <f>A473</f>
        <v>Market failure (av. utilization)</v>
      </c>
      <c r="B510" s="66">
        <f t="shared" ref="B510:AC510" si="490">B499/B473-B499/B472</f>
        <v>6.9625490706338555E-2</v>
      </c>
      <c r="C510" s="66">
        <f t="shared" si="490"/>
        <v>6.9621570593645793E-2</v>
      </c>
      <c r="D510" s="66">
        <f t="shared" si="490"/>
        <v>6.9616004595577236E-2</v>
      </c>
      <c r="E510" s="66">
        <f t="shared" si="490"/>
        <v>6.9608137592165581E-2</v>
      </c>
      <c r="F510" s="66">
        <f t="shared" si="490"/>
        <v>6.9597092461308116E-2</v>
      </c>
      <c r="G510" s="66">
        <f t="shared" si="490"/>
        <v>6.9581735719909582E-2</v>
      </c>
      <c r="H510" s="66">
        <f t="shared" si="490"/>
        <v>6.956068220194904E-2</v>
      </c>
      <c r="I510" s="66">
        <f t="shared" si="490"/>
        <v>6.9532388529813818E-2</v>
      </c>
      <c r="J510" s="66">
        <f t="shared" si="490"/>
        <v>6.9495403234397651E-2</v>
      </c>
      <c r="K510" s="66">
        <f t="shared" si="490"/>
        <v>6.9448826506147268E-2</v>
      </c>
      <c r="L510" s="66">
        <f t="shared" si="490"/>
        <v>6.9392935769232014E-2</v>
      </c>
      <c r="M510" s="66">
        <f t="shared" si="490"/>
        <v>6.9329735996424835E-2</v>
      </c>
      <c r="N510" s="66">
        <f t="shared" si="490"/>
        <v>6.9263016255574419E-2</v>
      </c>
      <c r="O510" s="66">
        <f t="shared" si="490"/>
        <v>6.9197609434428181E-2</v>
      </c>
      <c r="P510" s="66">
        <f t="shared" si="490"/>
        <v>6.9138068258833896E-2</v>
      </c>
      <c r="Q510" s="66">
        <f t="shared" si="490"/>
        <v>6.908746673840517E-2</v>
      </c>
      <c r="R510" s="66">
        <f t="shared" si="490"/>
        <v>6.9046943982760678E-2</v>
      </c>
      <c r="S510" s="66">
        <f t="shared" si="490"/>
        <v>6.9016023321675654E-2</v>
      </c>
      <c r="T510" s="66">
        <f t="shared" si="490"/>
        <v>6.8993294155937593E-2</v>
      </c>
      <c r="U510" s="66">
        <f t="shared" si="490"/>
        <v>6.897704313125004E-2</v>
      </c>
      <c r="V510" s="66">
        <f t="shared" si="490"/>
        <v>6.8965653562889764E-2</v>
      </c>
      <c r="W510" s="66">
        <f t="shared" si="490"/>
        <v>6.8957782671095189E-2</v>
      </c>
      <c r="X510" s="66">
        <f t="shared" si="490"/>
        <v>6.895239622761859E-2</v>
      </c>
      <c r="Y510" s="66">
        <f t="shared" si="490"/>
        <v>6.8948734619429672E-2</v>
      </c>
      <c r="Z510" s="66">
        <f t="shared" si="490"/>
        <v>6.894625684991243E-2</v>
      </c>
      <c r="AA510" s="66">
        <f t="shared" si="490"/>
        <v>6.8944585344009227E-2</v>
      </c>
      <c r="AB510" s="66">
        <f t="shared" si="490"/>
        <v>6.8943460094538528E-2</v>
      </c>
      <c r="AC510" s="66">
        <f t="shared" si="490"/>
        <v>6.8942703646012363E-2</v>
      </c>
    </row>
    <row r="511" spans="1:29" x14ac:dyDescent="0.3">
      <c r="A511" s="59" t="str">
        <f>A474</f>
        <v>Payload loss (fuel)</v>
      </c>
      <c r="B511" s="66">
        <f>B499/(B472-B474)-B499/B472</f>
        <v>0</v>
      </c>
      <c r="C511" s="66">
        <f t="shared" ref="C511:AC511" si="491">C499/(C472-C474)-C499/C472</f>
        <v>0</v>
      </c>
      <c r="D511" s="66">
        <f t="shared" si="491"/>
        <v>0</v>
      </c>
      <c r="E511" s="66">
        <f t="shared" si="491"/>
        <v>0</v>
      </c>
      <c r="F511" s="66">
        <f t="shared" si="491"/>
        <v>0</v>
      </c>
      <c r="G511" s="66">
        <f t="shared" si="491"/>
        <v>0</v>
      </c>
      <c r="H511" s="66">
        <f t="shared" si="491"/>
        <v>0</v>
      </c>
      <c r="I511" s="66">
        <f t="shared" si="491"/>
        <v>0</v>
      </c>
      <c r="J511" s="66">
        <f t="shared" si="491"/>
        <v>0</v>
      </c>
      <c r="K511" s="66">
        <f t="shared" si="491"/>
        <v>0</v>
      </c>
      <c r="L511" s="66">
        <f t="shared" si="491"/>
        <v>0</v>
      </c>
      <c r="M511" s="66">
        <f t="shared" si="491"/>
        <v>0</v>
      </c>
      <c r="N511" s="66">
        <f t="shared" si="491"/>
        <v>0</v>
      </c>
      <c r="O511" s="66">
        <f t="shared" si="491"/>
        <v>0</v>
      </c>
      <c r="P511" s="66">
        <f t="shared" si="491"/>
        <v>0</v>
      </c>
      <c r="Q511" s="66">
        <f t="shared" si="491"/>
        <v>0</v>
      </c>
      <c r="R511" s="66">
        <f t="shared" si="491"/>
        <v>0</v>
      </c>
      <c r="S511" s="66">
        <f t="shared" si="491"/>
        <v>0</v>
      </c>
      <c r="T511" s="66">
        <f t="shared" si="491"/>
        <v>0</v>
      </c>
      <c r="U511" s="66">
        <f t="shared" si="491"/>
        <v>0</v>
      </c>
      <c r="V511" s="66">
        <f t="shared" si="491"/>
        <v>0</v>
      </c>
      <c r="W511" s="66">
        <f t="shared" si="491"/>
        <v>0</v>
      </c>
      <c r="X511" s="66">
        <f t="shared" si="491"/>
        <v>0</v>
      </c>
      <c r="Y511" s="66">
        <f t="shared" si="491"/>
        <v>0</v>
      </c>
      <c r="Z511" s="66">
        <f t="shared" si="491"/>
        <v>0</v>
      </c>
      <c r="AA511" s="66">
        <f t="shared" si="491"/>
        <v>0</v>
      </c>
      <c r="AB511" s="66">
        <f t="shared" si="491"/>
        <v>0</v>
      </c>
      <c r="AC511" s="66">
        <f t="shared" si="491"/>
        <v>0</v>
      </c>
    </row>
    <row r="512" spans="1:29" ht="15" thickBot="1" x14ac:dyDescent="0.35">
      <c r="A512" s="59" t="str">
        <f>A449</f>
        <v>Emission Cost</v>
      </c>
      <c r="B512" s="68">
        <f>B469*B475/B475/(B472)</f>
        <v>3.1055649111335639E-3</v>
      </c>
      <c r="C512" s="68">
        <f t="shared" ref="C512:AC512" si="492">C469*C475/C475/(C472)</f>
        <v>3.1111379658149869E-3</v>
      </c>
      <c r="D512" s="68">
        <f t="shared" si="492"/>
        <v>3.1191156694616588E-3</v>
      </c>
      <c r="E512" s="68">
        <f t="shared" si="492"/>
        <v>3.130528335545424E-3</v>
      </c>
      <c r="F512" s="68">
        <f t="shared" si="492"/>
        <v>3.1468395537089262E-3</v>
      </c>
      <c r="G512" s="68">
        <f t="shared" si="492"/>
        <v>3.1701191870286659E-3</v>
      </c>
      <c r="H512" s="68">
        <f t="shared" si="492"/>
        <v>3.2032750959951773E-3</v>
      </c>
      <c r="I512" s="68">
        <f t="shared" si="492"/>
        <v>3.2503517337687839E-3</v>
      </c>
      <c r="J512" s="68">
        <f t="shared" si="492"/>
        <v>3.3168900374857192E-3</v>
      </c>
      <c r="K512" s="68">
        <f t="shared" si="492"/>
        <v>3.4103086154538588E-3</v>
      </c>
      <c r="L512" s="68">
        <f t="shared" si="492"/>
        <v>3.5401943508234922E-3</v>
      </c>
      <c r="M512" s="68">
        <f t="shared" si="492"/>
        <v>3.718262834980236E-3</v>
      </c>
      <c r="N512" s="68">
        <f t="shared" si="492"/>
        <v>3.9575677966395576E-3</v>
      </c>
      <c r="O512" s="68">
        <f t="shared" si="492"/>
        <v>4.2703856118469384E-3</v>
      </c>
      <c r="P512" s="68">
        <f t="shared" si="492"/>
        <v>4.6643267770273026E-3</v>
      </c>
      <c r="Q512" s="68">
        <f t="shared" si="492"/>
        <v>5.1370448671608218E-3</v>
      </c>
      <c r="R512" s="68">
        <f t="shared" si="492"/>
        <v>5.6715820292595051E-3</v>
      </c>
      <c r="S512" s="68">
        <f t="shared" si="492"/>
        <v>6.2358907181362944E-3</v>
      </c>
      <c r="T512" s="68">
        <f t="shared" si="492"/>
        <v>6.7890948675257863E-3</v>
      </c>
      <c r="U512" s="68">
        <f t="shared" si="492"/>
        <v>7.2926879916227908E-3</v>
      </c>
      <c r="V512" s="68">
        <f t="shared" si="492"/>
        <v>7.7206704340653069E-3</v>
      </c>
      <c r="W512" s="68">
        <f t="shared" si="492"/>
        <v>8.0634077231489607E-3</v>
      </c>
      <c r="X512" s="68">
        <f t="shared" si="492"/>
        <v>8.3249314864862114E-3</v>
      </c>
      <c r="Y512" s="68">
        <f t="shared" si="492"/>
        <v>8.5171724267752297E-3</v>
      </c>
      <c r="Z512" s="68">
        <f t="shared" si="492"/>
        <v>8.6546219179967215E-3</v>
      </c>
      <c r="AA512" s="68">
        <f t="shared" si="492"/>
        <v>8.7509537128501579E-3</v>
      </c>
      <c r="AB512" s="68">
        <f t="shared" si="492"/>
        <v>8.8175249041087343E-3</v>
      </c>
      <c r="AC512" s="68">
        <f t="shared" si="492"/>
        <v>8.8630828876566786E-3</v>
      </c>
    </row>
    <row r="513" spans="1:29" ht="15" thickBot="1" x14ac:dyDescent="0.35">
      <c r="A513" s="31" t="s">
        <v>210</v>
      </c>
      <c r="B513" s="67">
        <f>B502+B503+B504+B505+B506+B507+B508+B509+B510+B511</f>
        <v>0.13283842364910792</v>
      </c>
      <c r="C513" s="67">
        <f t="shared" ref="C513:D513" si="493">C502+C503+C504+C505+C506+C507+C508+C509+C510+C511</f>
        <v>0.1328308849708526</v>
      </c>
      <c r="D513" s="67">
        <f t="shared" si="493"/>
        <v>0.13282018112841307</v>
      </c>
      <c r="E513" s="67">
        <f t="shared" ref="E513:AC513" si="494">E502+E503+E504-E505+E506+E507+E508+E509+E510+E511</f>
        <v>0.13386180306185688</v>
      </c>
      <c r="F513" s="67">
        <f t="shared" si="494"/>
        <v>0.13384056242559253</v>
      </c>
      <c r="G513" s="67">
        <f t="shared" si="494"/>
        <v>0.13381103023059535</v>
      </c>
      <c r="H513" s="67">
        <f t="shared" si="494"/>
        <v>0.13377054269605582</v>
      </c>
      <c r="I513" s="67">
        <f t="shared" si="494"/>
        <v>0.13371613178810349</v>
      </c>
      <c r="J513" s="67">
        <f t="shared" si="494"/>
        <v>0.13364500621999548</v>
      </c>
      <c r="K513" s="67">
        <f t="shared" si="494"/>
        <v>0.13355543558874475</v>
      </c>
      <c r="L513" s="67">
        <f t="shared" si="494"/>
        <v>0.13344795340236926</v>
      </c>
      <c r="M513" s="67">
        <f t="shared" si="494"/>
        <v>0.13332641537774004</v>
      </c>
      <c r="N513" s="67">
        <f t="shared" si="494"/>
        <v>0.13319810818379696</v>
      </c>
      <c r="O513" s="67">
        <f t="shared" si="494"/>
        <v>0.13307232583543882</v>
      </c>
      <c r="P513" s="67">
        <f t="shared" si="494"/>
        <v>0.13295782357468056</v>
      </c>
      <c r="Q513" s="67">
        <f t="shared" si="494"/>
        <v>0.13286051295847151</v>
      </c>
      <c r="R513" s="67">
        <f t="shared" si="494"/>
        <v>0.13278258458223208</v>
      </c>
      <c r="S513" s="67">
        <f t="shared" si="494"/>
        <v>0.13272312177245318</v>
      </c>
      <c r="T513" s="67">
        <f t="shared" si="494"/>
        <v>0.1326794118383415</v>
      </c>
      <c r="U513" s="67">
        <f t="shared" si="494"/>
        <v>0.13264815986778855</v>
      </c>
      <c r="V513" s="67">
        <f t="shared" si="494"/>
        <v>0.13262625685171109</v>
      </c>
      <c r="W513" s="67">
        <f t="shared" si="494"/>
        <v>0.13261112052133689</v>
      </c>
      <c r="X513" s="67">
        <f t="shared" si="494"/>
        <v>0.13260076197618959</v>
      </c>
      <c r="Y513" s="67">
        <f t="shared" si="494"/>
        <v>0.13259372042198014</v>
      </c>
      <c r="Z513" s="67">
        <f t="shared" si="494"/>
        <v>0.13258895548060079</v>
      </c>
      <c r="AA513" s="67">
        <f t="shared" si="494"/>
        <v>0.1325857410461716</v>
      </c>
      <c r="AB513" s="67">
        <f t="shared" si="494"/>
        <v>0.13258357710488178</v>
      </c>
      <c r="AC513" s="67">
        <f t="shared" si="494"/>
        <v>0.13258212239617762</v>
      </c>
    </row>
    <row r="515" spans="1:29" x14ac:dyDescent="0.3">
      <c r="B515" s="40"/>
    </row>
  </sheetData>
  <conditionalFormatting sqref="Q11:AR27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F867-1A5A-477A-B713-6D32D9CF1D00}">
  <sheetPr>
    <tabColor theme="4" tint="-0.249977111117893"/>
  </sheetPr>
  <dimension ref="A1:AR515"/>
  <sheetViews>
    <sheetView zoomScale="80" zoomScaleNormal="80" workbookViewId="0">
      <selection activeCell="A446" sqref="A446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Input'!A7</f>
        <v>Road long-haul: Dry bulk</v>
      </c>
    </row>
    <row r="2" spans="1:44" s="3" customFormat="1" ht="21" x14ac:dyDescent="0.4">
      <c r="A2" s="2" t="s">
        <v>87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Input'!$L$20</f>
        <v>400000</v>
      </c>
      <c r="C11" s="42">
        <f>'Parameter Input'!$M$20</f>
        <v>145000</v>
      </c>
      <c r="D11" s="1" t="s">
        <v>15</v>
      </c>
      <c r="L11" s="51">
        <f>'Parameter Input'!$O$20</f>
        <v>8</v>
      </c>
      <c r="M11" s="52">
        <v>0</v>
      </c>
      <c r="N11" s="52">
        <v>1</v>
      </c>
      <c r="O11" s="52">
        <f>'Parameter Input'!$P$20</f>
        <v>0.9</v>
      </c>
      <c r="P11" s="53">
        <f>'Parameter Input'!$Q$20</f>
        <v>0.4</v>
      </c>
      <c r="Q11" s="4">
        <f t="shared" ref="Q11:AR20" si="0">$N11+($M11-$N11)*((1/(1+EXP(-$P11*(Q$9-$L11)))^$O11))</f>
        <v>0.94584787155511363</v>
      </c>
      <c r="R11" s="4">
        <f t="shared" si="0"/>
        <v>0.92370360150141495</v>
      </c>
      <c r="S11" s="4">
        <f t="shared" si="0"/>
        <v>0.89334463567658451</v>
      </c>
      <c r="T11" s="4">
        <f t="shared" si="0"/>
        <v>0.85254543874327005</v>
      </c>
      <c r="U11" s="4">
        <f t="shared" si="0"/>
        <v>0.79921300652623883</v>
      </c>
      <c r="V11" s="4">
        <f t="shared" si="0"/>
        <v>0.73204982249993378</v>
      </c>
      <c r="W11" s="4">
        <f t="shared" si="0"/>
        <v>0.65145592958786691</v>
      </c>
      <c r="X11" s="4">
        <f t="shared" si="0"/>
        <v>0.56032247880849573</v>
      </c>
      <c r="Y11" s="4">
        <f t="shared" si="0"/>
        <v>0.46411326873185343</v>
      </c>
      <c r="Z11" s="4">
        <f t="shared" si="0"/>
        <v>0.36979727595523937</v>
      </c>
      <c r="AA11" s="4">
        <f t="shared" si="0"/>
        <v>0.28393948637231203</v>
      </c>
      <c r="AB11" s="4">
        <f t="shared" si="0"/>
        <v>0.21097259161117732</v>
      </c>
      <c r="AC11" s="4">
        <f t="shared" si="0"/>
        <v>0.15253917653798199</v>
      </c>
      <c r="AD11" s="4">
        <f t="shared" si="0"/>
        <v>0.10795188737709993</v>
      </c>
      <c r="AE11" s="4">
        <f t="shared" si="0"/>
        <v>7.5176653938091809E-2</v>
      </c>
      <c r="AF11" s="4">
        <f t="shared" si="0"/>
        <v>5.1742836177502194E-2</v>
      </c>
      <c r="AG11" s="4">
        <f t="shared" si="0"/>
        <v>3.5319190625345942E-2</v>
      </c>
      <c r="AH11" s="4">
        <f t="shared" si="0"/>
        <v>2.3969442072658165E-2</v>
      </c>
      <c r="AI11" s="4">
        <f t="shared" si="0"/>
        <v>1.6202243558389728E-2</v>
      </c>
      <c r="AJ11" s="4">
        <f t="shared" si="0"/>
        <v>1.0922240564108399E-2</v>
      </c>
      <c r="AK11" s="4">
        <f t="shared" si="0"/>
        <v>7.3493212906090566E-3</v>
      </c>
      <c r="AL11" s="4">
        <f t="shared" si="0"/>
        <v>4.9390262185057265E-3</v>
      </c>
      <c r="AM11" s="4">
        <f t="shared" si="0"/>
        <v>3.3164275492956197E-3</v>
      </c>
      <c r="AN11" s="4">
        <f t="shared" si="0"/>
        <v>2.2256362146679809E-3</v>
      </c>
      <c r="AO11" s="4">
        <f t="shared" si="0"/>
        <v>1.4930448704811861E-3</v>
      </c>
      <c r="AP11" s="4">
        <f t="shared" si="0"/>
        <v>1.0013381504474506E-3</v>
      </c>
      <c r="AQ11" s="4">
        <f t="shared" si="0"/>
        <v>6.7145100246257527E-4</v>
      </c>
      <c r="AR11" s="4">
        <f t="shared" si="0"/>
        <v>4.5019225748876845E-4</v>
      </c>
    </row>
    <row r="12" spans="1:44" x14ac:dyDescent="0.3">
      <c r="A12" s="24" t="s">
        <v>28</v>
      </c>
      <c r="B12" s="60">
        <f>'Parameter Input'!$L$21</f>
        <v>-60000</v>
      </c>
      <c r="C12" s="61">
        <f>'Parameter Input'!$M$21</f>
        <v>-36250</v>
      </c>
      <c r="D12" s="1" t="s">
        <v>15</v>
      </c>
      <c r="L12" s="54">
        <f>'Parameter Input'!$O$21</f>
        <v>8</v>
      </c>
      <c r="M12" s="37">
        <v>0</v>
      </c>
      <c r="N12" s="37">
        <v>1</v>
      </c>
      <c r="O12" s="37">
        <f>'Parameter Input'!$P$21</f>
        <v>0.9</v>
      </c>
      <c r="P12" s="55">
        <f>'Parameter Input'!$Q$21</f>
        <v>0.4</v>
      </c>
      <c r="Q12" s="4">
        <f t="shared" si="0"/>
        <v>0.94584787155511363</v>
      </c>
      <c r="R12" s="4">
        <f t="shared" si="0"/>
        <v>0.92370360150141495</v>
      </c>
      <c r="S12" s="4">
        <f t="shared" si="0"/>
        <v>0.89334463567658451</v>
      </c>
      <c r="T12" s="4">
        <f t="shared" si="0"/>
        <v>0.85254543874327005</v>
      </c>
      <c r="U12" s="4">
        <f t="shared" si="0"/>
        <v>0.79921300652623883</v>
      </c>
      <c r="V12" s="4">
        <f t="shared" si="0"/>
        <v>0.73204982249993378</v>
      </c>
      <c r="W12" s="4">
        <f t="shared" si="0"/>
        <v>0.65145592958786691</v>
      </c>
      <c r="X12" s="4">
        <f t="shared" si="0"/>
        <v>0.56032247880849573</v>
      </c>
      <c r="Y12" s="4">
        <f t="shared" si="0"/>
        <v>0.46411326873185343</v>
      </c>
      <c r="Z12" s="4">
        <f t="shared" si="0"/>
        <v>0.36979727595523937</v>
      </c>
      <c r="AA12" s="4">
        <f t="shared" si="0"/>
        <v>0.28393948637231203</v>
      </c>
      <c r="AB12" s="4">
        <f t="shared" si="0"/>
        <v>0.21097259161117732</v>
      </c>
      <c r="AC12" s="4">
        <f t="shared" si="0"/>
        <v>0.15253917653798199</v>
      </c>
      <c r="AD12" s="4">
        <f t="shared" si="0"/>
        <v>0.10795188737709993</v>
      </c>
      <c r="AE12" s="4">
        <f t="shared" si="0"/>
        <v>7.5176653938091809E-2</v>
      </c>
      <c r="AF12" s="4">
        <f t="shared" si="0"/>
        <v>5.1742836177502194E-2</v>
      </c>
      <c r="AG12" s="4">
        <f t="shared" si="0"/>
        <v>3.5319190625345942E-2</v>
      </c>
      <c r="AH12" s="4">
        <f t="shared" si="0"/>
        <v>2.3969442072658165E-2</v>
      </c>
      <c r="AI12" s="4">
        <f t="shared" si="0"/>
        <v>1.6202243558389728E-2</v>
      </c>
      <c r="AJ12" s="4">
        <f t="shared" si="0"/>
        <v>1.0922240564108399E-2</v>
      </c>
      <c r="AK12" s="4">
        <f t="shared" si="0"/>
        <v>7.3493212906090566E-3</v>
      </c>
      <c r="AL12" s="4">
        <f t="shared" si="0"/>
        <v>4.9390262185057265E-3</v>
      </c>
      <c r="AM12" s="4">
        <f t="shared" si="0"/>
        <v>3.3164275492956197E-3</v>
      </c>
      <c r="AN12" s="4">
        <f t="shared" si="0"/>
        <v>2.2256362146679809E-3</v>
      </c>
      <c r="AO12" s="4">
        <f t="shared" si="0"/>
        <v>1.4930448704811861E-3</v>
      </c>
      <c r="AP12" s="4">
        <f t="shared" si="0"/>
        <v>1.0013381504474506E-3</v>
      </c>
      <c r="AQ12" s="4">
        <f t="shared" si="0"/>
        <v>6.7145100246257527E-4</v>
      </c>
      <c r="AR12" s="4">
        <f t="shared" si="0"/>
        <v>4.5019225748876845E-4</v>
      </c>
    </row>
    <row r="13" spans="1:44" x14ac:dyDescent="0.3">
      <c r="A13" s="24" t="s">
        <v>14</v>
      </c>
      <c r="B13" s="43">
        <f>'Parameter Input'!B8</f>
        <v>40000</v>
      </c>
      <c r="C13" s="44">
        <f>'Parameter Input'!C8</f>
        <v>40000</v>
      </c>
      <c r="D13" s="1" t="s">
        <v>15</v>
      </c>
      <c r="L13" s="54">
        <f>'Parameter Input'!E8</f>
        <v>12</v>
      </c>
      <c r="M13" s="37">
        <v>0</v>
      </c>
      <c r="N13" s="37">
        <v>1</v>
      </c>
      <c r="O13" s="37">
        <f>'Parameter Input'!F8</f>
        <v>0.9</v>
      </c>
      <c r="P13" s="55">
        <f>'Parameter Input'!G8</f>
        <v>0.4</v>
      </c>
      <c r="Q13" s="4">
        <f t="shared" si="0"/>
        <v>0.9867978615748374</v>
      </c>
      <c r="R13" s="4">
        <f t="shared" si="0"/>
        <v>0.98114509762858249</v>
      </c>
      <c r="S13" s="4">
        <f t="shared" si="0"/>
        <v>0.97311898315872036</v>
      </c>
      <c r="T13" s="4">
        <f t="shared" si="0"/>
        <v>0.96177484161592774</v>
      </c>
      <c r="U13" s="4">
        <f t="shared" si="0"/>
        <v>0.94584787155511363</v>
      </c>
      <c r="V13" s="4">
        <f t="shared" si="0"/>
        <v>0.92370360150141495</v>
      </c>
      <c r="W13" s="4">
        <f t="shared" si="0"/>
        <v>0.89334463567658451</v>
      </c>
      <c r="X13" s="4">
        <f t="shared" si="0"/>
        <v>0.85254543874327005</v>
      </c>
      <c r="Y13" s="4">
        <f t="shared" si="0"/>
        <v>0.79921300652623883</v>
      </c>
      <c r="Z13" s="4">
        <f t="shared" si="0"/>
        <v>0.73204982249993378</v>
      </c>
      <c r="AA13" s="4">
        <f t="shared" si="0"/>
        <v>0.65145592958786691</v>
      </c>
      <c r="AB13" s="4">
        <f t="shared" si="0"/>
        <v>0.56032247880849573</v>
      </c>
      <c r="AC13" s="4">
        <f t="shared" si="0"/>
        <v>0.46411326873185343</v>
      </c>
      <c r="AD13" s="4">
        <f t="shared" si="0"/>
        <v>0.36979727595523937</v>
      </c>
      <c r="AE13" s="4">
        <f t="shared" si="0"/>
        <v>0.28393948637231203</v>
      </c>
      <c r="AF13" s="4">
        <f t="shared" si="0"/>
        <v>0.21097259161117732</v>
      </c>
      <c r="AG13" s="4">
        <f t="shared" si="0"/>
        <v>0.15253917653798199</v>
      </c>
      <c r="AH13" s="4">
        <f t="shared" si="0"/>
        <v>0.10795188737709993</v>
      </c>
      <c r="AI13" s="4">
        <f t="shared" si="0"/>
        <v>7.5176653938091809E-2</v>
      </c>
      <c r="AJ13" s="4">
        <f t="shared" si="0"/>
        <v>5.1742836177502194E-2</v>
      </c>
      <c r="AK13" s="4">
        <f t="shared" si="0"/>
        <v>3.5319190625345942E-2</v>
      </c>
      <c r="AL13" s="4">
        <f t="shared" si="0"/>
        <v>2.3969442072658165E-2</v>
      </c>
      <c r="AM13" s="4">
        <f t="shared" si="0"/>
        <v>1.6202243558389728E-2</v>
      </c>
      <c r="AN13" s="4">
        <f t="shared" si="0"/>
        <v>1.0922240564108399E-2</v>
      </c>
      <c r="AO13" s="4">
        <f t="shared" si="0"/>
        <v>7.3493212906090566E-3</v>
      </c>
      <c r="AP13" s="4">
        <f t="shared" si="0"/>
        <v>4.9390262185057265E-3</v>
      </c>
      <c r="AQ13" s="4">
        <f t="shared" si="0"/>
        <v>3.3164275492956197E-3</v>
      </c>
      <c r="AR13" s="4">
        <f t="shared" si="0"/>
        <v>2.2256362146679809E-3</v>
      </c>
    </row>
    <row r="14" spans="1:44" x14ac:dyDescent="0.3">
      <c r="A14" s="24" t="s">
        <v>25</v>
      </c>
      <c r="B14" s="60">
        <f>'Parameter Input'!B9</f>
        <v>-10000</v>
      </c>
      <c r="C14" s="61">
        <f>'Parameter Input'!C9</f>
        <v>-10000</v>
      </c>
      <c r="D14" s="1" t="s">
        <v>15</v>
      </c>
      <c r="L14" s="54">
        <f>'Parameter Input'!E9</f>
        <v>12</v>
      </c>
      <c r="M14" s="37">
        <v>0</v>
      </c>
      <c r="N14" s="37">
        <v>1</v>
      </c>
      <c r="O14" s="37">
        <f>'Parameter Input'!F9</f>
        <v>0.9</v>
      </c>
      <c r="P14" s="55">
        <f>'Parameter Input'!G9</f>
        <v>0.4</v>
      </c>
      <c r="Q14" s="4">
        <f t="shared" si="0"/>
        <v>0.9867978615748374</v>
      </c>
      <c r="R14" s="4">
        <f t="shared" si="0"/>
        <v>0.98114509762858249</v>
      </c>
      <c r="S14" s="4">
        <f t="shared" si="0"/>
        <v>0.97311898315872036</v>
      </c>
      <c r="T14" s="4">
        <f t="shared" si="0"/>
        <v>0.96177484161592774</v>
      </c>
      <c r="U14" s="4">
        <f t="shared" si="0"/>
        <v>0.94584787155511363</v>
      </c>
      <c r="V14" s="4">
        <f t="shared" si="0"/>
        <v>0.92370360150141495</v>
      </c>
      <c r="W14" s="4">
        <f t="shared" si="0"/>
        <v>0.89334463567658451</v>
      </c>
      <c r="X14" s="4">
        <f t="shared" si="0"/>
        <v>0.85254543874327005</v>
      </c>
      <c r="Y14" s="4">
        <f t="shared" si="0"/>
        <v>0.79921300652623883</v>
      </c>
      <c r="Z14" s="4">
        <f t="shared" si="0"/>
        <v>0.73204982249993378</v>
      </c>
      <c r="AA14" s="4">
        <f t="shared" si="0"/>
        <v>0.65145592958786691</v>
      </c>
      <c r="AB14" s="4">
        <f t="shared" si="0"/>
        <v>0.56032247880849573</v>
      </c>
      <c r="AC14" s="4">
        <f t="shared" si="0"/>
        <v>0.46411326873185343</v>
      </c>
      <c r="AD14" s="4">
        <f t="shared" si="0"/>
        <v>0.36979727595523937</v>
      </c>
      <c r="AE14" s="4">
        <f t="shared" si="0"/>
        <v>0.28393948637231203</v>
      </c>
      <c r="AF14" s="4">
        <f t="shared" si="0"/>
        <v>0.21097259161117732</v>
      </c>
      <c r="AG14" s="4">
        <f t="shared" si="0"/>
        <v>0.15253917653798199</v>
      </c>
      <c r="AH14" s="4">
        <f t="shared" si="0"/>
        <v>0.10795188737709993</v>
      </c>
      <c r="AI14" s="4">
        <f t="shared" si="0"/>
        <v>7.5176653938091809E-2</v>
      </c>
      <c r="AJ14" s="4">
        <f t="shared" si="0"/>
        <v>5.1742836177502194E-2</v>
      </c>
      <c r="AK14" s="4">
        <f t="shared" si="0"/>
        <v>3.5319190625345942E-2</v>
      </c>
      <c r="AL14" s="4">
        <f t="shared" si="0"/>
        <v>2.3969442072658165E-2</v>
      </c>
      <c r="AM14" s="4">
        <f t="shared" si="0"/>
        <v>1.6202243558389728E-2</v>
      </c>
      <c r="AN14" s="4">
        <f t="shared" si="0"/>
        <v>1.0922240564108399E-2</v>
      </c>
      <c r="AO14" s="4">
        <f t="shared" si="0"/>
        <v>7.3493212906090566E-3</v>
      </c>
      <c r="AP14" s="4">
        <f t="shared" si="0"/>
        <v>4.9390262185057265E-3</v>
      </c>
      <c r="AQ14" s="4">
        <f t="shared" si="0"/>
        <v>3.3164275492956197E-3</v>
      </c>
      <c r="AR14" s="4">
        <f t="shared" si="0"/>
        <v>2.2256362146679809E-3</v>
      </c>
    </row>
    <row r="15" spans="1:44" x14ac:dyDescent="0.3">
      <c r="A15" s="24" t="s">
        <v>79</v>
      </c>
      <c r="B15" s="45">
        <f>'Parameter Input'!$L$27</f>
        <v>0.06</v>
      </c>
      <c r="C15" s="46">
        <f>'Parameter Input'!$M$27</f>
        <v>0.06</v>
      </c>
      <c r="D15" s="1" t="s">
        <v>57</v>
      </c>
      <c r="L15" s="54">
        <f>'Parameter Input'!$O$27</f>
        <v>12</v>
      </c>
      <c r="M15" s="37">
        <v>0</v>
      </c>
      <c r="N15" s="37">
        <v>1</v>
      </c>
      <c r="O15" s="37">
        <f>'Parameter Input'!$P$27</f>
        <v>0.9</v>
      </c>
      <c r="P15" s="55">
        <f>'Parameter Input'!$Q$27</f>
        <v>0.4</v>
      </c>
      <c r="Q15" s="4">
        <f t="shared" si="0"/>
        <v>0.9867978615748374</v>
      </c>
      <c r="R15" s="4">
        <f t="shared" si="0"/>
        <v>0.98114509762858249</v>
      </c>
      <c r="S15" s="4">
        <f t="shared" si="0"/>
        <v>0.97311898315872036</v>
      </c>
      <c r="T15" s="4">
        <f t="shared" si="0"/>
        <v>0.96177484161592774</v>
      </c>
      <c r="U15" s="4">
        <f t="shared" si="0"/>
        <v>0.94584787155511363</v>
      </c>
      <c r="V15" s="4">
        <f t="shared" si="0"/>
        <v>0.92370360150141495</v>
      </c>
      <c r="W15" s="4">
        <f t="shared" si="0"/>
        <v>0.89334463567658451</v>
      </c>
      <c r="X15" s="4">
        <f t="shared" si="0"/>
        <v>0.85254543874327005</v>
      </c>
      <c r="Y15" s="4">
        <f t="shared" si="0"/>
        <v>0.79921300652623883</v>
      </c>
      <c r="Z15" s="4">
        <f t="shared" si="0"/>
        <v>0.73204982249993378</v>
      </c>
      <c r="AA15" s="4">
        <f t="shared" si="0"/>
        <v>0.65145592958786691</v>
      </c>
      <c r="AB15" s="4">
        <f t="shared" si="0"/>
        <v>0.56032247880849573</v>
      </c>
      <c r="AC15" s="4">
        <f t="shared" si="0"/>
        <v>0.46411326873185343</v>
      </c>
      <c r="AD15" s="4">
        <f t="shared" si="0"/>
        <v>0.36979727595523937</v>
      </c>
      <c r="AE15" s="4">
        <f t="shared" si="0"/>
        <v>0.28393948637231203</v>
      </c>
      <c r="AF15" s="4">
        <f t="shared" si="0"/>
        <v>0.21097259161117732</v>
      </c>
      <c r="AG15" s="4">
        <f t="shared" si="0"/>
        <v>0.15253917653798199</v>
      </c>
      <c r="AH15" s="4">
        <f t="shared" si="0"/>
        <v>0.10795188737709993</v>
      </c>
      <c r="AI15" s="4">
        <f t="shared" si="0"/>
        <v>7.5176653938091809E-2</v>
      </c>
      <c r="AJ15" s="4">
        <f t="shared" si="0"/>
        <v>5.1742836177502194E-2</v>
      </c>
      <c r="AK15" s="4">
        <f t="shared" si="0"/>
        <v>3.5319190625345942E-2</v>
      </c>
      <c r="AL15" s="4">
        <f t="shared" si="0"/>
        <v>2.3969442072658165E-2</v>
      </c>
      <c r="AM15" s="4">
        <f t="shared" si="0"/>
        <v>1.6202243558389728E-2</v>
      </c>
      <c r="AN15" s="4">
        <f t="shared" si="0"/>
        <v>1.0922240564108399E-2</v>
      </c>
      <c r="AO15" s="4">
        <f t="shared" si="0"/>
        <v>7.3493212906090566E-3</v>
      </c>
      <c r="AP15" s="4">
        <f t="shared" si="0"/>
        <v>4.9390262185057265E-3</v>
      </c>
      <c r="AQ15" s="4">
        <f t="shared" si="0"/>
        <v>3.3164275492956197E-3</v>
      </c>
      <c r="AR15" s="4">
        <f t="shared" si="0"/>
        <v>2.2256362146679809E-3</v>
      </c>
    </row>
    <row r="16" spans="1:44" x14ac:dyDescent="0.3">
      <c r="A16" s="24" t="s">
        <v>37</v>
      </c>
      <c r="B16" s="43">
        <f>'Parameter Input'!B10</f>
        <v>70000</v>
      </c>
      <c r="C16" s="44">
        <f>'Parameter Input'!C10</f>
        <v>70000</v>
      </c>
      <c r="D16" s="1" t="s">
        <v>38</v>
      </c>
      <c r="L16" s="54">
        <f>'Parameter Input'!E10</f>
        <v>12</v>
      </c>
      <c r="M16" s="37">
        <v>0</v>
      </c>
      <c r="N16" s="37">
        <v>1</v>
      </c>
      <c r="O16" s="37">
        <f>'Parameter Input'!F10</f>
        <v>0.9</v>
      </c>
      <c r="P16" s="55">
        <f>'Parameter Input'!G10</f>
        <v>0.4</v>
      </c>
      <c r="Q16" s="4">
        <f t="shared" si="0"/>
        <v>0.9867978615748374</v>
      </c>
      <c r="R16" s="4">
        <f t="shared" si="0"/>
        <v>0.98114509762858249</v>
      </c>
      <c r="S16" s="4">
        <f t="shared" si="0"/>
        <v>0.97311898315872036</v>
      </c>
      <c r="T16" s="4">
        <f t="shared" si="0"/>
        <v>0.96177484161592774</v>
      </c>
      <c r="U16" s="4">
        <f t="shared" si="0"/>
        <v>0.94584787155511363</v>
      </c>
      <c r="V16" s="4">
        <f t="shared" si="0"/>
        <v>0.92370360150141495</v>
      </c>
      <c r="W16" s="4">
        <f t="shared" si="0"/>
        <v>0.89334463567658451</v>
      </c>
      <c r="X16" s="4">
        <f t="shared" si="0"/>
        <v>0.85254543874327005</v>
      </c>
      <c r="Y16" s="4">
        <f t="shared" si="0"/>
        <v>0.79921300652623883</v>
      </c>
      <c r="Z16" s="4">
        <f t="shared" si="0"/>
        <v>0.73204982249993378</v>
      </c>
      <c r="AA16" s="4">
        <f t="shared" si="0"/>
        <v>0.65145592958786691</v>
      </c>
      <c r="AB16" s="4">
        <f t="shared" si="0"/>
        <v>0.56032247880849573</v>
      </c>
      <c r="AC16" s="4">
        <f t="shared" si="0"/>
        <v>0.46411326873185343</v>
      </c>
      <c r="AD16" s="4">
        <f t="shared" si="0"/>
        <v>0.36979727595523937</v>
      </c>
      <c r="AE16" s="4">
        <f t="shared" si="0"/>
        <v>0.28393948637231203</v>
      </c>
      <c r="AF16" s="4">
        <f t="shared" si="0"/>
        <v>0.21097259161117732</v>
      </c>
      <c r="AG16" s="4">
        <f t="shared" si="0"/>
        <v>0.15253917653798199</v>
      </c>
      <c r="AH16" s="4">
        <f t="shared" si="0"/>
        <v>0.10795188737709993</v>
      </c>
      <c r="AI16" s="4">
        <f t="shared" si="0"/>
        <v>7.5176653938091809E-2</v>
      </c>
      <c r="AJ16" s="4">
        <f t="shared" si="0"/>
        <v>5.1742836177502194E-2</v>
      </c>
      <c r="AK16" s="4">
        <f t="shared" si="0"/>
        <v>3.5319190625345942E-2</v>
      </c>
      <c r="AL16" s="4">
        <f t="shared" si="0"/>
        <v>2.3969442072658165E-2</v>
      </c>
      <c r="AM16" s="4">
        <f t="shared" si="0"/>
        <v>1.6202243558389728E-2</v>
      </c>
      <c r="AN16" s="4">
        <f t="shared" si="0"/>
        <v>1.0922240564108399E-2</v>
      </c>
      <c r="AO16" s="4">
        <f t="shared" si="0"/>
        <v>7.3493212906090566E-3</v>
      </c>
      <c r="AP16" s="4">
        <f t="shared" si="0"/>
        <v>4.9390262185057265E-3</v>
      </c>
      <c r="AQ16" s="4">
        <f t="shared" si="0"/>
        <v>3.3164275492956197E-3</v>
      </c>
      <c r="AR16" s="4">
        <f t="shared" si="0"/>
        <v>2.2256362146679809E-3</v>
      </c>
    </row>
    <row r="17" spans="1:44" x14ac:dyDescent="0.3">
      <c r="A17" s="24" t="s">
        <v>52</v>
      </c>
      <c r="B17" s="43">
        <f>'Parameter Input'!$L$23</f>
        <v>15000</v>
      </c>
      <c r="C17" s="44">
        <f>'Parameter Input'!$M$23</f>
        <v>15000</v>
      </c>
      <c r="D17" s="1" t="s">
        <v>38</v>
      </c>
      <c r="L17" s="54">
        <f>'Parameter Input'!$O$23</f>
        <v>8</v>
      </c>
      <c r="M17" s="37">
        <v>0</v>
      </c>
      <c r="N17" s="37">
        <v>1</v>
      </c>
      <c r="O17" s="37">
        <f>'Parameter Input'!$P$23</f>
        <v>0.9</v>
      </c>
      <c r="P17" s="55">
        <f>'Parameter Input'!$Q$23</f>
        <v>0.4</v>
      </c>
      <c r="Q17" s="4">
        <f t="shared" si="0"/>
        <v>0.94584787155511363</v>
      </c>
      <c r="R17" s="4">
        <f t="shared" si="0"/>
        <v>0.92370360150141495</v>
      </c>
      <c r="S17" s="4">
        <f t="shared" si="0"/>
        <v>0.89334463567658451</v>
      </c>
      <c r="T17" s="4">
        <f t="shared" si="0"/>
        <v>0.85254543874327005</v>
      </c>
      <c r="U17" s="4">
        <f t="shared" si="0"/>
        <v>0.79921300652623883</v>
      </c>
      <c r="V17" s="4">
        <f t="shared" si="0"/>
        <v>0.73204982249993378</v>
      </c>
      <c r="W17" s="4">
        <f t="shared" si="0"/>
        <v>0.65145592958786691</v>
      </c>
      <c r="X17" s="4">
        <f t="shared" si="0"/>
        <v>0.56032247880849573</v>
      </c>
      <c r="Y17" s="4">
        <f t="shared" si="0"/>
        <v>0.46411326873185343</v>
      </c>
      <c r="Z17" s="4">
        <f t="shared" si="0"/>
        <v>0.36979727595523937</v>
      </c>
      <c r="AA17" s="4">
        <f t="shared" si="0"/>
        <v>0.28393948637231203</v>
      </c>
      <c r="AB17" s="4">
        <f t="shared" si="0"/>
        <v>0.21097259161117732</v>
      </c>
      <c r="AC17" s="4">
        <f t="shared" si="0"/>
        <v>0.15253917653798199</v>
      </c>
      <c r="AD17" s="4">
        <f t="shared" si="0"/>
        <v>0.10795188737709993</v>
      </c>
      <c r="AE17" s="4">
        <f t="shared" si="0"/>
        <v>7.5176653938091809E-2</v>
      </c>
      <c r="AF17" s="4">
        <f t="shared" si="0"/>
        <v>5.1742836177502194E-2</v>
      </c>
      <c r="AG17" s="4">
        <f t="shared" si="0"/>
        <v>3.5319190625345942E-2</v>
      </c>
      <c r="AH17" s="4">
        <f t="shared" si="0"/>
        <v>2.3969442072658165E-2</v>
      </c>
      <c r="AI17" s="4">
        <f t="shared" si="0"/>
        <v>1.6202243558389728E-2</v>
      </c>
      <c r="AJ17" s="4">
        <f t="shared" si="0"/>
        <v>1.0922240564108399E-2</v>
      </c>
      <c r="AK17" s="4">
        <f t="shared" si="0"/>
        <v>7.3493212906090566E-3</v>
      </c>
      <c r="AL17" s="4">
        <f t="shared" si="0"/>
        <v>4.9390262185057265E-3</v>
      </c>
      <c r="AM17" s="4">
        <f t="shared" si="0"/>
        <v>3.3164275492956197E-3</v>
      </c>
      <c r="AN17" s="4">
        <f t="shared" si="0"/>
        <v>2.2256362146679809E-3</v>
      </c>
      <c r="AO17" s="4">
        <f t="shared" si="0"/>
        <v>1.4930448704811861E-3</v>
      </c>
      <c r="AP17" s="4">
        <f t="shared" si="0"/>
        <v>1.0013381504474506E-3</v>
      </c>
      <c r="AQ17" s="4">
        <f t="shared" si="0"/>
        <v>6.7145100246257527E-4</v>
      </c>
      <c r="AR17" s="4">
        <f t="shared" si="0"/>
        <v>4.5019225748876845E-4</v>
      </c>
    </row>
    <row r="18" spans="1:44" x14ac:dyDescent="0.3">
      <c r="A18" s="24" t="s">
        <v>273</v>
      </c>
      <c r="B18" s="45">
        <f>'Parameter Input'!B15</f>
        <v>0.11</v>
      </c>
      <c r="C18" s="46">
        <f>'Parameter Input'!C15</f>
        <v>0.11</v>
      </c>
      <c r="D18" s="1" t="s">
        <v>76</v>
      </c>
      <c r="L18" s="54">
        <f>'Parameter Input'!E15</f>
        <v>12</v>
      </c>
      <c r="M18" s="37">
        <v>0</v>
      </c>
      <c r="N18" s="37">
        <v>1</v>
      </c>
      <c r="O18" s="37">
        <f>'Parameter Input'!F15</f>
        <v>0.9</v>
      </c>
      <c r="P18" s="55">
        <f>'Parameter Input'!G15</f>
        <v>0.4</v>
      </c>
      <c r="Q18" s="4">
        <f t="shared" si="0"/>
        <v>0.9867978615748374</v>
      </c>
      <c r="R18" s="4">
        <f t="shared" si="0"/>
        <v>0.98114509762858249</v>
      </c>
      <c r="S18" s="4">
        <f t="shared" si="0"/>
        <v>0.97311898315872036</v>
      </c>
      <c r="T18" s="4">
        <f t="shared" si="0"/>
        <v>0.96177484161592774</v>
      </c>
      <c r="U18" s="4">
        <f t="shared" si="0"/>
        <v>0.94584787155511363</v>
      </c>
      <c r="V18" s="4">
        <f t="shared" si="0"/>
        <v>0.92370360150141495</v>
      </c>
      <c r="W18" s="4">
        <f t="shared" si="0"/>
        <v>0.89334463567658451</v>
      </c>
      <c r="X18" s="4">
        <f t="shared" si="0"/>
        <v>0.85254543874327005</v>
      </c>
      <c r="Y18" s="4">
        <f t="shared" si="0"/>
        <v>0.79921300652623883</v>
      </c>
      <c r="Z18" s="4">
        <f t="shared" si="0"/>
        <v>0.73204982249993378</v>
      </c>
      <c r="AA18" s="4">
        <f t="shared" si="0"/>
        <v>0.65145592958786691</v>
      </c>
      <c r="AB18" s="4">
        <f t="shared" si="0"/>
        <v>0.56032247880849573</v>
      </c>
      <c r="AC18" s="4">
        <f t="shared" si="0"/>
        <v>0.46411326873185343</v>
      </c>
      <c r="AD18" s="4">
        <f t="shared" si="0"/>
        <v>0.36979727595523937</v>
      </c>
      <c r="AE18" s="4">
        <f t="shared" si="0"/>
        <v>0.28393948637231203</v>
      </c>
      <c r="AF18" s="4">
        <f t="shared" si="0"/>
        <v>0.21097259161117732</v>
      </c>
      <c r="AG18" s="4">
        <f t="shared" si="0"/>
        <v>0.15253917653798199</v>
      </c>
      <c r="AH18" s="4">
        <f t="shared" si="0"/>
        <v>0.10795188737709993</v>
      </c>
      <c r="AI18" s="4">
        <f t="shared" si="0"/>
        <v>7.5176653938091809E-2</v>
      </c>
      <c r="AJ18" s="4">
        <f t="shared" si="0"/>
        <v>5.1742836177502194E-2</v>
      </c>
      <c r="AK18" s="4">
        <f t="shared" si="0"/>
        <v>3.5319190625345942E-2</v>
      </c>
      <c r="AL18" s="4">
        <f t="shared" si="0"/>
        <v>2.3969442072658165E-2</v>
      </c>
      <c r="AM18" s="4">
        <f t="shared" si="0"/>
        <v>1.6202243558389728E-2</v>
      </c>
      <c r="AN18" s="4">
        <f t="shared" si="0"/>
        <v>1.0922240564108399E-2</v>
      </c>
      <c r="AO18" s="4">
        <f t="shared" si="0"/>
        <v>7.3493212906090566E-3</v>
      </c>
      <c r="AP18" s="4">
        <f t="shared" si="0"/>
        <v>4.9390262185057265E-3</v>
      </c>
      <c r="AQ18" s="4">
        <f t="shared" si="0"/>
        <v>3.3164275492956197E-3</v>
      </c>
      <c r="AR18" s="4">
        <f t="shared" si="0"/>
        <v>2.2256362146679809E-3</v>
      </c>
    </row>
    <row r="19" spans="1:44" x14ac:dyDescent="0.3">
      <c r="A19" s="24" t="s">
        <v>59</v>
      </c>
      <c r="B19" s="47">
        <f>'Parameter Input'!$L$24</f>
        <v>1.52</v>
      </c>
      <c r="C19" s="48">
        <f>'Parameter Input'!$M$24</f>
        <v>1.1499999999999999</v>
      </c>
      <c r="D19" s="1" t="s">
        <v>60</v>
      </c>
      <c r="L19" s="54">
        <f>'Parameter Input'!$O$24</f>
        <v>8</v>
      </c>
      <c r="M19" s="37">
        <v>0</v>
      </c>
      <c r="N19" s="37">
        <v>1</v>
      </c>
      <c r="O19" s="37">
        <f>'Parameter Input'!$P$24</f>
        <v>0.9</v>
      </c>
      <c r="P19" s="55">
        <f>'Parameter Input'!$Q$24</f>
        <v>0.4</v>
      </c>
      <c r="Q19" s="4">
        <f t="shared" si="0"/>
        <v>0.94584787155511363</v>
      </c>
      <c r="R19" s="4">
        <f t="shared" si="0"/>
        <v>0.92370360150141495</v>
      </c>
      <c r="S19" s="4">
        <f t="shared" si="0"/>
        <v>0.89334463567658451</v>
      </c>
      <c r="T19" s="4">
        <f t="shared" si="0"/>
        <v>0.85254543874327005</v>
      </c>
      <c r="U19" s="4">
        <f t="shared" si="0"/>
        <v>0.79921300652623883</v>
      </c>
      <c r="V19" s="4">
        <f t="shared" si="0"/>
        <v>0.73204982249993378</v>
      </c>
      <c r="W19" s="4">
        <f t="shared" si="0"/>
        <v>0.65145592958786691</v>
      </c>
      <c r="X19" s="4">
        <f t="shared" si="0"/>
        <v>0.56032247880849573</v>
      </c>
      <c r="Y19" s="4">
        <f t="shared" si="0"/>
        <v>0.46411326873185343</v>
      </c>
      <c r="Z19" s="4">
        <f t="shared" si="0"/>
        <v>0.36979727595523937</v>
      </c>
      <c r="AA19" s="4">
        <f t="shared" si="0"/>
        <v>0.28393948637231203</v>
      </c>
      <c r="AB19" s="4">
        <f t="shared" si="0"/>
        <v>0.21097259161117732</v>
      </c>
      <c r="AC19" s="4">
        <f t="shared" si="0"/>
        <v>0.15253917653798199</v>
      </c>
      <c r="AD19" s="4">
        <f t="shared" si="0"/>
        <v>0.10795188737709993</v>
      </c>
      <c r="AE19" s="4">
        <f t="shared" si="0"/>
        <v>7.5176653938091809E-2</v>
      </c>
      <c r="AF19" s="4">
        <f t="shared" si="0"/>
        <v>5.1742836177502194E-2</v>
      </c>
      <c r="AG19" s="4">
        <f t="shared" si="0"/>
        <v>3.5319190625345942E-2</v>
      </c>
      <c r="AH19" s="4">
        <f t="shared" si="0"/>
        <v>2.3969442072658165E-2</v>
      </c>
      <c r="AI19" s="4">
        <f t="shared" si="0"/>
        <v>1.6202243558389728E-2</v>
      </c>
      <c r="AJ19" s="4">
        <f t="shared" si="0"/>
        <v>1.0922240564108399E-2</v>
      </c>
      <c r="AK19" s="4">
        <f t="shared" si="0"/>
        <v>7.3493212906090566E-3</v>
      </c>
      <c r="AL19" s="4">
        <f t="shared" si="0"/>
        <v>4.9390262185057265E-3</v>
      </c>
      <c r="AM19" s="4">
        <f t="shared" si="0"/>
        <v>3.3164275492956197E-3</v>
      </c>
      <c r="AN19" s="4">
        <f t="shared" si="0"/>
        <v>2.2256362146679809E-3</v>
      </c>
      <c r="AO19" s="4">
        <f t="shared" si="0"/>
        <v>1.4930448704811861E-3</v>
      </c>
      <c r="AP19" s="4">
        <f t="shared" si="0"/>
        <v>1.0013381504474506E-3</v>
      </c>
      <c r="AQ19" s="4">
        <f t="shared" si="0"/>
        <v>6.7145100246257527E-4</v>
      </c>
      <c r="AR19" s="4">
        <f t="shared" si="0"/>
        <v>4.5019225748876845E-4</v>
      </c>
    </row>
    <row r="20" spans="1:44" x14ac:dyDescent="0.3">
      <c r="A20" s="24" t="s">
        <v>67</v>
      </c>
      <c r="B20" s="45">
        <f>'Parameter Input'!$L$25</f>
        <v>9.2586511082899101E-2</v>
      </c>
      <c r="C20" s="46">
        <f>'Parameter Input'!$M$25</f>
        <v>7.3304790352502799E-2</v>
      </c>
      <c r="D20" s="1" t="s">
        <v>68</v>
      </c>
      <c r="L20" s="54">
        <f>'Parameter Input'!$O$25</f>
        <v>12</v>
      </c>
      <c r="M20" s="37">
        <v>0</v>
      </c>
      <c r="N20" s="37">
        <v>1</v>
      </c>
      <c r="O20" s="37">
        <f>'Parameter Input'!$P$25</f>
        <v>0.9</v>
      </c>
      <c r="P20" s="55">
        <f>'Parameter Input'!$Q$25</f>
        <v>0.4</v>
      </c>
      <c r="Q20" s="4">
        <f t="shared" si="0"/>
        <v>0.9867978615748374</v>
      </c>
      <c r="R20" s="4">
        <f t="shared" si="0"/>
        <v>0.98114509762858249</v>
      </c>
      <c r="S20" s="4">
        <f t="shared" si="0"/>
        <v>0.97311898315872036</v>
      </c>
      <c r="T20" s="4">
        <f t="shared" ref="T20:AR27" si="1">$N20+($M20-$N20)*((1/(1+EXP(-$P20*(T$9-$L20)))^$O20))</f>
        <v>0.96177484161592774</v>
      </c>
      <c r="U20" s="4">
        <f t="shared" si="1"/>
        <v>0.94584787155511363</v>
      </c>
      <c r="V20" s="4">
        <f t="shared" si="1"/>
        <v>0.92370360150141495</v>
      </c>
      <c r="W20" s="4">
        <f t="shared" si="1"/>
        <v>0.89334463567658451</v>
      </c>
      <c r="X20" s="4">
        <f t="shared" si="1"/>
        <v>0.85254543874327005</v>
      </c>
      <c r="Y20" s="4">
        <f t="shared" si="1"/>
        <v>0.79921300652623883</v>
      </c>
      <c r="Z20" s="4">
        <f t="shared" si="1"/>
        <v>0.73204982249993378</v>
      </c>
      <c r="AA20" s="4">
        <f t="shared" si="1"/>
        <v>0.65145592958786691</v>
      </c>
      <c r="AB20" s="4">
        <f t="shared" si="1"/>
        <v>0.56032247880849573</v>
      </c>
      <c r="AC20" s="4">
        <f t="shared" si="1"/>
        <v>0.46411326873185343</v>
      </c>
      <c r="AD20" s="4">
        <f t="shared" si="1"/>
        <v>0.36979727595523937</v>
      </c>
      <c r="AE20" s="4">
        <f t="shared" si="1"/>
        <v>0.28393948637231203</v>
      </c>
      <c r="AF20" s="4">
        <f t="shared" si="1"/>
        <v>0.21097259161117732</v>
      </c>
      <c r="AG20" s="4">
        <f t="shared" si="1"/>
        <v>0.15253917653798199</v>
      </c>
      <c r="AH20" s="4">
        <f t="shared" si="1"/>
        <v>0.10795188737709993</v>
      </c>
      <c r="AI20" s="4">
        <f t="shared" si="1"/>
        <v>7.5176653938091809E-2</v>
      </c>
      <c r="AJ20" s="4">
        <f t="shared" si="1"/>
        <v>5.1742836177502194E-2</v>
      </c>
      <c r="AK20" s="4">
        <f t="shared" si="1"/>
        <v>3.5319190625345942E-2</v>
      </c>
      <c r="AL20" s="4">
        <f t="shared" si="1"/>
        <v>2.3969442072658165E-2</v>
      </c>
      <c r="AM20" s="4">
        <f t="shared" si="1"/>
        <v>1.6202243558389728E-2</v>
      </c>
      <c r="AN20" s="4">
        <f t="shared" si="1"/>
        <v>1.0922240564108399E-2</v>
      </c>
      <c r="AO20" s="4">
        <f t="shared" si="1"/>
        <v>7.3493212906090566E-3</v>
      </c>
      <c r="AP20" s="4">
        <f t="shared" si="1"/>
        <v>4.9390262185057265E-3</v>
      </c>
      <c r="AQ20" s="4">
        <f t="shared" si="1"/>
        <v>3.3164275492956197E-3</v>
      </c>
      <c r="AR20" s="4">
        <f t="shared" si="1"/>
        <v>2.2256362146679809E-3</v>
      </c>
    </row>
    <row r="21" spans="1:44" x14ac:dyDescent="0.3">
      <c r="A21" s="24" t="s">
        <v>206</v>
      </c>
      <c r="B21" s="115">
        <f>'Parameter Input'!$L$28</f>
        <v>3.5200000000000006E-3</v>
      </c>
      <c r="C21" s="116">
        <f>'Parameter Input'!$M$28</f>
        <v>0</v>
      </c>
      <c r="D21" s="1" t="s">
        <v>76</v>
      </c>
      <c r="L21" s="54">
        <f>'Parameter Input'!$O$28</f>
        <v>17</v>
      </c>
      <c r="M21" s="37">
        <v>0</v>
      </c>
      <c r="N21" s="37">
        <v>1</v>
      </c>
      <c r="O21" s="37">
        <f>'Parameter Input'!$P$28</f>
        <v>0.9</v>
      </c>
      <c r="P21" s="55">
        <f>'Parameter Input'!$Q$28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43">
        <f>'Parameter Input'!$L$22</f>
        <v>8</v>
      </c>
      <c r="C22" s="44">
        <f>'Parameter Input'!$M$22</f>
        <v>8</v>
      </c>
      <c r="D22" s="1" t="s">
        <v>42</v>
      </c>
      <c r="L22" s="54">
        <f>'Parameter Input'!$O$22</f>
        <v>8</v>
      </c>
      <c r="M22" s="37">
        <v>0</v>
      </c>
      <c r="N22" s="37">
        <v>1</v>
      </c>
      <c r="O22" s="37">
        <f>'Parameter Input'!$P$22</f>
        <v>0.9</v>
      </c>
      <c r="P22" s="55">
        <f>'Parameter Input'!$Q$22</f>
        <v>0.4</v>
      </c>
      <c r="Q22" s="4">
        <f t="shared" ref="Q22:AF27" si="3">$N22+($M22-$N22)*((1/(1+EXP(-$P22*(Q$9-$L22)))^$O22))</f>
        <v>0.94584787155511363</v>
      </c>
      <c r="R22" s="4">
        <f t="shared" si="3"/>
        <v>0.92370360150141495</v>
      </c>
      <c r="S22" s="4">
        <f t="shared" si="3"/>
        <v>0.89334463567658451</v>
      </c>
      <c r="T22" s="4">
        <f t="shared" si="3"/>
        <v>0.85254543874327005</v>
      </c>
      <c r="U22" s="4">
        <f t="shared" si="3"/>
        <v>0.79921300652623883</v>
      </c>
      <c r="V22" s="4">
        <f t="shared" si="3"/>
        <v>0.73204982249993378</v>
      </c>
      <c r="W22" s="4">
        <f t="shared" si="3"/>
        <v>0.65145592958786691</v>
      </c>
      <c r="X22" s="4">
        <f t="shared" si="3"/>
        <v>0.56032247880849573</v>
      </c>
      <c r="Y22" s="4">
        <f t="shared" si="3"/>
        <v>0.46411326873185343</v>
      </c>
      <c r="Z22" s="4">
        <f t="shared" si="3"/>
        <v>0.36979727595523937</v>
      </c>
      <c r="AA22" s="4">
        <f t="shared" si="3"/>
        <v>0.28393948637231203</v>
      </c>
      <c r="AB22" s="4">
        <f t="shared" si="3"/>
        <v>0.21097259161117732</v>
      </c>
      <c r="AC22" s="4">
        <f t="shared" si="3"/>
        <v>0.15253917653798199</v>
      </c>
      <c r="AD22" s="4">
        <f t="shared" si="3"/>
        <v>0.10795188737709993</v>
      </c>
      <c r="AE22" s="4">
        <f t="shared" si="3"/>
        <v>7.5176653938091809E-2</v>
      </c>
      <c r="AF22" s="4">
        <f t="shared" si="3"/>
        <v>5.1742836177502194E-2</v>
      </c>
      <c r="AG22" s="4">
        <f t="shared" si="1"/>
        <v>3.5319190625345942E-2</v>
      </c>
      <c r="AH22" s="4">
        <f t="shared" si="1"/>
        <v>2.3969442072658165E-2</v>
      </c>
      <c r="AI22" s="4">
        <f t="shared" si="1"/>
        <v>1.6202243558389728E-2</v>
      </c>
      <c r="AJ22" s="4">
        <f t="shared" si="1"/>
        <v>1.0922240564108399E-2</v>
      </c>
      <c r="AK22" s="4">
        <f t="shared" si="1"/>
        <v>7.3493212906090566E-3</v>
      </c>
      <c r="AL22" s="4">
        <f t="shared" si="1"/>
        <v>4.9390262185057265E-3</v>
      </c>
      <c r="AM22" s="4">
        <f t="shared" si="1"/>
        <v>3.3164275492956197E-3</v>
      </c>
      <c r="AN22" s="4">
        <f t="shared" si="1"/>
        <v>2.2256362146679809E-3</v>
      </c>
      <c r="AO22" s="4">
        <f t="shared" si="1"/>
        <v>1.4930448704811861E-3</v>
      </c>
      <c r="AP22" s="4">
        <f t="shared" si="1"/>
        <v>1.0013381504474506E-3</v>
      </c>
      <c r="AQ22" s="4">
        <f t="shared" si="1"/>
        <v>6.7145100246257527E-4</v>
      </c>
      <c r="AR22" s="4">
        <f t="shared" si="1"/>
        <v>4.5019225748876845E-4</v>
      </c>
    </row>
    <row r="23" spans="1:44" x14ac:dyDescent="0.3">
      <c r="A23" s="24" t="s">
        <v>70</v>
      </c>
      <c r="B23" s="43">
        <f>'Parameter Input'!B14</f>
        <v>10</v>
      </c>
      <c r="C23" s="44">
        <f>'Parameter Input'!C14</f>
        <v>10</v>
      </c>
      <c r="D23" s="1" t="s">
        <v>42</v>
      </c>
      <c r="L23" s="54">
        <f>'Parameter Input'!E14</f>
        <v>12</v>
      </c>
      <c r="M23" s="37">
        <v>0</v>
      </c>
      <c r="N23" s="37">
        <v>1</v>
      </c>
      <c r="O23" s="37">
        <f>'Parameter Input'!F14</f>
        <v>0.9</v>
      </c>
      <c r="P23" s="55">
        <f>'Parameter Input'!G14</f>
        <v>0.4</v>
      </c>
      <c r="Q23" s="4">
        <f t="shared" si="3"/>
        <v>0.9867978615748374</v>
      </c>
      <c r="R23" s="4">
        <f t="shared" si="3"/>
        <v>0.98114509762858249</v>
      </c>
      <c r="S23" s="4">
        <f t="shared" si="3"/>
        <v>0.97311898315872036</v>
      </c>
      <c r="T23" s="4">
        <f t="shared" si="3"/>
        <v>0.96177484161592774</v>
      </c>
      <c r="U23" s="4">
        <f t="shared" si="3"/>
        <v>0.94584787155511363</v>
      </c>
      <c r="V23" s="4">
        <f t="shared" si="3"/>
        <v>0.92370360150141495</v>
      </c>
      <c r="W23" s="4">
        <f t="shared" si="3"/>
        <v>0.89334463567658451</v>
      </c>
      <c r="X23" s="4">
        <f t="shared" si="3"/>
        <v>0.85254543874327005</v>
      </c>
      <c r="Y23" s="4">
        <f t="shared" si="3"/>
        <v>0.79921300652623883</v>
      </c>
      <c r="Z23" s="4">
        <f t="shared" si="3"/>
        <v>0.73204982249993378</v>
      </c>
      <c r="AA23" s="4">
        <f t="shared" si="3"/>
        <v>0.65145592958786691</v>
      </c>
      <c r="AB23" s="4">
        <f t="shared" si="3"/>
        <v>0.56032247880849573</v>
      </c>
      <c r="AC23" s="4">
        <f t="shared" si="3"/>
        <v>0.46411326873185343</v>
      </c>
      <c r="AD23" s="4">
        <f t="shared" si="3"/>
        <v>0.36979727595523937</v>
      </c>
      <c r="AE23" s="4">
        <f t="shared" si="3"/>
        <v>0.28393948637231203</v>
      </c>
      <c r="AF23" s="4">
        <f t="shared" si="3"/>
        <v>0.21097259161117732</v>
      </c>
      <c r="AG23" s="4">
        <f t="shared" si="1"/>
        <v>0.15253917653798199</v>
      </c>
      <c r="AH23" s="4">
        <f t="shared" si="1"/>
        <v>0.10795188737709993</v>
      </c>
      <c r="AI23" s="4">
        <f t="shared" si="1"/>
        <v>7.5176653938091809E-2</v>
      </c>
      <c r="AJ23" s="4">
        <f t="shared" si="1"/>
        <v>5.1742836177502194E-2</v>
      </c>
      <c r="AK23" s="4">
        <f t="shared" si="1"/>
        <v>3.5319190625345942E-2</v>
      </c>
      <c r="AL23" s="4">
        <f t="shared" si="1"/>
        <v>2.3969442072658165E-2</v>
      </c>
      <c r="AM23" s="4">
        <f t="shared" si="1"/>
        <v>1.6202243558389728E-2</v>
      </c>
      <c r="AN23" s="4">
        <f t="shared" si="1"/>
        <v>1.0922240564108399E-2</v>
      </c>
      <c r="AO23" s="4">
        <f t="shared" si="1"/>
        <v>7.3493212906090566E-3</v>
      </c>
      <c r="AP23" s="4">
        <f t="shared" si="1"/>
        <v>4.9390262185057265E-3</v>
      </c>
      <c r="AQ23" s="4">
        <f t="shared" si="1"/>
        <v>3.3164275492956197E-3</v>
      </c>
      <c r="AR23" s="4">
        <f t="shared" si="1"/>
        <v>2.2256362146679809E-3</v>
      </c>
    </row>
    <row r="24" spans="1:44" x14ac:dyDescent="0.3">
      <c r="A24" s="24" t="s">
        <v>207</v>
      </c>
      <c r="B24" s="70">
        <f>'Parameter Input'!B11</f>
        <v>25</v>
      </c>
      <c r="C24" s="71">
        <f>'Parameter Input'!C11</f>
        <v>25</v>
      </c>
      <c r="D24" s="1" t="s">
        <v>49</v>
      </c>
      <c r="L24" s="54">
        <f>'Parameter Input'!E11</f>
        <v>12</v>
      </c>
      <c r="M24" s="37">
        <v>0</v>
      </c>
      <c r="N24" s="37">
        <v>1</v>
      </c>
      <c r="O24" s="37">
        <f>'Parameter Input'!F11</f>
        <v>0.9</v>
      </c>
      <c r="P24" s="55">
        <f>'Parameter Input'!G11</f>
        <v>0.4</v>
      </c>
      <c r="Q24" s="4">
        <f t="shared" si="3"/>
        <v>0.9867978615748374</v>
      </c>
      <c r="R24" s="4">
        <f t="shared" si="3"/>
        <v>0.98114509762858249</v>
      </c>
      <c r="S24" s="4">
        <f t="shared" si="3"/>
        <v>0.97311898315872036</v>
      </c>
      <c r="T24" s="4">
        <f t="shared" si="3"/>
        <v>0.96177484161592774</v>
      </c>
      <c r="U24" s="4">
        <f t="shared" si="3"/>
        <v>0.94584787155511363</v>
      </c>
      <c r="V24" s="4">
        <f t="shared" si="3"/>
        <v>0.92370360150141495</v>
      </c>
      <c r="W24" s="4">
        <f t="shared" si="3"/>
        <v>0.89334463567658451</v>
      </c>
      <c r="X24" s="4">
        <f t="shared" si="3"/>
        <v>0.85254543874327005</v>
      </c>
      <c r="Y24" s="4">
        <f t="shared" si="3"/>
        <v>0.79921300652623883</v>
      </c>
      <c r="Z24" s="4">
        <f t="shared" si="3"/>
        <v>0.73204982249993378</v>
      </c>
      <c r="AA24" s="4">
        <f t="shared" si="3"/>
        <v>0.65145592958786691</v>
      </c>
      <c r="AB24" s="4">
        <f t="shared" si="3"/>
        <v>0.56032247880849573</v>
      </c>
      <c r="AC24" s="4">
        <f t="shared" si="3"/>
        <v>0.46411326873185343</v>
      </c>
      <c r="AD24" s="4">
        <f t="shared" si="3"/>
        <v>0.36979727595523937</v>
      </c>
      <c r="AE24" s="4">
        <f t="shared" si="3"/>
        <v>0.28393948637231203</v>
      </c>
      <c r="AF24" s="4">
        <f t="shared" si="3"/>
        <v>0.21097259161117732</v>
      </c>
      <c r="AG24" s="4">
        <f t="shared" si="1"/>
        <v>0.15253917653798199</v>
      </c>
      <c r="AH24" s="4">
        <f t="shared" si="1"/>
        <v>0.10795188737709993</v>
      </c>
      <c r="AI24" s="4">
        <f t="shared" si="1"/>
        <v>7.5176653938091809E-2</v>
      </c>
      <c r="AJ24" s="4">
        <f t="shared" si="1"/>
        <v>5.1742836177502194E-2</v>
      </c>
      <c r="AK24" s="4">
        <f t="shared" si="1"/>
        <v>3.5319190625345942E-2</v>
      </c>
      <c r="AL24" s="4">
        <f t="shared" si="1"/>
        <v>2.3969442072658165E-2</v>
      </c>
      <c r="AM24" s="4">
        <f t="shared" si="1"/>
        <v>1.6202243558389728E-2</v>
      </c>
      <c r="AN24" s="4">
        <f t="shared" si="1"/>
        <v>1.0922240564108399E-2</v>
      </c>
      <c r="AO24" s="4">
        <f t="shared" si="1"/>
        <v>7.3493212906090566E-3</v>
      </c>
      <c r="AP24" s="4">
        <f t="shared" si="1"/>
        <v>4.9390262185057265E-3</v>
      </c>
      <c r="AQ24" s="4">
        <f t="shared" si="1"/>
        <v>3.3164275492956197E-3</v>
      </c>
      <c r="AR24" s="4">
        <f t="shared" si="1"/>
        <v>2.2256362146679809E-3</v>
      </c>
    </row>
    <row r="25" spans="1:44" x14ac:dyDescent="0.3">
      <c r="A25" s="24" t="s">
        <v>56</v>
      </c>
      <c r="B25" s="72">
        <f>'Parameter Input'!B12</f>
        <v>0.42</v>
      </c>
      <c r="C25" s="73">
        <f>'Parameter Input'!C12</f>
        <v>0.42</v>
      </c>
      <c r="D25" s="1" t="s">
        <v>57</v>
      </c>
      <c r="L25" s="54">
        <f>'Parameter Input'!E12</f>
        <v>12</v>
      </c>
      <c r="M25" s="37">
        <v>0</v>
      </c>
      <c r="N25" s="37">
        <v>1</v>
      </c>
      <c r="O25" s="37">
        <f>'Parameter Input'!F12</f>
        <v>0.9</v>
      </c>
      <c r="P25" s="55">
        <f>'Parameter Input'!G12</f>
        <v>0.4</v>
      </c>
      <c r="Q25" s="4">
        <f t="shared" si="3"/>
        <v>0.9867978615748374</v>
      </c>
      <c r="R25" s="4">
        <f t="shared" si="3"/>
        <v>0.98114509762858249</v>
      </c>
      <c r="S25" s="4">
        <f t="shared" si="3"/>
        <v>0.97311898315872036</v>
      </c>
      <c r="T25" s="4">
        <f t="shared" si="3"/>
        <v>0.96177484161592774</v>
      </c>
      <c r="U25" s="4">
        <f t="shared" si="3"/>
        <v>0.94584787155511363</v>
      </c>
      <c r="V25" s="4">
        <f t="shared" si="3"/>
        <v>0.92370360150141495</v>
      </c>
      <c r="W25" s="4">
        <f t="shared" si="3"/>
        <v>0.89334463567658451</v>
      </c>
      <c r="X25" s="4">
        <f t="shared" si="3"/>
        <v>0.85254543874327005</v>
      </c>
      <c r="Y25" s="4">
        <f t="shared" si="3"/>
        <v>0.79921300652623883</v>
      </c>
      <c r="Z25" s="4">
        <f t="shared" si="3"/>
        <v>0.73204982249993378</v>
      </c>
      <c r="AA25" s="4">
        <f t="shared" si="3"/>
        <v>0.65145592958786691</v>
      </c>
      <c r="AB25" s="4">
        <f t="shared" si="3"/>
        <v>0.56032247880849573</v>
      </c>
      <c r="AC25" s="4">
        <f t="shared" si="3"/>
        <v>0.46411326873185343</v>
      </c>
      <c r="AD25" s="4">
        <f t="shared" si="3"/>
        <v>0.36979727595523937</v>
      </c>
      <c r="AE25" s="4">
        <f t="shared" si="3"/>
        <v>0.28393948637231203</v>
      </c>
      <c r="AF25" s="4">
        <f t="shared" si="3"/>
        <v>0.21097259161117732</v>
      </c>
      <c r="AG25" s="4">
        <f t="shared" si="1"/>
        <v>0.15253917653798199</v>
      </c>
      <c r="AH25" s="4">
        <f t="shared" si="1"/>
        <v>0.10795188737709993</v>
      </c>
      <c r="AI25" s="4">
        <f t="shared" si="1"/>
        <v>7.5176653938091809E-2</v>
      </c>
      <c r="AJ25" s="4">
        <f t="shared" si="1"/>
        <v>5.1742836177502194E-2</v>
      </c>
      <c r="AK25" s="4">
        <f t="shared" si="1"/>
        <v>3.5319190625345942E-2</v>
      </c>
      <c r="AL25" s="4">
        <f t="shared" si="1"/>
        <v>2.3969442072658165E-2</v>
      </c>
      <c r="AM25" s="4">
        <f t="shared" si="1"/>
        <v>1.6202243558389728E-2</v>
      </c>
      <c r="AN25" s="4">
        <f t="shared" si="1"/>
        <v>1.0922240564108399E-2</v>
      </c>
      <c r="AO25" s="4">
        <f t="shared" si="1"/>
        <v>7.3493212906090566E-3</v>
      </c>
      <c r="AP25" s="4">
        <f t="shared" si="1"/>
        <v>4.9390262185057265E-3</v>
      </c>
      <c r="AQ25" s="4">
        <f t="shared" si="1"/>
        <v>3.3164275492956197E-3</v>
      </c>
      <c r="AR25" s="4">
        <f t="shared" si="1"/>
        <v>2.2256362146679809E-3</v>
      </c>
    </row>
    <row r="26" spans="1:44" x14ac:dyDescent="0.3">
      <c r="A26" s="24" t="s">
        <v>73</v>
      </c>
      <c r="B26" s="72">
        <f>'Parameter Input'!L26</f>
        <v>0.1</v>
      </c>
      <c r="C26" s="73">
        <f>'Parameter Input'!M26</f>
        <v>0.05</v>
      </c>
      <c r="D26" s="1" t="s">
        <v>57</v>
      </c>
      <c r="L26" s="54">
        <f>'Parameter Input'!O26</f>
        <v>12</v>
      </c>
      <c r="M26" s="37">
        <v>0</v>
      </c>
      <c r="N26" s="37">
        <v>1</v>
      </c>
      <c r="O26" s="37">
        <f>'Parameter Input'!P26</f>
        <v>0.9</v>
      </c>
      <c r="P26" s="55">
        <f>'Parameter Input'!Q26</f>
        <v>0.4</v>
      </c>
      <c r="Q26" s="4">
        <f t="shared" si="3"/>
        <v>0.9867978615748374</v>
      </c>
      <c r="R26" s="4">
        <f t="shared" si="3"/>
        <v>0.98114509762858249</v>
      </c>
      <c r="S26" s="4">
        <f t="shared" si="3"/>
        <v>0.97311898315872036</v>
      </c>
      <c r="T26" s="4">
        <f t="shared" si="3"/>
        <v>0.96177484161592774</v>
      </c>
      <c r="U26" s="4">
        <f t="shared" si="3"/>
        <v>0.94584787155511363</v>
      </c>
      <c r="V26" s="4">
        <f t="shared" si="3"/>
        <v>0.92370360150141495</v>
      </c>
      <c r="W26" s="4">
        <f t="shared" si="3"/>
        <v>0.89334463567658451</v>
      </c>
      <c r="X26" s="4">
        <f t="shared" si="3"/>
        <v>0.85254543874327005</v>
      </c>
      <c r="Y26" s="4">
        <f t="shared" si="3"/>
        <v>0.79921300652623883</v>
      </c>
      <c r="Z26" s="4">
        <f t="shared" si="3"/>
        <v>0.73204982249993378</v>
      </c>
      <c r="AA26" s="4">
        <f t="shared" si="3"/>
        <v>0.65145592958786691</v>
      </c>
      <c r="AB26" s="4">
        <f t="shared" si="3"/>
        <v>0.56032247880849573</v>
      </c>
      <c r="AC26" s="4">
        <f t="shared" si="3"/>
        <v>0.46411326873185343</v>
      </c>
      <c r="AD26" s="4">
        <f t="shared" si="3"/>
        <v>0.36979727595523937</v>
      </c>
      <c r="AE26" s="4">
        <f t="shared" si="3"/>
        <v>0.28393948637231203</v>
      </c>
      <c r="AF26" s="4">
        <f t="shared" si="3"/>
        <v>0.21097259161117732</v>
      </c>
      <c r="AG26" s="4">
        <f t="shared" si="1"/>
        <v>0.15253917653798199</v>
      </c>
      <c r="AH26" s="4">
        <f t="shared" si="1"/>
        <v>0.10795188737709993</v>
      </c>
      <c r="AI26" s="4">
        <f t="shared" si="1"/>
        <v>7.5176653938091809E-2</v>
      </c>
      <c r="AJ26" s="4">
        <f t="shared" si="1"/>
        <v>5.1742836177502194E-2</v>
      </c>
      <c r="AK26" s="4">
        <f t="shared" si="1"/>
        <v>3.5319190625345942E-2</v>
      </c>
      <c r="AL26" s="4">
        <f t="shared" si="1"/>
        <v>2.3969442072658165E-2</v>
      </c>
      <c r="AM26" s="4">
        <f t="shared" si="1"/>
        <v>1.6202243558389728E-2</v>
      </c>
      <c r="AN26" s="4">
        <f t="shared" si="1"/>
        <v>1.0922240564108399E-2</v>
      </c>
      <c r="AO26" s="4">
        <f t="shared" si="1"/>
        <v>7.3493212906090566E-3</v>
      </c>
      <c r="AP26" s="4">
        <f t="shared" si="1"/>
        <v>4.9390262185057265E-3</v>
      </c>
      <c r="AQ26" s="4">
        <f t="shared" si="1"/>
        <v>3.3164275492956197E-3</v>
      </c>
      <c r="AR26" s="4">
        <f t="shared" si="1"/>
        <v>2.2256362146679809E-3</v>
      </c>
    </row>
    <row r="27" spans="1:44" ht="15" thickBot="1" x14ac:dyDescent="0.35">
      <c r="A27" s="24" t="s">
        <v>64</v>
      </c>
      <c r="B27" s="74">
        <f>'Parameter Input'!B13</f>
        <v>55000</v>
      </c>
      <c r="C27" s="75">
        <f>'Parameter Input'!C13</f>
        <v>55000</v>
      </c>
      <c r="D27" s="1" t="s">
        <v>65</v>
      </c>
      <c r="L27" s="56">
        <f>'Parameter Input'!E13</f>
        <v>12</v>
      </c>
      <c r="M27" s="57">
        <v>0</v>
      </c>
      <c r="N27" s="57">
        <v>1</v>
      </c>
      <c r="O27" s="57">
        <f>'Parameter Input'!F13</f>
        <v>0.9</v>
      </c>
      <c r="P27" s="58">
        <f>'Parameter Input'!G13</f>
        <v>0.4</v>
      </c>
      <c r="Q27" s="4">
        <f t="shared" si="3"/>
        <v>0.9867978615748374</v>
      </c>
      <c r="R27" s="4">
        <f t="shared" si="3"/>
        <v>0.98114509762858249</v>
      </c>
      <c r="S27" s="4">
        <f t="shared" si="3"/>
        <v>0.97311898315872036</v>
      </c>
      <c r="T27" s="4">
        <f t="shared" si="3"/>
        <v>0.96177484161592774</v>
      </c>
      <c r="U27" s="4">
        <f t="shared" si="3"/>
        <v>0.94584787155511363</v>
      </c>
      <c r="V27" s="4">
        <f t="shared" si="3"/>
        <v>0.92370360150141495</v>
      </c>
      <c r="W27" s="4">
        <f t="shared" si="3"/>
        <v>0.89334463567658451</v>
      </c>
      <c r="X27" s="4">
        <f t="shared" si="3"/>
        <v>0.85254543874327005</v>
      </c>
      <c r="Y27" s="4">
        <f t="shared" si="3"/>
        <v>0.79921300652623883</v>
      </c>
      <c r="Z27" s="4">
        <f t="shared" si="3"/>
        <v>0.73204982249993378</v>
      </c>
      <c r="AA27" s="4">
        <f t="shared" si="3"/>
        <v>0.65145592958786691</v>
      </c>
      <c r="AB27" s="4">
        <f t="shared" si="3"/>
        <v>0.56032247880849573</v>
      </c>
      <c r="AC27" s="4">
        <f t="shared" si="3"/>
        <v>0.46411326873185343</v>
      </c>
      <c r="AD27" s="4">
        <f t="shared" si="3"/>
        <v>0.36979727595523937</v>
      </c>
      <c r="AE27" s="4">
        <f t="shared" si="3"/>
        <v>0.28393948637231203</v>
      </c>
      <c r="AF27" s="4">
        <f t="shared" si="3"/>
        <v>0.21097259161117732</v>
      </c>
      <c r="AG27" s="4">
        <f t="shared" si="1"/>
        <v>0.15253917653798199</v>
      </c>
      <c r="AH27" s="4">
        <f t="shared" si="1"/>
        <v>0.10795188737709993</v>
      </c>
      <c r="AI27" s="4">
        <f t="shared" si="1"/>
        <v>7.5176653938091809E-2</v>
      </c>
      <c r="AJ27" s="4">
        <f t="shared" si="1"/>
        <v>5.1742836177502194E-2</v>
      </c>
      <c r="AK27" s="4">
        <f t="shared" si="1"/>
        <v>3.5319190625345942E-2</v>
      </c>
      <c r="AL27" s="4">
        <f t="shared" si="1"/>
        <v>2.3969442072658165E-2</v>
      </c>
      <c r="AM27" s="4">
        <f t="shared" si="1"/>
        <v>1.6202243558389728E-2</v>
      </c>
      <c r="AN27" s="4">
        <f t="shared" si="1"/>
        <v>1.0922240564108399E-2</v>
      </c>
      <c r="AO27" s="4">
        <f t="shared" si="1"/>
        <v>7.3493212906090566E-3</v>
      </c>
      <c r="AP27" s="4">
        <f t="shared" si="1"/>
        <v>4.9390262185057265E-3</v>
      </c>
      <c r="AQ27" s="4">
        <f t="shared" si="1"/>
        <v>3.3164275492956197E-3</v>
      </c>
      <c r="AR27" s="4">
        <f t="shared" si="1"/>
        <v>2.2256362146679809E-3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0" si="4">A11</f>
        <v>Capex vehicle</v>
      </c>
      <c r="B31" s="62">
        <f t="shared" ref="B31:B39" si="5">$B11+($C11-$B11)*(1-Q11)</f>
        <v>386191.20724655397</v>
      </c>
      <c r="C31" s="62">
        <f t="shared" ref="C31:C39" si="6">$B11+($C11-$B11)*(1-R11)</f>
        <v>380544.41838286084</v>
      </c>
      <c r="D31" s="62">
        <f t="shared" ref="D31:D39" si="7">$B11+($C11-$B11)*(1-S11)</f>
        <v>372802.88209752907</v>
      </c>
      <c r="E31" s="62">
        <f t="shared" ref="E31:E39" si="8">$B11+($C11-$B11)*(1-T11)</f>
        <v>362399.08687953383</v>
      </c>
      <c r="F31" s="62">
        <f t="shared" ref="F31:F39" si="9">$B11+($C11-$B11)*(1-U11)</f>
        <v>348799.3166641909</v>
      </c>
      <c r="G31" s="62">
        <f t="shared" ref="G31:G39" si="10">$B11+($C11-$B11)*(1-V11)</f>
        <v>331672.70473748312</v>
      </c>
      <c r="H31" s="62">
        <f t="shared" ref="H31:H39" si="11">$B11+($C11-$B11)*(1-W11)</f>
        <v>311121.26204490603</v>
      </c>
      <c r="I31" s="62">
        <f t="shared" ref="I31:I39" si="12">$B11+($C11-$B11)*(1-X11)</f>
        <v>287882.23209616641</v>
      </c>
      <c r="J31" s="62">
        <f t="shared" ref="J31:J39" si="13">$B11+($C11-$B11)*(1-Y11)</f>
        <v>263348.88352662267</v>
      </c>
      <c r="K31" s="62">
        <f t="shared" ref="K31:K39" si="14">$B11+($C11-$B11)*(1-Z11)</f>
        <v>239298.30536858604</v>
      </c>
      <c r="L31" s="62">
        <f t="shared" ref="L31:L39" si="15">$B11+($C11-$B11)*(1-AA11)</f>
        <v>217404.56902493956</v>
      </c>
      <c r="M31" s="62">
        <f t="shared" ref="M31:M39" si="16">$B11+($C11-$B11)*(1-AB11)</f>
        <v>198798.01086085022</v>
      </c>
      <c r="N31" s="62">
        <f t="shared" ref="N31:N39" si="17">$B11+($C11-$B11)*(1-AC11)</f>
        <v>183897.4900171854</v>
      </c>
      <c r="O31" s="62">
        <f t="shared" ref="O31:O39" si="18">$B11+($C11-$B11)*(1-AD11)</f>
        <v>172527.73128116049</v>
      </c>
      <c r="P31" s="62">
        <f t="shared" ref="P31:P39" si="19">$B11+($C11-$B11)*(1-AE11)</f>
        <v>164170.0467542134</v>
      </c>
      <c r="Q31" s="62">
        <f t="shared" ref="Q31:Q39" si="20">$B11+($C11-$B11)*(1-AF11)</f>
        <v>158194.42322526305</v>
      </c>
      <c r="R31" s="62">
        <f t="shared" ref="R31:R39" si="21">$B11+($C11-$B11)*(1-AG11)</f>
        <v>154006.39360946321</v>
      </c>
      <c r="S31" s="62">
        <f t="shared" ref="S31:S39" si="22">$B11+($C11-$B11)*(1-AH11)</f>
        <v>151112.20772852784</v>
      </c>
      <c r="T31" s="62">
        <f t="shared" ref="T31:T39" si="23">$B11+($C11-$B11)*(1-AI11)</f>
        <v>149131.57210738939</v>
      </c>
      <c r="U31" s="62">
        <f t="shared" ref="U31:U39" si="24">$B11+($C11-$B11)*(1-AJ11)</f>
        <v>147785.17134384764</v>
      </c>
      <c r="V31" s="62">
        <f t="shared" ref="V31:V39" si="25">$B11+($C11-$B11)*(1-AK11)</f>
        <v>146874.0769291053</v>
      </c>
      <c r="W31" s="62">
        <f t="shared" ref="W31:W39" si="26">$B11+($C11-$B11)*(1-AL11)</f>
        <v>146259.45168571896</v>
      </c>
      <c r="X31" s="62">
        <f t="shared" ref="X31:X39" si="27">$B11+($C11-$B11)*(1-AM11)</f>
        <v>145845.68902507037</v>
      </c>
      <c r="Y31" s="62">
        <f t="shared" ref="Y31:Y39" si="28">$B11+($C11-$B11)*(1-AN11)</f>
        <v>145567.53723474033</v>
      </c>
      <c r="Z31" s="62">
        <f t="shared" ref="Z31:Z39" si="29">$B11+($C11-$B11)*(1-AO11)</f>
        <v>145380.72644197271</v>
      </c>
      <c r="AA31" s="62">
        <f t="shared" ref="AA31:AA39" si="30">$B11+($C11-$B11)*(1-AP11)</f>
        <v>145255.34122836409</v>
      </c>
      <c r="AB31" s="62">
        <f t="shared" ref="AB31:AB39" si="31">$B11+($C11-$B11)*(1-AQ11)</f>
        <v>145171.22000562795</v>
      </c>
      <c r="AC31" s="62">
        <f t="shared" ref="AC31:AC39" si="32">$B11+($C11-$B11)*(1-AR11)</f>
        <v>145114.79902565962</v>
      </c>
    </row>
    <row r="32" spans="1:44" x14ac:dyDescent="0.3">
      <c r="A32" s="30" t="str">
        <f t="shared" si="4"/>
        <v>Residual value (vehicle)</v>
      </c>
      <c r="B32" s="62">
        <f t="shared" si="5"/>
        <v>-58713.886949433945</v>
      </c>
      <c r="C32" s="62">
        <f t="shared" si="6"/>
        <v>-58187.960535658603</v>
      </c>
      <c r="D32" s="62">
        <f t="shared" si="7"/>
        <v>-57466.935097318885</v>
      </c>
      <c r="E32" s="62">
        <f t="shared" si="8"/>
        <v>-56497.954170152661</v>
      </c>
      <c r="F32" s="62">
        <f t="shared" si="9"/>
        <v>-55231.308904998172</v>
      </c>
      <c r="G32" s="62">
        <f t="shared" si="10"/>
        <v>-53636.18328437343</v>
      </c>
      <c r="H32" s="62">
        <f t="shared" si="11"/>
        <v>-51722.078327711839</v>
      </c>
      <c r="I32" s="62">
        <f t="shared" si="12"/>
        <v>-49557.658871701773</v>
      </c>
      <c r="J32" s="62">
        <f t="shared" si="13"/>
        <v>-47272.690132381518</v>
      </c>
      <c r="K32" s="62">
        <f t="shared" si="14"/>
        <v>-45032.685303936931</v>
      </c>
      <c r="L32" s="62">
        <f t="shared" si="15"/>
        <v>-42993.562801342414</v>
      </c>
      <c r="M32" s="62">
        <f t="shared" si="16"/>
        <v>-41260.599050765464</v>
      </c>
      <c r="N32" s="62">
        <f t="shared" si="17"/>
        <v>-39872.805442777069</v>
      </c>
      <c r="O32" s="62">
        <f t="shared" si="18"/>
        <v>-38813.857325206125</v>
      </c>
      <c r="P32" s="62">
        <f t="shared" si="19"/>
        <v>-38035.445531029676</v>
      </c>
      <c r="Q32" s="62">
        <f t="shared" si="20"/>
        <v>-37478.892359215679</v>
      </c>
      <c r="R32" s="62">
        <f t="shared" si="21"/>
        <v>-37088.830777351963</v>
      </c>
      <c r="S32" s="62">
        <f t="shared" si="22"/>
        <v>-36819.274249225637</v>
      </c>
      <c r="T32" s="62">
        <f t="shared" si="23"/>
        <v>-36634.803284511756</v>
      </c>
      <c r="U32" s="62">
        <f t="shared" si="24"/>
        <v>-36509.403213397571</v>
      </c>
      <c r="V32" s="62">
        <f t="shared" si="25"/>
        <v>-36424.546380651969</v>
      </c>
      <c r="W32" s="62">
        <f t="shared" si="26"/>
        <v>-36367.30187268951</v>
      </c>
      <c r="X32" s="62">
        <f t="shared" si="27"/>
        <v>-36328.765154295776</v>
      </c>
      <c r="Y32" s="62">
        <f t="shared" si="28"/>
        <v>-36302.858860098364</v>
      </c>
      <c r="Z32" s="62">
        <f t="shared" si="29"/>
        <v>-36285.459815673923</v>
      </c>
      <c r="AA32" s="62">
        <f t="shared" si="30"/>
        <v>-36273.781781073129</v>
      </c>
      <c r="AB32" s="62">
        <f t="shared" si="31"/>
        <v>-36265.946961308488</v>
      </c>
      <c r="AC32" s="62">
        <f t="shared" si="32"/>
        <v>-36260.692066115356</v>
      </c>
    </row>
    <row r="33" spans="1:29" x14ac:dyDescent="0.3">
      <c r="A33" s="30" t="str">
        <f t="shared" si="4"/>
        <v>Capex costumization</v>
      </c>
      <c r="B33" s="62">
        <f t="shared" si="5"/>
        <v>40000</v>
      </c>
      <c r="C33" s="62">
        <f t="shared" si="6"/>
        <v>40000</v>
      </c>
      <c r="D33" s="62">
        <f t="shared" si="7"/>
        <v>40000</v>
      </c>
      <c r="E33" s="62">
        <f t="shared" si="8"/>
        <v>40000</v>
      </c>
      <c r="F33" s="62">
        <f t="shared" si="9"/>
        <v>40000</v>
      </c>
      <c r="G33" s="62">
        <f t="shared" si="10"/>
        <v>40000</v>
      </c>
      <c r="H33" s="62">
        <f t="shared" si="11"/>
        <v>40000</v>
      </c>
      <c r="I33" s="62">
        <f t="shared" si="12"/>
        <v>40000</v>
      </c>
      <c r="J33" s="62">
        <f t="shared" si="13"/>
        <v>40000</v>
      </c>
      <c r="K33" s="62">
        <f t="shared" si="14"/>
        <v>40000</v>
      </c>
      <c r="L33" s="62">
        <f t="shared" si="15"/>
        <v>40000</v>
      </c>
      <c r="M33" s="62">
        <f t="shared" si="16"/>
        <v>40000</v>
      </c>
      <c r="N33" s="62">
        <f t="shared" si="17"/>
        <v>40000</v>
      </c>
      <c r="O33" s="62">
        <f t="shared" si="18"/>
        <v>40000</v>
      </c>
      <c r="P33" s="62">
        <f t="shared" si="19"/>
        <v>40000</v>
      </c>
      <c r="Q33" s="62">
        <f t="shared" si="20"/>
        <v>40000</v>
      </c>
      <c r="R33" s="62">
        <f t="shared" si="21"/>
        <v>40000</v>
      </c>
      <c r="S33" s="62">
        <f t="shared" si="22"/>
        <v>40000</v>
      </c>
      <c r="T33" s="62">
        <f t="shared" si="23"/>
        <v>40000</v>
      </c>
      <c r="U33" s="62">
        <f t="shared" si="24"/>
        <v>40000</v>
      </c>
      <c r="V33" s="62">
        <f t="shared" si="25"/>
        <v>40000</v>
      </c>
      <c r="W33" s="62">
        <f t="shared" si="26"/>
        <v>40000</v>
      </c>
      <c r="X33" s="62">
        <f t="shared" si="27"/>
        <v>40000</v>
      </c>
      <c r="Y33" s="62">
        <f t="shared" si="28"/>
        <v>40000</v>
      </c>
      <c r="Z33" s="62">
        <f t="shared" si="29"/>
        <v>40000</v>
      </c>
      <c r="AA33" s="62">
        <f t="shared" si="30"/>
        <v>40000</v>
      </c>
      <c r="AB33" s="62">
        <f t="shared" si="31"/>
        <v>40000</v>
      </c>
      <c r="AC33" s="62">
        <f t="shared" si="32"/>
        <v>40000</v>
      </c>
    </row>
    <row r="34" spans="1:29" x14ac:dyDescent="0.3">
      <c r="A34" s="30" t="str">
        <f t="shared" si="4"/>
        <v>Residual value (costumization)</v>
      </c>
      <c r="B34" s="62">
        <f t="shared" si="5"/>
        <v>-10000</v>
      </c>
      <c r="C34" s="62">
        <f t="shared" si="6"/>
        <v>-10000</v>
      </c>
      <c r="D34" s="62">
        <f t="shared" si="7"/>
        <v>-10000</v>
      </c>
      <c r="E34" s="62">
        <f t="shared" si="8"/>
        <v>-10000</v>
      </c>
      <c r="F34" s="62">
        <f t="shared" si="9"/>
        <v>-10000</v>
      </c>
      <c r="G34" s="62">
        <f t="shared" si="10"/>
        <v>-10000</v>
      </c>
      <c r="H34" s="62">
        <f t="shared" si="11"/>
        <v>-10000</v>
      </c>
      <c r="I34" s="62">
        <f t="shared" si="12"/>
        <v>-10000</v>
      </c>
      <c r="J34" s="62">
        <f t="shared" si="13"/>
        <v>-10000</v>
      </c>
      <c r="K34" s="62">
        <f t="shared" si="14"/>
        <v>-10000</v>
      </c>
      <c r="L34" s="62">
        <f t="shared" si="15"/>
        <v>-10000</v>
      </c>
      <c r="M34" s="62">
        <f t="shared" si="16"/>
        <v>-10000</v>
      </c>
      <c r="N34" s="62">
        <f t="shared" si="17"/>
        <v>-10000</v>
      </c>
      <c r="O34" s="62">
        <f t="shared" si="18"/>
        <v>-10000</v>
      </c>
      <c r="P34" s="62">
        <f t="shared" si="19"/>
        <v>-10000</v>
      </c>
      <c r="Q34" s="62">
        <f t="shared" si="20"/>
        <v>-10000</v>
      </c>
      <c r="R34" s="62">
        <f t="shared" si="21"/>
        <v>-10000</v>
      </c>
      <c r="S34" s="62">
        <f t="shared" si="22"/>
        <v>-10000</v>
      </c>
      <c r="T34" s="62">
        <f t="shared" si="23"/>
        <v>-10000</v>
      </c>
      <c r="U34" s="62">
        <f t="shared" si="24"/>
        <v>-10000</v>
      </c>
      <c r="V34" s="62">
        <f t="shared" si="25"/>
        <v>-10000</v>
      </c>
      <c r="W34" s="62">
        <f t="shared" si="26"/>
        <v>-10000</v>
      </c>
      <c r="X34" s="62">
        <f t="shared" si="27"/>
        <v>-10000</v>
      </c>
      <c r="Y34" s="62">
        <f t="shared" si="28"/>
        <v>-10000</v>
      </c>
      <c r="Z34" s="62">
        <f t="shared" si="29"/>
        <v>-10000</v>
      </c>
      <c r="AA34" s="62">
        <f t="shared" si="30"/>
        <v>-10000</v>
      </c>
      <c r="AB34" s="62">
        <f t="shared" si="31"/>
        <v>-10000</v>
      </c>
      <c r="AC34" s="62">
        <f t="shared" si="32"/>
        <v>-10000</v>
      </c>
    </row>
    <row r="35" spans="1:29" x14ac:dyDescent="0.3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3">
      <c r="A36" s="30" t="str">
        <f t="shared" si="4"/>
        <v>Opex fix (admin, crew, insurance)</v>
      </c>
      <c r="B36" s="62">
        <f t="shared" si="5"/>
        <v>70000</v>
      </c>
      <c r="C36" s="62">
        <f t="shared" si="6"/>
        <v>70000</v>
      </c>
      <c r="D36" s="62">
        <f t="shared" si="7"/>
        <v>70000</v>
      </c>
      <c r="E36" s="62">
        <f t="shared" si="8"/>
        <v>70000</v>
      </c>
      <c r="F36" s="62">
        <f t="shared" si="9"/>
        <v>70000</v>
      </c>
      <c r="G36" s="62">
        <f t="shared" si="10"/>
        <v>70000</v>
      </c>
      <c r="H36" s="62">
        <f t="shared" si="11"/>
        <v>70000</v>
      </c>
      <c r="I36" s="62">
        <f t="shared" si="12"/>
        <v>70000</v>
      </c>
      <c r="J36" s="62">
        <f t="shared" si="13"/>
        <v>70000</v>
      </c>
      <c r="K36" s="62">
        <f t="shared" si="14"/>
        <v>70000</v>
      </c>
      <c r="L36" s="62">
        <f t="shared" si="15"/>
        <v>70000</v>
      </c>
      <c r="M36" s="62">
        <f t="shared" si="16"/>
        <v>70000</v>
      </c>
      <c r="N36" s="62">
        <f t="shared" si="17"/>
        <v>70000</v>
      </c>
      <c r="O36" s="62">
        <f t="shared" si="18"/>
        <v>70000</v>
      </c>
      <c r="P36" s="62">
        <f t="shared" si="19"/>
        <v>70000</v>
      </c>
      <c r="Q36" s="62">
        <f t="shared" si="20"/>
        <v>70000</v>
      </c>
      <c r="R36" s="62">
        <f t="shared" si="21"/>
        <v>70000</v>
      </c>
      <c r="S36" s="62">
        <f t="shared" si="22"/>
        <v>70000</v>
      </c>
      <c r="T36" s="62">
        <f t="shared" si="23"/>
        <v>70000</v>
      </c>
      <c r="U36" s="62">
        <f t="shared" si="24"/>
        <v>70000</v>
      </c>
      <c r="V36" s="62">
        <f t="shared" si="25"/>
        <v>70000</v>
      </c>
      <c r="W36" s="62">
        <f t="shared" si="26"/>
        <v>70000</v>
      </c>
      <c r="X36" s="62">
        <f t="shared" si="27"/>
        <v>70000</v>
      </c>
      <c r="Y36" s="62">
        <f t="shared" si="28"/>
        <v>70000</v>
      </c>
      <c r="Z36" s="62">
        <f t="shared" si="29"/>
        <v>70000</v>
      </c>
      <c r="AA36" s="62">
        <f t="shared" si="30"/>
        <v>70000</v>
      </c>
      <c r="AB36" s="62">
        <f t="shared" si="31"/>
        <v>70000</v>
      </c>
      <c r="AC36" s="62">
        <f t="shared" si="32"/>
        <v>70000</v>
      </c>
    </row>
    <row r="37" spans="1:29" x14ac:dyDescent="0.3">
      <c r="A37" s="30" t="str">
        <f t="shared" si="4"/>
        <v>Opex maintenance &amp; repair</v>
      </c>
      <c r="B37" s="62">
        <f t="shared" si="5"/>
        <v>15000</v>
      </c>
      <c r="C37" s="62">
        <f t="shared" si="6"/>
        <v>15000</v>
      </c>
      <c r="D37" s="62">
        <f t="shared" si="7"/>
        <v>15000</v>
      </c>
      <c r="E37" s="62">
        <f t="shared" si="8"/>
        <v>15000</v>
      </c>
      <c r="F37" s="62">
        <f t="shared" si="9"/>
        <v>15000</v>
      </c>
      <c r="G37" s="62">
        <f t="shared" si="10"/>
        <v>15000</v>
      </c>
      <c r="H37" s="62">
        <f t="shared" si="11"/>
        <v>15000</v>
      </c>
      <c r="I37" s="62">
        <f t="shared" si="12"/>
        <v>15000</v>
      </c>
      <c r="J37" s="62">
        <f t="shared" si="13"/>
        <v>15000</v>
      </c>
      <c r="K37" s="62">
        <f t="shared" si="14"/>
        <v>15000</v>
      </c>
      <c r="L37" s="62">
        <f t="shared" si="15"/>
        <v>15000</v>
      </c>
      <c r="M37" s="62">
        <f t="shared" si="16"/>
        <v>15000</v>
      </c>
      <c r="N37" s="62">
        <f t="shared" si="17"/>
        <v>15000</v>
      </c>
      <c r="O37" s="62">
        <f t="shared" si="18"/>
        <v>15000</v>
      </c>
      <c r="P37" s="62">
        <f t="shared" si="19"/>
        <v>15000</v>
      </c>
      <c r="Q37" s="62">
        <f t="shared" si="20"/>
        <v>15000</v>
      </c>
      <c r="R37" s="62">
        <f t="shared" si="21"/>
        <v>15000</v>
      </c>
      <c r="S37" s="62">
        <f t="shared" si="22"/>
        <v>15000</v>
      </c>
      <c r="T37" s="62">
        <f t="shared" si="23"/>
        <v>15000</v>
      </c>
      <c r="U37" s="62">
        <f t="shared" si="24"/>
        <v>15000</v>
      </c>
      <c r="V37" s="62">
        <f t="shared" si="25"/>
        <v>15000</v>
      </c>
      <c r="W37" s="62">
        <f t="shared" si="26"/>
        <v>15000</v>
      </c>
      <c r="X37" s="62">
        <f t="shared" si="27"/>
        <v>15000</v>
      </c>
      <c r="Y37" s="62">
        <f t="shared" si="28"/>
        <v>15000</v>
      </c>
      <c r="Z37" s="62">
        <f t="shared" si="29"/>
        <v>15000</v>
      </c>
      <c r="AA37" s="62">
        <f t="shared" si="30"/>
        <v>15000</v>
      </c>
      <c r="AB37" s="62">
        <f t="shared" si="31"/>
        <v>15000</v>
      </c>
      <c r="AC37" s="62">
        <f t="shared" si="32"/>
        <v>15000</v>
      </c>
    </row>
    <row r="38" spans="1:29" x14ac:dyDescent="0.3">
      <c r="A38" s="30" t="str">
        <f t="shared" si="4"/>
        <v>Opex var (mode-fees)</v>
      </c>
      <c r="B38" s="62">
        <f t="shared" si="5"/>
        <v>0.11</v>
      </c>
      <c r="C38" s="62">
        <f t="shared" si="6"/>
        <v>0.11</v>
      </c>
      <c r="D38" s="62">
        <f t="shared" si="7"/>
        <v>0.11</v>
      </c>
      <c r="E38" s="62">
        <f t="shared" si="8"/>
        <v>0.11</v>
      </c>
      <c r="F38" s="62">
        <f t="shared" si="9"/>
        <v>0.11</v>
      </c>
      <c r="G38" s="62">
        <f t="shared" si="10"/>
        <v>0.11</v>
      </c>
      <c r="H38" s="62">
        <f t="shared" si="11"/>
        <v>0.11</v>
      </c>
      <c r="I38" s="62">
        <f t="shared" si="12"/>
        <v>0.11</v>
      </c>
      <c r="J38" s="62">
        <f t="shared" si="13"/>
        <v>0.11</v>
      </c>
      <c r="K38" s="62">
        <f t="shared" si="14"/>
        <v>0.11</v>
      </c>
      <c r="L38" s="62">
        <f t="shared" si="15"/>
        <v>0.11</v>
      </c>
      <c r="M38" s="62">
        <f t="shared" si="16"/>
        <v>0.11</v>
      </c>
      <c r="N38" s="62">
        <f t="shared" si="17"/>
        <v>0.11</v>
      </c>
      <c r="O38" s="62">
        <f t="shared" si="18"/>
        <v>0.11</v>
      </c>
      <c r="P38" s="62">
        <f t="shared" si="19"/>
        <v>0.11</v>
      </c>
      <c r="Q38" s="62">
        <f t="shared" si="20"/>
        <v>0.11</v>
      </c>
      <c r="R38" s="62">
        <f t="shared" si="21"/>
        <v>0.11</v>
      </c>
      <c r="S38" s="62">
        <f t="shared" si="22"/>
        <v>0.11</v>
      </c>
      <c r="T38" s="62">
        <f t="shared" si="23"/>
        <v>0.11</v>
      </c>
      <c r="U38" s="62">
        <f t="shared" si="24"/>
        <v>0.11</v>
      </c>
      <c r="V38" s="62">
        <f t="shared" si="25"/>
        <v>0.11</v>
      </c>
      <c r="W38" s="62">
        <f t="shared" si="26"/>
        <v>0.11</v>
      </c>
      <c r="X38" s="62">
        <f t="shared" si="27"/>
        <v>0.11</v>
      </c>
      <c r="Y38" s="62">
        <f t="shared" si="28"/>
        <v>0.11</v>
      </c>
      <c r="Z38" s="62">
        <f t="shared" si="29"/>
        <v>0.11</v>
      </c>
      <c r="AA38" s="62">
        <f t="shared" si="30"/>
        <v>0.11</v>
      </c>
      <c r="AB38" s="62">
        <f t="shared" si="31"/>
        <v>0.11</v>
      </c>
      <c r="AC38" s="62">
        <f t="shared" si="32"/>
        <v>0.11</v>
      </c>
    </row>
    <row r="39" spans="1:29" x14ac:dyDescent="0.3">
      <c r="A39" s="30" t="str">
        <f t="shared" si="4"/>
        <v>Fuel Economy</v>
      </c>
      <c r="B39" s="62">
        <f t="shared" si="5"/>
        <v>1.499963712475392</v>
      </c>
      <c r="C39" s="62">
        <f t="shared" si="6"/>
        <v>1.4917703325555236</v>
      </c>
      <c r="D39" s="62">
        <f t="shared" si="7"/>
        <v>1.4805375152003362</v>
      </c>
      <c r="E39" s="62">
        <f t="shared" si="8"/>
        <v>1.4654418123350099</v>
      </c>
      <c r="F39" s="62">
        <f t="shared" si="9"/>
        <v>1.4457088124147084</v>
      </c>
      <c r="G39" s="62">
        <f t="shared" si="10"/>
        <v>1.4208584343249755</v>
      </c>
      <c r="H39" s="62">
        <f t="shared" si="11"/>
        <v>1.3910386939475108</v>
      </c>
      <c r="I39" s="62">
        <f t="shared" si="12"/>
        <v>1.3573193171591433</v>
      </c>
      <c r="J39" s="62">
        <f t="shared" si="13"/>
        <v>1.3217219094307857</v>
      </c>
      <c r="K39" s="62">
        <f t="shared" si="14"/>
        <v>1.2868249921034385</v>
      </c>
      <c r="L39" s="62">
        <f t="shared" si="15"/>
        <v>1.2550576099577553</v>
      </c>
      <c r="M39" s="62">
        <f t="shared" si="16"/>
        <v>1.2280598588961356</v>
      </c>
      <c r="N39" s="62">
        <f t="shared" si="17"/>
        <v>1.2064394953190534</v>
      </c>
      <c r="O39" s="62">
        <f t="shared" si="18"/>
        <v>1.1899421983295269</v>
      </c>
      <c r="P39" s="62">
        <f t="shared" si="19"/>
        <v>1.1778153619570939</v>
      </c>
      <c r="Q39" s="62">
        <f t="shared" si="20"/>
        <v>1.1691448493856758</v>
      </c>
      <c r="R39" s="62">
        <f t="shared" si="21"/>
        <v>1.1630681005313779</v>
      </c>
      <c r="S39" s="62">
        <f t="shared" si="22"/>
        <v>1.1588686935668835</v>
      </c>
      <c r="T39" s="62">
        <f t="shared" si="23"/>
        <v>1.1559948301166041</v>
      </c>
      <c r="U39" s="62">
        <f t="shared" si="24"/>
        <v>1.1540412290087201</v>
      </c>
      <c r="V39" s="62">
        <f t="shared" si="25"/>
        <v>1.1527192488775253</v>
      </c>
      <c r="W39" s="62">
        <f t="shared" si="26"/>
        <v>1.151827439700847</v>
      </c>
      <c r="X39" s="62">
        <f t="shared" si="27"/>
        <v>1.1512270781932392</v>
      </c>
      <c r="Y39" s="62">
        <f t="shared" si="28"/>
        <v>1.150823485399427</v>
      </c>
      <c r="Z39" s="62">
        <f t="shared" si="29"/>
        <v>1.1505524266020779</v>
      </c>
      <c r="AA39" s="62">
        <f t="shared" si="30"/>
        <v>1.1503704951156655</v>
      </c>
      <c r="AB39" s="62">
        <f t="shared" si="31"/>
        <v>1.1502484368709109</v>
      </c>
      <c r="AC39" s="62">
        <f t="shared" si="32"/>
        <v>1.1501665711352707</v>
      </c>
    </row>
    <row r="40" spans="1:29" x14ac:dyDescent="0.3">
      <c r="A40" s="30" t="str">
        <f t="shared" si="4"/>
        <v>Fuel Cost</v>
      </c>
      <c r="B40" s="62">
        <f>$B20+($C20-$B20)*(1-Q20)</f>
        <v>9.2331951136741086E-2</v>
      </c>
      <c r="C40" s="62">
        <f>$B20+($C20-$B20)*(1-R20)</f>
        <v>9.2222956120974545E-2</v>
      </c>
      <c r="D40" s="62">
        <f>$B20+($C20-$B20)*(1-S20)</f>
        <v>9.2068198823216471E-2</v>
      </c>
      <c r="E40" s="62">
        <f t="shared" ref="E40:AC40" si="33">$B20+($C20-$B20)*(1-T20)</f>
        <v>9.1849464254062249E-2</v>
      </c>
      <c r="F40" s="62">
        <f t="shared" si="33"/>
        <v>9.1542364865268247E-2</v>
      </c>
      <c r="G40" s="62">
        <f t="shared" si="33"/>
        <v>9.1115385234314353E-2</v>
      </c>
      <c r="H40" s="62">
        <f t="shared" si="33"/>
        <v>9.0530012133616333E-2</v>
      </c>
      <c r="I40" s="62">
        <f t="shared" si="33"/>
        <v>8.9743333412323725E-2</v>
      </c>
      <c r="J40" s="62">
        <f t="shared" si="33"/>
        <v>8.8714992348442129E-2</v>
      </c>
      <c r="K40" s="62">
        <f t="shared" si="33"/>
        <v>8.7419970590682711E-2</v>
      </c>
      <c r="L40" s="62">
        <f t="shared" si="33"/>
        <v>8.5865981654976761E-2</v>
      </c>
      <c r="M40" s="62">
        <f t="shared" si="33"/>
        <v>8.4108771907851612E-2</v>
      </c>
      <c r="N40" s="62">
        <f t="shared" si="33"/>
        <v>8.2253692787461766E-2</v>
      </c>
      <c r="O40" s="62">
        <f t="shared" si="33"/>
        <v>8.0435118154333018E-2</v>
      </c>
      <c r="P40" s="62">
        <f t="shared" si="33"/>
        <v>7.8779632233065888E-2</v>
      </c>
      <c r="Q40" s="62">
        <f t="shared" si="33"/>
        <v>7.7372704945717463E-2</v>
      </c>
      <c r="R40" s="62">
        <f t="shared" si="33"/>
        <v>7.6246008154952791E-2</v>
      </c>
      <c r="S40" s="62">
        <f t="shared" si="33"/>
        <v>7.5386288497227227E-2</v>
      </c>
      <c r="T40" s="62">
        <f t="shared" si="33"/>
        <v>7.4754325599182742E-2</v>
      </c>
      <c r="U40" s="62">
        <f t="shared" si="33"/>
        <v>7.4302481269476042E-2</v>
      </c>
      <c r="V40" s="62">
        <f t="shared" si="33"/>
        <v>7.3985805122564349E-2</v>
      </c>
      <c r="W40" s="62">
        <f t="shared" si="33"/>
        <v>7.3766962440611206E-2</v>
      </c>
      <c r="X40" s="62">
        <f t="shared" si="33"/>
        <v>7.3617197488001537E-2</v>
      </c>
      <c r="Y40" s="62">
        <f t="shared" si="33"/>
        <v>7.3515389944810147E-2</v>
      </c>
      <c r="Z40" s="62">
        <f t="shared" si="33"/>
        <v>7.3446497913186276E-2</v>
      </c>
      <c r="AA40" s="62">
        <f t="shared" si="33"/>
        <v>7.3400023276728135E-2</v>
      </c>
      <c r="AB40" s="62">
        <f t="shared" si="33"/>
        <v>7.3368736782330912E-2</v>
      </c>
      <c r="AC40" s="62">
        <f t="shared" si="33"/>
        <v>7.3347704448441492E-2</v>
      </c>
    </row>
    <row r="41" spans="1:29" x14ac:dyDescent="0.3">
      <c r="A41" s="30" t="str">
        <f t="shared" ref="A41" si="34">A21</f>
        <v>Emission Cost</v>
      </c>
      <c r="B41" s="66">
        <f>$B21+($C21-$B21)*(1-Q21)</f>
        <v>3.5122691839304448E-3</v>
      </c>
      <c r="C41" s="66">
        <f t="shared" ref="C41:AC41" si="35">$B21+($C21-$B21)*(1-R21)</f>
        <v>3.5089246478970256E-3</v>
      </c>
      <c r="D41" s="66">
        <f t="shared" si="35"/>
        <v>3.5041370190587195E-3</v>
      </c>
      <c r="E41" s="66">
        <f t="shared" si="35"/>
        <v>3.4972879793244123E-3</v>
      </c>
      <c r="F41" s="66">
        <f t="shared" si="35"/>
        <v>3.4874991902284352E-3</v>
      </c>
      <c r="G41" s="66">
        <f t="shared" si="35"/>
        <v>3.4735284727434282E-3</v>
      </c>
      <c r="H41" s="66">
        <f t="shared" si="35"/>
        <v>3.4536307436526109E-3</v>
      </c>
      <c r="I41" s="66">
        <f t="shared" si="35"/>
        <v>3.4253788207186963E-3</v>
      </c>
      <c r="J41" s="66">
        <f t="shared" si="35"/>
        <v>3.3854474424880663E-3</v>
      </c>
      <c r="K41" s="66">
        <f t="shared" si="35"/>
        <v>3.3293845078740006E-3</v>
      </c>
      <c r="L41" s="66">
        <f t="shared" si="35"/>
        <v>3.251436677284981E-3</v>
      </c>
      <c r="M41" s="66">
        <f t="shared" si="35"/>
        <v>3.1445731175815781E-3</v>
      </c>
      <c r="N41" s="66">
        <f t="shared" si="35"/>
        <v>3.0009599443763112E-3</v>
      </c>
      <c r="O41" s="66">
        <f t="shared" si="35"/>
        <v>2.813229782972361E-3</v>
      </c>
      <c r="P41" s="66">
        <f t="shared" si="35"/>
        <v>2.5768153751997672E-3</v>
      </c>
      <c r="Q41" s="66">
        <f t="shared" si="35"/>
        <v>2.2931248721492917E-3</v>
      </c>
      <c r="R41" s="66">
        <f t="shared" si="35"/>
        <v>1.9723351254059053E-3</v>
      </c>
      <c r="S41" s="66">
        <f t="shared" si="35"/>
        <v>1.6336787059361244E-3</v>
      </c>
      <c r="T41" s="66">
        <f t="shared" si="35"/>
        <v>1.3016864113624426E-3</v>
      </c>
      <c r="U41" s="66">
        <f t="shared" si="35"/>
        <v>9.9946699203053851E-4</v>
      </c>
      <c r="V41" s="66">
        <f t="shared" si="35"/>
        <v>7.4262352247134438E-4</v>
      </c>
      <c r="W41" s="66">
        <f t="shared" si="35"/>
        <v>5.3693790141369664E-4</v>
      </c>
      <c r="X41" s="66">
        <f t="shared" si="35"/>
        <v>3.7999064356739184E-4</v>
      </c>
      <c r="Y41" s="66">
        <f t="shared" si="35"/>
        <v>2.646218218620832E-4</v>
      </c>
      <c r="Z41" s="66">
        <f t="shared" si="35"/>
        <v>1.8213478334480789E-4</v>
      </c>
      <c r="AA41" s="66">
        <f t="shared" si="35"/>
        <v>1.2432355100121771E-4</v>
      </c>
      <c r="AB41" s="66">
        <f t="shared" si="35"/>
        <v>8.4372436095756821E-5</v>
      </c>
      <c r="AC41" s="66">
        <f t="shared" si="35"/>
        <v>5.7031897325531943E-5</v>
      </c>
    </row>
    <row r="42" spans="1:29" x14ac:dyDescent="0.3">
      <c r="A42" s="30" t="str">
        <f>A22</f>
        <v>Lifetime vehicle</v>
      </c>
      <c r="B42" s="62">
        <f>$B22+($C22-$B22)*(1-Q22)</f>
        <v>8</v>
      </c>
      <c r="C42" s="62">
        <f t="shared" ref="C42:L44" si="36">$B22+($C22-$B22)*(1-R22)</f>
        <v>8</v>
      </c>
      <c r="D42" s="62">
        <f t="shared" si="36"/>
        <v>8</v>
      </c>
      <c r="E42" s="62">
        <f t="shared" si="36"/>
        <v>8</v>
      </c>
      <c r="F42" s="62">
        <f t="shared" si="36"/>
        <v>8</v>
      </c>
      <c r="G42" s="62">
        <f t="shared" si="36"/>
        <v>8</v>
      </c>
      <c r="H42" s="62">
        <f t="shared" si="36"/>
        <v>8</v>
      </c>
      <c r="I42" s="62">
        <f t="shared" si="36"/>
        <v>8</v>
      </c>
      <c r="J42" s="62">
        <f t="shared" si="36"/>
        <v>8</v>
      </c>
      <c r="K42" s="62">
        <f t="shared" si="36"/>
        <v>8</v>
      </c>
      <c r="L42" s="62">
        <f t="shared" si="36"/>
        <v>8</v>
      </c>
      <c r="M42" s="62">
        <f t="shared" ref="M42:V44" si="37">$B22+($C22-$B22)*(1-AB22)</f>
        <v>8</v>
      </c>
      <c r="N42" s="62">
        <f t="shared" si="37"/>
        <v>8</v>
      </c>
      <c r="O42" s="62">
        <f t="shared" si="37"/>
        <v>8</v>
      </c>
      <c r="P42" s="62">
        <f t="shared" si="37"/>
        <v>8</v>
      </c>
      <c r="Q42" s="62">
        <f t="shared" si="37"/>
        <v>8</v>
      </c>
      <c r="R42" s="62">
        <f t="shared" si="37"/>
        <v>8</v>
      </c>
      <c r="S42" s="62">
        <f t="shared" si="37"/>
        <v>8</v>
      </c>
      <c r="T42" s="62">
        <f t="shared" si="37"/>
        <v>8</v>
      </c>
      <c r="U42" s="62">
        <f t="shared" si="37"/>
        <v>8</v>
      </c>
      <c r="V42" s="62">
        <f t="shared" si="37"/>
        <v>8</v>
      </c>
      <c r="W42" s="62">
        <f t="shared" ref="W42:AC44" si="38">$B22+($C22-$B22)*(1-AL22)</f>
        <v>8</v>
      </c>
      <c r="X42" s="62">
        <f t="shared" si="38"/>
        <v>8</v>
      </c>
      <c r="Y42" s="62">
        <f t="shared" si="38"/>
        <v>8</v>
      </c>
      <c r="Z42" s="62">
        <f t="shared" si="38"/>
        <v>8</v>
      </c>
      <c r="AA42" s="62">
        <f t="shared" si="38"/>
        <v>8</v>
      </c>
      <c r="AB42" s="62">
        <f t="shared" si="38"/>
        <v>8</v>
      </c>
      <c r="AC42" s="62">
        <f t="shared" si="38"/>
        <v>8</v>
      </c>
    </row>
    <row r="43" spans="1:29" x14ac:dyDescent="0.3">
      <c r="A43" s="30" t="str">
        <f>A23</f>
        <v>Lifetime costumization</v>
      </c>
      <c r="B43" s="62">
        <f>$B23+($C23-$B23)*(1-Q23)</f>
        <v>10</v>
      </c>
      <c r="C43" s="62">
        <f t="shared" si="36"/>
        <v>10</v>
      </c>
      <c r="D43" s="62">
        <f t="shared" si="36"/>
        <v>10</v>
      </c>
      <c r="E43" s="62">
        <f t="shared" si="36"/>
        <v>10</v>
      </c>
      <c r="F43" s="62">
        <f t="shared" si="36"/>
        <v>10</v>
      </c>
      <c r="G43" s="62">
        <f t="shared" si="36"/>
        <v>10</v>
      </c>
      <c r="H43" s="62">
        <f t="shared" si="36"/>
        <v>10</v>
      </c>
      <c r="I43" s="62">
        <f t="shared" si="36"/>
        <v>10</v>
      </c>
      <c r="J43" s="62">
        <f t="shared" si="36"/>
        <v>10</v>
      </c>
      <c r="K43" s="62">
        <f t="shared" si="36"/>
        <v>10</v>
      </c>
      <c r="L43" s="62">
        <f t="shared" si="36"/>
        <v>10</v>
      </c>
      <c r="M43" s="62">
        <f t="shared" si="37"/>
        <v>10</v>
      </c>
      <c r="N43" s="62">
        <f t="shared" si="37"/>
        <v>10</v>
      </c>
      <c r="O43" s="62">
        <f t="shared" si="37"/>
        <v>10</v>
      </c>
      <c r="P43" s="62">
        <f t="shared" si="37"/>
        <v>10</v>
      </c>
      <c r="Q43" s="62">
        <f t="shared" si="37"/>
        <v>10</v>
      </c>
      <c r="R43" s="62">
        <f t="shared" si="37"/>
        <v>10</v>
      </c>
      <c r="S43" s="62">
        <f t="shared" si="37"/>
        <v>10</v>
      </c>
      <c r="T43" s="62">
        <f t="shared" si="37"/>
        <v>10</v>
      </c>
      <c r="U43" s="62">
        <f t="shared" si="37"/>
        <v>10</v>
      </c>
      <c r="V43" s="62">
        <f t="shared" si="37"/>
        <v>10</v>
      </c>
      <c r="W43" s="62">
        <f t="shared" si="38"/>
        <v>10</v>
      </c>
      <c r="X43" s="62">
        <f t="shared" si="38"/>
        <v>10</v>
      </c>
      <c r="Y43" s="62">
        <f t="shared" si="38"/>
        <v>10</v>
      </c>
      <c r="Z43" s="62">
        <f t="shared" si="38"/>
        <v>10</v>
      </c>
      <c r="AA43" s="62">
        <f t="shared" si="38"/>
        <v>10</v>
      </c>
      <c r="AB43" s="62">
        <f t="shared" si="38"/>
        <v>10</v>
      </c>
      <c r="AC43" s="62">
        <f t="shared" si="38"/>
        <v>10</v>
      </c>
    </row>
    <row r="44" spans="1:29" x14ac:dyDescent="0.3">
      <c r="A44" s="30" t="str">
        <f>A24</f>
        <v>Tonnage .</v>
      </c>
      <c r="B44" s="62">
        <f>$B24+($C24-$B24)*(1-Q24)</f>
        <v>25</v>
      </c>
      <c r="C44" s="62">
        <f t="shared" si="36"/>
        <v>25</v>
      </c>
      <c r="D44" s="62">
        <f t="shared" si="36"/>
        <v>25</v>
      </c>
      <c r="E44" s="62">
        <f t="shared" si="36"/>
        <v>25</v>
      </c>
      <c r="F44" s="62">
        <f t="shared" si="36"/>
        <v>25</v>
      </c>
      <c r="G44" s="62">
        <f t="shared" si="36"/>
        <v>25</v>
      </c>
      <c r="H44" s="62">
        <f t="shared" si="36"/>
        <v>25</v>
      </c>
      <c r="I44" s="62">
        <f t="shared" si="36"/>
        <v>25</v>
      </c>
      <c r="J44" s="62">
        <f t="shared" si="36"/>
        <v>25</v>
      </c>
      <c r="K44" s="62">
        <f t="shared" si="36"/>
        <v>25</v>
      </c>
      <c r="L44" s="62">
        <f t="shared" si="36"/>
        <v>25</v>
      </c>
      <c r="M44" s="62">
        <f t="shared" si="37"/>
        <v>25</v>
      </c>
      <c r="N44" s="62">
        <f t="shared" si="37"/>
        <v>25</v>
      </c>
      <c r="O44" s="62">
        <f t="shared" si="37"/>
        <v>25</v>
      </c>
      <c r="P44" s="62">
        <f t="shared" si="37"/>
        <v>25</v>
      </c>
      <c r="Q44" s="62">
        <f t="shared" si="37"/>
        <v>25</v>
      </c>
      <c r="R44" s="62">
        <f t="shared" si="37"/>
        <v>25</v>
      </c>
      <c r="S44" s="62">
        <f t="shared" si="37"/>
        <v>25</v>
      </c>
      <c r="T44" s="62">
        <f t="shared" si="37"/>
        <v>25</v>
      </c>
      <c r="U44" s="62">
        <f t="shared" si="37"/>
        <v>25</v>
      </c>
      <c r="V44" s="62">
        <f t="shared" si="37"/>
        <v>25</v>
      </c>
      <c r="W44" s="62">
        <f t="shared" si="38"/>
        <v>25</v>
      </c>
      <c r="X44" s="62">
        <f t="shared" si="38"/>
        <v>25</v>
      </c>
      <c r="Y44" s="62">
        <f t="shared" si="38"/>
        <v>25</v>
      </c>
      <c r="Z44" s="62">
        <f t="shared" si="38"/>
        <v>25</v>
      </c>
      <c r="AA44" s="62">
        <f t="shared" si="38"/>
        <v>25</v>
      </c>
      <c r="AB44" s="62">
        <f t="shared" si="38"/>
        <v>25</v>
      </c>
      <c r="AC44" s="62">
        <f t="shared" si="38"/>
        <v>25</v>
      </c>
    </row>
    <row r="45" spans="1:29" x14ac:dyDescent="0.3">
      <c r="A45" s="30" t="str">
        <f>A25</f>
        <v>Market failure (av. utilization)</v>
      </c>
      <c r="B45" s="62">
        <f t="shared" ref="B45:K46" si="39">($B25+($C25-$B25)*(1-Q25))*B$44</f>
        <v>10.5</v>
      </c>
      <c r="C45" s="62">
        <f t="shared" si="39"/>
        <v>10.5</v>
      </c>
      <c r="D45" s="62">
        <f t="shared" si="39"/>
        <v>10.5</v>
      </c>
      <c r="E45" s="62">
        <f t="shared" si="39"/>
        <v>10.5</v>
      </c>
      <c r="F45" s="62">
        <f t="shared" si="39"/>
        <v>10.5</v>
      </c>
      <c r="G45" s="62">
        <f t="shared" si="39"/>
        <v>10.5</v>
      </c>
      <c r="H45" s="62">
        <f t="shared" si="39"/>
        <v>10.5</v>
      </c>
      <c r="I45" s="62">
        <f t="shared" si="39"/>
        <v>10.5</v>
      </c>
      <c r="J45" s="62">
        <f t="shared" si="39"/>
        <v>10.5</v>
      </c>
      <c r="K45" s="62">
        <f t="shared" si="39"/>
        <v>10.5</v>
      </c>
      <c r="L45" s="62">
        <f t="shared" ref="L45:U46" si="40">($B25+($C25-$B25)*(1-AA25))*L$44</f>
        <v>10.5</v>
      </c>
      <c r="M45" s="62">
        <f t="shared" si="40"/>
        <v>10.5</v>
      </c>
      <c r="N45" s="62">
        <f t="shared" si="40"/>
        <v>10.5</v>
      </c>
      <c r="O45" s="62">
        <f t="shared" si="40"/>
        <v>10.5</v>
      </c>
      <c r="P45" s="62">
        <f t="shared" si="40"/>
        <v>10.5</v>
      </c>
      <c r="Q45" s="62">
        <f t="shared" si="40"/>
        <v>10.5</v>
      </c>
      <c r="R45" s="62">
        <f t="shared" si="40"/>
        <v>10.5</v>
      </c>
      <c r="S45" s="62">
        <f t="shared" si="40"/>
        <v>10.5</v>
      </c>
      <c r="T45" s="62">
        <f t="shared" si="40"/>
        <v>10.5</v>
      </c>
      <c r="U45" s="62">
        <f t="shared" si="40"/>
        <v>10.5</v>
      </c>
      <c r="V45" s="62">
        <f t="shared" ref="V45:AC46" si="41">($B25+($C25-$B25)*(1-AK25))*V$44</f>
        <v>10.5</v>
      </c>
      <c r="W45" s="62">
        <f t="shared" si="41"/>
        <v>10.5</v>
      </c>
      <c r="X45" s="62">
        <f t="shared" si="41"/>
        <v>10.5</v>
      </c>
      <c r="Y45" s="62">
        <f t="shared" si="41"/>
        <v>10.5</v>
      </c>
      <c r="Z45" s="62">
        <f t="shared" si="41"/>
        <v>10.5</v>
      </c>
      <c r="AA45" s="62">
        <f t="shared" si="41"/>
        <v>10.5</v>
      </c>
      <c r="AB45" s="62">
        <f t="shared" si="41"/>
        <v>10.5</v>
      </c>
      <c r="AC45" s="62">
        <f t="shared" si="41"/>
        <v>10.5</v>
      </c>
    </row>
    <row r="46" spans="1:29" x14ac:dyDescent="0.3">
      <c r="A46" s="30" t="s">
        <v>73</v>
      </c>
      <c r="B46" s="62">
        <f t="shared" si="39"/>
        <v>2.4834973269685467</v>
      </c>
      <c r="C46" s="62">
        <f t="shared" si="39"/>
        <v>2.4764313720357283</v>
      </c>
      <c r="D46" s="62">
        <f t="shared" si="39"/>
        <v>2.4663987289484006</v>
      </c>
      <c r="E46" s="62">
        <f t="shared" si="39"/>
        <v>2.4522185520199096</v>
      </c>
      <c r="F46" s="62">
        <f t="shared" si="39"/>
        <v>2.4323098394438922</v>
      </c>
      <c r="G46" s="62">
        <f t="shared" si="39"/>
        <v>2.4046295018767689</v>
      </c>
      <c r="H46" s="62">
        <f t="shared" si="39"/>
        <v>2.3666807945957307</v>
      </c>
      <c r="I46" s="62">
        <f t="shared" si="39"/>
        <v>2.3156817984290878</v>
      </c>
      <c r="J46" s="62">
        <f t="shared" si="39"/>
        <v>2.2490162581577988</v>
      </c>
      <c r="K46" s="62">
        <f t="shared" si="39"/>
        <v>2.1650622781249176</v>
      </c>
      <c r="L46" s="62">
        <f t="shared" si="40"/>
        <v>2.0643199119848337</v>
      </c>
      <c r="M46" s="62">
        <f t="shared" si="40"/>
        <v>1.9504030985106198</v>
      </c>
      <c r="N46" s="62">
        <f t="shared" si="40"/>
        <v>1.8301415859148171</v>
      </c>
      <c r="O46" s="62">
        <f t="shared" si="40"/>
        <v>1.7122465949440495</v>
      </c>
      <c r="P46" s="62">
        <f t="shared" si="40"/>
        <v>1.6049243579653898</v>
      </c>
      <c r="Q46" s="62">
        <f t="shared" si="40"/>
        <v>1.5137157395139718</v>
      </c>
      <c r="R46" s="62">
        <f t="shared" si="40"/>
        <v>1.4406739706724776</v>
      </c>
      <c r="S46" s="62">
        <f t="shared" si="40"/>
        <v>1.3849398592213749</v>
      </c>
      <c r="T46" s="62">
        <f t="shared" si="40"/>
        <v>1.3439708174226148</v>
      </c>
      <c r="U46" s="62">
        <f t="shared" si="40"/>
        <v>1.3146785452218777</v>
      </c>
      <c r="V46" s="62">
        <f t="shared" si="41"/>
        <v>1.2941489882816826</v>
      </c>
      <c r="W46" s="62">
        <f t="shared" si="41"/>
        <v>1.2799618025908228</v>
      </c>
      <c r="X46" s="62">
        <f t="shared" si="41"/>
        <v>1.2702528044479873</v>
      </c>
      <c r="Y46" s="62">
        <f t="shared" si="41"/>
        <v>1.2636528007051355</v>
      </c>
      <c r="Z46" s="62">
        <f t="shared" si="41"/>
        <v>1.2591866516132615</v>
      </c>
      <c r="AA46" s="62">
        <f t="shared" si="41"/>
        <v>1.2561737827731323</v>
      </c>
      <c r="AB46" s="62">
        <f t="shared" si="41"/>
        <v>1.2541455344366195</v>
      </c>
      <c r="AC46" s="62">
        <f t="shared" si="41"/>
        <v>1.2527820452683351</v>
      </c>
    </row>
    <row r="47" spans="1:29" x14ac:dyDescent="0.3">
      <c r="A47" s="30" t="str">
        <f>A27</f>
        <v>Annual Mileage</v>
      </c>
      <c r="B47" s="62">
        <f t="shared" ref="B47:AC47" si="42">$B27+($C27-$B27)*(1-Q27)</f>
        <v>55000</v>
      </c>
      <c r="C47" s="62">
        <f t="shared" si="42"/>
        <v>55000</v>
      </c>
      <c r="D47" s="62">
        <f t="shared" si="42"/>
        <v>55000</v>
      </c>
      <c r="E47" s="62">
        <f t="shared" si="42"/>
        <v>55000</v>
      </c>
      <c r="F47" s="62">
        <f t="shared" si="42"/>
        <v>55000</v>
      </c>
      <c r="G47" s="62">
        <f t="shared" si="42"/>
        <v>55000</v>
      </c>
      <c r="H47" s="62">
        <f t="shared" si="42"/>
        <v>55000</v>
      </c>
      <c r="I47" s="62">
        <f t="shared" si="42"/>
        <v>55000</v>
      </c>
      <c r="J47" s="62">
        <f t="shared" si="42"/>
        <v>55000</v>
      </c>
      <c r="K47" s="62">
        <f t="shared" si="42"/>
        <v>55000</v>
      </c>
      <c r="L47" s="62">
        <f t="shared" si="42"/>
        <v>55000</v>
      </c>
      <c r="M47" s="62">
        <f t="shared" si="42"/>
        <v>55000</v>
      </c>
      <c r="N47" s="62">
        <f t="shared" si="42"/>
        <v>55000</v>
      </c>
      <c r="O47" s="62">
        <f t="shared" si="42"/>
        <v>55000</v>
      </c>
      <c r="P47" s="62">
        <f t="shared" si="42"/>
        <v>55000</v>
      </c>
      <c r="Q47" s="62">
        <f t="shared" si="42"/>
        <v>55000</v>
      </c>
      <c r="R47" s="62">
        <f t="shared" si="42"/>
        <v>55000</v>
      </c>
      <c r="S47" s="62">
        <f t="shared" si="42"/>
        <v>55000</v>
      </c>
      <c r="T47" s="62">
        <f t="shared" si="42"/>
        <v>55000</v>
      </c>
      <c r="U47" s="62">
        <f t="shared" si="42"/>
        <v>55000</v>
      </c>
      <c r="V47" s="62">
        <f t="shared" si="42"/>
        <v>55000</v>
      </c>
      <c r="W47" s="62">
        <f t="shared" si="42"/>
        <v>55000</v>
      </c>
      <c r="X47" s="62">
        <f t="shared" si="42"/>
        <v>55000</v>
      </c>
      <c r="Y47" s="62">
        <f t="shared" si="42"/>
        <v>55000</v>
      </c>
      <c r="Z47" s="62">
        <f t="shared" si="42"/>
        <v>55000</v>
      </c>
      <c r="AA47" s="62">
        <f t="shared" si="42"/>
        <v>55000</v>
      </c>
      <c r="AB47" s="62">
        <f t="shared" si="42"/>
        <v>55000</v>
      </c>
      <c r="AC47" s="62">
        <f t="shared" si="42"/>
        <v>55000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62190.665101367747</v>
      </c>
      <c r="C50" s="63">
        <f t="shared" ref="C50:AC50" si="43">((1+C35)^C42)*C35/(((1+C35)^C42)-1)*(C31)</f>
        <v>61281.329133767969</v>
      </c>
      <c r="D50" s="63">
        <f t="shared" si="43"/>
        <v>60034.66354051487</v>
      </c>
      <c r="E50" s="63">
        <f t="shared" si="43"/>
        <v>58359.278570466915</v>
      </c>
      <c r="F50" s="63">
        <f t="shared" si="43"/>
        <v>56169.226754041214</v>
      </c>
      <c r="G50" s="63">
        <f t="shared" si="43"/>
        <v>53411.226658055137</v>
      </c>
      <c r="H50" s="63">
        <f t="shared" si="43"/>
        <v>50101.705711276991</v>
      </c>
      <c r="I50" s="63">
        <f t="shared" si="43"/>
        <v>46359.3866172536</v>
      </c>
      <c r="J50" s="63">
        <f t="shared" si="43"/>
        <v>42408.635704041997</v>
      </c>
      <c r="K50" s="63">
        <f t="shared" si="43"/>
        <v>38535.628179130072</v>
      </c>
      <c r="L50" s="63">
        <f t="shared" si="43"/>
        <v>35009.949708941356</v>
      </c>
      <c r="M50" s="63">
        <f t="shared" si="43"/>
        <v>32013.625075549993</v>
      </c>
      <c r="N50" s="63">
        <f t="shared" si="43"/>
        <v>29614.105655542335</v>
      </c>
      <c r="O50" s="63">
        <f t="shared" si="43"/>
        <v>27783.165839804766</v>
      </c>
      <c r="P50" s="63">
        <f t="shared" si="43"/>
        <v>26437.27823365216</v>
      </c>
      <c r="Q50" s="63">
        <f t="shared" si="43"/>
        <v>25474.988065757298</v>
      </c>
      <c r="R50" s="63">
        <f t="shared" si="43"/>
        <v>24800.564768738692</v>
      </c>
      <c r="S50" s="63">
        <f t="shared" si="43"/>
        <v>24334.496817203359</v>
      </c>
      <c r="T50" s="63">
        <f t="shared" si="43"/>
        <v>24015.543292910865</v>
      </c>
      <c r="U50" s="63">
        <f t="shared" si="43"/>
        <v>23798.724376771759</v>
      </c>
      <c r="V50" s="63">
        <f t="shared" si="43"/>
        <v>23652.005428852281</v>
      </c>
      <c r="W50" s="63">
        <f t="shared" si="43"/>
        <v>23553.028673408226</v>
      </c>
      <c r="X50" s="63">
        <f t="shared" si="43"/>
        <v>23486.398013318085</v>
      </c>
      <c r="Y50" s="63">
        <f t="shared" si="43"/>
        <v>23441.605577563019</v>
      </c>
      <c r="Z50" s="63">
        <f t="shared" si="43"/>
        <v>23411.522325452843</v>
      </c>
      <c r="AA50" s="63">
        <f t="shared" si="43"/>
        <v>23391.330799385243</v>
      </c>
      <c r="AB50" s="63">
        <f t="shared" si="43"/>
        <v>23377.784258985215</v>
      </c>
      <c r="AC50" s="63">
        <f t="shared" si="43"/>
        <v>23368.698453290883</v>
      </c>
    </row>
    <row r="51" spans="1:29" x14ac:dyDescent="0.3">
      <c r="A51" s="30" t="str">
        <f>A32</f>
        <v>Residual value (vehicle)</v>
      </c>
      <c r="B51" s="62">
        <f>((1+B35)^B42)*B35/(((1+B35)^B42)-1)*(B32)</f>
        <v>-9455.0461314377717</v>
      </c>
      <c r="C51" s="62">
        <f t="shared" ref="C51:AC51" si="44">((1+C35)^C42)*C35/(((1+C35)^C42)-1)*(C32)</f>
        <v>-9370.3530756319105</v>
      </c>
      <c r="D51" s="62">
        <f t="shared" si="44"/>
        <v>-9254.2420644955928</v>
      </c>
      <c r="E51" s="62">
        <f t="shared" si="44"/>
        <v>-9098.2013074813221</v>
      </c>
      <c r="F51" s="62">
        <f t="shared" si="44"/>
        <v>-8894.2258932063796</v>
      </c>
      <c r="G51" s="62">
        <f t="shared" si="44"/>
        <v>-8637.353335246893</v>
      </c>
      <c r="H51" s="62">
        <f t="shared" si="44"/>
        <v>-8329.1136392234366</v>
      </c>
      <c r="I51" s="62">
        <f t="shared" si="44"/>
        <v>-7980.5643118389062</v>
      </c>
      <c r="J51" s="62">
        <f t="shared" si="44"/>
        <v>-7612.6022169809621</v>
      </c>
      <c r="K51" s="62">
        <f t="shared" si="44"/>
        <v>-7251.8809278960271</v>
      </c>
      <c r="L51" s="62">
        <f t="shared" si="44"/>
        <v>-6923.5089135157077</v>
      </c>
      <c r="M51" s="62">
        <f t="shared" si="44"/>
        <v>-6644.4394623665112</v>
      </c>
      <c r="N51" s="62">
        <f t="shared" si="44"/>
        <v>-6420.9548105030526</v>
      </c>
      <c r="O51" s="62">
        <f t="shared" si="44"/>
        <v>-6250.4261021745533</v>
      </c>
      <c r="P51" s="62">
        <f t="shared" si="44"/>
        <v>-6125.0738251309276</v>
      </c>
      <c r="Q51" s="62">
        <f t="shared" si="44"/>
        <v>-6035.4487604740543</v>
      </c>
      <c r="R51" s="62">
        <f t="shared" si="44"/>
        <v>-5972.6348259478109</v>
      </c>
      <c r="S51" s="62">
        <f t="shared" si="44"/>
        <v>-5929.226536344031</v>
      </c>
      <c r="T51" s="62">
        <f t="shared" si="44"/>
        <v>-5899.5200806501216</v>
      </c>
      <c r="U51" s="62">
        <f t="shared" si="44"/>
        <v>-5879.3261619901059</v>
      </c>
      <c r="V51" s="62">
        <f t="shared" si="44"/>
        <v>-5865.6611619387841</v>
      </c>
      <c r="W51" s="62">
        <f t="shared" si="44"/>
        <v>-5856.442738637621</v>
      </c>
      <c r="X51" s="62">
        <f t="shared" si="44"/>
        <v>-5850.2369418645203</v>
      </c>
      <c r="Y51" s="62">
        <f t="shared" si="44"/>
        <v>-5846.0650973579204</v>
      </c>
      <c r="Z51" s="62">
        <f t="shared" si="44"/>
        <v>-5843.2632258378535</v>
      </c>
      <c r="AA51" s="62">
        <f t="shared" si="44"/>
        <v>-5841.3826425276375</v>
      </c>
      <c r="AB51" s="62">
        <f t="shared" si="44"/>
        <v>-5840.1209549413597</v>
      </c>
      <c r="AC51" s="62">
        <f t="shared" si="44"/>
        <v>-5839.2747279404175</v>
      </c>
    </row>
    <row r="52" spans="1:29" x14ac:dyDescent="0.3">
      <c r="A52" s="30" t="str">
        <f>A33</f>
        <v>Capex costumization</v>
      </c>
      <c r="B52" s="62">
        <f>((1+B35)^B43)*B35/(((1+B35)^B43)-1)*(B33)</f>
        <v>5434.7183288153492</v>
      </c>
      <c r="C52" s="62">
        <f t="shared" ref="C52:AC52" si="45">((1+C35)^C43)*C35/(((1+C35)^C43)-1)*(C33)</f>
        <v>5434.7183288153492</v>
      </c>
      <c r="D52" s="62">
        <f t="shared" si="45"/>
        <v>5434.7183288153492</v>
      </c>
      <c r="E52" s="62">
        <f t="shared" si="45"/>
        <v>5434.7183288153492</v>
      </c>
      <c r="F52" s="62">
        <f t="shared" si="45"/>
        <v>5434.7183288153492</v>
      </c>
      <c r="G52" s="62">
        <f t="shared" si="45"/>
        <v>5434.7183288153492</v>
      </c>
      <c r="H52" s="62">
        <f t="shared" si="45"/>
        <v>5434.7183288153492</v>
      </c>
      <c r="I52" s="62">
        <f t="shared" si="45"/>
        <v>5434.7183288153492</v>
      </c>
      <c r="J52" s="62">
        <f t="shared" si="45"/>
        <v>5434.7183288153492</v>
      </c>
      <c r="K52" s="62">
        <f t="shared" si="45"/>
        <v>5434.7183288153492</v>
      </c>
      <c r="L52" s="62">
        <f t="shared" si="45"/>
        <v>5434.7183288153492</v>
      </c>
      <c r="M52" s="62">
        <f t="shared" si="45"/>
        <v>5434.7183288153492</v>
      </c>
      <c r="N52" s="62">
        <f t="shared" si="45"/>
        <v>5434.7183288153492</v>
      </c>
      <c r="O52" s="62">
        <f t="shared" si="45"/>
        <v>5434.7183288153492</v>
      </c>
      <c r="P52" s="62">
        <f t="shared" si="45"/>
        <v>5434.7183288153492</v>
      </c>
      <c r="Q52" s="62">
        <f t="shared" si="45"/>
        <v>5434.7183288153492</v>
      </c>
      <c r="R52" s="62">
        <f t="shared" si="45"/>
        <v>5434.7183288153492</v>
      </c>
      <c r="S52" s="62">
        <f t="shared" si="45"/>
        <v>5434.7183288153492</v>
      </c>
      <c r="T52" s="62">
        <f t="shared" si="45"/>
        <v>5434.7183288153492</v>
      </c>
      <c r="U52" s="62">
        <f t="shared" si="45"/>
        <v>5434.7183288153492</v>
      </c>
      <c r="V52" s="62">
        <f t="shared" si="45"/>
        <v>5434.7183288153492</v>
      </c>
      <c r="W52" s="62">
        <f t="shared" si="45"/>
        <v>5434.7183288153492</v>
      </c>
      <c r="X52" s="62">
        <f t="shared" si="45"/>
        <v>5434.7183288153492</v>
      </c>
      <c r="Y52" s="62">
        <f t="shared" si="45"/>
        <v>5434.7183288153492</v>
      </c>
      <c r="Z52" s="62">
        <f t="shared" si="45"/>
        <v>5434.7183288153492</v>
      </c>
      <c r="AA52" s="62">
        <f t="shared" si="45"/>
        <v>5434.7183288153492</v>
      </c>
      <c r="AB52" s="62">
        <f t="shared" si="45"/>
        <v>5434.7183288153492</v>
      </c>
      <c r="AC52" s="62">
        <f t="shared" si="45"/>
        <v>5434.7183288153492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-1358.6795822038373</v>
      </c>
      <c r="C53" s="62">
        <f t="shared" ref="C53:AC53" si="46">((1+C35)^C43)*C35/(((1+C35)^C43)-1)*(C34)</f>
        <v>-1358.6795822038373</v>
      </c>
      <c r="D53" s="62">
        <f t="shared" si="46"/>
        <v>-1358.6795822038373</v>
      </c>
      <c r="E53" s="62">
        <f t="shared" si="46"/>
        <v>-1358.6795822038373</v>
      </c>
      <c r="F53" s="62">
        <f t="shared" si="46"/>
        <v>-1358.6795822038373</v>
      </c>
      <c r="G53" s="62">
        <f t="shared" si="46"/>
        <v>-1358.6795822038373</v>
      </c>
      <c r="H53" s="62">
        <f t="shared" si="46"/>
        <v>-1358.6795822038373</v>
      </c>
      <c r="I53" s="62">
        <f t="shared" si="46"/>
        <v>-1358.6795822038373</v>
      </c>
      <c r="J53" s="62">
        <f t="shared" si="46"/>
        <v>-1358.6795822038373</v>
      </c>
      <c r="K53" s="62">
        <f t="shared" si="46"/>
        <v>-1358.6795822038373</v>
      </c>
      <c r="L53" s="62">
        <f t="shared" si="46"/>
        <v>-1358.6795822038373</v>
      </c>
      <c r="M53" s="62">
        <f t="shared" si="46"/>
        <v>-1358.6795822038373</v>
      </c>
      <c r="N53" s="62">
        <f t="shared" si="46"/>
        <v>-1358.6795822038373</v>
      </c>
      <c r="O53" s="62">
        <f t="shared" si="46"/>
        <v>-1358.6795822038373</v>
      </c>
      <c r="P53" s="62">
        <f t="shared" si="46"/>
        <v>-1358.6795822038373</v>
      </c>
      <c r="Q53" s="62">
        <f t="shared" si="46"/>
        <v>-1358.6795822038373</v>
      </c>
      <c r="R53" s="62">
        <f t="shared" si="46"/>
        <v>-1358.6795822038373</v>
      </c>
      <c r="S53" s="62">
        <f t="shared" si="46"/>
        <v>-1358.6795822038373</v>
      </c>
      <c r="T53" s="62">
        <f t="shared" si="46"/>
        <v>-1358.6795822038373</v>
      </c>
      <c r="U53" s="62">
        <f t="shared" si="46"/>
        <v>-1358.6795822038373</v>
      </c>
      <c r="V53" s="62">
        <f t="shared" si="46"/>
        <v>-1358.6795822038373</v>
      </c>
      <c r="W53" s="62">
        <f t="shared" si="46"/>
        <v>-1358.6795822038373</v>
      </c>
      <c r="X53" s="62">
        <f t="shared" si="46"/>
        <v>-1358.6795822038373</v>
      </c>
      <c r="Y53" s="62">
        <f t="shared" si="46"/>
        <v>-1358.6795822038373</v>
      </c>
      <c r="Z53" s="62">
        <f t="shared" si="46"/>
        <v>-1358.6795822038373</v>
      </c>
      <c r="AA53" s="62">
        <f t="shared" si="46"/>
        <v>-1358.6795822038373</v>
      </c>
      <c r="AB53" s="62">
        <f t="shared" si="46"/>
        <v>-1358.6795822038373</v>
      </c>
      <c r="AC53" s="62">
        <f t="shared" si="46"/>
        <v>-1358.6795822038373</v>
      </c>
    </row>
    <row r="54" spans="1:29" x14ac:dyDescent="0.3">
      <c r="A54" s="30" t="str">
        <f t="shared" ref="A54:AC54" si="47">A36</f>
        <v>Opex fix (admin, crew, insurance)</v>
      </c>
      <c r="B54" s="62">
        <f t="shared" si="47"/>
        <v>70000</v>
      </c>
      <c r="C54" s="62">
        <f t="shared" si="47"/>
        <v>70000</v>
      </c>
      <c r="D54" s="62">
        <f t="shared" si="47"/>
        <v>70000</v>
      </c>
      <c r="E54" s="62">
        <f t="shared" si="47"/>
        <v>70000</v>
      </c>
      <c r="F54" s="62">
        <f t="shared" si="47"/>
        <v>70000</v>
      </c>
      <c r="G54" s="62">
        <f t="shared" si="47"/>
        <v>70000</v>
      </c>
      <c r="H54" s="62">
        <f t="shared" si="47"/>
        <v>70000</v>
      </c>
      <c r="I54" s="62">
        <f t="shared" si="47"/>
        <v>70000</v>
      </c>
      <c r="J54" s="62">
        <f t="shared" si="47"/>
        <v>70000</v>
      </c>
      <c r="K54" s="62">
        <f t="shared" si="47"/>
        <v>70000</v>
      </c>
      <c r="L54" s="62">
        <f t="shared" si="47"/>
        <v>70000</v>
      </c>
      <c r="M54" s="62">
        <f t="shared" si="47"/>
        <v>70000</v>
      </c>
      <c r="N54" s="62">
        <f t="shared" si="47"/>
        <v>70000</v>
      </c>
      <c r="O54" s="62">
        <f t="shared" si="47"/>
        <v>70000</v>
      </c>
      <c r="P54" s="62">
        <f t="shared" si="47"/>
        <v>70000</v>
      </c>
      <c r="Q54" s="62">
        <f t="shared" si="47"/>
        <v>70000</v>
      </c>
      <c r="R54" s="62">
        <f t="shared" si="47"/>
        <v>70000</v>
      </c>
      <c r="S54" s="62">
        <f t="shared" si="47"/>
        <v>70000</v>
      </c>
      <c r="T54" s="62">
        <f t="shared" si="47"/>
        <v>70000</v>
      </c>
      <c r="U54" s="62">
        <f t="shared" si="47"/>
        <v>70000</v>
      </c>
      <c r="V54" s="62">
        <f t="shared" si="47"/>
        <v>70000</v>
      </c>
      <c r="W54" s="62">
        <f t="shared" si="47"/>
        <v>70000</v>
      </c>
      <c r="X54" s="62">
        <f t="shared" si="47"/>
        <v>70000</v>
      </c>
      <c r="Y54" s="62">
        <f t="shared" si="47"/>
        <v>70000</v>
      </c>
      <c r="Z54" s="62">
        <f t="shared" si="47"/>
        <v>70000</v>
      </c>
      <c r="AA54" s="62">
        <f t="shared" si="47"/>
        <v>70000</v>
      </c>
      <c r="AB54" s="62">
        <f t="shared" si="47"/>
        <v>70000</v>
      </c>
      <c r="AC54" s="62">
        <f t="shared" si="47"/>
        <v>70000</v>
      </c>
    </row>
    <row r="55" spans="1:29" x14ac:dyDescent="0.3">
      <c r="A55" s="30" t="str">
        <f t="shared" ref="A55:AC55" si="48">A37</f>
        <v>Opex maintenance &amp; repair</v>
      </c>
      <c r="B55" s="62">
        <f t="shared" si="48"/>
        <v>15000</v>
      </c>
      <c r="C55" s="62">
        <f t="shared" si="48"/>
        <v>15000</v>
      </c>
      <c r="D55" s="62">
        <f t="shared" si="48"/>
        <v>15000</v>
      </c>
      <c r="E55" s="62">
        <f t="shared" si="48"/>
        <v>15000</v>
      </c>
      <c r="F55" s="62">
        <f t="shared" si="48"/>
        <v>15000</v>
      </c>
      <c r="G55" s="62">
        <f t="shared" si="48"/>
        <v>15000</v>
      </c>
      <c r="H55" s="62">
        <f t="shared" si="48"/>
        <v>15000</v>
      </c>
      <c r="I55" s="62">
        <f t="shared" si="48"/>
        <v>15000</v>
      </c>
      <c r="J55" s="62">
        <f t="shared" si="48"/>
        <v>15000</v>
      </c>
      <c r="K55" s="62">
        <f t="shared" si="48"/>
        <v>15000</v>
      </c>
      <c r="L55" s="62">
        <f t="shared" si="48"/>
        <v>15000</v>
      </c>
      <c r="M55" s="62">
        <f t="shared" si="48"/>
        <v>15000</v>
      </c>
      <c r="N55" s="62">
        <f t="shared" si="48"/>
        <v>15000</v>
      </c>
      <c r="O55" s="62">
        <f t="shared" si="48"/>
        <v>15000</v>
      </c>
      <c r="P55" s="62">
        <f t="shared" si="48"/>
        <v>15000</v>
      </c>
      <c r="Q55" s="62">
        <f t="shared" si="48"/>
        <v>15000</v>
      </c>
      <c r="R55" s="62">
        <f t="shared" si="48"/>
        <v>15000</v>
      </c>
      <c r="S55" s="62">
        <f t="shared" si="48"/>
        <v>15000</v>
      </c>
      <c r="T55" s="62">
        <f t="shared" si="48"/>
        <v>15000</v>
      </c>
      <c r="U55" s="62">
        <f t="shared" si="48"/>
        <v>15000</v>
      </c>
      <c r="V55" s="62">
        <f t="shared" si="48"/>
        <v>15000</v>
      </c>
      <c r="W55" s="62">
        <f t="shared" si="48"/>
        <v>15000</v>
      </c>
      <c r="X55" s="62">
        <f t="shared" si="48"/>
        <v>15000</v>
      </c>
      <c r="Y55" s="62">
        <f t="shared" si="48"/>
        <v>15000</v>
      </c>
      <c r="Z55" s="62">
        <f t="shared" si="48"/>
        <v>15000</v>
      </c>
      <c r="AA55" s="62">
        <f t="shared" si="48"/>
        <v>15000</v>
      </c>
      <c r="AB55" s="62">
        <f t="shared" si="48"/>
        <v>15000</v>
      </c>
      <c r="AC55" s="62">
        <f t="shared" si="48"/>
        <v>15000</v>
      </c>
    </row>
    <row r="56" spans="1:29" x14ac:dyDescent="0.3">
      <c r="A56" s="30" t="str">
        <f>A38</f>
        <v>Opex var (mode-fees)</v>
      </c>
      <c r="B56" s="62">
        <f>B38*B47</f>
        <v>6050</v>
      </c>
      <c r="C56" s="62">
        <f t="shared" ref="C56:AC56" si="49">C38*C47</f>
        <v>6050</v>
      </c>
      <c r="D56" s="62">
        <f t="shared" si="49"/>
        <v>6050</v>
      </c>
      <c r="E56" s="62">
        <f t="shared" si="49"/>
        <v>6050</v>
      </c>
      <c r="F56" s="62">
        <f t="shared" si="49"/>
        <v>6050</v>
      </c>
      <c r="G56" s="62">
        <f t="shared" si="49"/>
        <v>6050</v>
      </c>
      <c r="H56" s="62">
        <f t="shared" si="49"/>
        <v>6050</v>
      </c>
      <c r="I56" s="62">
        <f t="shared" si="49"/>
        <v>6050</v>
      </c>
      <c r="J56" s="62">
        <f t="shared" si="49"/>
        <v>6050</v>
      </c>
      <c r="K56" s="62">
        <f t="shared" si="49"/>
        <v>6050</v>
      </c>
      <c r="L56" s="62">
        <f t="shared" si="49"/>
        <v>6050</v>
      </c>
      <c r="M56" s="62">
        <f t="shared" si="49"/>
        <v>6050</v>
      </c>
      <c r="N56" s="62">
        <f t="shared" si="49"/>
        <v>6050</v>
      </c>
      <c r="O56" s="62">
        <f t="shared" si="49"/>
        <v>6050</v>
      </c>
      <c r="P56" s="62">
        <f t="shared" si="49"/>
        <v>6050</v>
      </c>
      <c r="Q56" s="62">
        <f t="shared" si="49"/>
        <v>6050</v>
      </c>
      <c r="R56" s="62">
        <f t="shared" si="49"/>
        <v>6050</v>
      </c>
      <c r="S56" s="62">
        <f t="shared" si="49"/>
        <v>6050</v>
      </c>
      <c r="T56" s="62">
        <f t="shared" si="49"/>
        <v>6050</v>
      </c>
      <c r="U56" s="62">
        <f t="shared" si="49"/>
        <v>6050</v>
      </c>
      <c r="V56" s="62">
        <f t="shared" si="49"/>
        <v>6050</v>
      </c>
      <c r="W56" s="62">
        <f t="shared" si="49"/>
        <v>6050</v>
      </c>
      <c r="X56" s="62">
        <f t="shared" si="49"/>
        <v>6050</v>
      </c>
      <c r="Y56" s="62">
        <f t="shared" si="49"/>
        <v>6050</v>
      </c>
      <c r="Z56" s="62">
        <f t="shared" si="49"/>
        <v>6050</v>
      </c>
      <c r="AA56" s="62">
        <f t="shared" si="49"/>
        <v>6050</v>
      </c>
      <c r="AB56" s="62">
        <f t="shared" si="49"/>
        <v>6050</v>
      </c>
      <c r="AC56" s="62">
        <f t="shared" si="49"/>
        <v>6050</v>
      </c>
    </row>
    <row r="57" spans="1:29" x14ac:dyDescent="0.3">
      <c r="A57" s="30" t="str">
        <f>A40</f>
        <v>Fuel Cost</v>
      </c>
      <c r="B57" s="62">
        <f>B39*B40*B47</f>
        <v>7617.201691393946</v>
      </c>
      <c r="C57" s="62">
        <f t="shared" ref="C57:AC57" si="50">C39*C40*C47</f>
        <v>7566.6508457011814</v>
      </c>
      <c r="D57" s="62">
        <f t="shared" si="50"/>
        <v>7497.0732273082485</v>
      </c>
      <c r="E57" s="62">
        <f t="shared" si="50"/>
        <v>7403.0024947159982</v>
      </c>
      <c r="F57" s="62">
        <f t="shared" si="50"/>
        <v>7278.8981977250487</v>
      </c>
      <c r="G57" s="62">
        <f t="shared" si="50"/>
        <v>7120.4134983819677</v>
      </c>
      <c r="H57" s="62">
        <f t="shared" si="50"/>
        <v>6926.1912412768879</v>
      </c>
      <c r="I57" s="62">
        <f t="shared" si="50"/>
        <v>6699.569801474031</v>
      </c>
      <c r="J57" s="62">
        <f t="shared" si="50"/>
        <v>6449.110199505626</v>
      </c>
      <c r="K57" s="62">
        <f t="shared" si="50"/>
        <v>6187.1811630770962</v>
      </c>
      <c r="L57" s="62">
        <f t="shared" si="50"/>
        <v>5927.171454191438</v>
      </c>
      <c r="M57" s="62">
        <f t="shared" si="50"/>
        <v>5680.9833608595927</v>
      </c>
      <c r="N57" s="62">
        <f t="shared" si="50"/>
        <v>5457.8756988048608</v>
      </c>
      <c r="O57" s="62">
        <f t="shared" si="50"/>
        <v>5264.2227725704242</v>
      </c>
      <c r="P57" s="62">
        <f t="shared" si="50"/>
        <v>5103.332357938938</v>
      </c>
      <c r="Q57" s="62">
        <f t="shared" si="50"/>
        <v>4975.2944708677751</v>
      </c>
      <c r="R57" s="62">
        <f t="shared" si="50"/>
        <v>4877.3614932834489</v>
      </c>
      <c r="S57" s="62">
        <f t="shared" si="50"/>
        <v>4804.9545315000842</v>
      </c>
      <c r="T57" s="62">
        <f t="shared" si="50"/>
        <v>4752.8587656829714</v>
      </c>
      <c r="U57" s="62">
        <f t="shared" si="50"/>
        <v>4716.1469741442943</v>
      </c>
      <c r="V57" s="62">
        <f t="shared" si="50"/>
        <v>4690.6673939664743</v>
      </c>
      <c r="W57" s="62">
        <f t="shared" si="50"/>
        <v>4673.1746315362761</v>
      </c>
      <c r="X57" s="62">
        <f t="shared" si="50"/>
        <v>4661.256114288768</v>
      </c>
      <c r="Y57" s="62">
        <f t="shared" si="50"/>
        <v>4653.1780507731419</v>
      </c>
      <c r="Z57" s="62">
        <f t="shared" si="50"/>
        <v>4647.7225519692511</v>
      </c>
      <c r="AA57" s="62">
        <f t="shared" si="50"/>
        <v>4644.0471615093111</v>
      </c>
      <c r="AB57" s="62">
        <f t="shared" si="50"/>
        <v>4641.5751139488193</v>
      </c>
      <c r="AC57" s="62">
        <f t="shared" si="50"/>
        <v>4639.9142749358962</v>
      </c>
    </row>
    <row r="58" spans="1:29" ht="15" thickBot="1" x14ac:dyDescent="0.35">
      <c r="A58" s="59" t="str">
        <f>A21</f>
        <v>Emission Cost</v>
      </c>
      <c r="B58" s="62">
        <f>B41*B47</f>
        <v>193.17480511617447</v>
      </c>
      <c r="C58" s="62">
        <f t="shared" ref="C58:AC58" si="51">C41*C47</f>
        <v>192.99085563433641</v>
      </c>
      <c r="D58" s="62">
        <f t="shared" si="51"/>
        <v>192.72753604822958</v>
      </c>
      <c r="E58" s="62">
        <f t="shared" si="51"/>
        <v>192.35083886284266</v>
      </c>
      <c r="F58" s="62">
        <f t="shared" si="51"/>
        <v>191.81245546256395</v>
      </c>
      <c r="G58" s="62">
        <f t="shared" si="51"/>
        <v>191.04406600088856</v>
      </c>
      <c r="H58" s="62">
        <f t="shared" si="51"/>
        <v>189.94969090089361</v>
      </c>
      <c r="I58" s="62">
        <f t="shared" si="51"/>
        <v>188.39583513952829</v>
      </c>
      <c r="J58" s="62">
        <f t="shared" si="51"/>
        <v>186.19960933684365</v>
      </c>
      <c r="K58" s="62">
        <f t="shared" si="51"/>
        <v>183.11614793307004</v>
      </c>
      <c r="L58" s="62">
        <f t="shared" si="51"/>
        <v>178.82901725067396</v>
      </c>
      <c r="M58" s="62">
        <f t="shared" si="51"/>
        <v>172.9515214669868</v>
      </c>
      <c r="N58" s="62">
        <f t="shared" si="51"/>
        <v>165.05279694069711</v>
      </c>
      <c r="O58" s="62">
        <f t="shared" si="51"/>
        <v>154.72763806347984</v>
      </c>
      <c r="P58" s="62">
        <f t="shared" si="51"/>
        <v>141.72484563598721</v>
      </c>
      <c r="Q58" s="62">
        <f t="shared" si="51"/>
        <v>126.12186796821105</v>
      </c>
      <c r="R58" s="62">
        <f t="shared" si="51"/>
        <v>108.47843189732478</v>
      </c>
      <c r="S58" s="62">
        <f t="shared" si="51"/>
        <v>89.85232882648684</v>
      </c>
      <c r="T58" s="62">
        <f t="shared" si="51"/>
        <v>71.592752624934349</v>
      </c>
      <c r="U58" s="62">
        <f t="shared" si="51"/>
        <v>54.970684561679619</v>
      </c>
      <c r="V58" s="62">
        <f t="shared" si="51"/>
        <v>40.844293735923941</v>
      </c>
      <c r="W58" s="62">
        <f t="shared" si="51"/>
        <v>29.531584577753314</v>
      </c>
      <c r="X58" s="62">
        <f t="shared" si="51"/>
        <v>20.899485396206551</v>
      </c>
      <c r="Y58" s="62">
        <f t="shared" si="51"/>
        <v>14.554200202414576</v>
      </c>
      <c r="Z58" s="62">
        <f t="shared" si="51"/>
        <v>10.017413083964433</v>
      </c>
      <c r="AA58" s="62">
        <f t="shared" si="51"/>
        <v>6.8377953050669742</v>
      </c>
      <c r="AB58" s="62">
        <f t="shared" si="51"/>
        <v>4.6404839852666253</v>
      </c>
      <c r="AC58" s="62">
        <f t="shared" si="51"/>
        <v>3.1367543529042567</v>
      </c>
    </row>
    <row r="59" spans="1:29" ht="15" thickBot="1" x14ac:dyDescent="0.35">
      <c r="A59" s="31" t="s">
        <v>209</v>
      </c>
      <c r="B59" s="64">
        <f>B50+B51+B52+B53+B54+B55+B56+B57+B58</f>
        <v>155672.03421305161</v>
      </c>
      <c r="C59" s="64">
        <f t="shared" ref="C59:AC59" si="52">C50+C51+C52+C53+C54+C55+C56+C57+C58</f>
        <v>154796.65650608309</v>
      </c>
      <c r="D59" s="64">
        <f t="shared" si="52"/>
        <v>153596.26098598726</v>
      </c>
      <c r="E59" s="64">
        <f t="shared" si="52"/>
        <v>151982.46934317594</v>
      </c>
      <c r="F59" s="64">
        <f t="shared" si="52"/>
        <v>149871.75026063394</v>
      </c>
      <c r="G59" s="64">
        <f t="shared" si="52"/>
        <v>147211.36963380259</v>
      </c>
      <c r="H59" s="64">
        <f t="shared" si="52"/>
        <v>144014.77175084283</v>
      </c>
      <c r="I59" s="64">
        <f t="shared" si="52"/>
        <v>140392.82668863976</v>
      </c>
      <c r="J59" s="64">
        <f t="shared" si="52"/>
        <v>136557.38204251503</v>
      </c>
      <c r="K59" s="64">
        <f t="shared" si="52"/>
        <v>132780.08330885571</v>
      </c>
      <c r="L59" s="64">
        <f t="shared" si="52"/>
        <v>129318.48001347927</v>
      </c>
      <c r="M59" s="64">
        <f t="shared" si="52"/>
        <v>126349.15924212158</v>
      </c>
      <c r="N59" s="64">
        <f t="shared" si="52"/>
        <v>123942.11808739635</v>
      </c>
      <c r="O59" s="64">
        <f t="shared" si="52"/>
        <v>122077.72889487563</v>
      </c>
      <c r="P59" s="64">
        <f t="shared" si="52"/>
        <v>120683.30035870767</v>
      </c>
      <c r="Q59" s="64">
        <f t="shared" si="52"/>
        <v>119666.99439073075</v>
      </c>
      <c r="R59" s="64">
        <f t="shared" si="52"/>
        <v>118939.80861458316</v>
      </c>
      <c r="S59" s="64">
        <f t="shared" si="52"/>
        <v>118426.11588779741</v>
      </c>
      <c r="T59" s="64">
        <f t="shared" si="52"/>
        <v>118066.51347718015</v>
      </c>
      <c r="U59" s="64">
        <f t="shared" si="52"/>
        <v>117816.55462009914</v>
      </c>
      <c r="V59" s="64">
        <f t="shared" si="52"/>
        <v>117643.89470122741</v>
      </c>
      <c r="W59" s="64">
        <f t="shared" si="52"/>
        <v>117525.33089749614</v>
      </c>
      <c r="X59" s="64">
        <f t="shared" si="52"/>
        <v>117444.35541775005</v>
      </c>
      <c r="Y59" s="64">
        <f t="shared" si="52"/>
        <v>117389.31147779217</v>
      </c>
      <c r="Z59" s="64">
        <f t="shared" si="52"/>
        <v>117352.0378112797</v>
      </c>
      <c r="AA59" s="64">
        <f t="shared" si="52"/>
        <v>117326.8718602835</v>
      </c>
      <c r="AB59" s="64">
        <f t="shared" si="52"/>
        <v>117309.91764858944</v>
      </c>
      <c r="AC59" s="64">
        <f t="shared" si="52"/>
        <v>117298.51350125078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53">A50</f>
        <v>Capex vehicle</v>
      </c>
      <c r="B62" s="65">
        <f>((1+B35)^B42)*B35/(((1+B35)^B42)-1)*(B31)/B47</f>
        <v>1.1307393654794136</v>
      </c>
      <c r="C62" s="65">
        <f t="shared" ref="C62:AC62" si="54">((1+C35)^C42)*C35/(((1+C35)^C42)-1)*(C31)/C47</f>
        <v>1.1142059842503267</v>
      </c>
      <c r="D62" s="65">
        <f t="shared" si="54"/>
        <v>1.0915393371002704</v>
      </c>
      <c r="E62" s="65">
        <f t="shared" si="54"/>
        <v>1.0610777921903076</v>
      </c>
      <c r="F62" s="65">
        <f t="shared" si="54"/>
        <v>1.0212586682552949</v>
      </c>
      <c r="G62" s="65">
        <f t="shared" si="54"/>
        <v>0.97111321196463884</v>
      </c>
      <c r="H62" s="65">
        <f t="shared" si="54"/>
        <v>0.91094010384139978</v>
      </c>
      <c r="I62" s="65">
        <f t="shared" si="54"/>
        <v>0.84289793849551997</v>
      </c>
      <c r="J62" s="65">
        <f t="shared" si="54"/>
        <v>0.77106610370985451</v>
      </c>
      <c r="K62" s="65">
        <f t="shared" si="54"/>
        <v>0.70064778507509218</v>
      </c>
      <c r="L62" s="65">
        <f t="shared" si="54"/>
        <v>0.63654454016257012</v>
      </c>
      <c r="M62" s="65">
        <f t="shared" si="54"/>
        <v>0.58206591046454537</v>
      </c>
      <c r="N62" s="65">
        <f t="shared" si="54"/>
        <v>0.53843828464622423</v>
      </c>
      <c r="O62" s="65">
        <f t="shared" si="54"/>
        <v>0.50514846981463213</v>
      </c>
      <c r="P62" s="65">
        <f t="shared" si="54"/>
        <v>0.48067778606640288</v>
      </c>
      <c r="Q62" s="65">
        <f t="shared" si="54"/>
        <v>0.46318160119558721</v>
      </c>
      <c r="R62" s="65">
        <f t="shared" si="54"/>
        <v>0.4509193594316126</v>
      </c>
      <c r="S62" s="65">
        <f t="shared" si="54"/>
        <v>0.44244539667642468</v>
      </c>
      <c r="T62" s="65">
        <f t="shared" si="54"/>
        <v>0.43664624168928845</v>
      </c>
      <c r="U62" s="65">
        <f t="shared" si="54"/>
        <v>0.43270407957766832</v>
      </c>
      <c r="V62" s="65">
        <f t="shared" si="54"/>
        <v>0.43003646234276871</v>
      </c>
      <c r="W62" s="65">
        <f t="shared" si="54"/>
        <v>0.42823688497105866</v>
      </c>
      <c r="X62" s="65">
        <f t="shared" si="54"/>
        <v>0.42702541842396519</v>
      </c>
      <c r="Y62" s="65">
        <f t="shared" si="54"/>
        <v>0.42621101050114579</v>
      </c>
      <c r="Z62" s="65">
        <f t="shared" si="54"/>
        <v>0.42566404228096077</v>
      </c>
      <c r="AA62" s="65">
        <f t="shared" si="54"/>
        <v>0.42529692362518623</v>
      </c>
      <c r="AB62" s="65">
        <f t="shared" si="54"/>
        <v>0.42505062289064027</v>
      </c>
      <c r="AC62" s="65">
        <f t="shared" si="54"/>
        <v>0.4248854264234706</v>
      </c>
    </row>
    <row r="63" spans="1:29" x14ac:dyDescent="0.3">
      <c r="A63" s="30" t="str">
        <f t="shared" si="53"/>
        <v>Residual value (vehicle)</v>
      </c>
      <c r="B63" s="66">
        <f>((1+B35)^B42)*B35/(((1+B35)^B42)-1)*(B32)/B47</f>
        <v>-0.17190992966250493</v>
      </c>
      <c r="C63" s="66">
        <f t="shared" ref="C63:AC63" si="55">((1+C35)^C42)*C35/(((1+C35)^C42)-1)*(C32)/C47</f>
        <v>-0.17037005592058019</v>
      </c>
      <c r="D63" s="66">
        <f t="shared" si="55"/>
        <v>-0.1682589466271926</v>
      </c>
      <c r="E63" s="66">
        <f t="shared" si="55"/>
        <v>-0.16542184195420587</v>
      </c>
      <c r="F63" s="66">
        <f t="shared" si="55"/>
        <v>-0.16171319805829781</v>
      </c>
      <c r="G63" s="66">
        <f t="shared" si="55"/>
        <v>-0.15704278791357987</v>
      </c>
      <c r="H63" s="66">
        <f t="shared" si="55"/>
        <v>-0.1514384298040625</v>
      </c>
      <c r="I63" s="66">
        <f t="shared" si="55"/>
        <v>-0.14510116930616193</v>
      </c>
      <c r="J63" s="66">
        <f t="shared" si="55"/>
        <v>-0.13841094939965384</v>
      </c>
      <c r="K63" s="66">
        <f t="shared" si="55"/>
        <v>-0.1318523805072005</v>
      </c>
      <c r="L63" s="66">
        <f t="shared" si="55"/>
        <v>-0.12588198024574013</v>
      </c>
      <c r="M63" s="66">
        <f t="shared" si="55"/>
        <v>-0.12080799022484566</v>
      </c>
      <c r="N63" s="66">
        <f t="shared" si="55"/>
        <v>-0.11674463291823732</v>
      </c>
      <c r="O63" s="66">
        <f t="shared" si="55"/>
        <v>-0.11364411094862824</v>
      </c>
      <c r="P63" s="66">
        <f t="shared" si="55"/>
        <v>-0.11136497863874414</v>
      </c>
      <c r="Q63" s="66">
        <f t="shared" si="55"/>
        <v>-0.10973543200861917</v>
      </c>
      <c r="R63" s="66">
        <f t="shared" si="55"/>
        <v>-0.10859336047177838</v>
      </c>
      <c r="S63" s="66">
        <f t="shared" si="55"/>
        <v>-0.10780411884261874</v>
      </c>
      <c r="T63" s="66">
        <f t="shared" si="55"/>
        <v>-0.10726400146636585</v>
      </c>
      <c r="U63" s="66">
        <f t="shared" si="55"/>
        <v>-0.10689683930891102</v>
      </c>
      <c r="V63" s="66">
        <f t="shared" si="55"/>
        <v>-0.10664838476252335</v>
      </c>
      <c r="W63" s="66">
        <f t="shared" si="55"/>
        <v>-0.10648077706613857</v>
      </c>
      <c r="X63" s="66">
        <f t="shared" si="55"/>
        <v>-0.10636794439753673</v>
      </c>
      <c r="Y63" s="66">
        <f t="shared" si="55"/>
        <v>-0.10629209267923492</v>
      </c>
      <c r="Z63" s="66">
        <f t="shared" si="55"/>
        <v>-0.10624114956068824</v>
      </c>
      <c r="AA63" s="66">
        <f t="shared" si="55"/>
        <v>-0.10620695713686613</v>
      </c>
      <c r="AB63" s="66">
        <f t="shared" si="55"/>
        <v>-0.10618401736257017</v>
      </c>
      <c r="AC63" s="66">
        <f t="shared" si="55"/>
        <v>-0.10616863141709849</v>
      </c>
    </row>
    <row r="64" spans="1:29" x14ac:dyDescent="0.3">
      <c r="A64" s="30" t="str">
        <f t="shared" si="53"/>
        <v>Capex costumization</v>
      </c>
      <c r="B64" s="66">
        <f>((1+B35)^B43)*B35/(((1+B35)^B43)-1)*(B33)/B47</f>
        <v>9.8813060523915433E-2</v>
      </c>
      <c r="C64" s="66">
        <f t="shared" ref="C64:AC64" si="56">((1+C35)^C43)*C35/(((1+C35)^C43)-1)*(C33)/C47</f>
        <v>9.8813060523915433E-2</v>
      </c>
      <c r="D64" s="66">
        <f t="shared" si="56"/>
        <v>9.8813060523915433E-2</v>
      </c>
      <c r="E64" s="66">
        <f t="shared" si="56"/>
        <v>9.8813060523915433E-2</v>
      </c>
      <c r="F64" s="66">
        <f t="shared" si="56"/>
        <v>9.8813060523915433E-2</v>
      </c>
      <c r="G64" s="66">
        <f t="shared" si="56"/>
        <v>9.8813060523915433E-2</v>
      </c>
      <c r="H64" s="66">
        <f t="shared" si="56"/>
        <v>9.8813060523915433E-2</v>
      </c>
      <c r="I64" s="66">
        <f t="shared" si="56"/>
        <v>9.8813060523915433E-2</v>
      </c>
      <c r="J64" s="66">
        <f t="shared" si="56"/>
        <v>9.8813060523915433E-2</v>
      </c>
      <c r="K64" s="66">
        <f t="shared" si="56"/>
        <v>9.8813060523915433E-2</v>
      </c>
      <c r="L64" s="66">
        <f t="shared" si="56"/>
        <v>9.8813060523915433E-2</v>
      </c>
      <c r="M64" s="66">
        <f t="shared" si="56"/>
        <v>9.8813060523915433E-2</v>
      </c>
      <c r="N64" s="66">
        <f t="shared" si="56"/>
        <v>9.8813060523915433E-2</v>
      </c>
      <c r="O64" s="66">
        <f t="shared" si="56"/>
        <v>9.8813060523915433E-2</v>
      </c>
      <c r="P64" s="66">
        <f t="shared" si="56"/>
        <v>9.8813060523915433E-2</v>
      </c>
      <c r="Q64" s="66">
        <f t="shared" si="56"/>
        <v>9.8813060523915433E-2</v>
      </c>
      <c r="R64" s="66">
        <f t="shared" si="56"/>
        <v>9.8813060523915433E-2</v>
      </c>
      <c r="S64" s="66">
        <f t="shared" si="56"/>
        <v>9.8813060523915433E-2</v>
      </c>
      <c r="T64" s="66">
        <f t="shared" si="56"/>
        <v>9.8813060523915433E-2</v>
      </c>
      <c r="U64" s="66">
        <f t="shared" si="56"/>
        <v>9.8813060523915433E-2</v>
      </c>
      <c r="V64" s="66">
        <f t="shared" si="56"/>
        <v>9.8813060523915433E-2</v>
      </c>
      <c r="W64" s="66">
        <f t="shared" si="56"/>
        <v>9.8813060523915433E-2</v>
      </c>
      <c r="X64" s="66">
        <f t="shared" si="56"/>
        <v>9.8813060523915433E-2</v>
      </c>
      <c r="Y64" s="66">
        <f t="shared" si="56"/>
        <v>9.8813060523915433E-2</v>
      </c>
      <c r="Z64" s="66">
        <f t="shared" si="56"/>
        <v>9.8813060523915433E-2</v>
      </c>
      <c r="AA64" s="66">
        <f t="shared" si="56"/>
        <v>9.8813060523915433E-2</v>
      </c>
      <c r="AB64" s="66">
        <f t="shared" si="56"/>
        <v>9.8813060523915433E-2</v>
      </c>
      <c r="AC64" s="66">
        <f t="shared" si="56"/>
        <v>9.8813060523915433E-2</v>
      </c>
    </row>
    <row r="65" spans="1:29" x14ac:dyDescent="0.3">
      <c r="A65" s="30" t="str">
        <f t="shared" si="53"/>
        <v>Residual value (costumization)</v>
      </c>
      <c r="B65" s="66">
        <f>((1+B35)^B43)*B35/(((1+B35)^B43)-1)*(B34)/B47</f>
        <v>-2.4703265130978858E-2</v>
      </c>
      <c r="C65" s="66">
        <f t="shared" ref="C65:AC65" si="57">((1+C35)^C43)*C35/(((1+C35)^C43)-1)*(C34)/C47</f>
        <v>-2.4703265130978858E-2</v>
      </c>
      <c r="D65" s="66">
        <f t="shared" si="57"/>
        <v>-2.4703265130978858E-2</v>
      </c>
      <c r="E65" s="66">
        <f t="shared" si="57"/>
        <v>-2.4703265130978858E-2</v>
      </c>
      <c r="F65" s="66">
        <f t="shared" si="57"/>
        <v>-2.4703265130978858E-2</v>
      </c>
      <c r="G65" s="66">
        <f t="shared" si="57"/>
        <v>-2.4703265130978858E-2</v>
      </c>
      <c r="H65" s="66">
        <f t="shared" si="57"/>
        <v>-2.4703265130978858E-2</v>
      </c>
      <c r="I65" s="66">
        <f t="shared" si="57"/>
        <v>-2.4703265130978858E-2</v>
      </c>
      <c r="J65" s="66">
        <f t="shared" si="57"/>
        <v>-2.4703265130978858E-2</v>
      </c>
      <c r="K65" s="66">
        <f t="shared" si="57"/>
        <v>-2.4703265130978858E-2</v>
      </c>
      <c r="L65" s="66">
        <f t="shared" si="57"/>
        <v>-2.4703265130978858E-2</v>
      </c>
      <c r="M65" s="66">
        <f t="shared" si="57"/>
        <v>-2.4703265130978858E-2</v>
      </c>
      <c r="N65" s="66">
        <f t="shared" si="57"/>
        <v>-2.4703265130978858E-2</v>
      </c>
      <c r="O65" s="66">
        <f t="shared" si="57"/>
        <v>-2.4703265130978858E-2</v>
      </c>
      <c r="P65" s="66">
        <f t="shared" si="57"/>
        <v>-2.4703265130978858E-2</v>
      </c>
      <c r="Q65" s="66">
        <f t="shared" si="57"/>
        <v>-2.4703265130978858E-2</v>
      </c>
      <c r="R65" s="66">
        <f t="shared" si="57"/>
        <v>-2.4703265130978858E-2</v>
      </c>
      <c r="S65" s="66">
        <f t="shared" si="57"/>
        <v>-2.4703265130978858E-2</v>
      </c>
      <c r="T65" s="66">
        <f t="shared" si="57"/>
        <v>-2.4703265130978858E-2</v>
      </c>
      <c r="U65" s="66">
        <f t="shared" si="57"/>
        <v>-2.4703265130978858E-2</v>
      </c>
      <c r="V65" s="66">
        <f t="shared" si="57"/>
        <v>-2.4703265130978858E-2</v>
      </c>
      <c r="W65" s="66">
        <f t="shared" si="57"/>
        <v>-2.4703265130978858E-2</v>
      </c>
      <c r="X65" s="66">
        <f t="shared" si="57"/>
        <v>-2.4703265130978858E-2</v>
      </c>
      <c r="Y65" s="66">
        <f t="shared" si="57"/>
        <v>-2.4703265130978858E-2</v>
      </c>
      <c r="Z65" s="66">
        <f t="shared" si="57"/>
        <v>-2.4703265130978858E-2</v>
      </c>
      <c r="AA65" s="66">
        <f t="shared" si="57"/>
        <v>-2.4703265130978858E-2</v>
      </c>
      <c r="AB65" s="66">
        <f t="shared" si="57"/>
        <v>-2.4703265130978858E-2</v>
      </c>
      <c r="AC65" s="66">
        <f t="shared" si="57"/>
        <v>-2.4703265130978858E-2</v>
      </c>
    </row>
    <row r="66" spans="1:29" x14ac:dyDescent="0.3">
      <c r="A66" s="30" t="str">
        <f t="shared" si="53"/>
        <v>Opex fix (admin, crew, insurance)</v>
      </c>
      <c r="B66" s="66">
        <f>B36/B47</f>
        <v>1.2727272727272727</v>
      </c>
      <c r="C66" s="66">
        <f t="shared" ref="C66:AC66" si="58">C36/C47</f>
        <v>1.2727272727272727</v>
      </c>
      <c r="D66" s="66">
        <f t="shared" si="58"/>
        <v>1.2727272727272727</v>
      </c>
      <c r="E66" s="66">
        <f t="shared" si="58"/>
        <v>1.2727272727272727</v>
      </c>
      <c r="F66" s="66">
        <f t="shared" si="58"/>
        <v>1.2727272727272727</v>
      </c>
      <c r="G66" s="66">
        <f t="shared" si="58"/>
        <v>1.2727272727272727</v>
      </c>
      <c r="H66" s="66">
        <f t="shared" si="58"/>
        <v>1.2727272727272727</v>
      </c>
      <c r="I66" s="66">
        <f t="shared" si="58"/>
        <v>1.2727272727272727</v>
      </c>
      <c r="J66" s="66">
        <f t="shared" si="58"/>
        <v>1.2727272727272727</v>
      </c>
      <c r="K66" s="66">
        <f t="shared" si="58"/>
        <v>1.2727272727272727</v>
      </c>
      <c r="L66" s="66">
        <f t="shared" si="58"/>
        <v>1.2727272727272727</v>
      </c>
      <c r="M66" s="66">
        <f t="shared" si="58"/>
        <v>1.2727272727272727</v>
      </c>
      <c r="N66" s="66">
        <f t="shared" si="58"/>
        <v>1.2727272727272727</v>
      </c>
      <c r="O66" s="66">
        <f t="shared" si="58"/>
        <v>1.2727272727272727</v>
      </c>
      <c r="P66" s="66">
        <f t="shared" si="58"/>
        <v>1.2727272727272727</v>
      </c>
      <c r="Q66" s="66">
        <f t="shared" si="58"/>
        <v>1.2727272727272727</v>
      </c>
      <c r="R66" s="66">
        <f t="shared" si="58"/>
        <v>1.2727272727272727</v>
      </c>
      <c r="S66" s="66">
        <f t="shared" si="58"/>
        <v>1.2727272727272727</v>
      </c>
      <c r="T66" s="66">
        <f t="shared" si="58"/>
        <v>1.2727272727272727</v>
      </c>
      <c r="U66" s="66">
        <f t="shared" si="58"/>
        <v>1.2727272727272727</v>
      </c>
      <c r="V66" s="66">
        <f t="shared" si="58"/>
        <v>1.2727272727272727</v>
      </c>
      <c r="W66" s="66">
        <f t="shared" si="58"/>
        <v>1.2727272727272727</v>
      </c>
      <c r="X66" s="66">
        <f t="shared" si="58"/>
        <v>1.2727272727272727</v>
      </c>
      <c r="Y66" s="66">
        <f t="shared" si="58"/>
        <v>1.2727272727272727</v>
      </c>
      <c r="Z66" s="66">
        <f t="shared" si="58"/>
        <v>1.2727272727272727</v>
      </c>
      <c r="AA66" s="66">
        <f t="shared" si="58"/>
        <v>1.2727272727272727</v>
      </c>
      <c r="AB66" s="66">
        <f t="shared" si="58"/>
        <v>1.2727272727272727</v>
      </c>
      <c r="AC66" s="66">
        <f t="shared" si="58"/>
        <v>1.2727272727272727</v>
      </c>
    </row>
    <row r="67" spans="1:29" x14ac:dyDescent="0.3">
      <c r="A67" s="30" t="str">
        <f t="shared" si="53"/>
        <v>Opex maintenance &amp; repair</v>
      </c>
      <c r="B67" s="66">
        <f>B37/B47</f>
        <v>0.27272727272727271</v>
      </c>
      <c r="C67" s="66">
        <f t="shared" ref="C67:AC67" si="59">C37/C47</f>
        <v>0.27272727272727271</v>
      </c>
      <c r="D67" s="66">
        <f t="shared" si="59"/>
        <v>0.27272727272727271</v>
      </c>
      <c r="E67" s="66">
        <f t="shared" si="59"/>
        <v>0.27272727272727271</v>
      </c>
      <c r="F67" s="66">
        <f t="shared" si="59"/>
        <v>0.27272727272727271</v>
      </c>
      <c r="G67" s="66">
        <f t="shared" si="59"/>
        <v>0.27272727272727271</v>
      </c>
      <c r="H67" s="66">
        <f t="shared" si="59"/>
        <v>0.27272727272727271</v>
      </c>
      <c r="I67" s="66">
        <f t="shared" si="59"/>
        <v>0.27272727272727271</v>
      </c>
      <c r="J67" s="66">
        <f t="shared" si="59"/>
        <v>0.27272727272727271</v>
      </c>
      <c r="K67" s="66">
        <f t="shared" si="59"/>
        <v>0.27272727272727271</v>
      </c>
      <c r="L67" s="66">
        <f t="shared" si="59"/>
        <v>0.27272727272727271</v>
      </c>
      <c r="M67" s="66">
        <f t="shared" si="59"/>
        <v>0.27272727272727271</v>
      </c>
      <c r="N67" s="66">
        <f t="shared" si="59"/>
        <v>0.27272727272727271</v>
      </c>
      <c r="O67" s="66">
        <f t="shared" si="59"/>
        <v>0.27272727272727271</v>
      </c>
      <c r="P67" s="66">
        <f t="shared" si="59"/>
        <v>0.27272727272727271</v>
      </c>
      <c r="Q67" s="66">
        <f t="shared" si="59"/>
        <v>0.27272727272727271</v>
      </c>
      <c r="R67" s="66">
        <f t="shared" si="59"/>
        <v>0.27272727272727271</v>
      </c>
      <c r="S67" s="66">
        <f t="shared" si="59"/>
        <v>0.27272727272727271</v>
      </c>
      <c r="T67" s="66">
        <f t="shared" si="59"/>
        <v>0.27272727272727271</v>
      </c>
      <c r="U67" s="66">
        <f t="shared" si="59"/>
        <v>0.27272727272727271</v>
      </c>
      <c r="V67" s="66">
        <f t="shared" si="59"/>
        <v>0.27272727272727271</v>
      </c>
      <c r="W67" s="66">
        <f t="shared" si="59"/>
        <v>0.27272727272727271</v>
      </c>
      <c r="X67" s="66">
        <f t="shared" si="59"/>
        <v>0.27272727272727271</v>
      </c>
      <c r="Y67" s="66">
        <f t="shared" si="59"/>
        <v>0.27272727272727271</v>
      </c>
      <c r="Z67" s="66">
        <f t="shared" si="59"/>
        <v>0.27272727272727271</v>
      </c>
      <c r="AA67" s="66">
        <f t="shared" si="59"/>
        <v>0.27272727272727271</v>
      </c>
      <c r="AB67" s="66">
        <f t="shared" si="59"/>
        <v>0.27272727272727271</v>
      </c>
      <c r="AC67" s="66">
        <f t="shared" si="59"/>
        <v>0.27272727272727271</v>
      </c>
    </row>
    <row r="68" spans="1:29" x14ac:dyDescent="0.3">
      <c r="A68" s="30" t="str">
        <f t="shared" si="53"/>
        <v>Opex var (mode-fees)</v>
      </c>
      <c r="B68" s="66">
        <f>B38*B47/B47</f>
        <v>0.11</v>
      </c>
      <c r="C68" s="66">
        <f t="shared" ref="C68:AC68" si="60">C38*C47/C47</f>
        <v>0.11</v>
      </c>
      <c r="D68" s="66">
        <f t="shared" si="60"/>
        <v>0.11</v>
      </c>
      <c r="E68" s="66">
        <f t="shared" si="60"/>
        <v>0.11</v>
      </c>
      <c r="F68" s="66">
        <f t="shared" si="60"/>
        <v>0.11</v>
      </c>
      <c r="G68" s="66">
        <f t="shared" si="60"/>
        <v>0.11</v>
      </c>
      <c r="H68" s="66">
        <f t="shared" si="60"/>
        <v>0.11</v>
      </c>
      <c r="I68" s="66">
        <f t="shared" si="60"/>
        <v>0.11</v>
      </c>
      <c r="J68" s="66">
        <f t="shared" si="60"/>
        <v>0.11</v>
      </c>
      <c r="K68" s="66">
        <f t="shared" si="60"/>
        <v>0.11</v>
      </c>
      <c r="L68" s="66">
        <f t="shared" si="60"/>
        <v>0.11</v>
      </c>
      <c r="M68" s="66">
        <f t="shared" si="60"/>
        <v>0.11</v>
      </c>
      <c r="N68" s="66">
        <f t="shared" si="60"/>
        <v>0.11</v>
      </c>
      <c r="O68" s="66">
        <f t="shared" si="60"/>
        <v>0.11</v>
      </c>
      <c r="P68" s="66">
        <f t="shared" si="60"/>
        <v>0.11</v>
      </c>
      <c r="Q68" s="66">
        <f t="shared" si="60"/>
        <v>0.11</v>
      </c>
      <c r="R68" s="66">
        <f t="shared" si="60"/>
        <v>0.11</v>
      </c>
      <c r="S68" s="66">
        <f t="shared" si="60"/>
        <v>0.11</v>
      </c>
      <c r="T68" s="66">
        <f t="shared" si="60"/>
        <v>0.11</v>
      </c>
      <c r="U68" s="66">
        <f t="shared" si="60"/>
        <v>0.11</v>
      </c>
      <c r="V68" s="66">
        <f t="shared" si="60"/>
        <v>0.11</v>
      </c>
      <c r="W68" s="66">
        <f t="shared" si="60"/>
        <v>0.11</v>
      </c>
      <c r="X68" s="66">
        <f t="shared" si="60"/>
        <v>0.11</v>
      </c>
      <c r="Y68" s="66">
        <f t="shared" si="60"/>
        <v>0.11</v>
      </c>
      <c r="Z68" s="66">
        <f t="shared" si="60"/>
        <v>0.11</v>
      </c>
      <c r="AA68" s="66">
        <f t="shared" si="60"/>
        <v>0.11</v>
      </c>
      <c r="AB68" s="66">
        <f t="shared" si="60"/>
        <v>0.11</v>
      </c>
      <c r="AC68" s="66">
        <f t="shared" si="60"/>
        <v>0.11</v>
      </c>
    </row>
    <row r="69" spans="1:29" x14ac:dyDescent="0.3">
      <c r="A69" s="30" t="str">
        <f t="shared" si="53"/>
        <v>Fuel Cost</v>
      </c>
      <c r="B69" s="66">
        <f>B39*B40*B47/B47</f>
        <v>0.13849457620716266</v>
      </c>
      <c r="C69" s="66">
        <f t="shared" ref="C69:AC69" si="61">C39*C40*C47/C47</f>
        <v>0.13757546992183967</v>
      </c>
      <c r="D69" s="66">
        <f t="shared" si="61"/>
        <v>0.13631042231469542</v>
      </c>
      <c r="E69" s="66">
        <f t="shared" si="61"/>
        <v>0.1346000453584727</v>
      </c>
      <c r="F69" s="66">
        <f t="shared" si="61"/>
        <v>0.13234360359500089</v>
      </c>
      <c r="G69" s="66">
        <f t="shared" si="61"/>
        <v>0.12946206360694487</v>
      </c>
      <c r="H69" s="66">
        <f t="shared" si="61"/>
        <v>0.12593074984139796</v>
      </c>
      <c r="I69" s="66">
        <f t="shared" si="61"/>
        <v>0.12181036002680057</v>
      </c>
      <c r="J69" s="66">
        <f t="shared" si="61"/>
        <v>0.11725654908192047</v>
      </c>
      <c r="K69" s="66">
        <f t="shared" si="61"/>
        <v>0.11249420296503812</v>
      </c>
      <c r="L69" s="66">
        <f t="shared" si="61"/>
        <v>0.10776675371257161</v>
      </c>
      <c r="M69" s="66">
        <f t="shared" si="61"/>
        <v>0.10329060656108351</v>
      </c>
      <c r="N69" s="66">
        <f t="shared" si="61"/>
        <v>9.9234103614633834E-2</v>
      </c>
      <c r="O69" s="66">
        <f t="shared" si="61"/>
        <v>9.5713141319462264E-2</v>
      </c>
      <c r="P69" s="66">
        <f t="shared" si="61"/>
        <v>9.2787861053435242E-2</v>
      </c>
      <c r="Q69" s="66">
        <f t="shared" si="61"/>
        <v>9.045989947032318E-2</v>
      </c>
      <c r="R69" s="66">
        <f t="shared" si="61"/>
        <v>8.8679299877880896E-2</v>
      </c>
      <c r="S69" s="66">
        <f t="shared" si="61"/>
        <v>8.7362809663637894E-2</v>
      </c>
      <c r="T69" s="66">
        <f t="shared" si="61"/>
        <v>8.6415613921508566E-2</v>
      </c>
      <c r="U69" s="66">
        <f t="shared" si="61"/>
        <v>8.5748126802623531E-2</v>
      </c>
      <c r="V69" s="66">
        <f t="shared" si="61"/>
        <v>8.5284861708481347E-2</v>
      </c>
      <c r="W69" s="66">
        <f t="shared" si="61"/>
        <v>8.4966811482477742E-2</v>
      </c>
      <c r="X69" s="66">
        <f t="shared" si="61"/>
        <v>8.4750111168886685E-2</v>
      </c>
      <c r="Y69" s="66">
        <f t="shared" si="61"/>
        <v>8.46032372867844E-2</v>
      </c>
      <c r="Z69" s="66">
        <f t="shared" si="61"/>
        <v>8.4504046399440924E-2</v>
      </c>
      <c r="AA69" s="66">
        <f t="shared" si="61"/>
        <v>8.4437221118351113E-2</v>
      </c>
      <c r="AB69" s="66">
        <f t="shared" si="61"/>
        <v>8.4392274799069439E-2</v>
      </c>
      <c r="AC69" s="66">
        <f t="shared" si="61"/>
        <v>8.436207772610721E-2</v>
      </c>
    </row>
    <row r="70" spans="1:29" ht="15" thickBot="1" x14ac:dyDescent="0.35">
      <c r="A70" s="59" t="str">
        <f t="shared" ref="A70" si="62">A58</f>
        <v>Emission Cost</v>
      </c>
      <c r="B70" s="66">
        <f>B41</f>
        <v>3.5122691839304448E-3</v>
      </c>
      <c r="C70" s="66">
        <f t="shared" ref="C70:AC70" si="63">C41</f>
        <v>3.5089246478970256E-3</v>
      </c>
      <c r="D70" s="66">
        <f t="shared" si="63"/>
        <v>3.5041370190587195E-3</v>
      </c>
      <c r="E70" s="66">
        <f t="shared" si="63"/>
        <v>3.4972879793244123E-3</v>
      </c>
      <c r="F70" s="66">
        <f t="shared" si="63"/>
        <v>3.4874991902284352E-3</v>
      </c>
      <c r="G70" s="66">
        <f t="shared" si="63"/>
        <v>3.4735284727434282E-3</v>
      </c>
      <c r="H70" s="66">
        <f t="shared" si="63"/>
        <v>3.4536307436526109E-3</v>
      </c>
      <c r="I70" s="66">
        <f t="shared" si="63"/>
        <v>3.4253788207186963E-3</v>
      </c>
      <c r="J70" s="66">
        <f t="shared" si="63"/>
        <v>3.3854474424880663E-3</v>
      </c>
      <c r="K70" s="66">
        <f t="shared" si="63"/>
        <v>3.3293845078740006E-3</v>
      </c>
      <c r="L70" s="66">
        <f t="shared" si="63"/>
        <v>3.251436677284981E-3</v>
      </c>
      <c r="M70" s="66">
        <f t="shared" si="63"/>
        <v>3.1445731175815781E-3</v>
      </c>
      <c r="N70" s="66">
        <f t="shared" si="63"/>
        <v>3.0009599443763112E-3</v>
      </c>
      <c r="O70" s="66">
        <f t="shared" si="63"/>
        <v>2.813229782972361E-3</v>
      </c>
      <c r="P70" s="66">
        <f t="shared" si="63"/>
        <v>2.5768153751997672E-3</v>
      </c>
      <c r="Q70" s="66">
        <f t="shared" si="63"/>
        <v>2.2931248721492917E-3</v>
      </c>
      <c r="R70" s="66">
        <f t="shared" si="63"/>
        <v>1.9723351254059053E-3</v>
      </c>
      <c r="S70" s="66">
        <f t="shared" si="63"/>
        <v>1.6336787059361244E-3</v>
      </c>
      <c r="T70" s="66">
        <f t="shared" si="63"/>
        <v>1.3016864113624426E-3</v>
      </c>
      <c r="U70" s="66">
        <f t="shared" si="63"/>
        <v>9.9946699203053851E-4</v>
      </c>
      <c r="V70" s="66">
        <f t="shared" si="63"/>
        <v>7.4262352247134438E-4</v>
      </c>
      <c r="W70" s="66">
        <f t="shared" si="63"/>
        <v>5.3693790141369664E-4</v>
      </c>
      <c r="X70" s="66">
        <f t="shared" si="63"/>
        <v>3.7999064356739184E-4</v>
      </c>
      <c r="Y70" s="66">
        <f t="shared" si="63"/>
        <v>2.646218218620832E-4</v>
      </c>
      <c r="Z70" s="66">
        <f t="shared" si="63"/>
        <v>1.8213478334480789E-4</v>
      </c>
      <c r="AA70" s="66">
        <f t="shared" si="63"/>
        <v>1.2432355100121771E-4</v>
      </c>
      <c r="AB70" s="66">
        <f t="shared" si="63"/>
        <v>8.4372436095756821E-5</v>
      </c>
      <c r="AC70" s="66">
        <f t="shared" si="63"/>
        <v>5.7031897325531943E-5</v>
      </c>
    </row>
    <row r="71" spans="1:29" ht="15" thickBot="1" x14ac:dyDescent="0.35">
      <c r="A71" s="31" t="s">
        <v>63</v>
      </c>
      <c r="B71" s="76">
        <f>B62+B63+B64-B65+B66+B67+B68+B69+B70</f>
        <v>2.8798071523174409</v>
      </c>
      <c r="C71" s="76">
        <f t="shared" ref="C71:AC71" si="64">C62+C63+C64-C65+C66+C67+C68+C69+C70</f>
        <v>2.8638911940089224</v>
      </c>
      <c r="D71" s="76">
        <f t="shared" si="64"/>
        <v>2.8420658209162717</v>
      </c>
      <c r="E71" s="76">
        <f t="shared" si="64"/>
        <v>2.8127241546833384</v>
      </c>
      <c r="F71" s="76">
        <f t="shared" si="64"/>
        <v>2.7743474440916662</v>
      </c>
      <c r="G71" s="76">
        <f t="shared" si="64"/>
        <v>2.7259768872401868</v>
      </c>
      <c r="H71" s="76">
        <f t="shared" si="64"/>
        <v>2.6678569257318272</v>
      </c>
      <c r="I71" s="76">
        <f t="shared" si="64"/>
        <v>2.6020033791463169</v>
      </c>
      <c r="J71" s="76">
        <f t="shared" si="64"/>
        <v>2.532268021944049</v>
      </c>
      <c r="K71" s="76">
        <f t="shared" si="64"/>
        <v>2.4635898631502431</v>
      </c>
      <c r="L71" s="76">
        <f t="shared" si="64"/>
        <v>2.4006516214161264</v>
      </c>
      <c r="M71" s="76">
        <f t="shared" si="64"/>
        <v>2.3466639710278048</v>
      </c>
      <c r="N71" s="76">
        <f t="shared" si="64"/>
        <v>2.3028995863964368</v>
      </c>
      <c r="O71" s="76">
        <f t="shared" si="64"/>
        <v>2.269001601077878</v>
      </c>
      <c r="P71" s="76">
        <f t="shared" si="64"/>
        <v>2.2436483549657331</v>
      </c>
      <c r="Q71" s="76">
        <f t="shared" si="64"/>
        <v>2.2251700646388803</v>
      </c>
      <c r="R71" s="76">
        <f t="shared" si="64"/>
        <v>2.2119485050725607</v>
      </c>
      <c r="S71" s="76">
        <f t="shared" si="64"/>
        <v>2.20260863731282</v>
      </c>
      <c r="T71" s="76">
        <f t="shared" si="64"/>
        <v>2.1960704116652332</v>
      </c>
      <c r="U71" s="76">
        <f t="shared" si="64"/>
        <v>2.1915257051728512</v>
      </c>
      <c r="V71" s="76">
        <f t="shared" si="64"/>
        <v>2.1883864339206376</v>
      </c>
      <c r="W71" s="76">
        <f t="shared" si="64"/>
        <v>2.1862307283982512</v>
      </c>
      <c r="X71" s="76">
        <f t="shared" si="64"/>
        <v>2.1847584469483223</v>
      </c>
      <c r="Y71" s="76">
        <f t="shared" si="64"/>
        <v>2.1837576480399972</v>
      </c>
      <c r="Z71" s="76">
        <f t="shared" si="64"/>
        <v>2.1830799450124978</v>
      </c>
      <c r="AA71" s="76">
        <f t="shared" si="64"/>
        <v>2.182622382267112</v>
      </c>
      <c r="AB71" s="76">
        <f t="shared" si="64"/>
        <v>2.1823141238726751</v>
      </c>
      <c r="AC71" s="76">
        <f t="shared" si="64"/>
        <v>2.1821067757392449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5">A50</f>
        <v>Capex vehicle</v>
      </c>
      <c r="B74" s="65">
        <f>((1+B35)^B42)*B35/(((1+B35)^B42)-1)*(B31)/B47/(B44)</f>
        <v>4.5229574619176545E-2</v>
      </c>
      <c r="C74" s="65">
        <f t="shared" ref="C74:AC74" si="66">((1+C35)^C42)*C35/(((1+C35)^C42)-1)*(C31)/C47/(C44)</f>
        <v>4.4568239370013064E-2</v>
      </c>
      <c r="D74" s="65">
        <f t="shared" si="66"/>
        <v>4.3661573484010813E-2</v>
      </c>
      <c r="E74" s="65">
        <f t="shared" si="66"/>
        <v>4.2443111687612306E-2</v>
      </c>
      <c r="F74" s="65">
        <f t="shared" si="66"/>
        <v>4.0850346730211796E-2</v>
      </c>
      <c r="G74" s="65">
        <f t="shared" si="66"/>
        <v>3.8844528478585556E-2</v>
      </c>
      <c r="H74" s="65">
        <f t="shared" si="66"/>
        <v>3.6437604153655989E-2</v>
      </c>
      <c r="I74" s="65">
        <f t="shared" si="66"/>
        <v>3.3715917539820797E-2</v>
      </c>
      <c r="J74" s="65">
        <f t="shared" si="66"/>
        <v>3.0842644148394181E-2</v>
      </c>
      <c r="K74" s="65">
        <f t="shared" si="66"/>
        <v>2.8025911403003687E-2</v>
      </c>
      <c r="L74" s="65">
        <f t="shared" si="66"/>
        <v>2.5461781606502806E-2</v>
      </c>
      <c r="M74" s="65">
        <f t="shared" si="66"/>
        <v>2.3282636418581814E-2</v>
      </c>
      <c r="N74" s="65">
        <f t="shared" si="66"/>
        <v>2.1537531385848969E-2</v>
      </c>
      <c r="O74" s="65">
        <f t="shared" si="66"/>
        <v>2.0205938792585285E-2</v>
      </c>
      <c r="P74" s="65">
        <f t="shared" si="66"/>
        <v>1.9227111442656115E-2</v>
      </c>
      <c r="Q74" s="65">
        <f t="shared" si="66"/>
        <v>1.852726404782349E-2</v>
      </c>
      <c r="R74" s="65">
        <f t="shared" si="66"/>
        <v>1.8036774377264503E-2</v>
      </c>
      <c r="S74" s="65">
        <f t="shared" si="66"/>
        <v>1.7697815867056987E-2</v>
      </c>
      <c r="T74" s="65">
        <f t="shared" si="66"/>
        <v>1.7465849667571538E-2</v>
      </c>
      <c r="U74" s="65">
        <f t="shared" si="66"/>
        <v>1.7308163183106733E-2</v>
      </c>
      <c r="V74" s="65">
        <f t="shared" si="66"/>
        <v>1.7201458493710749E-2</v>
      </c>
      <c r="W74" s="65">
        <f t="shared" si="66"/>
        <v>1.7129475398842346E-2</v>
      </c>
      <c r="X74" s="65">
        <f t="shared" si="66"/>
        <v>1.7081016736958606E-2</v>
      </c>
      <c r="Y74" s="65">
        <f t="shared" si="66"/>
        <v>1.7048440420045833E-2</v>
      </c>
      <c r="Z74" s="65">
        <f t="shared" si="66"/>
        <v>1.702656169123843E-2</v>
      </c>
      <c r="AA74" s="65">
        <f t="shared" si="66"/>
        <v>1.7011876945007449E-2</v>
      </c>
      <c r="AB74" s="65">
        <f t="shared" si="66"/>
        <v>1.7002024915625611E-2</v>
      </c>
      <c r="AC74" s="65">
        <f t="shared" si="66"/>
        <v>1.6995417056938824E-2</v>
      </c>
    </row>
    <row r="75" spans="1:29" x14ac:dyDescent="0.3">
      <c r="A75" s="30" t="str">
        <f t="shared" si="65"/>
        <v>Residual value (vehicle)</v>
      </c>
      <c r="B75" s="68">
        <f>((1+B35)^B42)*B35/(((1+B35)^B42)-1)*(B32)/B47/(B44)</f>
        <v>-6.8763971865001975E-3</v>
      </c>
      <c r="C75" s="68">
        <f t="shared" ref="C75:AC75" si="67">((1+C35)^C42)*C35/(((1+C35)^C42)-1)*(C32)/C47/(C44)</f>
        <v>-6.8148022368232078E-3</v>
      </c>
      <c r="D75" s="68">
        <f t="shared" si="67"/>
        <v>-6.7303578650877039E-3</v>
      </c>
      <c r="E75" s="68">
        <f t="shared" si="67"/>
        <v>-6.6168736781682348E-3</v>
      </c>
      <c r="F75" s="68">
        <f t="shared" si="67"/>
        <v>-6.4685279223319122E-3</v>
      </c>
      <c r="G75" s="68">
        <f t="shared" si="67"/>
        <v>-6.2817115165431951E-3</v>
      </c>
      <c r="H75" s="68">
        <f t="shared" si="67"/>
        <v>-6.0575371921624994E-3</v>
      </c>
      <c r="I75" s="68">
        <f t="shared" si="67"/>
        <v>-5.804046772246477E-3</v>
      </c>
      <c r="J75" s="68">
        <f t="shared" si="67"/>
        <v>-5.5364379759861538E-3</v>
      </c>
      <c r="K75" s="68">
        <f t="shared" si="67"/>
        <v>-5.2740952202880199E-3</v>
      </c>
      <c r="L75" s="68">
        <f t="shared" si="67"/>
        <v>-5.0352792098296052E-3</v>
      </c>
      <c r="M75" s="68">
        <f t="shared" si="67"/>
        <v>-4.8323196089938266E-3</v>
      </c>
      <c r="N75" s="68">
        <f t="shared" si="67"/>
        <v>-4.6697853167294925E-3</v>
      </c>
      <c r="O75" s="68">
        <f t="shared" si="67"/>
        <v>-4.5457644379451297E-3</v>
      </c>
      <c r="P75" s="68">
        <f t="shared" si="67"/>
        <v>-4.4545991455497659E-3</v>
      </c>
      <c r="Q75" s="68">
        <f t="shared" si="67"/>
        <v>-4.389417280344767E-3</v>
      </c>
      <c r="R75" s="68">
        <f t="shared" si="67"/>
        <v>-4.343734418871135E-3</v>
      </c>
      <c r="S75" s="68">
        <f t="shared" si="67"/>
        <v>-4.3121647537047499E-3</v>
      </c>
      <c r="T75" s="68">
        <f t="shared" si="67"/>
        <v>-4.2905600586546338E-3</v>
      </c>
      <c r="U75" s="68">
        <f t="shared" si="67"/>
        <v>-4.2758735723564404E-3</v>
      </c>
      <c r="V75" s="68">
        <f t="shared" si="67"/>
        <v>-4.2659353905009339E-3</v>
      </c>
      <c r="W75" s="68">
        <f t="shared" si="67"/>
        <v>-4.2592310826455428E-3</v>
      </c>
      <c r="X75" s="68">
        <f t="shared" si="67"/>
        <v>-4.2547177759014697E-3</v>
      </c>
      <c r="Y75" s="68">
        <f t="shared" si="67"/>
        <v>-4.2516837071693969E-3</v>
      </c>
      <c r="Z75" s="68">
        <f t="shared" si="67"/>
        <v>-4.2496459824275298E-3</v>
      </c>
      <c r="AA75" s="68">
        <f t="shared" si="67"/>
        <v>-4.2482782854746451E-3</v>
      </c>
      <c r="AB75" s="68">
        <f t="shared" si="67"/>
        <v>-4.2473606945028072E-3</v>
      </c>
      <c r="AC75" s="68">
        <f t="shared" si="67"/>
        <v>-4.2467452566839394E-3</v>
      </c>
    </row>
    <row r="76" spans="1:29" x14ac:dyDescent="0.3">
      <c r="A76" s="30" t="str">
        <f t="shared" si="65"/>
        <v>Capex costumization</v>
      </c>
      <c r="B76" s="66">
        <f>((1+B35)^B43)*B35/(((1+B35)^B43)-1)*(B33)/B47/(B44)</f>
        <v>3.9525224209566176E-3</v>
      </c>
      <c r="C76" s="66">
        <f t="shared" ref="C76:AC76" si="68">((1+C35)^C43)*C35/(((1+C35)^C43)-1)*(C33)/C47/(C44)</f>
        <v>3.9525224209566176E-3</v>
      </c>
      <c r="D76" s="66">
        <f t="shared" si="68"/>
        <v>3.9525224209566176E-3</v>
      </c>
      <c r="E76" s="66">
        <f t="shared" si="68"/>
        <v>3.9525224209566176E-3</v>
      </c>
      <c r="F76" s="66">
        <f t="shared" si="68"/>
        <v>3.9525224209566176E-3</v>
      </c>
      <c r="G76" s="66">
        <f t="shared" si="68"/>
        <v>3.9525224209566176E-3</v>
      </c>
      <c r="H76" s="66">
        <f t="shared" si="68"/>
        <v>3.9525224209566176E-3</v>
      </c>
      <c r="I76" s="66">
        <f t="shared" si="68"/>
        <v>3.9525224209566176E-3</v>
      </c>
      <c r="J76" s="66">
        <f t="shared" si="68"/>
        <v>3.9525224209566176E-3</v>
      </c>
      <c r="K76" s="66">
        <f t="shared" si="68"/>
        <v>3.9525224209566176E-3</v>
      </c>
      <c r="L76" s="66">
        <f t="shared" si="68"/>
        <v>3.9525224209566176E-3</v>
      </c>
      <c r="M76" s="66">
        <f t="shared" si="68"/>
        <v>3.9525224209566176E-3</v>
      </c>
      <c r="N76" s="66">
        <f t="shared" si="68"/>
        <v>3.9525224209566176E-3</v>
      </c>
      <c r="O76" s="66">
        <f t="shared" si="68"/>
        <v>3.9525224209566176E-3</v>
      </c>
      <c r="P76" s="66">
        <f t="shared" si="68"/>
        <v>3.9525224209566176E-3</v>
      </c>
      <c r="Q76" s="66">
        <f t="shared" si="68"/>
        <v>3.9525224209566176E-3</v>
      </c>
      <c r="R76" s="66">
        <f t="shared" si="68"/>
        <v>3.9525224209566176E-3</v>
      </c>
      <c r="S76" s="66">
        <f t="shared" si="68"/>
        <v>3.9525224209566176E-3</v>
      </c>
      <c r="T76" s="66">
        <f t="shared" si="68"/>
        <v>3.9525224209566176E-3</v>
      </c>
      <c r="U76" s="66">
        <f t="shared" si="68"/>
        <v>3.9525224209566176E-3</v>
      </c>
      <c r="V76" s="66">
        <f t="shared" si="68"/>
        <v>3.9525224209566176E-3</v>
      </c>
      <c r="W76" s="66">
        <f t="shared" si="68"/>
        <v>3.9525224209566176E-3</v>
      </c>
      <c r="X76" s="66">
        <f t="shared" si="68"/>
        <v>3.9525224209566176E-3</v>
      </c>
      <c r="Y76" s="66">
        <f t="shared" si="68"/>
        <v>3.9525224209566176E-3</v>
      </c>
      <c r="Z76" s="66">
        <f t="shared" si="68"/>
        <v>3.9525224209566176E-3</v>
      </c>
      <c r="AA76" s="66">
        <f t="shared" si="68"/>
        <v>3.9525224209566176E-3</v>
      </c>
      <c r="AB76" s="66">
        <f t="shared" si="68"/>
        <v>3.9525224209566176E-3</v>
      </c>
      <c r="AC76" s="66">
        <f t="shared" si="68"/>
        <v>3.9525224209566176E-3</v>
      </c>
    </row>
    <row r="77" spans="1:29" x14ac:dyDescent="0.3">
      <c r="A77" s="30" t="str">
        <f t="shared" si="65"/>
        <v>Residual value (costumization)</v>
      </c>
      <c r="B77" s="69">
        <f>((1+B35)^B43)*B35/(((1+B35)^B43)-1)*(B34)/B47/(B44)</f>
        <v>-9.8813060523915441E-4</v>
      </c>
      <c r="C77" s="69">
        <f t="shared" ref="C77:AC77" si="69">((1+C35)^C43)*C35/(((1+C35)^C43)-1)*(C34)/C47/(C44)</f>
        <v>-9.8813060523915441E-4</v>
      </c>
      <c r="D77" s="69">
        <f t="shared" si="69"/>
        <v>-9.8813060523915441E-4</v>
      </c>
      <c r="E77" s="69">
        <f t="shared" si="69"/>
        <v>-9.8813060523915441E-4</v>
      </c>
      <c r="F77" s="69">
        <f t="shared" si="69"/>
        <v>-9.8813060523915441E-4</v>
      </c>
      <c r="G77" s="69">
        <f t="shared" si="69"/>
        <v>-9.8813060523915441E-4</v>
      </c>
      <c r="H77" s="69">
        <f t="shared" si="69"/>
        <v>-9.8813060523915441E-4</v>
      </c>
      <c r="I77" s="69">
        <f t="shared" si="69"/>
        <v>-9.8813060523915441E-4</v>
      </c>
      <c r="J77" s="69">
        <f t="shared" si="69"/>
        <v>-9.8813060523915441E-4</v>
      </c>
      <c r="K77" s="69">
        <f t="shared" si="69"/>
        <v>-9.8813060523915441E-4</v>
      </c>
      <c r="L77" s="69">
        <f t="shared" si="69"/>
        <v>-9.8813060523915441E-4</v>
      </c>
      <c r="M77" s="69">
        <f t="shared" si="69"/>
        <v>-9.8813060523915441E-4</v>
      </c>
      <c r="N77" s="69">
        <f t="shared" si="69"/>
        <v>-9.8813060523915441E-4</v>
      </c>
      <c r="O77" s="69">
        <f t="shared" si="69"/>
        <v>-9.8813060523915441E-4</v>
      </c>
      <c r="P77" s="69">
        <f t="shared" si="69"/>
        <v>-9.8813060523915441E-4</v>
      </c>
      <c r="Q77" s="69">
        <f t="shared" si="69"/>
        <v>-9.8813060523915441E-4</v>
      </c>
      <c r="R77" s="69">
        <f t="shared" si="69"/>
        <v>-9.8813060523915441E-4</v>
      </c>
      <c r="S77" s="69">
        <f t="shared" si="69"/>
        <v>-9.8813060523915441E-4</v>
      </c>
      <c r="T77" s="69">
        <f t="shared" si="69"/>
        <v>-9.8813060523915441E-4</v>
      </c>
      <c r="U77" s="69">
        <f t="shared" si="69"/>
        <v>-9.8813060523915441E-4</v>
      </c>
      <c r="V77" s="69">
        <f t="shared" si="69"/>
        <v>-9.8813060523915441E-4</v>
      </c>
      <c r="W77" s="69">
        <f t="shared" si="69"/>
        <v>-9.8813060523915441E-4</v>
      </c>
      <c r="X77" s="69">
        <f t="shared" si="69"/>
        <v>-9.8813060523915441E-4</v>
      </c>
      <c r="Y77" s="69">
        <f t="shared" si="69"/>
        <v>-9.8813060523915441E-4</v>
      </c>
      <c r="Z77" s="69">
        <f t="shared" si="69"/>
        <v>-9.8813060523915441E-4</v>
      </c>
      <c r="AA77" s="69">
        <f t="shared" si="69"/>
        <v>-9.8813060523915441E-4</v>
      </c>
      <c r="AB77" s="69">
        <f t="shared" si="69"/>
        <v>-9.8813060523915441E-4</v>
      </c>
      <c r="AC77" s="69">
        <f t="shared" si="69"/>
        <v>-9.8813060523915441E-4</v>
      </c>
    </row>
    <row r="78" spans="1:29" x14ac:dyDescent="0.3">
      <c r="A78" s="30" t="str">
        <f t="shared" si="65"/>
        <v>Opex fix (admin, crew, insurance)</v>
      </c>
      <c r="B78" s="66">
        <f>B36/B47/(B44)</f>
        <v>5.0909090909090911E-2</v>
      </c>
      <c r="C78" s="66">
        <f t="shared" ref="C78:AC78" si="70">C36/C47/(C44)</f>
        <v>5.0909090909090911E-2</v>
      </c>
      <c r="D78" s="66">
        <f t="shared" si="70"/>
        <v>5.0909090909090911E-2</v>
      </c>
      <c r="E78" s="66">
        <f t="shared" si="70"/>
        <v>5.0909090909090911E-2</v>
      </c>
      <c r="F78" s="66">
        <f t="shared" si="70"/>
        <v>5.0909090909090911E-2</v>
      </c>
      <c r="G78" s="66">
        <f t="shared" si="70"/>
        <v>5.0909090909090911E-2</v>
      </c>
      <c r="H78" s="66">
        <f t="shared" si="70"/>
        <v>5.0909090909090911E-2</v>
      </c>
      <c r="I78" s="66">
        <f t="shared" si="70"/>
        <v>5.0909090909090911E-2</v>
      </c>
      <c r="J78" s="66">
        <f t="shared" si="70"/>
        <v>5.0909090909090911E-2</v>
      </c>
      <c r="K78" s="66">
        <f t="shared" si="70"/>
        <v>5.0909090909090911E-2</v>
      </c>
      <c r="L78" s="66">
        <f t="shared" si="70"/>
        <v>5.0909090909090911E-2</v>
      </c>
      <c r="M78" s="66">
        <f t="shared" si="70"/>
        <v>5.0909090909090911E-2</v>
      </c>
      <c r="N78" s="66">
        <f t="shared" si="70"/>
        <v>5.0909090909090911E-2</v>
      </c>
      <c r="O78" s="66">
        <f t="shared" si="70"/>
        <v>5.0909090909090911E-2</v>
      </c>
      <c r="P78" s="66">
        <f t="shared" si="70"/>
        <v>5.0909090909090911E-2</v>
      </c>
      <c r="Q78" s="66">
        <f t="shared" si="70"/>
        <v>5.0909090909090911E-2</v>
      </c>
      <c r="R78" s="66">
        <f t="shared" si="70"/>
        <v>5.0909090909090911E-2</v>
      </c>
      <c r="S78" s="66">
        <f t="shared" si="70"/>
        <v>5.0909090909090911E-2</v>
      </c>
      <c r="T78" s="66">
        <f t="shared" si="70"/>
        <v>5.0909090909090911E-2</v>
      </c>
      <c r="U78" s="66">
        <f t="shared" si="70"/>
        <v>5.0909090909090911E-2</v>
      </c>
      <c r="V78" s="66">
        <f t="shared" si="70"/>
        <v>5.0909090909090911E-2</v>
      </c>
      <c r="W78" s="66">
        <f t="shared" si="70"/>
        <v>5.0909090909090911E-2</v>
      </c>
      <c r="X78" s="66">
        <f t="shared" si="70"/>
        <v>5.0909090909090911E-2</v>
      </c>
      <c r="Y78" s="66">
        <f t="shared" si="70"/>
        <v>5.0909090909090911E-2</v>
      </c>
      <c r="Z78" s="66">
        <f t="shared" si="70"/>
        <v>5.0909090909090911E-2</v>
      </c>
      <c r="AA78" s="66">
        <f t="shared" si="70"/>
        <v>5.0909090909090911E-2</v>
      </c>
      <c r="AB78" s="66">
        <f t="shared" si="70"/>
        <v>5.0909090909090911E-2</v>
      </c>
      <c r="AC78" s="66">
        <f t="shared" si="70"/>
        <v>5.0909090909090911E-2</v>
      </c>
    </row>
    <row r="79" spans="1:29" x14ac:dyDescent="0.3">
      <c r="A79" s="30" t="str">
        <f t="shared" si="65"/>
        <v>Opex maintenance &amp; repair</v>
      </c>
      <c r="B79" s="66">
        <f>B37/B47/(B44)</f>
        <v>1.0909090909090908E-2</v>
      </c>
      <c r="C79" s="66">
        <f t="shared" ref="C79:AC79" si="71">C37/C47/(C44)</f>
        <v>1.0909090909090908E-2</v>
      </c>
      <c r="D79" s="66">
        <f t="shared" si="71"/>
        <v>1.0909090909090908E-2</v>
      </c>
      <c r="E79" s="66">
        <f t="shared" si="71"/>
        <v>1.0909090909090908E-2</v>
      </c>
      <c r="F79" s="66">
        <f t="shared" si="71"/>
        <v>1.0909090909090908E-2</v>
      </c>
      <c r="G79" s="66">
        <f t="shared" si="71"/>
        <v>1.0909090909090908E-2</v>
      </c>
      <c r="H79" s="66">
        <f t="shared" si="71"/>
        <v>1.0909090909090908E-2</v>
      </c>
      <c r="I79" s="66">
        <f t="shared" si="71"/>
        <v>1.0909090909090908E-2</v>
      </c>
      <c r="J79" s="66">
        <f t="shared" si="71"/>
        <v>1.0909090909090908E-2</v>
      </c>
      <c r="K79" s="66">
        <f t="shared" si="71"/>
        <v>1.0909090909090908E-2</v>
      </c>
      <c r="L79" s="66">
        <f t="shared" si="71"/>
        <v>1.0909090909090908E-2</v>
      </c>
      <c r="M79" s="66">
        <f t="shared" si="71"/>
        <v>1.0909090909090908E-2</v>
      </c>
      <c r="N79" s="66">
        <f t="shared" si="71"/>
        <v>1.0909090909090908E-2</v>
      </c>
      <c r="O79" s="66">
        <f t="shared" si="71"/>
        <v>1.0909090909090908E-2</v>
      </c>
      <c r="P79" s="66">
        <f t="shared" si="71"/>
        <v>1.0909090909090908E-2</v>
      </c>
      <c r="Q79" s="66">
        <f t="shared" si="71"/>
        <v>1.0909090909090908E-2</v>
      </c>
      <c r="R79" s="66">
        <f t="shared" si="71"/>
        <v>1.0909090909090908E-2</v>
      </c>
      <c r="S79" s="66">
        <f t="shared" si="71"/>
        <v>1.0909090909090908E-2</v>
      </c>
      <c r="T79" s="66">
        <f t="shared" si="71"/>
        <v>1.0909090909090908E-2</v>
      </c>
      <c r="U79" s="66">
        <f t="shared" si="71"/>
        <v>1.0909090909090908E-2</v>
      </c>
      <c r="V79" s="66">
        <f t="shared" si="71"/>
        <v>1.0909090909090908E-2</v>
      </c>
      <c r="W79" s="66">
        <f t="shared" si="71"/>
        <v>1.0909090909090908E-2</v>
      </c>
      <c r="X79" s="66">
        <f t="shared" si="71"/>
        <v>1.0909090909090908E-2</v>
      </c>
      <c r="Y79" s="66">
        <f t="shared" si="71"/>
        <v>1.0909090909090908E-2</v>
      </c>
      <c r="Z79" s="66">
        <f t="shared" si="71"/>
        <v>1.0909090909090908E-2</v>
      </c>
      <c r="AA79" s="66">
        <f t="shared" si="71"/>
        <v>1.0909090909090908E-2</v>
      </c>
      <c r="AB79" s="66">
        <f t="shared" si="71"/>
        <v>1.0909090909090908E-2</v>
      </c>
      <c r="AC79" s="66">
        <f t="shared" si="71"/>
        <v>1.0909090909090908E-2</v>
      </c>
    </row>
    <row r="80" spans="1:29" x14ac:dyDescent="0.3">
      <c r="A80" s="30" t="str">
        <f t="shared" si="65"/>
        <v>Opex var (mode-fees)</v>
      </c>
      <c r="B80" s="66">
        <f>B38*B47/B47/(B44)</f>
        <v>4.4000000000000003E-3</v>
      </c>
      <c r="C80" s="66">
        <f t="shared" ref="C80:AC80" si="72">C38*C47/C47/(C44)</f>
        <v>4.4000000000000003E-3</v>
      </c>
      <c r="D80" s="66">
        <f t="shared" si="72"/>
        <v>4.4000000000000003E-3</v>
      </c>
      <c r="E80" s="66">
        <f t="shared" si="72"/>
        <v>4.4000000000000003E-3</v>
      </c>
      <c r="F80" s="66">
        <f t="shared" si="72"/>
        <v>4.4000000000000003E-3</v>
      </c>
      <c r="G80" s="66">
        <f t="shared" si="72"/>
        <v>4.4000000000000003E-3</v>
      </c>
      <c r="H80" s="66">
        <f t="shared" si="72"/>
        <v>4.4000000000000003E-3</v>
      </c>
      <c r="I80" s="66">
        <f t="shared" si="72"/>
        <v>4.4000000000000003E-3</v>
      </c>
      <c r="J80" s="66">
        <f t="shared" si="72"/>
        <v>4.4000000000000003E-3</v>
      </c>
      <c r="K80" s="66">
        <f t="shared" si="72"/>
        <v>4.4000000000000003E-3</v>
      </c>
      <c r="L80" s="66">
        <f t="shared" si="72"/>
        <v>4.4000000000000003E-3</v>
      </c>
      <c r="M80" s="66">
        <f t="shared" si="72"/>
        <v>4.4000000000000003E-3</v>
      </c>
      <c r="N80" s="66">
        <f t="shared" si="72"/>
        <v>4.4000000000000003E-3</v>
      </c>
      <c r="O80" s="66">
        <f t="shared" si="72"/>
        <v>4.4000000000000003E-3</v>
      </c>
      <c r="P80" s="66">
        <f t="shared" si="72"/>
        <v>4.4000000000000003E-3</v>
      </c>
      <c r="Q80" s="66">
        <f t="shared" si="72"/>
        <v>4.4000000000000003E-3</v>
      </c>
      <c r="R80" s="66">
        <f t="shared" si="72"/>
        <v>4.4000000000000003E-3</v>
      </c>
      <c r="S80" s="66">
        <f t="shared" si="72"/>
        <v>4.4000000000000003E-3</v>
      </c>
      <c r="T80" s="66">
        <f t="shared" si="72"/>
        <v>4.4000000000000003E-3</v>
      </c>
      <c r="U80" s="66">
        <f t="shared" si="72"/>
        <v>4.4000000000000003E-3</v>
      </c>
      <c r="V80" s="66">
        <f t="shared" si="72"/>
        <v>4.4000000000000003E-3</v>
      </c>
      <c r="W80" s="66">
        <f t="shared" si="72"/>
        <v>4.4000000000000003E-3</v>
      </c>
      <c r="X80" s="66">
        <f t="shared" si="72"/>
        <v>4.4000000000000003E-3</v>
      </c>
      <c r="Y80" s="66">
        <f t="shared" si="72"/>
        <v>4.4000000000000003E-3</v>
      </c>
      <c r="Z80" s="66">
        <f t="shared" si="72"/>
        <v>4.4000000000000003E-3</v>
      </c>
      <c r="AA80" s="66">
        <f t="shared" si="72"/>
        <v>4.4000000000000003E-3</v>
      </c>
      <c r="AB80" s="66">
        <f t="shared" si="72"/>
        <v>4.4000000000000003E-3</v>
      </c>
      <c r="AC80" s="66">
        <f t="shared" si="72"/>
        <v>4.4000000000000003E-3</v>
      </c>
    </row>
    <row r="81" spans="1:29" x14ac:dyDescent="0.3">
      <c r="A81" s="30" t="str">
        <f t="shared" si="65"/>
        <v>Fuel Cost</v>
      </c>
      <c r="B81" s="66">
        <f>B39*B40*B47/B47/(B44)</f>
        <v>5.5397830482865063E-3</v>
      </c>
      <c r="C81" s="66">
        <f t="shared" ref="C81:AC81" si="73">C39*C40*C47/C47/(C44)</f>
        <v>5.5030187968735864E-3</v>
      </c>
      <c r="D81" s="66">
        <f t="shared" si="73"/>
        <v>5.4524168925878169E-3</v>
      </c>
      <c r="E81" s="66">
        <f t="shared" si="73"/>
        <v>5.3840018143389082E-3</v>
      </c>
      <c r="F81" s="66">
        <f t="shared" si="73"/>
        <v>5.2937441438000356E-3</v>
      </c>
      <c r="G81" s="66">
        <f t="shared" si="73"/>
        <v>5.1784825442777946E-3</v>
      </c>
      <c r="H81" s="66">
        <f t="shared" si="73"/>
        <v>5.0372299936559187E-3</v>
      </c>
      <c r="I81" s="66">
        <f t="shared" si="73"/>
        <v>4.8724144010720231E-3</v>
      </c>
      <c r="J81" s="66">
        <f t="shared" si="73"/>
        <v>4.6902619632768188E-3</v>
      </c>
      <c r="K81" s="66">
        <f t="shared" si="73"/>
        <v>4.4997681186015248E-3</v>
      </c>
      <c r="L81" s="66">
        <f t="shared" si="73"/>
        <v>4.3106701485028645E-3</v>
      </c>
      <c r="M81" s="66">
        <f t="shared" si="73"/>
        <v>4.13162426244334E-3</v>
      </c>
      <c r="N81" s="66">
        <f t="shared" si="73"/>
        <v>3.9693641445853536E-3</v>
      </c>
      <c r="O81" s="66">
        <f t="shared" si="73"/>
        <v>3.8285256527784907E-3</v>
      </c>
      <c r="P81" s="66">
        <f t="shared" si="73"/>
        <v>3.7115144421374095E-3</v>
      </c>
      <c r="Q81" s="66">
        <f t="shared" si="73"/>
        <v>3.6183959788129274E-3</v>
      </c>
      <c r="R81" s="66">
        <f t="shared" si="73"/>
        <v>3.5471719951152359E-3</v>
      </c>
      <c r="S81" s="66">
        <f t="shared" si="73"/>
        <v>3.4945123865455156E-3</v>
      </c>
      <c r="T81" s="66">
        <f t="shared" si="73"/>
        <v>3.4566245568603427E-3</v>
      </c>
      <c r="U81" s="66">
        <f t="shared" si="73"/>
        <v>3.4299250721049413E-3</v>
      </c>
      <c r="V81" s="66">
        <f t="shared" si="73"/>
        <v>3.411394468339254E-3</v>
      </c>
      <c r="W81" s="66">
        <f t="shared" si="73"/>
        <v>3.3986724592991097E-3</v>
      </c>
      <c r="X81" s="66">
        <f t="shared" si="73"/>
        <v>3.3900044467554675E-3</v>
      </c>
      <c r="Y81" s="66">
        <f t="shared" si="73"/>
        <v>3.3841294914713758E-3</v>
      </c>
      <c r="Z81" s="66">
        <f t="shared" si="73"/>
        <v>3.3801618559776369E-3</v>
      </c>
      <c r="AA81" s="66">
        <f t="shared" si="73"/>
        <v>3.3774888447340445E-3</v>
      </c>
      <c r="AB81" s="66">
        <f t="shared" si="73"/>
        <v>3.3756909919627777E-3</v>
      </c>
      <c r="AC81" s="66">
        <f t="shared" si="73"/>
        <v>3.3744831090442885E-3</v>
      </c>
    </row>
    <row r="82" spans="1:29" x14ac:dyDescent="0.3">
      <c r="A82" s="59" t="str">
        <f>A45</f>
        <v>Market failure (av. utilization)</v>
      </c>
      <c r="B82" s="66">
        <f>B71/B45-B71/B44</f>
        <v>0.15907506174705863</v>
      </c>
      <c r="C82" s="66">
        <f t="shared" ref="C82:AC82" si="74">C71/C45-C71/C44</f>
        <v>0.15819589452620716</v>
      </c>
      <c r="D82" s="66">
        <f t="shared" si="74"/>
        <v>0.15699030248870832</v>
      </c>
      <c r="E82" s="66">
        <f t="shared" si="74"/>
        <v>0.15536952473488919</v>
      </c>
      <c r="F82" s="66">
        <f t="shared" si="74"/>
        <v>0.15324966834030154</v>
      </c>
      <c r="G82" s="66">
        <f t="shared" si="74"/>
        <v>0.15057777091421984</v>
      </c>
      <c r="H82" s="66">
        <f t="shared" si="74"/>
        <v>0.14736733494518661</v>
      </c>
      <c r="I82" s="66">
        <f t="shared" si="74"/>
        <v>0.1437297104671299</v>
      </c>
      <c r="J82" s="66">
        <f t="shared" si="74"/>
        <v>0.1398776621645284</v>
      </c>
      <c r="K82" s="66">
        <f t="shared" si="74"/>
        <v>0.13608401148829916</v>
      </c>
      <c r="L82" s="66">
        <f t="shared" si="74"/>
        <v>0.13260742289727176</v>
      </c>
      <c r="M82" s="66">
        <f t="shared" si="74"/>
        <v>0.12962524792344063</v>
      </c>
      <c r="N82" s="66">
        <f t="shared" si="74"/>
        <v>0.1272077866771365</v>
      </c>
      <c r="O82" s="66">
        <f t="shared" si="74"/>
        <v>0.1253353265357304</v>
      </c>
      <c r="P82" s="66">
        <f t="shared" si="74"/>
        <v>0.12393486151239287</v>
      </c>
      <c r="Q82" s="66">
        <f t="shared" si="74"/>
        <v>0.122914155951481</v>
      </c>
      <c r="R82" s="66">
        <f t="shared" si="74"/>
        <v>0.12218382218496049</v>
      </c>
      <c r="S82" s="66">
        <f t="shared" si="74"/>
        <v>0.12166790568013673</v>
      </c>
      <c r="T82" s="66">
        <f t="shared" si="74"/>
        <v>0.12130674654912718</v>
      </c>
      <c r="U82" s="66">
        <f t="shared" si="74"/>
        <v>0.12105570561907178</v>
      </c>
      <c r="V82" s="66">
        <f t="shared" si="74"/>
        <v>0.12088229825466379</v>
      </c>
      <c r="W82" s="66">
        <f t="shared" si="74"/>
        <v>0.12076322118771292</v>
      </c>
      <c r="X82" s="66">
        <f t="shared" si="74"/>
        <v>0.12068189516476448</v>
      </c>
      <c r="Y82" s="66">
        <f t="shared" si="74"/>
        <v>0.12062661293935222</v>
      </c>
      <c r="Z82" s="66">
        <f t="shared" si="74"/>
        <v>0.12058917791497609</v>
      </c>
      <c r="AA82" s="66">
        <f t="shared" si="74"/>
        <v>0.12056390302046903</v>
      </c>
      <c r="AB82" s="66">
        <f t="shared" si="74"/>
        <v>0.1205468754139192</v>
      </c>
      <c r="AC82" s="66">
        <f t="shared" si="74"/>
        <v>0.12053542189797735</v>
      </c>
    </row>
    <row r="83" spans="1:29" x14ac:dyDescent="0.3">
      <c r="A83" s="59" t="str">
        <f>A46</f>
        <v>Payload loss (fuel)</v>
      </c>
      <c r="B83" s="66">
        <f>B71/(B44-B46)-B71/B44</f>
        <v>1.2705336115153232E-2</v>
      </c>
      <c r="C83" s="66">
        <f t="shared" ref="C83:AC83" si="75">C71/(C44-C46)-C71/C44</f>
        <v>1.2595215467117671E-2</v>
      </c>
      <c r="D83" s="66">
        <f t="shared" si="75"/>
        <v>1.244304883889244E-2</v>
      </c>
      <c r="E83" s="66">
        <f t="shared" si="75"/>
        <v>1.2236085168276095E-2</v>
      </c>
      <c r="F83" s="66">
        <f t="shared" si="75"/>
        <v>1.1960590628977141E-2</v>
      </c>
      <c r="G83" s="66">
        <f t="shared" si="75"/>
        <v>1.1604084022497282E-2</v>
      </c>
      <c r="H83" s="66">
        <f t="shared" si="75"/>
        <v>1.1158709319755628E-2</v>
      </c>
      <c r="I83" s="66">
        <f t="shared" si="75"/>
        <v>1.0624805755233765E-2</v>
      </c>
      <c r="J83" s="66">
        <f t="shared" si="75"/>
        <v>1.0012950676750135E-2</v>
      </c>
      <c r="K83" s="66">
        <f t="shared" si="75"/>
        <v>9.3432713440122911E-3</v>
      </c>
      <c r="L83" s="66">
        <f t="shared" si="75"/>
        <v>8.6428009543393358E-3</v>
      </c>
      <c r="M83" s="66">
        <f t="shared" si="75"/>
        <v>7.9427691509175447E-3</v>
      </c>
      <c r="N83" s="66">
        <f t="shared" si="75"/>
        <v>7.2760605195378025E-3</v>
      </c>
      <c r="O83" s="66">
        <f t="shared" si="75"/>
        <v>6.6731903207540855E-3</v>
      </c>
      <c r="P83" s="66">
        <f t="shared" si="75"/>
        <v>6.1566561283070559E-3</v>
      </c>
      <c r="Q83" s="66">
        <f t="shared" si="75"/>
        <v>5.7365821048263044E-3</v>
      </c>
      <c r="R83" s="66">
        <f t="shared" si="75"/>
        <v>5.4105056006424346E-3</v>
      </c>
      <c r="S83" s="66">
        <f t="shared" si="75"/>
        <v>5.1670086426114509E-3</v>
      </c>
      <c r="T83" s="66">
        <f t="shared" si="75"/>
        <v>4.9906170194566474E-3</v>
      </c>
      <c r="U83" s="66">
        <f t="shared" si="75"/>
        <v>4.8657170752677559E-3</v>
      </c>
      <c r="V83" s="66">
        <f t="shared" si="75"/>
        <v>4.7787326226386706E-3</v>
      </c>
      <c r="W83" s="66">
        <f t="shared" si="75"/>
        <v>4.7188656286493019E-3</v>
      </c>
      <c r="X83" s="66">
        <f t="shared" si="75"/>
        <v>4.6780027134848412E-3</v>
      </c>
      <c r="Y83" s="66">
        <f t="shared" si="75"/>
        <v>4.6502714926397459E-3</v>
      </c>
      <c r="Z83" s="66">
        <f t="shared" si="75"/>
        <v>4.6315264533279416E-3</v>
      </c>
      <c r="AA83" s="66">
        <f t="shared" si="75"/>
        <v>4.6188899619026974E-3</v>
      </c>
      <c r="AB83" s="66">
        <f t="shared" si="75"/>
        <v>4.6103870756254023E-3</v>
      </c>
      <c r="AC83" s="66">
        <f t="shared" si="75"/>
        <v>4.6046727573994528E-3</v>
      </c>
    </row>
    <row r="84" spans="1:29" ht="15" thickBot="1" x14ac:dyDescent="0.35">
      <c r="A84" s="59" t="str">
        <f>A21</f>
        <v>Emission Cost</v>
      </c>
      <c r="B84" s="66">
        <f>B41*B47/B47/(B44)</f>
        <v>1.4049076735721778E-4</v>
      </c>
      <c r="C84" s="68">
        <f t="shared" ref="C84:AC84" si="76">C41*C47/C47/(C44)</f>
        <v>1.4035698591588104E-4</v>
      </c>
      <c r="D84" s="68">
        <f t="shared" si="76"/>
        <v>1.4016548076234878E-4</v>
      </c>
      <c r="E84" s="68">
        <f t="shared" si="76"/>
        <v>1.3989151917297648E-4</v>
      </c>
      <c r="F84" s="68">
        <f t="shared" si="76"/>
        <v>1.3949996760913741E-4</v>
      </c>
      <c r="G84" s="68">
        <f t="shared" si="76"/>
        <v>1.3894113890973713E-4</v>
      </c>
      <c r="H84" s="68">
        <f t="shared" si="76"/>
        <v>1.3814522974610446E-4</v>
      </c>
      <c r="I84" s="68">
        <f t="shared" si="76"/>
        <v>1.3701515282874785E-4</v>
      </c>
      <c r="J84" s="68">
        <f t="shared" si="76"/>
        <v>1.3541789769952266E-4</v>
      </c>
      <c r="K84" s="68">
        <f t="shared" si="76"/>
        <v>1.3317538031496002E-4</v>
      </c>
      <c r="L84" s="68">
        <f t="shared" si="76"/>
        <v>1.3005746709139924E-4</v>
      </c>
      <c r="M84" s="68">
        <f t="shared" si="76"/>
        <v>1.2578292470326314E-4</v>
      </c>
      <c r="N84" s="68">
        <f t="shared" si="76"/>
        <v>1.2003839777505244E-4</v>
      </c>
      <c r="O84" s="68">
        <f t="shared" si="76"/>
        <v>1.1252919131889444E-4</v>
      </c>
      <c r="P84" s="68">
        <f t="shared" si="76"/>
        <v>1.0307261500799071E-4</v>
      </c>
      <c r="Q84" s="68">
        <f t="shared" si="76"/>
        <v>9.1724994885971666E-5</v>
      </c>
      <c r="R84" s="68">
        <f t="shared" si="76"/>
        <v>7.8893405016236212E-5</v>
      </c>
      <c r="S84" s="68">
        <f t="shared" si="76"/>
        <v>6.534714823744498E-5</v>
      </c>
      <c r="T84" s="68">
        <f t="shared" si="76"/>
        <v>5.2067456454497702E-5</v>
      </c>
      <c r="U84" s="68">
        <f t="shared" si="76"/>
        <v>3.9978679681221538E-5</v>
      </c>
      <c r="V84" s="68">
        <f t="shared" si="76"/>
        <v>2.9704940898853776E-5</v>
      </c>
      <c r="W84" s="68">
        <f t="shared" si="76"/>
        <v>2.1477516056547865E-5</v>
      </c>
      <c r="X84" s="68">
        <f t="shared" si="76"/>
        <v>1.5199625742695674E-5</v>
      </c>
      <c r="Y84" s="68">
        <f t="shared" si="76"/>
        <v>1.0584872874483328E-5</v>
      </c>
      <c r="Z84" s="68">
        <f t="shared" si="76"/>
        <v>7.285391333792315E-6</v>
      </c>
      <c r="AA84" s="68">
        <f t="shared" si="76"/>
        <v>4.9729420400487081E-6</v>
      </c>
      <c r="AB84" s="68">
        <f t="shared" si="76"/>
        <v>3.3748974438302729E-6</v>
      </c>
      <c r="AC84" s="68">
        <f t="shared" si="76"/>
        <v>2.2812758930212777E-6</v>
      </c>
    </row>
    <row r="85" spans="1:29" ht="15" thickBot="1" x14ac:dyDescent="0.35">
      <c r="A85" s="31" t="s">
        <v>210</v>
      </c>
      <c r="B85" s="67">
        <f>B74+B75+B76+B77+B78+B79+B80+B81+B82+B83+B84</f>
        <v>0.28499642274443121</v>
      </c>
      <c r="C85" s="67">
        <f t="shared" ref="C85:AC85" si="77">C74+C75+C76+C77+C78+C79+C80+C81+C82+C83+C84</f>
        <v>0.2833704965432034</v>
      </c>
      <c r="D85" s="67">
        <f t="shared" si="77"/>
        <v>0.28113972295377332</v>
      </c>
      <c r="E85" s="67">
        <f t="shared" si="77"/>
        <v>0.27813831488002055</v>
      </c>
      <c r="F85" s="67">
        <f t="shared" si="77"/>
        <v>0.27420789552246705</v>
      </c>
      <c r="G85" s="67">
        <f t="shared" si="77"/>
        <v>0.26924466921584633</v>
      </c>
      <c r="H85" s="67">
        <f t="shared" si="77"/>
        <v>0.26326406008373704</v>
      </c>
      <c r="I85" s="67">
        <f t="shared" si="77"/>
        <v>0.25645839017773808</v>
      </c>
      <c r="J85" s="67">
        <f t="shared" si="77"/>
        <v>0.24920507250856219</v>
      </c>
      <c r="K85" s="67">
        <f t="shared" si="77"/>
        <v>0.24199461614784287</v>
      </c>
      <c r="L85" s="67">
        <f t="shared" si="77"/>
        <v>0.23530002749777787</v>
      </c>
      <c r="M85" s="67">
        <f t="shared" si="77"/>
        <v>0.22945831470499203</v>
      </c>
      <c r="N85" s="67">
        <f t="shared" si="77"/>
        <v>0.22462356944205347</v>
      </c>
      <c r="O85" s="67">
        <f t="shared" si="77"/>
        <v>0.22079231968912133</v>
      </c>
      <c r="P85" s="67">
        <f t="shared" si="77"/>
        <v>0.21786119062885098</v>
      </c>
      <c r="Q85" s="67">
        <f t="shared" si="77"/>
        <v>0.21568127943138421</v>
      </c>
      <c r="R85" s="67">
        <f t="shared" si="77"/>
        <v>0.21409600677802706</v>
      </c>
      <c r="S85" s="67">
        <f t="shared" si="77"/>
        <v>0.21296299860478266</v>
      </c>
      <c r="T85" s="67">
        <f t="shared" si="77"/>
        <v>0.21216391882471483</v>
      </c>
      <c r="U85" s="67">
        <f t="shared" si="77"/>
        <v>0.21160618969077527</v>
      </c>
      <c r="V85" s="67">
        <f t="shared" si="77"/>
        <v>0.21122022702364965</v>
      </c>
      <c r="W85" s="67">
        <f t="shared" si="77"/>
        <v>0.21095505474181395</v>
      </c>
      <c r="X85" s="67">
        <f t="shared" si="77"/>
        <v>0.2107739745457039</v>
      </c>
      <c r="Y85" s="67">
        <f t="shared" si="77"/>
        <v>0.21065092914311354</v>
      </c>
      <c r="Z85" s="67">
        <f t="shared" si="77"/>
        <v>0.21056764095832567</v>
      </c>
      <c r="AA85" s="67">
        <f t="shared" si="77"/>
        <v>0.21051142706257792</v>
      </c>
      <c r="AB85" s="67">
        <f t="shared" si="77"/>
        <v>0.21047356623397329</v>
      </c>
      <c r="AC85" s="67">
        <f t="shared" si="77"/>
        <v>0.21044810447446827</v>
      </c>
    </row>
    <row r="87" spans="1:29" x14ac:dyDescent="0.3">
      <c r="B87" s="40"/>
    </row>
    <row r="107" spans="1:2" s="3" customFormat="1" ht="21" x14ac:dyDescent="0.4">
      <c r="A107" s="2" t="str">
        <f>'Parameter Input'!A19</f>
        <v>Road long-haul: Liquid bulk</v>
      </c>
    </row>
    <row r="108" spans="1:2" s="3" customFormat="1" ht="21" x14ac:dyDescent="0.4">
      <c r="A108" s="2" t="s">
        <v>87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Input'!$L$20</f>
        <v>400000</v>
      </c>
      <c r="C117" s="42">
        <f>'Parameter Input'!$M$20</f>
        <v>145000</v>
      </c>
      <c r="D117" s="1" t="s">
        <v>15</v>
      </c>
      <c r="L117" s="51">
        <f>'Parameter Input'!$O$20</f>
        <v>8</v>
      </c>
      <c r="M117" s="52">
        <v>0</v>
      </c>
      <c r="N117" s="52">
        <v>1</v>
      </c>
      <c r="O117" s="52">
        <f>'Parameter Input'!$P$20</f>
        <v>0.9</v>
      </c>
      <c r="P117" s="53">
        <f>'Parameter Input'!$Q$20</f>
        <v>0.4</v>
      </c>
      <c r="Q117" s="4">
        <f t="shared" ref="Q117:AR126" si="78">$N117+($M117-$N117)*((1/(1+EXP(-$P117*(Q$9-$L117)))^$O117))</f>
        <v>0.94584787155511363</v>
      </c>
      <c r="R117" s="4">
        <f t="shared" si="78"/>
        <v>0.92370360150141495</v>
      </c>
      <c r="S117" s="4">
        <f t="shared" si="78"/>
        <v>0.89334463567658451</v>
      </c>
      <c r="T117" s="4">
        <f t="shared" si="78"/>
        <v>0.85254543874327005</v>
      </c>
      <c r="U117" s="4">
        <f t="shared" si="78"/>
        <v>0.79921300652623883</v>
      </c>
      <c r="V117" s="4">
        <f t="shared" si="78"/>
        <v>0.73204982249993378</v>
      </c>
      <c r="W117" s="4">
        <f t="shared" si="78"/>
        <v>0.65145592958786691</v>
      </c>
      <c r="X117" s="4">
        <f t="shared" si="78"/>
        <v>0.56032247880849573</v>
      </c>
      <c r="Y117" s="4">
        <f t="shared" si="78"/>
        <v>0.46411326873185343</v>
      </c>
      <c r="Z117" s="4">
        <f t="shared" si="78"/>
        <v>0.36979727595523937</v>
      </c>
      <c r="AA117" s="4">
        <f t="shared" si="78"/>
        <v>0.28393948637231203</v>
      </c>
      <c r="AB117" s="4">
        <f t="shared" si="78"/>
        <v>0.21097259161117732</v>
      </c>
      <c r="AC117" s="4">
        <f t="shared" si="78"/>
        <v>0.15253917653798199</v>
      </c>
      <c r="AD117" s="4">
        <f t="shared" si="78"/>
        <v>0.10795188737709993</v>
      </c>
      <c r="AE117" s="4">
        <f t="shared" si="78"/>
        <v>7.5176653938091809E-2</v>
      </c>
      <c r="AF117" s="4">
        <f t="shared" si="78"/>
        <v>5.1742836177502194E-2</v>
      </c>
      <c r="AG117" s="4">
        <f t="shared" si="78"/>
        <v>3.5319190625345942E-2</v>
      </c>
      <c r="AH117" s="4">
        <f t="shared" si="78"/>
        <v>2.3969442072658165E-2</v>
      </c>
      <c r="AI117" s="4">
        <f t="shared" si="78"/>
        <v>1.6202243558389728E-2</v>
      </c>
      <c r="AJ117" s="4">
        <f t="shared" si="78"/>
        <v>1.0922240564108399E-2</v>
      </c>
      <c r="AK117" s="4">
        <f t="shared" si="78"/>
        <v>7.3493212906090566E-3</v>
      </c>
      <c r="AL117" s="4">
        <f t="shared" si="78"/>
        <v>4.9390262185057265E-3</v>
      </c>
      <c r="AM117" s="4">
        <f t="shared" si="78"/>
        <v>3.3164275492956197E-3</v>
      </c>
      <c r="AN117" s="4">
        <f t="shared" si="78"/>
        <v>2.2256362146679809E-3</v>
      </c>
      <c r="AO117" s="4">
        <f t="shared" si="78"/>
        <v>1.4930448704811861E-3</v>
      </c>
      <c r="AP117" s="4">
        <f t="shared" si="78"/>
        <v>1.0013381504474506E-3</v>
      </c>
      <c r="AQ117" s="4">
        <f t="shared" si="78"/>
        <v>6.7145100246257527E-4</v>
      </c>
      <c r="AR117" s="4">
        <f t="shared" si="78"/>
        <v>4.5019225748876845E-4</v>
      </c>
    </row>
    <row r="118" spans="1:44" x14ac:dyDescent="0.3">
      <c r="A118" s="24" t="s">
        <v>28</v>
      </c>
      <c r="B118" s="60">
        <f>'Parameter Input'!$L$21</f>
        <v>-60000</v>
      </c>
      <c r="C118" s="61">
        <f>'Parameter Input'!$M$21</f>
        <v>-36250</v>
      </c>
      <c r="D118" s="1" t="s">
        <v>15</v>
      </c>
      <c r="L118" s="54">
        <f>'Parameter Input'!$O$21</f>
        <v>8</v>
      </c>
      <c r="M118" s="37">
        <v>0</v>
      </c>
      <c r="N118" s="37">
        <v>1</v>
      </c>
      <c r="O118" s="37">
        <f>'Parameter Input'!$P$21</f>
        <v>0.9</v>
      </c>
      <c r="P118" s="55">
        <f>'Parameter Input'!$Q$21</f>
        <v>0.4</v>
      </c>
      <c r="Q118" s="4">
        <f t="shared" si="78"/>
        <v>0.94584787155511363</v>
      </c>
      <c r="R118" s="4">
        <f t="shared" si="78"/>
        <v>0.92370360150141495</v>
      </c>
      <c r="S118" s="4">
        <f t="shared" si="78"/>
        <v>0.89334463567658451</v>
      </c>
      <c r="T118" s="4">
        <f t="shared" si="78"/>
        <v>0.85254543874327005</v>
      </c>
      <c r="U118" s="4">
        <f t="shared" si="78"/>
        <v>0.79921300652623883</v>
      </c>
      <c r="V118" s="4">
        <f t="shared" si="78"/>
        <v>0.73204982249993378</v>
      </c>
      <c r="W118" s="4">
        <f t="shared" si="78"/>
        <v>0.65145592958786691</v>
      </c>
      <c r="X118" s="4">
        <f t="shared" si="78"/>
        <v>0.56032247880849573</v>
      </c>
      <c r="Y118" s="4">
        <f t="shared" si="78"/>
        <v>0.46411326873185343</v>
      </c>
      <c r="Z118" s="4">
        <f t="shared" si="78"/>
        <v>0.36979727595523937</v>
      </c>
      <c r="AA118" s="4">
        <f t="shared" si="78"/>
        <v>0.28393948637231203</v>
      </c>
      <c r="AB118" s="4">
        <f t="shared" si="78"/>
        <v>0.21097259161117732</v>
      </c>
      <c r="AC118" s="4">
        <f t="shared" si="78"/>
        <v>0.15253917653798199</v>
      </c>
      <c r="AD118" s="4">
        <f t="shared" si="78"/>
        <v>0.10795188737709993</v>
      </c>
      <c r="AE118" s="4">
        <f t="shared" si="78"/>
        <v>7.5176653938091809E-2</v>
      </c>
      <c r="AF118" s="4">
        <f t="shared" si="78"/>
        <v>5.1742836177502194E-2</v>
      </c>
      <c r="AG118" s="4">
        <f t="shared" si="78"/>
        <v>3.5319190625345942E-2</v>
      </c>
      <c r="AH118" s="4">
        <f t="shared" si="78"/>
        <v>2.3969442072658165E-2</v>
      </c>
      <c r="AI118" s="4">
        <f t="shared" si="78"/>
        <v>1.6202243558389728E-2</v>
      </c>
      <c r="AJ118" s="4">
        <f t="shared" si="78"/>
        <v>1.0922240564108399E-2</v>
      </c>
      <c r="AK118" s="4">
        <f t="shared" si="78"/>
        <v>7.3493212906090566E-3</v>
      </c>
      <c r="AL118" s="4">
        <f t="shared" si="78"/>
        <v>4.9390262185057265E-3</v>
      </c>
      <c r="AM118" s="4">
        <f t="shared" si="78"/>
        <v>3.3164275492956197E-3</v>
      </c>
      <c r="AN118" s="4">
        <f t="shared" si="78"/>
        <v>2.2256362146679809E-3</v>
      </c>
      <c r="AO118" s="4">
        <f t="shared" si="78"/>
        <v>1.4930448704811861E-3</v>
      </c>
      <c r="AP118" s="4">
        <f t="shared" si="78"/>
        <v>1.0013381504474506E-3</v>
      </c>
      <c r="AQ118" s="4">
        <f t="shared" si="78"/>
        <v>6.7145100246257527E-4</v>
      </c>
      <c r="AR118" s="4">
        <f t="shared" si="78"/>
        <v>4.5019225748876845E-4</v>
      </c>
    </row>
    <row r="119" spans="1:44" x14ac:dyDescent="0.3">
      <c r="A119" s="24" t="s">
        <v>14</v>
      </c>
      <c r="B119" s="60">
        <f>'Parameter Input'!B20</f>
        <v>60000</v>
      </c>
      <c r="C119" s="61">
        <f>'Parameter Input'!C20</f>
        <v>60000</v>
      </c>
      <c r="D119" s="1" t="s">
        <v>15</v>
      </c>
      <c r="L119" s="54">
        <f>'Parameter Input'!E20</f>
        <v>12</v>
      </c>
      <c r="M119" s="37">
        <v>0</v>
      </c>
      <c r="N119" s="37">
        <v>1</v>
      </c>
      <c r="O119" s="37">
        <f>'Parameter Input'!F20</f>
        <v>0.9</v>
      </c>
      <c r="P119" s="55">
        <f>'Parameter Input'!G20</f>
        <v>0.4</v>
      </c>
      <c r="Q119" s="4">
        <f t="shared" si="78"/>
        <v>0.9867978615748374</v>
      </c>
      <c r="R119" s="4">
        <f t="shared" si="78"/>
        <v>0.98114509762858249</v>
      </c>
      <c r="S119" s="4">
        <f t="shared" si="78"/>
        <v>0.97311898315872036</v>
      </c>
      <c r="T119" s="4">
        <f t="shared" si="78"/>
        <v>0.96177484161592774</v>
      </c>
      <c r="U119" s="4">
        <f t="shared" si="78"/>
        <v>0.94584787155511363</v>
      </c>
      <c r="V119" s="4">
        <f t="shared" si="78"/>
        <v>0.92370360150141495</v>
      </c>
      <c r="W119" s="4">
        <f t="shared" si="78"/>
        <v>0.89334463567658451</v>
      </c>
      <c r="X119" s="4">
        <f t="shared" si="78"/>
        <v>0.85254543874327005</v>
      </c>
      <c r="Y119" s="4">
        <f t="shared" si="78"/>
        <v>0.79921300652623883</v>
      </c>
      <c r="Z119" s="4">
        <f t="shared" si="78"/>
        <v>0.73204982249993378</v>
      </c>
      <c r="AA119" s="4">
        <f t="shared" si="78"/>
        <v>0.65145592958786691</v>
      </c>
      <c r="AB119" s="4">
        <f t="shared" si="78"/>
        <v>0.56032247880849573</v>
      </c>
      <c r="AC119" s="4">
        <f t="shared" si="78"/>
        <v>0.46411326873185343</v>
      </c>
      <c r="AD119" s="4">
        <f t="shared" si="78"/>
        <v>0.36979727595523937</v>
      </c>
      <c r="AE119" s="4">
        <f t="shared" si="78"/>
        <v>0.28393948637231203</v>
      </c>
      <c r="AF119" s="4">
        <f t="shared" si="78"/>
        <v>0.21097259161117732</v>
      </c>
      <c r="AG119" s="4">
        <f t="shared" si="78"/>
        <v>0.15253917653798199</v>
      </c>
      <c r="AH119" s="4">
        <f t="shared" si="78"/>
        <v>0.10795188737709993</v>
      </c>
      <c r="AI119" s="4">
        <f t="shared" si="78"/>
        <v>7.5176653938091809E-2</v>
      </c>
      <c r="AJ119" s="4">
        <f t="shared" si="78"/>
        <v>5.1742836177502194E-2</v>
      </c>
      <c r="AK119" s="4">
        <f t="shared" si="78"/>
        <v>3.5319190625345942E-2</v>
      </c>
      <c r="AL119" s="4">
        <f t="shared" si="78"/>
        <v>2.3969442072658165E-2</v>
      </c>
      <c r="AM119" s="4">
        <f t="shared" si="78"/>
        <v>1.6202243558389728E-2</v>
      </c>
      <c r="AN119" s="4">
        <f t="shared" si="78"/>
        <v>1.0922240564108399E-2</v>
      </c>
      <c r="AO119" s="4">
        <f t="shared" si="78"/>
        <v>7.3493212906090566E-3</v>
      </c>
      <c r="AP119" s="4">
        <f t="shared" si="78"/>
        <v>4.9390262185057265E-3</v>
      </c>
      <c r="AQ119" s="4">
        <f t="shared" si="78"/>
        <v>3.3164275492956197E-3</v>
      </c>
      <c r="AR119" s="4">
        <f t="shared" si="78"/>
        <v>2.2256362146679809E-3</v>
      </c>
    </row>
    <row r="120" spans="1:44" x14ac:dyDescent="0.3">
      <c r="A120" s="24" t="s">
        <v>25</v>
      </c>
      <c r="B120" s="60">
        <f>'Parameter Input'!B21</f>
        <v>-15000</v>
      </c>
      <c r="C120" s="61">
        <f>'Parameter Input'!C21</f>
        <v>-15000</v>
      </c>
      <c r="D120" s="1" t="s">
        <v>15</v>
      </c>
      <c r="L120" s="54">
        <f>'Parameter Input'!E21</f>
        <v>12</v>
      </c>
      <c r="M120" s="37">
        <v>0</v>
      </c>
      <c r="N120" s="37">
        <v>1</v>
      </c>
      <c r="O120" s="37">
        <f>'Parameter Input'!F21</f>
        <v>0.9</v>
      </c>
      <c r="P120" s="55">
        <f>'Parameter Input'!G21</f>
        <v>0.4</v>
      </c>
      <c r="Q120" s="4">
        <f t="shared" si="78"/>
        <v>0.9867978615748374</v>
      </c>
      <c r="R120" s="4">
        <f t="shared" si="78"/>
        <v>0.98114509762858249</v>
      </c>
      <c r="S120" s="4">
        <f t="shared" si="78"/>
        <v>0.97311898315872036</v>
      </c>
      <c r="T120" s="4">
        <f t="shared" si="78"/>
        <v>0.96177484161592774</v>
      </c>
      <c r="U120" s="4">
        <f t="shared" si="78"/>
        <v>0.94584787155511363</v>
      </c>
      <c r="V120" s="4">
        <f t="shared" si="78"/>
        <v>0.92370360150141495</v>
      </c>
      <c r="W120" s="4">
        <f t="shared" si="78"/>
        <v>0.89334463567658451</v>
      </c>
      <c r="X120" s="4">
        <f t="shared" si="78"/>
        <v>0.85254543874327005</v>
      </c>
      <c r="Y120" s="4">
        <f t="shared" si="78"/>
        <v>0.79921300652623883</v>
      </c>
      <c r="Z120" s="4">
        <f t="shared" si="78"/>
        <v>0.73204982249993378</v>
      </c>
      <c r="AA120" s="4">
        <f t="shared" si="78"/>
        <v>0.65145592958786691</v>
      </c>
      <c r="AB120" s="4">
        <f t="shared" si="78"/>
        <v>0.56032247880849573</v>
      </c>
      <c r="AC120" s="4">
        <f t="shared" si="78"/>
        <v>0.46411326873185343</v>
      </c>
      <c r="AD120" s="4">
        <f t="shared" si="78"/>
        <v>0.36979727595523937</v>
      </c>
      <c r="AE120" s="4">
        <f t="shared" si="78"/>
        <v>0.28393948637231203</v>
      </c>
      <c r="AF120" s="4">
        <f t="shared" si="78"/>
        <v>0.21097259161117732</v>
      </c>
      <c r="AG120" s="4">
        <f t="shared" si="78"/>
        <v>0.15253917653798199</v>
      </c>
      <c r="AH120" s="4">
        <f t="shared" si="78"/>
        <v>0.10795188737709993</v>
      </c>
      <c r="AI120" s="4">
        <f t="shared" si="78"/>
        <v>7.5176653938091809E-2</v>
      </c>
      <c r="AJ120" s="4">
        <f t="shared" si="78"/>
        <v>5.1742836177502194E-2</v>
      </c>
      <c r="AK120" s="4">
        <f t="shared" si="78"/>
        <v>3.5319190625345942E-2</v>
      </c>
      <c r="AL120" s="4">
        <f t="shared" si="78"/>
        <v>2.3969442072658165E-2</v>
      </c>
      <c r="AM120" s="4">
        <f t="shared" si="78"/>
        <v>1.6202243558389728E-2</v>
      </c>
      <c r="AN120" s="4">
        <f t="shared" si="78"/>
        <v>1.0922240564108399E-2</v>
      </c>
      <c r="AO120" s="4">
        <f t="shared" si="78"/>
        <v>7.3493212906090566E-3</v>
      </c>
      <c r="AP120" s="4">
        <f t="shared" si="78"/>
        <v>4.9390262185057265E-3</v>
      </c>
      <c r="AQ120" s="4">
        <f t="shared" si="78"/>
        <v>3.3164275492956197E-3</v>
      </c>
      <c r="AR120" s="4">
        <f t="shared" si="78"/>
        <v>2.2256362146679809E-3</v>
      </c>
    </row>
    <row r="121" spans="1:44" x14ac:dyDescent="0.3">
      <c r="A121" s="24" t="s">
        <v>79</v>
      </c>
      <c r="B121" s="45">
        <f>'Parameter Input'!$L$27</f>
        <v>0.06</v>
      </c>
      <c r="C121" s="46">
        <f>'Parameter Input'!$M$27</f>
        <v>0.06</v>
      </c>
      <c r="D121" s="1" t="s">
        <v>57</v>
      </c>
      <c r="L121" s="54">
        <f>'Parameter Input'!$O$27</f>
        <v>12</v>
      </c>
      <c r="M121" s="37">
        <v>0</v>
      </c>
      <c r="N121" s="37">
        <v>1</v>
      </c>
      <c r="O121" s="37">
        <f>'Parameter Input'!$P$27</f>
        <v>0.9</v>
      </c>
      <c r="P121" s="55">
        <f>'Parameter Input'!$Q$27</f>
        <v>0.4</v>
      </c>
      <c r="Q121" s="4">
        <f t="shared" si="78"/>
        <v>0.9867978615748374</v>
      </c>
      <c r="R121" s="4">
        <f t="shared" si="78"/>
        <v>0.98114509762858249</v>
      </c>
      <c r="S121" s="4">
        <f t="shared" si="78"/>
        <v>0.97311898315872036</v>
      </c>
      <c r="T121" s="4">
        <f t="shared" si="78"/>
        <v>0.96177484161592774</v>
      </c>
      <c r="U121" s="4">
        <f t="shared" si="78"/>
        <v>0.94584787155511363</v>
      </c>
      <c r="V121" s="4">
        <f t="shared" si="78"/>
        <v>0.92370360150141495</v>
      </c>
      <c r="W121" s="4">
        <f t="shared" si="78"/>
        <v>0.89334463567658451</v>
      </c>
      <c r="X121" s="4">
        <f t="shared" si="78"/>
        <v>0.85254543874327005</v>
      </c>
      <c r="Y121" s="4">
        <f t="shared" si="78"/>
        <v>0.79921300652623883</v>
      </c>
      <c r="Z121" s="4">
        <f t="shared" si="78"/>
        <v>0.73204982249993378</v>
      </c>
      <c r="AA121" s="4">
        <f t="shared" si="78"/>
        <v>0.65145592958786691</v>
      </c>
      <c r="AB121" s="4">
        <f t="shared" si="78"/>
        <v>0.56032247880849573</v>
      </c>
      <c r="AC121" s="4">
        <f t="shared" si="78"/>
        <v>0.46411326873185343</v>
      </c>
      <c r="AD121" s="4">
        <f t="shared" si="78"/>
        <v>0.36979727595523937</v>
      </c>
      <c r="AE121" s="4">
        <f t="shared" si="78"/>
        <v>0.28393948637231203</v>
      </c>
      <c r="AF121" s="4">
        <f t="shared" si="78"/>
        <v>0.21097259161117732</v>
      </c>
      <c r="AG121" s="4">
        <f t="shared" si="78"/>
        <v>0.15253917653798199</v>
      </c>
      <c r="AH121" s="4">
        <f t="shared" si="78"/>
        <v>0.10795188737709993</v>
      </c>
      <c r="AI121" s="4">
        <f t="shared" si="78"/>
        <v>7.5176653938091809E-2</v>
      </c>
      <c r="AJ121" s="4">
        <f t="shared" si="78"/>
        <v>5.1742836177502194E-2</v>
      </c>
      <c r="AK121" s="4">
        <f t="shared" si="78"/>
        <v>3.5319190625345942E-2</v>
      </c>
      <c r="AL121" s="4">
        <f t="shared" si="78"/>
        <v>2.3969442072658165E-2</v>
      </c>
      <c r="AM121" s="4">
        <f t="shared" si="78"/>
        <v>1.6202243558389728E-2</v>
      </c>
      <c r="AN121" s="4">
        <f t="shared" si="78"/>
        <v>1.0922240564108399E-2</v>
      </c>
      <c r="AO121" s="4">
        <f t="shared" si="78"/>
        <v>7.3493212906090566E-3</v>
      </c>
      <c r="AP121" s="4">
        <f t="shared" si="78"/>
        <v>4.9390262185057265E-3</v>
      </c>
      <c r="AQ121" s="4">
        <f t="shared" si="78"/>
        <v>3.3164275492956197E-3</v>
      </c>
      <c r="AR121" s="4">
        <f t="shared" si="78"/>
        <v>2.2256362146679809E-3</v>
      </c>
    </row>
    <row r="122" spans="1:44" x14ac:dyDescent="0.3">
      <c r="A122" s="24" t="s">
        <v>37</v>
      </c>
      <c r="B122" s="60">
        <f>'Parameter Input'!B22</f>
        <v>70000</v>
      </c>
      <c r="C122" s="61">
        <f>'Parameter Input'!C22</f>
        <v>70000</v>
      </c>
      <c r="D122" s="1" t="s">
        <v>38</v>
      </c>
      <c r="L122" s="54">
        <f>'Parameter Input'!E22</f>
        <v>12</v>
      </c>
      <c r="M122" s="37">
        <v>0</v>
      </c>
      <c r="N122" s="37">
        <v>1</v>
      </c>
      <c r="O122" s="37">
        <f>'Parameter Input'!F22</f>
        <v>0.9</v>
      </c>
      <c r="P122" s="55">
        <f>'Parameter Input'!G22</f>
        <v>0.4</v>
      </c>
      <c r="Q122" s="4">
        <f t="shared" si="78"/>
        <v>0.9867978615748374</v>
      </c>
      <c r="R122" s="4">
        <f t="shared" si="78"/>
        <v>0.98114509762858249</v>
      </c>
      <c r="S122" s="4">
        <f t="shared" si="78"/>
        <v>0.97311898315872036</v>
      </c>
      <c r="T122" s="4">
        <f t="shared" si="78"/>
        <v>0.96177484161592774</v>
      </c>
      <c r="U122" s="4">
        <f t="shared" si="78"/>
        <v>0.94584787155511363</v>
      </c>
      <c r="V122" s="4">
        <f t="shared" si="78"/>
        <v>0.92370360150141495</v>
      </c>
      <c r="W122" s="4">
        <f t="shared" si="78"/>
        <v>0.89334463567658451</v>
      </c>
      <c r="X122" s="4">
        <f t="shared" si="78"/>
        <v>0.85254543874327005</v>
      </c>
      <c r="Y122" s="4">
        <f t="shared" si="78"/>
        <v>0.79921300652623883</v>
      </c>
      <c r="Z122" s="4">
        <f t="shared" si="78"/>
        <v>0.73204982249993378</v>
      </c>
      <c r="AA122" s="4">
        <f t="shared" si="78"/>
        <v>0.65145592958786691</v>
      </c>
      <c r="AB122" s="4">
        <f t="shared" si="78"/>
        <v>0.56032247880849573</v>
      </c>
      <c r="AC122" s="4">
        <f t="shared" si="78"/>
        <v>0.46411326873185343</v>
      </c>
      <c r="AD122" s="4">
        <f t="shared" si="78"/>
        <v>0.36979727595523937</v>
      </c>
      <c r="AE122" s="4">
        <f t="shared" si="78"/>
        <v>0.28393948637231203</v>
      </c>
      <c r="AF122" s="4">
        <f t="shared" si="78"/>
        <v>0.21097259161117732</v>
      </c>
      <c r="AG122" s="4">
        <f t="shared" si="78"/>
        <v>0.15253917653798199</v>
      </c>
      <c r="AH122" s="4">
        <f t="shared" si="78"/>
        <v>0.10795188737709993</v>
      </c>
      <c r="AI122" s="4">
        <f t="shared" si="78"/>
        <v>7.5176653938091809E-2</v>
      </c>
      <c r="AJ122" s="4">
        <f t="shared" si="78"/>
        <v>5.1742836177502194E-2</v>
      </c>
      <c r="AK122" s="4">
        <f t="shared" si="78"/>
        <v>3.5319190625345942E-2</v>
      </c>
      <c r="AL122" s="4">
        <f t="shared" si="78"/>
        <v>2.3969442072658165E-2</v>
      </c>
      <c r="AM122" s="4">
        <f t="shared" si="78"/>
        <v>1.6202243558389728E-2</v>
      </c>
      <c r="AN122" s="4">
        <f t="shared" si="78"/>
        <v>1.0922240564108399E-2</v>
      </c>
      <c r="AO122" s="4">
        <f t="shared" si="78"/>
        <v>7.3493212906090566E-3</v>
      </c>
      <c r="AP122" s="4">
        <f t="shared" si="78"/>
        <v>4.9390262185057265E-3</v>
      </c>
      <c r="AQ122" s="4">
        <f t="shared" si="78"/>
        <v>3.3164275492956197E-3</v>
      </c>
      <c r="AR122" s="4">
        <f t="shared" si="78"/>
        <v>2.2256362146679809E-3</v>
      </c>
    </row>
    <row r="123" spans="1:44" x14ac:dyDescent="0.3">
      <c r="A123" s="24" t="s">
        <v>52</v>
      </c>
      <c r="B123" s="43">
        <f>'Parameter Input'!$L$23</f>
        <v>15000</v>
      </c>
      <c r="C123" s="44">
        <f>'Parameter Input'!$M$23</f>
        <v>15000</v>
      </c>
      <c r="D123" s="1" t="s">
        <v>38</v>
      </c>
      <c r="L123" s="54">
        <f>'Parameter Input'!$O$23</f>
        <v>8</v>
      </c>
      <c r="M123" s="37">
        <v>0</v>
      </c>
      <c r="N123" s="37">
        <v>1</v>
      </c>
      <c r="O123" s="37">
        <f>'Parameter Input'!$P$23</f>
        <v>0.9</v>
      </c>
      <c r="P123" s="55">
        <f>'Parameter Input'!$Q$23</f>
        <v>0.4</v>
      </c>
      <c r="Q123" s="4">
        <f t="shared" si="78"/>
        <v>0.94584787155511363</v>
      </c>
      <c r="R123" s="4">
        <f t="shared" si="78"/>
        <v>0.92370360150141495</v>
      </c>
      <c r="S123" s="4">
        <f t="shared" si="78"/>
        <v>0.89334463567658451</v>
      </c>
      <c r="T123" s="4">
        <f t="shared" si="78"/>
        <v>0.85254543874327005</v>
      </c>
      <c r="U123" s="4">
        <f t="shared" si="78"/>
        <v>0.79921300652623883</v>
      </c>
      <c r="V123" s="4">
        <f t="shared" si="78"/>
        <v>0.73204982249993378</v>
      </c>
      <c r="W123" s="4">
        <f t="shared" si="78"/>
        <v>0.65145592958786691</v>
      </c>
      <c r="X123" s="4">
        <f t="shared" si="78"/>
        <v>0.56032247880849573</v>
      </c>
      <c r="Y123" s="4">
        <f t="shared" si="78"/>
        <v>0.46411326873185343</v>
      </c>
      <c r="Z123" s="4">
        <f t="shared" si="78"/>
        <v>0.36979727595523937</v>
      </c>
      <c r="AA123" s="4">
        <f t="shared" si="78"/>
        <v>0.28393948637231203</v>
      </c>
      <c r="AB123" s="4">
        <f t="shared" si="78"/>
        <v>0.21097259161117732</v>
      </c>
      <c r="AC123" s="4">
        <f t="shared" si="78"/>
        <v>0.15253917653798199</v>
      </c>
      <c r="AD123" s="4">
        <f t="shared" si="78"/>
        <v>0.10795188737709993</v>
      </c>
      <c r="AE123" s="4">
        <f t="shared" si="78"/>
        <v>7.5176653938091809E-2</v>
      </c>
      <c r="AF123" s="4">
        <f t="shared" si="78"/>
        <v>5.1742836177502194E-2</v>
      </c>
      <c r="AG123" s="4">
        <f t="shared" si="78"/>
        <v>3.5319190625345942E-2</v>
      </c>
      <c r="AH123" s="4">
        <f t="shared" si="78"/>
        <v>2.3969442072658165E-2</v>
      </c>
      <c r="AI123" s="4">
        <f t="shared" si="78"/>
        <v>1.6202243558389728E-2</v>
      </c>
      <c r="AJ123" s="4">
        <f t="shared" si="78"/>
        <v>1.0922240564108399E-2</v>
      </c>
      <c r="AK123" s="4">
        <f t="shared" si="78"/>
        <v>7.3493212906090566E-3</v>
      </c>
      <c r="AL123" s="4">
        <f t="shared" si="78"/>
        <v>4.9390262185057265E-3</v>
      </c>
      <c r="AM123" s="4">
        <f t="shared" si="78"/>
        <v>3.3164275492956197E-3</v>
      </c>
      <c r="AN123" s="4">
        <f t="shared" si="78"/>
        <v>2.2256362146679809E-3</v>
      </c>
      <c r="AO123" s="4">
        <f t="shared" si="78"/>
        <v>1.4930448704811861E-3</v>
      </c>
      <c r="AP123" s="4">
        <f t="shared" si="78"/>
        <v>1.0013381504474506E-3</v>
      </c>
      <c r="AQ123" s="4">
        <f t="shared" si="78"/>
        <v>6.7145100246257527E-4</v>
      </c>
      <c r="AR123" s="4">
        <f t="shared" si="78"/>
        <v>4.5019225748876845E-4</v>
      </c>
    </row>
    <row r="124" spans="1:44" x14ac:dyDescent="0.3">
      <c r="A124" s="24" t="s">
        <v>273</v>
      </c>
      <c r="B124" s="60">
        <f>'Parameter Input'!B27</f>
        <v>0.11</v>
      </c>
      <c r="C124" s="61">
        <f>'Parameter Input'!C27</f>
        <v>0.11</v>
      </c>
      <c r="D124" s="1" t="s">
        <v>76</v>
      </c>
      <c r="L124" s="54">
        <f>'Parameter Input'!E27</f>
        <v>12</v>
      </c>
      <c r="M124" s="37">
        <v>0</v>
      </c>
      <c r="N124" s="37">
        <v>1</v>
      </c>
      <c r="O124" s="37">
        <f>'Parameter Input'!F27</f>
        <v>0.9</v>
      </c>
      <c r="P124" s="55">
        <f>'Parameter Input'!G27</f>
        <v>0.4</v>
      </c>
      <c r="Q124" s="4">
        <f t="shared" si="78"/>
        <v>0.9867978615748374</v>
      </c>
      <c r="R124" s="4">
        <f t="shared" si="78"/>
        <v>0.98114509762858249</v>
      </c>
      <c r="S124" s="4">
        <f t="shared" si="78"/>
        <v>0.97311898315872036</v>
      </c>
      <c r="T124" s="4">
        <f t="shared" si="78"/>
        <v>0.96177484161592774</v>
      </c>
      <c r="U124" s="4">
        <f t="shared" si="78"/>
        <v>0.94584787155511363</v>
      </c>
      <c r="V124" s="4">
        <f t="shared" si="78"/>
        <v>0.92370360150141495</v>
      </c>
      <c r="W124" s="4">
        <f t="shared" si="78"/>
        <v>0.89334463567658451</v>
      </c>
      <c r="X124" s="4">
        <f t="shared" si="78"/>
        <v>0.85254543874327005</v>
      </c>
      <c r="Y124" s="4">
        <f t="shared" si="78"/>
        <v>0.79921300652623883</v>
      </c>
      <c r="Z124" s="4">
        <f t="shared" si="78"/>
        <v>0.73204982249993378</v>
      </c>
      <c r="AA124" s="4">
        <f t="shared" si="78"/>
        <v>0.65145592958786691</v>
      </c>
      <c r="AB124" s="4">
        <f t="shared" si="78"/>
        <v>0.56032247880849573</v>
      </c>
      <c r="AC124" s="4">
        <f t="shared" si="78"/>
        <v>0.46411326873185343</v>
      </c>
      <c r="AD124" s="4">
        <f t="shared" si="78"/>
        <v>0.36979727595523937</v>
      </c>
      <c r="AE124" s="4">
        <f t="shared" si="78"/>
        <v>0.28393948637231203</v>
      </c>
      <c r="AF124" s="4">
        <f t="shared" si="78"/>
        <v>0.21097259161117732</v>
      </c>
      <c r="AG124" s="4">
        <f t="shared" si="78"/>
        <v>0.15253917653798199</v>
      </c>
      <c r="AH124" s="4">
        <f t="shared" si="78"/>
        <v>0.10795188737709993</v>
      </c>
      <c r="AI124" s="4">
        <f t="shared" si="78"/>
        <v>7.5176653938091809E-2</v>
      </c>
      <c r="AJ124" s="4">
        <f t="shared" si="78"/>
        <v>5.1742836177502194E-2</v>
      </c>
      <c r="AK124" s="4">
        <f t="shared" si="78"/>
        <v>3.5319190625345942E-2</v>
      </c>
      <c r="AL124" s="4">
        <f t="shared" si="78"/>
        <v>2.3969442072658165E-2</v>
      </c>
      <c r="AM124" s="4">
        <f t="shared" si="78"/>
        <v>1.6202243558389728E-2</v>
      </c>
      <c r="AN124" s="4">
        <f t="shared" si="78"/>
        <v>1.0922240564108399E-2</v>
      </c>
      <c r="AO124" s="4">
        <f t="shared" si="78"/>
        <v>7.3493212906090566E-3</v>
      </c>
      <c r="AP124" s="4">
        <f t="shared" si="78"/>
        <v>4.9390262185057265E-3</v>
      </c>
      <c r="AQ124" s="4">
        <f t="shared" si="78"/>
        <v>3.3164275492956197E-3</v>
      </c>
      <c r="AR124" s="4">
        <f t="shared" si="78"/>
        <v>2.2256362146679809E-3</v>
      </c>
    </row>
    <row r="125" spans="1:44" x14ac:dyDescent="0.3">
      <c r="A125" s="24" t="s">
        <v>59</v>
      </c>
      <c r="B125" s="47">
        <f>'Parameter Input'!$L$24</f>
        <v>1.52</v>
      </c>
      <c r="C125" s="48">
        <f>'Parameter Input'!$M$24</f>
        <v>1.1499999999999999</v>
      </c>
      <c r="D125" s="1" t="s">
        <v>60</v>
      </c>
      <c r="L125" s="54">
        <f>'Parameter Input'!$O$24</f>
        <v>8</v>
      </c>
      <c r="M125" s="37">
        <v>0</v>
      </c>
      <c r="N125" s="37">
        <v>1</v>
      </c>
      <c r="O125" s="37">
        <f>'Parameter Input'!$P$24</f>
        <v>0.9</v>
      </c>
      <c r="P125" s="55">
        <f>'Parameter Input'!$Q$24</f>
        <v>0.4</v>
      </c>
      <c r="Q125" s="4">
        <f t="shared" si="78"/>
        <v>0.94584787155511363</v>
      </c>
      <c r="R125" s="4">
        <f t="shared" si="78"/>
        <v>0.92370360150141495</v>
      </c>
      <c r="S125" s="4">
        <f t="shared" si="78"/>
        <v>0.89334463567658451</v>
      </c>
      <c r="T125" s="4">
        <f t="shared" si="78"/>
        <v>0.85254543874327005</v>
      </c>
      <c r="U125" s="4">
        <f t="shared" si="78"/>
        <v>0.79921300652623883</v>
      </c>
      <c r="V125" s="4">
        <f t="shared" si="78"/>
        <v>0.73204982249993378</v>
      </c>
      <c r="W125" s="4">
        <f t="shared" si="78"/>
        <v>0.65145592958786691</v>
      </c>
      <c r="X125" s="4">
        <f t="shared" si="78"/>
        <v>0.56032247880849573</v>
      </c>
      <c r="Y125" s="4">
        <f t="shared" si="78"/>
        <v>0.46411326873185343</v>
      </c>
      <c r="Z125" s="4">
        <f t="shared" si="78"/>
        <v>0.36979727595523937</v>
      </c>
      <c r="AA125" s="4">
        <f t="shared" si="78"/>
        <v>0.28393948637231203</v>
      </c>
      <c r="AB125" s="4">
        <f t="shared" si="78"/>
        <v>0.21097259161117732</v>
      </c>
      <c r="AC125" s="4">
        <f t="shared" si="78"/>
        <v>0.15253917653798199</v>
      </c>
      <c r="AD125" s="4">
        <f t="shared" si="78"/>
        <v>0.10795188737709993</v>
      </c>
      <c r="AE125" s="4">
        <f t="shared" si="78"/>
        <v>7.5176653938091809E-2</v>
      </c>
      <c r="AF125" s="4">
        <f t="shared" si="78"/>
        <v>5.1742836177502194E-2</v>
      </c>
      <c r="AG125" s="4">
        <f t="shared" si="78"/>
        <v>3.5319190625345942E-2</v>
      </c>
      <c r="AH125" s="4">
        <f t="shared" si="78"/>
        <v>2.3969442072658165E-2</v>
      </c>
      <c r="AI125" s="4">
        <f t="shared" si="78"/>
        <v>1.6202243558389728E-2</v>
      </c>
      <c r="AJ125" s="4">
        <f t="shared" si="78"/>
        <v>1.0922240564108399E-2</v>
      </c>
      <c r="AK125" s="4">
        <f t="shared" si="78"/>
        <v>7.3493212906090566E-3</v>
      </c>
      <c r="AL125" s="4">
        <f t="shared" si="78"/>
        <v>4.9390262185057265E-3</v>
      </c>
      <c r="AM125" s="4">
        <f t="shared" si="78"/>
        <v>3.3164275492956197E-3</v>
      </c>
      <c r="AN125" s="4">
        <f t="shared" si="78"/>
        <v>2.2256362146679809E-3</v>
      </c>
      <c r="AO125" s="4">
        <f t="shared" si="78"/>
        <v>1.4930448704811861E-3</v>
      </c>
      <c r="AP125" s="4">
        <f t="shared" si="78"/>
        <v>1.0013381504474506E-3</v>
      </c>
      <c r="AQ125" s="4">
        <f t="shared" si="78"/>
        <v>6.7145100246257527E-4</v>
      </c>
      <c r="AR125" s="4">
        <f t="shared" si="78"/>
        <v>4.5019225748876845E-4</v>
      </c>
    </row>
    <row r="126" spans="1:44" x14ac:dyDescent="0.3">
      <c r="A126" s="24" t="s">
        <v>67</v>
      </c>
      <c r="B126" s="45">
        <f>'Parameter Input'!$L$25</f>
        <v>9.2586511082899101E-2</v>
      </c>
      <c r="C126" s="46">
        <f>'Parameter Input'!$M$25</f>
        <v>7.3304790352502799E-2</v>
      </c>
      <c r="D126" s="1" t="s">
        <v>68</v>
      </c>
      <c r="L126" s="54">
        <f>'Parameter Input'!$O$25</f>
        <v>12</v>
      </c>
      <c r="M126" s="37">
        <v>0</v>
      </c>
      <c r="N126" s="37">
        <v>1</v>
      </c>
      <c r="O126" s="37">
        <f>'Parameter Input'!$P$25</f>
        <v>0.9</v>
      </c>
      <c r="P126" s="55">
        <f>'Parameter Input'!$Q$25</f>
        <v>0.4</v>
      </c>
      <c r="Q126" s="4">
        <f t="shared" si="78"/>
        <v>0.9867978615748374</v>
      </c>
      <c r="R126" s="4">
        <f t="shared" si="78"/>
        <v>0.98114509762858249</v>
      </c>
      <c r="S126" s="4">
        <f t="shared" si="78"/>
        <v>0.97311898315872036</v>
      </c>
      <c r="T126" s="4">
        <f t="shared" ref="T126:AI133" si="79">$N126+($M126-$N126)*((1/(1+EXP(-$P126*(T$9-$L126)))^$O126))</f>
        <v>0.96177484161592774</v>
      </c>
      <c r="U126" s="4">
        <f t="shared" si="79"/>
        <v>0.94584787155511363</v>
      </c>
      <c r="V126" s="4">
        <f t="shared" si="79"/>
        <v>0.92370360150141495</v>
      </c>
      <c r="W126" s="4">
        <f t="shared" si="79"/>
        <v>0.89334463567658451</v>
      </c>
      <c r="X126" s="4">
        <f t="shared" si="79"/>
        <v>0.85254543874327005</v>
      </c>
      <c r="Y126" s="4">
        <f t="shared" si="79"/>
        <v>0.79921300652623883</v>
      </c>
      <c r="Z126" s="4">
        <f t="shared" si="79"/>
        <v>0.73204982249993378</v>
      </c>
      <c r="AA126" s="4">
        <f t="shared" si="79"/>
        <v>0.65145592958786691</v>
      </c>
      <c r="AB126" s="4">
        <f t="shared" si="79"/>
        <v>0.56032247880849573</v>
      </c>
      <c r="AC126" s="4">
        <f t="shared" si="79"/>
        <v>0.46411326873185343</v>
      </c>
      <c r="AD126" s="4">
        <f t="shared" si="79"/>
        <v>0.36979727595523937</v>
      </c>
      <c r="AE126" s="4">
        <f t="shared" si="79"/>
        <v>0.28393948637231203</v>
      </c>
      <c r="AF126" s="4">
        <f t="shared" si="79"/>
        <v>0.21097259161117732</v>
      </c>
      <c r="AG126" s="4">
        <f t="shared" si="79"/>
        <v>0.15253917653798199</v>
      </c>
      <c r="AH126" s="4">
        <f t="shared" si="79"/>
        <v>0.10795188737709993</v>
      </c>
      <c r="AI126" s="4">
        <f t="shared" si="79"/>
        <v>7.5176653938091809E-2</v>
      </c>
      <c r="AJ126" s="4">
        <f t="shared" ref="AJ126:AR133" si="80">$N126+($M126-$N126)*((1/(1+EXP(-$P126*(AJ$9-$L126)))^$O126))</f>
        <v>5.1742836177502194E-2</v>
      </c>
      <c r="AK126" s="4">
        <f t="shared" si="80"/>
        <v>3.5319190625345942E-2</v>
      </c>
      <c r="AL126" s="4">
        <f t="shared" si="80"/>
        <v>2.3969442072658165E-2</v>
      </c>
      <c r="AM126" s="4">
        <f t="shared" si="80"/>
        <v>1.6202243558389728E-2</v>
      </c>
      <c r="AN126" s="4">
        <f t="shared" si="80"/>
        <v>1.0922240564108399E-2</v>
      </c>
      <c r="AO126" s="4">
        <f t="shared" si="80"/>
        <v>7.3493212906090566E-3</v>
      </c>
      <c r="AP126" s="4">
        <f t="shared" si="80"/>
        <v>4.9390262185057265E-3</v>
      </c>
      <c r="AQ126" s="4">
        <f t="shared" si="80"/>
        <v>3.3164275492956197E-3</v>
      </c>
      <c r="AR126" s="4">
        <f t="shared" si="80"/>
        <v>2.2256362146679809E-3</v>
      </c>
    </row>
    <row r="127" spans="1:44" x14ac:dyDescent="0.3">
      <c r="A127" s="24" t="s">
        <v>206</v>
      </c>
      <c r="B127" s="115">
        <f>'Parameter Input'!$L$28</f>
        <v>3.5200000000000006E-3</v>
      </c>
      <c r="C127" s="116">
        <f>'Parameter Input'!$M$28</f>
        <v>0</v>
      </c>
      <c r="D127" s="1" t="s">
        <v>76</v>
      </c>
      <c r="L127" s="54">
        <f>'Parameter Input'!$O$28</f>
        <v>17</v>
      </c>
      <c r="M127" s="37">
        <v>0</v>
      </c>
      <c r="N127" s="37">
        <v>1</v>
      </c>
      <c r="O127" s="37">
        <f>'Parameter Input'!$P$28</f>
        <v>0.9</v>
      </c>
      <c r="P127" s="55">
        <f>'Parameter Input'!$Q$28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3">
      <c r="A128" s="24" t="s">
        <v>41</v>
      </c>
      <c r="B128" s="43">
        <f>'Parameter Input'!$L$22</f>
        <v>8</v>
      </c>
      <c r="C128" s="44">
        <f>'Parameter Input'!$M$22</f>
        <v>8</v>
      </c>
      <c r="D128" s="1" t="s">
        <v>42</v>
      </c>
      <c r="L128" s="54">
        <f>'Parameter Input'!$O$22</f>
        <v>8</v>
      </c>
      <c r="M128" s="37">
        <v>0</v>
      </c>
      <c r="N128" s="37">
        <v>1</v>
      </c>
      <c r="O128" s="37">
        <f>'Parameter Input'!$P$22</f>
        <v>0.9</v>
      </c>
      <c r="P128" s="55">
        <f>'Parameter Input'!$Q$22</f>
        <v>0.4</v>
      </c>
      <c r="Q128" s="4">
        <f t="shared" ref="Q128:AF133" si="82">$N128+($M128-$N128)*((1/(1+EXP(-$P128*(Q$9-$L128)))^$O128))</f>
        <v>0.94584787155511363</v>
      </c>
      <c r="R128" s="4">
        <f t="shared" si="82"/>
        <v>0.92370360150141495</v>
      </c>
      <c r="S128" s="4">
        <f t="shared" si="82"/>
        <v>0.89334463567658451</v>
      </c>
      <c r="T128" s="4">
        <f t="shared" si="82"/>
        <v>0.85254543874327005</v>
      </c>
      <c r="U128" s="4">
        <f t="shared" si="82"/>
        <v>0.79921300652623883</v>
      </c>
      <c r="V128" s="4">
        <f t="shared" si="82"/>
        <v>0.73204982249993378</v>
      </c>
      <c r="W128" s="4">
        <f t="shared" si="82"/>
        <v>0.65145592958786691</v>
      </c>
      <c r="X128" s="4">
        <f t="shared" si="82"/>
        <v>0.56032247880849573</v>
      </c>
      <c r="Y128" s="4">
        <f t="shared" si="82"/>
        <v>0.46411326873185343</v>
      </c>
      <c r="Z128" s="4">
        <f t="shared" si="82"/>
        <v>0.36979727595523937</v>
      </c>
      <c r="AA128" s="4">
        <f t="shared" si="82"/>
        <v>0.28393948637231203</v>
      </c>
      <c r="AB128" s="4">
        <f t="shared" si="82"/>
        <v>0.21097259161117732</v>
      </c>
      <c r="AC128" s="4">
        <f t="shared" si="82"/>
        <v>0.15253917653798199</v>
      </c>
      <c r="AD128" s="4">
        <f t="shared" si="82"/>
        <v>0.10795188737709993</v>
      </c>
      <c r="AE128" s="4">
        <f t="shared" si="82"/>
        <v>7.5176653938091809E-2</v>
      </c>
      <c r="AF128" s="4">
        <f t="shared" si="82"/>
        <v>5.1742836177502194E-2</v>
      </c>
      <c r="AG128" s="4">
        <f t="shared" si="79"/>
        <v>3.5319190625345942E-2</v>
      </c>
      <c r="AH128" s="4">
        <f t="shared" si="79"/>
        <v>2.3969442072658165E-2</v>
      </c>
      <c r="AI128" s="4">
        <f t="shared" si="79"/>
        <v>1.6202243558389728E-2</v>
      </c>
      <c r="AJ128" s="4">
        <f t="shared" si="80"/>
        <v>1.0922240564108399E-2</v>
      </c>
      <c r="AK128" s="4">
        <f t="shared" si="80"/>
        <v>7.3493212906090566E-3</v>
      </c>
      <c r="AL128" s="4">
        <f t="shared" si="80"/>
        <v>4.9390262185057265E-3</v>
      </c>
      <c r="AM128" s="4">
        <f t="shared" si="80"/>
        <v>3.3164275492956197E-3</v>
      </c>
      <c r="AN128" s="4">
        <f t="shared" si="80"/>
        <v>2.2256362146679809E-3</v>
      </c>
      <c r="AO128" s="4">
        <f t="shared" si="80"/>
        <v>1.4930448704811861E-3</v>
      </c>
      <c r="AP128" s="4">
        <f t="shared" si="80"/>
        <v>1.0013381504474506E-3</v>
      </c>
      <c r="AQ128" s="4">
        <f t="shared" si="80"/>
        <v>6.7145100246257527E-4</v>
      </c>
      <c r="AR128" s="4">
        <f t="shared" si="80"/>
        <v>4.5019225748876845E-4</v>
      </c>
    </row>
    <row r="129" spans="1:44" x14ac:dyDescent="0.3">
      <c r="A129" s="24" t="s">
        <v>70</v>
      </c>
      <c r="B129" s="60">
        <f>'Parameter Input'!B26</f>
        <v>10</v>
      </c>
      <c r="C129" s="61">
        <f>'Parameter Input'!C26</f>
        <v>10</v>
      </c>
      <c r="D129" s="1" t="s">
        <v>42</v>
      </c>
      <c r="L129" s="54">
        <f>'Parameter Input'!E26</f>
        <v>12</v>
      </c>
      <c r="M129" s="37">
        <v>0</v>
      </c>
      <c r="N129" s="37">
        <v>1</v>
      </c>
      <c r="O129" s="37">
        <f>'Parameter Input'!F26</f>
        <v>0.9</v>
      </c>
      <c r="P129" s="55">
        <f>'Parameter Input'!G26</f>
        <v>0.4</v>
      </c>
      <c r="Q129" s="4">
        <f t="shared" si="82"/>
        <v>0.9867978615748374</v>
      </c>
      <c r="R129" s="4">
        <f t="shared" si="82"/>
        <v>0.98114509762858249</v>
      </c>
      <c r="S129" s="4">
        <f t="shared" si="82"/>
        <v>0.97311898315872036</v>
      </c>
      <c r="T129" s="4">
        <f t="shared" si="82"/>
        <v>0.96177484161592774</v>
      </c>
      <c r="U129" s="4">
        <f t="shared" si="82"/>
        <v>0.94584787155511363</v>
      </c>
      <c r="V129" s="4">
        <f t="shared" si="82"/>
        <v>0.92370360150141495</v>
      </c>
      <c r="W129" s="4">
        <f t="shared" si="82"/>
        <v>0.89334463567658451</v>
      </c>
      <c r="X129" s="4">
        <f t="shared" si="82"/>
        <v>0.85254543874327005</v>
      </c>
      <c r="Y129" s="4">
        <f t="shared" si="82"/>
        <v>0.79921300652623883</v>
      </c>
      <c r="Z129" s="4">
        <f t="shared" si="82"/>
        <v>0.73204982249993378</v>
      </c>
      <c r="AA129" s="4">
        <f t="shared" si="82"/>
        <v>0.65145592958786691</v>
      </c>
      <c r="AB129" s="4">
        <f t="shared" si="82"/>
        <v>0.56032247880849573</v>
      </c>
      <c r="AC129" s="4">
        <f t="shared" si="82"/>
        <v>0.46411326873185343</v>
      </c>
      <c r="AD129" s="4">
        <f t="shared" si="82"/>
        <v>0.36979727595523937</v>
      </c>
      <c r="AE129" s="4">
        <f t="shared" si="82"/>
        <v>0.28393948637231203</v>
      </c>
      <c r="AF129" s="4">
        <f t="shared" si="82"/>
        <v>0.21097259161117732</v>
      </c>
      <c r="AG129" s="4">
        <f t="shared" si="79"/>
        <v>0.15253917653798199</v>
      </c>
      <c r="AH129" s="4">
        <f t="shared" si="79"/>
        <v>0.10795188737709993</v>
      </c>
      <c r="AI129" s="4">
        <f t="shared" si="79"/>
        <v>7.5176653938091809E-2</v>
      </c>
      <c r="AJ129" s="4">
        <f t="shared" si="80"/>
        <v>5.1742836177502194E-2</v>
      </c>
      <c r="AK129" s="4">
        <f t="shared" si="80"/>
        <v>3.5319190625345942E-2</v>
      </c>
      <c r="AL129" s="4">
        <f t="shared" si="80"/>
        <v>2.3969442072658165E-2</v>
      </c>
      <c r="AM129" s="4">
        <f t="shared" si="80"/>
        <v>1.6202243558389728E-2</v>
      </c>
      <c r="AN129" s="4">
        <f t="shared" si="80"/>
        <v>1.0922240564108399E-2</v>
      </c>
      <c r="AO129" s="4">
        <f t="shared" si="80"/>
        <v>7.3493212906090566E-3</v>
      </c>
      <c r="AP129" s="4">
        <f t="shared" si="80"/>
        <v>4.9390262185057265E-3</v>
      </c>
      <c r="AQ129" s="4">
        <f t="shared" si="80"/>
        <v>3.3164275492956197E-3</v>
      </c>
      <c r="AR129" s="4">
        <f t="shared" si="80"/>
        <v>2.2256362146679809E-3</v>
      </c>
    </row>
    <row r="130" spans="1:44" x14ac:dyDescent="0.3">
      <c r="A130" s="24" t="s">
        <v>207</v>
      </c>
      <c r="B130" s="43">
        <f>'Parameter Input'!B23</f>
        <v>25</v>
      </c>
      <c r="C130" s="44">
        <f>'Parameter Input'!C23</f>
        <v>25</v>
      </c>
      <c r="D130" s="1" t="s">
        <v>49</v>
      </c>
      <c r="L130" s="54">
        <f>'Parameter Input'!E23</f>
        <v>12</v>
      </c>
      <c r="M130" s="37">
        <v>0</v>
      </c>
      <c r="N130" s="37">
        <v>1</v>
      </c>
      <c r="O130" s="37">
        <f>'Parameter Input'!F23</f>
        <v>0.9</v>
      </c>
      <c r="P130" s="55">
        <f>'Parameter Input'!G23</f>
        <v>0.4</v>
      </c>
      <c r="Q130" s="4">
        <f t="shared" si="82"/>
        <v>0.9867978615748374</v>
      </c>
      <c r="R130" s="4">
        <f t="shared" si="82"/>
        <v>0.98114509762858249</v>
      </c>
      <c r="S130" s="4">
        <f t="shared" si="82"/>
        <v>0.97311898315872036</v>
      </c>
      <c r="T130" s="4">
        <f t="shared" si="82"/>
        <v>0.96177484161592774</v>
      </c>
      <c r="U130" s="4">
        <f t="shared" si="82"/>
        <v>0.94584787155511363</v>
      </c>
      <c r="V130" s="4">
        <f t="shared" si="82"/>
        <v>0.92370360150141495</v>
      </c>
      <c r="W130" s="4">
        <f t="shared" si="82"/>
        <v>0.89334463567658451</v>
      </c>
      <c r="X130" s="4">
        <f t="shared" si="82"/>
        <v>0.85254543874327005</v>
      </c>
      <c r="Y130" s="4">
        <f t="shared" si="82"/>
        <v>0.79921300652623883</v>
      </c>
      <c r="Z130" s="4">
        <f t="shared" si="82"/>
        <v>0.73204982249993378</v>
      </c>
      <c r="AA130" s="4">
        <f t="shared" si="82"/>
        <v>0.65145592958786691</v>
      </c>
      <c r="AB130" s="4">
        <f t="shared" si="82"/>
        <v>0.56032247880849573</v>
      </c>
      <c r="AC130" s="4">
        <f t="shared" si="82"/>
        <v>0.46411326873185343</v>
      </c>
      <c r="AD130" s="4">
        <f t="shared" si="82"/>
        <v>0.36979727595523937</v>
      </c>
      <c r="AE130" s="4">
        <f t="shared" si="82"/>
        <v>0.28393948637231203</v>
      </c>
      <c r="AF130" s="4">
        <f t="shared" si="82"/>
        <v>0.21097259161117732</v>
      </c>
      <c r="AG130" s="4">
        <f t="shared" si="79"/>
        <v>0.15253917653798199</v>
      </c>
      <c r="AH130" s="4">
        <f t="shared" si="79"/>
        <v>0.10795188737709993</v>
      </c>
      <c r="AI130" s="4">
        <f t="shared" si="79"/>
        <v>7.5176653938091809E-2</v>
      </c>
      <c r="AJ130" s="4">
        <f t="shared" si="80"/>
        <v>5.1742836177502194E-2</v>
      </c>
      <c r="AK130" s="4">
        <f t="shared" si="80"/>
        <v>3.5319190625345942E-2</v>
      </c>
      <c r="AL130" s="4">
        <f t="shared" si="80"/>
        <v>2.3969442072658165E-2</v>
      </c>
      <c r="AM130" s="4">
        <f t="shared" si="80"/>
        <v>1.6202243558389728E-2</v>
      </c>
      <c r="AN130" s="4">
        <f t="shared" si="80"/>
        <v>1.0922240564108399E-2</v>
      </c>
      <c r="AO130" s="4">
        <f t="shared" si="80"/>
        <v>7.3493212906090566E-3</v>
      </c>
      <c r="AP130" s="4">
        <f t="shared" si="80"/>
        <v>4.9390262185057265E-3</v>
      </c>
      <c r="AQ130" s="4">
        <f t="shared" si="80"/>
        <v>3.3164275492956197E-3</v>
      </c>
      <c r="AR130" s="4">
        <f t="shared" si="80"/>
        <v>2.2256362146679809E-3</v>
      </c>
    </row>
    <row r="131" spans="1:44" x14ac:dyDescent="0.3">
      <c r="A131" s="24" t="s">
        <v>56</v>
      </c>
      <c r="B131" s="45">
        <f>'Parameter Input'!B24</f>
        <v>0.48</v>
      </c>
      <c r="C131" s="46">
        <f>'Parameter Input'!C24</f>
        <v>0.48</v>
      </c>
      <c r="D131" s="1" t="s">
        <v>57</v>
      </c>
      <c r="L131" s="54">
        <f>'Parameter Input'!E24</f>
        <v>12</v>
      </c>
      <c r="M131" s="37">
        <v>0</v>
      </c>
      <c r="N131" s="37">
        <v>1</v>
      </c>
      <c r="O131" s="37">
        <f>'Parameter Input'!F24</f>
        <v>0.9</v>
      </c>
      <c r="P131" s="55">
        <f>'Parameter Input'!G24</f>
        <v>0.4</v>
      </c>
      <c r="Q131" s="4">
        <f t="shared" si="82"/>
        <v>0.9867978615748374</v>
      </c>
      <c r="R131" s="4">
        <f t="shared" si="82"/>
        <v>0.98114509762858249</v>
      </c>
      <c r="S131" s="4">
        <f t="shared" si="82"/>
        <v>0.97311898315872036</v>
      </c>
      <c r="T131" s="4">
        <f t="shared" si="82"/>
        <v>0.96177484161592774</v>
      </c>
      <c r="U131" s="4">
        <f t="shared" si="82"/>
        <v>0.94584787155511363</v>
      </c>
      <c r="V131" s="4">
        <f t="shared" si="82"/>
        <v>0.92370360150141495</v>
      </c>
      <c r="W131" s="4">
        <f t="shared" si="82"/>
        <v>0.89334463567658451</v>
      </c>
      <c r="X131" s="4">
        <f t="shared" si="82"/>
        <v>0.85254543874327005</v>
      </c>
      <c r="Y131" s="4">
        <f t="shared" si="82"/>
        <v>0.79921300652623883</v>
      </c>
      <c r="Z131" s="4">
        <f t="shared" si="82"/>
        <v>0.73204982249993378</v>
      </c>
      <c r="AA131" s="4">
        <f t="shared" si="82"/>
        <v>0.65145592958786691</v>
      </c>
      <c r="AB131" s="4">
        <f t="shared" si="82"/>
        <v>0.56032247880849573</v>
      </c>
      <c r="AC131" s="4">
        <f t="shared" si="82"/>
        <v>0.46411326873185343</v>
      </c>
      <c r="AD131" s="4">
        <f t="shared" si="82"/>
        <v>0.36979727595523937</v>
      </c>
      <c r="AE131" s="4">
        <f t="shared" si="82"/>
        <v>0.28393948637231203</v>
      </c>
      <c r="AF131" s="4">
        <f t="shared" si="82"/>
        <v>0.21097259161117732</v>
      </c>
      <c r="AG131" s="4">
        <f t="shared" si="79"/>
        <v>0.15253917653798199</v>
      </c>
      <c r="AH131" s="4">
        <f t="shared" si="79"/>
        <v>0.10795188737709993</v>
      </c>
      <c r="AI131" s="4">
        <f t="shared" si="79"/>
        <v>7.5176653938091809E-2</v>
      </c>
      <c r="AJ131" s="4">
        <f t="shared" si="80"/>
        <v>5.1742836177502194E-2</v>
      </c>
      <c r="AK131" s="4">
        <f t="shared" si="80"/>
        <v>3.5319190625345942E-2</v>
      </c>
      <c r="AL131" s="4">
        <f t="shared" si="80"/>
        <v>2.3969442072658165E-2</v>
      </c>
      <c r="AM131" s="4">
        <f t="shared" si="80"/>
        <v>1.6202243558389728E-2</v>
      </c>
      <c r="AN131" s="4">
        <f t="shared" si="80"/>
        <v>1.0922240564108399E-2</v>
      </c>
      <c r="AO131" s="4">
        <f t="shared" si="80"/>
        <v>7.3493212906090566E-3</v>
      </c>
      <c r="AP131" s="4">
        <f t="shared" si="80"/>
        <v>4.9390262185057265E-3</v>
      </c>
      <c r="AQ131" s="4">
        <f t="shared" si="80"/>
        <v>3.3164275492956197E-3</v>
      </c>
      <c r="AR131" s="4">
        <f t="shared" si="80"/>
        <v>2.2256362146679809E-3</v>
      </c>
    </row>
    <row r="132" spans="1:44" x14ac:dyDescent="0.3">
      <c r="A132" s="24" t="s">
        <v>73</v>
      </c>
      <c r="B132" s="72">
        <f>'Parameter Input'!$L$26</f>
        <v>0.1</v>
      </c>
      <c r="C132" s="73">
        <f>'Parameter Input'!$M$26</f>
        <v>0.05</v>
      </c>
      <c r="D132" s="1" t="s">
        <v>57</v>
      </c>
      <c r="L132" s="54">
        <f>'Parameter Input'!$O$26</f>
        <v>12</v>
      </c>
      <c r="M132" s="37">
        <v>0</v>
      </c>
      <c r="N132" s="37">
        <v>1</v>
      </c>
      <c r="O132" s="37">
        <f>'Parameter Input'!$P$26</f>
        <v>0.9</v>
      </c>
      <c r="P132" s="55">
        <f>'Parameter Input'!$Q$26</f>
        <v>0.4</v>
      </c>
      <c r="Q132" s="4">
        <f t="shared" si="82"/>
        <v>0.9867978615748374</v>
      </c>
      <c r="R132" s="4">
        <f t="shared" si="82"/>
        <v>0.98114509762858249</v>
      </c>
      <c r="S132" s="4">
        <f t="shared" si="82"/>
        <v>0.97311898315872036</v>
      </c>
      <c r="T132" s="4">
        <f t="shared" si="82"/>
        <v>0.96177484161592774</v>
      </c>
      <c r="U132" s="4">
        <f t="shared" si="82"/>
        <v>0.94584787155511363</v>
      </c>
      <c r="V132" s="4">
        <f t="shared" si="82"/>
        <v>0.92370360150141495</v>
      </c>
      <c r="W132" s="4">
        <f t="shared" si="82"/>
        <v>0.89334463567658451</v>
      </c>
      <c r="X132" s="4">
        <f t="shared" si="82"/>
        <v>0.85254543874327005</v>
      </c>
      <c r="Y132" s="4">
        <f t="shared" si="82"/>
        <v>0.79921300652623883</v>
      </c>
      <c r="Z132" s="4">
        <f t="shared" si="82"/>
        <v>0.73204982249993378</v>
      </c>
      <c r="AA132" s="4">
        <f t="shared" si="82"/>
        <v>0.65145592958786691</v>
      </c>
      <c r="AB132" s="4">
        <f t="shared" si="82"/>
        <v>0.56032247880849573</v>
      </c>
      <c r="AC132" s="4">
        <f t="shared" si="82"/>
        <v>0.46411326873185343</v>
      </c>
      <c r="AD132" s="4">
        <f t="shared" si="82"/>
        <v>0.36979727595523937</v>
      </c>
      <c r="AE132" s="4">
        <f t="shared" si="82"/>
        <v>0.28393948637231203</v>
      </c>
      <c r="AF132" s="4">
        <f t="shared" si="82"/>
        <v>0.21097259161117732</v>
      </c>
      <c r="AG132" s="4">
        <f t="shared" si="79"/>
        <v>0.15253917653798199</v>
      </c>
      <c r="AH132" s="4">
        <f t="shared" si="79"/>
        <v>0.10795188737709993</v>
      </c>
      <c r="AI132" s="4">
        <f t="shared" si="79"/>
        <v>7.5176653938091809E-2</v>
      </c>
      <c r="AJ132" s="4">
        <f t="shared" si="80"/>
        <v>5.1742836177502194E-2</v>
      </c>
      <c r="AK132" s="4">
        <f t="shared" si="80"/>
        <v>3.5319190625345942E-2</v>
      </c>
      <c r="AL132" s="4">
        <f t="shared" si="80"/>
        <v>2.3969442072658165E-2</v>
      </c>
      <c r="AM132" s="4">
        <f t="shared" si="80"/>
        <v>1.6202243558389728E-2</v>
      </c>
      <c r="AN132" s="4">
        <f t="shared" si="80"/>
        <v>1.0922240564108399E-2</v>
      </c>
      <c r="AO132" s="4">
        <f t="shared" si="80"/>
        <v>7.3493212906090566E-3</v>
      </c>
      <c r="AP132" s="4">
        <f t="shared" si="80"/>
        <v>4.9390262185057265E-3</v>
      </c>
      <c r="AQ132" s="4">
        <f t="shared" si="80"/>
        <v>3.3164275492956197E-3</v>
      </c>
      <c r="AR132" s="4">
        <f t="shared" si="80"/>
        <v>2.2256362146679809E-3</v>
      </c>
    </row>
    <row r="133" spans="1:44" ht="15" thickBot="1" x14ac:dyDescent="0.35">
      <c r="A133" s="24" t="s">
        <v>64</v>
      </c>
      <c r="B133" s="49">
        <f>'Parameter Input'!B25</f>
        <v>110000</v>
      </c>
      <c r="C133" s="50">
        <f>'Parameter Input'!C25</f>
        <v>110000</v>
      </c>
      <c r="D133" s="1" t="s">
        <v>65</v>
      </c>
      <c r="L133" s="56">
        <f>'Parameter Input'!E25</f>
        <v>12</v>
      </c>
      <c r="M133" s="57">
        <v>0</v>
      </c>
      <c r="N133" s="57">
        <v>1</v>
      </c>
      <c r="O133" s="57">
        <f>'Parameter Input'!F25</f>
        <v>0.9</v>
      </c>
      <c r="P133" s="58">
        <f>'Parameter Input'!G25</f>
        <v>0.4</v>
      </c>
      <c r="Q133" s="4">
        <f t="shared" si="82"/>
        <v>0.9867978615748374</v>
      </c>
      <c r="R133" s="4">
        <f t="shared" si="82"/>
        <v>0.98114509762858249</v>
      </c>
      <c r="S133" s="4">
        <f t="shared" si="82"/>
        <v>0.97311898315872036</v>
      </c>
      <c r="T133" s="4">
        <f t="shared" si="82"/>
        <v>0.96177484161592774</v>
      </c>
      <c r="U133" s="4">
        <f t="shared" si="82"/>
        <v>0.94584787155511363</v>
      </c>
      <c r="V133" s="4">
        <f t="shared" si="82"/>
        <v>0.92370360150141495</v>
      </c>
      <c r="W133" s="4">
        <f t="shared" si="82"/>
        <v>0.89334463567658451</v>
      </c>
      <c r="X133" s="4">
        <f t="shared" si="82"/>
        <v>0.85254543874327005</v>
      </c>
      <c r="Y133" s="4">
        <f t="shared" si="82"/>
        <v>0.79921300652623883</v>
      </c>
      <c r="Z133" s="4">
        <f t="shared" si="82"/>
        <v>0.73204982249993378</v>
      </c>
      <c r="AA133" s="4">
        <f t="shared" si="82"/>
        <v>0.65145592958786691</v>
      </c>
      <c r="AB133" s="4">
        <f t="shared" si="82"/>
        <v>0.56032247880849573</v>
      </c>
      <c r="AC133" s="4">
        <f t="shared" si="82"/>
        <v>0.46411326873185343</v>
      </c>
      <c r="AD133" s="4">
        <f t="shared" si="82"/>
        <v>0.36979727595523937</v>
      </c>
      <c r="AE133" s="4">
        <f t="shared" si="82"/>
        <v>0.28393948637231203</v>
      </c>
      <c r="AF133" s="4">
        <f t="shared" si="82"/>
        <v>0.21097259161117732</v>
      </c>
      <c r="AG133" s="4">
        <f t="shared" si="79"/>
        <v>0.15253917653798199</v>
      </c>
      <c r="AH133" s="4">
        <f t="shared" si="79"/>
        <v>0.10795188737709993</v>
      </c>
      <c r="AI133" s="4">
        <f t="shared" si="79"/>
        <v>7.5176653938091809E-2</v>
      </c>
      <c r="AJ133" s="4">
        <f t="shared" si="80"/>
        <v>5.1742836177502194E-2</v>
      </c>
      <c r="AK133" s="4">
        <f t="shared" si="80"/>
        <v>3.5319190625345942E-2</v>
      </c>
      <c r="AL133" s="4">
        <f t="shared" si="80"/>
        <v>2.3969442072658165E-2</v>
      </c>
      <c r="AM133" s="4">
        <f t="shared" si="80"/>
        <v>1.6202243558389728E-2</v>
      </c>
      <c r="AN133" s="4">
        <f t="shared" si="80"/>
        <v>1.0922240564108399E-2</v>
      </c>
      <c r="AO133" s="4">
        <f t="shared" si="80"/>
        <v>7.3493212906090566E-3</v>
      </c>
      <c r="AP133" s="4">
        <f t="shared" si="80"/>
        <v>4.9390262185057265E-3</v>
      </c>
      <c r="AQ133" s="4">
        <f t="shared" si="80"/>
        <v>3.3164275492956197E-3</v>
      </c>
      <c r="AR133" s="4">
        <f t="shared" si="80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83">A117</f>
        <v>Capex vehicle</v>
      </c>
      <c r="B137" s="62">
        <f t="shared" ref="B137:B146" si="84">$B117+($C117-$B117)*(1-Q117)</f>
        <v>386191.20724655397</v>
      </c>
      <c r="C137" s="62">
        <f t="shared" ref="C137:C146" si="85">$B117+($C117-$B117)*(1-R117)</f>
        <v>380544.41838286084</v>
      </c>
      <c r="D137" s="62">
        <f t="shared" ref="D137:D146" si="86">$B117+($C117-$B117)*(1-S117)</f>
        <v>372802.88209752907</v>
      </c>
      <c r="E137" s="62">
        <f t="shared" ref="E137:E146" si="87">$B117+($C117-$B117)*(1-T117)</f>
        <v>362399.08687953383</v>
      </c>
      <c r="F137" s="62">
        <f t="shared" ref="F137:F146" si="88">$B117+($C117-$B117)*(1-U117)</f>
        <v>348799.3166641909</v>
      </c>
      <c r="G137" s="62">
        <f t="shared" ref="G137:G146" si="89">$B117+($C117-$B117)*(1-V117)</f>
        <v>331672.70473748312</v>
      </c>
      <c r="H137" s="62">
        <f t="shared" ref="H137:H146" si="90">$B117+($C117-$B117)*(1-W117)</f>
        <v>311121.26204490603</v>
      </c>
      <c r="I137" s="62">
        <f t="shared" ref="I137:I146" si="91">$B117+($C117-$B117)*(1-X117)</f>
        <v>287882.23209616641</v>
      </c>
      <c r="J137" s="62">
        <f t="shared" ref="J137:J146" si="92">$B117+($C117-$B117)*(1-Y117)</f>
        <v>263348.88352662267</v>
      </c>
      <c r="K137" s="62">
        <f t="shared" ref="K137:K146" si="93">$B117+($C117-$B117)*(1-Z117)</f>
        <v>239298.30536858604</v>
      </c>
      <c r="L137" s="62">
        <f t="shared" ref="L137:L146" si="94">$B117+($C117-$B117)*(1-AA117)</f>
        <v>217404.56902493956</v>
      </c>
      <c r="M137" s="62">
        <f t="shared" ref="M137:M146" si="95">$B117+($C117-$B117)*(1-AB117)</f>
        <v>198798.01086085022</v>
      </c>
      <c r="N137" s="62">
        <f t="shared" ref="N137:N146" si="96">$B117+($C117-$B117)*(1-AC117)</f>
        <v>183897.4900171854</v>
      </c>
      <c r="O137" s="62">
        <f t="shared" ref="O137:O146" si="97">$B117+($C117-$B117)*(1-AD117)</f>
        <v>172527.73128116049</v>
      </c>
      <c r="P137" s="62">
        <f t="shared" ref="P137:P146" si="98">$B117+($C117-$B117)*(1-AE117)</f>
        <v>164170.0467542134</v>
      </c>
      <c r="Q137" s="62">
        <f t="shared" ref="Q137:Q146" si="99">$B117+($C117-$B117)*(1-AF117)</f>
        <v>158194.42322526305</v>
      </c>
      <c r="R137" s="62">
        <f t="shared" ref="R137:R146" si="100">$B117+($C117-$B117)*(1-AG117)</f>
        <v>154006.39360946321</v>
      </c>
      <c r="S137" s="62">
        <f t="shared" ref="S137:S146" si="101">$B117+($C117-$B117)*(1-AH117)</f>
        <v>151112.20772852784</v>
      </c>
      <c r="T137" s="62">
        <f t="shared" ref="T137:T146" si="102">$B117+($C117-$B117)*(1-AI117)</f>
        <v>149131.57210738939</v>
      </c>
      <c r="U137" s="62">
        <f t="shared" ref="U137:U146" si="103">$B117+($C117-$B117)*(1-AJ117)</f>
        <v>147785.17134384764</v>
      </c>
      <c r="V137" s="62">
        <f t="shared" ref="V137:V146" si="104">$B117+($C117-$B117)*(1-AK117)</f>
        <v>146874.0769291053</v>
      </c>
      <c r="W137" s="62">
        <f t="shared" ref="W137:W146" si="105">$B117+($C117-$B117)*(1-AL117)</f>
        <v>146259.45168571896</v>
      </c>
      <c r="X137" s="62">
        <f t="shared" ref="X137:X146" si="106">$B117+($C117-$B117)*(1-AM117)</f>
        <v>145845.68902507037</v>
      </c>
      <c r="Y137" s="62">
        <f t="shared" ref="Y137:Y146" si="107">$B117+($C117-$B117)*(1-AN117)</f>
        <v>145567.53723474033</v>
      </c>
      <c r="Z137" s="62">
        <f t="shared" ref="Z137:Z146" si="108">$B117+($C117-$B117)*(1-AO117)</f>
        <v>145380.72644197271</v>
      </c>
      <c r="AA137" s="62">
        <f t="shared" ref="AA137:AA146" si="109">$B117+($C117-$B117)*(1-AP117)</f>
        <v>145255.34122836409</v>
      </c>
      <c r="AB137" s="62">
        <f t="shared" ref="AB137:AB146" si="110">$B117+($C117-$B117)*(1-AQ117)</f>
        <v>145171.22000562795</v>
      </c>
      <c r="AC137" s="62">
        <f t="shared" ref="AC137:AC146" si="111">$B117+($C117-$B117)*(1-AR117)</f>
        <v>145114.79902565962</v>
      </c>
    </row>
    <row r="138" spans="1:44" x14ac:dyDescent="0.3">
      <c r="A138" s="30" t="str">
        <f t="shared" si="83"/>
        <v>Residual value (vehicle)</v>
      </c>
      <c r="B138" s="62">
        <f t="shared" si="84"/>
        <v>-58713.886949433945</v>
      </c>
      <c r="C138" s="62">
        <f t="shared" si="85"/>
        <v>-58187.960535658603</v>
      </c>
      <c r="D138" s="62">
        <f t="shared" si="86"/>
        <v>-57466.935097318885</v>
      </c>
      <c r="E138" s="62">
        <f t="shared" si="87"/>
        <v>-56497.954170152661</v>
      </c>
      <c r="F138" s="62">
        <f t="shared" si="88"/>
        <v>-55231.308904998172</v>
      </c>
      <c r="G138" s="62">
        <f t="shared" si="89"/>
        <v>-53636.18328437343</v>
      </c>
      <c r="H138" s="62">
        <f t="shared" si="90"/>
        <v>-51722.078327711839</v>
      </c>
      <c r="I138" s="62">
        <f t="shared" si="91"/>
        <v>-49557.658871701773</v>
      </c>
      <c r="J138" s="62">
        <f t="shared" si="92"/>
        <v>-47272.690132381518</v>
      </c>
      <c r="K138" s="62">
        <f t="shared" si="93"/>
        <v>-45032.685303936931</v>
      </c>
      <c r="L138" s="62">
        <f t="shared" si="94"/>
        <v>-42993.562801342414</v>
      </c>
      <c r="M138" s="62">
        <f t="shared" si="95"/>
        <v>-41260.599050765464</v>
      </c>
      <c r="N138" s="62">
        <f t="shared" si="96"/>
        <v>-39872.805442777069</v>
      </c>
      <c r="O138" s="62">
        <f t="shared" si="97"/>
        <v>-38813.857325206125</v>
      </c>
      <c r="P138" s="62">
        <f t="shared" si="98"/>
        <v>-38035.445531029676</v>
      </c>
      <c r="Q138" s="62">
        <f t="shared" si="99"/>
        <v>-37478.892359215679</v>
      </c>
      <c r="R138" s="62">
        <f t="shared" si="100"/>
        <v>-37088.830777351963</v>
      </c>
      <c r="S138" s="62">
        <f t="shared" si="101"/>
        <v>-36819.274249225637</v>
      </c>
      <c r="T138" s="62">
        <f t="shared" si="102"/>
        <v>-36634.803284511756</v>
      </c>
      <c r="U138" s="62">
        <f t="shared" si="103"/>
        <v>-36509.403213397571</v>
      </c>
      <c r="V138" s="62">
        <f t="shared" si="104"/>
        <v>-36424.546380651969</v>
      </c>
      <c r="W138" s="62">
        <f t="shared" si="105"/>
        <v>-36367.30187268951</v>
      </c>
      <c r="X138" s="62">
        <f t="shared" si="106"/>
        <v>-36328.765154295776</v>
      </c>
      <c r="Y138" s="62">
        <f t="shared" si="107"/>
        <v>-36302.858860098364</v>
      </c>
      <c r="Z138" s="62">
        <f t="shared" si="108"/>
        <v>-36285.459815673923</v>
      </c>
      <c r="AA138" s="62">
        <f t="shared" si="109"/>
        <v>-36273.781781073129</v>
      </c>
      <c r="AB138" s="62">
        <f t="shared" si="110"/>
        <v>-36265.946961308488</v>
      </c>
      <c r="AC138" s="62">
        <f t="shared" si="111"/>
        <v>-36260.692066115356</v>
      </c>
    </row>
    <row r="139" spans="1:44" x14ac:dyDescent="0.3">
      <c r="A139" s="30" t="str">
        <f t="shared" si="83"/>
        <v>Capex costumization</v>
      </c>
      <c r="B139" s="62">
        <f t="shared" si="84"/>
        <v>60000</v>
      </c>
      <c r="C139" s="62">
        <f t="shared" si="85"/>
        <v>60000</v>
      </c>
      <c r="D139" s="62">
        <f t="shared" si="86"/>
        <v>60000</v>
      </c>
      <c r="E139" s="62">
        <f t="shared" si="87"/>
        <v>60000</v>
      </c>
      <c r="F139" s="62">
        <f t="shared" si="88"/>
        <v>60000</v>
      </c>
      <c r="G139" s="62">
        <f t="shared" si="89"/>
        <v>60000</v>
      </c>
      <c r="H139" s="62">
        <f t="shared" si="90"/>
        <v>60000</v>
      </c>
      <c r="I139" s="62">
        <f t="shared" si="91"/>
        <v>60000</v>
      </c>
      <c r="J139" s="62">
        <f t="shared" si="92"/>
        <v>60000</v>
      </c>
      <c r="K139" s="62">
        <f t="shared" si="93"/>
        <v>60000</v>
      </c>
      <c r="L139" s="62">
        <f t="shared" si="94"/>
        <v>60000</v>
      </c>
      <c r="M139" s="62">
        <f t="shared" si="95"/>
        <v>60000</v>
      </c>
      <c r="N139" s="62">
        <f t="shared" si="96"/>
        <v>60000</v>
      </c>
      <c r="O139" s="62">
        <f t="shared" si="97"/>
        <v>60000</v>
      </c>
      <c r="P139" s="62">
        <f t="shared" si="98"/>
        <v>60000</v>
      </c>
      <c r="Q139" s="62">
        <f t="shared" si="99"/>
        <v>60000</v>
      </c>
      <c r="R139" s="62">
        <f t="shared" si="100"/>
        <v>60000</v>
      </c>
      <c r="S139" s="62">
        <f t="shared" si="101"/>
        <v>60000</v>
      </c>
      <c r="T139" s="62">
        <f t="shared" si="102"/>
        <v>60000</v>
      </c>
      <c r="U139" s="62">
        <f t="shared" si="103"/>
        <v>60000</v>
      </c>
      <c r="V139" s="62">
        <f t="shared" si="104"/>
        <v>60000</v>
      </c>
      <c r="W139" s="62">
        <f t="shared" si="105"/>
        <v>60000</v>
      </c>
      <c r="X139" s="62">
        <f t="shared" si="106"/>
        <v>60000</v>
      </c>
      <c r="Y139" s="62">
        <f t="shared" si="107"/>
        <v>60000</v>
      </c>
      <c r="Z139" s="62">
        <f t="shared" si="108"/>
        <v>60000</v>
      </c>
      <c r="AA139" s="62">
        <f t="shared" si="109"/>
        <v>60000</v>
      </c>
      <c r="AB139" s="62">
        <f t="shared" si="110"/>
        <v>60000</v>
      </c>
      <c r="AC139" s="62">
        <f t="shared" si="111"/>
        <v>60000</v>
      </c>
    </row>
    <row r="140" spans="1:44" x14ac:dyDescent="0.3">
      <c r="A140" s="30" t="str">
        <f t="shared" si="83"/>
        <v>Residual value (costumization)</v>
      </c>
      <c r="B140" s="62">
        <f t="shared" si="84"/>
        <v>-15000</v>
      </c>
      <c r="C140" s="62">
        <f t="shared" si="85"/>
        <v>-15000</v>
      </c>
      <c r="D140" s="62">
        <f t="shared" si="86"/>
        <v>-15000</v>
      </c>
      <c r="E140" s="62">
        <f t="shared" si="87"/>
        <v>-15000</v>
      </c>
      <c r="F140" s="62">
        <f t="shared" si="88"/>
        <v>-15000</v>
      </c>
      <c r="G140" s="62">
        <f t="shared" si="89"/>
        <v>-15000</v>
      </c>
      <c r="H140" s="62">
        <f t="shared" si="90"/>
        <v>-15000</v>
      </c>
      <c r="I140" s="62">
        <f t="shared" si="91"/>
        <v>-15000</v>
      </c>
      <c r="J140" s="62">
        <f t="shared" si="92"/>
        <v>-15000</v>
      </c>
      <c r="K140" s="62">
        <f t="shared" si="93"/>
        <v>-15000</v>
      </c>
      <c r="L140" s="62">
        <f t="shared" si="94"/>
        <v>-15000</v>
      </c>
      <c r="M140" s="62">
        <f t="shared" si="95"/>
        <v>-15000</v>
      </c>
      <c r="N140" s="62">
        <f t="shared" si="96"/>
        <v>-15000</v>
      </c>
      <c r="O140" s="62">
        <f t="shared" si="97"/>
        <v>-15000</v>
      </c>
      <c r="P140" s="62">
        <f t="shared" si="98"/>
        <v>-15000</v>
      </c>
      <c r="Q140" s="62">
        <f t="shared" si="99"/>
        <v>-15000</v>
      </c>
      <c r="R140" s="62">
        <f t="shared" si="100"/>
        <v>-15000</v>
      </c>
      <c r="S140" s="62">
        <f t="shared" si="101"/>
        <v>-15000</v>
      </c>
      <c r="T140" s="62">
        <f t="shared" si="102"/>
        <v>-15000</v>
      </c>
      <c r="U140" s="62">
        <f t="shared" si="103"/>
        <v>-15000</v>
      </c>
      <c r="V140" s="62">
        <f t="shared" si="104"/>
        <v>-15000</v>
      </c>
      <c r="W140" s="62">
        <f t="shared" si="105"/>
        <v>-15000</v>
      </c>
      <c r="X140" s="62">
        <f t="shared" si="106"/>
        <v>-15000</v>
      </c>
      <c r="Y140" s="62">
        <f t="shared" si="107"/>
        <v>-15000</v>
      </c>
      <c r="Z140" s="62">
        <f t="shared" si="108"/>
        <v>-15000</v>
      </c>
      <c r="AA140" s="62">
        <f t="shared" si="109"/>
        <v>-15000</v>
      </c>
      <c r="AB140" s="62">
        <f t="shared" si="110"/>
        <v>-15000</v>
      </c>
      <c r="AC140" s="62">
        <f t="shared" si="111"/>
        <v>-15000</v>
      </c>
    </row>
    <row r="141" spans="1:44" x14ac:dyDescent="0.3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3">
      <c r="A142" s="30" t="str">
        <f t="shared" si="83"/>
        <v>Opex fix (admin, crew, insurance)</v>
      </c>
      <c r="B142" s="62">
        <f t="shared" si="84"/>
        <v>70000</v>
      </c>
      <c r="C142" s="62">
        <f t="shared" si="85"/>
        <v>70000</v>
      </c>
      <c r="D142" s="62">
        <f t="shared" si="86"/>
        <v>70000</v>
      </c>
      <c r="E142" s="62">
        <f t="shared" si="87"/>
        <v>70000</v>
      </c>
      <c r="F142" s="62">
        <f t="shared" si="88"/>
        <v>70000</v>
      </c>
      <c r="G142" s="62">
        <f t="shared" si="89"/>
        <v>70000</v>
      </c>
      <c r="H142" s="62">
        <f t="shared" si="90"/>
        <v>70000</v>
      </c>
      <c r="I142" s="62">
        <f t="shared" si="91"/>
        <v>70000</v>
      </c>
      <c r="J142" s="62">
        <f t="shared" si="92"/>
        <v>70000</v>
      </c>
      <c r="K142" s="62">
        <f t="shared" si="93"/>
        <v>70000</v>
      </c>
      <c r="L142" s="62">
        <f t="shared" si="94"/>
        <v>70000</v>
      </c>
      <c r="M142" s="62">
        <f t="shared" si="95"/>
        <v>70000</v>
      </c>
      <c r="N142" s="62">
        <f t="shared" si="96"/>
        <v>70000</v>
      </c>
      <c r="O142" s="62">
        <f t="shared" si="97"/>
        <v>70000</v>
      </c>
      <c r="P142" s="62">
        <f t="shared" si="98"/>
        <v>70000</v>
      </c>
      <c r="Q142" s="62">
        <f t="shared" si="99"/>
        <v>70000</v>
      </c>
      <c r="R142" s="62">
        <f t="shared" si="100"/>
        <v>70000</v>
      </c>
      <c r="S142" s="62">
        <f t="shared" si="101"/>
        <v>70000</v>
      </c>
      <c r="T142" s="62">
        <f t="shared" si="102"/>
        <v>70000</v>
      </c>
      <c r="U142" s="62">
        <f t="shared" si="103"/>
        <v>70000</v>
      </c>
      <c r="V142" s="62">
        <f t="shared" si="104"/>
        <v>70000</v>
      </c>
      <c r="W142" s="62">
        <f t="shared" si="105"/>
        <v>70000</v>
      </c>
      <c r="X142" s="62">
        <f t="shared" si="106"/>
        <v>70000</v>
      </c>
      <c r="Y142" s="62">
        <f t="shared" si="107"/>
        <v>70000</v>
      </c>
      <c r="Z142" s="62">
        <f t="shared" si="108"/>
        <v>70000</v>
      </c>
      <c r="AA142" s="62">
        <f t="shared" si="109"/>
        <v>70000</v>
      </c>
      <c r="AB142" s="62">
        <f t="shared" si="110"/>
        <v>70000</v>
      </c>
      <c r="AC142" s="62">
        <f t="shared" si="111"/>
        <v>70000</v>
      </c>
    </row>
    <row r="143" spans="1:44" x14ac:dyDescent="0.3">
      <c r="A143" s="30" t="str">
        <f t="shared" si="83"/>
        <v>Opex maintenance &amp; repair</v>
      </c>
      <c r="B143" s="62">
        <f t="shared" si="84"/>
        <v>15000</v>
      </c>
      <c r="C143" s="62">
        <f t="shared" si="85"/>
        <v>15000</v>
      </c>
      <c r="D143" s="62">
        <f t="shared" si="86"/>
        <v>15000</v>
      </c>
      <c r="E143" s="62">
        <f t="shared" si="87"/>
        <v>15000</v>
      </c>
      <c r="F143" s="62">
        <f t="shared" si="88"/>
        <v>15000</v>
      </c>
      <c r="G143" s="62">
        <f t="shared" si="89"/>
        <v>15000</v>
      </c>
      <c r="H143" s="62">
        <f t="shared" si="90"/>
        <v>15000</v>
      </c>
      <c r="I143" s="62">
        <f t="shared" si="91"/>
        <v>15000</v>
      </c>
      <c r="J143" s="62">
        <f t="shared" si="92"/>
        <v>15000</v>
      </c>
      <c r="K143" s="62">
        <f t="shared" si="93"/>
        <v>15000</v>
      </c>
      <c r="L143" s="62">
        <f t="shared" si="94"/>
        <v>15000</v>
      </c>
      <c r="M143" s="62">
        <f t="shared" si="95"/>
        <v>15000</v>
      </c>
      <c r="N143" s="62">
        <f t="shared" si="96"/>
        <v>15000</v>
      </c>
      <c r="O143" s="62">
        <f t="shared" si="97"/>
        <v>15000</v>
      </c>
      <c r="P143" s="62">
        <f t="shared" si="98"/>
        <v>15000</v>
      </c>
      <c r="Q143" s="62">
        <f t="shared" si="99"/>
        <v>15000</v>
      </c>
      <c r="R143" s="62">
        <f t="shared" si="100"/>
        <v>15000</v>
      </c>
      <c r="S143" s="62">
        <f t="shared" si="101"/>
        <v>15000</v>
      </c>
      <c r="T143" s="62">
        <f t="shared" si="102"/>
        <v>15000</v>
      </c>
      <c r="U143" s="62">
        <f t="shared" si="103"/>
        <v>15000</v>
      </c>
      <c r="V143" s="62">
        <f t="shared" si="104"/>
        <v>15000</v>
      </c>
      <c r="W143" s="62">
        <f t="shared" si="105"/>
        <v>15000</v>
      </c>
      <c r="X143" s="62">
        <f t="shared" si="106"/>
        <v>15000</v>
      </c>
      <c r="Y143" s="62">
        <f t="shared" si="107"/>
        <v>15000</v>
      </c>
      <c r="Z143" s="62">
        <f t="shared" si="108"/>
        <v>15000</v>
      </c>
      <c r="AA143" s="62">
        <f t="shared" si="109"/>
        <v>15000</v>
      </c>
      <c r="AB143" s="62">
        <f t="shared" si="110"/>
        <v>15000</v>
      </c>
      <c r="AC143" s="62">
        <f t="shared" si="111"/>
        <v>15000</v>
      </c>
    </row>
    <row r="144" spans="1:44" x14ac:dyDescent="0.3">
      <c r="A144" s="30" t="str">
        <f t="shared" si="83"/>
        <v>Opex var (mode-fees)</v>
      </c>
      <c r="B144" s="62">
        <f t="shared" si="84"/>
        <v>0.11</v>
      </c>
      <c r="C144" s="62">
        <f t="shared" si="85"/>
        <v>0.11</v>
      </c>
      <c r="D144" s="62">
        <f t="shared" si="86"/>
        <v>0.11</v>
      </c>
      <c r="E144" s="62">
        <f t="shared" si="87"/>
        <v>0.11</v>
      </c>
      <c r="F144" s="62">
        <f t="shared" si="88"/>
        <v>0.11</v>
      </c>
      <c r="G144" s="62">
        <f t="shared" si="89"/>
        <v>0.11</v>
      </c>
      <c r="H144" s="62">
        <f t="shared" si="90"/>
        <v>0.11</v>
      </c>
      <c r="I144" s="62">
        <f t="shared" si="91"/>
        <v>0.11</v>
      </c>
      <c r="J144" s="62">
        <f t="shared" si="92"/>
        <v>0.11</v>
      </c>
      <c r="K144" s="62">
        <f t="shared" si="93"/>
        <v>0.11</v>
      </c>
      <c r="L144" s="62">
        <f t="shared" si="94"/>
        <v>0.11</v>
      </c>
      <c r="M144" s="62">
        <f t="shared" si="95"/>
        <v>0.11</v>
      </c>
      <c r="N144" s="62">
        <f t="shared" si="96"/>
        <v>0.11</v>
      </c>
      <c r="O144" s="62">
        <f t="shared" si="97"/>
        <v>0.11</v>
      </c>
      <c r="P144" s="62">
        <f t="shared" si="98"/>
        <v>0.11</v>
      </c>
      <c r="Q144" s="62">
        <f t="shared" si="99"/>
        <v>0.11</v>
      </c>
      <c r="R144" s="62">
        <f t="shared" si="100"/>
        <v>0.11</v>
      </c>
      <c r="S144" s="62">
        <f t="shared" si="101"/>
        <v>0.11</v>
      </c>
      <c r="T144" s="62">
        <f t="shared" si="102"/>
        <v>0.11</v>
      </c>
      <c r="U144" s="62">
        <f t="shared" si="103"/>
        <v>0.11</v>
      </c>
      <c r="V144" s="62">
        <f t="shared" si="104"/>
        <v>0.11</v>
      </c>
      <c r="W144" s="62">
        <f t="shared" si="105"/>
        <v>0.11</v>
      </c>
      <c r="X144" s="62">
        <f t="shared" si="106"/>
        <v>0.11</v>
      </c>
      <c r="Y144" s="62">
        <f t="shared" si="107"/>
        <v>0.11</v>
      </c>
      <c r="Z144" s="62">
        <f t="shared" si="108"/>
        <v>0.11</v>
      </c>
      <c r="AA144" s="62">
        <f t="shared" si="109"/>
        <v>0.11</v>
      </c>
      <c r="AB144" s="62">
        <f t="shared" si="110"/>
        <v>0.11</v>
      </c>
      <c r="AC144" s="62">
        <f t="shared" si="111"/>
        <v>0.11</v>
      </c>
    </row>
    <row r="145" spans="1:29" x14ac:dyDescent="0.3">
      <c r="A145" s="30" t="str">
        <f t="shared" si="83"/>
        <v>Fuel Economy</v>
      </c>
      <c r="B145" s="62">
        <f t="shared" si="84"/>
        <v>1.499963712475392</v>
      </c>
      <c r="C145" s="62">
        <f t="shared" si="85"/>
        <v>1.4917703325555236</v>
      </c>
      <c r="D145" s="62">
        <f t="shared" si="86"/>
        <v>1.4805375152003362</v>
      </c>
      <c r="E145" s="62">
        <f t="shared" si="87"/>
        <v>1.4654418123350099</v>
      </c>
      <c r="F145" s="62">
        <f t="shared" si="88"/>
        <v>1.4457088124147084</v>
      </c>
      <c r="G145" s="62">
        <f t="shared" si="89"/>
        <v>1.4208584343249755</v>
      </c>
      <c r="H145" s="62">
        <f t="shared" si="90"/>
        <v>1.3910386939475108</v>
      </c>
      <c r="I145" s="62">
        <f t="shared" si="91"/>
        <v>1.3573193171591433</v>
      </c>
      <c r="J145" s="62">
        <f t="shared" si="92"/>
        <v>1.3217219094307857</v>
      </c>
      <c r="K145" s="62">
        <f t="shared" si="93"/>
        <v>1.2868249921034385</v>
      </c>
      <c r="L145" s="62">
        <f t="shared" si="94"/>
        <v>1.2550576099577553</v>
      </c>
      <c r="M145" s="62">
        <f t="shared" si="95"/>
        <v>1.2280598588961356</v>
      </c>
      <c r="N145" s="62">
        <f t="shared" si="96"/>
        <v>1.2064394953190534</v>
      </c>
      <c r="O145" s="62">
        <f t="shared" si="97"/>
        <v>1.1899421983295269</v>
      </c>
      <c r="P145" s="62">
        <f t="shared" si="98"/>
        <v>1.1778153619570939</v>
      </c>
      <c r="Q145" s="62">
        <f t="shared" si="99"/>
        <v>1.1691448493856758</v>
      </c>
      <c r="R145" s="62">
        <f t="shared" si="100"/>
        <v>1.1630681005313779</v>
      </c>
      <c r="S145" s="62">
        <f t="shared" si="101"/>
        <v>1.1588686935668835</v>
      </c>
      <c r="T145" s="62">
        <f t="shared" si="102"/>
        <v>1.1559948301166041</v>
      </c>
      <c r="U145" s="62">
        <f t="shared" si="103"/>
        <v>1.1540412290087201</v>
      </c>
      <c r="V145" s="62">
        <f t="shared" si="104"/>
        <v>1.1527192488775253</v>
      </c>
      <c r="W145" s="62">
        <f t="shared" si="105"/>
        <v>1.151827439700847</v>
      </c>
      <c r="X145" s="62">
        <f t="shared" si="106"/>
        <v>1.1512270781932392</v>
      </c>
      <c r="Y145" s="62">
        <f t="shared" si="107"/>
        <v>1.150823485399427</v>
      </c>
      <c r="Z145" s="62">
        <f t="shared" si="108"/>
        <v>1.1505524266020779</v>
      </c>
      <c r="AA145" s="62">
        <f t="shared" si="109"/>
        <v>1.1503704951156655</v>
      </c>
      <c r="AB145" s="62">
        <f t="shared" si="110"/>
        <v>1.1502484368709109</v>
      </c>
      <c r="AC145" s="62">
        <f t="shared" si="111"/>
        <v>1.1501665711352707</v>
      </c>
    </row>
    <row r="146" spans="1:29" x14ac:dyDescent="0.3">
      <c r="A146" s="30" t="str">
        <f t="shared" si="83"/>
        <v>Fuel Cost</v>
      </c>
      <c r="B146" s="62">
        <f t="shared" si="84"/>
        <v>9.2331951136741086E-2</v>
      </c>
      <c r="C146" s="62">
        <f t="shared" si="85"/>
        <v>9.2222956120974545E-2</v>
      </c>
      <c r="D146" s="62">
        <f t="shared" si="86"/>
        <v>9.2068198823216471E-2</v>
      </c>
      <c r="E146" s="62">
        <f t="shared" si="87"/>
        <v>9.1849464254062249E-2</v>
      </c>
      <c r="F146" s="62">
        <f t="shared" si="88"/>
        <v>9.1542364865268247E-2</v>
      </c>
      <c r="G146" s="62">
        <f t="shared" si="89"/>
        <v>9.1115385234314353E-2</v>
      </c>
      <c r="H146" s="62">
        <f t="shared" si="90"/>
        <v>9.0530012133616333E-2</v>
      </c>
      <c r="I146" s="62">
        <f t="shared" si="91"/>
        <v>8.9743333412323725E-2</v>
      </c>
      <c r="J146" s="62">
        <f t="shared" si="92"/>
        <v>8.8714992348442129E-2</v>
      </c>
      <c r="K146" s="62">
        <f t="shared" si="93"/>
        <v>8.7419970590682711E-2</v>
      </c>
      <c r="L146" s="62">
        <f t="shared" si="94"/>
        <v>8.5865981654976761E-2</v>
      </c>
      <c r="M146" s="62">
        <f t="shared" si="95"/>
        <v>8.4108771907851612E-2</v>
      </c>
      <c r="N146" s="62">
        <f t="shared" si="96"/>
        <v>8.2253692787461766E-2</v>
      </c>
      <c r="O146" s="62">
        <f t="shared" si="97"/>
        <v>8.0435118154333018E-2</v>
      </c>
      <c r="P146" s="62">
        <f t="shared" si="98"/>
        <v>7.8779632233065888E-2</v>
      </c>
      <c r="Q146" s="62">
        <f t="shared" si="99"/>
        <v>7.7372704945717463E-2</v>
      </c>
      <c r="R146" s="62">
        <f t="shared" si="100"/>
        <v>7.6246008154952791E-2</v>
      </c>
      <c r="S146" s="62">
        <f t="shared" si="101"/>
        <v>7.5386288497227227E-2</v>
      </c>
      <c r="T146" s="62">
        <f t="shared" si="102"/>
        <v>7.4754325599182742E-2</v>
      </c>
      <c r="U146" s="62">
        <f t="shared" si="103"/>
        <v>7.4302481269476042E-2</v>
      </c>
      <c r="V146" s="62">
        <f t="shared" si="104"/>
        <v>7.3985805122564349E-2</v>
      </c>
      <c r="W146" s="62">
        <f t="shared" si="105"/>
        <v>7.3766962440611206E-2</v>
      </c>
      <c r="X146" s="62">
        <f t="shared" si="106"/>
        <v>7.3617197488001537E-2</v>
      </c>
      <c r="Y146" s="62">
        <f t="shared" si="107"/>
        <v>7.3515389944810147E-2</v>
      </c>
      <c r="Z146" s="62">
        <f t="shared" si="108"/>
        <v>7.3446497913186276E-2</v>
      </c>
      <c r="AA146" s="62">
        <f t="shared" si="109"/>
        <v>7.3400023276728135E-2</v>
      </c>
      <c r="AB146" s="62">
        <f t="shared" si="110"/>
        <v>7.3368736782330912E-2</v>
      </c>
      <c r="AC146" s="62">
        <f t="shared" si="111"/>
        <v>7.3347704448441492E-2</v>
      </c>
    </row>
    <row r="147" spans="1:29" x14ac:dyDescent="0.3">
      <c r="A147" s="30" t="str">
        <f t="shared" ref="A147" si="112">A127</f>
        <v>Emission Cost</v>
      </c>
      <c r="B147" s="66">
        <f>$B127+($C127-$B127)*(1-Q127)</f>
        <v>3.5122691839304448E-3</v>
      </c>
      <c r="C147" s="66">
        <f t="shared" ref="C147" si="113">$B127+($C127-$B127)*(1-R127)</f>
        <v>3.5089246478970256E-3</v>
      </c>
      <c r="D147" s="66">
        <f t="shared" ref="D147" si="114">$B127+($C127-$B127)*(1-S127)</f>
        <v>3.5041370190587195E-3</v>
      </c>
      <c r="E147" s="66">
        <f t="shared" ref="E147" si="115">$B127+($C127-$B127)*(1-T127)</f>
        <v>3.4972879793244123E-3</v>
      </c>
      <c r="F147" s="66">
        <f t="shared" ref="F147" si="116">$B127+($C127-$B127)*(1-U127)</f>
        <v>3.4874991902284352E-3</v>
      </c>
      <c r="G147" s="66">
        <f t="shared" ref="G147" si="117">$B127+($C127-$B127)*(1-V127)</f>
        <v>3.4735284727434282E-3</v>
      </c>
      <c r="H147" s="66">
        <f t="shared" ref="H147" si="118">$B127+($C127-$B127)*(1-W127)</f>
        <v>3.4536307436526109E-3</v>
      </c>
      <c r="I147" s="66">
        <f t="shared" ref="I147" si="119">$B127+($C127-$B127)*(1-X127)</f>
        <v>3.4253788207186963E-3</v>
      </c>
      <c r="J147" s="66">
        <f t="shared" ref="J147" si="120">$B127+($C127-$B127)*(1-Y127)</f>
        <v>3.3854474424880663E-3</v>
      </c>
      <c r="K147" s="66">
        <f t="shared" ref="K147" si="121">$B127+($C127-$B127)*(1-Z127)</f>
        <v>3.3293845078740006E-3</v>
      </c>
      <c r="L147" s="66">
        <f t="shared" ref="L147" si="122">$B127+($C127-$B127)*(1-AA127)</f>
        <v>3.251436677284981E-3</v>
      </c>
      <c r="M147" s="66">
        <f t="shared" ref="M147" si="123">$B127+($C127-$B127)*(1-AB127)</f>
        <v>3.1445731175815781E-3</v>
      </c>
      <c r="N147" s="66">
        <f t="shared" ref="N147" si="124">$B127+($C127-$B127)*(1-AC127)</f>
        <v>3.0009599443763112E-3</v>
      </c>
      <c r="O147" s="66">
        <f t="shared" ref="O147" si="125">$B127+($C127-$B127)*(1-AD127)</f>
        <v>2.813229782972361E-3</v>
      </c>
      <c r="P147" s="66">
        <f t="shared" ref="P147" si="126">$B127+($C127-$B127)*(1-AE127)</f>
        <v>2.5768153751997672E-3</v>
      </c>
      <c r="Q147" s="66">
        <f t="shared" ref="Q147" si="127">$B127+($C127-$B127)*(1-AF127)</f>
        <v>2.2931248721492917E-3</v>
      </c>
      <c r="R147" s="66">
        <f t="shared" ref="R147" si="128">$B127+($C127-$B127)*(1-AG127)</f>
        <v>1.9723351254059053E-3</v>
      </c>
      <c r="S147" s="66">
        <f t="shared" ref="S147" si="129">$B127+($C127-$B127)*(1-AH127)</f>
        <v>1.6336787059361244E-3</v>
      </c>
      <c r="T147" s="66">
        <f t="shared" ref="T147" si="130">$B127+($C127-$B127)*(1-AI127)</f>
        <v>1.3016864113624426E-3</v>
      </c>
      <c r="U147" s="66">
        <f t="shared" ref="U147" si="131">$B127+($C127-$B127)*(1-AJ127)</f>
        <v>9.9946699203053851E-4</v>
      </c>
      <c r="V147" s="66">
        <f t="shared" ref="V147" si="132">$B127+($C127-$B127)*(1-AK127)</f>
        <v>7.4262352247134438E-4</v>
      </c>
      <c r="W147" s="66">
        <f t="shared" ref="W147" si="133">$B127+($C127-$B127)*(1-AL127)</f>
        <v>5.3693790141369664E-4</v>
      </c>
      <c r="X147" s="66">
        <f t="shared" ref="X147" si="134">$B127+($C127-$B127)*(1-AM127)</f>
        <v>3.7999064356739184E-4</v>
      </c>
      <c r="Y147" s="66">
        <f t="shared" ref="Y147" si="135">$B127+($C127-$B127)*(1-AN127)</f>
        <v>2.646218218620832E-4</v>
      </c>
      <c r="Z147" s="66">
        <f t="shared" ref="Z147" si="136">$B127+($C127-$B127)*(1-AO127)</f>
        <v>1.8213478334480789E-4</v>
      </c>
      <c r="AA147" s="66">
        <f t="shared" ref="AA147" si="137">$B127+($C127-$B127)*(1-AP127)</f>
        <v>1.2432355100121771E-4</v>
      </c>
      <c r="AB147" s="66">
        <f t="shared" ref="AB147" si="138">$B127+($C127-$B127)*(1-AQ127)</f>
        <v>8.4372436095756821E-5</v>
      </c>
      <c r="AC147" s="66">
        <f t="shared" ref="AC147" si="139">$B127+($C127-$B127)*(1-AR127)</f>
        <v>5.7031897325531943E-5</v>
      </c>
    </row>
    <row r="148" spans="1:29" x14ac:dyDescent="0.3">
      <c r="A148" s="30" t="str">
        <f>A128</f>
        <v>Lifetime vehicle</v>
      </c>
      <c r="B148" s="62">
        <f>$B128+($C128-$B128)*(1-Q128)</f>
        <v>8</v>
      </c>
      <c r="C148" s="62">
        <f t="shared" ref="C148:L150" si="140">$B128+($C128-$B128)*(1-R128)</f>
        <v>8</v>
      </c>
      <c r="D148" s="62">
        <f t="shared" si="140"/>
        <v>8</v>
      </c>
      <c r="E148" s="62">
        <f t="shared" si="140"/>
        <v>8</v>
      </c>
      <c r="F148" s="62">
        <f t="shared" si="140"/>
        <v>8</v>
      </c>
      <c r="G148" s="62">
        <f t="shared" si="140"/>
        <v>8</v>
      </c>
      <c r="H148" s="62">
        <f t="shared" si="140"/>
        <v>8</v>
      </c>
      <c r="I148" s="62">
        <f t="shared" si="140"/>
        <v>8</v>
      </c>
      <c r="J148" s="62">
        <f t="shared" si="140"/>
        <v>8</v>
      </c>
      <c r="K148" s="62">
        <f t="shared" si="140"/>
        <v>8</v>
      </c>
      <c r="L148" s="62">
        <f t="shared" si="140"/>
        <v>8</v>
      </c>
      <c r="M148" s="62">
        <f t="shared" ref="M148:V150" si="141">$B128+($C128-$B128)*(1-AB128)</f>
        <v>8</v>
      </c>
      <c r="N148" s="62">
        <f t="shared" si="141"/>
        <v>8</v>
      </c>
      <c r="O148" s="62">
        <f t="shared" si="141"/>
        <v>8</v>
      </c>
      <c r="P148" s="62">
        <f t="shared" si="141"/>
        <v>8</v>
      </c>
      <c r="Q148" s="62">
        <f t="shared" si="141"/>
        <v>8</v>
      </c>
      <c r="R148" s="62">
        <f t="shared" si="141"/>
        <v>8</v>
      </c>
      <c r="S148" s="62">
        <f t="shared" si="141"/>
        <v>8</v>
      </c>
      <c r="T148" s="62">
        <f t="shared" si="141"/>
        <v>8</v>
      </c>
      <c r="U148" s="62">
        <f t="shared" si="141"/>
        <v>8</v>
      </c>
      <c r="V148" s="62">
        <f t="shared" si="141"/>
        <v>8</v>
      </c>
      <c r="W148" s="62">
        <f t="shared" ref="W148:AC150" si="142">$B128+($C128-$B128)*(1-AL128)</f>
        <v>8</v>
      </c>
      <c r="X148" s="62">
        <f t="shared" si="142"/>
        <v>8</v>
      </c>
      <c r="Y148" s="62">
        <f t="shared" si="142"/>
        <v>8</v>
      </c>
      <c r="Z148" s="62">
        <f t="shared" si="142"/>
        <v>8</v>
      </c>
      <c r="AA148" s="62">
        <f t="shared" si="142"/>
        <v>8</v>
      </c>
      <c r="AB148" s="62">
        <f t="shared" si="142"/>
        <v>8</v>
      </c>
      <c r="AC148" s="62">
        <f t="shared" si="142"/>
        <v>8</v>
      </c>
    </row>
    <row r="149" spans="1:29" x14ac:dyDescent="0.3">
      <c r="A149" s="30" t="str">
        <f>A129</f>
        <v>Lifetime costumization</v>
      </c>
      <c r="B149" s="62">
        <f>$B129+($C129-$B129)*(1-Q129)</f>
        <v>10</v>
      </c>
      <c r="C149" s="62">
        <f t="shared" si="140"/>
        <v>10</v>
      </c>
      <c r="D149" s="62">
        <f t="shared" si="140"/>
        <v>10</v>
      </c>
      <c r="E149" s="62">
        <f t="shared" si="140"/>
        <v>10</v>
      </c>
      <c r="F149" s="62">
        <f t="shared" si="140"/>
        <v>10</v>
      </c>
      <c r="G149" s="62">
        <f t="shared" si="140"/>
        <v>10</v>
      </c>
      <c r="H149" s="62">
        <f t="shared" si="140"/>
        <v>10</v>
      </c>
      <c r="I149" s="62">
        <f t="shared" si="140"/>
        <v>10</v>
      </c>
      <c r="J149" s="62">
        <f t="shared" si="140"/>
        <v>10</v>
      </c>
      <c r="K149" s="62">
        <f t="shared" si="140"/>
        <v>10</v>
      </c>
      <c r="L149" s="62">
        <f t="shared" si="140"/>
        <v>10</v>
      </c>
      <c r="M149" s="62">
        <f t="shared" si="141"/>
        <v>10</v>
      </c>
      <c r="N149" s="62">
        <f t="shared" si="141"/>
        <v>10</v>
      </c>
      <c r="O149" s="62">
        <f t="shared" si="141"/>
        <v>10</v>
      </c>
      <c r="P149" s="62">
        <f t="shared" si="141"/>
        <v>10</v>
      </c>
      <c r="Q149" s="62">
        <f t="shared" si="141"/>
        <v>10</v>
      </c>
      <c r="R149" s="62">
        <f t="shared" si="141"/>
        <v>10</v>
      </c>
      <c r="S149" s="62">
        <f t="shared" si="141"/>
        <v>10</v>
      </c>
      <c r="T149" s="62">
        <f t="shared" si="141"/>
        <v>10</v>
      </c>
      <c r="U149" s="62">
        <f t="shared" si="141"/>
        <v>10</v>
      </c>
      <c r="V149" s="62">
        <f t="shared" si="141"/>
        <v>10</v>
      </c>
      <c r="W149" s="62">
        <f t="shared" si="142"/>
        <v>10</v>
      </c>
      <c r="X149" s="62">
        <f t="shared" si="142"/>
        <v>10</v>
      </c>
      <c r="Y149" s="62">
        <f t="shared" si="142"/>
        <v>10</v>
      </c>
      <c r="Z149" s="62">
        <f t="shared" si="142"/>
        <v>10</v>
      </c>
      <c r="AA149" s="62">
        <f t="shared" si="142"/>
        <v>10</v>
      </c>
      <c r="AB149" s="62">
        <f t="shared" si="142"/>
        <v>10</v>
      </c>
      <c r="AC149" s="62">
        <f t="shared" si="142"/>
        <v>10</v>
      </c>
    </row>
    <row r="150" spans="1:29" x14ac:dyDescent="0.3">
      <c r="A150" s="30" t="str">
        <f>A130</f>
        <v>Tonnage .</v>
      </c>
      <c r="B150" s="62">
        <f>$B130+($C130-$B130)*(1-Q130)</f>
        <v>25</v>
      </c>
      <c r="C150" s="62">
        <f t="shared" si="140"/>
        <v>25</v>
      </c>
      <c r="D150" s="62">
        <f t="shared" si="140"/>
        <v>25</v>
      </c>
      <c r="E150" s="62">
        <f t="shared" si="140"/>
        <v>25</v>
      </c>
      <c r="F150" s="62">
        <f t="shared" si="140"/>
        <v>25</v>
      </c>
      <c r="G150" s="62">
        <f t="shared" si="140"/>
        <v>25</v>
      </c>
      <c r="H150" s="62">
        <f t="shared" si="140"/>
        <v>25</v>
      </c>
      <c r="I150" s="62">
        <f t="shared" si="140"/>
        <v>25</v>
      </c>
      <c r="J150" s="62">
        <f t="shared" si="140"/>
        <v>25</v>
      </c>
      <c r="K150" s="62">
        <f t="shared" si="140"/>
        <v>25</v>
      </c>
      <c r="L150" s="62">
        <f t="shared" si="140"/>
        <v>25</v>
      </c>
      <c r="M150" s="62">
        <f t="shared" si="141"/>
        <v>25</v>
      </c>
      <c r="N150" s="62">
        <f t="shared" si="141"/>
        <v>25</v>
      </c>
      <c r="O150" s="62">
        <f t="shared" si="141"/>
        <v>25</v>
      </c>
      <c r="P150" s="62">
        <f t="shared" si="141"/>
        <v>25</v>
      </c>
      <c r="Q150" s="62">
        <f t="shared" si="141"/>
        <v>25</v>
      </c>
      <c r="R150" s="62">
        <f t="shared" si="141"/>
        <v>25</v>
      </c>
      <c r="S150" s="62">
        <f t="shared" si="141"/>
        <v>25</v>
      </c>
      <c r="T150" s="62">
        <f t="shared" si="141"/>
        <v>25</v>
      </c>
      <c r="U150" s="62">
        <f t="shared" si="141"/>
        <v>25</v>
      </c>
      <c r="V150" s="62">
        <f t="shared" si="141"/>
        <v>25</v>
      </c>
      <c r="W150" s="62">
        <f t="shared" si="142"/>
        <v>25</v>
      </c>
      <c r="X150" s="62">
        <f t="shared" si="142"/>
        <v>25</v>
      </c>
      <c r="Y150" s="62">
        <f t="shared" si="142"/>
        <v>25</v>
      </c>
      <c r="Z150" s="62">
        <f t="shared" si="142"/>
        <v>25</v>
      </c>
      <c r="AA150" s="62">
        <f t="shared" si="142"/>
        <v>25</v>
      </c>
      <c r="AB150" s="62">
        <f t="shared" si="142"/>
        <v>25</v>
      </c>
      <c r="AC150" s="62">
        <f t="shared" si="142"/>
        <v>25</v>
      </c>
    </row>
    <row r="151" spans="1:29" x14ac:dyDescent="0.3">
      <c r="A151" s="30" t="str">
        <f>A131</f>
        <v>Market failure (av. utilization)</v>
      </c>
      <c r="B151" s="62">
        <f t="shared" ref="B151:K152" si="143">($B131+($C131-$B131)*(1-Q131))*B$44</f>
        <v>12</v>
      </c>
      <c r="C151" s="62">
        <f t="shared" si="143"/>
        <v>12</v>
      </c>
      <c r="D151" s="62">
        <f t="shared" si="143"/>
        <v>12</v>
      </c>
      <c r="E151" s="62">
        <f t="shared" si="143"/>
        <v>12</v>
      </c>
      <c r="F151" s="62">
        <f t="shared" si="143"/>
        <v>12</v>
      </c>
      <c r="G151" s="62">
        <f t="shared" si="143"/>
        <v>12</v>
      </c>
      <c r="H151" s="62">
        <f t="shared" si="143"/>
        <v>12</v>
      </c>
      <c r="I151" s="62">
        <f t="shared" si="143"/>
        <v>12</v>
      </c>
      <c r="J151" s="62">
        <f t="shared" si="143"/>
        <v>12</v>
      </c>
      <c r="K151" s="62">
        <f t="shared" si="143"/>
        <v>12</v>
      </c>
      <c r="L151" s="62">
        <f t="shared" ref="L151:U152" si="144">($B131+($C131-$B131)*(1-AA131))*L$44</f>
        <v>12</v>
      </c>
      <c r="M151" s="62">
        <f t="shared" si="144"/>
        <v>12</v>
      </c>
      <c r="N151" s="62">
        <f t="shared" si="144"/>
        <v>12</v>
      </c>
      <c r="O151" s="62">
        <f t="shared" si="144"/>
        <v>12</v>
      </c>
      <c r="P151" s="62">
        <f t="shared" si="144"/>
        <v>12</v>
      </c>
      <c r="Q151" s="62">
        <f t="shared" si="144"/>
        <v>12</v>
      </c>
      <c r="R151" s="62">
        <f t="shared" si="144"/>
        <v>12</v>
      </c>
      <c r="S151" s="62">
        <f t="shared" si="144"/>
        <v>12</v>
      </c>
      <c r="T151" s="62">
        <f t="shared" si="144"/>
        <v>12</v>
      </c>
      <c r="U151" s="62">
        <f t="shared" si="144"/>
        <v>12</v>
      </c>
      <c r="V151" s="62">
        <f t="shared" ref="V151:AC152" si="145">($B131+($C131-$B131)*(1-AK131))*V$44</f>
        <v>12</v>
      </c>
      <c r="W151" s="62">
        <f t="shared" si="145"/>
        <v>12</v>
      </c>
      <c r="X151" s="62">
        <f t="shared" si="145"/>
        <v>12</v>
      </c>
      <c r="Y151" s="62">
        <f t="shared" si="145"/>
        <v>12</v>
      </c>
      <c r="Z151" s="62">
        <f t="shared" si="145"/>
        <v>12</v>
      </c>
      <c r="AA151" s="62">
        <f t="shared" si="145"/>
        <v>12</v>
      </c>
      <c r="AB151" s="62">
        <f t="shared" si="145"/>
        <v>12</v>
      </c>
      <c r="AC151" s="62">
        <f t="shared" si="145"/>
        <v>12</v>
      </c>
    </row>
    <row r="152" spans="1:29" x14ac:dyDescent="0.3">
      <c r="A152" s="30" t="s">
        <v>73</v>
      </c>
      <c r="B152" s="62">
        <f t="shared" si="143"/>
        <v>2.4834973269685467</v>
      </c>
      <c r="C152" s="62">
        <f t="shared" si="143"/>
        <v>2.4764313720357283</v>
      </c>
      <c r="D152" s="62">
        <f t="shared" si="143"/>
        <v>2.4663987289484006</v>
      </c>
      <c r="E152" s="62">
        <f t="shared" si="143"/>
        <v>2.4522185520199096</v>
      </c>
      <c r="F152" s="62">
        <f t="shared" si="143"/>
        <v>2.4323098394438922</v>
      </c>
      <c r="G152" s="62">
        <f t="shared" si="143"/>
        <v>2.4046295018767689</v>
      </c>
      <c r="H152" s="62">
        <f t="shared" si="143"/>
        <v>2.3666807945957307</v>
      </c>
      <c r="I152" s="62">
        <f t="shared" si="143"/>
        <v>2.3156817984290878</v>
      </c>
      <c r="J152" s="62">
        <f t="shared" si="143"/>
        <v>2.2490162581577988</v>
      </c>
      <c r="K152" s="62">
        <f t="shared" si="143"/>
        <v>2.1650622781249176</v>
      </c>
      <c r="L152" s="62">
        <f t="shared" si="144"/>
        <v>2.0643199119848337</v>
      </c>
      <c r="M152" s="62">
        <f t="shared" si="144"/>
        <v>1.9504030985106198</v>
      </c>
      <c r="N152" s="62">
        <f t="shared" si="144"/>
        <v>1.8301415859148171</v>
      </c>
      <c r="O152" s="62">
        <f t="shared" si="144"/>
        <v>1.7122465949440495</v>
      </c>
      <c r="P152" s="62">
        <f t="shared" si="144"/>
        <v>1.6049243579653898</v>
      </c>
      <c r="Q152" s="62">
        <f t="shared" si="144"/>
        <v>1.5137157395139718</v>
      </c>
      <c r="R152" s="62">
        <f t="shared" si="144"/>
        <v>1.4406739706724776</v>
      </c>
      <c r="S152" s="62">
        <f t="shared" si="144"/>
        <v>1.3849398592213749</v>
      </c>
      <c r="T152" s="62">
        <f t="shared" si="144"/>
        <v>1.3439708174226148</v>
      </c>
      <c r="U152" s="62">
        <f t="shared" si="144"/>
        <v>1.3146785452218777</v>
      </c>
      <c r="V152" s="62">
        <f t="shared" si="145"/>
        <v>1.2941489882816826</v>
      </c>
      <c r="W152" s="62">
        <f t="shared" si="145"/>
        <v>1.2799618025908228</v>
      </c>
      <c r="X152" s="62">
        <f t="shared" si="145"/>
        <v>1.2702528044479873</v>
      </c>
      <c r="Y152" s="62">
        <f t="shared" si="145"/>
        <v>1.2636528007051355</v>
      </c>
      <c r="Z152" s="62">
        <f t="shared" si="145"/>
        <v>1.2591866516132615</v>
      </c>
      <c r="AA152" s="62">
        <f t="shared" si="145"/>
        <v>1.2561737827731323</v>
      </c>
      <c r="AB152" s="62">
        <f t="shared" si="145"/>
        <v>1.2541455344366195</v>
      </c>
      <c r="AC152" s="62">
        <f t="shared" si="145"/>
        <v>1.2527820452683351</v>
      </c>
    </row>
    <row r="153" spans="1:29" x14ac:dyDescent="0.3">
      <c r="A153" s="30" t="str">
        <f>A133</f>
        <v>Annual Mileage</v>
      </c>
      <c r="B153" s="62">
        <f t="shared" ref="B153:AC153" si="146">$B133+($C133-$B133)*(1-Q133)</f>
        <v>110000</v>
      </c>
      <c r="C153" s="62">
        <f t="shared" si="146"/>
        <v>110000</v>
      </c>
      <c r="D153" s="62">
        <f t="shared" si="146"/>
        <v>110000</v>
      </c>
      <c r="E153" s="62">
        <f t="shared" si="146"/>
        <v>110000</v>
      </c>
      <c r="F153" s="62">
        <f t="shared" si="146"/>
        <v>110000</v>
      </c>
      <c r="G153" s="62">
        <f t="shared" si="146"/>
        <v>110000</v>
      </c>
      <c r="H153" s="62">
        <f t="shared" si="146"/>
        <v>110000</v>
      </c>
      <c r="I153" s="62">
        <f t="shared" si="146"/>
        <v>110000</v>
      </c>
      <c r="J153" s="62">
        <f t="shared" si="146"/>
        <v>110000</v>
      </c>
      <c r="K153" s="62">
        <f t="shared" si="146"/>
        <v>110000</v>
      </c>
      <c r="L153" s="62">
        <f t="shared" si="146"/>
        <v>110000</v>
      </c>
      <c r="M153" s="62">
        <f t="shared" si="146"/>
        <v>110000</v>
      </c>
      <c r="N153" s="62">
        <f t="shared" si="146"/>
        <v>110000</v>
      </c>
      <c r="O153" s="62">
        <f t="shared" si="146"/>
        <v>110000</v>
      </c>
      <c r="P153" s="62">
        <f t="shared" si="146"/>
        <v>110000</v>
      </c>
      <c r="Q153" s="62">
        <f t="shared" si="146"/>
        <v>110000</v>
      </c>
      <c r="R153" s="62">
        <f t="shared" si="146"/>
        <v>110000</v>
      </c>
      <c r="S153" s="62">
        <f t="shared" si="146"/>
        <v>110000</v>
      </c>
      <c r="T153" s="62">
        <f t="shared" si="146"/>
        <v>110000</v>
      </c>
      <c r="U153" s="62">
        <f t="shared" si="146"/>
        <v>110000</v>
      </c>
      <c r="V153" s="62">
        <f t="shared" si="146"/>
        <v>110000</v>
      </c>
      <c r="W153" s="62">
        <f t="shared" si="146"/>
        <v>110000</v>
      </c>
      <c r="X153" s="62">
        <f t="shared" si="146"/>
        <v>110000</v>
      </c>
      <c r="Y153" s="62">
        <f t="shared" si="146"/>
        <v>110000</v>
      </c>
      <c r="Z153" s="62">
        <f t="shared" si="146"/>
        <v>110000</v>
      </c>
      <c r="AA153" s="62">
        <f t="shared" si="146"/>
        <v>110000</v>
      </c>
      <c r="AB153" s="62">
        <f t="shared" si="146"/>
        <v>110000</v>
      </c>
      <c r="AC153" s="62">
        <f t="shared" si="146"/>
        <v>110000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62190.665101367747</v>
      </c>
      <c r="C156" s="63">
        <f t="shared" ref="C156:AC156" si="147">((1+C141)^C148)*C141/(((1+C141)^C148)-1)*(C137)</f>
        <v>61281.329133767969</v>
      </c>
      <c r="D156" s="63">
        <f t="shared" si="147"/>
        <v>60034.66354051487</v>
      </c>
      <c r="E156" s="63">
        <f t="shared" si="147"/>
        <v>58359.278570466915</v>
      </c>
      <c r="F156" s="63">
        <f t="shared" si="147"/>
        <v>56169.226754041214</v>
      </c>
      <c r="G156" s="63">
        <f t="shared" si="147"/>
        <v>53411.226658055137</v>
      </c>
      <c r="H156" s="63">
        <f t="shared" si="147"/>
        <v>50101.705711276991</v>
      </c>
      <c r="I156" s="63">
        <f t="shared" si="147"/>
        <v>46359.3866172536</v>
      </c>
      <c r="J156" s="63">
        <f t="shared" si="147"/>
        <v>42408.635704041997</v>
      </c>
      <c r="K156" s="63">
        <f t="shared" si="147"/>
        <v>38535.628179130072</v>
      </c>
      <c r="L156" s="63">
        <f t="shared" si="147"/>
        <v>35009.949708941356</v>
      </c>
      <c r="M156" s="63">
        <f t="shared" si="147"/>
        <v>32013.625075549993</v>
      </c>
      <c r="N156" s="63">
        <f t="shared" si="147"/>
        <v>29614.105655542335</v>
      </c>
      <c r="O156" s="63">
        <f t="shared" si="147"/>
        <v>27783.165839804766</v>
      </c>
      <c r="P156" s="63">
        <f t="shared" si="147"/>
        <v>26437.27823365216</v>
      </c>
      <c r="Q156" s="63">
        <f t="shared" si="147"/>
        <v>25474.988065757298</v>
      </c>
      <c r="R156" s="63">
        <f t="shared" si="147"/>
        <v>24800.564768738692</v>
      </c>
      <c r="S156" s="63">
        <f t="shared" si="147"/>
        <v>24334.496817203359</v>
      </c>
      <c r="T156" s="63">
        <f t="shared" si="147"/>
        <v>24015.543292910865</v>
      </c>
      <c r="U156" s="63">
        <f t="shared" si="147"/>
        <v>23798.724376771759</v>
      </c>
      <c r="V156" s="63">
        <f t="shared" si="147"/>
        <v>23652.005428852281</v>
      </c>
      <c r="W156" s="63">
        <f t="shared" si="147"/>
        <v>23553.028673408226</v>
      </c>
      <c r="X156" s="63">
        <f t="shared" si="147"/>
        <v>23486.398013318085</v>
      </c>
      <c r="Y156" s="63">
        <f t="shared" si="147"/>
        <v>23441.605577563019</v>
      </c>
      <c r="Z156" s="63">
        <f t="shared" si="147"/>
        <v>23411.522325452843</v>
      </c>
      <c r="AA156" s="63">
        <f t="shared" si="147"/>
        <v>23391.330799385243</v>
      </c>
      <c r="AB156" s="63">
        <f t="shared" si="147"/>
        <v>23377.784258985215</v>
      </c>
      <c r="AC156" s="63">
        <f t="shared" si="147"/>
        <v>23368.698453290883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-9455.0461314377717</v>
      </c>
      <c r="C157" s="62">
        <f t="shared" ref="C157:AC157" si="148">((1+C141)^C148)*C141/(((1+C141)^C148)-1)*(C138)</f>
        <v>-9370.3530756319105</v>
      </c>
      <c r="D157" s="62">
        <f t="shared" si="148"/>
        <v>-9254.2420644955928</v>
      </c>
      <c r="E157" s="62">
        <f t="shared" si="148"/>
        <v>-9098.2013074813221</v>
      </c>
      <c r="F157" s="62">
        <f t="shared" si="148"/>
        <v>-8894.2258932063796</v>
      </c>
      <c r="G157" s="62">
        <f t="shared" si="148"/>
        <v>-8637.353335246893</v>
      </c>
      <c r="H157" s="62">
        <f t="shared" si="148"/>
        <v>-8329.1136392234366</v>
      </c>
      <c r="I157" s="62">
        <f t="shared" si="148"/>
        <v>-7980.5643118389062</v>
      </c>
      <c r="J157" s="62">
        <f t="shared" si="148"/>
        <v>-7612.6022169809621</v>
      </c>
      <c r="K157" s="62">
        <f t="shared" si="148"/>
        <v>-7251.8809278960271</v>
      </c>
      <c r="L157" s="62">
        <f t="shared" si="148"/>
        <v>-6923.5089135157077</v>
      </c>
      <c r="M157" s="62">
        <f t="shared" si="148"/>
        <v>-6644.4394623665112</v>
      </c>
      <c r="N157" s="62">
        <f t="shared" si="148"/>
        <v>-6420.9548105030526</v>
      </c>
      <c r="O157" s="62">
        <f t="shared" si="148"/>
        <v>-6250.4261021745533</v>
      </c>
      <c r="P157" s="62">
        <f t="shared" si="148"/>
        <v>-6125.0738251309276</v>
      </c>
      <c r="Q157" s="62">
        <f t="shared" si="148"/>
        <v>-6035.4487604740543</v>
      </c>
      <c r="R157" s="62">
        <f t="shared" si="148"/>
        <v>-5972.6348259478109</v>
      </c>
      <c r="S157" s="62">
        <f t="shared" si="148"/>
        <v>-5929.226536344031</v>
      </c>
      <c r="T157" s="62">
        <f t="shared" si="148"/>
        <v>-5899.5200806501216</v>
      </c>
      <c r="U157" s="62">
        <f t="shared" si="148"/>
        <v>-5879.3261619901059</v>
      </c>
      <c r="V157" s="62">
        <f t="shared" si="148"/>
        <v>-5865.6611619387841</v>
      </c>
      <c r="W157" s="62">
        <f t="shared" si="148"/>
        <v>-5856.442738637621</v>
      </c>
      <c r="X157" s="62">
        <f t="shared" si="148"/>
        <v>-5850.2369418645203</v>
      </c>
      <c r="Y157" s="62">
        <f t="shared" si="148"/>
        <v>-5846.0650973579204</v>
      </c>
      <c r="Z157" s="62">
        <f t="shared" si="148"/>
        <v>-5843.2632258378535</v>
      </c>
      <c r="AA157" s="62">
        <f t="shared" si="148"/>
        <v>-5841.3826425276375</v>
      </c>
      <c r="AB157" s="62">
        <f t="shared" si="148"/>
        <v>-5840.1209549413597</v>
      </c>
      <c r="AC157" s="62">
        <f t="shared" si="148"/>
        <v>-5839.2747279404175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8152.0774932230233</v>
      </c>
      <c r="C158" s="62">
        <f t="shared" ref="C158:AC158" si="149">((1+C141)^C149)*C141/(((1+C141)^C149)-1)*(C139)</f>
        <v>8152.0774932230233</v>
      </c>
      <c r="D158" s="62">
        <f t="shared" si="149"/>
        <v>8152.0774932230233</v>
      </c>
      <c r="E158" s="62">
        <f t="shared" si="149"/>
        <v>8152.0774932230233</v>
      </c>
      <c r="F158" s="62">
        <f t="shared" si="149"/>
        <v>8152.0774932230233</v>
      </c>
      <c r="G158" s="62">
        <f t="shared" si="149"/>
        <v>8152.0774932230233</v>
      </c>
      <c r="H158" s="62">
        <f t="shared" si="149"/>
        <v>8152.0774932230233</v>
      </c>
      <c r="I158" s="62">
        <f t="shared" si="149"/>
        <v>8152.0774932230233</v>
      </c>
      <c r="J158" s="62">
        <f t="shared" si="149"/>
        <v>8152.0774932230233</v>
      </c>
      <c r="K158" s="62">
        <f t="shared" si="149"/>
        <v>8152.0774932230233</v>
      </c>
      <c r="L158" s="62">
        <f t="shared" si="149"/>
        <v>8152.0774932230233</v>
      </c>
      <c r="M158" s="62">
        <f t="shared" si="149"/>
        <v>8152.0774932230233</v>
      </c>
      <c r="N158" s="62">
        <f t="shared" si="149"/>
        <v>8152.0774932230233</v>
      </c>
      <c r="O158" s="62">
        <f t="shared" si="149"/>
        <v>8152.0774932230233</v>
      </c>
      <c r="P158" s="62">
        <f t="shared" si="149"/>
        <v>8152.0774932230233</v>
      </c>
      <c r="Q158" s="62">
        <f t="shared" si="149"/>
        <v>8152.0774932230233</v>
      </c>
      <c r="R158" s="62">
        <f t="shared" si="149"/>
        <v>8152.0774932230233</v>
      </c>
      <c r="S158" s="62">
        <f t="shared" si="149"/>
        <v>8152.0774932230233</v>
      </c>
      <c r="T158" s="62">
        <f t="shared" si="149"/>
        <v>8152.0774932230233</v>
      </c>
      <c r="U158" s="62">
        <f t="shared" si="149"/>
        <v>8152.0774932230233</v>
      </c>
      <c r="V158" s="62">
        <f t="shared" si="149"/>
        <v>8152.0774932230233</v>
      </c>
      <c r="W158" s="62">
        <f t="shared" si="149"/>
        <v>8152.0774932230233</v>
      </c>
      <c r="X158" s="62">
        <f t="shared" si="149"/>
        <v>8152.0774932230233</v>
      </c>
      <c r="Y158" s="62">
        <f t="shared" si="149"/>
        <v>8152.0774932230233</v>
      </c>
      <c r="Z158" s="62">
        <f t="shared" si="149"/>
        <v>8152.0774932230233</v>
      </c>
      <c r="AA158" s="62">
        <f t="shared" si="149"/>
        <v>8152.0774932230233</v>
      </c>
      <c r="AB158" s="62">
        <f t="shared" si="149"/>
        <v>8152.0774932230233</v>
      </c>
      <c r="AC158" s="62">
        <f t="shared" si="149"/>
        <v>8152.0774932230233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-2038.0193733057558</v>
      </c>
      <c r="C159" s="62">
        <f t="shared" ref="C159:AC159" si="150">((1+C141)^C149)*C141/(((1+C141)^C149)-1)*(C140)</f>
        <v>-2038.0193733057558</v>
      </c>
      <c r="D159" s="62">
        <f t="shared" si="150"/>
        <v>-2038.0193733057558</v>
      </c>
      <c r="E159" s="62">
        <f t="shared" si="150"/>
        <v>-2038.0193733057558</v>
      </c>
      <c r="F159" s="62">
        <f t="shared" si="150"/>
        <v>-2038.0193733057558</v>
      </c>
      <c r="G159" s="62">
        <f t="shared" si="150"/>
        <v>-2038.0193733057558</v>
      </c>
      <c r="H159" s="62">
        <f t="shared" si="150"/>
        <v>-2038.0193733057558</v>
      </c>
      <c r="I159" s="62">
        <f t="shared" si="150"/>
        <v>-2038.0193733057558</v>
      </c>
      <c r="J159" s="62">
        <f t="shared" si="150"/>
        <v>-2038.0193733057558</v>
      </c>
      <c r="K159" s="62">
        <f t="shared" si="150"/>
        <v>-2038.0193733057558</v>
      </c>
      <c r="L159" s="62">
        <f t="shared" si="150"/>
        <v>-2038.0193733057558</v>
      </c>
      <c r="M159" s="62">
        <f t="shared" si="150"/>
        <v>-2038.0193733057558</v>
      </c>
      <c r="N159" s="62">
        <f t="shared" si="150"/>
        <v>-2038.0193733057558</v>
      </c>
      <c r="O159" s="62">
        <f t="shared" si="150"/>
        <v>-2038.0193733057558</v>
      </c>
      <c r="P159" s="62">
        <f t="shared" si="150"/>
        <v>-2038.0193733057558</v>
      </c>
      <c r="Q159" s="62">
        <f t="shared" si="150"/>
        <v>-2038.0193733057558</v>
      </c>
      <c r="R159" s="62">
        <f t="shared" si="150"/>
        <v>-2038.0193733057558</v>
      </c>
      <c r="S159" s="62">
        <f t="shared" si="150"/>
        <v>-2038.0193733057558</v>
      </c>
      <c r="T159" s="62">
        <f t="shared" si="150"/>
        <v>-2038.0193733057558</v>
      </c>
      <c r="U159" s="62">
        <f t="shared" si="150"/>
        <v>-2038.0193733057558</v>
      </c>
      <c r="V159" s="62">
        <f t="shared" si="150"/>
        <v>-2038.0193733057558</v>
      </c>
      <c r="W159" s="62">
        <f t="shared" si="150"/>
        <v>-2038.0193733057558</v>
      </c>
      <c r="X159" s="62">
        <f t="shared" si="150"/>
        <v>-2038.0193733057558</v>
      </c>
      <c r="Y159" s="62">
        <f t="shared" si="150"/>
        <v>-2038.0193733057558</v>
      </c>
      <c r="Z159" s="62">
        <f t="shared" si="150"/>
        <v>-2038.0193733057558</v>
      </c>
      <c r="AA159" s="62">
        <f t="shared" si="150"/>
        <v>-2038.0193733057558</v>
      </c>
      <c r="AB159" s="62">
        <f t="shared" si="150"/>
        <v>-2038.0193733057558</v>
      </c>
      <c r="AC159" s="62">
        <f t="shared" si="150"/>
        <v>-2038.0193733057558</v>
      </c>
    </row>
    <row r="160" spans="1:29" x14ac:dyDescent="0.3">
      <c r="A160" s="30" t="str">
        <f t="shared" ref="A160:AC160" si="151">A142</f>
        <v>Opex fix (admin, crew, insurance)</v>
      </c>
      <c r="B160" s="62">
        <f t="shared" si="151"/>
        <v>70000</v>
      </c>
      <c r="C160" s="62">
        <f t="shared" si="151"/>
        <v>70000</v>
      </c>
      <c r="D160" s="62">
        <f t="shared" si="151"/>
        <v>70000</v>
      </c>
      <c r="E160" s="62">
        <f t="shared" si="151"/>
        <v>70000</v>
      </c>
      <c r="F160" s="62">
        <f t="shared" si="151"/>
        <v>70000</v>
      </c>
      <c r="G160" s="62">
        <f t="shared" si="151"/>
        <v>70000</v>
      </c>
      <c r="H160" s="62">
        <f t="shared" si="151"/>
        <v>70000</v>
      </c>
      <c r="I160" s="62">
        <f t="shared" si="151"/>
        <v>70000</v>
      </c>
      <c r="J160" s="62">
        <f t="shared" si="151"/>
        <v>70000</v>
      </c>
      <c r="K160" s="62">
        <f t="shared" si="151"/>
        <v>70000</v>
      </c>
      <c r="L160" s="62">
        <f t="shared" si="151"/>
        <v>70000</v>
      </c>
      <c r="M160" s="62">
        <f t="shared" si="151"/>
        <v>70000</v>
      </c>
      <c r="N160" s="62">
        <f t="shared" si="151"/>
        <v>70000</v>
      </c>
      <c r="O160" s="62">
        <f t="shared" si="151"/>
        <v>70000</v>
      </c>
      <c r="P160" s="62">
        <f t="shared" si="151"/>
        <v>70000</v>
      </c>
      <c r="Q160" s="62">
        <f t="shared" si="151"/>
        <v>70000</v>
      </c>
      <c r="R160" s="62">
        <f t="shared" si="151"/>
        <v>70000</v>
      </c>
      <c r="S160" s="62">
        <f t="shared" si="151"/>
        <v>70000</v>
      </c>
      <c r="T160" s="62">
        <f t="shared" si="151"/>
        <v>70000</v>
      </c>
      <c r="U160" s="62">
        <f t="shared" si="151"/>
        <v>70000</v>
      </c>
      <c r="V160" s="62">
        <f t="shared" si="151"/>
        <v>70000</v>
      </c>
      <c r="W160" s="62">
        <f t="shared" si="151"/>
        <v>70000</v>
      </c>
      <c r="X160" s="62">
        <f t="shared" si="151"/>
        <v>70000</v>
      </c>
      <c r="Y160" s="62">
        <f t="shared" si="151"/>
        <v>70000</v>
      </c>
      <c r="Z160" s="62">
        <f t="shared" si="151"/>
        <v>70000</v>
      </c>
      <c r="AA160" s="62">
        <f t="shared" si="151"/>
        <v>70000</v>
      </c>
      <c r="AB160" s="62">
        <f t="shared" si="151"/>
        <v>70000</v>
      </c>
      <c r="AC160" s="62">
        <f t="shared" si="151"/>
        <v>70000</v>
      </c>
    </row>
    <row r="161" spans="1:29" x14ac:dyDescent="0.3">
      <c r="A161" s="30" t="str">
        <f t="shared" ref="A161:AC161" si="152">A143</f>
        <v>Opex maintenance &amp; repair</v>
      </c>
      <c r="B161" s="62">
        <f t="shared" si="152"/>
        <v>15000</v>
      </c>
      <c r="C161" s="62">
        <f t="shared" si="152"/>
        <v>15000</v>
      </c>
      <c r="D161" s="62">
        <f t="shared" si="152"/>
        <v>15000</v>
      </c>
      <c r="E161" s="62">
        <f t="shared" si="152"/>
        <v>15000</v>
      </c>
      <c r="F161" s="62">
        <f t="shared" si="152"/>
        <v>15000</v>
      </c>
      <c r="G161" s="62">
        <f t="shared" si="152"/>
        <v>15000</v>
      </c>
      <c r="H161" s="62">
        <f t="shared" si="152"/>
        <v>15000</v>
      </c>
      <c r="I161" s="62">
        <f t="shared" si="152"/>
        <v>15000</v>
      </c>
      <c r="J161" s="62">
        <f t="shared" si="152"/>
        <v>15000</v>
      </c>
      <c r="K161" s="62">
        <f t="shared" si="152"/>
        <v>15000</v>
      </c>
      <c r="L161" s="62">
        <f t="shared" si="152"/>
        <v>15000</v>
      </c>
      <c r="M161" s="62">
        <f t="shared" si="152"/>
        <v>15000</v>
      </c>
      <c r="N161" s="62">
        <f t="shared" si="152"/>
        <v>15000</v>
      </c>
      <c r="O161" s="62">
        <f t="shared" si="152"/>
        <v>15000</v>
      </c>
      <c r="P161" s="62">
        <f t="shared" si="152"/>
        <v>15000</v>
      </c>
      <c r="Q161" s="62">
        <f t="shared" si="152"/>
        <v>15000</v>
      </c>
      <c r="R161" s="62">
        <f t="shared" si="152"/>
        <v>15000</v>
      </c>
      <c r="S161" s="62">
        <f t="shared" si="152"/>
        <v>15000</v>
      </c>
      <c r="T161" s="62">
        <f t="shared" si="152"/>
        <v>15000</v>
      </c>
      <c r="U161" s="62">
        <f t="shared" si="152"/>
        <v>15000</v>
      </c>
      <c r="V161" s="62">
        <f t="shared" si="152"/>
        <v>15000</v>
      </c>
      <c r="W161" s="62">
        <f t="shared" si="152"/>
        <v>15000</v>
      </c>
      <c r="X161" s="62">
        <f t="shared" si="152"/>
        <v>15000</v>
      </c>
      <c r="Y161" s="62">
        <f t="shared" si="152"/>
        <v>15000</v>
      </c>
      <c r="Z161" s="62">
        <f t="shared" si="152"/>
        <v>15000</v>
      </c>
      <c r="AA161" s="62">
        <f t="shared" si="152"/>
        <v>15000</v>
      </c>
      <c r="AB161" s="62">
        <f t="shared" si="152"/>
        <v>15000</v>
      </c>
      <c r="AC161" s="62">
        <f t="shared" si="152"/>
        <v>15000</v>
      </c>
    </row>
    <row r="162" spans="1:29" x14ac:dyDescent="0.3">
      <c r="A162" s="30" t="str">
        <f>A144</f>
        <v>Opex var (mode-fees)</v>
      </c>
      <c r="B162" s="62">
        <f>B144*B153</f>
        <v>12100</v>
      </c>
      <c r="C162" s="62">
        <f t="shared" ref="C162:AC162" si="153">C144*C153</f>
        <v>12100</v>
      </c>
      <c r="D162" s="62">
        <f t="shared" si="153"/>
        <v>12100</v>
      </c>
      <c r="E162" s="62">
        <f t="shared" si="153"/>
        <v>12100</v>
      </c>
      <c r="F162" s="62">
        <f t="shared" si="153"/>
        <v>12100</v>
      </c>
      <c r="G162" s="62">
        <f t="shared" si="153"/>
        <v>12100</v>
      </c>
      <c r="H162" s="62">
        <f t="shared" si="153"/>
        <v>12100</v>
      </c>
      <c r="I162" s="62">
        <f t="shared" si="153"/>
        <v>12100</v>
      </c>
      <c r="J162" s="62">
        <f t="shared" si="153"/>
        <v>12100</v>
      </c>
      <c r="K162" s="62">
        <f t="shared" si="153"/>
        <v>12100</v>
      </c>
      <c r="L162" s="62">
        <f t="shared" si="153"/>
        <v>12100</v>
      </c>
      <c r="M162" s="62">
        <f t="shared" si="153"/>
        <v>12100</v>
      </c>
      <c r="N162" s="62">
        <f t="shared" si="153"/>
        <v>12100</v>
      </c>
      <c r="O162" s="62">
        <f t="shared" si="153"/>
        <v>12100</v>
      </c>
      <c r="P162" s="62">
        <f t="shared" si="153"/>
        <v>12100</v>
      </c>
      <c r="Q162" s="62">
        <f t="shared" si="153"/>
        <v>12100</v>
      </c>
      <c r="R162" s="62">
        <f t="shared" si="153"/>
        <v>12100</v>
      </c>
      <c r="S162" s="62">
        <f t="shared" si="153"/>
        <v>12100</v>
      </c>
      <c r="T162" s="62">
        <f t="shared" si="153"/>
        <v>12100</v>
      </c>
      <c r="U162" s="62">
        <f t="shared" si="153"/>
        <v>12100</v>
      </c>
      <c r="V162" s="62">
        <f t="shared" si="153"/>
        <v>12100</v>
      </c>
      <c r="W162" s="62">
        <f t="shared" si="153"/>
        <v>12100</v>
      </c>
      <c r="X162" s="62">
        <f t="shared" si="153"/>
        <v>12100</v>
      </c>
      <c r="Y162" s="62">
        <f t="shared" si="153"/>
        <v>12100</v>
      </c>
      <c r="Z162" s="62">
        <f t="shared" si="153"/>
        <v>12100</v>
      </c>
      <c r="AA162" s="62">
        <f t="shared" si="153"/>
        <v>12100</v>
      </c>
      <c r="AB162" s="62">
        <f t="shared" si="153"/>
        <v>12100</v>
      </c>
      <c r="AC162" s="62">
        <f t="shared" si="153"/>
        <v>12100</v>
      </c>
    </row>
    <row r="163" spans="1:29" x14ac:dyDescent="0.3">
      <c r="A163" s="30" t="str">
        <f>A146</f>
        <v>Fuel Cost</v>
      </c>
      <c r="B163" s="62">
        <f>B145*B146*B153</f>
        <v>15234.403382787892</v>
      </c>
      <c r="C163" s="62">
        <f t="shared" ref="C163:AC163" si="154">C145*C146*C153</f>
        <v>15133.301691402363</v>
      </c>
      <c r="D163" s="62">
        <f t="shared" si="154"/>
        <v>14994.146454616497</v>
      </c>
      <c r="E163" s="62">
        <f t="shared" si="154"/>
        <v>14806.004989431996</v>
      </c>
      <c r="F163" s="62">
        <f t="shared" si="154"/>
        <v>14557.796395450097</v>
      </c>
      <c r="G163" s="62">
        <f t="shared" si="154"/>
        <v>14240.826996763935</v>
      </c>
      <c r="H163" s="62">
        <f t="shared" si="154"/>
        <v>13852.382482553776</v>
      </c>
      <c r="I163" s="62">
        <f t="shared" si="154"/>
        <v>13399.139602948062</v>
      </c>
      <c r="J163" s="62">
        <f t="shared" si="154"/>
        <v>12898.220399011252</v>
      </c>
      <c r="K163" s="62">
        <f t="shared" si="154"/>
        <v>12374.362326154192</v>
      </c>
      <c r="L163" s="62">
        <f t="shared" si="154"/>
        <v>11854.342908382876</v>
      </c>
      <c r="M163" s="62">
        <f t="shared" si="154"/>
        <v>11361.966721719185</v>
      </c>
      <c r="N163" s="62">
        <f t="shared" si="154"/>
        <v>10915.751397609722</v>
      </c>
      <c r="O163" s="62">
        <f t="shared" si="154"/>
        <v>10528.445545140848</v>
      </c>
      <c r="P163" s="62">
        <f t="shared" si="154"/>
        <v>10206.664715877876</v>
      </c>
      <c r="Q163" s="62">
        <f t="shared" si="154"/>
        <v>9950.5889417355502</v>
      </c>
      <c r="R163" s="62">
        <f t="shared" si="154"/>
        <v>9754.7229865668978</v>
      </c>
      <c r="S163" s="62">
        <f t="shared" si="154"/>
        <v>9609.9090630001683</v>
      </c>
      <c r="T163" s="62">
        <f t="shared" si="154"/>
        <v>9505.7175313659427</v>
      </c>
      <c r="U163" s="62">
        <f t="shared" si="154"/>
        <v>9432.2939482885886</v>
      </c>
      <c r="V163" s="62">
        <f t="shared" si="154"/>
        <v>9381.3347879329485</v>
      </c>
      <c r="W163" s="62">
        <f t="shared" si="154"/>
        <v>9346.3492630725523</v>
      </c>
      <c r="X163" s="62">
        <f t="shared" si="154"/>
        <v>9322.512228577536</v>
      </c>
      <c r="Y163" s="62">
        <f t="shared" si="154"/>
        <v>9306.3561015462838</v>
      </c>
      <c r="Z163" s="62">
        <f t="shared" si="154"/>
        <v>9295.4451039385021</v>
      </c>
      <c r="AA163" s="62">
        <f t="shared" si="154"/>
        <v>9288.0943230186222</v>
      </c>
      <c r="AB163" s="62">
        <f t="shared" si="154"/>
        <v>9283.1502278976386</v>
      </c>
      <c r="AC163" s="62">
        <f t="shared" si="154"/>
        <v>9279.8285498717923</v>
      </c>
    </row>
    <row r="164" spans="1:29" ht="15" thickBot="1" x14ac:dyDescent="0.35">
      <c r="A164" s="59" t="str">
        <f>A127</f>
        <v>Emission Cost</v>
      </c>
      <c r="B164" s="62">
        <f>B147*B153</f>
        <v>386.34961023234894</v>
      </c>
      <c r="C164" s="62">
        <f t="shared" ref="C164:AC164" si="155">C147*C153</f>
        <v>385.98171126867283</v>
      </c>
      <c r="D164" s="62">
        <f t="shared" si="155"/>
        <v>385.45507209645916</v>
      </c>
      <c r="E164" s="62">
        <f t="shared" si="155"/>
        <v>384.70167772568533</v>
      </c>
      <c r="F164" s="62">
        <f t="shared" si="155"/>
        <v>383.62491092512789</v>
      </c>
      <c r="G164" s="62">
        <f t="shared" si="155"/>
        <v>382.08813200177713</v>
      </c>
      <c r="H164" s="62">
        <f t="shared" si="155"/>
        <v>379.89938180178723</v>
      </c>
      <c r="I164" s="62">
        <f t="shared" si="155"/>
        <v>376.79167027905658</v>
      </c>
      <c r="J164" s="62">
        <f t="shared" si="155"/>
        <v>372.3992186736873</v>
      </c>
      <c r="K164" s="62">
        <f t="shared" si="155"/>
        <v>366.23229586614008</v>
      </c>
      <c r="L164" s="62">
        <f t="shared" si="155"/>
        <v>357.65803450134791</v>
      </c>
      <c r="M164" s="62">
        <f t="shared" si="155"/>
        <v>345.90304293397361</v>
      </c>
      <c r="N164" s="62">
        <f t="shared" si="155"/>
        <v>330.10559388139421</v>
      </c>
      <c r="O164" s="62">
        <f t="shared" si="155"/>
        <v>309.45527612695969</v>
      </c>
      <c r="P164" s="62">
        <f t="shared" si="155"/>
        <v>283.44969127197442</v>
      </c>
      <c r="Q164" s="62">
        <f t="shared" si="155"/>
        <v>252.2437359364221</v>
      </c>
      <c r="R164" s="62">
        <f t="shared" si="155"/>
        <v>216.95686379464956</v>
      </c>
      <c r="S164" s="62">
        <f t="shared" si="155"/>
        <v>179.70465765297368</v>
      </c>
      <c r="T164" s="62">
        <f t="shared" si="155"/>
        <v>143.1855052498687</v>
      </c>
      <c r="U164" s="62">
        <f t="shared" si="155"/>
        <v>109.94136912335924</v>
      </c>
      <c r="V164" s="62">
        <f t="shared" si="155"/>
        <v>81.688587471847882</v>
      </c>
      <c r="W164" s="62">
        <f t="shared" si="155"/>
        <v>59.063169155506628</v>
      </c>
      <c r="X164" s="62">
        <f t="shared" si="155"/>
        <v>41.798970792413101</v>
      </c>
      <c r="Y164" s="62">
        <f t="shared" si="155"/>
        <v>29.108400404829151</v>
      </c>
      <c r="Z164" s="62">
        <f t="shared" si="155"/>
        <v>20.034826167928866</v>
      </c>
      <c r="AA164" s="62">
        <f t="shared" si="155"/>
        <v>13.675590610133948</v>
      </c>
      <c r="AB164" s="62">
        <f t="shared" si="155"/>
        <v>9.2809679705332506</v>
      </c>
      <c r="AC164" s="62">
        <f t="shared" si="155"/>
        <v>6.2735087058085135</v>
      </c>
    </row>
    <row r="165" spans="1:29" ht="15" thickBot="1" x14ac:dyDescent="0.35">
      <c r="A165" s="31" t="s">
        <v>209</v>
      </c>
      <c r="B165" s="64">
        <f>B156+B157+B158+B159+B160+B161+B162+B163+B164</f>
        <v>171570.43008286747</v>
      </c>
      <c r="C165" s="64">
        <f t="shared" ref="C165:AC165" si="156">C156+C157+C158+C159+C160+C161+C162+C163+C164</f>
        <v>170644.31758072437</v>
      </c>
      <c r="D165" s="64">
        <f t="shared" si="156"/>
        <v>169374.08112264951</v>
      </c>
      <c r="E165" s="64">
        <f t="shared" si="156"/>
        <v>167665.84205006054</v>
      </c>
      <c r="F165" s="64">
        <f t="shared" si="156"/>
        <v>165430.48028712734</v>
      </c>
      <c r="G165" s="64">
        <f t="shared" si="156"/>
        <v>162610.84657149125</v>
      </c>
      <c r="H165" s="64">
        <f t="shared" si="156"/>
        <v>159218.93205632636</v>
      </c>
      <c r="I165" s="64">
        <f t="shared" si="156"/>
        <v>155368.81169855909</v>
      </c>
      <c r="J165" s="64">
        <f t="shared" si="156"/>
        <v>151280.71122466328</v>
      </c>
      <c r="K165" s="64">
        <f t="shared" si="156"/>
        <v>147238.39999317165</v>
      </c>
      <c r="L165" s="64">
        <f t="shared" si="156"/>
        <v>143512.49985822712</v>
      </c>
      <c r="M165" s="64">
        <f t="shared" si="156"/>
        <v>140291.11349775389</v>
      </c>
      <c r="N165" s="64">
        <f t="shared" si="156"/>
        <v>137653.06595644765</v>
      </c>
      <c r="O165" s="64">
        <f t="shared" si="156"/>
        <v>135584.6986788153</v>
      </c>
      <c r="P165" s="64">
        <f t="shared" si="156"/>
        <v>134016.37693558834</v>
      </c>
      <c r="Q165" s="64">
        <f t="shared" si="156"/>
        <v>132856.43010287249</v>
      </c>
      <c r="R165" s="64">
        <f t="shared" si="156"/>
        <v>132013.66791306969</v>
      </c>
      <c r="S165" s="64">
        <f t="shared" si="156"/>
        <v>131408.94212142972</v>
      </c>
      <c r="T165" s="64">
        <f t="shared" si="156"/>
        <v>130978.98436879381</v>
      </c>
      <c r="U165" s="64">
        <f t="shared" si="156"/>
        <v>130675.69165211087</v>
      </c>
      <c r="V165" s="64">
        <f t="shared" si="156"/>
        <v>130463.42576223557</v>
      </c>
      <c r="W165" s="64">
        <f t="shared" si="156"/>
        <v>130316.05648691593</v>
      </c>
      <c r="X165" s="64">
        <f t="shared" si="156"/>
        <v>130214.53039074078</v>
      </c>
      <c r="Y165" s="64">
        <f t="shared" si="156"/>
        <v>130145.06310207347</v>
      </c>
      <c r="Z165" s="64">
        <f t="shared" si="156"/>
        <v>130097.79714963869</v>
      </c>
      <c r="AA165" s="64">
        <f t="shared" si="156"/>
        <v>130065.77619040363</v>
      </c>
      <c r="AB165" s="64">
        <f t="shared" si="156"/>
        <v>130044.1526198293</v>
      </c>
      <c r="AC165" s="64">
        <f t="shared" si="156"/>
        <v>130029.58390384533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57">A156</f>
        <v>Capex vehicle</v>
      </c>
      <c r="B168" s="65">
        <f>((1+B141)^B148)*B141/(((1+B141)^B148)-1)*(B137)/B153</f>
        <v>0.56536968273970678</v>
      </c>
      <c r="C168" s="65">
        <f t="shared" ref="C168:AC168" si="158">((1+C141)^C148)*C141/(((1+C141)^C148)-1)*(C137)/C153</f>
        <v>0.55710299212516334</v>
      </c>
      <c r="D168" s="65">
        <f t="shared" si="158"/>
        <v>0.5457696685501352</v>
      </c>
      <c r="E168" s="65">
        <f t="shared" si="158"/>
        <v>0.53053889609515381</v>
      </c>
      <c r="F168" s="65">
        <f t="shared" si="158"/>
        <v>0.51062933412764744</v>
      </c>
      <c r="G168" s="65">
        <f t="shared" si="158"/>
        <v>0.48555660598231942</v>
      </c>
      <c r="H168" s="65">
        <f t="shared" si="158"/>
        <v>0.45547005192069989</v>
      </c>
      <c r="I168" s="65">
        <f t="shared" si="158"/>
        <v>0.42144896924775999</v>
      </c>
      <c r="J168" s="65">
        <f t="shared" si="158"/>
        <v>0.38553305185492726</v>
      </c>
      <c r="K168" s="65">
        <f t="shared" si="158"/>
        <v>0.35032389253754609</v>
      </c>
      <c r="L168" s="65">
        <f t="shared" si="158"/>
        <v>0.31827227008128506</v>
      </c>
      <c r="M168" s="65">
        <f t="shared" si="158"/>
        <v>0.29103295523227268</v>
      </c>
      <c r="N168" s="65">
        <f t="shared" si="158"/>
        <v>0.26921914232311212</v>
      </c>
      <c r="O168" s="65">
        <f t="shared" si="158"/>
        <v>0.25257423490731606</v>
      </c>
      <c r="P168" s="65">
        <f t="shared" si="158"/>
        <v>0.24033889303320144</v>
      </c>
      <c r="Q168" s="65">
        <f t="shared" si="158"/>
        <v>0.23159080059779361</v>
      </c>
      <c r="R168" s="65">
        <f t="shared" si="158"/>
        <v>0.2254596797158063</v>
      </c>
      <c r="S168" s="65">
        <f t="shared" si="158"/>
        <v>0.22122269833821234</v>
      </c>
      <c r="T168" s="65">
        <f t="shared" si="158"/>
        <v>0.21832312084464423</v>
      </c>
      <c r="U168" s="65">
        <f t="shared" si="158"/>
        <v>0.21635203978883416</v>
      </c>
      <c r="V168" s="65">
        <f t="shared" si="158"/>
        <v>0.21501823117138436</v>
      </c>
      <c r="W168" s="65">
        <f t="shared" si="158"/>
        <v>0.21411844248552933</v>
      </c>
      <c r="X168" s="65">
        <f t="shared" si="158"/>
        <v>0.21351270921198259</v>
      </c>
      <c r="Y168" s="65">
        <f t="shared" si="158"/>
        <v>0.2131055052505729</v>
      </c>
      <c r="Z168" s="65">
        <f t="shared" si="158"/>
        <v>0.21283202114048039</v>
      </c>
      <c r="AA168" s="65">
        <f t="shared" si="158"/>
        <v>0.21264846181259311</v>
      </c>
      <c r="AB168" s="65">
        <f t="shared" si="158"/>
        <v>0.21252531144532014</v>
      </c>
      <c r="AC168" s="65">
        <f t="shared" si="158"/>
        <v>0.2124427132117353</v>
      </c>
    </row>
    <row r="169" spans="1:29" x14ac:dyDescent="0.3">
      <c r="A169" s="30" t="str">
        <f t="shared" si="157"/>
        <v>Residual value (vehicle)</v>
      </c>
      <c r="B169" s="66">
        <f>((1+B141)^B148)*B141/(((1+B141)^B148)-1)*(B138)/B153</f>
        <v>-8.5954964831252464E-2</v>
      </c>
      <c r="C169" s="66">
        <f t="shared" ref="C169:AC169" si="159">((1+C141)^C148)*C141/(((1+C141)^C148)-1)*(C138)/C153</f>
        <v>-8.5185027960290094E-2</v>
      </c>
      <c r="D169" s="66">
        <f t="shared" si="159"/>
        <v>-8.4129473313596298E-2</v>
      </c>
      <c r="E169" s="66">
        <f t="shared" si="159"/>
        <v>-8.2710920977102934E-2</v>
      </c>
      <c r="F169" s="66">
        <f t="shared" si="159"/>
        <v>-8.0856599029148907E-2</v>
      </c>
      <c r="G169" s="66">
        <f t="shared" si="159"/>
        <v>-7.8521393956789934E-2</v>
      </c>
      <c r="H169" s="66">
        <f t="shared" si="159"/>
        <v>-7.5719214902031248E-2</v>
      </c>
      <c r="I169" s="66">
        <f t="shared" si="159"/>
        <v>-7.2550584653080966E-2</v>
      </c>
      <c r="J169" s="66">
        <f t="shared" si="159"/>
        <v>-6.9205474699826922E-2</v>
      </c>
      <c r="K169" s="66">
        <f t="shared" si="159"/>
        <v>-6.5926190253600248E-2</v>
      </c>
      <c r="L169" s="66">
        <f t="shared" si="159"/>
        <v>-6.2940990122870064E-2</v>
      </c>
      <c r="M169" s="66">
        <f t="shared" si="159"/>
        <v>-6.040399511242283E-2</v>
      </c>
      <c r="N169" s="66">
        <f t="shared" si="159"/>
        <v>-5.837231645911866E-2</v>
      </c>
      <c r="O169" s="66">
        <f t="shared" si="159"/>
        <v>-5.6822055474314119E-2</v>
      </c>
      <c r="P169" s="66">
        <f t="shared" si="159"/>
        <v>-5.5682489319372072E-2</v>
      </c>
      <c r="Q169" s="66">
        <f t="shared" si="159"/>
        <v>-5.4867716004309584E-2</v>
      </c>
      <c r="R169" s="66">
        <f t="shared" si="159"/>
        <v>-5.429668023588919E-2</v>
      </c>
      <c r="S169" s="66">
        <f t="shared" si="159"/>
        <v>-5.3902059421309372E-2</v>
      </c>
      <c r="T169" s="66">
        <f t="shared" si="159"/>
        <v>-5.3632000733182923E-2</v>
      </c>
      <c r="U169" s="66">
        <f t="shared" si="159"/>
        <v>-5.3448419654455508E-2</v>
      </c>
      <c r="V169" s="66">
        <f t="shared" si="159"/>
        <v>-5.3324192381261674E-2</v>
      </c>
      <c r="W169" s="66">
        <f t="shared" si="159"/>
        <v>-5.3240388533069283E-2</v>
      </c>
      <c r="X169" s="66">
        <f t="shared" si="159"/>
        <v>-5.3183972198768366E-2</v>
      </c>
      <c r="Y169" s="66">
        <f t="shared" si="159"/>
        <v>-5.3146046339617461E-2</v>
      </c>
      <c r="Z169" s="66">
        <f t="shared" si="159"/>
        <v>-5.3120574780344119E-2</v>
      </c>
      <c r="AA169" s="66">
        <f t="shared" si="159"/>
        <v>-5.3103478568433067E-2</v>
      </c>
      <c r="AB169" s="66">
        <f t="shared" si="159"/>
        <v>-5.3092008681285087E-2</v>
      </c>
      <c r="AC169" s="66">
        <f t="shared" si="159"/>
        <v>-5.3084315708549247E-2</v>
      </c>
    </row>
    <row r="170" spans="1:29" x14ac:dyDescent="0.3">
      <c r="A170" s="30" t="str">
        <f t="shared" si="157"/>
        <v>Capex costumization</v>
      </c>
      <c r="B170" s="66">
        <f>((1+B141)^B149)*B141/(((1+B141)^B149)-1)*(B139)/B153</f>
        <v>7.4109795392936578E-2</v>
      </c>
      <c r="C170" s="66">
        <f t="shared" ref="C170:AC170" si="160">((1+C141)^C149)*C141/(((1+C141)^C149)-1)*(C139)/C153</f>
        <v>7.4109795392936578E-2</v>
      </c>
      <c r="D170" s="66">
        <f t="shared" si="160"/>
        <v>7.4109795392936578E-2</v>
      </c>
      <c r="E170" s="66">
        <f t="shared" si="160"/>
        <v>7.4109795392936578E-2</v>
      </c>
      <c r="F170" s="66">
        <f t="shared" si="160"/>
        <v>7.4109795392936578E-2</v>
      </c>
      <c r="G170" s="66">
        <f t="shared" si="160"/>
        <v>7.4109795392936578E-2</v>
      </c>
      <c r="H170" s="66">
        <f t="shared" si="160"/>
        <v>7.4109795392936578E-2</v>
      </c>
      <c r="I170" s="66">
        <f t="shared" si="160"/>
        <v>7.4109795392936578E-2</v>
      </c>
      <c r="J170" s="66">
        <f t="shared" si="160"/>
        <v>7.4109795392936578E-2</v>
      </c>
      <c r="K170" s="66">
        <f t="shared" si="160"/>
        <v>7.4109795392936578E-2</v>
      </c>
      <c r="L170" s="66">
        <f t="shared" si="160"/>
        <v>7.4109795392936578E-2</v>
      </c>
      <c r="M170" s="66">
        <f t="shared" si="160"/>
        <v>7.4109795392936578E-2</v>
      </c>
      <c r="N170" s="66">
        <f t="shared" si="160"/>
        <v>7.4109795392936578E-2</v>
      </c>
      <c r="O170" s="66">
        <f t="shared" si="160"/>
        <v>7.4109795392936578E-2</v>
      </c>
      <c r="P170" s="66">
        <f t="shared" si="160"/>
        <v>7.4109795392936578E-2</v>
      </c>
      <c r="Q170" s="66">
        <f t="shared" si="160"/>
        <v>7.4109795392936578E-2</v>
      </c>
      <c r="R170" s="66">
        <f t="shared" si="160"/>
        <v>7.4109795392936578E-2</v>
      </c>
      <c r="S170" s="66">
        <f t="shared" si="160"/>
        <v>7.4109795392936578E-2</v>
      </c>
      <c r="T170" s="66">
        <f t="shared" si="160"/>
        <v>7.4109795392936578E-2</v>
      </c>
      <c r="U170" s="66">
        <f t="shared" si="160"/>
        <v>7.4109795392936578E-2</v>
      </c>
      <c r="V170" s="66">
        <f t="shared" si="160"/>
        <v>7.4109795392936578E-2</v>
      </c>
      <c r="W170" s="66">
        <f t="shared" si="160"/>
        <v>7.4109795392936578E-2</v>
      </c>
      <c r="X170" s="66">
        <f t="shared" si="160"/>
        <v>7.4109795392936578E-2</v>
      </c>
      <c r="Y170" s="66">
        <f t="shared" si="160"/>
        <v>7.4109795392936578E-2</v>
      </c>
      <c r="Z170" s="66">
        <f t="shared" si="160"/>
        <v>7.4109795392936578E-2</v>
      </c>
      <c r="AA170" s="66">
        <f t="shared" si="160"/>
        <v>7.4109795392936578E-2</v>
      </c>
      <c r="AB170" s="66">
        <f t="shared" si="160"/>
        <v>7.4109795392936578E-2</v>
      </c>
      <c r="AC170" s="66">
        <f t="shared" si="160"/>
        <v>7.4109795392936578E-2</v>
      </c>
    </row>
    <row r="171" spans="1:29" x14ac:dyDescent="0.3">
      <c r="A171" s="30" t="str">
        <f t="shared" si="157"/>
        <v>Residual value (costumization)</v>
      </c>
      <c r="B171" s="66">
        <f>((1+B141)^B149)*B141/(((1+B141)^B149)-1)*(B140)/B153</f>
        <v>-1.8527448848234145E-2</v>
      </c>
      <c r="C171" s="66">
        <f t="shared" ref="C171:AC171" si="161">((1+C141)^C149)*C141/(((1+C141)^C149)-1)*(C140)/C153</f>
        <v>-1.8527448848234145E-2</v>
      </c>
      <c r="D171" s="66">
        <f t="shared" si="161"/>
        <v>-1.8527448848234145E-2</v>
      </c>
      <c r="E171" s="66">
        <f t="shared" si="161"/>
        <v>-1.8527448848234145E-2</v>
      </c>
      <c r="F171" s="66">
        <f t="shared" si="161"/>
        <v>-1.8527448848234145E-2</v>
      </c>
      <c r="G171" s="66">
        <f t="shared" si="161"/>
        <v>-1.8527448848234145E-2</v>
      </c>
      <c r="H171" s="66">
        <f t="shared" si="161"/>
        <v>-1.8527448848234145E-2</v>
      </c>
      <c r="I171" s="66">
        <f t="shared" si="161"/>
        <v>-1.8527448848234145E-2</v>
      </c>
      <c r="J171" s="66">
        <f t="shared" si="161"/>
        <v>-1.8527448848234145E-2</v>
      </c>
      <c r="K171" s="66">
        <f t="shared" si="161"/>
        <v>-1.8527448848234145E-2</v>
      </c>
      <c r="L171" s="66">
        <f t="shared" si="161"/>
        <v>-1.8527448848234145E-2</v>
      </c>
      <c r="M171" s="66">
        <f t="shared" si="161"/>
        <v>-1.8527448848234145E-2</v>
      </c>
      <c r="N171" s="66">
        <f t="shared" si="161"/>
        <v>-1.8527448848234145E-2</v>
      </c>
      <c r="O171" s="66">
        <f t="shared" si="161"/>
        <v>-1.8527448848234145E-2</v>
      </c>
      <c r="P171" s="66">
        <f t="shared" si="161"/>
        <v>-1.8527448848234145E-2</v>
      </c>
      <c r="Q171" s="66">
        <f t="shared" si="161"/>
        <v>-1.8527448848234145E-2</v>
      </c>
      <c r="R171" s="66">
        <f t="shared" si="161"/>
        <v>-1.8527448848234145E-2</v>
      </c>
      <c r="S171" s="66">
        <f t="shared" si="161"/>
        <v>-1.8527448848234145E-2</v>
      </c>
      <c r="T171" s="66">
        <f t="shared" si="161"/>
        <v>-1.8527448848234145E-2</v>
      </c>
      <c r="U171" s="66">
        <f t="shared" si="161"/>
        <v>-1.8527448848234145E-2</v>
      </c>
      <c r="V171" s="66">
        <f t="shared" si="161"/>
        <v>-1.8527448848234145E-2</v>
      </c>
      <c r="W171" s="66">
        <f t="shared" si="161"/>
        <v>-1.8527448848234145E-2</v>
      </c>
      <c r="X171" s="66">
        <f t="shared" si="161"/>
        <v>-1.8527448848234145E-2</v>
      </c>
      <c r="Y171" s="66">
        <f t="shared" si="161"/>
        <v>-1.8527448848234145E-2</v>
      </c>
      <c r="Z171" s="66">
        <f t="shared" si="161"/>
        <v>-1.8527448848234145E-2</v>
      </c>
      <c r="AA171" s="66">
        <f t="shared" si="161"/>
        <v>-1.8527448848234145E-2</v>
      </c>
      <c r="AB171" s="66">
        <f t="shared" si="161"/>
        <v>-1.8527448848234145E-2</v>
      </c>
      <c r="AC171" s="66">
        <f t="shared" si="161"/>
        <v>-1.8527448848234145E-2</v>
      </c>
    </row>
    <row r="172" spans="1:29" x14ac:dyDescent="0.3">
      <c r="A172" s="30" t="str">
        <f t="shared" si="157"/>
        <v>Opex fix (admin, crew, insurance)</v>
      </c>
      <c r="B172" s="66">
        <f>B142/B153</f>
        <v>0.63636363636363635</v>
      </c>
      <c r="C172" s="66">
        <f t="shared" ref="C172:AC172" si="162">C142/C153</f>
        <v>0.63636363636363635</v>
      </c>
      <c r="D172" s="66">
        <f t="shared" si="162"/>
        <v>0.63636363636363635</v>
      </c>
      <c r="E172" s="66">
        <f t="shared" si="162"/>
        <v>0.63636363636363635</v>
      </c>
      <c r="F172" s="66">
        <f t="shared" si="162"/>
        <v>0.63636363636363635</v>
      </c>
      <c r="G172" s="66">
        <f t="shared" si="162"/>
        <v>0.63636363636363635</v>
      </c>
      <c r="H172" s="66">
        <f t="shared" si="162"/>
        <v>0.63636363636363635</v>
      </c>
      <c r="I172" s="66">
        <f t="shared" si="162"/>
        <v>0.63636363636363635</v>
      </c>
      <c r="J172" s="66">
        <f t="shared" si="162"/>
        <v>0.63636363636363635</v>
      </c>
      <c r="K172" s="66">
        <f t="shared" si="162"/>
        <v>0.63636363636363635</v>
      </c>
      <c r="L172" s="66">
        <f t="shared" si="162"/>
        <v>0.63636363636363635</v>
      </c>
      <c r="M172" s="66">
        <f t="shared" si="162"/>
        <v>0.63636363636363635</v>
      </c>
      <c r="N172" s="66">
        <f t="shared" si="162"/>
        <v>0.63636363636363635</v>
      </c>
      <c r="O172" s="66">
        <f t="shared" si="162"/>
        <v>0.63636363636363635</v>
      </c>
      <c r="P172" s="66">
        <f t="shared" si="162"/>
        <v>0.63636363636363635</v>
      </c>
      <c r="Q172" s="66">
        <f t="shared" si="162"/>
        <v>0.63636363636363635</v>
      </c>
      <c r="R172" s="66">
        <f t="shared" si="162"/>
        <v>0.63636363636363635</v>
      </c>
      <c r="S172" s="66">
        <f t="shared" si="162"/>
        <v>0.63636363636363635</v>
      </c>
      <c r="T172" s="66">
        <f t="shared" si="162"/>
        <v>0.63636363636363635</v>
      </c>
      <c r="U172" s="66">
        <f t="shared" si="162"/>
        <v>0.63636363636363635</v>
      </c>
      <c r="V172" s="66">
        <f t="shared" si="162"/>
        <v>0.63636363636363635</v>
      </c>
      <c r="W172" s="66">
        <f t="shared" si="162"/>
        <v>0.63636363636363635</v>
      </c>
      <c r="X172" s="66">
        <f t="shared" si="162"/>
        <v>0.63636363636363635</v>
      </c>
      <c r="Y172" s="66">
        <f t="shared" si="162"/>
        <v>0.63636363636363635</v>
      </c>
      <c r="Z172" s="66">
        <f t="shared" si="162"/>
        <v>0.63636363636363635</v>
      </c>
      <c r="AA172" s="66">
        <f t="shared" si="162"/>
        <v>0.63636363636363635</v>
      </c>
      <c r="AB172" s="66">
        <f t="shared" si="162"/>
        <v>0.63636363636363635</v>
      </c>
      <c r="AC172" s="66">
        <f t="shared" si="162"/>
        <v>0.63636363636363635</v>
      </c>
    </row>
    <row r="173" spans="1:29" x14ac:dyDescent="0.3">
      <c r="A173" s="30" t="str">
        <f t="shared" si="157"/>
        <v>Opex maintenance &amp; repair</v>
      </c>
      <c r="B173" s="66">
        <f>B143/B153</f>
        <v>0.13636363636363635</v>
      </c>
      <c r="C173" s="66">
        <f t="shared" ref="C173:AC173" si="163">C143/C153</f>
        <v>0.13636363636363635</v>
      </c>
      <c r="D173" s="66">
        <f t="shared" si="163"/>
        <v>0.13636363636363635</v>
      </c>
      <c r="E173" s="66">
        <f t="shared" si="163"/>
        <v>0.13636363636363635</v>
      </c>
      <c r="F173" s="66">
        <f t="shared" si="163"/>
        <v>0.13636363636363635</v>
      </c>
      <c r="G173" s="66">
        <f t="shared" si="163"/>
        <v>0.13636363636363635</v>
      </c>
      <c r="H173" s="66">
        <f t="shared" si="163"/>
        <v>0.13636363636363635</v>
      </c>
      <c r="I173" s="66">
        <f t="shared" si="163"/>
        <v>0.13636363636363635</v>
      </c>
      <c r="J173" s="66">
        <f t="shared" si="163"/>
        <v>0.13636363636363635</v>
      </c>
      <c r="K173" s="66">
        <f t="shared" si="163"/>
        <v>0.13636363636363635</v>
      </c>
      <c r="L173" s="66">
        <f t="shared" si="163"/>
        <v>0.13636363636363635</v>
      </c>
      <c r="M173" s="66">
        <f t="shared" si="163"/>
        <v>0.13636363636363635</v>
      </c>
      <c r="N173" s="66">
        <f t="shared" si="163"/>
        <v>0.13636363636363635</v>
      </c>
      <c r="O173" s="66">
        <f t="shared" si="163"/>
        <v>0.13636363636363635</v>
      </c>
      <c r="P173" s="66">
        <f t="shared" si="163"/>
        <v>0.13636363636363635</v>
      </c>
      <c r="Q173" s="66">
        <f t="shared" si="163"/>
        <v>0.13636363636363635</v>
      </c>
      <c r="R173" s="66">
        <f t="shared" si="163"/>
        <v>0.13636363636363635</v>
      </c>
      <c r="S173" s="66">
        <f t="shared" si="163"/>
        <v>0.13636363636363635</v>
      </c>
      <c r="T173" s="66">
        <f t="shared" si="163"/>
        <v>0.13636363636363635</v>
      </c>
      <c r="U173" s="66">
        <f t="shared" si="163"/>
        <v>0.13636363636363635</v>
      </c>
      <c r="V173" s="66">
        <f t="shared" si="163"/>
        <v>0.13636363636363635</v>
      </c>
      <c r="W173" s="66">
        <f t="shared" si="163"/>
        <v>0.13636363636363635</v>
      </c>
      <c r="X173" s="66">
        <f t="shared" si="163"/>
        <v>0.13636363636363635</v>
      </c>
      <c r="Y173" s="66">
        <f t="shared" si="163"/>
        <v>0.13636363636363635</v>
      </c>
      <c r="Z173" s="66">
        <f t="shared" si="163"/>
        <v>0.13636363636363635</v>
      </c>
      <c r="AA173" s="66">
        <f t="shared" si="163"/>
        <v>0.13636363636363635</v>
      </c>
      <c r="AB173" s="66">
        <f t="shared" si="163"/>
        <v>0.13636363636363635</v>
      </c>
      <c r="AC173" s="66">
        <f t="shared" si="163"/>
        <v>0.13636363636363635</v>
      </c>
    </row>
    <row r="174" spans="1:29" x14ac:dyDescent="0.3">
      <c r="A174" s="30" t="str">
        <f t="shared" si="157"/>
        <v>Opex var (mode-fees)</v>
      </c>
      <c r="B174" s="66">
        <f>B144*B153/B153</f>
        <v>0.11</v>
      </c>
      <c r="C174" s="66">
        <f t="shared" ref="C174:AC174" si="164">C144*C153/C153</f>
        <v>0.11</v>
      </c>
      <c r="D174" s="66">
        <f t="shared" si="164"/>
        <v>0.11</v>
      </c>
      <c r="E174" s="66">
        <f t="shared" si="164"/>
        <v>0.11</v>
      </c>
      <c r="F174" s="66">
        <f t="shared" si="164"/>
        <v>0.11</v>
      </c>
      <c r="G174" s="66">
        <f t="shared" si="164"/>
        <v>0.11</v>
      </c>
      <c r="H174" s="66">
        <f t="shared" si="164"/>
        <v>0.11</v>
      </c>
      <c r="I174" s="66">
        <f t="shared" si="164"/>
        <v>0.11</v>
      </c>
      <c r="J174" s="66">
        <f t="shared" si="164"/>
        <v>0.11</v>
      </c>
      <c r="K174" s="66">
        <f t="shared" si="164"/>
        <v>0.11</v>
      </c>
      <c r="L174" s="66">
        <f t="shared" si="164"/>
        <v>0.11</v>
      </c>
      <c r="M174" s="66">
        <f t="shared" si="164"/>
        <v>0.11</v>
      </c>
      <c r="N174" s="66">
        <f t="shared" si="164"/>
        <v>0.11</v>
      </c>
      <c r="O174" s="66">
        <f t="shared" si="164"/>
        <v>0.11</v>
      </c>
      <c r="P174" s="66">
        <f t="shared" si="164"/>
        <v>0.11</v>
      </c>
      <c r="Q174" s="66">
        <f t="shared" si="164"/>
        <v>0.11</v>
      </c>
      <c r="R174" s="66">
        <f t="shared" si="164"/>
        <v>0.11</v>
      </c>
      <c r="S174" s="66">
        <f t="shared" si="164"/>
        <v>0.11</v>
      </c>
      <c r="T174" s="66">
        <f t="shared" si="164"/>
        <v>0.11</v>
      </c>
      <c r="U174" s="66">
        <f t="shared" si="164"/>
        <v>0.11</v>
      </c>
      <c r="V174" s="66">
        <f t="shared" si="164"/>
        <v>0.11</v>
      </c>
      <c r="W174" s="66">
        <f t="shared" si="164"/>
        <v>0.11</v>
      </c>
      <c r="X174" s="66">
        <f t="shared" si="164"/>
        <v>0.11</v>
      </c>
      <c r="Y174" s="66">
        <f t="shared" si="164"/>
        <v>0.11</v>
      </c>
      <c r="Z174" s="66">
        <f t="shared" si="164"/>
        <v>0.11</v>
      </c>
      <c r="AA174" s="66">
        <f t="shared" si="164"/>
        <v>0.11</v>
      </c>
      <c r="AB174" s="66">
        <f t="shared" si="164"/>
        <v>0.11</v>
      </c>
      <c r="AC174" s="66">
        <f t="shared" si="164"/>
        <v>0.11</v>
      </c>
    </row>
    <row r="175" spans="1:29" x14ac:dyDescent="0.3">
      <c r="A175" s="30" t="str">
        <f t="shared" si="157"/>
        <v>Fuel Cost</v>
      </c>
      <c r="B175" s="66">
        <f>B145*B146*B153/B153</f>
        <v>0.13849457620716266</v>
      </c>
      <c r="C175" s="66">
        <f t="shared" ref="C175:AC175" si="165">C145*C146*C153/C153</f>
        <v>0.13757546992183967</v>
      </c>
      <c r="D175" s="66">
        <f t="shared" si="165"/>
        <v>0.13631042231469542</v>
      </c>
      <c r="E175" s="66">
        <f t="shared" si="165"/>
        <v>0.1346000453584727</v>
      </c>
      <c r="F175" s="66">
        <f t="shared" si="165"/>
        <v>0.13234360359500089</v>
      </c>
      <c r="G175" s="66">
        <f t="shared" si="165"/>
        <v>0.12946206360694487</v>
      </c>
      <c r="H175" s="66">
        <f t="shared" si="165"/>
        <v>0.12593074984139796</v>
      </c>
      <c r="I175" s="66">
        <f t="shared" si="165"/>
        <v>0.12181036002680057</v>
      </c>
      <c r="J175" s="66">
        <f t="shared" si="165"/>
        <v>0.11725654908192047</v>
      </c>
      <c r="K175" s="66">
        <f t="shared" si="165"/>
        <v>0.11249420296503812</v>
      </c>
      <c r="L175" s="66">
        <f t="shared" si="165"/>
        <v>0.10776675371257161</v>
      </c>
      <c r="M175" s="66">
        <f t="shared" si="165"/>
        <v>0.10329060656108351</v>
      </c>
      <c r="N175" s="66">
        <f t="shared" si="165"/>
        <v>9.9234103614633834E-2</v>
      </c>
      <c r="O175" s="66">
        <f t="shared" si="165"/>
        <v>9.5713141319462264E-2</v>
      </c>
      <c r="P175" s="66">
        <f t="shared" si="165"/>
        <v>9.2787861053435242E-2</v>
      </c>
      <c r="Q175" s="66">
        <f t="shared" si="165"/>
        <v>9.045989947032318E-2</v>
      </c>
      <c r="R175" s="66">
        <f t="shared" si="165"/>
        <v>8.8679299877880896E-2</v>
      </c>
      <c r="S175" s="66">
        <f t="shared" si="165"/>
        <v>8.7362809663637894E-2</v>
      </c>
      <c r="T175" s="66">
        <f t="shared" si="165"/>
        <v>8.6415613921508566E-2</v>
      </c>
      <c r="U175" s="66">
        <f t="shared" si="165"/>
        <v>8.5748126802623531E-2</v>
      </c>
      <c r="V175" s="66">
        <f t="shared" si="165"/>
        <v>8.5284861708481347E-2</v>
      </c>
      <c r="W175" s="66">
        <f t="shared" si="165"/>
        <v>8.4966811482477742E-2</v>
      </c>
      <c r="X175" s="66">
        <f t="shared" si="165"/>
        <v>8.4750111168886685E-2</v>
      </c>
      <c r="Y175" s="66">
        <f t="shared" si="165"/>
        <v>8.46032372867844E-2</v>
      </c>
      <c r="Z175" s="66">
        <f t="shared" si="165"/>
        <v>8.4504046399440924E-2</v>
      </c>
      <c r="AA175" s="66">
        <f t="shared" si="165"/>
        <v>8.4437221118351113E-2</v>
      </c>
      <c r="AB175" s="66">
        <f t="shared" si="165"/>
        <v>8.4392274799069439E-2</v>
      </c>
      <c r="AC175" s="66">
        <f t="shared" si="165"/>
        <v>8.436207772610721E-2</v>
      </c>
    </row>
    <row r="176" spans="1:29" ht="15" thickBot="1" x14ac:dyDescent="0.35">
      <c r="A176" s="59" t="str">
        <f t="shared" ref="A176" si="166">A164</f>
        <v>Emission Cost</v>
      </c>
      <c r="B176" s="66">
        <f>B147</f>
        <v>3.5122691839304448E-3</v>
      </c>
      <c r="C176" s="66">
        <f t="shared" ref="C176:AC176" si="167">C147</f>
        <v>3.5089246478970256E-3</v>
      </c>
      <c r="D176" s="66">
        <f t="shared" si="167"/>
        <v>3.5041370190587195E-3</v>
      </c>
      <c r="E176" s="66">
        <f t="shared" si="167"/>
        <v>3.4972879793244123E-3</v>
      </c>
      <c r="F176" s="66">
        <f t="shared" si="167"/>
        <v>3.4874991902284352E-3</v>
      </c>
      <c r="G176" s="66">
        <f t="shared" si="167"/>
        <v>3.4735284727434282E-3</v>
      </c>
      <c r="H176" s="66">
        <f t="shared" si="167"/>
        <v>3.4536307436526109E-3</v>
      </c>
      <c r="I176" s="66">
        <f t="shared" si="167"/>
        <v>3.4253788207186963E-3</v>
      </c>
      <c r="J176" s="66">
        <f t="shared" si="167"/>
        <v>3.3854474424880663E-3</v>
      </c>
      <c r="K176" s="66">
        <f t="shared" si="167"/>
        <v>3.3293845078740006E-3</v>
      </c>
      <c r="L176" s="66">
        <f t="shared" si="167"/>
        <v>3.251436677284981E-3</v>
      </c>
      <c r="M176" s="66">
        <f t="shared" si="167"/>
        <v>3.1445731175815781E-3</v>
      </c>
      <c r="N176" s="66">
        <f t="shared" si="167"/>
        <v>3.0009599443763112E-3</v>
      </c>
      <c r="O176" s="66">
        <f t="shared" si="167"/>
        <v>2.813229782972361E-3</v>
      </c>
      <c r="P176" s="66">
        <f t="shared" si="167"/>
        <v>2.5768153751997672E-3</v>
      </c>
      <c r="Q176" s="66">
        <f t="shared" si="167"/>
        <v>2.2931248721492917E-3</v>
      </c>
      <c r="R176" s="66">
        <f t="shared" si="167"/>
        <v>1.9723351254059053E-3</v>
      </c>
      <c r="S176" s="66">
        <f t="shared" si="167"/>
        <v>1.6336787059361244E-3</v>
      </c>
      <c r="T176" s="66">
        <f t="shared" si="167"/>
        <v>1.3016864113624426E-3</v>
      </c>
      <c r="U176" s="66">
        <f t="shared" si="167"/>
        <v>9.9946699203053851E-4</v>
      </c>
      <c r="V176" s="66">
        <f t="shared" si="167"/>
        <v>7.4262352247134438E-4</v>
      </c>
      <c r="W176" s="66">
        <f t="shared" si="167"/>
        <v>5.3693790141369664E-4</v>
      </c>
      <c r="X176" s="66">
        <f t="shared" si="167"/>
        <v>3.7999064356739184E-4</v>
      </c>
      <c r="Y176" s="66">
        <f t="shared" si="167"/>
        <v>2.646218218620832E-4</v>
      </c>
      <c r="Z176" s="66">
        <f t="shared" si="167"/>
        <v>1.8213478334480789E-4</v>
      </c>
      <c r="AA176" s="66">
        <f t="shared" si="167"/>
        <v>1.2432355100121771E-4</v>
      </c>
      <c r="AB176" s="66">
        <f t="shared" si="167"/>
        <v>8.4372436095756821E-5</v>
      </c>
      <c r="AC176" s="66">
        <f t="shared" si="167"/>
        <v>5.7031897325531943E-5</v>
      </c>
    </row>
    <row r="177" spans="1:29" ht="15" thickBot="1" x14ac:dyDescent="0.35">
      <c r="A177" s="31" t="s">
        <v>63</v>
      </c>
      <c r="B177" s="76">
        <f>B168+B169+B170-B171+B172+B173+B174+B175+B176</f>
        <v>1.5967860802679907</v>
      </c>
      <c r="C177" s="76">
        <f t="shared" ref="C177:AC177" si="168">C168+C169+C170-C171+C172+C173+C174+C175+C176</f>
        <v>1.5883668757030531</v>
      </c>
      <c r="D177" s="76">
        <f t="shared" si="168"/>
        <v>1.5768192715387364</v>
      </c>
      <c r="E177" s="76">
        <f t="shared" si="168"/>
        <v>1.5612898254242913</v>
      </c>
      <c r="F177" s="76">
        <f t="shared" si="168"/>
        <v>1.5409683548521715</v>
      </c>
      <c r="G177" s="76">
        <f t="shared" si="168"/>
        <v>1.5153353210736611</v>
      </c>
      <c r="H177" s="76">
        <f t="shared" si="168"/>
        <v>1.4844997345721629</v>
      </c>
      <c r="I177" s="76">
        <f t="shared" si="168"/>
        <v>1.449498640410642</v>
      </c>
      <c r="J177" s="76">
        <f t="shared" si="168"/>
        <v>1.4123340906479522</v>
      </c>
      <c r="K177" s="76">
        <f t="shared" si="168"/>
        <v>1.3755858067253013</v>
      </c>
      <c r="L177" s="76">
        <f t="shared" si="168"/>
        <v>1.3417139873167148</v>
      </c>
      <c r="M177" s="76">
        <f t="shared" si="168"/>
        <v>1.3124286567669585</v>
      </c>
      <c r="N177" s="76">
        <f t="shared" si="168"/>
        <v>1.2884464063914471</v>
      </c>
      <c r="O177" s="76">
        <f t="shared" si="168"/>
        <v>1.2696430675038803</v>
      </c>
      <c r="P177" s="76">
        <f t="shared" si="168"/>
        <v>1.2553855971109076</v>
      </c>
      <c r="Q177" s="76">
        <f t="shared" si="168"/>
        <v>1.2448406259044</v>
      </c>
      <c r="R177" s="76">
        <f t="shared" si="168"/>
        <v>1.2371791514516475</v>
      </c>
      <c r="S177" s="76">
        <f t="shared" si="168"/>
        <v>1.2316816442549203</v>
      </c>
      <c r="T177" s="76">
        <f t="shared" si="168"/>
        <v>1.2277729374127759</v>
      </c>
      <c r="U177" s="76">
        <f t="shared" si="168"/>
        <v>1.2250157308974763</v>
      </c>
      <c r="V177" s="76">
        <f t="shared" si="168"/>
        <v>1.223086040989519</v>
      </c>
      <c r="W177" s="76">
        <f t="shared" si="168"/>
        <v>1.2217463203047949</v>
      </c>
      <c r="X177" s="76">
        <f t="shared" si="168"/>
        <v>1.2208233557941117</v>
      </c>
      <c r="Y177" s="76">
        <f t="shared" si="168"/>
        <v>1.2201918349880454</v>
      </c>
      <c r="Z177" s="76">
        <f t="shared" si="168"/>
        <v>1.2197621445113656</v>
      </c>
      <c r="AA177" s="76">
        <f t="shared" si="168"/>
        <v>1.2194710448819557</v>
      </c>
      <c r="AB177" s="76">
        <f t="shared" si="168"/>
        <v>1.2192744669676436</v>
      </c>
      <c r="AC177" s="76">
        <f t="shared" si="168"/>
        <v>1.2191420240950623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69">A156</f>
        <v>Capex vehicle</v>
      </c>
      <c r="B180" s="65">
        <f>((1+B141)^B148)*B141/(((1+B141)^B148)-1)*(B137)/B153/(B150)</f>
        <v>2.2614787309588272E-2</v>
      </c>
      <c r="C180" s="65">
        <f t="shared" ref="C180:AC180" si="170">((1+C141)^C148)*C141/(((1+C141)^C148)-1)*(C137)/C153/(C150)</f>
        <v>2.2284119685006532E-2</v>
      </c>
      <c r="D180" s="65">
        <f t="shared" si="170"/>
        <v>2.1830786742005406E-2</v>
      </c>
      <c r="E180" s="65">
        <f t="shared" si="170"/>
        <v>2.1221555843806153E-2</v>
      </c>
      <c r="F180" s="65">
        <f t="shared" si="170"/>
        <v>2.0425173365105898E-2</v>
      </c>
      <c r="G180" s="65">
        <f t="shared" si="170"/>
        <v>1.9422264239292778E-2</v>
      </c>
      <c r="H180" s="65">
        <f t="shared" si="170"/>
        <v>1.8218802076827995E-2</v>
      </c>
      <c r="I180" s="65">
        <f t="shared" si="170"/>
        <v>1.6857958769910399E-2</v>
      </c>
      <c r="J180" s="65">
        <f t="shared" si="170"/>
        <v>1.5421322074197091E-2</v>
      </c>
      <c r="K180" s="65">
        <f t="shared" si="170"/>
        <v>1.4012955701501843E-2</v>
      </c>
      <c r="L180" s="65">
        <f t="shared" si="170"/>
        <v>1.2730890803251403E-2</v>
      </c>
      <c r="M180" s="65">
        <f t="shared" si="170"/>
        <v>1.1641318209290907E-2</v>
      </c>
      <c r="N180" s="65">
        <f t="shared" si="170"/>
        <v>1.0768765692924485E-2</v>
      </c>
      <c r="O180" s="65">
        <f t="shared" si="170"/>
        <v>1.0102969396292643E-2</v>
      </c>
      <c r="P180" s="65">
        <f t="shared" si="170"/>
        <v>9.6135557213280574E-3</v>
      </c>
      <c r="Q180" s="65">
        <f t="shared" si="170"/>
        <v>9.2636320239117449E-3</v>
      </c>
      <c r="R180" s="65">
        <f t="shared" si="170"/>
        <v>9.0183871886322514E-3</v>
      </c>
      <c r="S180" s="65">
        <f t="shared" si="170"/>
        <v>8.8489079335284937E-3</v>
      </c>
      <c r="T180" s="65">
        <f t="shared" si="170"/>
        <v>8.7329248337857691E-3</v>
      </c>
      <c r="U180" s="65">
        <f t="shared" si="170"/>
        <v>8.6540815915533663E-3</v>
      </c>
      <c r="V180" s="65">
        <f t="shared" si="170"/>
        <v>8.6007292468553743E-3</v>
      </c>
      <c r="W180" s="65">
        <f t="shared" si="170"/>
        <v>8.5647376994211731E-3</v>
      </c>
      <c r="X180" s="65">
        <f t="shared" si="170"/>
        <v>8.5405083684793031E-3</v>
      </c>
      <c r="Y180" s="65">
        <f t="shared" si="170"/>
        <v>8.5242202100229165E-3</v>
      </c>
      <c r="Z180" s="65">
        <f t="shared" si="170"/>
        <v>8.5132808456192151E-3</v>
      </c>
      <c r="AA180" s="65">
        <f t="shared" si="170"/>
        <v>8.5059384725037247E-3</v>
      </c>
      <c r="AB180" s="65">
        <f t="shared" si="170"/>
        <v>8.5010124578128055E-3</v>
      </c>
      <c r="AC180" s="65">
        <f t="shared" si="170"/>
        <v>8.497708528469412E-3</v>
      </c>
    </row>
    <row r="181" spans="1:29" x14ac:dyDescent="0.3">
      <c r="A181" s="30" t="str">
        <f t="shared" si="169"/>
        <v>Residual value (vehicle)</v>
      </c>
      <c r="B181" s="68">
        <f>((1+B141)^B148)*B141/(((1+B141)^B148)-1)*(B138)/B153/(B150)</f>
        <v>-3.4381985932500987E-3</v>
      </c>
      <c r="C181" s="68">
        <f t="shared" ref="C181:AC181" si="171">((1+C141)^C148)*C141/(((1+C141)^C148)-1)*(C138)/C153/(C150)</f>
        <v>-3.4074011184116039E-3</v>
      </c>
      <c r="D181" s="68">
        <f t="shared" si="171"/>
        <v>-3.365178932543852E-3</v>
      </c>
      <c r="E181" s="68">
        <f t="shared" si="171"/>
        <v>-3.3084368390841174E-3</v>
      </c>
      <c r="F181" s="68">
        <f t="shared" si="171"/>
        <v>-3.2342639611659561E-3</v>
      </c>
      <c r="G181" s="68">
        <f t="shared" si="171"/>
        <v>-3.1408557582715975E-3</v>
      </c>
      <c r="H181" s="68">
        <f t="shared" si="171"/>
        <v>-3.0287685960812497E-3</v>
      </c>
      <c r="I181" s="68">
        <f t="shared" si="171"/>
        <v>-2.9020233861232385E-3</v>
      </c>
      <c r="J181" s="68">
        <f t="shared" si="171"/>
        <v>-2.7682189879930769E-3</v>
      </c>
      <c r="K181" s="68">
        <f t="shared" si="171"/>
        <v>-2.63704761014401E-3</v>
      </c>
      <c r="L181" s="68">
        <f t="shared" si="171"/>
        <v>-2.5176396049148026E-3</v>
      </c>
      <c r="M181" s="68">
        <f t="shared" si="171"/>
        <v>-2.4161598044969133E-3</v>
      </c>
      <c r="N181" s="68">
        <f t="shared" si="171"/>
        <v>-2.3348926583647463E-3</v>
      </c>
      <c r="O181" s="68">
        <f t="shared" si="171"/>
        <v>-2.2728822189725648E-3</v>
      </c>
      <c r="P181" s="68">
        <f t="shared" si="171"/>
        <v>-2.2272995727748829E-3</v>
      </c>
      <c r="Q181" s="68">
        <f t="shared" si="171"/>
        <v>-2.1947086401723835E-3</v>
      </c>
      <c r="R181" s="68">
        <f t="shared" si="171"/>
        <v>-2.1718672094355675E-3</v>
      </c>
      <c r="S181" s="68">
        <f t="shared" si="171"/>
        <v>-2.156082376852375E-3</v>
      </c>
      <c r="T181" s="68">
        <f t="shared" si="171"/>
        <v>-2.1452800293273169E-3</v>
      </c>
      <c r="U181" s="68">
        <f t="shared" si="171"/>
        <v>-2.1379367861782202E-3</v>
      </c>
      <c r="V181" s="68">
        <f t="shared" si="171"/>
        <v>-2.1329676952504669E-3</v>
      </c>
      <c r="W181" s="68">
        <f t="shared" si="171"/>
        <v>-2.1296155413227714E-3</v>
      </c>
      <c r="X181" s="68">
        <f t="shared" si="171"/>
        <v>-2.1273588879507348E-3</v>
      </c>
      <c r="Y181" s="68">
        <f t="shared" si="171"/>
        <v>-2.1258418535846984E-3</v>
      </c>
      <c r="Z181" s="68">
        <f t="shared" si="171"/>
        <v>-2.1248229912137649E-3</v>
      </c>
      <c r="AA181" s="68">
        <f t="shared" si="171"/>
        <v>-2.1241391427373225E-3</v>
      </c>
      <c r="AB181" s="68">
        <f t="shared" si="171"/>
        <v>-2.1236803472514036E-3</v>
      </c>
      <c r="AC181" s="68">
        <f t="shared" si="171"/>
        <v>-2.1233726283419697E-3</v>
      </c>
    </row>
    <row r="182" spans="1:29" x14ac:dyDescent="0.3">
      <c r="A182" s="30" t="str">
        <f t="shared" si="169"/>
        <v>Capex costumization</v>
      </c>
      <c r="B182" s="66">
        <f>((1+B141)^B149)*B141/(((1+B141)^B149)-1)*(B139)/B153/(B150)</f>
        <v>2.964391815717463E-3</v>
      </c>
      <c r="C182" s="66">
        <f t="shared" ref="C182:AC182" si="172">((1+C141)^C149)*C141/(((1+C141)^C149)-1)*(C139)/C153/(C150)</f>
        <v>2.964391815717463E-3</v>
      </c>
      <c r="D182" s="66">
        <f t="shared" si="172"/>
        <v>2.964391815717463E-3</v>
      </c>
      <c r="E182" s="66">
        <f t="shared" si="172"/>
        <v>2.964391815717463E-3</v>
      </c>
      <c r="F182" s="66">
        <f t="shared" si="172"/>
        <v>2.964391815717463E-3</v>
      </c>
      <c r="G182" s="66">
        <f t="shared" si="172"/>
        <v>2.964391815717463E-3</v>
      </c>
      <c r="H182" s="66">
        <f t="shared" si="172"/>
        <v>2.964391815717463E-3</v>
      </c>
      <c r="I182" s="66">
        <f t="shared" si="172"/>
        <v>2.964391815717463E-3</v>
      </c>
      <c r="J182" s="66">
        <f t="shared" si="172"/>
        <v>2.964391815717463E-3</v>
      </c>
      <c r="K182" s="66">
        <f t="shared" si="172"/>
        <v>2.964391815717463E-3</v>
      </c>
      <c r="L182" s="66">
        <f t="shared" si="172"/>
        <v>2.964391815717463E-3</v>
      </c>
      <c r="M182" s="66">
        <f t="shared" si="172"/>
        <v>2.964391815717463E-3</v>
      </c>
      <c r="N182" s="66">
        <f t="shared" si="172"/>
        <v>2.964391815717463E-3</v>
      </c>
      <c r="O182" s="66">
        <f t="shared" si="172"/>
        <v>2.964391815717463E-3</v>
      </c>
      <c r="P182" s="66">
        <f t="shared" si="172"/>
        <v>2.964391815717463E-3</v>
      </c>
      <c r="Q182" s="66">
        <f t="shared" si="172"/>
        <v>2.964391815717463E-3</v>
      </c>
      <c r="R182" s="66">
        <f t="shared" si="172"/>
        <v>2.964391815717463E-3</v>
      </c>
      <c r="S182" s="66">
        <f t="shared" si="172"/>
        <v>2.964391815717463E-3</v>
      </c>
      <c r="T182" s="66">
        <f t="shared" si="172"/>
        <v>2.964391815717463E-3</v>
      </c>
      <c r="U182" s="66">
        <f t="shared" si="172"/>
        <v>2.964391815717463E-3</v>
      </c>
      <c r="V182" s="66">
        <f t="shared" si="172"/>
        <v>2.964391815717463E-3</v>
      </c>
      <c r="W182" s="66">
        <f t="shared" si="172"/>
        <v>2.964391815717463E-3</v>
      </c>
      <c r="X182" s="66">
        <f t="shared" si="172"/>
        <v>2.964391815717463E-3</v>
      </c>
      <c r="Y182" s="66">
        <f t="shared" si="172"/>
        <v>2.964391815717463E-3</v>
      </c>
      <c r="Z182" s="66">
        <f t="shared" si="172"/>
        <v>2.964391815717463E-3</v>
      </c>
      <c r="AA182" s="66">
        <f t="shared" si="172"/>
        <v>2.964391815717463E-3</v>
      </c>
      <c r="AB182" s="66">
        <f t="shared" si="172"/>
        <v>2.964391815717463E-3</v>
      </c>
      <c r="AC182" s="66">
        <f t="shared" si="172"/>
        <v>2.964391815717463E-3</v>
      </c>
    </row>
    <row r="183" spans="1:29" x14ac:dyDescent="0.3">
      <c r="A183" s="30" t="str">
        <f t="shared" si="169"/>
        <v>Residual value (costumization)</v>
      </c>
      <c r="B183" s="69">
        <f>((1+B141)^B149)*B141/(((1+B141)^B149)-1)*(B140)/B153/(B150)</f>
        <v>-7.4109795392936575E-4</v>
      </c>
      <c r="C183" s="69">
        <f t="shared" ref="C183:AC183" si="173">((1+C141)^C149)*C141/(((1+C141)^C149)-1)*(C140)/C153/(C150)</f>
        <v>-7.4109795392936575E-4</v>
      </c>
      <c r="D183" s="69">
        <f t="shared" si="173"/>
        <v>-7.4109795392936575E-4</v>
      </c>
      <c r="E183" s="69">
        <f t="shared" si="173"/>
        <v>-7.4109795392936575E-4</v>
      </c>
      <c r="F183" s="69">
        <f t="shared" si="173"/>
        <v>-7.4109795392936575E-4</v>
      </c>
      <c r="G183" s="69">
        <f t="shared" si="173"/>
        <v>-7.4109795392936575E-4</v>
      </c>
      <c r="H183" s="69">
        <f t="shared" si="173"/>
        <v>-7.4109795392936575E-4</v>
      </c>
      <c r="I183" s="69">
        <f t="shared" si="173"/>
        <v>-7.4109795392936575E-4</v>
      </c>
      <c r="J183" s="69">
        <f t="shared" si="173"/>
        <v>-7.4109795392936575E-4</v>
      </c>
      <c r="K183" s="69">
        <f t="shared" si="173"/>
        <v>-7.4109795392936575E-4</v>
      </c>
      <c r="L183" s="69">
        <f t="shared" si="173"/>
        <v>-7.4109795392936575E-4</v>
      </c>
      <c r="M183" s="69">
        <f t="shared" si="173"/>
        <v>-7.4109795392936575E-4</v>
      </c>
      <c r="N183" s="69">
        <f t="shared" si="173"/>
        <v>-7.4109795392936575E-4</v>
      </c>
      <c r="O183" s="69">
        <f t="shared" si="173"/>
        <v>-7.4109795392936575E-4</v>
      </c>
      <c r="P183" s="69">
        <f t="shared" si="173"/>
        <v>-7.4109795392936575E-4</v>
      </c>
      <c r="Q183" s="69">
        <f t="shared" si="173"/>
        <v>-7.4109795392936575E-4</v>
      </c>
      <c r="R183" s="69">
        <f t="shared" si="173"/>
        <v>-7.4109795392936575E-4</v>
      </c>
      <c r="S183" s="69">
        <f t="shared" si="173"/>
        <v>-7.4109795392936575E-4</v>
      </c>
      <c r="T183" s="69">
        <f t="shared" si="173"/>
        <v>-7.4109795392936575E-4</v>
      </c>
      <c r="U183" s="69">
        <f t="shared" si="173"/>
        <v>-7.4109795392936575E-4</v>
      </c>
      <c r="V183" s="69">
        <f t="shared" si="173"/>
        <v>-7.4109795392936575E-4</v>
      </c>
      <c r="W183" s="69">
        <f t="shared" si="173"/>
        <v>-7.4109795392936575E-4</v>
      </c>
      <c r="X183" s="69">
        <f t="shared" si="173"/>
        <v>-7.4109795392936575E-4</v>
      </c>
      <c r="Y183" s="69">
        <f t="shared" si="173"/>
        <v>-7.4109795392936575E-4</v>
      </c>
      <c r="Z183" s="69">
        <f t="shared" si="173"/>
        <v>-7.4109795392936575E-4</v>
      </c>
      <c r="AA183" s="69">
        <f t="shared" si="173"/>
        <v>-7.4109795392936575E-4</v>
      </c>
      <c r="AB183" s="69">
        <f t="shared" si="173"/>
        <v>-7.4109795392936575E-4</v>
      </c>
      <c r="AC183" s="69">
        <f t="shared" si="173"/>
        <v>-7.4109795392936575E-4</v>
      </c>
    </row>
    <row r="184" spans="1:29" x14ac:dyDescent="0.3">
      <c r="A184" s="30" t="str">
        <f t="shared" si="169"/>
        <v>Opex fix (admin, crew, insurance)</v>
      </c>
      <c r="B184" s="66">
        <f>B142/B153/(B150)</f>
        <v>2.5454545454545455E-2</v>
      </c>
      <c r="C184" s="66">
        <f t="shared" ref="C184:AC184" si="174">C142/C153/(C150)</f>
        <v>2.5454545454545455E-2</v>
      </c>
      <c r="D184" s="66">
        <f t="shared" si="174"/>
        <v>2.5454545454545455E-2</v>
      </c>
      <c r="E184" s="66">
        <f t="shared" si="174"/>
        <v>2.5454545454545455E-2</v>
      </c>
      <c r="F184" s="66">
        <f t="shared" si="174"/>
        <v>2.5454545454545455E-2</v>
      </c>
      <c r="G184" s="66">
        <f t="shared" si="174"/>
        <v>2.5454545454545455E-2</v>
      </c>
      <c r="H184" s="66">
        <f t="shared" si="174"/>
        <v>2.5454545454545455E-2</v>
      </c>
      <c r="I184" s="66">
        <f t="shared" si="174"/>
        <v>2.5454545454545455E-2</v>
      </c>
      <c r="J184" s="66">
        <f t="shared" si="174"/>
        <v>2.5454545454545455E-2</v>
      </c>
      <c r="K184" s="66">
        <f t="shared" si="174"/>
        <v>2.5454545454545455E-2</v>
      </c>
      <c r="L184" s="66">
        <f t="shared" si="174"/>
        <v>2.5454545454545455E-2</v>
      </c>
      <c r="M184" s="66">
        <f t="shared" si="174"/>
        <v>2.5454545454545455E-2</v>
      </c>
      <c r="N184" s="66">
        <f t="shared" si="174"/>
        <v>2.5454545454545455E-2</v>
      </c>
      <c r="O184" s="66">
        <f t="shared" si="174"/>
        <v>2.5454545454545455E-2</v>
      </c>
      <c r="P184" s="66">
        <f t="shared" si="174"/>
        <v>2.5454545454545455E-2</v>
      </c>
      <c r="Q184" s="66">
        <f t="shared" si="174"/>
        <v>2.5454545454545455E-2</v>
      </c>
      <c r="R184" s="66">
        <f t="shared" si="174"/>
        <v>2.5454545454545455E-2</v>
      </c>
      <c r="S184" s="66">
        <f t="shared" si="174"/>
        <v>2.5454545454545455E-2</v>
      </c>
      <c r="T184" s="66">
        <f t="shared" si="174"/>
        <v>2.5454545454545455E-2</v>
      </c>
      <c r="U184" s="66">
        <f t="shared" si="174"/>
        <v>2.5454545454545455E-2</v>
      </c>
      <c r="V184" s="66">
        <f t="shared" si="174"/>
        <v>2.5454545454545455E-2</v>
      </c>
      <c r="W184" s="66">
        <f t="shared" si="174"/>
        <v>2.5454545454545455E-2</v>
      </c>
      <c r="X184" s="66">
        <f t="shared" si="174"/>
        <v>2.5454545454545455E-2</v>
      </c>
      <c r="Y184" s="66">
        <f t="shared" si="174"/>
        <v>2.5454545454545455E-2</v>
      </c>
      <c r="Z184" s="66">
        <f t="shared" si="174"/>
        <v>2.5454545454545455E-2</v>
      </c>
      <c r="AA184" s="66">
        <f t="shared" si="174"/>
        <v>2.5454545454545455E-2</v>
      </c>
      <c r="AB184" s="66">
        <f t="shared" si="174"/>
        <v>2.5454545454545455E-2</v>
      </c>
      <c r="AC184" s="66">
        <f t="shared" si="174"/>
        <v>2.5454545454545455E-2</v>
      </c>
    </row>
    <row r="185" spans="1:29" x14ac:dyDescent="0.3">
      <c r="A185" s="30" t="str">
        <f t="shared" si="169"/>
        <v>Opex maintenance &amp; repair</v>
      </c>
      <c r="B185" s="66">
        <f>B143/B153/(B150)</f>
        <v>5.4545454545454541E-3</v>
      </c>
      <c r="C185" s="66">
        <f t="shared" ref="C185:AC185" si="175">C143/C153/(C150)</f>
        <v>5.4545454545454541E-3</v>
      </c>
      <c r="D185" s="66">
        <f t="shared" si="175"/>
        <v>5.4545454545454541E-3</v>
      </c>
      <c r="E185" s="66">
        <f t="shared" si="175"/>
        <v>5.4545454545454541E-3</v>
      </c>
      <c r="F185" s="66">
        <f t="shared" si="175"/>
        <v>5.4545454545454541E-3</v>
      </c>
      <c r="G185" s="66">
        <f t="shared" si="175"/>
        <v>5.4545454545454541E-3</v>
      </c>
      <c r="H185" s="66">
        <f t="shared" si="175"/>
        <v>5.4545454545454541E-3</v>
      </c>
      <c r="I185" s="66">
        <f t="shared" si="175"/>
        <v>5.4545454545454541E-3</v>
      </c>
      <c r="J185" s="66">
        <f t="shared" si="175"/>
        <v>5.4545454545454541E-3</v>
      </c>
      <c r="K185" s="66">
        <f t="shared" si="175"/>
        <v>5.4545454545454541E-3</v>
      </c>
      <c r="L185" s="66">
        <f t="shared" si="175"/>
        <v>5.4545454545454541E-3</v>
      </c>
      <c r="M185" s="66">
        <f t="shared" si="175"/>
        <v>5.4545454545454541E-3</v>
      </c>
      <c r="N185" s="66">
        <f t="shared" si="175"/>
        <v>5.4545454545454541E-3</v>
      </c>
      <c r="O185" s="66">
        <f t="shared" si="175"/>
        <v>5.4545454545454541E-3</v>
      </c>
      <c r="P185" s="66">
        <f t="shared" si="175"/>
        <v>5.4545454545454541E-3</v>
      </c>
      <c r="Q185" s="66">
        <f t="shared" si="175"/>
        <v>5.4545454545454541E-3</v>
      </c>
      <c r="R185" s="66">
        <f t="shared" si="175"/>
        <v>5.4545454545454541E-3</v>
      </c>
      <c r="S185" s="66">
        <f t="shared" si="175"/>
        <v>5.4545454545454541E-3</v>
      </c>
      <c r="T185" s="66">
        <f t="shared" si="175"/>
        <v>5.4545454545454541E-3</v>
      </c>
      <c r="U185" s="66">
        <f t="shared" si="175"/>
        <v>5.4545454545454541E-3</v>
      </c>
      <c r="V185" s="66">
        <f t="shared" si="175"/>
        <v>5.4545454545454541E-3</v>
      </c>
      <c r="W185" s="66">
        <f t="shared" si="175"/>
        <v>5.4545454545454541E-3</v>
      </c>
      <c r="X185" s="66">
        <f t="shared" si="175"/>
        <v>5.4545454545454541E-3</v>
      </c>
      <c r="Y185" s="66">
        <f t="shared" si="175"/>
        <v>5.4545454545454541E-3</v>
      </c>
      <c r="Z185" s="66">
        <f t="shared" si="175"/>
        <v>5.4545454545454541E-3</v>
      </c>
      <c r="AA185" s="66">
        <f t="shared" si="175"/>
        <v>5.4545454545454541E-3</v>
      </c>
      <c r="AB185" s="66">
        <f t="shared" si="175"/>
        <v>5.4545454545454541E-3</v>
      </c>
      <c r="AC185" s="66">
        <f t="shared" si="175"/>
        <v>5.4545454545454541E-3</v>
      </c>
    </row>
    <row r="186" spans="1:29" x14ac:dyDescent="0.3">
      <c r="A186" s="30" t="str">
        <f t="shared" si="169"/>
        <v>Opex var (mode-fees)</v>
      </c>
      <c r="B186" s="66">
        <f>B144*B153/B153/(B150)</f>
        <v>4.4000000000000003E-3</v>
      </c>
      <c r="C186" s="66">
        <f t="shared" ref="C186:AC186" si="176">C144*C153/C153/(C150)</f>
        <v>4.4000000000000003E-3</v>
      </c>
      <c r="D186" s="66">
        <f t="shared" si="176"/>
        <v>4.4000000000000003E-3</v>
      </c>
      <c r="E186" s="66">
        <f t="shared" si="176"/>
        <v>4.4000000000000003E-3</v>
      </c>
      <c r="F186" s="66">
        <f t="shared" si="176"/>
        <v>4.4000000000000003E-3</v>
      </c>
      <c r="G186" s="66">
        <f t="shared" si="176"/>
        <v>4.4000000000000003E-3</v>
      </c>
      <c r="H186" s="66">
        <f t="shared" si="176"/>
        <v>4.4000000000000003E-3</v>
      </c>
      <c r="I186" s="66">
        <f t="shared" si="176"/>
        <v>4.4000000000000003E-3</v>
      </c>
      <c r="J186" s="66">
        <f t="shared" si="176"/>
        <v>4.4000000000000003E-3</v>
      </c>
      <c r="K186" s="66">
        <f t="shared" si="176"/>
        <v>4.4000000000000003E-3</v>
      </c>
      <c r="L186" s="66">
        <f t="shared" si="176"/>
        <v>4.4000000000000003E-3</v>
      </c>
      <c r="M186" s="66">
        <f t="shared" si="176"/>
        <v>4.4000000000000003E-3</v>
      </c>
      <c r="N186" s="66">
        <f t="shared" si="176"/>
        <v>4.4000000000000003E-3</v>
      </c>
      <c r="O186" s="66">
        <f t="shared" si="176"/>
        <v>4.4000000000000003E-3</v>
      </c>
      <c r="P186" s="66">
        <f t="shared" si="176"/>
        <v>4.4000000000000003E-3</v>
      </c>
      <c r="Q186" s="66">
        <f t="shared" si="176"/>
        <v>4.4000000000000003E-3</v>
      </c>
      <c r="R186" s="66">
        <f t="shared" si="176"/>
        <v>4.4000000000000003E-3</v>
      </c>
      <c r="S186" s="66">
        <f t="shared" si="176"/>
        <v>4.4000000000000003E-3</v>
      </c>
      <c r="T186" s="66">
        <f t="shared" si="176"/>
        <v>4.4000000000000003E-3</v>
      </c>
      <c r="U186" s="66">
        <f t="shared" si="176"/>
        <v>4.4000000000000003E-3</v>
      </c>
      <c r="V186" s="66">
        <f t="shared" si="176"/>
        <v>4.4000000000000003E-3</v>
      </c>
      <c r="W186" s="66">
        <f t="shared" si="176"/>
        <v>4.4000000000000003E-3</v>
      </c>
      <c r="X186" s="66">
        <f t="shared" si="176"/>
        <v>4.4000000000000003E-3</v>
      </c>
      <c r="Y186" s="66">
        <f t="shared" si="176"/>
        <v>4.4000000000000003E-3</v>
      </c>
      <c r="Z186" s="66">
        <f t="shared" si="176"/>
        <v>4.4000000000000003E-3</v>
      </c>
      <c r="AA186" s="66">
        <f t="shared" si="176"/>
        <v>4.4000000000000003E-3</v>
      </c>
      <c r="AB186" s="66">
        <f t="shared" si="176"/>
        <v>4.4000000000000003E-3</v>
      </c>
      <c r="AC186" s="66">
        <f t="shared" si="176"/>
        <v>4.4000000000000003E-3</v>
      </c>
    </row>
    <row r="187" spans="1:29" x14ac:dyDescent="0.3">
      <c r="A187" s="30" t="str">
        <f t="shared" si="169"/>
        <v>Fuel Cost</v>
      </c>
      <c r="B187" s="66">
        <f>B145*B146*B153/B153/(B150)</f>
        <v>5.5397830482865063E-3</v>
      </c>
      <c r="C187" s="66">
        <f t="shared" ref="C187:AC187" si="177">C145*C146*C153/C153/(C150)</f>
        <v>5.5030187968735864E-3</v>
      </c>
      <c r="D187" s="66">
        <f t="shared" si="177"/>
        <v>5.4524168925878169E-3</v>
      </c>
      <c r="E187" s="66">
        <f t="shared" si="177"/>
        <v>5.3840018143389082E-3</v>
      </c>
      <c r="F187" s="66">
        <f t="shared" si="177"/>
        <v>5.2937441438000356E-3</v>
      </c>
      <c r="G187" s="66">
        <f t="shared" si="177"/>
        <v>5.1784825442777946E-3</v>
      </c>
      <c r="H187" s="66">
        <f t="shared" si="177"/>
        <v>5.0372299936559187E-3</v>
      </c>
      <c r="I187" s="66">
        <f t="shared" si="177"/>
        <v>4.8724144010720231E-3</v>
      </c>
      <c r="J187" s="66">
        <f t="shared" si="177"/>
        <v>4.6902619632768188E-3</v>
      </c>
      <c r="K187" s="66">
        <f t="shared" si="177"/>
        <v>4.4997681186015248E-3</v>
      </c>
      <c r="L187" s="66">
        <f t="shared" si="177"/>
        <v>4.3106701485028645E-3</v>
      </c>
      <c r="M187" s="66">
        <f t="shared" si="177"/>
        <v>4.13162426244334E-3</v>
      </c>
      <c r="N187" s="66">
        <f t="shared" si="177"/>
        <v>3.9693641445853536E-3</v>
      </c>
      <c r="O187" s="66">
        <f t="shared" si="177"/>
        <v>3.8285256527784907E-3</v>
      </c>
      <c r="P187" s="66">
        <f t="shared" si="177"/>
        <v>3.7115144421374095E-3</v>
      </c>
      <c r="Q187" s="66">
        <f t="shared" si="177"/>
        <v>3.6183959788129274E-3</v>
      </c>
      <c r="R187" s="66">
        <f t="shared" si="177"/>
        <v>3.5471719951152359E-3</v>
      </c>
      <c r="S187" s="66">
        <f t="shared" si="177"/>
        <v>3.4945123865455156E-3</v>
      </c>
      <c r="T187" s="66">
        <f t="shared" si="177"/>
        <v>3.4566245568603427E-3</v>
      </c>
      <c r="U187" s="66">
        <f t="shared" si="177"/>
        <v>3.4299250721049413E-3</v>
      </c>
      <c r="V187" s="66">
        <f t="shared" si="177"/>
        <v>3.411394468339254E-3</v>
      </c>
      <c r="W187" s="66">
        <f t="shared" si="177"/>
        <v>3.3986724592991097E-3</v>
      </c>
      <c r="X187" s="66">
        <f t="shared" si="177"/>
        <v>3.3900044467554675E-3</v>
      </c>
      <c r="Y187" s="66">
        <f t="shared" si="177"/>
        <v>3.3841294914713758E-3</v>
      </c>
      <c r="Z187" s="66">
        <f t="shared" si="177"/>
        <v>3.3801618559776369E-3</v>
      </c>
      <c r="AA187" s="66">
        <f t="shared" si="177"/>
        <v>3.3774888447340445E-3</v>
      </c>
      <c r="AB187" s="66">
        <f t="shared" si="177"/>
        <v>3.3756909919627777E-3</v>
      </c>
      <c r="AC187" s="66">
        <f t="shared" si="177"/>
        <v>3.3744831090442885E-3</v>
      </c>
    </row>
    <row r="188" spans="1:29" x14ac:dyDescent="0.3">
      <c r="A188" s="59" t="str">
        <f>A151</f>
        <v>Market failure (av. utilization)</v>
      </c>
      <c r="B188" s="66">
        <f t="shared" ref="B188:AC188" si="178">B177/B151-B177/B150</f>
        <v>6.9194063478279583E-2</v>
      </c>
      <c r="C188" s="66">
        <f t="shared" si="178"/>
        <v>6.8829231280465641E-2</v>
      </c>
      <c r="D188" s="66">
        <f t="shared" si="178"/>
        <v>6.8328835100011906E-2</v>
      </c>
      <c r="E188" s="66">
        <f t="shared" si="178"/>
        <v>6.7655892435052628E-2</v>
      </c>
      <c r="F188" s="66">
        <f t="shared" si="178"/>
        <v>6.6775295376927446E-2</v>
      </c>
      <c r="G188" s="66">
        <f t="shared" si="178"/>
        <v>6.566453057985866E-2</v>
      </c>
      <c r="H188" s="66">
        <f t="shared" si="178"/>
        <v>6.4328321831460394E-2</v>
      </c>
      <c r="I188" s="66">
        <f t="shared" si="178"/>
        <v>6.2811607751127818E-2</v>
      </c>
      <c r="J188" s="66">
        <f t="shared" si="178"/>
        <v>6.1201143928077933E-2</v>
      </c>
      <c r="K188" s="66">
        <f t="shared" si="178"/>
        <v>5.9608718291429726E-2</v>
      </c>
      <c r="L188" s="66">
        <f t="shared" si="178"/>
        <v>5.8140939450390977E-2</v>
      </c>
      <c r="M188" s="66">
        <f t="shared" si="178"/>
        <v>5.6871908459901539E-2</v>
      </c>
      <c r="N188" s="66">
        <f t="shared" si="178"/>
        <v>5.583267761029604E-2</v>
      </c>
      <c r="O188" s="66">
        <f t="shared" si="178"/>
        <v>5.5017866258501483E-2</v>
      </c>
      <c r="P188" s="66">
        <f t="shared" si="178"/>
        <v>5.4400042541472661E-2</v>
      </c>
      <c r="Q188" s="66">
        <f t="shared" si="178"/>
        <v>5.3943093789190669E-2</v>
      </c>
      <c r="R188" s="66">
        <f t="shared" si="178"/>
        <v>5.361109656290472E-2</v>
      </c>
      <c r="S188" s="66">
        <f t="shared" si="178"/>
        <v>5.3372871251046547E-2</v>
      </c>
      <c r="T188" s="66">
        <f t="shared" si="178"/>
        <v>5.3203493954553628E-2</v>
      </c>
      <c r="U188" s="66">
        <f t="shared" si="178"/>
        <v>5.3084015005557303E-2</v>
      </c>
      <c r="V188" s="66">
        <f t="shared" si="178"/>
        <v>5.3000395109545823E-2</v>
      </c>
      <c r="W188" s="66">
        <f t="shared" si="178"/>
        <v>5.2942340546541115E-2</v>
      </c>
      <c r="X188" s="66">
        <f t="shared" si="178"/>
        <v>5.2902345417744835E-2</v>
      </c>
      <c r="Y188" s="66">
        <f t="shared" si="178"/>
        <v>5.287497951614864E-2</v>
      </c>
      <c r="Z188" s="66">
        <f t="shared" si="178"/>
        <v>5.2856359595492515E-2</v>
      </c>
      <c r="AA188" s="66">
        <f t="shared" si="178"/>
        <v>5.2843745278218078E-2</v>
      </c>
      <c r="AB188" s="66">
        <f t="shared" si="178"/>
        <v>5.283522690193123E-2</v>
      </c>
      <c r="AC188" s="66">
        <f t="shared" si="178"/>
        <v>5.2829487710786029E-2</v>
      </c>
    </row>
    <row r="189" spans="1:29" x14ac:dyDescent="0.3">
      <c r="A189" s="59" t="str">
        <f>A152</f>
        <v>Payload loss (fuel)</v>
      </c>
      <c r="B189" s="66">
        <f>B177/(B150-B152)-B177/B150</f>
        <v>7.0448133436563226E-3</v>
      </c>
      <c r="C189" s="66">
        <f t="shared" ref="C189:AC189" si="179">C177/(C150-C152)-C177/C150</f>
        <v>6.9855387949665643E-3</v>
      </c>
      <c r="D189" s="66">
        <f t="shared" si="179"/>
        <v>6.9035836754610114E-3</v>
      </c>
      <c r="E189" s="66">
        <f t="shared" si="179"/>
        <v>6.7920187781106214E-3</v>
      </c>
      <c r="F189" s="66">
        <f t="shared" si="179"/>
        <v>6.6433249749760781E-3</v>
      </c>
      <c r="G189" s="66">
        <f t="shared" si="179"/>
        <v>6.4505603368482795E-3</v>
      </c>
      <c r="H189" s="66">
        <f t="shared" si="179"/>
        <v>6.2091414511672646E-3</v>
      </c>
      <c r="I189" s="66">
        <f t="shared" si="179"/>
        <v>5.9187630655157947E-3</v>
      </c>
      <c r="J189" s="66">
        <f t="shared" si="179"/>
        <v>5.5845714064240437E-3</v>
      </c>
      <c r="K189" s="66">
        <f t="shared" si="179"/>
        <v>5.2169687988453603E-3</v>
      </c>
      <c r="L189" s="66">
        <f t="shared" si="179"/>
        <v>4.8304247174318637E-3</v>
      </c>
      <c r="M189" s="66">
        <f t="shared" si="179"/>
        <v>4.4421860038116392E-3</v>
      </c>
      <c r="N189" s="66">
        <f t="shared" si="179"/>
        <v>4.0708739905393893E-3</v>
      </c>
      <c r="O189" s="66">
        <f t="shared" si="179"/>
        <v>3.7340519393439728E-3</v>
      </c>
      <c r="P189" s="66">
        <f t="shared" si="179"/>
        <v>3.4448256620674064E-3</v>
      </c>
      <c r="Q189" s="66">
        <f t="shared" si="179"/>
        <v>3.2092515405481511E-3</v>
      </c>
      <c r="R189" s="66">
        <f t="shared" si="179"/>
        <v>3.0261847021197316E-3</v>
      </c>
      <c r="S189" s="66">
        <f t="shared" si="179"/>
        <v>2.8893511053217566E-3</v>
      </c>
      <c r="T189" s="66">
        <f t="shared" si="179"/>
        <v>2.7901402819020885E-3</v>
      </c>
      <c r="U189" s="66">
        <f t="shared" si="179"/>
        <v>2.7198311866614977E-3</v>
      </c>
      <c r="V189" s="66">
        <f t="shared" si="179"/>
        <v>2.6708268127486265E-3</v>
      </c>
      <c r="W189" s="66">
        <f t="shared" si="179"/>
        <v>2.6370760610610403E-3</v>
      </c>
      <c r="X189" s="66">
        <f t="shared" si="179"/>
        <v>2.6140258109850489E-3</v>
      </c>
      <c r="Y189" s="66">
        <f t="shared" si="179"/>
        <v>2.5983759282489569E-3</v>
      </c>
      <c r="Z189" s="66">
        <f t="shared" si="179"/>
        <v>2.5877937507414878E-3</v>
      </c>
      <c r="AA189" s="66">
        <f t="shared" si="179"/>
        <v>2.580658300674811E-3</v>
      </c>
      <c r="AB189" s="66">
        <f t="shared" si="179"/>
        <v>2.5758561440147876E-3</v>
      </c>
      <c r="AC189" s="66">
        <f t="shared" si="179"/>
        <v>2.5726284928699536E-3</v>
      </c>
    </row>
    <row r="190" spans="1:29" ht="15" thickBot="1" x14ac:dyDescent="0.35">
      <c r="A190" s="59" t="str">
        <f>A127</f>
        <v>Emission Cost</v>
      </c>
      <c r="B190" s="68">
        <f>B147*B153/B153/(B150)</f>
        <v>1.4049076735721778E-4</v>
      </c>
      <c r="C190" s="68">
        <f t="shared" ref="C190:AC190" si="180">C147*C153/C153/(C150)</f>
        <v>1.4035698591588104E-4</v>
      </c>
      <c r="D190" s="68">
        <f t="shared" si="180"/>
        <v>1.4016548076234878E-4</v>
      </c>
      <c r="E190" s="68">
        <f t="shared" si="180"/>
        <v>1.3989151917297648E-4</v>
      </c>
      <c r="F190" s="68">
        <f t="shared" si="180"/>
        <v>1.3949996760913741E-4</v>
      </c>
      <c r="G190" s="68">
        <f t="shared" si="180"/>
        <v>1.3894113890973713E-4</v>
      </c>
      <c r="H190" s="68">
        <f t="shared" si="180"/>
        <v>1.3814522974610446E-4</v>
      </c>
      <c r="I190" s="68">
        <f t="shared" si="180"/>
        <v>1.3701515282874785E-4</v>
      </c>
      <c r="J190" s="68">
        <f t="shared" si="180"/>
        <v>1.3541789769952266E-4</v>
      </c>
      <c r="K190" s="68">
        <f t="shared" si="180"/>
        <v>1.3317538031496002E-4</v>
      </c>
      <c r="L190" s="68">
        <f t="shared" si="180"/>
        <v>1.3005746709139924E-4</v>
      </c>
      <c r="M190" s="68">
        <f t="shared" si="180"/>
        <v>1.2578292470326314E-4</v>
      </c>
      <c r="N190" s="68">
        <f t="shared" si="180"/>
        <v>1.2003839777505244E-4</v>
      </c>
      <c r="O190" s="68">
        <f t="shared" si="180"/>
        <v>1.1252919131889444E-4</v>
      </c>
      <c r="P190" s="68">
        <f t="shared" si="180"/>
        <v>1.0307261500799071E-4</v>
      </c>
      <c r="Q190" s="68">
        <f t="shared" si="180"/>
        <v>9.1724994885971666E-5</v>
      </c>
      <c r="R190" s="68">
        <f t="shared" si="180"/>
        <v>7.8893405016236212E-5</v>
      </c>
      <c r="S190" s="68">
        <f t="shared" si="180"/>
        <v>6.534714823744498E-5</v>
      </c>
      <c r="T190" s="68">
        <f t="shared" si="180"/>
        <v>5.2067456454497702E-5</v>
      </c>
      <c r="U190" s="68">
        <f t="shared" si="180"/>
        <v>3.9978679681221538E-5</v>
      </c>
      <c r="V190" s="68">
        <f t="shared" si="180"/>
        <v>2.9704940898853776E-5</v>
      </c>
      <c r="W190" s="68">
        <f t="shared" si="180"/>
        <v>2.1477516056547865E-5</v>
      </c>
      <c r="X190" s="68">
        <f t="shared" si="180"/>
        <v>1.5199625742695674E-5</v>
      </c>
      <c r="Y190" s="68">
        <f t="shared" si="180"/>
        <v>1.0584872874483328E-5</v>
      </c>
      <c r="Z190" s="68">
        <f t="shared" si="180"/>
        <v>7.285391333792315E-6</v>
      </c>
      <c r="AA190" s="68">
        <f t="shared" si="180"/>
        <v>4.9729420400487081E-6</v>
      </c>
      <c r="AB190" s="68">
        <f t="shared" si="180"/>
        <v>3.3748974438302729E-6</v>
      </c>
      <c r="AC190" s="68">
        <f t="shared" si="180"/>
        <v>2.2812758930212777E-6</v>
      </c>
    </row>
    <row r="191" spans="1:29" ht="15" thickBot="1" x14ac:dyDescent="0.35">
      <c r="A191" s="31" t="s">
        <v>210</v>
      </c>
      <c r="B191" s="67">
        <f>B180+B181+B182+B183+B184+B185+B186+B187+B188+B189+B190</f>
        <v>0.1386281241247968</v>
      </c>
      <c r="C191" s="67">
        <f t="shared" ref="C191:AC191" si="181">C180+C181+C182+C183+C184+C185+C186+C187+C188+C189+C190</f>
        <v>0.13786724919569562</v>
      </c>
      <c r="D191" s="67">
        <f t="shared" si="181"/>
        <v>0.13682299372916365</v>
      </c>
      <c r="E191" s="67">
        <f t="shared" si="181"/>
        <v>0.13541730832227619</v>
      </c>
      <c r="F191" s="67">
        <f t="shared" si="181"/>
        <v>0.13357515863813166</v>
      </c>
      <c r="G191" s="67">
        <f t="shared" si="181"/>
        <v>0.13124630785179467</v>
      </c>
      <c r="H191" s="67">
        <f t="shared" si="181"/>
        <v>0.12843525675765546</v>
      </c>
      <c r="I191" s="67">
        <f t="shared" si="181"/>
        <v>0.12522812052521054</v>
      </c>
      <c r="J191" s="67">
        <f t="shared" si="181"/>
        <v>0.12179688305256134</v>
      </c>
      <c r="K191" s="67">
        <f t="shared" si="181"/>
        <v>0.11836692345142841</v>
      </c>
      <c r="L191" s="67">
        <f t="shared" si="181"/>
        <v>0.11515772775263271</v>
      </c>
      <c r="M191" s="67">
        <f t="shared" si="181"/>
        <v>0.11232904482653279</v>
      </c>
      <c r="N191" s="67">
        <f t="shared" si="181"/>
        <v>0.10995921194863457</v>
      </c>
      <c r="O191" s="67">
        <f t="shared" si="181"/>
        <v>0.10805544499014193</v>
      </c>
      <c r="P191" s="67">
        <f t="shared" si="181"/>
        <v>0.10657809618011764</v>
      </c>
      <c r="Q191" s="67">
        <f t="shared" si="181"/>
        <v>0.1054637744580561</v>
      </c>
      <c r="R191" s="67">
        <f t="shared" si="181"/>
        <v>0.10464225141523162</v>
      </c>
      <c r="S191" s="67">
        <f t="shared" si="181"/>
        <v>0.1040472922187064</v>
      </c>
      <c r="T191" s="67">
        <f t="shared" si="181"/>
        <v>0.10362235582510801</v>
      </c>
      <c r="U191" s="67">
        <f t="shared" si="181"/>
        <v>0.10332227952025912</v>
      </c>
      <c r="V191" s="67">
        <f t="shared" si="181"/>
        <v>0.10311246765401647</v>
      </c>
      <c r="W191" s="67">
        <f t="shared" si="181"/>
        <v>0.10296707351193524</v>
      </c>
      <c r="X191" s="67">
        <f t="shared" si="181"/>
        <v>0.10286710955263563</v>
      </c>
      <c r="Y191" s="67">
        <f t="shared" si="181"/>
        <v>0.10279883293606069</v>
      </c>
      <c r="Z191" s="67">
        <f t="shared" si="181"/>
        <v>0.10275244321882988</v>
      </c>
      <c r="AA191" s="67">
        <f t="shared" si="181"/>
        <v>0.10272104946631239</v>
      </c>
      <c r="AB191" s="67">
        <f t="shared" si="181"/>
        <v>0.10269986581679304</v>
      </c>
      <c r="AC191" s="67">
        <f t="shared" si="181"/>
        <v>0.10268560125959975</v>
      </c>
    </row>
    <row r="193" spans="2:2" x14ac:dyDescent="0.3">
      <c r="B193" s="40"/>
    </row>
    <row r="215" spans="1:44" s="3" customFormat="1" ht="21" x14ac:dyDescent="0.4">
      <c r="A215" s="2" t="str">
        <f>'Parameter Input'!A32</f>
        <v>Road long-haul: Container</v>
      </c>
    </row>
    <row r="216" spans="1:44" s="3" customFormat="1" ht="21" x14ac:dyDescent="0.4">
      <c r="A216" s="2" t="s">
        <v>87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Input'!$L$20</f>
        <v>400000</v>
      </c>
      <c r="C225" s="42">
        <f>'Parameter Input'!$M$20</f>
        <v>145000</v>
      </c>
      <c r="D225" s="1" t="s">
        <v>15</v>
      </c>
      <c r="L225" s="51">
        <f>'Parameter Input'!$O$20</f>
        <v>8</v>
      </c>
      <c r="M225" s="52">
        <v>0</v>
      </c>
      <c r="N225" s="52">
        <v>1</v>
      </c>
      <c r="O225" s="52">
        <f>'Parameter Input'!$P$20</f>
        <v>0.9</v>
      </c>
      <c r="P225" s="53">
        <f>'Parameter Input'!$Q$20</f>
        <v>0.4</v>
      </c>
      <c r="Q225" s="4">
        <f t="shared" ref="Q225:AR234" si="182">$N225+($M225-$N225)*((1/(1+EXP(-$P225*(Q$9-$L225)))^$O225))</f>
        <v>0.94584787155511363</v>
      </c>
      <c r="R225" s="4">
        <f t="shared" si="182"/>
        <v>0.92370360150141495</v>
      </c>
      <c r="S225" s="4">
        <f t="shared" si="182"/>
        <v>0.89334463567658451</v>
      </c>
      <c r="T225" s="4">
        <f t="shared" si="182"/>
        <v>0.85254543874327005</v>
      </c>
      <c r="U225" s="4">
        <f t="shared" si="182"/>
        <v>0.79921300652623883</v>
      </c>
      <c r="V225" s="4">
        <f t="shared" si="182"/>
        <v>0.73204982249993378</v>
      </c>
      <c r="W225" s="4">
        <f t="shared" si="182"/>
        <v>0.65145592958786691</v>
      </c>
      <c r="X225" s="4">
        <f t="shared" si="182"/>
        <v>0.56032247880849573</v>
      </c>
      <c r="Y225" s="4">
        <f t="shared" si="182"/>
        <v>0.46411326873185343</v>
      </c>
      <c r="Z225" s="4">
        <f t="shared" si="182"/>
        <v>0.36979727595523937</v>
      </c>
      <c r="AA225" s="4">
        <f t="shared" si="182"/>
        <v>0.28393948637231203</v>
      </c>
      <c r="AB225" s="4">
        <f t="shared" si="182"/>
        <v>0.21097259161117732</v>
      </c>
      <c r="AC225" s="4">
        <f t="shared" si="182"/>
        <v>0.15253917653798199</v>
      </c>
      <c r="AD225" s="4">
        <f t="shared" si="182"/>
        <v>0.10795188737709993</v>
      </c>
      <c r="AE225" s="4">
        <f t="shared" si="182"/>
        <v>7.5176653938091809E-2</v>
      </c>
      <c r="AF225" s="4">
        <f t="shared" si="182"/>
        <v>5.1742836177502194E-2</v>
      </c>
      <c r="AG225" s="4">
        <f t="shared" si="182"/>
        <v>3.5319190625345942E-2</v>
      </c>
      <c r="AH225" s="4">
        <f t="shared" si="182"/>
        <v>2.3969442072658165E-2</v>
      </c>
      <c r="AI225" s="4">
        <f t="shared" si="182"/>
        <v>1.6202243558389728E-2</v>
      </c>
      <c r="AJ225" s="4">
        <f t="shared" si="182"/>
        <v>1.0922240564108399E-2</v>
      </c>
      <c r="AK225" s="4">
        <f t="shared" si="182"/>
        <v>7.3493212906090566E-3</v>
      </c>
      <c r="AL225" s="4">
        <f t="shared" si="182"/>
        <v>4.9390262185057265E-3</v>
      </c>
      <c r="AM225" s="4">
        <f t="shared" si="182"/>
        <v>3.3164275492956197E-3</v>
      </c>
      <c r="AN225" s="4">
        <f t="shared" si="182"/>
        <v>2.2256362146679809E-3</v>
      </c>
      <c r="AO225" s="4">
        <f t="shared" si="182"/>
        <v>1.4930448704811861E-3</v>
      </c>
      <c r="AP225" s="4">
        <f t="shared" si="182"/>
        <v>1.0013381504474506E-3</v>
      </c>
      <c r="AQ225" s="4">
        <f t="shared" si="182"/>
        <v>6.7145100246257527E-4</v>
      </c>
      <c r="AR225" s="4">
        <f t="shared" si="182"/>
        <v>4.5019225748876845E-4</v>
      </c>
    </row>
    <row r="226" spans="1:44" x14ac:dyDescent="0.3">
      <c r="A226" s="24" t="s">
        <v>28</v>
      </c>
      <c r="B226" s="60">
        <f>'Parameter Input'!$L$21</f>
        <v>-60000</v>
      </c>
      <c r="C226" s="61">
        <f>'Parameter Input'!$M$21</f>
        <v>-36250</v>
      </c>
      <c r="D226" s="1" t="s">
        <v>15</v>
      </c>
      <c r="L226" s="54">
        <f>'Parameter Input'!$O$21</f>
        <v>8</v>
      </c>
      <c r="M226" s="37">
        <v>0</v>
      </c>
      <c r="N226" s="37">
        <v>1</v>
      </c>
      <c r="O226" s="37">
        <f>'Parameter Input'!$P$21</f>
        <v>0.9</v>
      </c>
      <c r="P226" s="55">
        <f>'Parameter Input'!$Q$21</f>
        <v>0.4</v>
      </c>
      <c r="Q226" s="4">
        <f t="shared" si="182"/>
        <v>0.94584787155511363</v>
      </c>
      <c r="R226" s="4">
        <f t="shared" si="182"/>
        <v>0.92370360150141495</v>
      </c>
      <c r="S226" s="4">
        <f t="shared" si="182"/>
        <v>0.89334463567658451</v>
      </c>
      <c r="T226" s="4">
        <f t="shared" si="182"/>
        <v>0.85254543874327005</v>
      </c>
      <c r="U226" s="4">
        <f t="shared" si="182"/>
        <v>0.79921300652623883</v>
      </c>
      <c r="V226" s="4">
        <f t="shared" si="182"/>
        <v>0.73204982249993378</v>
      </c>
      <c r="W226" s="4">
        <f t="shared" si="182"/>
        <v>0.65145592958786691</v>
      </c>
      <c r="X226" s="4">
        <f t="shared" si="182"/>
        <v>0.56032247880849573</v>
      </c>
      <c r="Y226" s="4">
        <f t="shared" si="182"/>
        <v>0.46411326873185343</v>
      </c>
      <c r="Z226" s="4">
        <f t="shared" si="182"/>
        <v>0.36979727595523937</v>
      </c>
      <c r="AA226" s="4">
        <f t="shared" si="182"/>
        <v>0.28393948637231203</v>
      </c>
      <c r="AB226" s="4">
        <f t="shared" si="182"/>
        <v>0.21097259161117732</v>
      </c>
      <c r="AC226" s="4">
        <f t="shared" si="182"/>
        <v>0.15253917653798199</v>
      </c>
      <c r="AD226" s="4">
        <f t="shared" si="182"/>
        <v>0.10795188737709993</v>
      </c>
      <c r="AE226" s="4">
        <f t="shared" si="182"/>
        <v>7.5176653938091809E-2</v>
      </c>
      <c r="AF226" s="4">
        <f t="shared" si="182"/>
        <v>5.1742836177502194E-2</v>
      </c>
      <c r="AG226" s="4">
        <f t="shared" si="182"/>
        <v>3.5319190625345942E-2</v>
      </c>
      <c r="AH226" s="4">
        <f t="shared" si="182"/>
        <v>2.3969442072658165E-2</v>
      </c>
      <c r="AI226" s="4">
        <f t="shared" si="182"/>
        <v>1.6202243558389728E-2</v>
      </c>
      <c r="AJ226" s="4">
        <f t="shared" si="182"/>
        <v>1.0922240564108399E-2</v>
      </c>
      <c r="AK226" s="4">
        <f t="shared" si="182"/>
        <v>7.3493212906090566E-3</v>
      </c>
      <c r="AL226" s="4">
        <f t="shared" si="182"/>
        <v>4.9390262185057265E-3</v>
      </c>
      <c r="AM226" s="4">
        <f t="shared" si="182"/>
        <v>3.3164275492956197E-3</v>
      </c>
      <c r="AN226" s="4">
        <f t="shared" si="182"/>
        <v>2.2256362146679809E-3</v>
      </c>
      <c r="AO226" s="4">
        <f t="shared" si="182"/>
        <v>1.4930448704811861E-3</v>
      </c>
      <c r="AP226" s="4">
        <f t="shared" si="182"/>
        <v>1.0013381504474506E-3</v>
      </c>
      <c r="AQ226" s="4">
        <f t="shared" si="182"/>
        <v>6.7145100246257527E-4</v>
      </c>
      <c r="AR226" s="4">
        <f t="shared" si="182"/>
        <v>4.5019225748876845E-4</v>
      </c>
    </row>
    <row r="227" spans="1:44" x14ac:dyDescent="0.3">
      <c r="A227" s="24" t="s">
        <v>14</v>
      </c>
      <c r="B227" s="60">
        <f>'Parameter Input'!B33</f>
        <v>30000</v>
      </c>
      <c r="C227" s="61">
        <f>'Parameter Input'!C33</f>
        <v>30000</v>
      </c>
      <c r="D227" s="1" t="s">
        <v>15</v>
      </c>
      <c r="L227" s="54">
        <f>'Parameter Input'!E33</f>
        <v>12</v>
      </c>
      <c r="M227" s="37">
        <v>0</v>
      </c>
      <c r="N227" s="37">
        <v>1</v>
      </c>
      <c r="O227" s="37">
        <f>'Parameter Input'!F33</f>
        <v>0.9</v>
      </c>
      <c r="P227" s="55">
        <f>'Parameter Input'!G33</f>
        <v>0.4</v>
      </c>
      <c r="Q227" s="4">
        <f t="shared" si="182"/>
        <v>0.9867978615748374</v>
      </c>
      <c r="R227" s="4">
        <f t="shared" si="182"/>
        <v>0.98114509762858249</v>
      </c>
      <c r="S227" s="4">
        <f t="shared" si="182"/>
        <v>0.97311898315872036</v>
      </c>
      <c r="T227" s="4">
        <f t="shared" si="182"/>
        <v>0.96177484161592774</v>
      </c>
      <c r="U227" s="4">
        <f t="shared" si="182"/>
        <v>0.94584787155511363</v>
      </c>
      <c r="V227" s="4">
        <f t="shared" si="182"/>
        <v>0.92370360150141495</v>
      </c>
      <c r="W227" s="4">
        <f t="shared" si="182"/>
        <v>0.89334463567658451</v>
      </c>
      <c r="X227" s="4">
        <f t="shared" si="182"/>
        <v>0.85254543874327005</v>
      </c>
      <c r="Y227" s="4">
        <f t="shared" si="182"/>
        <v>0.79921300652623883</v>
      </c>
      <c r="Z227" s="4">
        <f t="shared" si="182"/>
        <v>0.73204982249993378</v>
      </c>
      <c r="AA227" s="4">
        <f t="shared" si="182"/>
        <v>0.65145592958786691</v>
      </c>
      <c r="AB227" s="4">
        <f t="shared" si="182"/>
        <v>0.56032247880849573</v>
      </c>
      <c r="AC227" s="4">
        <f t="shared" si="182"/>
        <v>0.46411326873185343</v>
      </c>
      <c r="AD227" s="4">
        <f t="shared" si="182"/>
        <v>0.36979727595523937</v>
      </c>
      <c r="AE227" s="4">
        <f t="shared" si="182"/>
        <v>0.28393948637231203</v>
      </c>
      <c r="AF227" s="4">
        <f t="shared" si="182"/>
        <v>0.21097259161117732</v>
      </c>
      <c r="AG227" s="4">
        <f t="shared" si="182"/>
        <v>0.15253917653798199</v>
      </c>
      <c r="AH227" s="4">
        <f t="shared" si="182"/>
        <v>0.10795188737709993</v>
      </c>
      <c r="AI227" s="4">
        <f t="shared" si="182"/>
        <v>7.5176653938091809E-2</v>
      </c>
      <c r="AJ227" s="4">
        <f t="shared" si="182"/>
        <v>5.1742836177502194E-2</v>
      </c>
      <c r="AK227" s="4">
        <f t="shared" si="182"/>
        <v>3.5319190625345942E-2</v>
      </c>
      <c r="AL227" s="4">
        <f t="shared" si="182"/>
        <v>2.3969442072658165E-2</v>
      </c>
      <c r="AM227" s="4">
        <f t="shared" si="182"/>
        <v>1.6202243558389728E-2</v>
      </c>
      <c r="AN227" s="4">
        <f t="shared" si="182"/>
        <v>1.0922240564108399E-2</v>
      </c>
      <c r="AO227" s="4">
        <f t="shared" si="182"/>
        <v>7.3493212906090566E-3</v>
      </c>
      <c r="AP227" s="4">
        <f t="shared" si="182"/>
        <v>4.9390262185057265E-3</v>
      </c>
      <c r="AQ227" s="4">
        <f t="shared" si="182"/>
        <v>3.3164275492956197E-3</v>
      </c>
      <c r="AR227" s="4">
        <f t="shared" si="182"/>
        <v>2.2256362146679809E-3</v>
      </c>
    </row>
    <row r="228" spans="1:44" x14ac:dyDescent="0.3">
      <c r="A228" s="24" t="s">
        <v>25</v>
      </c>
      <c r="B228" s="60">
        <f>'Parameter Input'!B34</f>
        <v>-7500</v>
      </c>
      <c r="C228" s="61">
        <f>'Parameter Input'!C34</f>
        <v>-7500</v>
      </c>
      <c r="D228" s="1" t="s">
        <v>15</v>
      </c>
      <c r="L228" s="54">
        <f>'Parameter Input'!E34</f>
        <v>12</v>
      </c>
      <c r="M228" s="37">
        <v>0</v>
      </c>
      <c r="N228" s="37">
        <v>1</v>
      </c>
      <c r="O228" s="37">
        <f>'Parameter Input'!F21</f>
        <v>0.9</v>
      </c>
      <c r="P228" s="55">
        <f>'Parameter Input'!G21</f>
        <v>0.4</v>
      </c>
      <c r="Q228" s="4">
        <f t="shared" si="182"/>
        <v>0.9867978615748374</v>
      </c>
      <c r="R228" s="4">
        <f t="shared" si="182"/>
        <v>0.98114509762858249</v>
      </c>
      <c r="S228" s="4">
        <f t="shared" si="182"/>
        <v>0.97311898315872036</v>
      </c>
      <c r="T228" s="4">
        <f t="shared" si="182"/>
        <v>0.96177484161592774</v>
      </c>
      <c r="U228" s="4">
        <f t="shared" si="182"/>
        <v>0.94584787155511363</v>
      </c>
      <c r="V228" s="4">
        <f t="shared" si="182"/>
        <v>0.92370360150141495</v>
      </c>
      <c r="W228" s="4">
        <f t="shared" si="182"/>
        <v>0.89334463567658451</v>
      </c>
      <c r="X228" s="4">
        <f t="shared" si="182"/>
        <v>0.85254543874327005</v>
      </c>
      <c r="Y228" s="4">
        <f t="shared" si="182"/>
        <v>0.79921300652623883</v>
      </c>
      <c r="Z228" s="4">
        <f t="shared" si="182"/>
        <v>0.73204982249993378</v>
      </c>
      <c r="AA228" s="4">
        <f t="shared" si="182"/>
        <v>0.65145592958786691</v>
      </c>
      <c r="AB228" s="4">
        <f t="shared" si="182"/>
        <v>0.56032247880849573</v>
      </c>
      <c r="AC228" s="4">
        <f t="shared" si="182"/>
        <v>0.46411326873185343</v>
      </c>
      <c r="AD228" s="4">
        <f t="shared" si="182"/>
        <v>0.36979727595523937</v>
      </c>
      <c r="AE228" s="4">
        <f t="shared" si="182"/>
        <v>0.28393948637231203</v>
      </c>
      <c r="AF228" s="4">
        <f t="shared" si="182"/>
        <v>0.21097259161117732</v>
      </c>
      <c r="AG228" s="4">
        <f t="shared" si="182"/>
        <v>0.15253917653798199</v>
      </c>
      <c r="AH228" s="4">
        <f t="shared" si="182"/>
        <v>0.10795188737709993</v>
      </c>
      <c r="AI228" s="4">
        <f t="shared" si="182"/>
        <v>7.5176653938091809E-2</v>
      </c>
      <c r="AJ228" s="4">
        <f t="shared" si="182"/>
        <v>5.1742836177502194E-2</v>
      </c>
      <c r="AK228" s="4">
        <f t="shared" si="182"/>
        <v>3.5319190625345942E-2</v>
      </c>
      <c r="AL228" s="4">
        <f t="shared" si="182"/>
        <v>2.3969442072658165E-2</v>
      </c>
      <c r="AM228" s="4">
        <f t="shared" si="182"/>
        <v>1.6202243558389728E-2</v>
      </c>
      <c r="AN228" s="4">
        <f t="shared" si="182"/>
        <v>1.0922240564108399E-2</v>
      </c>
      <c r="AO228" s="4">
        <f t="shared" si="182"/>
        <v>7.3493212906090566E-3</v>
      </c>
      <c r="AP228" s="4">
        <f t="shared" si="182"/>
        <v>4.9390262185057265E-3</v>
      </c>
      <c r="AQ228" s="4">
        <f t="shared" si="182"/>
        <v>3.3164275492956197E-3</v>
      </c>
      <c r="AR228" s="4">
        <f t="shared" si="182"/>
        <v>2.2256362146679809E-3</v>
      </c>
    </row>
    <row r="229" spans="1:44" x14ac:dyDescent="0.3">
      <c r="A229" s="24" t="s">
        <v>79</v>
      </c>
      <c r="B229" s="45">
        <f>'Parameter Input'!$L$27</f>
        <v>0.06</v>
      </c>
      <c r="C229" s="46">
        <f>'Parameter Input'!$M$27</f>
        <v>0.06</v>
      </c>
      <c r="D229" s="1" t="s">
        <v>57</v>
      </c>
      <c r="L229" s="54">
        <f>'Parameter Input'!$O$27</f>
        <v>12</v>
      </c>
      <c r="M229" s="37">
        <v>0</v>
      </c>
      <c r="N229" s="37">
        <v>1</v>
      </c>
      <c r="O229" s="37">
        <f>'Parameter Input'!$P$27</f>
        <v>0.9</v>
      </c>
      <c r="P229" s="55">
        <f>'Parameter Input'!$Q$27</f>
        <v>0.4</v>
      </c>
      <c r="Q229" s="4">
        <f t="shared" si="182"/>
        <v>0.9867978615748374</v>
      </c>
      <c r="R229" s="4">
        <f t="shared" si="182"/>
        <v>0.98114509762858249</v>
      </c>
      <c r="S229" s="4">
        <f t="shared" si="182"/>
        <v>0.97311898315872036</v>
      </c>
      <c r="T229" s="4">
        <f t="shared" si="182"/>
        <v>0.96177484161592774</v>
      </c>
      <c r="U229" s="4">
        <f t="shared" si="182"/>
        <v>0.94584787155511363</v>
      </c>
      <c r="V229" s="4">
        <f t="shared" si="182"/>
        <v>0.92370360150141495</v>
      </c>
      <c r="W229" s="4">
        <f t="shared" si="182"/>
        <v>0.89334463567658451</v>
      </c>
      <c r="X229" s="4">
        <f t="shared" si="182"/>
        <v>0.85254543874327005</v>
      </c>
      <c r="Y229" s="4">
        <f t="shared" si="182"/>
        <v>0.79921300652623883</v>
      </c>
      <c r="Z229" s="4">
        <f t="shared" si="182"/>
        <v>0.73204982249993378</v>
      </c>
      <c r="AA229" s="4">
        <f t="shared" si="182"/>
        <v>0.65145592958786691</v>
      </c>
      <c r="AB229" s="4">
        <f t="shared" si="182"/>
        <v>0.56032247880849573</v>
      </c>
      <c r="AC229" s="4">
        <f t="shared" si="182"/>
        <v>0.46411326873185343</v>
      </c>
      <c r="AD229" s="4">
        <f t="shared" si="182"/>
        <v>0.36979727595523937</v>
      </c>
      <c r="AE229" s="4">
        <f t="shared" si="182"/>
        <v>0.28393948637231203</v>
      </c>
      <c r="AF229" s="4">
        <f t="shared" si="182"/>
        <v>0.21097259161117732</v>
      </c>
      <c r="AG229" s="4">
        <f t="shared" si="182"/>
        <v>0.15253917653798199</v>
      </c>
      <c r="AH229" s="4">
        <f t="shared" si="182"/>
        <v>0.10795188737709993</v>
      </c>
      <c r="AI229" s="4">
        <f t="shared" si="182"/>
        <v>7.5176653938091809E-2</v>
      </c>
      <c r="AJ229" s="4">
        <f t="shared" si="182"/>
        <v>5.1742836177502194E-2</v>
      </c>
      <c r="AK229" s="4">
        <f t="shared" si="182"/>
        <v>3.5319190625345942E-2</v>
      </c>
      <c r="AL229" s="4">
        <f t="shared" si="182"/>
        <v>2.3969442072658165E-2</v>
      </c>
      <c r="AM229" s="4">
        <f t="shared" si="182"/>
        <v>1.6202243558389728E-2</v>
      </c>
      <c r="AN229" s="4">
        <f t="shared" si="182"/>
        <v>1.0922240564108399E-2</v>
      </c>
      <c r="AO229" s="4">
        <f t="shared" si="182"/>
        <v>7.3493212906090566E-3</v>
      </c>
      <c r="AP229" s="4">
        <f t="shared" si="182"/>
        <v>4.9390262185057265E-3</v>
      </c>
      <c r="AQ229" s="4">
        <f t="shared" si="182"/>
        <v>3.3164275492956197E-3</v>
      </c>
      <c r="AR229" s="4">
        <f t="shared" si="182"/>
        <v>2.2256362146679809E-3</v>
      </c>
    </row>
    <row r="230" spans="1:44" x14ac:dyDescent="0.3">
      <c r="A230" s="24" t="s">
        <v>37</v>
      </c>
      <c r="B230" s="60">
        <f>'Parameter Input'!B35</f>
        <v>70000</v>
      </c>
      <c r="C230" s="61">
        <f>'Parameter Input'!C35</f>
        <v>70000</v>
      </c>
      <c r="D230" s="1" t="s">
        <v>38</v>
      </c>
      <c r="L230" s="54">
        <f>'Parameter Input'!E35</f>
        <v>12</v>
      </c>
      <c r="M230" s="37">
        <v>0</v>
      </c>
      <c r="N230" s="37">
        <v>1</v>
      </c>
      <c r="O230" s="37">
        <f>'Parameter Input'!F35</f>
        <v>0.9</v>
      </c>
      <c r="P230" s="55">
        <f>'Parameter Input'!G35</f>
        <v>0.4</v>
      </c>
      <c r="Q230" s="4">
        <f t="shared" si="182"/>
        <v>0.9867978615748374</v>
      </c>
      <c r="R230" s="4">
        <f t="shared" si="182"/>
        <v>0.98114509762858249</v>
      </c>
      <c r="S230" s="4">
        <f t="shared" si="182"/>
        <v>0.97311898315872036</v>
      </c>
      <c r="T230" s="4">
        <f t="shared" si="182"/>
        <v>0.96177484161592774</v>
      </c>
      <c r="U230" s="4">
        <f t="shared" si="182"/>
        <v>0.94584787155511363</v>
      </c>
      <c r="V230" s="4">
        <f t="shared" si="182"/>
        <v>0.92370360150141495</v>
      </c>
      <c r="W230" s="4">
        <f t="shared" si="182"/>
        <v>0.89334463567658451</v>
      </c>
      <c r="X230" s="4">
        <f t="shared" si="182"/>
        <v>0.85254543874327005</v>
      </c>
      <c r="Y230" s="4">
        <f t="shared" si="182"/>
        <v>0.79921300652623883</v>
      </c>
      <c r="Z230" s="4">
        <f t="shared" si="182"/>
        <v>0.73204982249993378</v>
      </c>
      <c r="AA230" s="4">
        <f t="shared" si="182"/>
        <v>0.65145592958786691</v>
      </c>
      <c r="AB230" s="4">
        <f t="shared" si="182"/>
        <v>0.56032247880849573</v>
      </c>
      <c r="AC230" s="4">
        <f t="shared" si="182"/>
        <v>0.46411326873185343</v>
      </c>
      <c r="AD230" s="4">
        <f t="shared" si="182"/>
        <v>0.36979727595523937</v>
      </c>
      <c r="AE230" s="4">
        <f t="shared" si="182"/>
        <v>0.28393948637231203</v>
      </c>
      <c r="AF230" s="4">
        <f t="shared" si="182"/>
        <v>0.21097259161117732</v>
      </c>
      <c r="AG230" s="4">
        <f t="shared" si="182"/>
        <v>0.15253917653798199</v>
      </c>
      <c r="AH230" s="4">
        <f t="shared" si="182"/>
        <v>0.10795188737709993</v>
      </c>
      <c r="AI230" s="4">
        <f t="shared" si="182"/>
        <v>7.5176653938091809E-2</v>
      </c>
      <c r="AJ230" s="4">
        <f t="shared" si="182"/>
        <v>5.1742836177502194E-2</v>
      </c>
      <c r="AK230" s="4">
        <f t="shared" si="182"/>
        <v>3.5319190625345942E-2</v>
      </c>
      <c r="AL230" s="4">
        <f t="shared" si="182"/>
        <v>2.3969442072658165E-2</v>
      </c>
      <c r="AM230" s="4">
        <f t="shared" si="182"/>
        <v>1.6202243558389728E-2</v>
      </c>
      <c r="AN230" s="4">
        <f t="shared" si="182"/>
        <v>1.0922240564108399E-2</v>
      </c>
      <c r="AO230" s="4">
        <f t="shared" si="182"/>
        <v>7.3493212906090566E-3</v>
      </c>
      <c r="AP230" s="4">
        <f t="shared" si="182"/>
        <v>4.9390262185057265E-3</v>
      </c>
      <c r="AQ230" s="4">
        <f t="shared" si="182"/>
        <v>3.3164275492956197E-3</v>
      </c>
      <c r="AR230" s="4">
        <f t="shared" si="182"/>
        <v>2.2256362146679809E-3</v>
      </c>
    </row>
    <row r="231" spans="1:44" x14ac:dyDescent="0.3">
      <c r="A231" s="24" t="s">
        <v>52</v>
      </c>
      <c r="B231" s="43">
        <f>'Parameter Input'!$L$23</f>
        <v>15000</v>
      </c>
      <c r="C231" s="44">
        <f>'Parameter Input'!$M$23</f>
        <v>15000</v>
      </c>
      <c r="D231" s="1" t="s">
        <v>38</v>
      </c>
      <c r="L231" s="54">
        <f>'Parameter Input'!$O$23</f>
        <v>8</v>
      </c>
      <c r="M231" s="37">
        <v>0</v>
      </c>
      <c r="N231" s="37">
        <v>1</v>
      </c>
      <c r="O231" s="37">
        <f>'Parameter Input'!$P$23</f>
        <v>0.9</v>
      </c>
      <c r="P231" s="55">
        <f>'Parameter Input'!$Q$23</f>
        <v>0.4</v>
      </c>
      <c r="Q231" s="4">
        <f t="shared" si="182"/>
        <v>0.94584787155511363</v>
      </c>
      <c r="R231" s="4">
        <f t="shared" si="182"/>
        <v>0.92370360150141495</v>
      </c>
      <c r="S231" s="4">
        <f t="shared" si="182"/>
        <v>0.89334463567658451</v>
      </c>
      <c r="T231" s="4">
        <f t="shared" si="182"/>
        <v>0.85254543874327005</v>
      </c>
      <c r="U231" s="4">
        <f t="shared" si="182"/>
        <v>0.79921300652623883</v>
      </c>
      <c r="V231" s="4">
        <f t="shared" si="182"/>
        <v>0.73204982249993378</v>
      </c>
      <c r="W231" s="4">
        <f t="shared" si="182"/>
        <v>0.65145592958786691</v>
      </c>
      <c r="X231" s="4">
        <f t="shared" si="182"/>
        <v>0.56032247880849573</v>
      </c>
      <c r="Y231" s="4">
        <f t="shared" si="182"/>
        <v>0.46411326873185343</v>
      </c>
      <c r="Z231" s="4">
        <f t="shared" si="182"/>
        <v>0.36979727595523937</v>
      </c>
      <c r="AA231" s="4">
        <f t="shared" si="182"/>
        <v>0.28393948637231203</v>
      </c>
      <c r="AB231" s="4">
        <f t="shared" si="182"/>
        <v>0.21097259161117732</v>
      </c>
      <c r="AC231" s="4">
        <f t="shared" si="182"/>
        <v>0.15253917653798199</v>
      </c>
      <c r="AD231" s="4">
        <f t="shared" si="182"/>
        <v>0.10795188737709993</v>
      </c>
      <c r="AE231" s="4">
        <f t="shared" si="182"/>
        <v>7.5176653938091809E-2</v>
      </c>
      <c r="AF231" s="4">
        <f t="shared" si="182"/>
        <v>5.1742836177502194E-2</v>
      </c>
      <c r="AG231" s="4">
        <f t="shared" si="182"/>
        <v>3.5319190625345942E-2</v>
      </c>
      <c r="AH231" s="4">
        <f t="shared" si="182"/>
        <v>2.3969442072658165E-2</v>
      </c>
      <c r="AI231" s="4">
        <f t="shared" si="182"/>
        <v>1.6202243558389728E-2</v>
      </c>
      <c r="AJ231" s="4">
        <f t="shared" si="182"/>
        <v>1.0922240564108399E-2</v>
      </c>
      <c r="AK231" s="4">
        <f t="shared" si="182"/>
        <v>7.3493212906090566E-3</v>
      </c>
      <c r="AL231" s="4">
        <f t="shared" si="182"/>
        <v>4.9390262185057265E-3</v>
      </c>
      <c r="AM231" s="4">
        <f t="shared" si="182"/>
        <v>3.3164275492956197E-3</v>
      </c>
      <c r="AN231" s="4">
        <f t="shared" si="182"/>
        <v>2.2256362146679809E-3</v>
      </c>
      <c r="AO231" s="4">
        <f t="shared" si="182"/>
        <v>1.4930448704811861E-3</v>
      </c>
      <c r="AP231" s="4">
        <f t="shared" si="182"/>
        <v>1.0013381504474506E-3</v>
      </c>
      <c r="AQ231" s="4">
        <f t="shared" si="182"/>
        <v>6.7145100246257527E-4</v>
      </c>
      <c r="AR231" s="4">
        <f t="shared" si="182"/>
        <v>4.5019225748876845E-4</v>
      </c>
    </row>
    <row r="232" spans="1:44" x14ac:dyDescent="0.3">
      <c r="A232" s="24" t="s">
        <v>273</v>
      </c>
      <c r="B232" s="60">
        <f>'Parameter Input'!B40</f>
        <v>0.11</v>
      </c>
      <c r="C232" s="61">
        <f>'Parameter Input'!C40</f>
        <v>0.11</v>
      </c>
      <c r="D232" s="1" t="s">
        <v>76</v>
      </c>
      <c r="L232" s="54">
        <f>'Parameter Input'!E40</f>
        <v>12</v>
      </c>
      <c r="M232" s="37">
        <v>0</v>
      </c>
      <c r="N232" s="37">
        <v>1</v>
      </c>
      <c r="O232" s="37">
        <f>'Parameter Input'!F40</f>
        <v>0.9</v>
      </c>
      <c r="P232" s="55">
        <f>'Parameter Input'!G40</f>
        <v>0.4</v>
      </c>
      <c r="Q232" s="4">
        <f t="shared" si="182"/>
        <v>0.9867978615748374</v>
      </c>
      <c r="R232" s="4">
        <f t="shared" si="182"/>
        <v>0.98114509762858249</v>
      </c>
      <c r="S232" s="4">
        <f t="shared" si="182"/>
        <v>0.97311898315872036</v>
      </c>
      <c r="T232" s="4">
        <f t="shared" si="182"/>
        <v>0.96177484161592774</v>
      </c>
      <c r="U232" s="4">
        <f t="shared" si="182"/>
        <v>0.94584787155511363</v>
      </c>
      <c r="V232" s="4">
        <f t="shared" si="182"/>
        <v>0.92370360150141495</v>
      </c>
      <c r="W232" s="4">
        <f t="shared" si="182"/>
        <v>0.89334463567658451</v>
      </c>
      <c r="X232" s="4">
        <f t="shared" si="182"/>
        <v>0.85254543874327005</v>
      </c>
      <c r="Y232" s="4">
        <f t="shared" si="182"/>
        <v>0.79921300652623883</v>
      </c>
      <c r="Z232" s="4">
        <f t="shared" si="182"/>
        <v>0.73204982249993378</v>
      </c>
      <c r="AA232" s="4">
        <f t="shared" si="182"/>
        <v>0.65145592958786691</v>
      </c>
      <c r="AB232" s="4">
        <f t="shared" si="182"/>
        <v>0.56032247880849573</v>
      </c>
      <c r="AC232" s="4">
        <f t="shared" si="182"/>
        <v>0.46411326873185343</v>
      </c>
      <c r="AD232" s="4">
        <f t="shared" si="182"/>
        <v>0.36979727595523937</v>
      </c>
      <c r="AE232" s="4">
        <f t="shared" si="182"/>
        <v>0.28393948637231203</v>
      </c>
      <c r="AF232" s="4">
        <f t="shared" si="182"/>
        <v>0.21097259161117732</v>
      </c>
      <c r="AG232" s="4">
        <f t="shared" si="182"/>
        <v>0.15253917653798199</v>
      </c>
      <c r="AH232" s="4">
        <f t="shared" si="182"/>
        <v>0.10795188737709993</v>
      </c>
      <c r="AI232" s="4">
        <f t="shared" si="182"/>
        <v>7.5176653938091809E-2</v>
      </c>
      <c r="AJ232" s="4">
        <f t="shared" si="182"/>
        <v>5.1742836177502194E-2</v>
      </c>
      <c r="AK232" s="4">
        <f t="shared" si="182"/>
        <v>3.5319190625345942E-2</v>
      </c>
      <c r="AL232" s="4">
        <f t="shared" si="182"/>
        <v>2.3969442072658165E-2</v>
      </c>
      <c r="AM232" s="4">
        <f t="shared" si="182"/>
        <v>1.6202243558389728E-2</v>
      </c>
      <c r="AN232" s="4">
        <f t="shared" si="182"/>
        <v>1.0922240564108399E-2</v>
      </c>
      <c r="AO232" s="4">
        <f t="shared" si="182"/>
        <v>7.3493212906090566E-3</v>
      </c>
      <c r="AP232" s="4">
        <f t="shared" si="182"/>
        <v>4.9390262185057265E-3</v>
      </c>
      <c r="AQ232" s="4">
        <f t="shared" si="182"/>
        <v>3.3164275492956197E-3</v>
      </c>
      <c r="AR232" s="4">
        <f t="shared" si="182"/>
        <v>2.2256362146679809E-3</v>
      </c>
    </row>
    <row r="233" spans="1:44" x14ac:dyDescent="0.3">
      <c r="A233" s="24" t="s">
        <v>59</v>
      </c>
      <c r="B233" s="47">
        <f>'Parameter Input'!$L$24</f>
        <v>1.52</v>
      </c>
      <c r="C233" s="48">
        <f>'Parameter Input'!$M$24</f>
        <v>1.1499999999999999</v>
      </c>
      <c r="D233" s="1" t="s">
        <v>60</v>
      </c>
      <c r="L233" s="54">
        <f>'Parameter Input'!$O$24</f>
        <v>8</v>
      </c>
      <c r="M233" s="37">
        <v>0</v>
      </c>
      <c r="N233" s="37">
        <v>1</v>
      </c>
      <c r="O233" s="37">
        <f>'Parameter Input'!$P$24</f>
        <v>0.9</v>
      </c>
      <c r="P233" s="55">
        <f>'Parameter Input'!$Q$24</f>
        <v>0.4</v>
      </c>
      <c r="Q233" s="4">
        <f t="shared" si="182"/>
        <v>0.94584787155511363</v>
      </c>
      <c r="R233" s="4">
        <f t="shared" si="182"/>
        <v>0.92370360150141495</v>
      </c>
      <c r="S233" s="4">
        <f t="shared" si="182"/>
        <v>0.89334463567658451</v>
      </c>
      <c r="T233" s="4">
        <f t="shared" si="182"/>
        <v>0.85254543874327005</v>
      </c>
      <c r="U233" s="4">
        <f t="shared" si="182"/>
        <v>0.79921300652623883</v>
      </c>
      <c r="V233" s="4">
        <f t="shared" si="182"/>
        <v>0.73204982249993378</v>
      </c>
      <c r="W233" s="4">
        <f t="shared" si="182"/>
        <v>0.65145592958786691</v>
      </c>
      <c r="X233" s="4">
        <f t="shared" si="182"/>
        <v>0.56032247880849573</v>
      </c>
      <c r="Y233" s="4">
        <f t="shared" si="182"/>
        <v>0.46411326873185343</v>
      </c>
      <c r="Z233" s="4">
        <f t="shared" si="182"/>
        <v>0.36979727595523937</v>
      </c>
      <c r="AA233" s="4">
        <f t="shared" si="182"/>
        <v>0.28393948637231203</v>
      </c>
      <c r="AB233" s="4">
        <f t="shared" si="182"/>
        <v>0.21097259161117732</v>
      </c>
      <c r="AC233" s="4">
        <f t="shared" si="182"/>
        <v>0.15253917653798199</v>
      </c>
      <c r="AD233" s="4">
        <f t="shared" si="182"/>
        <v>0.10795188737709993</v>
      </c>
      <c r="AE233" s="4">
        <f t="shared" si="182"/>
        <v>7.5176653938091809E-2</v>
      </c>
      <c r="AF233" s="4">
        <f t="shared" si="182"/>
        <v>5.1742836177502194E-2</v>
      </c>
      <c r="AG233" s="4">
        <f t="shared" si="182"/>
        <v>3.5319190625345942E-2</v>
      </c>
      <c r="AH233" s="4">
        <f t="shared" si="182"/>
        <v>2.3969442072658165E-2</v>
      </c>
      <c r="AI233" s="4">
        <f t="shared" si="182"/>
        <v>1.6202243558389728E-2</v>
      </c>
      <c r="AJ233" s="4">
        <f t="shared" si="182"/>
        <v>1.0922240564108399E-2</v>
      </c>
      <c r="AK233" s="4">
        <f t="shared" si="182"/>
        <v>7.3493212906090566E-3</v>
      </c>
      <c r="AL233" s="4">
        <f t="shared" si="182"/>
        <v>4.9390262185057265E-3</v>
      </c>
      <c r="AM233" s="4">
        <f t="shared" si="182"/>
        <v>3.3164275492956197E-3</v>
      </c>
      <c r="AN233" s="4">
        <f t="shared" si="182"/>
        <v>2.2256362146679809E-3</v>
      </c>
      <c r="AO233" s="4">
        <f t="shared" si="182"/>
        <v>1.4930448704811861E-3</v>
      </c>
      <c r="AP233" s="4">
        <f t="shared" si="182"/>
        <v>1.0013381504474506E-3</v>
      </c>
      <c r="AQ233" s="4">
        <f t="shared" si="182"/>
        <v>6.7145100246257527E-4</v>
      </c>
      <c r="AR233" s="4">
        <f t="shared" si="182"/>
        <v>4.5019225748876845E-4</v>
      </c>
    </row>
    <row r="234" spans="1:44" x14ac:dyDescent="0.3">
      <c r="A234" s="24" t="s">
        <v>67</v>
      </c>
      <c r="B234" s="45">
        <f>'Parameter Input'!$L$25</f>
        <v>9.2586511082899101E-2</v>
      </c>
      <c r="C234" s="46">
        <f>'Parameter Input'!$M$25</f>
        <v>7.3304790352502799E-2</v>
      </c>
      <c r="D234" s="1" t="s">
        <v>68</v>
      </c>
      <c r="L234" s="54">
        <f>'Parameter Input'!$O$25</f>
        <v>12</v>
      </c>
      <c r="M234" s="37">
        <v>0</v>
      </c>
      <c r="N234" s="37">
        <v>1</v>
      </c>
      <c r="O234" s="37">
        <f>'Parameter Input'!$P$25</f>
        <v>0.9</v>
      </c>
      <c r="P234" s="55">
        <f>'Parameter Input'!$Q$25</f>
        <v>0.4</v>
      </c>
      <c r="Q234" s="4">
        <f t="shared" si="182"/>
        <v>0.9867978615748374</v>
      </c>
      <c r="R234" s="4">
        <f t="shared" si="182"/>
        <v>0.98114509762858249</v>
      </c>
      <c r="S234" s="4">
        <f t="shared" si="182"/>
        <v>0.97311898315872036</v>
      </c>
      <c r="T234" s="4">
        <f t="shared" ref="T234:AI241" si="183">$N234+($M234-$N234)*((1/(1+EXP(-$P234*(T$9-$L234)))^$O234))</f>
        <v>0.96177484161592774</v>
      </c>
      <c r="U234" s="4">
        <f t="shared" si="183"/>
        <v>0.94584787155511363</v>
      </c>
      <c r="V234" s="4">
        <f t="shared" si="183"/>
        <v>0.92370360150141495</v>
      </c>
      <c r="W234" s="4">
        <f t="shared" si="183"/>
        <v>0.89334463567658451</v>
      </c>
      <c r="X234" s="4">
        <f t="shared" si="183"/>
        <v>0.85254543874327005</v>
      </c>
      <c r="Y234" s="4">
        <f t="shared" si="183"/>
        <v>0.79921300652623883</v>
      </c>
      <c r="Z234" s="4">
        <f t="shared" si="183"/>
        <v>0.73204982249993378</v>
      </c>
      <c r="AA234" s="4">
        <f t="shared" si="183"/>
        <v>0.65145592958786691</v>
      </c>
      <c r="AB234" s="4">
        <f t="shared" si="183"/>
        <v>0.56032247880849573</v>
      </c>
      <c r="AC234" s="4">
        <f t="shared" si="183"/>
        <v>0.46411326873185343</v>
      </c>
      <c r="AD234" s="4">
        <f t="shared" si="183"/>
        <v>0.36979727595523937</v>
      </c>
      <c r="AE234" s="4">
        <f t="shared" si="183"/>
        <v>0.28393948637231203</v>
      </c>
      <c r="AF234" s="4">
        <f t="shared" si="183"/>
        <v>0.21097259161117732</v>
      </c>
      <c r="AG234" s="4">
        <f t="shared" si="183"/>
        <v>0.15253917653798199</v>
      </c>
      <c r="AH234" s="4">
        <f t="shared" si="183"/>
        <v>0.10795188737709993</v>
      </c>
      <c r="AI234" s="4">
        <f t="shared" si="183"/>
        <v>7.5176653938091809E-2</v>
      </c>
      <c r="AJ234" s="4">
        <f t="shared" ref="AJ234:AR241" si="184">$N234+($M234-$N234)*((1/(1+EXP(-$P234*(AJ$9-$L234)))^$O234))</f>
        <v>5.1742836177502194E-2</v>
      </c>
      <c r="AK234" s="4">
        <f t="shared" si="184"/>
        <v>3.5319190625345942E-2</v>
      </c>
      <c r="AL234" s="4">
        <f t="shared" si="184"/>
        <v>2.3969442072658165E-2</v>
      </c>
      <c r="AM234" s="4">
        <f t="shared" si="184"/>
        <v>1.6202243558389728E-2</v>
      </c>
      <c r="AN234" s="4">
        <f t="shared" si="184"/>
        <v>1.0922240564108399E-2</v>
      </c>
      <c r="AO234" s="4">
        <f t="shared" si="184"/>
        <v>7.3493212906090566E-3</v>
      </c>
      <c r="AP234" s="4">
        <f t="shared" si="184"/>
        <v>4.9390262185057265E-3</v>
      </c>
      <c r="AQ234" s="4">
        <f t="shared" si="184"/>
        <v>3.3164275492956197E-3</v>
      </c>
      <c r="AR234" s="4">
        <f t="shared" si="184"/>
        <v>2.2256362146679809E-3</v>
      </c>
    </row>
    <row r="235" spans="1:44" x14ac:dyDescent="0.3">
      <c r="A235" s="24" t="s">
        <v>206</v>
      </c>
      <c r="B235" s="115">
        <f>'Parameter Input'!$L$28</f>
        <v>3.5200000000000006E-3</v>
      </c>
      <c r="C235" s="116">
        <f>'Parameter Input'!$M$28</f>
        <v>0</v>
      </c>
      <c r="D235" s="1" t="s">
        <v>76</v>
      </c>
      <c r="L235" s="54">
        <f>'Parameter Input'!$O$28</f>
        <v>17</v>
      </c>
      <c r="M235" s="37">
        <v>0</v>
      </c>
      <c r="N235" s="37">
        <v>1</v>
      </c>
      <c r="O235" s="37">
        <f>'Parameter Input'!$P$28</f>
        <v>0.9</v>
      </c>
      <c r="P235" s="55">
        <f>'Parameter Input'!$Q$28</f>
        <v>0.4</v>
      </c>
      <c r="Q235" s="4">
        <f t="shared" ref="Q235:AR235" si="185">$N235+($M235-$N235)*((1/(1+EXP(-$P235*(Q$9-$L235)))^$O235))</f>
        <v>0.99780374543478534</v>
      </c>
      <c r="R235" s="4">
        <f t="shared" si="185"/>
        <v>0.99685359315256394</v>
      </c>
      <c r="S235" s="4">
        <f t="shared" si="185"/>
        <v>0.99549347132349975</v>
      </c>
      <c r="T235" s="4">
        <f t="shared" si="185"/>
        <v>0.99354772139898062</v>
      </c>
      <c r="U235" s="4">
        <f t="shared" si="185"/>
        <v>0.99076681540580536</v>
      </c>
      <c r="V235" s="4">
        <f t="shared" si="185"/>
        <v>0.9867978615748374</v>
      </c>
      <c r="W235" s="4">
        <f t="shared" si="185"/>
        <v>0.98114509762858249</v>
      </c>
      <c r="X235" s="4">
        <f t="shared" si="185"/>
        <v>0.97311898315872036</v>
      </c>
      <c r="Y235" s="4">
        <f t="shared" si="185"/>
        <v>0.96177484161592774</v>
      </c>
      <c r="Z235" s="4">
        <f t="shared" si="185"/>
        <v>0.94584787155511363</v>
      </c>
      <c r="AA235" s="4">
        <f t="shared" si="185"/>
        <v>0.92370360150141495</v>
      </c>
      <c r="AB235" s="4">
        <f t="shared" si="185"/>
        <v>0.89334463567658451</v>
      </c>
      <c r="AC235" s="4">
        <f t="shared" si="185"/>
        <v>0.85254543874327005</v>
      </c>
      <c r="AD235" s="4">
        <f t="shared" si="185"/>
        <v>0.79921300652623883</v>
      </c>
      <c r="AE235" s="4">
        <f t="shared" si="185"/>
        <v>0.73204982249993378</v>
      </c>
      <c r="AF235" s="4">
        <f t="shared" si="185"/>
        <v>0.65145592958786691</v>
      </c>
      <c r="AG235" s="4">
        <f t="shared" si="185"/>
        <v>0.56032247880849573</v>
      </c>
      <c r="AH235" s="4">
        <f t="shared" si="185"/>
        <v>0.46411326873185343</v>
      </c>
      <c r="AI235" s="4">
        <f t="shared" si="185"/>
        <v>0.36979727595523937</v>
      </c>
      <c r="AJ235" s="4">
        <f t="shared" si="185"/>
        <v>0.28393948637231203</v>
      </c>
      <c r="AK235" s="4">
        <f t="shared" si="185"/>
        <v>0.21097259161117732</v>
      </c>
      <c r="AL235" s="4">
        <f t="shared" si="185"/>
        <v>0.15253917653798199</v>
      </c>
      <c r="AM235" s="4">
        <f t="shared" si="185"/>
        <v>0.10795188737709993</v>
      </c>
      <c r="AN235" s="4">
        <f t="shared" si="185"/>
        <v>7.5176653938091809E-2</v>
      </c>
      <c r="AO235" s="4">
        <f t="shared" si="185"/>
        <v>5.1742836177502194E-2</v>
      </c>
      <c r="AP235" s="4">
        <f t="shared" si="185"/>
        <v>3.5319190625345942E-2</v>
      </c>
      <c r="AQ235" s="4">
        <f t="shared" si="185"/>
        <v>2.3969442072658165E-2</v>
      </c>
      <c r="AR235" s="4">
        <f t="shared" si="185"/>
        <v>1.6202243558389728E-2</v>
      </c>
    </row>
    <row r="236" spans="1:44" x14ac:dyDescent="0.3">
      <c r="A236" s="24" t="s">
        <v>41</v>
      </c>
      <c r="B236" s="43">
        <f>'Parameter Input'!$L$22</f>
        <v>8</v>
      </c>
      <c r="C236" s="44">
        <f>'Parameter Input'!$M$22</f>
        <v>8</v>
      </c>
      <c r="D236" s="1" t="s">
        <v>42</v>
      </c>
      <c r="L236" s="54">
        <f>'Parameter Input'!$O$22</f>
        <v>8</v>
      </c>
      <c r="M236" s="37">
        <v>0</v>
      </c>
      <c r="N236" s="37">
        <v>1</v>
      </c>
      <c r="O236" s="37">
        <f>'Parameter Input'!$P$22</f>
        <v>0.9</v>
      </c>
      <c r="P236" s="55">
        <f>'Parameter Input'!$Q$22</f>
        <v>0.4</v>
      </c>
      <c r="Q236" s="4">
        <f t="shared" ref="Q236:AF241" si="186">$N236+($M236-$N236)*((1/(1+EXP(-$P236*(Q$9-$L236)))^$O236))</f>
        <v>0.94584787155511363</v>
      </c>
      <c r="R236" s="4">
        <f t="shared" si="186"/>
        <v>0.92370360150141495</v>
      </c>
      <c r="S236" s="4">
        <f t="shared" si="186"/>
        <v>0.89334463567658451</v>
      </c>
      <c r="T236" s="4">
        <f t="shared" si="186"/>
        <v>0.85254543874327005</v>
      </c>
      <c r="U236" s="4">
        <f t="shared" si="186"/>
        <v>0.79921300652623883</v>
      </c>
      <c r="V236" s="4">
        <f t="shared" si="186"/>
        <v>0.73204982249993378</v>
      </c>
      <c r="W236" s="4">
        <f t="shared" si="186"/>
        <v>0.65145592958786691</v>
      </c>
      <c r="X236" s="4">
        <f t="shared" si="186"/>
        <v>0.56032247880849573</v>
      </c>
      <c r="Y236" s="4">
        <f t="shared" si="186"/>
        <v>0.46411326873185343</v>
      </c>
      <c r="Z236" s="4">
        <f t="shared" si="186"/>
        <v>0.36979727595523937</v>
      </c>
      <c r="AA236" s="4">
        <f t="shared" si="186"/>
        <v>0.28393948637231203</v>
      </c>
      <c r="AB236" s="4">
        <f t="shared" si="186"/>
        <v>0.21097259161117732</v>
      </c>
      <c r="AC236" s="4">
        <f t="shared" si="186"/>
        <v>0.15253917653798199</v>
      </c>
      <c r="AD236" s="4">
        <f t="shared" si="186"/>
        <v>0.10795188737709993</v>
      </c>
      <c r="AE236" s="4">
        <f t="shared" si="186"/>
        <v>7.5176653938091809E-2</v>
      </c>
      <c r="AF236" s="4">
        <f t="shared" si="186"/>
        <v>5.1742836177502194E-2</v>
      </c>
      <c r="AG236" s="4">
        <f t="shared" si="183"/>
        <v>3.5319190625345942E-2</v>
      </c>
      <c r="AH236" s="4">
        <f t="shared" si="183"/>
        <v>2.3969442072658165E-2</v>
      </c>
      <c r="AI236" s="4">
        <f t="shared" si="183"/>
        <v>1.6202243558389728E-2</v>
      </c>
      <c r="AJ236" s="4">
        <f t="shared" si="184"/>
        <v>1.0922240564108399E-2</v>
      </c>
      <c r="AK236" s="4">
        <f t="shared" si="184"/>
        <v>7.3493212906090566E-3</v>
      </c>
      <c r="AL236" s="4">
        <f t="shared" si="184"/>
        <v>4.9390262185057265E-3</v>
      </c>
      <c r="AM236" s="4">
        <f t="shared" si="184"/>
        <v>3.3164275492956197E-3</v>
      </c>
      <c r="AN236" s="4">
        <f t="shared" si="184"/>
        <v>2.2256362146679809E-3</v>
      </c>
      <c r="AO236" s="4">
        <f t="shared" si="184"/>
        <v>1.4930448704811861E-3</v>
      </c>
      <c r="AP236" s="4">
        <f t="shared" si="184"/>
        <v>1.0013381504474506E-3</v>
      </c>
      <c r="AQ236" s="4">
        <f t="shared" si="184"/>
        <v>6.7145100246257527E-4</v>
      </c>
      <c r="AR236" s="4">
        <f t="shared" si="184"/>
        <v>4.5019225748876845E-4</v>
      </c>
    </row>
    <row r="237" spans="1:44" x14ac:dyDescent="0.3">
      <c r="A237" s="24" t="s">
        <v>70</v>
      </c>
      <c r="B237" s="60">
        <f>'Parameter Input'!B39</f>
        <v>10</v>
      </c>
      <c r="C237" s="61">
        <f>'Parameter Input'!C39</f>
        <v>10</v>
      </c>
      <c r="D237" s="1" t="s">
        <v>42</v>
      </c>
      <c r="L237" s="54">
        <f>'Parameter Input'!E39</f>
        <v>12</v>
      </c>
      <c r="M237" s="37">
        <v>0</v>
      </c>
      <c r="N237" s="37">
        <v>1</v>
      </c>
      <c r="O237" s="37">
        <f>'Parameter Input'!F39</f>
        <v>0.9</v>
      </c>
      <c r="P237" s="55">
        <f>'Parameter Input'!G39</f>
        <v>0.4</v>
      </c>
      <c r="Q237" s="4">
        <f t="shared" si="186"/>
        <v>0.9867978615748374</v>
      </c>
      <c r="R237" s="4">
        <f t="shared" si="186"/>
        <v>0.98114509762858249</v>
      </c>
      <c r="S237" s="4">
        <f t="shared" si="186"/>
        <v>0.97311898315872036</v>
      </c>
      <c r="T237" s="4">
        <f t="shared" si="186"/>
        <v>0.96177484161592774</v>
      </c>
      <c r="U237" s="4">
        <f t="shared" si="186"/>
        <v>0.94584787155511363</v>
      </c>
      <c r="V237" s="4">
        <f t="shared" si="186"/>
        <v>0.92370360150141495</v>
      </c>
      <c r="W237" s="4">
        <f t="shared" si="186"/>
        <v>0.89334463567658451</v>
      </c>
      <c r="X237" s="4">
        <f t="shared" si="186"/>
        <v>0.85254543874327005</v>
      </c>
      <c r="Y237" s="4">
        <f t="shared" si="186"/>
        <v>0.79921300652623883</v>
      </c>
      <c r="Z237" s="4">
        <f t="shared" si="186"/>
        <v>0.73204982249993378</v>
      </c>
      <c r="AA237" s="4">
        <f t="shared" si="186"/>
        <v>0.65145592958786691</v>
      </c>
      <c r="AB237" s="4">
        <f t="shared" si="186"/>
        <v>0.56032247880849573</v>
      </c>
      <c r="AC237" s="4">
        <f t="shared" si="186"/>
        <v>0.46411326873185343</v>
      </c>
      <c r="AD237" s="4">
        <f t="shared" si="186"/>
        <v>0.36979727595523937</v>
      </c>
      <c r="AE237" s="4">
        <f t="shared" si="186"/>
        <v>0.28393948637231203</v>
      </c>
      <c r="AF237" s="4">
        <f t="shared" si="186"/>
        <v>0.21097259161117732</v>
      </c>
      <c r="AG237" s="4">
        <f t="shared" si="183"/>
        <v>0.15253917653798199</v>
      </c>
      <c r="AH237" s="4">
        <f t="shared" si="183"/>
        <v>0.10795188737709993</v>
      </c>
      <c r="AI237" s="4">
        <f t="shared" si="183"/>
        <v>7.5176653938091809E-2</v>
      </c>
      <c r="AJ237" s="4">
        <f t="shared" si="184"/>
        <v>5.1742836177502194E-2</v>
      </c>
      <c r="AK237" s="4">
        <f t="shared" si="184"/>
        <v>3.5319190625345942E-2</v>
      </c>
      <c r="AL237" s="4">
        <f t="shared" si="184"/>
        <v>2.3969442072658165E-2</v>
      </c>
      <c r="AM237" s="4">
        <f t="shared" si="184"/>
        <v>1.6202243558389728E-2</v>
      </c>
      <c r="AN237" s="4">
        <f t="shared" si="184"/>
        <v>1.0922240564108399E-2</v>
      </c>
      <c r="AO237" s="4">
        <f t="shared" si="184"/>
        <v>7.3493212906090566E-3</v>
      </c>
      <c r="AP237" s="4">
        <f t="shared" si="184"/>
        <v>4.9390262185057265E-3</v>
      </c>
      <c r="AQ237" s="4">
        <f t="shared" si="184"/>
        <v>3.3164275492956197E-3</v>
      </c>
      <c r="AR237" s="4">
        <f t="shared" si="184"/>
        <v>2.2256362146679809E-3</v>
      </c>
    </row>
    <row r="238" spans="1:44" x14ac:dyDescent="0.3">
      <c r="A238" s="24" t="s">
        <v>207</v>
      </c>
      <c r="B238" s="43">
        <f>'Parameter Input'!B36</f>
        <v>25</v>
      </c>
      <c r="C238" s="44">
        <f>'Parameter Input'!C36</f>
        <v>25</v>
      </c>
      <c r="D238" s="1" t="s">
        <v>49</v>
      </c>
      <c r="L238" s="54">
        <f>'Parameter Input'!E36</f>
        <v>12</v>
      </c>
      <c r="M238" s="37">
        <v>0</v>
      </c>
      <c r="N238" s="37">
        <v>1</v>
      </c>
      <c r="O238" s="37">
        <f>'Parameter Input'!F36</f>
        <v>0.9</v>
      </c>
      <c r="P238" s="55">
        <f>'Parameter Input'!G36</f>
        <v>0.4</v>
      </c>
      <c r="Q238" s="4">
        <f t="shared" si="186"/>
        <v>0.9867978615748374</v>
      </c>
      <c r="R238" s="4">
        <f t="shared" si="186"/>
        <v>0.98114509762858249</v>
      </c>
      <c r="S238" s="4">
        <f t="shared" si="186"/>
        <v>0.97311898315872036</v>
      </c>
      <c r="T238" s="4">
        <f t="shared" si="186"/>
        <v>0.96177484161592774</v>
      </c>
      <c r="U238" s="4">
        <f t="shared" si="186"/>
        <v>0.94584787155511363</v>
      </c>
      <c r="V238" s="4">
        <f t="shared" si="186"/>
        <v>0.92370360150141495</v>
      </c>
      <c r="W238" s="4">
        <f t="shared" si="186"/>
        <v>0.89334463567658451</v>
      </c>
      <c r="X238" s="4">
        <f t="shared" si="186"/>
        <v>0.85254543874327005</v>
      </c>
      <c r="Y238" s="4">
        <f t="shared" si="186"/>
        <v>0.79921300652623883</v>
      </c>
      <c r="Z238" s="4">
        <f t="shared" si="186"/>
        <v>0.73204982249993378</v>
      </c>
      <c r="AA238" s="4">
        <f t="shared" si="186"/>
        <v>0.65145592958786691</v>
      </c>
      <c r="AB238" s="4">
        <f t="shared" si="186"/>
        <v>0.56032247880849573</v>
      </c>
      <c r="AC238" s="4">
        <f t="shared" si="186"/>
        <v>0.46411326873185343</v>
      </c>
      <c r="AD238" s="4">
        <f t="shared" si="186"/>
        <v>0.36979727595523937</v>
      </c>
      <c r="AE238" s="4">
        <f t="shared" si="186"/>
        <v>0.28393948637231203</v>
      </c>
      <c r="AF238" s="4">
        <f t="shared" si="186"/>
        <v>0.21097259161117732</v>
      </c>
      <c r="AG238" s="4">
        <f t="shared" si="183"/>
        <v>0.15253917653798199</v>
      </c>
      <c r="AH238" s="4">
        <f t="shared" si="183"/>
        <v>0.10795188737709993</v>
      </c>
      <c r="AI238" s="4">
        <f t="shared" si="183"/>
        <v>7.5176653938091809E-2</v>
      </c>
      <c r="AJ238" s="4">
        <f t="shared" si="184"/>
        <v>5.1742836177502194E-2</v>
      </c>
      <c r="AK238" s="4">
        <f t="shared" si="184"/>
        <v>3.5319190625345942E-2</v>
      </c>
      <c r="AL238" s="4">
        <f t="shared" si="184"/>
        <v>2.3969442072658165E-2</v>
      </c>
      <c r="AM238" s="4">
        <f t="shared" si="184"/>
        <v>1.6202243558389728E-2</v>
      </c>
      <c r="AN238" s="4">
        <f t="shared" si="184"/>
        <v>1.0922240564108399E-2</v>
      </c>
      <c r="AO238" s="4">
        <f t="shared" si="184"/>
        <v>7.3493212906090566E-3</v>
      </c>
      <c r="AP238" s="4">
        <f t="shared" si="184"/>
        <v>4.9390262185057265E-3</v>
      </c>
      <c r="AQ238" s="4">
        <f t="shared" si="184"/>
        <v>3.3164275492956197E-3</v>
      </c>
      <c r="AR238" s="4">
        <f t="shared" si="184"/>
        <v>2.2256362146679809E-3</v>
      </c>
    </row>
    <row r="239" spans="1:44" x14ac:dyDescent="0.3">
      <c r="A239" s="24" t="s">
        <v>56</v>
      </c>
      <c r="B239" s="45">
        <f>'Parameter Input'!B37</f>
        <v>0.46</v>
      </c>
      <c r="C239" s="46">
        <f>'Parameter Input'!C37</f>
        <v>0.46</v>
      </c>
      <c r="D239" s="1" t="s">
        <v>57</v>
      </c>
      <c r="L239" s="54">
        <f>'Parameter Input'!E37</f>
        <v>12</v>
      </c>
      <c r="M239" s="37">
        <v>0</v>
      </c>
      <c r="N239" s="37">
        <v>1</v>
      </c>
      <c r="O239" s="37">
        <f>'Parameter Input'!F37</f>
        <v>0.9</v>
      </c>
      <c r="P239" s="55">
        <f>'Parameter Input'!G37</f>
        <v>0.4</v>
      </c>
      <c r="Q239" s="4">
        <f t="shared" si="186"/>
        <v>0.9867978615748374</v>
      </c>
      <c r="R239" s="4">
        <f t="shared" si="186"/>
        <v>0.98114509762858249</v>
      </c>
      <c r="S239" s="4">
        <f t="shared" si="186"/>
        <v>0.97311898315872036</v>
      </c>
      <c r="T239" s="4">
        <f t="shared" si="186"/>
        <v>0.96177484161592774</v>
      </c>
      <c r="U239" s="4">
        <f t="shared" si="186"/>
        <v>0.94584787155511363</v>
      </c>
      <c r="V239" s="4">
        <f t="shared" si="186"/>
        <v>0.92370360150141495</v>
      </c>
      <c r="W239" s="4">
        <f t="shared" si="186"/>
        <v>0.89334463567658451</v>
      </c>
      <c r="X239" s="4">
        <f t="shared" si="186"/>
        <v>0.85254543874327005</v>
      </c>
      <c r="Y239" s="4">
        <f t="shared" si="186"/>
        <v>0.79921300652623883</v>
      </c>
      <c r="Z239" s="4">
        <f t="shared" si="186"/>
        <v>0.73204982249993378</v>
      </c>
      <c r="AA239" s="4">
        <f t="shared" si="186"/>
        <v>0.65145592958786691</v>
      </c>
      <c r="AB239" s="4">
        <f t="shared" si="186"/>
        <v>0.56032247880849573</v>
      </c>
      <c r="AC239" s="4">
        <f t="shared" si="186"/>
        <v>0.46411326873185343</v>
      </c>
      <c r="AD239" s="4">
        <f t="shared" si="186"/>
        <v>0.36979727595523937</v>
      </c>
      <c r="AE239" s="4">
        <f t="shared" si="186"/>
        <v>0.28393948637231203</v>
      </c>
      <c r="AF239" s="4">
        <f t="shared" si="186"/>
        <v>0.21097259161117732</v>
      </c>
      <c r="AG239" s="4">
        <f t="shared" si="183"/>
        <v>0.15253917653798199</v>
      </c>
      <c r="AH239" s="4">
        <f t="shared" si="183"/>
        <v>0.10795188737709993</v>
      </c>
      <c r="AI239" s="4">
        <f t="shared" si="183"/>
        <v>7.5176653938091809E-2</v>
      </c>
      <c r="AJ239" s="4">
        <f t="shared" si="184"/>
        <v>5.1742836177502194E-2</v>
      </c>
      <c r="AK239" s="4">
        <f t="shared" si="184"/>
        <v>3.5319190625345942E-2</v>
      </c>
      <c r="AL239" s="4">
        <f t="shared" si="184"/>
        <v>2.3969442072658165E-2</v>
      </c>
      <c r="AM239" s="4">
        <f t="shared" si="184"/>
        <v>1.6202243558389728E-2</v>
      </c>
      <c r="AN239" s="4">
        <f t="shared" si="184"/>
        <v>1.0922240564108399E-2</v>
      </c>
      <c r="AO239" s="4">
        <f t="shared" si="184"/>
        <v>7.3493212906090566E-3</v>
      </c>
      <c r="AP239" s="4">
        <f t="shared" si="184"/>
        <v>4.9390262185057265E-3</v>
      </c>
      <c r="AQ239" s="4">
        <f t="shared" si="184"/>
        <v>3.3164275492956197E-3</v>
      </c>
      <c r="AR239" s="4">
        <f t="shared" si="184"/>
        <v>2.2256362146679809E-3</v>
      </c>
    </row>
    <row r="240" spans="1:44" x14ac:dyDescent="0.3">
      <c r="A240" s="24" t="s">
        <v>73</v>
      </c>
      <c r="B240" s="72">
        <f>'Parameter Input'!$L$26</f>
        <v>0.1</v>
      </c>
      <c r="C240" s="73">
        <f>'Parameter Input'!$M$26</f>
        <v>0.05</v>
      </c>
      <c r="D240" s="1" t="s">
        <v>57</v>
      </c>
      <c r="L240" s="54">
        <f>'Parameter Input'!$O$26</f>
        <v>12</v>
      </c>
      <c r="M240" s="37">
        <v>0</v>
      </c>
      <c r="N240" s="37">
        <v>1</v>
      </c>
      <c r="O240" s="37">
        <f>'Parameter Input'!$P$26</f>
        <v>0.9</v>
      </c>
      <c r="P240" s="55">
        <f>'Parameter Input'!$Q$26</f>
        <v>0.4</v>
      </c>
      <c r="Q240" s="4">
        <f t="shared" si="186"/>
        <v>0.9867978615748374</v>
      </c>
      <c r="R240" s="4">
        <f t="shared" si="186"/>
        <v>0.98114509762858249</v>
      </c>
      <c r="S240" s="4">
        <f t="shared" si="186"/>
        <v>0.97311898315872036</v>
      </c>
      <c r="T240" s="4">
        <f t="shared" si="186"/>
        <v>0.96177484161592774</v>
      </c>
      <c r="U240" s="4">
        <f t="shared" si="186"/>
        <v>0.94584787155511363</v>
      </c>
      <c r="V240" s="4">
        <f t="shared" si="186"/>
        <v>0.92370360150141495</v>
      </c>
      <c r="W240" s="4">
        <f t="shared" si="186"/>
        <v>0.89334463567658451</v>
      </c>
      <c r="X240" s="4">
        <f t="shared" si="186"/>
        <v>0.85254543874327005</v>
      </c>
      <c r="Y240" s="4">
        <f t="shared" si="186"/>
        <v>0.79921300652623883</v>
      </c>
      <c r="Z240" s="4">
        <f t="shared" si="186"/>
        <v>0.73204982249993378</v>
      </c>
      <c r="AA240" s="4">
        <f t="shared" si="186"/>
        <v>0.65145592958786691</v>
      </c>
      <c r="AB240" s="4">
        <f t="shared" si="186"/>
        <v>0.56032247880849573</v>
      </c>
      <c r="AC240" s="4">
        <f t="shared" si="186"/>
        <v>0.46411326873185343</v>
      </c>
      <c r="AD240" s="4">
        <f t="shared" si="186"/>
        <v>0.36979727595523937</v>
      </c>
      <c r="AE240" s="4">
        <f t="shared" si="186"/>
        <v>0.28393948637231203</v>
      </c>
      <c r="AF240" s="4">
        <f t="shared" si="186"/>
        <v>0.21097259161117732</v>
      </c>
      <c r="AG240" s="4">
        <f t="shared" si="183"/>
        <v>0.15253917653798199</v>
      </c>
      <c r="AH240" s="4">
        <f t="shared" si="183"/>
        <v>0.10795188737709993</v>
      </c>
      <c r="AI240" s="4">
        <f t="shared" si="183"/>
        <v>7.5176653938091809E-2</v>
      </c>
      <c r="AJ240" s="4">
        <f t="shared" si="184"/>
        <v>5.1742836177502194E-2</v>
      </c>
      <c r="AK240" s="4">
        <f t="shared" si="184"/>
        <v>3.5319190625345942E-2</v>
      </c>
      <c r="AL240" s="4">
        <f t="shared" si="184"/>
        <v>2.3969442072658165E-2</v>
      </c>
      <c r="AM240" s="4">
        <f t="shared" si="184"/>
        <v>1.6202243558389728E-2</v>
      </c>
      <c r="AN240" s="4">
        <f t="shared" si="184"/>
        <v>1.0922240564108399E-2</v>
      </c>
      <c r="AO240" s="4">
        <f t="shared" si="184"/>
        <v>7.3493212906090566E-3</v>
      </c>
      <c r="AP240" s="4">
        <f t="shared" si="184"/>
        <v>4.9390262185057265E-3</v>
      </c>
      <c r="AQ240" s="4">
        <f t="shared" si="184"/>
        <v>3.3164275492956197E-3</v>
      </c>
      <c r="AR240" s="4">
        <f t="shared" si="184"/>
        <v>2.2256362146679809E-3</v>
      </c>
    </row>
    <row r="241" spans="1:44" ht="15" thickBot="1" x14ac:dyDescent="0.35">
      <c r="A241" s="24" t="s">
        <v>64</v>
      </c>
      <c r="B241" s="49">
        <f>'Parameter Input'!B38</f>
        <v>105000</v>
      </c>
      <c r="C241" s="50">
        <f>'Parameter Input'!C38</f>
        <v>105000</v>
      </c>
      <c r="D241" s="1" t="s">
        <v>65</v>
      </c>
      <c r="L241" s="56">
        <f>'Parameter Input'!E38</f>
        <v>12</v>
      </c>
      <c r="M241" s="57">
        <v>0</v>
      </c>
      <c r="N241" s="57">
        <v>1</v>
      </c>
      <c r="O241" s="57">
        <f>'Parameter Input'!F38</f>
        <v>0.9</v>
      </c>
      <c r="P241" s="58">
        <f>'Parameter Input'!G38</f>
        <v>0.4</v>
      </c>
      <c r="Q241" s="4">
        <f t="shared" si="186"/>
        <v>0.9867978615748374</v>
      </c>
      <c r="R241" s="4">
        <f t="shared" si="186"/>
        <v>0.98114509762858249</v>
      </c>
      <c r="S241" s="4">
        <f t="shared" si="186"/>
        <v>0.97311898315872036</v>
      </c>
      <c r="T241" s="4">
        <f t="shared" si="186"/>
        <v>0.96177484161592774</v>
      </c>
      <c r="U241" s="4">
        <f t="shared" si="186"/>
        <v>0.94584787155511363</v>
      </c>
      <c r="V241" s="4">
        <f t="shared" si="186"/>
        <v>0.92370360150141495</v>
      </c>
      <c r="W241" s="4">
        <f t="shared" si="186"/>
        <v>0.89334463567658451</v>
      </c>
      <c r="X241" s="4">
        <f t="shared" si="186"/>
        <v>0.85254543874327005</v>
      </c>
      <c r="Y241" s="4">
        <f t="shared" si="186"/>
        <v>0.79921300652623883</v>
      </c>
      <c r="Z241" s="4">
        <f t="shared" si="186"/>
        <v>0.73204982249993378</v>
      </c>
      <c r="AA241" s="4">
        <f t="shared" si="186"/>
        <v>0.65145592958786691</v>
      </c>
      <c r="AB241" s="4">
        <f t="shared" si="186"/>
        <v>0.56032247880849573</v>
      </c>
      <c r="AC241" s="4">
        <f t="shared" si="186"/>
        <v>0.46411326873185343</v>
      </c>
      <c r="AD241" s="4">
        <f t="shared" si="186"/>
        <v>0.36979727595523937</v>
      </c>
      <c r="AE241" s="4">
        <f t="shared" si="186"/>
        <v>0.28393948637231203</v>
      </c>
      <c r="AF241" s="4">
        <f t="shared" si="186"/>
        <v>0.21097259161117732</v>
      </c>
      <c r="AG241" s="4">
        <f t="shared" si="183"/>
        <v>0.15253917653798199</v>
      </c>
      <c r="AH241" s="4">
        <f t="shared" si="183"/>
        <v>0.10795188737709993</v>
      </c>
      <c r="AI241" s="4">
        <f t="shared" si="183"/>
        <v>7.5176653938091809E-2</v>
      </c>
      <c r="AJ241" s="4">
        <f t="shared" si="184"/>
        <v>5.1742836177502194E-2</v>
      </c>
      <c r="AK241" s="4">
        <f t="shared" si="184"/>
        <v>3.5319190625345942E-2</v>
      </c>
      <c r="AL241" s="4">
        <f t="shared" si="184"/>
        <v>2.3969442072658165E-2</v>
      </c>
      <c r="AM241" s="4">
        <f t="shared" si="184"/>
        <v>1.6202243558389728E-2</v>
      </c>
      <c r="AN241" s="4">
        <f t="shared" si="184"/>
        <v>1.0922240564108399E-2</v>
      </c>
      <c r="AO241" s="4">
        <f t="shared" si="184"/>
        <v>7.3493212906090566E-3</v>
      </c>
      <c r="AP241" s="4">
        <f t="shared" si="184"/>
        <v>4.9390262185057265E-3</v>
      </c>
      <c r="AQ241" s="4">
        <f t="shared" si="184"/>
        <v>3.3164275492956197E-3</v>
      </c>
      <c r="AR241" s="4">
        <f t="shared" si="184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87">A225</f>
        <v>Capex vehicle</v>
      </c>
      <c r="B245" s="62">
        <f t="shared" ref="B245:B253" si="188">$B225+($C225-$B225)*(1-Q225)</f>
        <v>386191.20724655397</v>
      </c>
      <c r="C245" s="62">
        <f t="shared" ref="C245:C253" si="189">$B225+($C225-$B225)*(1-R225)</f>
        <v>380544.41838286084</v>
      </c>
      <c r="D245" s="62">
        <f t="shared" ref="D245:D253" si="190">$B225+($C225-$B225)*(1-S225)</f>
        <v>372802.88209752907</v>
      </c>
      <c r="E245" s="62">
        <f t="shared" ref="E245:E253" si="191">$B225+($C225-$B225)*(1-T225)</f>
        <v>362399.08687953383</v>
      </c>
      <c r="F245" s="62">
        <f t="shared" ref="F245:F253" si="192">$B225+($C225-$B225)*(1-U225)</f>
        <v>348799.3166641909</v>
      </c>
      <c r="G245" s="62">
        <f t="shared" ref="G245:G253" si="193">$B225+($C225-$B225)*(1-V225)</f>
        <v>331672.70473748312</v>
      </c>
      <c r="H245" s="62">
        <f t="shared" ref="H245:H253" si="194">$B225+($C225-$B225)*(1-W225)</f>
        <v>311121.26204490603</v>
      </c>
      <c r="I245" s="62">
        <f t="shared" ref="I245:I253" si="195">$B225+($C225-$B225)*(1-X225)</f>
        <v>287882.23209616641</v>
      </c>
      <c r="J245" s="62">
        <f t="shared" ref="J245:J253" si="196">$B225+($C225-$B225)*(1-Y225)</f>
        <v>263348.88352662267</v>
      </c>
      <c r="K245" s="62">
        <f t="shared" ref="K245:K253" si="197">$B225+($C225-$B225)*(1-Z225)</f>
        <v>239298.30536858604</v>
      </c>
      <c r="L245" s="62">
        <f t="shared" ref="L245:L253" si="198">$B225+($C225-$B225)*(1-AA225)</f>
        <v>217404.56902493956</v>
      </c>
      <c r="M245" s="62">
        <f t="shared" ref="M245:M253" si="199">$B225+($C225-$B225)*(1-AB225)</f>
        <v>198798.01086085022</v>
      </c>
      <c r="N245" s="62">
        <f t="shared" ref="N245:N253" si="200">$B225+($C225-$B225)*(1-AC225)</f>
        <v>183897.4900171854</v>
      </c>
      <c r="O245" s="62">
        <f t="shared" ref="O245:O253" si="201">$B225+($C225-$B225)*(1-AD225)</f>
        <v>172527.73128116049</v>
      </c>
      <c r="P245" s="62">
        <f t="shared" ref="P245:P253" si="202">$B225+($C225-$B225)*(1-AE225)</f>
        <v>164170.0467542134</v>
      </c>
      <c r="Q245" s="62">
        <f t="shared" ref="Q245:Q253" si="203">$B225+($C225-$B225)*(1-AF225)</f>
        <v>158194.42322526305</v>
      </c>
      <c r="R245" s="62">
        <f t="shared" ref="R245:R253" si="204">$B225+($C225-$B225)*(1-AG225)</f>
        <v>154006.39360946321</v>
      </c>
      <c r="S245" s="62">
        <f t="shared" ref="S245:S253" si="205">$B225+($C225-$B225)*(1-AH225)</f>
        <v>151112.20772852784</v>
      </c>
      <c r="T245" s="62">
        <f t="shared" ref="T245:T253" si="206">$B225+($C225-$B225)*(1-AI225)</f>
        <v>149131.57210738939</v>
      </c>
      <c r="U245" s="62">
        <f t="shared" ref="U245:U253" si="207">$B225+($C225-$B225)*(1-AJ225)</f>
        <v>147785.17134384764</v>
      </c>
      <c r="V245" s="62">
        <f t="shared" ref="V245:V253" si="208">$B225+($C225-$B225)*(1-AK225)</f>
        <v>146874.0769291053</v>
      </c>
      <c r="W245" s="62">
        <f t="shared" ref="W245:W253" si="209">$B225+($C225-$B225)*(1-AL225)</f>
        <v>146259.45168571896</v>
      </c>
      <c r="X245" s="62">
        <f t="shared" ref="X245:X253" si="210">$B225+($C225-$B225)*(1-AM225)</f>
        <v>145845.68902507037</v>
      </c>
      <c r="Y245" s="62">
        <f t="shared" ref="Y245:Y253" si="211">$B225+($C225-$B225)*(1-AN225)</f>
        <v>145567.53723474033</v>
      </c>
      <c r="Z245" s="62">
        <f t="shared" ref="Z245:Z253" si="212">$B225+($C225-$B225)*(1-AO225)</f>
        <v>145380.72644197271</v>
      </c>
      <c r="AA245" s="62">
        <f t="shared" ref="AA245:AA253" si="213">$B225+($C225-$B225)*(1-AP225)</f>
        <v>145255.34122836409</v>
      </c>
      <c r="AB245" s="62">
        <f t="shared" ref="AB245:AB253" si="214">$B225+($C225-$B225)*(1-AQ225)</f>
        <v>145171.22000562795</v>
      </c>
      <c r="AC245" s="62">
        <f t="shared" ref="AC245:AC253" si="215">$B225+($C225-$B225)*(1-AR225)</f>
        <v>145114.79902565962</v>
      </c>
    </row>
    <row r="246" spans="1:44" x14ac:dyDescent="0.3">
      <c r="A246" s="30" t="str">
        <f t="shared" si="187"/>
        <v>Residual value (vehicle)</v>
      </c>
      <c r="B246" s="62">
        <f t="shared" si="188"/>
        <v>-58713.886949433945</v>
      </c>
      <c r="C246" s="62">
        <f t="shared" si="189"/>
        <v>-58187.960535658603</v>
      </c>
      <c r="D246" s="62">
        <f t="shared" si="190"/>
        <v>-57466.935097318885</v>
      </c>
      <c r="E246" s="62">
        <f t="shared" si="191"/>
        <v>-56497.954170152661</v>
      </c>
      <c r="F246" s="62">
        <f t="shared" si="192"/>
        <v>-55231.308904998172</v>
      </c>
      <c r="G246" s="62">
        <f t="shared" si="193"/>
        <v>-53636.18328437343</v>
      </c>
      <c r="H246" s="62">
        <f t="shared" si="194"/>
        <v>-51722.078327711839</v>
      </c>
      <c r="I246" s="62">
        <f t="shared" si="195"/>
        <v>-49557.658871701773</v>
      </c>
      <c r="J246" s="62">
        <f t="shared" si="196"/>
        <v>-47272.690132381518</v>
      </c>
      <c r="K246" s="62">
        <f t="shared" si="197"/>
        <v>-45032.685303936931</v>
      </c>
      <c r="L246" s="62">
        <f t="shared" si="198"/>
        <v>-42993.562801342414</v>
      </c>
      <c r="M246" s="62">
        <f t="shared" si="199"/>
        <v>-41260.599050765464</v>
      </c>
      <c r="N246" s="62">
        <f t="shared" si="200"/>
        <v>-39872.805442777069</v>
      </c>
      <c r="O246" s="62">
        <f t="shared" si="201"/>
        <v>-38813.857325206125</v>
      </c>
      <c r="P246" s="62">
        <f t="shared" si="202"/>
        <v>-38035.445531029676</v>
      </c>
      <c r="Q246" s="62">
        <f t="shared" si="203"/>
        <v>-37478.892359215679</v>
      </c>
      <c r="R246" s="62">
        <f t="shared" si="204"/>
        <v>-37088.830777351963</v>
      </c>
      <c r="S246" s="62">
        <f t="shared" si="205"/>
        <v>-36819.274249225637</v>
      </c>
      <c r="T246" s="62">
        <f t="shared" si="206"/>
        <v>-36634.803284511756</v>
      </c>
      <c r="U246" s="62">
        <f t="shared" si="207"/>
        <v>-36509.403213397571</v>
      </c>
      <c r="V246" s="62">
        <f t="shared" si="208"/>
        <v>-36424.546380651969</v>
      </c>
      <c r="W246" s="62">
        <f t="shared" si="209"/>
        <v>-36367.30187268951</v>
      </c>
      <c r="X246" s="62">
        <f t="shared" si="210"/>
        <v>-36328.765154295776</v>
      </c>
      <c r="Y246" s="62">
        <f t="shared" si="211"/>
        <v>-36302.858860098364</v>
      </c>
      <c r="Z246" s="62">
        <f t="shared" si="212"/>
        <v>-36285.459815673923</v>
      </c>
      <c r="AA246" s="62">
        <f t="shared" si="213"/>
        <v>-36273.781781073129</v>
      </c>
      <c r="AB246" s="62">
        <f t="shared" si="214"/>
        <v>-36265.946961308488</v>
      </c>
      <c r="AC246" s="62">
        <f t="shared" si="215"/>
        <v>-36260.692066115356</v>
      </c>
    </row>
    <row r="247" spans="1:44" x14ac:dyDescent="0.3">
      <c r="A247" s="30" t="str">
        <f t="shared" si="187"/>
        <v>Capex costumization</v>
      </c>
      <c r="B247" s="62">
        <f t="shared" si="188"/>
        <v>30000</v>
      </c>
      <c r="C247" s="62">
        <f t="shared" si="189"/>
        <v>30000</v>
      </c>
      <c r="D247" s="62">
        <f t="shared" si="190"/>
        <v>30000</v>
      </c>
      <c r="E247" s="62">
        <f t="shared" si="191"/>
        <v>30000</v>
      </c>
      <c r="F247" s="62">
        <f t="shared" si="192"/>
        <v>30000</v>
      </c>
      <c r="G247" s="62">
        <f t="shared" si="193"/>
        <v>30000</v>
      </c>
      <c r="H247" s="62">
        <f t="shared" si="194"/>
        <v>30000</v>
      </c>
      <c r="I247" s="62">
        <f t="shared" si="195"/>
        <v>30000</v>
      </c>
      <c r="J247" s="62">
        <f t="shared" si="196"/>
        <v>30000</v>
      </c>
      <c r="K247" s="62">
        <f t="shared" si="197"/>
        <v>30000</v>
      </c>
      <c r="L247" s="62">
        <f t="shared" si="198"/>
        <v>30000</v>
      </c>
      <c r="M247" s="62">
        <f t="shared" si="199"/>
        <v>30000</v>
      </c>
      <c r="N247" s="62">
        <f t="shared" si="200"/>
        <v>30000</v>
      </c>
      <c r="O247" s="62">
        <f t="shared" si="201"/>
        <v>30000</v>
      </c>
      <c r="P247" s="62">
        <f t="shared" si="202"/>
        <v>30000</v>
      </c>
      <c r="Q247" s="62">
        <f t="shared" si="203"/>
        <v>30000</v>
      </c>
      <c r="R247" s="62">
        <f t="shared" si="204"/>
        <v>30000</v>
      </c>
      <c r="S247" s="62">
        <f t="shared" si="205"/>
        <v>30000</v>
      </c>
      <c r="T247" s="62">
        <f t="shared" si="206"/>
        <v>30000</v>
      </c>
      <c r="U247" s="62">
        <f t="shared" si="207"/>
        <v>30000</v>
      </c>
      <c r="V247" s="62">
        <f t="shared" si="208"/>
        <v>30000</v>
      </c>
      <c r="W247" s="62">
        <f t="shared" si="209"/>
        <v>30000</v>
      </c>
      <c r="X247" s="62">
        <f t="shared" si="210"/>
        <v>30000</v>
      </c>
      <c r="Y247" s="62">
        <f t="shared" si="211"/>
        <v>30000</v>
      </c>
      <c r="Z247" s="62">
        <f t="shared" si="212"/>
        <v>30000</v>
      </c>
      <c r="AA247" s="62">
        <f t="shared" si="213"/>
        <v>30000</v>
      </c>
      <c r="AB247" s="62">
        <f t="shared" si="214"/>
        <v>30000</v>
      </c>
      <c r="AC247" s="62">
        <f t="shared" si="215"/>
        <v>30000</v>
      </c>
    </row>
    <row r="248" spans="1:44" x14ac:dyDescent="0.3">
      <c r="A248" s="30" t="str">
        <f t="shared" si="187"/>
        <v>Residual value (costumization)</v>
      </c>
      <c r="B248" s="62">
        <f t="shared" si="188"/>
        <v>-7500</v>
      </c>
      <c r="C248" s="62">
        <f t="shared" si="189"/>
        <v>-7500</v>
      </c>
      <c r="D248" s="62">
        <f t="shared" si="190"/>
        <v>-7500</v>
      </c>
      <c r="E248" s="62">
        <f t="shared" si="191"/>
        <v>-7500</v>
      </c>
      <c r="F248" s="62">
        <f t="shared" si="192"/>
        <v>-7500</v>
      </c>
      <c r="G248" s="62">
        <f t="shared" si="193"/>
        <v>-7500</v>
      </c>
      <c r="H248" s="62">
        <f t="shared" si="194"/>
        <v>-7500</v>
      </c>
      <c r="I248" s="62">
        <f t="shared" si="195"/>
        <v>-7500</v>
      </c>
      <c r="J248" s="62">
        <f t="shared" si="196"/>
        <v>-7500</v>
      </c>
      <c r="K248" s="62">
        <f t="shared" si="197"/>
        <v>-7500</v>
      </c>
      <c r="L248" s="62">
        <f t="shared" si="198"/>
        <v>-7500</v>
      </c>
      <c r="M248" s="62">
        <f t="shared" si="199"/>
        <v>-7500</v>
      </c>
      <c r="N248" s="62">
        <f t="shared" si="200"/>
        <v>-7500</v>
      </c>
      <c r="O248" s="62">
        <f t="shared" si="201"/>
        <v>-7500</v>
      </c>
      <c r="P248" s="62">
        <f t="shared" si="202"/>
        <v>-7500</v>
      </c>
      <c r="Q248" s="62">
        <f t="shared" si="203"/>
        <v>-7500</v>
      </c>
      <c r="R248" s="62">
        <f t="shared" si="204"/>
        <v>-7500</v>
      </c>
      <c r="S248" s="62">
        <f t="shared" si="205"/>
        <v>-7500</v>
      </c>
      <c r="T248" s="62">
        <f t="shared" si="206"/>
        <v>-7500</v>
      </c>
      <c r="U248" s="62">
        <f t="shared" si="207"/>
        <v>-7500</v>
      </c>
      <c r="V248" s="62">
        <f t="shared" si="208"/>
        <v>-7500</v>
      </c>
      <c r="W248" s="62">
        <f t="shared" si="209"/>
        <v>-7500</v>
      </c>
      <c r="X248" s="62">
        <f t="shared" si="210"/>
        <v>-7500</v>
      </c>
      <c r="Y248" s="62">
        <f t="shared" si="211"/>
        <v>-7500</v>
      </c>
      <c r="Z248" s="62">
        <f t="shared" si="212"/>
        <v>-7500</v>
      </c>
      <c r="AA248" s="62">
        <f t="shared" si="213"/>
        <v>-7500</v>
      </c>
      <c r="AB248" s="62">
        <f t="shared" si="214"/>
        <v>-7500</v>
      </c>
      <c r="AC248" s="62">
        <f t="shared" si="215"/>
        <v>-7500</v>
      </c>
    </row>
    <row r="249" spans="1:44" x14ac:dyDescent="0.3">
      <c r="A249" s="30" t="str">
        <f t="shared" si="187"/>
        <v>WACC</v>
      </c>
      <c r="B249" s="62">
        <f t="shared" si="188"/>
        <v>0.06</v>
      </c>
      <c r="C249" s="62">
        <f t="shared" si="189"/>
        <v>0.06</v>
      </c>
      <c r="D249" s="62">
        <f t="shared" si="190"/>
        <v>0.06</v>
      </c>
      <c r="E249" s="62">
        <f t="shared" si="191"/>
        <v>0.06</v>
      </c>
      <c r="F249" s="62">
        <f t="shared" si="192"/>
        <v>0.06</v>
      </c>
      <c r="G249" s="62">
        <f t="shared" si="193"/>
        <v>0.06</v>
      </c>
      <c r="H249" s="62">
        <f t="shared" si="194"/>
        <v>0.06</v>
      </c>
      <c r="I249" s="62">
        <f t="shared" si="195"/>
        <v>0.06</v>
      </c>
      <c r="J249" s="62">
        <f t="shared" si="196"/>
        <v>0.06</v>
      </c>
      <c r="K249" s="62">
        <f t="shared" si="197"/>
        <v>0.06</v>
      </c>
      <c r="L249" s="62">
        <f t="shared" si="198"/>
        <v>0.06</v>
      </c>
      <c r="M249" s="62">
        <f t="shared" si="199"/>
        <v>0.06</v>
      </c>
      <c r="N249" s="62">
        <f t="shared" si="200"/>
        <v>0.06</v>
      </c>
      <c r="O249" s="62">
        <f t="shared" si="201"/>
        <v>0.06</v>
      </c>
      <c r="P249" s="62">
        <f t="shared" si="202"/>
        <v>0.06</v>
      </c>
      <c r="Q249" s="62">
        <f t="shared" si="203"/>
        <v>0.06</v>
      </c>
      <c r="R249" s="62">
        <f t="shared" si="204"/>
        <v>0.06</v>
      </c>
      <c r="S249" s="62">
        <f t="shared" si="205"/>
        <v>0.06</v>
      </c>
      <c r="T249" s="62">
        <f t="shared" si="206"/>
        <v>0.06</v>
      </c>
      <c r="U249" s="62">
        <f t="shared" si="207"/>
        <v>0.06</v>
      </c>
      <c r="V249" s="62">
        <f t="shared" si="208"/>
        <v>0.06</v>
      </c>
      <c r="W249" s="62">
        <f t="shared" si="209"/>
        <v>0.06</v>
      </c>
      <c r="X249" s="62">
        <f t="shared" si="210"/>
        <v>0.06</v>
      </c>
      <c r="Y249" s="62">
        <f t="shared" si="211"/>
        <v>0.06</v>
      </c>
      <c r="Z249" s="62">
        <f t="shared" si="212"/>
        <v>0.06</v>
      </c>
      <c r="AA249" s="62">
        <f t="shared" si="213"/>
        <v>0.06</v>
      </c>
      <c r="AB249" s="62">
        <f t="shared" si="214"/>
        <v>0.06</v>
      </c>
      <c r="AC249" s="62">
        <f t="shared" si="215"/>
        <v>0.06</v>
      </c>
    </row>
    <row r="250" spans="1:44" x14ac:dyDescent="0.3">
      <c r="A250" s="30" t="str">
        <f t="shared" si="187"/>
        <v>Opex fix (admin, crew, insurance)</v>
      </c>
      <c r="B250" s="62">
        <f t="shared" si="188"/>
        <v>70000</v>
      </c>
      <c r="C250" s="62">
        <f t="shared" si="189"/>
        <v>70000</v>
      </c>
      <c r="D250" s="62">
        <f t="shared" si="190"/>
        <v>70000</v>
      </c>
      <c r="E250" s="62">
        <f t="shared" si="191"/>
        <v>70000</v>
      </c>
      <c r="F250" s="62">
        <f t="shared" si="192"/>
        <v>70000</v>
      </c>
      <c r="G250" s="62">
        <f t="shared" si="193"/>
        <v>70000</v>
      </c>
      <c r="H250" s="62">
        <f t="shared" si="194"/>
        <v>70000</v>
      </c>
      <c r="I250" s="62">
        <f t="shared" si="195"/>
        <v>70000</v>
      </c>
      <c r="J250" s="62">
        <f t="shared" si="196"/>
        <v>70000</v>
      </c>
      <c r="K250" s="62">
        <f t="shared" si="197"/>
        <v>70000</v>
      </c>
      <c r="L250" s="62">
        <f t="shared" si="198"/>
        <v>70000</v>
      </c>
      <c r="M250" s="62">
        <f t="shared" si="199"/>
        <v>70000</v>
      </c>
      <c r="N250" s="62">
        <f t="shared" si="200"/>
        <v>70000</v>
      </c>
      <c r="O250" s="62">
        <f t="shared" si="201"/>
        <v>70000</v>
      </c>
      <c r="P250" s="62">
        <f t="shared" si="202"/>
        <v>70000</v>
      </c>
      <c r="Q250" s="62">
        <f t="shared" si="203"/>
        <v>70000</v>
      </c>
      <c r="R250" s="62">
        <f t="shared" si="204"/>
        <v>70000</v>
      </c>
      <c r="S250" s="62">
        <f t="shared" si="205"/>
        <v>70000</v>
      </c>
      <c r="T250" s="62">
        <f t="shared" si="206"/>
        <v>70000</v>
      </c>
      <c r="U250" s="62">
        <f t="shared" si="207"/>
        <v>70000</v>
      </c>
      <c r="V250" s="62">
        <f t="shared" si="208"/>
        <v>70000</v>
      </c>
      <c r="W250" s="62">
        <f t="shared" si="209"/>
        <v>70000</v>
      </c>
      <c r="X250" s="62">
        <f t="shared" si="210"/>
        <v>70000</v>
      </c>
      <c r="Y250" s="62">
        <f t="shared" si="211"/>
        <v>70000</v>
      </c>
      <c r="Z250" s="62">
        <f t="shared" si="212"/>
        <v>70000</v>
      </c>
      <c r="AA250" s="62">
        <f t="shared" si="213"/>
        <v>70000</v>
      </c>
      <c r="AB250" s="62">
        <f t="shared" si="214"/>
        <v>70000</v>
      </c>
      <c r="AC250" s="62">
        <f t="shared" si="215"/>
        <v>70000</v>
      </c>
    </row>
    <row r="251" spans="1:44" x14ac:dyDescent="0.3">
      <c r="A251" s="30" t="str">
        <f t="shared" si="187"/>
        <v>Opex maintenance &amp; repair</v>
      </c>
      <c r="B251" s="62">
        <f t="shared" si="188"/>
        <v>15000</v>
      </c>
      <c r="C251" s="62">
        <f t="shared" si="189"/>
        <v>15000</v>
      </c>
      <c r="D251" s="62">
        <f t="shared" si="190"/>
        <v>15000</v>
      </c>
      <c r="E251" s="62">
        <f t="shared" si="191"/>
        <v>15000</v>
      </c>
      <c r="F251" s="62">
        <f t="shared" si="192"/>
        <v>15000</v>
      </c>
      <c r="G251" s="62">
        <f t="shared" si="193"/>
        <v>15000</v>
      </c>
      <c r="H251" s="62">
        <f t="shared" si="194"/>
        <v>15000</v>
      </c>
      <c r="I251" s="62">
        <f t="shared" si="195"/>
        <v>15000</v>
      </c>
      <c r="J251" s="62">
        <f t="shared" si="196"/>
        <v>15000</v>
      </c>
      <c r="K251" s="62">
        <f t="shared" si="197"/>
        <v>15000</v>
      </c>
      <c r="L251" s="62">
        <f t="shared" si="198"/>
        <v>15000</v>
      </c>
      <c r="M251" s="62">
        <f t="shared" si="199"/>
        <v>15000</v>
      </c>
      <c r="N251" s="62">
        <f t="shared" si="200"/>
        <v>15000</v>
      </c>
      <c r="O251" s="62">
        <f t="shared" si="201"/>
        <v>15000</v>
      </c>
      <c r="P251" s="62">
        <f t="shared" si="202"/>
        <v>15000</v>
      </c>
      <c r="Q251" s="62">
        <f t="shared" si="203"/>
        <v>15000</v>
      </c>
      <c r="R251" s="62">
        <f t="shared" si="204"/>
        <v>15000</v>
      </c>
      <c r="S251" s="62">
        <f t="shared" si="205"/>
        <v>15000</v>
      </c>
      <c r="T251" s="62">
        <f t="shared" si="206"/>
        <v>15000</v>
      </c>
      <c r="U251" s="62">
        <f t="shared" si="207"/>
        <v>15000</v>
      </c>
      <c r="V251" s="62">
        <f t="shared" si="208"/>
        <v>15000</v>
      </c>
      <c r="W251" s="62">
        <f t="shared" si="209"/>
        <v>15000</v>
      </c>
      <c r="X251" s="62">
        <f t="shared" si="210"/>
        <v>15000</v>
      </c>
      <c r="Y251" s="62">
        <f t="shared" si="211"/>
        <v>15000</v>
      </c>
      <c r="Z251" s="62">
        <f t="shared" si="212"/>
        <v>15000</v>
      </c>
      <c r="AA251" s="62">
        <f t="shared" si="213"/>
        <v>15000</v>
      </c>
      <c r="AB251" s="62">
        <f t="shared" si="214"/>
        <v>15000</v>
      </c>
      <c r="AC251" s="62">
        <f t="shared" si="215"/>
        <v>15000</v>
      </c>
    </row>
    <row r="252" spans="1:44" x14ac:dyDescent="0.3">
      <c r="A252" s="30" t="str">
        <f t="shared" si="187"/>
        <v>Opex var (mode-fees)</v>
      </c>
      <c r="B252" s="62">
        <f t="shared" si="188"/>
        <v>0.11</v>
      </c>
      <c r="C252" s="62">
        <f t="shared" si="189"/>
        <v>0.11</v>
      </c>
      <c r="D252" s="62">
        <f t="shared" si="190"/>
        <v>0.11</v>
      </c>
      <c r="E252" s="62">
        <f t="shared" si="191"/>
        <v>0.11</v>
      </c>
      <c r="F252" s="62">
        <f t="shared" si="192"/>
        <v>0.11</v>
      </c>
      <c r="G252" s="62">
        <f t="shared" si="193"/>
        <v>0.11</v>
      </c>
      <c r="H252" s="62">
        <f t="shared" si="194"/>
        <v>0.11</v>
      </c>
      <c r="I252" s="62">
        <f t="shared" si="195"/>
        <v>0.11</v>
      </c>
      <c r="J252" s="62">
        <f t="shared" si="196"/>
        <v>0.11</v>
      </c>
      <c r="K252" s="62">
        <f t="shared" si="197"/>
        <v>0.11</v>
      </c>
      <c r="L252" s="62">
        <f t="shared" si="198"/>
        <v>0.11</v>
      </c>
      <c r="M252" s="62">
        <f t="shared" si="199"/>
        <v>0.11</v>
      </c>
      <c r="N252" s="62">
        <f t="shared" si="200"/>
        <v>0.11</v>
      </c>
      <c r="O252" s="62">
        <f t="shared" si="201"/>
        <v>0.11</v>
      </c>
      <c r="P252" s="62">
        <f t="shared" si="202"/>
        <v>0.11</v>
      </c>
      <c r="Q252" s="62">
        <f t="shared" si="203"/>
        <v>0.11</v>
      </c>
      <c r="R252" s="62">
        <f t="shared" si="204"/>
        <v>0.11</v>
      </c>
      <c r="S252" s="62">
        <f t="shared" si="205"/>
        <v>0.11</v>
      </c>
      <c r="T252" s="62">
        <f t="shared" si="206"/>
        <v>0.11</v>
      </c>
      <c r="U252" s="62">
        <f t="shared" si="207"/>
        <v>0.11</v>
      </c>
      <c r="V252" s="62">
        <f t="shared" si="208"/>
        <v>0.11</v>
      </c>
      <c r="W252" s="62">
        <f t="shared" si="209"/>
        <v>0.11</v>
      </c>
      <c r="X252" s="62">
        <f t="shared" si="210"/>
        <v>0.11</v>
      </c>
      <c r="Y252" s="62">
        <f t="shared" si="211"/>
        <v>0.11</v>
      </c>
      <c r="Z252" s="62">
        <f t="shared" si="212"/>
        <v>0.11</v>
      </c>
      <c r="AA252" s="62">
        <f t="shared" si="213"/>
        <v>0.11</v>
      </c>
      <c r="AB252" s="62">
        <f t="shared" si="214"/>
        <v>0.11</v>
      </c>
      <c r="AC252" s="62">
        <f t="shared" si="215"/>
        <v>0.11</v>
      </c>
    </row>
    <row r="253" spans="1:44" x14ac:dyDescent="0.3">
      <c r="A253" s="30" t="str">
        <f t="shared" si="187"/>
        <v>Fuel Economy</v>
      </c>
      <c r="B253" s="62">
        <f t="shared" si="188"/>
        <v>1.499963712475392</v>
      </c>
      <c r="C253" s="62">
        <f t="shared" si="189"/>
        <v>1.4917703325555236</v>
      </c>
      <c r="D253" s="62">
        <f t="shared" si="190"/>
        <v>1.4805375152003362</v>
      </c>
      <c r="E253" s="62">
        <f t="shared" si="191"/>
        <v>1.4654418123350099</v>
      </c>
      <c r="F253" s="62">
        <f t="shared" si="192"/>
        <v>1.4457088124147084</v>
      </c>
      <c r="G253" s="62">
        <f t="shared" si="193"/>
        <v>1.4208584343249755</v>
      </c>
      <c r="H253" s="62">
        <f t="shared" si="194"/>
        <v>1.3910386939475108</v>
      </c>
      <c r="I253" s="62">
        <f t="shared" si="195"/>
        <v>1.3573193171591433</v>
      </c>
      <c r="J253" s="62">
        <f t="shared" si="196"/>
        <v>1.3217219094307857</v>
      </c>
      <c r="K253" s="62">
        <f t="shared" si="197"/>
        <v>1.2868249921034385</v>
      </c>
      <c r="L253" s="62">
        <f t="shared" si="198"/>
        <v>1.2550576099577553</v>
      </c>
      <c r="M253" s="62">
        <f t="shared" si="199"/>
        <v>1.2280598588961356</v>
      </c>
      <c r="N253" s="62">
        <f t="shared" si="200"/>
        <v>1.2064394953190534</v>
      </c>
      <c r="O253" s="62">
        <f t="shared" si="201"/>
        <v>1.1899421983295269</v>
      </c>
      <c r="P253" s="62">
        <f t="shared" si="202"/>
        <v>1.1778153619570939</v>
      </c>
      <c r="Q253" s="62">
        <f t="shared" si="203"/>
        <v>1.1691448493856758</v>
      </c>
      <c r="R253" s="62">
        <f t="shared" si="204"/>
        <v>1.1630681005313779</v>
      </c>
      <c r="S253" s="62">
        <f t="shared" si="205"/>
        <v>1.1588686935668835</v>
      </c>
      <c r="T253" s="62">
        <f t="shared" si="206"/>
        <v>1.1559948301166041</v>
      </c>
      <c r="U253" s="62">
        <f t="shared" si="207"/>
        <v>1.1540412290087201</v>
      </c>
      <c r="V253" s="62">
        <f t="shared" si="208"/>
        <v>1.1527192488775253</v>
      </c>
      <c r="W253" s="62">
        <f t="shared" si="209"/>
        <v>1.151827439700847</v>
      </c>
      <c r="X253" s="62">
        <f t="shared" si="210"/>
        <v>1.1512270781932392</v>
      </c>
      <c r="Y253" s="62">
        <f t="shared" si="211"/>
        <v>1.150823485399427</v>
      </c>
      <c r="Z253" s="62">
        <f t="shared" si="212"/>
        <v>1.1505524266020779</v>
      </c>
      <c r="AA253" s="62">
        <f t="shared" si="213"/>
        <v>1.1503704951156655</v>
      </c>
      <c r="AB253" s="62">
        <f t="shared" si="214"/>
        <v>1.1502484368709109</v>
      </c>
      <c r="AC253" s="62">
        <f t="shared" si="215"/>
        <v>1.1501665711352707</v>
      </c>
    </row>
    <row r="254" spans="1:44" x14ac:dyDescent="0.3">
      <c r="A254" s="30" t="str">
        <f t="shared" si="187"/>
        <v>Fuel Cost</v>
      </c>
      <c r="B254" s="62">
        <f>$B234+($C234-$B234)*(1-Q234)</f>
        <v>9.2331951136741086E-2</v>
      </c>
      <c r="C254" s="62">
        <f>$B234+($C234-$B234)*(1-R234)</f>
        <v>9.2222956120974545E-2</v>
      </c>
      <c r="D254" s="62">
        <f>$B234+($C234-$B234)*(1-S234)</f>
        <v>9.2068198823216471E-2</v>
      </c>
      <c r="E254" s="62">
        <f t="shared" ref="E254:AC255" si="216">$B234+($C234-$B234)*(1-T234)</f>
        <v>9.1849464254062249E-2</v>
      </c>
      <c r="F254" s="62">
        <f t="shared" si="216"/>
        <v>9.1542364865268247E-2</v>
      </c>
      <c r="G254" s="62">
        <f t="shared" si="216"/>
        <v>9.1115385234314353E-2</v>
      </c>
      <c r="H254" s="62">
        <f t="shared" si="216"/>
        <v>9.0530012133616333E-2</v>
      </c>
      <c r="I254" s="62">
        <f t="shared" si="216"/>
        <v>8.9743333412323725E-2</v>
      </c>
      <c r="J254" s="62">
        <f t="shared" si="216"/>
        <v>8.8714992348442129E-2</v>
      </c>
      <c r="K254" s="62">
        <f t="shared" si="216"/>
        <v>8.7419970590682711E-2</v>
      </c>
      <c r="L254" s="62">
        <f t="shared" si="216"/>
        <v>8.5865981654976761E-2</v>
      </c>
      <c r="M254" s="62">
        <f t="shared" si="216"/>
        <v>8.4108771907851612E-2</v>
      </c>
      <c r="N254" s="62">
        <f t="shared" si="216"/>
        <v>8.2253692787461766E-2</v>
      </c>
      <c r="O254" s="62">
        <f t="shared" si="216"/>
        <v>8.0435118154333018E-2</v>
      </c>
      <c r="P254" s="62">
        <f t="shared" si="216"/>
        <v>7.8779632233065888E-2</v>
      </c>
      <c r="Q254" s="62">
        <f t="shared" si="216"/>
        <v>7.7372704945717463E-2</v>
      </c>
      <c r="R254" s="62">
        <f t="shared" si="216"/>
        <v>7.6246008154952791E-2</v>
      </c>
      <c r="S254" s="62">
        <f t="shared" si="216"/>
        <v>7.5386288497227227E-2</v>
      </c>
      <c r="T254" s="62">
        <f t="shared" si="216"/>
        <v>7.4754325599182742E-2</v>
      </c>
      <c r="U254" s="62">
        <f t="shared" si="216"/>
        <v>7.4302481269476042E-2</v>
      </c>
      <c r="V254" s="62">
        <f t="shared" si="216"/>
        <v>7.3985805122564349E-2</v>
      </c>
      <c r="W254" s="62">
        <f t="shared" si="216"/>
        <v>7.3766962440611206E-2</v>
      </c>
      <c r="X254" s="62">
        <f t="shared" si="216"/>
        <v>7.3617197488001537E-2</v>
      </c>
      <c r="Y254" s="62">
        <f t="shared" si="216"/>
        <v>7.3515389944810147E-2</v>
      </c>
      <c r="Z254" s="62">
        <f t="shared" si="216"/>
        <v>7.3446497913186276E-2</v>
      </c>
      <c r="AA254" s="62">
        <f t="shared" si="216"/>
        <v>7.3400023276728135E-2</v>
      </c>
      <c r="AB254" s="62">
        <f t="shared" si="216"/>
        <v>7.3368736782330912E-2</v>
      </c>
      <c r="AC254" s="62">
        <f t="shared" si="216"/>
        <v>7.3347704448441492E-2</v>
      </c>
    </row>
    <row r="255" spans="1:44" x14ac:dyDescent="0.3">
      <c r="A255" s="30" t="str">
        <f t="shared" ref="A255" si="217">A235</f>
        <v>Emission Cost</v>
      </c>
      <c r="B255" s="66">
        <f>$B235+($C235-$B235)*(1-Q235)</f>
        <v>3.5122691839304448E-3</v>
      </c>
      <c r="C255" s="66">
        <f t="shared" ref="C255" si="218">$B235+($C235-$B235)*(1-R235)</f>
        <v>3.5089246478970256E-3</v>
      </c>
      <c r="D255" s="66">
        <f t="shared" ref="D255" si="219">$B235+($C235-$B235)*(1-S235)</f>
        <v>3.5041370190587195E-3</v>
      </c>
      <c r="E255" s="66">
        <f t="shared" si="216"/>
        <v>3.4972879793244123E-3</v>
      </c>
      <c r="F255" s="66">
        <f t="shared" si="216"/>
        <v>3.4874991902284352E-3</v>
      </c>
      <c r="G255" s="66">
        <f t="shared" si="216"/>
        <v>3.4735284727434282E-3</v>
      </c>
      <c r="H255" s="66">
        <f t="shared" si="216"/>
        <v>3.4536307436526109E-3</v>
      </c>
      <c r="I255" s="66">
        <f t="shared" si="216"/>
        <v>3.4253788207186963E-3</v>
      </c>
      <c r="J255" s="66">
        <f t="shared" si="216"/>
        <v>3.3854474424880663E-3</v>
      </c>
      <c r="K255" s="66">
        <f t="shared" si="216"/>
        <v>3.3293845078740006E-3</v>
      </c>
      <c r="L255" s="66">
        <f t="shared" si="216"/>
        <v>3.251436677284981E-3</v>
      </c>
      <c r="M255" s="66">
        <f t="shared" si="216"/>
        <v>3.1445731175815781E-3</v>
      </c>
      <c r="N255" s="66">
        <f t="shared" si="216"/>
        <v>3.0009599443763112E-3</v>
      </c>
      <c r="O255" s="66">
        <f t="shared" si="216"/>
        <v>2.813229782972361E-3</v>
      </c>
      <c r="P255" s="66">
        <f t="shared" si="216"/>
        <v>2.5768153751997672E-3</v>
      </c>
      <c r="Q255" s="66">
        <f t="shared" si="216"/>
        <v>2.2931248721492917E-3</v>
      </c>
      <c r="R255" s="66">
        <f t="shared" si="216"/>
        <v>1.9723351254059053E-3</v>
      </c>
      <c r="S255" s="66">
        <f t="shared" si="216"/>
        <v>1.6336787059361244E-3</v>
      </c>
      <c r="T255" s="66">
        <f t="shared" si="216"/>
        <v>1.3016864113624426E-3</v>
      </c>
      <c r="U255" s="66">
        <f t="shared" si="216"/>
        <v>9.9946699203053851E-4</v>
      </c>
      <c r="V255" s="66">
        <f t="shared" si="216"/>
        <v>7.4262352247134438E-4</v>
      </c>
      <c r="W255" s="66">
        <f t="shared" si="216"/>
        <v>5.3693790141369664E-4</v>
      </c>
      <c r="X255" s="66">
        <f t="shared" si="216"/>
        <v>3.7999064356739184E-4</v>
      </c>
      <c r="Y255" s="66">
        <f t="shared" si="216"/>
        <v>2.646218218620832E-4</v>
      </c>
      <c r="Z255" s="66">
        <f t="shared" si="216"/>
        <v>1.8213478334480789E-4</v>
      </c>
      <c r="AA255" s="66">
        <f t="shared" si="216"/>
        <v>1.2432355100121771E-4</v>
      </c>
      <c r="AB255" s="66">
        <f t="shared" si="216"/>
        <v>8.4372436095756821E-5</v>
      </c>
      <c r="AC255" s="66">
        <f t="shared" si="216"/>
        <v>5.7031897325531943E-5</v>
      </c>
    </row>
    <row r="256" spans="1:44" x14ac:dyDescent="0.3">
      <c r="A256" s="30" t="str">
        <f>A236</f>
        <v>Lifetime vehicle</v>
      </c>
      <c r="B256" s="62">
        <f>$B236+($C236-$B236)*(1-Q236)</f>
        <v>8</v>
      </c>
      <c r="C256" s="62">
        <f t="shared" ref="C256:L258" si="220">$B236+($C236-$B236)*(1-R236)</f>
        <v>8</v>
      </c>
      <c r="D256" s="62">
        <f t="shared" si="220"/>
        <v>8</v>
      </c>
      <c r="E256" s="62">
        <f t="shared" si="220"/>
        <v>8</v>
      </c>
      <c r="F256" s="62">
        <f t="shared" si="220"/>
        <v>8</v>
      </c>
      <c r="G256" s="62">
        <f t="shared" si="220"/>
        <v>8</v>
      </c>
      <c r="H256" s="62">
        <f t="shared" si="220"/>
        <v>8</v>
      </c>
      <c r="I256" s="62">
        <f t="shared" si="220"/>
        <v>8</v>
      </c>
      <c r="J256" s="62">
        <f t="shared" si="220"/>
        <v>8</v>
      </c>
      <c r="K256" s="62">
        <f t="shared" si="220"/>
        <v>8</v>
      </c>
      <c r="L256" s="62">
        <f t="shared" si="220"/>
        <v>8</v>
      </c>
      <c r="M256" s="62">
        <f t="shared" ref="M256:V258" si="221">$B236+($C236-$B236)*(1-AB236)</f>
        <v>8</v>
      </c>
      <c r="N256" s="62">
        <f t="shared" si="221"/>
        <v>8</v>
      </c>
      <c r="O256" s="62">
        <f t="shared" si="221"/>
        <v>8</v>
      </c>
      <c r="P256" s="62">
        <f t="shared" si="221"/>
        <v>8</v>
      </c>
      <c r="Q256" s="62">
        <f t="shared" si="221"/>
        <v>8</v>
      </c>
      <c r="R256" s="62">
        <f t="shared" si="221"/>
        <v>8</v>
      </c>
      <c r="S256" s="62">
        <f t="shared" si="221"/>
        <v>8</v>
      </c>
      <c r="T256" s="62">
        <f t="shared" si="221"/>
        <v>8</v>
      </c>
      <c r="U256" s="62">
        <f t="shared" si="221"/>
        <v>8</v>
      </c>
      <c r="V256" s="62">
        <f t="shared" si="221"/>
        <v>8</v>
      </c>
      <c r="W256" s="62">
        <f t="shared" ref="W256:AC258" si="222">$B236+($C236-$B236)*(1-AL236)</f>
        <v>8</v>
      </c>
      <c r="X256" s="62">
        <f t="shared" si="222"/>
        <v>8</v>
      </c>
      <c r="Y256" s="62">
        <f t="shared" si="222"/>
        <v>8</v>
      </c>
      <c r="Z256" s="62">
        <f t="shared" si="222"/>
        <v>8</v>
      </c>
      <c r="AA256" s="62">
        <f t="shared" si="222"/>
        <v>8</v>
      </c>
      <c r="AB256" s="62">
        <f t="shared" si="222"/>
        <v>8</v>
      </c>
      <c r="AC256" s="62">
        <f t="shared" si="222"/>
        <v>8</v>
      </c>
    </row>
    <row r="257" spans="1:29" x14ac:dyDescent="0.3">
      <c r="A257" s="30" t="str">
        <f>A237</f>
        <v>Lifetime costumization</v>
      </c>
      <c r="B257" s="62">
        <f>$B237+($C237-$B237)*(1-Q237)</f>
        <v>10</v>
      </c>
      <c r="C257" s="62">
        <f t="shared" si="220"/>
        <v>10</v>
      </c>
      <c r="D257" s="62">
        <f t="shared" si="220"/>
        <v>10</v>
      </c>
      <c r="E257" s="62">
        <f t="shared" si="220"/>
        <v>10</v>
      </c>
      <c r="F257" s="62">
        <f t="shared" si="220"/>
        <v>10</v>
      </c>
      <c r="G257" s="62">
        <f t="shared" si="220"/>
        <v>10</v>
      </c>
      <c r="H257" s="62">
        <f t="shared" si="220"/>
        <v>10</v>
      </c>
      <c r="I257" s="62">
        <f t="shared" si="220"/>
        <v>10</v>
      </c>
      <c r="J257" s="62">
        <f t="shared" si="220"/>
        <v>10</v>
      </c>
      <c r="K257" s="62">
        <f t="shared" si="220"/>
        <v>10</v>
      </c>
      <c r="L257" s="62">
        <f t="shared" si="220"/>
        <v>10</v>
      </c>
      <c r="M257" s="62">
        <f t="shared" si="221"/>
        <v>10</v>
      </c>
      <c r="N257" s="62">
        <f t="shared" si="221"/>
        <v>10</v>
      </c>
      <c r="O257" s="62">
        <f t="shared" si="221"/>
        <v>10</v>
      </c>
      <c r="P257" s="62">
        <f t="shared" si="221"/>
        <v>10</v>
      </c>
      <c r="Q257" s="62">
        <f t="shared" si="221"/>
        <v>10</v>
      </c>
      <c r="R257" s="62">
        <f t="shared" si="221"/>
        <v>10</v>
      </c>
      <c r="S257" s="62">
        <f t="shared" si="221"/>
        <v>10</v>
      </c>
      <c r="T257" s="62">
        <f t="shared" si="221"/>
        <v>10</v>
      </c>
      <c r="U257" s="62">
        <f t="shared" si="221"/>
        <v>10</v>
      </c>
      <c r="V257" s="62">
        <f t="shared" si="221"/>
        <v>10</v>
      </c>
      <c r="W257" s="62">
        <f t="shared" si="222"/>
        <v>10</v>
      </c>
      <c r="X257" s="62">
        <f t="shared" si="222"/>
        <v>10</v>
      </c>
      <c r="Y257" s="62">
        <f t="shared" si="222"/>
        <v>10</v>
      </c>
      <c r="Z257" s="62">
        <f t="shared" si="222"/>
        <v>10</v>
      </c>
      <c r="AA257" s="62">
        <f t="shared" si="222"/>
        <v>10</v>
      </c>
      <c r="AB257" s="62">
        <f t="shared" si="222"/>
        <v>10</v>
      </c>
      <c r="AC257" s="62">
        <f t="shared" si="222"/>
        <v>10</v>
      </c>
    </row>
    <row r="258" spans="1:29" x14ac:dyDescent="0.3">
      <c r="A258" s="30" t="str">
        <f>A238</f>
        <v>Tonnage .</v>
      </c>
      <c r="B258" s="62">
        <f>$B238+($C238-$B238)*(1-Q238)</f>
        <v>25</v>
      </c>
      <c r="C258" s="62">
        <f t="shared" si="220"/>
        <v>25</v>
      </c>
      <c r="D258" s="62">
        <f t="shared" si="220"/>
        <v>25</v>
      </c>
      <c r="E258" s="62">
        <f t="shared" si="220"/>
        <v>25</v>
      </c>
      <c r="F258" s="62">
        <f t="shared" si="220"/>
        <v>25</v>
      </c>
      <c r="G258" s="62">
        <f t="shared" si="220"/>
        <v>25</v>
      </c>
      <c r="H258" s="62">
        <f t="shared" si="220"/>
        <v>25</v>
      </c>
      <c r="I258" s="62">
        <f t="shared" si="220"/>
        <v>25</v>
      </c>
      <c r="J258" s="62">
        <f t="shared" si="220"/>
        <v>25</v>
      </c>
      <c r="K258" s="62">
        <f t="shared" si="220"/>
        <v>25</v>
      </c>
      <c r="L258" s="62">
        <f t="shared" si="220"/>
        <v>25</v>
      </c>
      <c r="M258" s="62">
        <f t="shared" si="221"/>
        <v>25</v>
      </c>
      <c r="N258" s="62">
        <f t="shared" si="221"/>
        <v>25</v>
      </c>
      <c r="O258" s="62">
        <f t="shared" si="221"/>
        <v>25</v>
      </c>
      <c r="P258" s="62">
        <f t="shared" si="221"/>
        <v>25</v>
      </c>
      <c r="Q258" s="62">
        <f t="shared" si="221"/>
        <v>25</v>
      </c>
      <c r="R258" s="62">
        <f t="shared" si="221"/>
        <v>25</v>
      </c>
      <c r="S258" s="62">
        <f t="shared" si="221"/>
        <v>25</v>
      </c>
      <c r="T258" s="62">
        <f t="shared" si="221"/>
        <v>25</v>
      </c>
      <c r="U258" s="62">
        <f t="shared" si="221"/>
        <v>25</v>
      </c>
      <c r="V258" s="62">
        <f t="shared" si="221"/>
        <v>25</v>
      </c>
      <c r="W258" s="62">
        <f t="shared" si="222"/>
        <v>25</v>
      </c>
      <c r="X258" s="62">
        <f t="shared" si="222"/>
        <v>25</v>
      </c>
      <c r="Y258" s="62">
        <f t="shared" si="222"/>
        <v>25</v>
      </c>
      <c r="Z258" s="62">
        <f t="shared" si="222"/>
        <v>25</v>
      </c>
      <c r="AA258" s="62">
        <f t="shared" si="222"/>
        <v>25</v>
      </c>
      <c r="AB258" s="62">
        <f t="shared" si="222"/>
        <v>25</v>
      </c>
      <c r="AC258" s="62">
        <f t="shared" si="222"/>
        <v>25</v>
      </c>
    </row>
    <row r="259" spans="1:29" x14ac:dyDescent="0.3">
      <c r="A259" s="30" t="str">
        <f>A239</f>
        <v>Market failure (av. utilization)</v>
      </c>
      <c r="B259" s="62">
        <f t="shared" ref="B259:K260" si="223">($B239+($C239-$B239)*(1-Q239))*B$44</f>
        <v>11.5</v>
      </c>
      <c r="C259" s="62">
        <f t="shared" si="223"/>
        <v>11.5</v>
      </c>
      <c r="D259" s="62">
        <f t="shared" si="223"/>
        <v>11.5</v>
      </c>
      <c r="E259" s="62">
        <f t="shared" si="223"/>
        <v>11.5</v>
      </c>
      <c r="F259" s="62">
        <f t="shared" si="223"/>
        <v>11.5</v>
      </c>
      <c r="G259" s="62">
        <f t="shared" si="223"/>
        <v>11.5</v>
      </c>
      <c r="H259" s="62">
        <f t="shared" si="223"/>
        <v>11.5</v>
      </c>
      <c r="I259" s="62">
        <f t="shared" si="223"/>
        <v>11.5</v>
      </c>
      <c r="J259" s="62">
        <f t="shared" si="223"/>
        <v>11.5</v>
      </c>
      <c r="K259" s="62">
        <f t="shared" si="223"/>
        <v>11.5</v>
      </c>
      <c r="L259" s="62">
        <f t="shared" ref="L259:U260" si="224">($B239+($C239-$B239)*(1-AA239))*L$44</f>
        <v>11.5</v>
      </c>
      <c r="M259" s="62">
        <f t="shared" si="224"/>
        <v>11.5</v>
      </c>
      <c r="N259" s="62">
        <f t="shared" si="224"/>
        <v>11.5</v>
      </c>
      <c r="O259" s="62">
        <f t="shared" si="224"/>
        <v>11.5</v>
      </c>
      <c r="P259" s="62">
        <f t="shared" si="224"/>
        <v>11.5</v>
      </c>
      <c r="Q259" s="62">
        <f t="shared" si="224"/>
        <v>11.5</v>
      </c>
      <c r="R259" s="62">
        <f t="shared" si="224"/>
        <v>11.5</v>
      </c>
      <c r="S259" s="62">
        <f t="shared" si="224"/>
        <v>11.5</v>
      </c>
      <c r="T259" s="62">
        <f t="shared" si="224"/>
        <v>11.5</v>
      </c>
      <c r="U259" s="62">
        <f t="shared" si="224"/>
        <v>11.5</v>
      </c>
      <c r="V259" s="62">
        <f t="shared" ref="V259:AC260" si="225">($B239+($C239-$B239)*(1-AK239))*V$44</f>
        <v>11.5</v>
      </c>
      <c r="W259" s="62">
        <f t="shared" si="225"/>
        <v>11.5</v>
      </c>
      <c r="X259" s="62">
        <f t="shared" si="225"/>
        <v>11.5</v>
      </c>
      <c r="Y259" s="62">
        <f t="shared" si="225"/>
        <v>11.5</v>
      </c>
      <c r="Z259" s="62">
        <f t="shared" si="225"/>
        <v>11.5</v>
      </c>
      <c r="AA259" s="62">
        <f t="shared" si="225"/>
        <v>11.5</v>
      </c>
      <c r="AB259" s="62">
        <f t="shared" si="225"/>
        <v>11.5</v>
      </c>
      <c r="AC259" s="62">
        <f t="shared" si="225"/>
        <v>11.5</v>
      </c>
    </row>
    <row r="260" spans="1:29" x14ac:dyDescent="0.3">
      <c r="A260" s="30" t="s">
        <v>73</v>
      </c>
      <c r="B260" s="62">
        <f t="shared" si="223"/>
        <v>2.4834973269685467</v>
      </c>
      <c r="C260" s="62">
        <f t="shared" si="223"/>
        <v>2.4764313720357283</v>
      </c>
      <c r="D260" s="62">
        <f t="shared" si="223"/>
        <v>2.4663987289484006</v>
      </c>
      <c r="E260" s="62">
        <f t="shared" si="223"/>
        <v>2.4522185520199096</v>
      </c>
      <c r="F260" s="62">
        <f t="shared" si="223"/>
        <v>2.4323098394438922</v>
      </c>
      <c r="G260" s="62">
        <f t="shared" si="223"/>
        <v>2.4046295018767689</v>
      </c>
      <c r="H260" s="62">
        <f t="shared" si="223"/>
        <v>2.3666807945957307</v>
      </c>
      <c r="I260" s="62">
        <f t="shared" si="223"/>
        <v>2.3156817984290878</v>
      </c>
      <c r="J260" s="62">
        <f t="shared" si="223"/>
        <v>2.2490162581577988</v>
      </c>
      <c r="K260" s="62">
        <f t="shared" si="223"/>
        <v>2.1650622781249176</v>
      </c>
      <c r="L260" s="62">
        <f t="shared" si="224"/>
        <v>2.0643199119848337</v>
      </c>
      <c r="M260" s="62">
        <f t="shared" si="224"/>
        <v>1.9504030985106198</v>
      </c>
      <c r="N260" s="62">
        <f t="shared" si="224"/>
        <v>1.8301415859148171</v>
      </c>
      <c r="O260" s="62">
        <f t="shared" si="224"/>
        <v>1.7122465949440495</v>
      </c>
      <c r="P260" s="62">
        <f t="shared" si="224"/>
        <v>1.6049243579653898</v>
      </c>
      <c r="Q260" s="62">
        <f t="shared" si="224"/>
        <v>1.5137157395139718</v>
      </c>
      <c r="R260" s="62">
        <f t="shared" si="224"/>
        <v>1.4406739706724776</v>
      </c>
      <c r="S260" s="62">
        <f t="shared" si="224"/>
        <v>1.3849398592213749</v>
      </c>
      <c r="T260" s="62">
        <f t="shared" si="224"/>
        <v>1.3439708174226148</v>
      </c>
      <c r="U260" s="62">
        <f t="shared" si="224"/>
        <v>1.3146785452218777</v>
      </c>
      <c r="V260" s="62">
        <f t="shared" si="225"/>
        <v>1.2941489882816826</v>
      </c>
      <c r="W260" s="62">
        <f t="shared" si="225"/>
        <v>1.2799618025908228</v>
      </c>
      <c r="X260" s="62">
        <f t="shared" si="225"/>
        <v>1.2702528044479873</v>
      </c>
      <c r="Y260" s="62">
        <f t="shared" si="225"/>
        <v>1.2636528007051355</v>
      </c>
      <c r="Z260" s="62">
        <f t="shared" si="225"/>
        <v>1.2591866516132615</v>
      </c>
      <c r="AA260" s="62">
        <f t="shared" si="225"/>
        <v>1.2561737827731323</v>
      </c>
      <c r="AB260" s="62">
        <f t="shared" si="225"/>
        <v>1.2541455344366195</v>
      </c>
      <c r="AC260" s="62">
        <f t="shared" si="225"/>
        <v>1.2527820452683351</v>
      </c>
    </row>
    <row r="261" spans="1:29" x14ac:dyDescent="0.3">
      <c r="A261" s="30" t="str">
        <f>A241</f>
        <v>Annual Mileage</v>
      </c>
      <c r="B261" s="62">
        <f t="shared" ref="B261:AC261" si="226">$B241+($C241-$B241)*(1-Q241)</f>
        <v>105000</v>
      </c>
      <c r="C261" s="62">
        <f t="shared" si="226"/>
        <v>105000</v>
      </c>
      <c r="D261" s="62">
        <f t="shared" si="226"/>
        <v>105000</v>
      </c>
      <c r="E261" s="62">
        <f t="shared" si="226"/>
        <v>105000</v>
      </c>
      <c r="F261" s="62">
        <f t="shared" si="226"/>
        <v>105000</v>
      </c>
      <c r="G261" s="62">
        <f t="shared" si="226"/>
        <v>105000</v>
      </c>
      <c r="H261" s="62">
        <f t="shared" si="226"/>
        <v>105000</v>
      </c>
      <c r="I261" s="62">
        <f t="shared" si="226"/>
        <v>105000</v>
      </c>
      <c r="J261" s="62">
        <f t="shared" si="226"/>
        <v>105000</v>
      </c>
      <c r="K261" s="62">
        <f t="shared" si="226"/>
        <v>105000</v>
      </c>
      <c r="L261" s="62">
        <f t="shared" si="226"/>
        <v>105000</v>
      </c>
      <c r="M261" s="62">
        <f t="shared" si="226"/>
        <v>105000</v>
      </c>
      <c r="N261" s="62">
        <f t="shared" si="226"/>
        <v>105000</v>
      </c>
      <c r="O261" s="62">
        <f t="shared" si="226"/>
        <v>105000</v>
      </c>
      <c r="P261" s="62">
        <f t="shared" si="226"/>
        <v>105000</v>
      </c>
      <c r="Q261" s="62">
        <f t="shared" si="226"/>
        <v>105000</v>
      </c>
      <c r="R261" s="62">
        <f t="shared" si="226"/>
        <v>105000</v>
      </c>
      <c r="S261" s="62">
        <f t="shared" si="226"/>
        <v>105000</v>
      </c>
      <c r="T261" s="62">
        <f t="shared" si="226"/>
        <v>105000</v>
      </c>
      <c r="U261" s="62">
        <f t="shared" si="226"/>
        <v>105000</v>
      </c>
      <c r="V261" s="62">
        <f t="shared" si="226"/>
        <v>105000</v>
      </c>
      <c r="W261" s="62">
        <f t="shared" si="226"/>
        <v>105000</v>
      </c>
      <c r="X261" s="62">
        <f t="shared" si="226"/>
        <v>105000</v>
      </c>
      <c r="Y261" s="62">
        <f t="shared" si="226"/>
        <v>105000</v>
      </c>
      <c r="Z261" s="62">
        <f t="shared" si="226"/>
        <v>105000</v>
      </c>
      <c r="AA261" s="62">
        <f t="shared" si="226"/>
        <v>105000</v>
      </c>
      <c r="AB261" s="62">
        <f t="shared" si="226"/>
        <v>105000</v>
      </c>
      <c r="AC261" s="62">
        <f t="shared" si="226"/>
        <v>105000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62190.665101367747</v>
      </c>
      <c r="C264" s="63">
        <f t="shared" ref="C264:AC264" si="227">((1+C249)^C256)*C249/(((1+C249)^C256)-1)*(C245)</f>
        <v>61281.329133767969</v>
      </c>
      <c r="D264" s="63">
        <f t="shared" si="227"/>
        <v>60034.66354051487</v>
      </c>
      <c r="E264" s="63">
        <f t="shared" si="227"/>
        <v>58359.278570466915</v>
      </c>
      <c r="F264" s="63">
        <f t="shared" si="227"/>
        <v>56169.226754041214</v>
      </c>
      <c r="G264" s="63">
        <f t="shared" si="227"/>
        <v>53411.226658055137</v>
      </c>
      <c r="H264" s="63">
        <f t="shared" si="227"/>
        <v>50101.705711276991</v>
      </c>
      <c r="I264" s="63">
        <f t="shared" si="227"/>
        <v>46359.3866172536</v>
      </c>
      <c r="J264" s="63">
        <f t="shared" si="227"/>
        <v>42408.635704041997</v>
      </c>
      <c r="K264" s="63">
        <f t="shared" si="227"/>
        <v>38535.628179130072</v>
      </c>
      <c r="L264" s="63">
        <f t="shared" si="227"/>
        <v>35009.949708941356</v>
      </c>
      <c r="M264" s="63">
        <f t="shared" si="227"/>
        <v>32013.625075549993</v>
      </c>
      <c r="N264" s="63">
        <f t="shared" si="227"/>
        <v>29614.105655542335</v>
      </c>
      <c r="O264" s="63">
        <f t="shared" si="227"/>
        <v>27783.165839804766</v>
      </c>
      <c r="P264" s="63">
        <f t="shared" si="227"/>
        <v>26437.27823365216</v>
      </c>
      <c r="Q264" s="63">
        <f t="shared" si="227"/>
        <v>25474.988065757298</v>
      </c>
      <c r="R264" s="63">
        <f t="shared" si="227"/>
        <v>24800.564768738692</v>
      </c>
      <c r="S264" s="63">
        <f t="shared" si="227"/>
        <v>24334.496817203359</v>
      </c>
      <c r="T264" s="63">
        <f t="shared" si="227"/>
        <v>24015.543292910865</v>
      </c>
      <c r="U264" s="63">
        <f t="shared" si="227"/>
        <v>23798.724376771759</v>
      </c>
      <c r="V264" s="63">
        <f t="shared" si="227"/>
        <v>23652.005428852281</v>
      </c>
      <c r="W264" s="63">
        <f t="shared" si="227"/>
        <v>23553.028673408226</v>
      </c>
      <c r="X264" s="63">
        <f t="shared" si="227"/>
        <v>23486.398013318085</v>
      </c>
      <c r="Y264" s="63">
        <f t="shared" si="227"/>
        <v>23441.605577563019</v>
      </c>
      <c r="Z264" s="63">
        <f t="shared" si="227"/>
        <v>23411.522325452843</v>
      </c>
      <c r="AA264" s="63">
        <f t="shared" si="227"/>
        <v>23391.330799385243</v>
      </c>
      <c r="AB264" s="63">
        <f t="shared" si="227"/>
        <v>23377.784258985215</v>
      </c>
      <c r="AC264" s="63">
        <f t="shared" si="227"/>
        <v>23368.698453290883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-9455.0461314377717</v>
      </c>
      <c r="C265" s="62">
        <f t="shared" ref="C265:AC265" si="228">((1+C249)^C256)*C249/(((1+C249)^C256)-1)*(C246)</f>
        <v>-9370.3530756319105</v>
      </c>
      <c r="D265" s="62">
        <f t="shared" si="228"/>
        <v>-9254.2420644955928</v>
      </c>
      <c r="E265" s="62">
        <f t="shared" si="228"/>
        <v>-9098.2013074813221</v>
      </c>
      <c r="F265" s="62">
        <f t="shared" si="228"/>
        <v>-8894.2258932063796</v>
      </c>
      <c r="G265" s="62">
        <f t="shared" si="228"/>
        <v>-8637.353335246893</v>
      </c>
      <c r="H265" s="62">
        <f t="shared" si="228"/>
        <v>-8329.1136392234366</v>
      </c>
      <c r="I265" s="62">
        <f t="shared" si="228"/>
        <v>-7980.5643118389062</v>
      </c>
      <c r="J265" s="62">
        <f t="shared" si="228"/>
        <v>-7612.6022169809621</v>
      </c>
      <c r="K265" s="62">
        <f t="shared" si="228"/>
        <v>-7251.8809278960271</v>
      </c>
      <c r="L265" s="62">
        <f t="shared" si="228"/>
        <v>-6923.5089135157077</v>
      </c>
      <c r="M265" s="62">
        <f t="shared" si="228"/>
        <v>-6644.4394623665112</v>
      </c>
      <c r="N265" s="62">
        <f t="shared" si="228"/>
        <v>-6420.9548105030526</v>
      </c>
      <c r="O265" s="62">
        <f t="shared" si="228"/>
        <v>-6250.4261021745533</v>
      </c>
      <c r="P265" s="62">
        <f t="shared" si="228"/>
        <v>-6125.0738251309276</v>
      </c>
      <c r="Q265" s="62">
        <f t="shared" si="228"/>
        <v>-6035.4487604740543</v>
      </c>
      <c r="R265" s="62">
        <f t="shared" si="228"/>
        <v>-5972.6348259478109</v>
      </c>
      <c r="S265" s="62">
        <f t="shared" si="228"/>
        <v>-5929.226536344031</v>
      </c>
      <c r="T265" s="62">
        <f t="shared" si="228"/>
        <v>-5899.5200806501216</v>
      </c>
      <c r="U265" s="62">
        <f t="shared" si="228"/>
        <v>-5879.3261619901059</v>
      </c>
      <c r="V265" s="62">
        <f t="shared" si="228"/>
        <v>-5865.6611619387841</v>
      </c>
      <c r="W265" s="62">
        <f t="shared" si="228"/>
        <v>-5856.442738637621</v>
      </c>
      <c r="X265" s="62">
        <f t="shared" si="228"/>
        <v>-5850.2369418645203</v>
      </c>
      <c r="Y265" s="62">
        <f t="shared" si="228"/>
        <v>-5846.0650973579204</v>
      </c>
      <c r="Z265" s="62">
        <f t="shared" si="228"/>
        <v>-5843.2632258378535</v>
      </c>
      <c r="AA265" s="62">
        <f t="shared" si="228"/>
        <v>-5841.3826425276375</v>
      </c>
      <c r="AB265" s="62">
        <f t="shared" si="228"/>
        <v>-5840.1209549413597</v>
      </c>
      <c r="AC265" s="62">
        <f t="shared" si="228"/>
        <v>-5839.2747279404175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4076.0387466115117</v>
      </c>
      <c r="C266" s="62">
        <f t="shared" ref="C266:AC266" si="229">((1+C249)^C257)*C249/(((1+C249)^C257)-1)*(C247)</f>
        <v>4076.0387466115117</v>
      </c>
      <c r="D266" s="62">
        <f t="shared" si="229"/>
        <v>4076.0387466115117</v>
      </c>
      <c r="E266" s="62">
        <f t="shared" si="229"/>
        <v>4076.0387466115117</v>
      </c>
      <c r="F266" s="62">
        <f t="shared" si="229"/>
        <v>4076.0387466115117</v>
      </c>
      <c r="G266" s="62">
        <f t="shared" si="229"/>
        <v>4076.0387466115117</v>
      </c>
      <c r="H266" s="62">
        <f t="shared" si="229"/>
        <v>4076.0387466115117</v>
      </c>
      <c r="I266" s="62">
        <f t="shared" si="229"/>
        <v>4076.0387466115117</v>
      </c>
      <c r="J266" s="62">
        <f t="shared" si="229"/>
        <v>4076.0387466115117</v>
      </c>
      <c r="K266" s="62">
        <f t="shared" si="229"/>
        <v>4076.0387466115117</v>
      </c>
      <c r="L266" s="62">
        <f t="shared" si="229"/>
        <v>4076.0387466115117</v>
      </c>
      <c r="M266" s="62">
        <f t="shared" si="229"/>
        <v>4076.0387466115117</v>
      </c>
      <c r="N266" s="62">
        <f t="shared" si="229"/>
        <v>4076.0387466115117</v>
      </c>
      <c r="O266" s="62">
        <f t="shared" si="229"/>
        <v>4076.0387466115117</v>
      </c>
      <c r="P266" s="62">
        <f t="shared" si="229"/>
        <v>4076.0387466115117</v>
      </c>
      <c r="Q266" s="62">
        <f t="shared" si="229"/>
        <v>4076.0387466115117</v>
      </c>
      <c r="R266" s="62">
        <f t="shared" si="229"/>
        <v>4076.0387466115117</v>
      </c>
      <c r="S266" s="62">
        <f t="shared" si="229"/>
        <v>4076.0387466115117</v>
      </c>
      <c r="T266" s="62">
        <f t="shared" si="229"/>
        <v>4076.0387466115117</v>
      </c>
      <c r="U266" s="62">
        <f t="shared" si="229"/>
        <v>4076.0387466115117</v>
      </c>
      <c r="V266" s="62">
        <f t="shared" si="229"/>
        <v>4076.0387466115117</v>
      </c>
      <c r="W266" s="62">
        <f t="shared" si="229"/>
        <v>4076.0387466115117</v>
      </c>
      <c r="X266" s="62">
        <f t="shared" si="229"/>
        <v>4076.0387466115117</v>
      </c>
      <c r="Y266" s="62">
        <f t="shared" si="229"/>
        <v>4076.0387466115117</v>
      </c>
      <c r="Z266" s="62">
        <f t="shared" si="229"/>
        <v>4076.0387466115117</v>
      </c>
      <c r="AA266" s="62">
        <f t="shared" si="229"/>
        <v>4076.0387466115117</v>
      </c>
      <c r="AB266" s="62">
        <f t="shared" si="229"/>
        <v>4076.0387466115117</v>
      </c>
      <c r="AC266" s="62">
        <f t="shared" si="229"/>
        <v>4076.0387466115117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-1019.0096866528779</v>
      </c>
      <c r="C267" s="62">
        <f t="shared" ref="C267:AC267" si="230">((1+C249)^C257)*C249/(((1+C249)^C257)-1)*(C248)</f>
        <v>-1019.0096866528779</v>
      </c>
      <c r="D267" s="62">
        <f t="shared" si="230"/>
        <v>-1019.0096866528779</v>
      </c>
      <c r="E267" s="62">
        <f t="shared" si="230"/>
        <v>-1019.0096866528779</v>
      </c>
      <c r="F267" s="62">
        <f t="shared" si="230"/>
        <v>-1019.0096866528779</v>
      </c>
      <c r="G267" s="62">
        <f t="shared" si="230"/>
        <v>-1019.0096866528779</v>
      </c>
      <c r="H267" s="62">
        <f t="shared" si="230"/>
        <v>-1019.0096866528779</v>
      </c>
      <c r="I267" s="62">
        <f t="shared" si="230"/>
        <v>-1019.0096866528779</v>
      </c>
      <c r="J267" s="62">
        <f t="shared" si="230"/>
        <v>-1019.0096866528779</v>
      </c>
      <c r="K267" s="62">
        <f t="shared" si="230"/>
        <v>-1019.0096866528779</v>
      </c>
      <c r="L267" s="62">
        <f t="shared" si="230"/>
        <v>-1019.0096866528779</v>
      </c>
      <c r="M267" s="62">
        <f t="shared" si="230"/>
        <v>-1019.0096866528779</v>
      </c>
      <c r="N267" s="62">
        <f t="shared" si="230"/>
        <v>-1019.0096866528779</v>
      </c>
      <c r="O267" s="62">
        <f t="shared" si="230"/>
        <v>-1019.0096866528779</v>
      </c>
      <c r="P267" s="62">
        <f t="shared" si="230"/>
        <v>-1019.0096866528779</v>
      </c>
      <c r="Q267" s="62">
        <f t="shared" si="230"/>
        <v>-1019.0096866528779</v>
      </c>
      <c r="R267" s="62">
        <f t="shared" si="230"/>
        <v>-1019.0096866528779</v>
      </c>
      <c r="S267" s="62">
        <f t="shared" si="230"/>
        <v>-1019.0096866528779</v>
      </c>
      <c r="T267" s="62">
        <f t="shared" si="230"/>
        <v>-1019.0096866528779</v>
      </c>
      <c r="U267" s="62">
        <f t="shared" si="230"/>
        <v>-1019.0096866528779</v>
      </c>
      <c r="V267" s="62">
        <f t="shared" si="230"/>
        <v>-1019.0096866528779</v>
      </c>
      <c r="W267" s="62">
        <f t="shared" si="230"/>
        <v>-1019.0096866528779</v>
      </c>
      <c r="X267" s="62">
        <f t="shared" si="230"/>
        <v>-1019.0096866528779</v>
      </c>
      <c r="Y267" s="62">
        <f t="shared" si="230"/>
        <v>-1019.0096866528779</v>
      </c>
      <c r="Z267" s="62">
        <f t="shared" si="230"/>
        <v>-1019.0096866528779</v>
      </c>
      <c r="AA267" s="62">
        <f t="shared" si="230"/>
        <v>-1019.0096866528779</v>
      </c>
      <c r="AB267" s="62">
        <f t="shared" si="230"/>
        <v>-1019.0096866528779</v>
      </c>
      <c r="AC267" s="62">
        <f t="shared" si="230"/>
        <v>-1019.0096866528779</v>
      </c>
    </row>
    <row r="268" spans="1:29" x14ac:dyDescent="0.3">
      <c r="A268" s="30" t="str">
        <f t="shared" ref="A268:AC268" si="231">A250</f>
        <v>Opex fix (admin, crew, insurance)</v>
      </c>
      <c r="B268" s="62">
        <f t="shared" si="231"/>
        <v>70000</v>
      </c>
      <c r="C268" s="62">
        <f t="shared" si="231"/>
        <v>70000</v>
      </c>
      <c r="D268" s="62">
        <f t="shared" si="231"/>
        <v>70000</v>
      </c>
      <c r="E268" s="62">
        <f t="shared" si="231"/>
        <v>70000</v>
      </c>
      <c r="F268" s="62">
        <f t="shared" si="231"/>
        <v>70000</v>
      </c>
      <c r="G268" s="62">
        <f t="shared" si="231"/>
        <v>70000</v>
      </c>
      <c r="H268" s="62">
        <f t="shared" si="231"/>
        <v>70000</v>
      </c>
      <c r="I268" s="62">
        <f t="shared" si="231"/>
        <v>70000</v>
      </c>
      <c r="J268" s="62">
        <f t="shared" si="231"/>
        <v>70000</v>
      </c>
      <c r="K268" s="62">
        <f t="shared" si="231"/>
        <v>70000</v>
      </c>
      <c r="L268" s="62">
        <f t="shared" si="231"/>
        <v>70000</v>
      </c>
      <c r="M268" s="62">
        <f t="shared" si="231"/>
        <v>70000</v>
      </c>
      <c r="N268" s="62">
        <f t="shared" si="231"/>
        <v>70000</v>
      </c>
      <c r="O268" s="62">
        <f t="shared" si="231"/>
        <v>70000</v>
      </c>
      <c r="P268" s="62">
        <f t="shared" si="231"/>
        <v>70000</v>
      </c>
      <c r="Q268" s="62">
        <f t="shared" si="231"/>
        <v>70000</v>
      </c>
      <c r="R268" s="62">
        <f t="shared" si="231"/>
        <v>70000</v>
      </c>
      <c r="S268" s="62">
        <f t="shared" si="231"/>
        <v>70000</v>
      </c>
      <c r="T268" s="62">
        <f t="shared" si="231"/>
        <v>70000</v>
      </c>
      <c r="U268" s="62">
        <f t="shared" si="231"/>
        <v>70000</v>
      </c>
      <c r="V268" s="62">
        <f t="shared" si="231"/>
        <v>70000</v>
      </c>
      <c r="W268" s="62">
        <f t="shared" si="231"/>
        <v>70000</v>
      </c>
      <c r="X268" s="62">
        <f t="shared" si="231"/>
        <v>70000</v>
      </c>
      <c r="Y268" s="62">
        <f t="shared" si="231"/>
        <v>70000</v>
      </c>
      <c r="Z268" s="62">
        <f t="shared" si="231"/>
        <v>70000</v>
      </c>
      <c r="AA268" s="62">
        <f t="shared" si="231"/>
        <v>70000</v>
      </c>
      <c r="AB268" s="62">
        <f t="shared" si="231"/>
        <v>70000</v>
      </c>
      <c r="AC268" s="62">
        <f t="shared" si="231"/>
        <v>70000</v>
      </c>
    </row>
    <row r="269" spans="1:29" x14ac:dyDescent="0.3">
      <c r="A269" s="30" t="str">
        <f t="shared" ref="A269:AC269" si="232">A251</f>
        <v>Opex maintenance &amp; repair</v>
      </c>
      <c r="B269" s="62">
        <f t="shared" si="232"/>
        <v>15000</v>
      </c>
      <c r="C269" s="62">
        <f t="shared" si="232"/>
        <v>15000</v>
      </c>
      <c r="D269" s="62">
        <f t="shared" si="232"/>
        <v>15000</v>
      </c>
      <c r="E269" s="62">
        <f t="shared" si="232"/>
        <v>15000</v>
      </c>
      <c r="F269" s="62">
        <f t="shared" si="232"/>
        <v>15000</v>
      </c>
      <c r="G269" s="62">
        <f t="shared" si="232"/>
        <v>15000</v>
      </c>
      <c r="H269" s="62">
        <f t="shared" si="232"/>
        <v>15000</v>
      </c>
      <c r="I269" s="62">
        <f t="shared" si="232"/>
        <v>15000</v>
      </c>
      <c r="J269" s="62">
        <f t="shared" si="232"/>
        <v>15000</v>
      </c>
      <c r="K269" s="62">
        <f t="shared" si="232"/>
        <v>15000</v>
      </c>
      <c r="L269" s="62">
        <f t="shared" si="232"/>
        <v>15000</v>
      </c>
      <c r="M269" s="62">
        <f t="shared" si="232"/>
        <v>15000</v>
      </c>
      <c r="N269" s="62">
        <f t="shared" si="232"/>
        <v>15000</v>
      </c>
      <c r="O269" s="62">
        <f t="shared" si="232"/>
        <v>15000</v>
      </c>
      <c r="P269" s="62">
        <f t="shared" si="232"/>
        <v>15000</v>
      </c>
      <c r="Q269" s="62">
        <f t="shared" si="232"/>
        <v>15000</v>
      </c>
      <c r="R269" s="62">
        <f t="shared" si="232"/>
        <v>15000</v>
      </c>
      <c r="S269" s="62">
        <f t="shared" si="232"/>
        <v>15000</v>
      </c>
      <c r="T269" s="62">
        <f t="shared" si="232"/>
        <v>15000</v>
      </c>
      <c r="U269" s="62">
        <f t="shared" si="232"/>
        <v>15000</v>
      </c>
      <c r="V269" s="62">
        <f t="shared" si="232"/>
        <v>15000</v>
      </c>
      <c r="W269" s="62">
        <f t="shared" si="232"/>
        <v>15000</v>
      </c>
      <c r="X269" s="62">
        <f t="shared" si="232"/>
        <v>15000</v>
      </c>
      <c r="Y269" s="62">
        <f t="shared" si="232"/>
        <v>15000</v>
      </c>
      <c r="Z269" s="62">
        <f t="shared" si="232"/>
        <v>15000</v>
      </c>
      <c r="AA269" s="62">
        <f t="shared" si="232"/>
        <v>15000</v>
      </c>
      <c r="AB269" s="62">
        <f t="shared" si="232"/>
        <v>15000</v>
      </c>
      <c r="AC269" s="62">
        <f t="shared" si="232"/>
        <v>15000</v>
      </c>
    </row>
    <row r="270" spans="1:29" x14ac:dyDescent="0.3">
      <c r="A270" s="30" t="str">
        <f>A252</f>
        <v>Opex var (mode-fees)</v>
      </c>
      <c r="B270" s="62">
        <f>B252*B261</f>
        <v>11550</v>
      </c>
      <c r="C270" s="62">
        <f t="shared" ref="C270:AC270" si="233">C252*C261</f>
        <v>11550</v>
      </c>
      <c r="D270" s="62">
        <f t="shared" si="233"/>
        <v>11550</v>
      </c>
      <c r="E270" s="62">
        <f t="shared" si="233"/>
        <v>11550</v>
      </c>
      <c r="F270" s="62">
        <f t="shared" si="233"/>
        <v>11550</v>
      </c>
      <c r="G270" s="62">
        <f t="shared" si="233"/>
        <v>11550</v>
      </c>
      <c r="H270" s="62">
        <f t="shared" si="233"/>
        <v>11550</v>
      </c>
      <c r="I270" s="62">
        <f t="shared" si="233"/>
        <v>11550</v>
      </c>
      <c r="J270" s="62">
        <f t="shared" si="233"/>
        <v>11550</v>
      </c>
      <c r="K270" s="62">
        <f t="shared" si="233"/>
        <v>11550</v>
      </c>
      <c r="L270" s="62">
        <f t="shared" si="233"/>
        <v>11550</v>
      </c>
      <c r="M270" s="62">
        <f t="shared" si="233"/>
        <v>11550</v>
      </c>
      <c r="N270" s="62">
        <f t="shared" si="233"/>
        <v>11550</v>
      </c>
      <c r="O270" s="62">
        <f t="shared" si="233"/>
        <v>11550</v>
      </c>
      <c r="P270" s="62">
        <f t="shared" si="233"/>
        <v>11550</v>
      </c>
      <c r="Q270" s="62">
        <f t="shared" si="233"/>
        <v>11550</v>
      </c>
      <c r="R270" s="62">
        <f t="shared" si="233"/>
        <v>11550</v>
      </c>
      <c r="S270" s="62">
        <f t="shared" si="233"/>
        <v>11550</v>
      </c>
      <c r="T270" s="62">
        <f t="shared" si="233"/>
        <v>11550</v>
      </c>
      <c r="U270" s="62">
        <f t="shared" si="233"/>
        <v>11550</v>
      </c>
      <c r="V270" s="62">
        <f t="shared" si="233"/>
        <v>11550</v>
      </c>
      <c r="W270" s="62">
        <f t="shared" si="233"/>
        <v>11550</v>
      </c>
      <c r="X270" s="62">
        <f t="shared" si="233"/>
        <v>11550</v>
      </c>
      <c r="Y270" s="62">
        <f t="shared" si="233"/>
        <v>11550</v>
      </c>
      <c r="Z270" s="62">
        <f t="shared" si="233"/>
        <v>11550</v>
      </c>
      <c r="AA270" s="62">
        <f t="shared" si="233"/>
        <v>11550</v>
      </c>
      <c r="AB270" s="62">
        <f t="shared" si="233"/>
        <v>11550</v>
      </c>
      <c r="AC270" s="62">
        <f t="shared" si="233"/>
        <v>11550</v>
      </c>
    </row>
    <row r="271" spans="1:29" x14ac:dyDescent="0.3">
      <c r="A271" s="30" t="str">
        <f>A254</f>
        <v>Fuel Cost</v>
      </c>
      <c r="B271" s="62">
        <f>B253*B254*B261</f>
        <v>14541.930501752078</v>
      </c>
      <c r="C271" s="62">
        <f t="shared" ref="C271:AC271" si="234">C253*C254*C261</f>
        <v>14445.424341793165</v>
      </c>
      <c r="D271" s="62">
        <f t="shared" si="234"/>
        <v>14312.59434304302</v>
      </c>
      <c r="E271" s="62">
        <f t="shared" si="234"/>
        <v>14133.004762639634</v>
      </c>
      <c r="F271" s="62">
        <f t="shared" si="234"/>
        <v>13896.078377475093</v>
      </c>
      <c r="G271" s="62">
        <f t="shared" si="234"/>
        <v>13593.516678729211</v>
      </c>
      <c r="H271" s="62">
        <f t="shared" si="234"/>
        <v>13222.728733346787</v>
      </c>
      <c r="I271" s="62">
        <f t="shared" si="234"/>
        <v>12790.08780281406</v>
      </c>
      <c r="J271" s="62">
        <f t="shared" si="234"/>
        <v>12311.93765360165</v>
      </c>
      <c r="K271" s="62">
        <f t="shared" si="234"/>
        <v>11811.891311329002</v>
      </c>
      <c r="L271" s="62">
        <f t="shared" si="234"/>
        <v>11315.509139820017</v>
      </c>
      <c r="M271" s="62">
        <f t="shared" si="234"/>
        <v>10845.513688913768</v>
      </c>
      <c r="N271" s="62">
        <f t="shared" si="234"/>
        <v>10419.580879536552</v>
      </c>
      <c r="O271" s="62">
        <f t="shared" si="234"/>
        <v>10049.879838543538</v>
      </c>
      <c r="P271" s="62">
        <f t="shared" si="234"/>
        <v>9742.7254106107011</v>
      </c>
      <c r="Q271" s="62">
        <f t="shared" si="234"/>
        <v>9498.2894443839341</v>
      </c>
      <c r="R271" s="62">
        <f t="shared" si="234"/>
        <v>9311.3264871774936</v>
      </c>
      <c r="S271" s="62">
        <f t="shared" si="234"/>
        <v>9173.0950146819796</v>
      </c>
      <c r="T271" s="62">
        <f t="shared" si="234"/>
        <v>9073.6394617583992</v>
      </c>
      <c r="U271" s="62">
        <f t="shared" si="234"/>
        <v>9003.5533142754703</v>
      </c>
      <c r="V271" s="62">
        <f t="shared" si="234"/>
        <v>8954.9104793905408</v>
      </c>
      <c r="W271" s="62">
        <f t="shared" si="234"/>
        <v>8921.5152056601637</v>
      </c>
      <c r="X271" s="62">
        <f t="shared" si="234"/>
        <v>8898.7616727331024</v>
      </c>
      <c r="Y271" s="62">
        <f t="shared" si="234"/>
        <v>8883.3399151123613</v>
      </c>
      <c r="Z271" s="62">
        <f t="shared" si="234"/>
        <v>8872.9248719412972</v>
      </c>
      <c r="AA271" s="62">
        <f t="shared" si="234"/>
        <v>8865.908217426866</v>
      </c>
      <c r="AB271" s="62">
        <f t="shared" si="234"/>
        <v>8861.1888539022912</v>
      </c>
      <c r="AC271" s="62">
        <f t="shared" si="234"/>
        <v>8858.0181612412562</v>
      </c>
    </row>
    <row r="272" spans="1:29" ht="15" thickBot="1" x14ac:dyDescent="0.35">
      <c r="A272" s="59" t="str">
        <f>A235</f>
        <v>Emission Cost</v>
      </c>
      <c r="B272" s="62">
        <f>B255*B261</f>
        <v>368.7882643126967</v>
      </c>
      <c r="C272" s="62">
        <f t="shared" ref="C272:AC272" si="235">C255*C261</f>
        <v>368.43708802918769</v>
      </c>
      <c r="D272" s="62">
        <f t="shared" si="235"/>
        <v>367.93438700116553</v>
      </c>
      <c r="E272" s="62">
        <f t="shared" si="235"/>
        <v>367.21523782906331</v>
      </c>
      <c r="F272" s="62">
        <f t="shared" si="235"/>
        <v>366.18741497398571</v>
      </c>
      <c r="G272" s="62">
        <f t="shared" si="235"/>
        <v>364.72048963805997</v>
      </c>
      <c r="H272" s="62">
        <f t="shared" si="235"/>
        <v>362.63122808352415</v>
      </c>
      <c r="I272" s="62">
        <f t="shared" si="235"/>
        <v>359.66477617546309</v>
      </c>
      <c r="J272" s="62">
        <f t="shared" si="235"/>
        <v>355.47198146124697</v>
      </c>
      <c r="K272" s="62">
        <f t="shared" si="235"/>
        <v>349.58537332677008</v>
      </c>
      <c r="L272" s="62">
        <f t="shared" si="235"/>
        <v>341.400851114923</v>
      </c>
      <c r="M272" s="62">
        <f t="shared" si="235"/>
        <v>330.1801773460657</v>
      </c>
      <c r="N272" s="62">
        <f t="shared" si="235"/>
        <v>315.1007941595127</v>
      </c>
      <c r="O272" s="62">
        <f t="shared" si="235"/>
        <v>295.38912721209789</v>
      </c>
      <c r="P272" s="62">
        <f t="shared" si="235"/>
        <v>270.56561439597556</v>
      </c>
      <c r="Q272" s="62">
        <f t="shared" si="235"/>
        <v>240.77811157567564</v>
      </c>
      <c r="R272" s="62">
        <f t="shared" si="235"/>
        <v>207.09518816762005</v>
      </c>
      <c r="S272" s="62">
        <f t="shared" si="235"/>
        <v>171.53626412329305</v>
      </c>
      <c r="T272" s="62">
        <f t="shared" si="235"/>
        <v>136.67707319305649</v>
      </c>
      <c r="U272" s="62">
        <f t="shared" si="235"/>
        <v>104.94403416320654</v>
      </c>
      <c r="V272" s="62">
        <f t="shared" si="235"/>
        <v>77.975469859491156</v>
      </c>
      <c r="W272" s="62">
        <f t="shared" si="235"/>
        <v>56.378479648438145</v>
      </c>
      <c r="X272" s="62">
        <f t="shared" si="235"/>
        <v>39.899017574576142</v>
      </c>
      <c r="Y272" s="62">
        <f t="shared" si="235"/>
        <v>27.785291295518736</v>
      </c>
      <c r="Z272" s="62">
        <f t="shared" si="235"/>
        <v>19.124152251204826</v>
      </c>
      <c r="AA272" s="62">
        <f t="shared" si="235"/>
        <v>13.05397285512786</v>
      </c>
      <c r="AB272" s="62">
        <f t="shared" si="235"/>
        <v>8.8591057900544659</v>
      </c>
      <c r="AC272" s="62">
        <f t="shared" si="235"/>
        <v>5.9883492191808543</v>
      </c>
    </row>
    <row r="273" spans="1:29" ht="15" thickBot="1" x14ac:dyDescent="0.35">
      <c r="A273" s="31" t="s">
        <v>209</v>
      </c>
      <c r="B273" s="64">
        <f>B264+B265+B266+B267+B268+B269+B270+B271+B272</f>
        <v>167253.36679595336</v>
      </c>
      <c r="C273" s="64">
        <f t="shared" ref="C273:AC273" si="236">C264+C265+C266+C267+C268+C269+C270+C271+C272</f>
        <v>166331.86654791707</v>
      </c>
      <c r="D273" s="64">
        <f t="shared" si="236"/>
        <v>165067.9792660221</v>
      </c>
      <c r="E273" s="64">
        <f t="shared" si="236"/>
        <v>163368.32632341294</v>
      </c>
      <c r="F273" s="64">
        <f t="shared" si="236"/>
        <v>161144.29571324255</v>
      </c>
      <c r="G273" s="64">
        <f t="shared" si="236"/>
        <v>158339.13955113417</v>
      </c>
      <c r="H273" s="64">
        <f t="shared" si="236"/>
        <v>154964.9810934425</v>
      </c>
      <c r="I273" s="64">
        <f t="shared" si="236"/>
        <v>151135.60394436284</v>
      </c>
      <c r="J273" s="64">
        <f t="shared" si="236"/>
        <v>147070.47218208257</v>
      </c>
      <c r="K273" s="64">
        <f t="shared" si="236"/>
        <v>143052.25299584845</v>
      </c>
      <c r="L273" s="64">
        <f t="shared" si="236"/>
        <v>139350.37984631924</v>
      </c>
      <c r="M273" s="64">
        <f t="shared" si="236"/>
        <v>136151.90853940198</v>
      </c>
      <c r="N273" s="64">
        <f t="shared" si="236"/>
        <v>133534.86157869399</v>
      </c>
      <c r="O273" s="64">
        <f t="shared" si="236"/>
        <v>131485.0377633445</v>
      </c>
      <c r="P273" s="64">
        <f t="shared" si="236"/>
        <v>129932.52449348655</v>
      </c>
      <c r="Q273" s="64">
        <f t="shared" si="236"/>
        <v>128785.63592120149</v>
      </c>
      <c r="R273" s="64">
        <f t="shared" si="236"/>
        <v>127953.38067809462</v>
      </c>
      <c r="S273" s="64">
        <f t="shared" si="236"/>
        <v>127356.93061962324</v>
      </c>
      <c r="T273" s="64">
        <f t="shared" si="236"/>
        <v>126933.36880717085</v>
      </c>
      <c r="U273" s="64">
        <f t="shared" si="236"/>
        <v>126634.92462317896</v>
      </c>
      <c r="V273" s="64">
        <f t="shared" si="236"/>
        <v>126426.25927612216</v>
      </c>
      <c r="W273" s="64">
        <f t="shared" si="236"/>
        <v>126281.50868003785</v>
      </c>
      <c r="X273" s="64">
        <f t="shared" si="236"/>
        <v>126181.85082171988</v>
      </c>
      <c r="Y273" s="64">
        <f t="shared" si="236"/>
        <v>126113.69474657161</v>
      </c>
      <c r="Z273" s="64">
        <f t="shared" si="236"/>
        <v>126067.33718376613</v>
      </c>
      <c r="AA273" s="64">
        <f t="shared" si="236"/>
        <v>126035.93940709824</v>
      </c>
      <c r="AB273" s="64">
        <f t="shared" si="236"/>
        <v>126014.74032369483</v>
      </c>
      <c r="AC273" s="64">
        <f t="shared" si="236"/>
        <v>126000.45929576954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37">A264</f>
        <v>Capex vehicle</v>
      </c>
      <c r="B276" s="65">
        <f>((1+B249)^B256)*B249/(((1+B249)^B256)-1)*(B245)/B261</f>
        <v>0.59229204858445472</v>
      </c>
      <c r="C276" s="65">
        <f t="shared" ref="C276:AC276" si="238">((1+C249)^C256)*C249/(((1+C249)^C256)-1)*(C245)/C261</f>
        <v>0.58363170603588543</v>
      </c>
      <c r="D276" s="65">
        <f t="shared" si="238"/>
        <v>0.57175870038585586</v>
      </c>
      <c r="E276" s="65">
        <f t="shared" si="238"/>
        <v>0.55580265305206589</v>
      </c>
      <c r="F276" s="65">
        <f t="shared" si="238"/>
        <v>0.53494501670515437</v>
      </c>
      <c r="G276" s="65">
        <f t="shared" si="238"/>
        <v>0.50867834912433463</v>
      </c>
      <c r="H276" s="65">
        <f t="shared" si="238"/>
        <v>0.47715910201216183</v>
      </c>
      <c r="I276" s="65">
        <f t="shared" si="238"/>
        <v>0.4415179677833676</v>
      </c>
      <c r="J276" s="65">
        <f t="shared" si="238"/>
        <v>0.40389176860992376</v>
      </c>
      <c r="K276" s="65">
        <f t="shared" si="238"/>
        <v>0.36700598265838164</v>
      </c>
      <c r="L276" s="65">
        <f t="shared" si="238"/>
        <v>0.33342809246610816</v>
      </c>
      <c r="M276" s="65">
        <f t="shared" si="238"/>
        <v>0.30489166738619039</v>
      </c>
      <c r="N276" s="65">
        <f t="shared" si="238"/>
        <v>0.28203910148135558</v>
      </c>
      <c r="O276" s="65">
        <f t="shared" si="238"/>
        <v>0.26460157942671203</v>
      </c>
      <c r="P276" s="65">
        <f t="shared" si="238"/>
        <v>0.25178360222525864</v>
      </c>
      <c r="Q276" s="65">
        <f t="shared" si="238"/>
        <v>0.2426189339595933</v>
      </c>
      <c r="R276" s="65">
        <f t="shared" si="238"/>
        <v>0.23619585494036849</v>
      </c>
      <c r="S276" s="65">
        <f t="shared" si="238"/>
        <v>0.23175711254479389</v>
      </c>
      <c r="T276" s="65">
        <f t="shared" si="238"/>
        <v>0.22871945993248444</v>
      </c>
      <c r="U276" s="65">
        <f t="shared" si="238"/>
        <v>0.22665451787401675</v>
      </c>
      <c r="V276" s="65">
        <f t="shared" si="238"/>
        <v>0.22525719456049792</v>
      </c>
      <c r="W276" s="65">
        <f t="shared" si="238"/>
        <v>0.22431455879436404</v>
      </c>
      <c r="X276" s="65">
        <f t="shared" si="238"/>
        <v>0.22367998107921985</v>
      </c>
      <c r="Y276" s="65">
        <f t="shared" si="238"/>
        <v>0.22325338645298112</v>
      </c>
      <c r="Z276" s="65">
        <f t="shared" si="238"/>
        <v>0.22296687929002706</v>
      </c>
      <c r="AA276" s="65">
        <f t="shared" si="238"/>
        <v>0.22277457904176423</v>
      </c>
      <c r="AB276" s="65">
        <f t="shared" si="238"/>
        <v>0.22264556437128777</v>
      </c>
      <c r="AC276" s="65">
        <f t="shared" si="238"/>
        <v>0.22255903288848461</v>
      </c>
    </row>
    <row r="277" spans="1:29" x14ac:dyDescent="0.3">
      <c r="A277" s="30" t="str">
        <f t="shared" si="237"/>
        <v>Residual value (vehicle)</v>
      </c>
      <c r="B277" s="66">
        <f>((1+B249)^B256)*B249/(((1+B249)^B256)-1)*(B246)/B261</f>
        <v>-9.0048058394645442E-2</v>
      </c>
      <c r="C277" s="66">
        <f t="shared" ref="C277:AC277" si="239">((1+C249)^C256)*C249/(((1+C249)^C256)-1)*(C246)/C261</f>
        <v>-8.9241457863161053E-2</v>
      </c>
      <c r="D277" s="66">
        <f t="shared" si="239"/>
        <v>-8.8135638709481837E-2</v>
      </c>
      <c r="E277" s="66">
        <f t="shared" si="239"/>
        <v>-8.6649536261726876E-2</v>
      </c>
      <c r="F277" s="66">
        <f t="shared" si="239"/>
        <v>-8.4706913268632181E-2</v>
      </c>
      <c r="G277" s="66">
        <f t="shared" si="239"/>
        <v>-8.2260507954732318E-2</v>
      </c>
      <c r="H277" s="66">
        <f t="shared" si="239"/>
        <v>-7.932489180212797E-2</v>
      </c>
      <c r="I277" s="66">
        <f t="shared" si="239"/>
        <v>-7.6005374398465775E-2</v>
      </c>
      <c r="J277" s="66">
        <f t="shared" si="239"/>
        <v>-7.2500973495056784E-2</v>
      </c>
      <c r="K277" s="66">
        <f t="shared" si="239"/>
        <v>-6.9065532646628833E-2</v>
      </c>
      <c r="L277" s="66">
        <f t="shared" si="239"/>
        <v>-6.5938180128721019E-2</v>
      </c>
      <c r="M277" s="66">
        <f t="shared" si="239"/>
        <v>-6.3280375832062016E-2</v>
      </c>
      <c r="N277" s="66">
        <f t="shared" si="239"/>
        <v>-6.1151950576219548E-2</v>
      </c>
      <c r="O277" s="66">
        <f t="shared" si="239"/>
        <v>-5.9527867639757648E-2</v>
      </c>
      <c r="P277" s="66">
        <f t="shared" si="239"/>
        <v>-5.833403642981836E-2</v>
      </c>
      <c r="Q277" s="66">
        <f t="shared" si="239"/>
        <v>-5.7480464385467181E-2</v>
      </c>
      <c r="R277" s="66">
        <f t="shared" si="239"/>
        <v>-5.6882236437598196E-2</v>
      </c>
      <c r="S277" s="66">
        <f t="shared" si="239"/>
        <v>-5.6468824155657439E-2</v>
      </c>
      <c r="T277" s="66">
        <f t="shared" si="239"/>
        <v>-5.6185905530001155E-2</v>
      </c>
      <c r="U277" s="66">
        <f t="shared" si="239"/>
        <v>-5.5993582495143863E-2</v>
      </c>
      <c r="V277" s="66">
        <f t="shared" si="239"/>
        <v>-5.5863439637512231E-2</v>
      </c>
      <c r="W277" s="66">
        <f t="shared" si="239"/>
        <v>-5.5775645129882104E-2</v>
      </c>
      <c r="X277" s="66">
        <f t="shared" si="239"/>
        <v>-5.5716542303471624E-2</v>
      </c>
      <c r="Y277" s="66">
        <f t="shared" si="239"/>
        <v>-5.5676810451027813E-2</v>
      </c>
      <c r="Z277" s="66">
        <f t="shared" si="239"/>
        <v>-5.5650125960360508E-2</v>
      </c>
      <c r="AA277" s="66">
        <f t="shared" si="239"/>
        <v>-5.5632215643120354E-2</v>
      </c>
      <c r="AB277" s="66">
        <f t="shared" si="239"/>
        <v>-5.5620199570870089E-2</v>
      </c>
      <c r="AC277" s="66">
        <f t="shared" si="239"/>
        <v>-5.5612140266099216E-2</v>
      </c>
    </row>
    <row r="278" spans="1:29" x14ac:dyDescent="0.3">
      <c r="A278" s="30" t="str">
        <f t="shared" si="237"/>
        <v>Capex costumization</v>
      </c>
      <c r="B278" s="66">
        <f>((1+B249)^B257)*B249/(((1+B249)^B257)-1)*(B247)/B261</f>
        <v>3.8819416634395351E-2</v>
      </c>
      <c r="C278" s="66">
        <f t="shared" ref="C278:AC278" si="240">((1+C249)^C257)*C249/(((1+C249)^C257)-1)*(C247)/C261</f>
        <v>3.8819416634395351E-2</v>
      </c>
      <c r="D278" s="66">
        <f t="shared" si="240"/>
        <v>3.8819416634395351E-2</v>
      </c>
      <c r="E278" s="66">
        <f t="shared" si="240"/>
        <v>3.8819416634395351E-2</v>
      </c>
      <c r="F278" s="66">
        <f t="shared" si="240"/>
        <v>3.8819416634395351E-2</v>
      </c>
      <c r="G278" s="66">
        <f t="shared" si="240"/>
        <v>3.8819416634395351E-2</v>
      </c>
      <c r="H278" s="66">
        <f t="shared" si="240"/>
        <v>3.8819416634395351E-2</v>
      </c>
      <c r="I278" s="66">
        <f t="shared" si="240"/>
        <v>3.8819416634395351E-2</v>
      </c>
      <c r="J278" s="66">
        <f t="shared" si="240"/>
        <v>3.8819416634395351E-2</v>
      </c>
      <c r="K278" s="66">
        <f t="shared" si="240"/>
        <v>3.8819416634395351E-2</v>
      </c>
      <c r="L278" s="66">
        <f t="shared" si="240"/>
        <v>3.8819416634395351E-2</v>
      </c>
      <c r="M278" s="66">
        <f t="shared" si="240"/>
        <v>3.8819416634395351E-2</v>
      </c>
      <c r="N278" s="66">
        <f t="shared" si="240"/>
        <v>3.8819416634395351E-2</v>
      </c>
      <c r="O278" s="66">
        <f t="shared" si="240"/>
        <v>3.8819416634395351E-2</v>
      </c>
      <c r="P278" s="66">
        <f t="shared" si="240"/>
        <v>3.8819416634395351E-2</v>
      </c>
      <c r="Q278" s="66">
        <f t="shared" si="240"/>
        <v>3.8819416634395351E-2</v>
      </c>
      <c r="R278" s="66">
        <f t="shared" si="240"/>
        <v>3.8819416634395351E-2</v>
      </c>
      <c r="S278" s="66">
        <f t="shared" si="240"/>
        <v>3.8819416634395351E-2</v>
      </c>
      <c r="T278" s="66">
        <f t="shared" si="240"/>
        <v>3.8819416634395351E-2</v>
      </c>
      <c r="U278" s="66">
        <f t="shared" si="240"/>
        <v>3.8819416634395351E-2</v>
      </c>
      <c r="V278" s="66">
        <f t="shared" si="240"/>
        <v>3.8819416634395351E-2</v>
      </c>
      <c r="W278" s="66">
        <f t="shared" si="240"/>
        <v>3.8819416634395351E-2</v>
      </c>
      <c r="X278" s="66">
        <f t="shared" si="240"/>
        <v>3.8819416634395351E-2</v>
      </c>
      <c r="Y278" s="66">
        <f t="shared" si="240"/>
        <v>3.8819416634395351E-2</v>
      </c>
      <c r="Z278" s="66">
        <f t="shared" si="240"/>
        <v>3.8819416634395351E-2</v>
      </c>
      <c r="AA278" s="66">
        <f t="shared" si="240"/>
        <v>3.8819416634395351E-2</v>
      </c>
      <c r="AB278" s="66">
        <f t="shared" si="240"/>
        <v>3.8819416634395351E-2</v>
      </c>
      <c r="AC278" s="66">
        <f t="shared" si="240"/>
        <v>3.8819416634395351E-2</v>
      </c>
    </row>
    <row r="279" spans="1:29" x14ac:dyDescent="0.3">
      <c r="A279" s="30" t="str">
        <f t="shared" si="237"/>
        <v>Residual value (costumization)</v>
      </c>
      <c r="B279" s="66">
        <f>((1+B249)^B257)*B249/(((1+B249)^B257)-1)*(B248)/B261</f>
        <v>-9.7048541585988378E-3</v>
      </c>
      <c r="C279" s="66">
        <f t="shared" ref="C279:AC279" si="241">((1+C249)^C257)*C249/(((1+C249)^C257)-1)*(C248)/C261</f>
        <v>-9.7048541585988378E-3</v>
      </c>
      <c r="D279" s="66">
        <f t="shared" si="241"/>
        <v>-9.7048541585988378E-3</v>
      </c>
      <c r="E279" s="66">
        <f t="shared" si="241"/>
        <v>-9.7048541585988378E-3</v>
      </c>
      <c r="F279" s="66">
        <f t="shared" si="241"/>
        <v>-9.7048541585988378E-3</v>
      </c>
      <c r="G279" s="66">
        <f t="shared" si="241"/>
        <v>-9.7048541585988378E-3</v>
      </c>
      <c r="H279" s="66">
        <f t="shared" si="241"/>
        <v>-9.7048541585988378E-3</v>
      </c>
      <c r="I279" s="66">
        <f t="shared" si="241"/>
        <v>-9.7048541585988378E-3</v>
      </c>
      <c r="J279" s="66">
        <f t="shared" si="241"/>
        <v>-9.7048541585988378E-3</v>
      </c>
      <c r="K279" s="66">
        <f t="shared" si="241"/>
        <v>-9.7048541585988378E-3</v>
      </c>
      <c r="L279" s="66">
        <f t="shared" si="241"/>
        <v>-9.7048541585988378E-3</v>
      </c>
      <c r="M279" s="66">
        <f t="shared" si="241"/>
        <v>-9.7048541585988378E-3</v>
      </c>
      <c r="N279" s="66">
        <f t="shared" si="241"/>
        <v>-9.7048541585988378E-3</v>
      </c>
      <c r="O279" s="66">
        <f t="shared" si="241"/>
        <v>-9.7048541585988378E-3</v>
      </c>
      <c r="P279" s="66">
        <f t="shared" si="241"/>
        <v>-9.7048541585988378E-3</v>
      </c>
      <c r="Q279" s="66">
        <f t="shared" si="241"/>
        <v>-9.7048541585988378E-3</v>
      </c>
      <c r="R279" s="66">
        <f t="shared" si="241"/>
        <v>-9.7048541585988378E-3</v>
      </c>
      <c r="S279" s="66">
        <f t="shared" si="241"/>
        <v>-9.7048541585988378E-3</v>
      </c>
      <c r="T279" s="66">
        <f t="shared" si="241"/>
        <v>-9.7048541585988378E-3</v>
      </c>
      <c r="U279" s="66">
        <f t="shared" si="241"/>
        <v>-9.7048541585988378E-3</v>
      </c>
      <c r="V279" s="66">
        <f t="shared" si="241"/>
        <v>-9.7048541585988378E-3</v>
      </c>
      <c r="W279" s="66">
        <f t="shared" si="241"/>
        <v>-9.7048541585988378E-3</v>
      </c>
      <c r="X279" s="66">
        <f t="shared" si="241"/>
        <v>-9.7048541585988378E-3</v>
      </c>
      <c r="Y279" s="66">
        <f t="shared" si="241"/>
        <v>-9.7048541585988378E-3</v>
      </c>
      <c r="Z279" s="66">
        <f t="shared" si="241"/>
        <v>-9.7048541585988378E-3</v>
      </c>
      <c r="AA279" s="66">
        <f t="shared" si="241"/>
        <v>-9.7048541585988378E-3</v>
      </c>
      <c r="AB279" s="66">
        <f t="shared" si="241"/>
        <v>-9.7048541585988378E-3</v>
      </c>
      <c r="AC279" s="66">
        <f t="shared" si="241"/>
        <v>-9.7048541585988378E-3</v>
      </c>
    </row>
    <row r="280" spans="1:29" x14ac:dyDescent="0.3">
      <c r="A280" s="30" t="str">
        <f t="shared" si="237"/>
        <v>Opex fix (admin, crew, insurance)</v>
      </c>
      <c r="B280" s="66">
        <f>B250/B261</f>
        <v>0.66666666666666663</v>
      </c>
      <c r="C280" s="66">
        <f t="shared" ref="C280:AC280" si="242">C250/C261</f>
        <v>0.66666666666666663</v>
      </c>
      <c r="D280" s="66">
        <f t="shared" si="242"/>
        <v>0.66666666666666663</v>
      </c>
      <c r="E280" s="66">
        <f t="shared" si="242"/>
        <v>0.66666666666666663</v>
      </c>
      <c r="F280" s="66">
        <f t="shared" si="242"/>
        <v>0.66666666666666663</v>
      </c>
      <c r="G280" s="66">
        <f t="shared" si="242"/>
        <v>0.66666666666666663</v>
      </c>
      <c r="H280" s="66">
        <f t="shared" si="242"/>
        <v>0.66666666666666663</v>
      </c>
      <c r="I280" s="66">
        <f t="shared" si="242"/>
        <v>0.66666666666666663</v>
      </c>
      <c r="J280" s="66">
        <f t="shared" si="242"/>
        <v>0.66666666666666663</v>
      </c>
      <c r="K280" s="66">
        <f t="shared" si="242"/>
        <v>0.66666666666666663</v>
      </c>
      <c r="L280" s="66">
        <f t="shared" si="242"/>
        <v>0.66666666666666663</v>
      </c>
      <c r="M280" s="66">
        <f t="shared" si="242"/>
        <v>0.66666666666666663</v>
      </c>
      <c r="N280" s="66">
        <f t="shared" si="242"/>
        <v>0.66666666666666663</v>
      </c>
      <c r="O280" s="66">
        <f t="shared" si="242"/>
        <v>0.66666666666666663</v>
      </c>
      <c r="P280" s="66">
        <f t="shared" si="242"/>
        <v>0.66666666666666663</v>
      </c>
      <c r="Q280" s="66">
        <f t="shared" si="242"/>
        <v>0.66666666666666663</v>
      </c>
      <c r="R280" s="66">
        <f t="shared" si="242"/>
        <v>0.66666666666666663</v>
      </c>
      <c r="S280" s="66">
        <f t="shared" si="242"/>
        <v>0.66666666666666663</v>
      </c>
      <c r="T280" s="66">
        <f t="shared" si="242"/>
        <v>0.66666666666666663</v>
      </c>
      <c r="U280" s="66">
        <f t="shared" si="242"/>
        <v>0.66666666666666663</v>
      </c>
      <c r="V280" s="66">
        <f t="shared" si="242"/>
        <v>0.66666666666666663</v>
      </c>
      <c r="W280" s="66">
        <f t="shared" si="242"/>
        <v>0.66666666666666663</v>
      </c>
      <c r="X280" s="66">
        <f t="shared" si="242"/>
        <v>0.66666666666666663</v>
      </c>
      <c r="Y280" s="66">
        <f t="shared" si="242"/>
        <v>0.66666666666666663</v>
      </c>
      <c r="Z280" s="66">
        <f t="shared" si="242"/>
        <v>0.66666666666666663</v>
      </c>
      <c r="AA280" s="66">
        <f t="shared" si="242"/>
        <v>0.66666666666666663</v>
      </c>
      <c r="AB280" s="66">
        <f t="shared" si="242"/>
        <v>0.66666666666666663</v>
      </c>
      <c r="AC280" s="66">
        <f t="shared" si="242"/>
        <v>0.66666666666666663</v>
      </c>
    </row>
    <row r="281" spans="1:29" x14ac:dyDescent="0.3">
      <c r="A281" s="30" t="str">
        <f t="shared" si="237"/>
        <v>Opex maintenance &amp; repair</v>
      </c>
      <c r="B281" s="66">
        <f>B251/B261</f>
        <v>0.14285714285714285</v>
      </c>
      <c r="C281" s="66">
        <f t="shared" ref="C281:AC281" si="243">C251/C261</f>
        <v>0.14285714285714285</v>
      </c>
      <c r="D281" s="66">
        <f t="shared" si="243"/>
        <v>0.14285714285714285</v>
      </c>
      <c r="E281" s="66">
        <f t="shared" si="243"/>
        <v>0.14285714285714285</v>
      </c>
      <c r="F281" s="66">
        <f t="shared" si="243"/>
        <v>0.14285714285714285</v>
      </c>
      <c r="G281" s="66">
        <f t="shared" si="243"/>
        <v>0.14285714285714285</v>
      </c>
      <c r="H281" s="66">
        <f t="shared" si="243"/>
        <v>0.14285714285714285</v>
      </c>
      <c r="I281" s="66">
        <f t="shared" si="243"/>
        <v>0.14285714285714285</v>
      </c>
      <c r="J281" s="66">
        <f t="shared" si="243"/>
        <v>0.14285714285714285</v>
      </c>
      <c r="K281" s="66">
        <f t="shared" si="243"/>
        <v>0.14285714285714285</v>
      </c>
      <c r="L281" s="66">
        <f t="shared" si="243"/>
        <v>0.14285714285714285</v>
      </c>
      <c r="M281" s="66">
        <f t="shared" si="243"/>
        <v>0.14285714285714285</v>
      </c>
      <c r="N281" s="66">
        <f t="shared" si="243"/>
        <v>0.14285714285714285</v>
      </c>
      <c r="O281" s="66">
        <f t="shared" si="243"/>
        <v>0.14285714285714285</v>
      </c>
      <c r="P281" s="66">
        <f t="shared" si="243"/>
        <v>0.14285714285714285</v>
      </c>
      <c r="Q281" s="66">
        <f t="shared" si="243"/>
        <v>0.14285714285714285</v>
      </c>
      <c r="R281" s="66">
        <f t="shared" si="243"/>
        <v>0.14285714285714285</v>
      </c>
      <c r="S281" s="66">
        <f t="shared" si="243"/>
        <v>0.14285714285714285</v>
      </c>
      <c r="T281" s="66">
        <f t="shared" si="243"/>
        <v>0.14285714285714285</v>
      </c>
      <c r="U281" s="66">
        <f t="shared" si="243"/>
        <v>0.14285714285714285</v>
      </c>
      <c r="V281" s="66">
        <f t="shared" si="243"/>
        <v>0.14285714285714285</v>
      </c>
      <c r="W281" s="66">
        <f t="shared" si="243"/>
        <v>0.14285714285714285</v>
      </c>
      <c r="X281" s="66">
        <f t="shared" si="243"/>
        <v>0.14285714285714285</v>
      </c>
      <c r="Y281" s="66">
        <f t="shared" si="243"/>
        <v>0.14285714285714285</v>
      </c>
      <c r="Z281" s="66">
        <f t="shared" si="243"/>
        <v>0.14285714285714285</v>
      </c>
      <c r="AA281" s="66">
        <f t="shared" si="243"/>
        <v>0.14285714285714285</v>
      </c>
      <c r="AB281" s="66">
        <f t="shared" si="243"/>
        <v>0.14285714285714285</v>
      </c>
      <c r="AC281" s="66">
        <f t="shared" si="243"/>
        <v>0.14285714285714285</v>
      </c>
    </row>
    <row r="282" spans="1:29" x14ac:dyDescent="0.3">
      <c r="A282" s="30" t="str">
        <f t="shared" si="237"/>
        <v>Opex var (mode-fees)</v>
      </c>
      <c r="B282" s="66">
        <f>B252*B261/B261</f>
        <v>0.11</v>
      </c>
      <c r="C282" s="66">
        <f t="shared" ref="C282:AC282" si="244">C252*C261/C261</f>
        <v>0.11</v>
      </c>
      <c r="D282" s="66">
        <f t="shared" si="244"/>
        <v>0.11</v>
      </c>
      <c r="E282" s="66">
        <f t="shared" si="244"/>
        <v>0.11</v>
      </c>
      <c r="F282" s="66">
        <f t="shared" si="244"/>
        <v>0.11</v>
      </c>
      <c r="G282" s="66">
        <f t="shared" si="244"/>
        <v>0.11</v>
      </c>
      <c r="H282" s="66">
        <f t="shared" si="244"/>
        <v>0.11</v>
      </c>
      <c r="I282" s="66">
        <f t="shared" si="244"/>
        <v>0.11</v>
      </c>
      <c r="J282" s="66">
        <f t="shared" si="244"/>
        <v>0.11</v>
      </c>
      <c r="K282" s="66">
        <f t="shared" si="244"/>
        <v>0.11</v>
      </c>
      <c r="L282" s="66">
        <f t="shared" si="244"/>
        <v>0.11</v>
      </c>
      <c r="M282" s="66">
        <f t="shared" si="244"/>
        <v>0.11</v>
      </c>
      <c r="N282" s="66">
        <f t="shared" si="244"/>
        <v>0.11</v>
      </c>
      <c r="O282" s="66">
        <f t="shared" si="244"/>
        <v>0.11</v>
      </c>
      <c r="P282" s="66">
        <f t="shared" si="244"/>
        <v>0.11</v>
      </c>
      <c r="Q282" s="66">
        <f t="shared" si="244"/>
        <v>0.11</v>
      </c>
      <c r="R282" s="66">
        <f t="shared" si="244"/>
        <v>0.11</v>
      </c>
      <c r="S282" s="66">
        <f t="shared" si="244"/>
        <v>0.11</v>
      </c>
      <c r="T282" s="66">
        <f t="shared" si="244"/>
        <v>0.11</v>
      </c>
      <c r="U282" s="66">
        <f t="shared" si="244"/>
        <v>0.11</v>
      </c>
      <c r="V282" s="66">
        <f t="shared" si="244"/>
        <v>0.11</v>
      </c>
      <c r="W282" s="66">
        <f t="shared" si="244"/>
        <v>0.11</v>
      </c>
      <c r="X282" s="66">
        <f t="shared" si="244"/>
        <v>0.11</v>
      </c>
      <c r="Y282" s="66">
        <f t="shared" si="244"/>
        <v>0.11</v>
      </c>
      <c r="Z282" s="66">
        <f t="shared" si="244"/>
        <v>0.11</v>
      </c>
      <c r="AA282" s="66">
        <f t="shared" si="244"/>
        <v>0.11</v>
      </c>
      <c r="AB282" s="66">
        <f t="shared" si="244"/>
        <v>0.11</v>
      </c>
      <c r="AC282" s="66">
        <f t="shared" si="244"/>
        <v>0.11</v>
      </c>
    </row>
    <row r="283" spans="1:29" x14ac:dyDescent="0.3">
      <c r="A283" s="30" t="str">
        <f t="shared" si="237"/>
        <v>Fuel Cost</v>
      </c>
      <c r="B283" s="66">
        <f>B253*B254*B261/B261</f>
        <v>0.13849457620716266</v>
      </c>
      <c r="C283" s="66">
        <f t="shared" ref="C283:AC283" si="245">C253*C254*C261/C261</f>
        <v>0.13757546992183967</v>
      </c>
      <c r="D283" s="66">
        <f t="shared" si="245"/>
        <v>0.13631042231469542</v>
      </c>
      <c r="E283" s="66">
        <f t="shared" si="245"/>
        <v>0.1346000453584727</v>
      </c>
      <c r="F283" s="66">
        <f t="shared" si="245"/>
        <v>0.13234360359500089</v>
      </c>
      <c r="G283" s="66">
        <f t="shared" si="245"/>
        <v>0.12946206360694487</v>
      </c>
      <c r="H283" s="66">
        <f t="shared" si="245"/>
        <v>0.12593074984139796</v>
      </c>
      <c r="I283" s="66">
        <f t="shared" si="245"/>
        <v>0.12181036002680057</v>
      </c>
      <c r="J283" s="66">
        <f t="shared" si="245"/>
        <v>0.11725654908192047</v>
      </c>
      <c r="K283" s="66">
        <f t="shared" si="245"/>
        <v>0.11249420296503811</v>
      </c>
      <c r="L283" s="66">
        <f t="shared" si="245"/>
        <v>0.10776675371257159</v>
      </c>
      <c r="M283" s="66">
        <f t="shared" si="245"/>
        <v>0.10329060656108351</v>
      </c>
      <c r="N283" s="66">
        <f t="shared" si="245"/>
        <v>9.9234103614633834E-2</v>
      </c>
      <c r="O283" s="66">
        <f t="shared" si="245"/>
        <v>9.5713141319462278E-2</v>
      </c>
      <c r="P283" s="66">
        <f t="shared" si="245"/>
        <v>9.2787861053435255E-2</v>
      </c>
      <c r="Q283" s="66">
        <f t="shared" si="245"/>
        <v>9.045989947032318E-2</v>
      </c>
      <c r="R283" s="66">
        <f t="shared" si="245"/>
        <v>8.8679299877880896E-2</v>
      </c>
      <c r="S283" s="66">
        <f t="shared" si="245"/>
        <v>8.7362809663637894E-2</v>
      </c>
      <c r="T283" s="66">
        <f t="shared" si="245"/>
        <v>8.6415613921508566E-2</v>
      </c>
      <c r="U283" s="66">
        <f t="shared" si="245"/>
        <v>8.5748126802623531E-2</v>
      </c>
      <c r="V283" s="66">
        <f t="shared" si="245"/>
        <v>8.5284861708481347E-2</v>
      </c>
      <c r="W283" s="66">
        <f t="shared" si="245"/>
        <v>8.4966811482477755E-2</v>
      </c>
      <c r="X283" s="66">
        <f t="shared" si="245"/>
        <v>8.4750111168886685E-2</v>
      </c>
      <c r="Y283" s="66">
        <f t="shared" si="245"/>
        <v>8.46032372867844E-2</v>
      </c>
      <c r="Z283" s="66">
        <f t="shared" si="245"/>
        <v>8.4504046399440924E-2</v>
      </c>
      <c r="AA283" s="66">
        <f t="shared" si="245"/>
        <v>8.44372211183511E-2</v>
      </c>
      <c r="AB283" s="66">
        <f t="shared" si="245"/>
        <v>8.4392274799069439E-2</v>
      </c>
      <c r="AC283" s="66">
        <f t="shared" si="245"/>
        <v>8.4362077726107196E-2</v>
      </c>
    </row>
    <row r="284" spans="1:29" ht="15" thickBot="1" x14ac:dyDescent="0.35">
      <c r="A284" s="59" t="str">
        <f t="shared" ref="A284" si="246">A272</f>
        <v>Emission Cost</v>
      </c>
      <c r="B284" s="66">
        <f>B255</f>
        <v>3.5122691839304448E-3</v>
      </c>
      <c r="C284" s="66">
        <f t="shared" ref="C284:AC284" si="247">C255</f>
        <v>3.5089246478970256E-3</v>
      </c>
      <c r="D284" s="66">
        <f t="shared" si="247"/>
        <v>3.5041370190587195E-3</v>
      </c>
      <c r="E284" s="66">
        <f t="shared" si="247"/>
        <v>3.4972879793244123E-3</v>
      </c>
      <c r="F284" s="66">
        <f t="shared" si="247"/>
        <v>3.4874991902284352E-3</v>
      </c>
      <c r="G284" s="66">
        <f t="shared" si="247"/>
        <v>3.4735284727434282E-3</v>
      </c>
      <c r="H284" s="66">
        <f t="shared" si="247"/>
        <v>3.4536307436526109E-3</v>
      </c>
      <c r="I284" s="66">
        <f t="shared" si="247"/>
        <v>3.4253788207186963E-3</v>
      </c>
      <c r="J284" s="66">
        <f t="shared" si="247"/>
        <v>3.3854474424880663E-3</v>
      </c>
      <c r="K284" s="66">
        <f t="shared" si="247"/>
        <v>3.3293845078740006E-3</v>
      </c>
      <c r="L284" s="66">
        <f t="shared" si="247"/>
        <v>3.251436677284981E-3</v>
      </c>
      <c r="M284" s="66">
        <f t="shared" si="247"/>
        <v>3.1445731175815781E-3</v>
      </c>
      <c r="N284" s="66">
        <f t="shared" si="247"/>
        <v>3.0009599443763112E-3</v>
      </c>
      <c r="O284" s="66">
        <f t="shared" si="247"/>
        <v>2.813229782972361E-3</v>
      </c>
      <c r="P284" s="66">
        <f t="shared" si="247"/>
        <v>2.5768153751997672E-3</v>
      </c>
      <c r="Q284" s="66">
        <f t="shared" si="247"/>
        <v>2.2931248721492917E-3</v>
      </c>
      <c r="R284" s="66">
        <f t="shared" si="247"/>
        <v>1.9723351254059053E-3</v>
      </c>
      <c r="S284" s="66">
        <f t="shared" si="247"/>
        <v>1.6336787059361244E-3</v>
      </c>
      <c r="T284" s="66">
        <f t="shared" si="247"/>
        <v>1.3016864113624426E-3</v>
      </c>
      <c r="U284" s="66">
        <f t="shared" si="247"/>
        <v>9.9946699203053851E-4</v>
      </c>
      <c r="V284" s="66">
        <f t="shared" si="247"/>
        <v>7.4262352247134438E-4</v>
      </c>
      <c r="W284" s="66">
        <f t="shared" si="247"/>
        <v>5.3693790141369664E-4</v>
      </c>
      <c r="X284" s="66">
        <f t="shared" si="247"/>
        <v>3.7999064356739184E-4</v>
      </c>
      <c r="Y284" s="66">
        <f t="shared" si="247"/>
        <v>2.646218218620832E-4</v>
      </c>
      <c r="Z284" s="66">
        <f t="shared" si="247"/>
        <v>1.8213478334480789E-4</v>
      </c>
      <c r="AA284" s="66">
        <f t="shared" si="247"/>
        <v>1.2432355100121771E-4</v>
      </c>
      <c r="AB284" s="66">
        <f t="shared" si="247"/>
        <v>8.4372436095756821E-5</v>
      </c>
      <c r="AC284" s="66">
        <f t="shared" si="247"/>
        <v>5.7031897325531943E-5</v>
      </c>
    </row>
    <row r="285" spans="1:29" ht="15" thickBot="1" x14ac:dyDescent="0.35">
      <c r="A285" s="31" t="s">
        <v>63</v>
      </c>
      <c r="B285" s="76">
        <f>B276+B277+B278-B279+B280+B281+B282+B283+B284</f>
        <v>1.6122989158977061</v>
      </c>
      <c r="C285" s="76">
        <f t="shared" ref="C285:AC285" si="248">C276+C277+C278-C279+C280+C281+C282+C283+C284</f>
        <v>1.6035227230592646</v>
      </c>
      <c r="D285" s="76">
        <f t="shared" si="248"/>
        <v>1.5914857013269317</v>
      </c>
      <c r="E285" s="76">
        <f t="shared" si="248"/>
        <v>1.5752985304449398</v>
      </c>
      <c r="F285" s="76">
        <f t="shared" si="248"/>
        <v>1.5541172865385553</v>
      </c>
      <c r="G285" s="76">
        <f t="shared" si="248"/>
        <v>1.5274015135660941</v>
      </c>
      <c r="H285" s="76">
        <f t="shared" si="248"/>
        <v>1.495266671111888</v>
      </c>
      <c r="I285" s="76">
        <f t="shared" si="248"/>
        <v>1.458796412549225</v>
      </c>
      <c r="J285" s="76">
        <f t="shared" si="248"/>
        <v>1.4200808719560793</v>
      </c>
      <c r="K285" s="76">
        <f t="shared" si="248"/>
        <v>1.3818121178014686</v>
      </c>
      <c r="L285" s="76">
        <f t="shared" si="248"/>
        <v>1.3465561830440473</v>
      </c>
      <c r="M285" s="76">
        <f t="shared" si="248"/>
        <v>1.3160945515495972</v>
      </c>
      <c r="N285" s="76">
        <f t="shared" si="248"/>
        <v>1.2911702947809498</v>
      </c>
      <c r="O285" s="76">
        <f t="shared" si="248"/>
        <v>1.2716481632061929</v>
      </c>
      <c r="P285" s="76">
        <f t="shared" si="248"/>
        <v>1.2568623225408788</v>
      </c>
      <c r="Q285" s="76">
        <f t="shared" si="248"/>
        <v>1.2459395742334025</v>
      </c>
      <c r="R285" s="76">
        <f t="shared" si="248"/>
        <v>1.2380133338228609</v>
      </c>
      <c r="S285" s="76">
        <f t="shared" si="248"/>
        <v>1.2323328570755141</v>
      </c>
      <c r="T285" s="76">
        <f t="shared" si="248"/>
        <v>1.228298935052158</v>
      </c>
      <c r="U285" s="76">
        <f t="shared" si="248"/>
        <v>1.2254566094903308</v>
      </c>
      <c r="V285" s="76">
        <f t="shared" si="248"/>
        <v>1.2234693204707423</v>
      </c>
      <c r="W285" s="76">
        <f t="shared" si="248"/>
        <v>1.2220907433651771</v>
      </c>
      <c r="X285" s="76">
        <f t="shared" si="248"/>
        <v>1.2211416209050059</v>
      </c>
      <c r="Y285" s="76">
        <f t="shared" si="248"/>
        <v>1.2204925154274036</v>
      </c>
      <c r="Z285" s="76">
        <f t="shared" si="248"/>
        <v>1.220051014829256</v>
      </c>
      <c r="AA285" s="76">
        <f t="shared" si="248"/>
        <v>1.2197519883847998</v>
      </c>
      <c r="AB285" s="76">
        <f t="shared" si="248"/>
        <v>1.2195500923523868</v>
      </c>
      <c r="AC285" s="76">
        <f t="shared" si="248"/>
        <v>1.2194140825626216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49">A264</f>
        <v>Capex vehicle</v>
      </c>
      <c r="B288" s="65">
        <f>((1+B249)^B256)*B249/(((1+B249)^B256)-1)*(B245)/B261/(B258)</f>
        <v>2.3691681943378187E-2</v>
      </c>
      <c r="C288" s="65">
        <f t="shared" ref="C288:AC288" si="250">((1+C249)^C256)*C249/(((1+C249)^C256)-1)*(C245)/C261/(C258)</f>
        <v>2.3345268241435416E-2</v>
      </c>
      <c r="D288" s="65">
        <f t="shared" si="250"/>
        <v>2.2870348015434236E-2</v>
      </c>
      <c r="E288" s="65">
        <f t="shared" si="250"/>
        <v>2.2232106122082637E-2</v>
      </c>
      <c r="F288" s="65">
        <f t="shared" si="250"/>
        <v>2.1397800668206176E-2</v>
      </c>
      <c r="G288" s="65">
        <f t="shared" si="250"/>
        <v>2.0347133964973386E-2</v>
      </c>
      <c r="H288" s="65">
        <f t="shared" si="250"/>
        <v>1.9086364080486473E-2</v>
      </c>
      <c r="I288" s="65">
        <f t="shared" si="250"/>
        <v>1.7660718711334705E-2</v>
      </c>
      <c r="J288" s="65">
        <f t="shared" si="250"/>
        <v>1.6155670744396951E-2</v>
      </c>
      <c r="K288" s="65">
        <f t="shared" si="250"/>
        <v>1.4680239306335266E-2</v>
      </c>
      <c r="L288" s="65">
        <f t="shared" si="250"/>
        <v>1.3337123698644326E-2</v>
      </c>
      <c r="M288" s="65">
        <f t="shared" si="250"/>
        <v>1.2195666695447615E-2</v>
      </c>
      <c r="N288" s="65">
        <f t="shared" si="250"/>
        <v>1.1281564059254224E-2</v>
      </c>
      <c r="O288" s="65">
        <f t="shared" si="250"/>
        <v>1.0584063177068481E-2</v>
      </c>
      <c r="P288" s="65">
        <f t="shared" si="250"/>
        <v>1.0071344089010345E-2</v>
      </c>
      <c r="Q288" s="65">
        <f t="shared" si="250"/>
        <v>9.704757358383732E-3</v>
      </c>
      <c r="R288" s="65">
        <f t="shared" si="250"/>
        <v>9.4478341976147392E-3</v>
      </c>
      <c r="S288" s="65">
        <f t="shared" si="250"/>
        <v>9.2702845017917559E-3</v>
      </c>
      <c r="T288" s="65">
        <f t="shared" si="250"/>
        <v>9.1487783972993772E-3</v>
      </c>
      <c r="U288" s="65">
        <f t="shared" si="250"/>
        <v>9.0661807149606706E-3</v>
      </c>
      <c r="V288" s="65">
        <f t="shared" si="250"/>
        <v>9.0102877824199176E-3</v>
      </c>
      <c r="W288" s="65">
        <f t="shared" si="250"/>
        <v>8.9725823517745624E-3</v>
      </c>
      <c r="X288" s="65">
        <f t="shared" si="250"/>
        <v>8.9471992431687936E-3</v>
      </c>
      <c r="Y288" s="65">
        <f t="shared" si="250"/>
        <v>8.9301354581192444E-3</v>
      </c>
      <c r="Z288" s="65">
        <f t="shared" si="250"/>
        <v>8.9186751716010832E-3</v>
      </c>
      <c r="AA288" s="65">
        <f t="shared" si="250"/>
        <v>8.9109831616705701E-3</v>
      </c>
      <c r="AB288" s="65">
        <f t="shared" si="250"/>
        <v>8.9058225748515109E-3</v>
      </c>
      <c r="AC288" s="65">
        <f t="shared" si="250"/>
        <v>8.9023613155393838E-3</v>
      </c>
    </row>
    <row r="289" spans="1:29" x14ac:dyDescent="0.3">
      <c r="A289" s="30" t="str">
        <f t="shared" si="249"/>
        <v>Residual value (vehicle)</v>
      </c>
      <c r="B289" s="68">
        <f>((1+B249)^B256)*B249/(((1+B249)^B256)-1)*(B246)/B261/(B258)</f>
        <v>-3.6019223357858176E-3</v>
      </c>
      <c r="C289" s="68">
        <f t="shared" ref="C289:AC289" si="251">((1+C249)^C256)*C249/(((1+C249)^C256)-1)*(C246)/C261/(C258)</f>
        <v>-3.5696583145264421E-3</v>
      </c>
      <c r="D289" s="68">
        <f t="shared" si="251"/>
        <v>-3.5254255483792734E-3</v>
      </c>
      <c r="E289" s="68">
        <f t="shared" si="251"/>
        <v>-3.4659814504690752E-3</v>
      </c>
      <c r="F289" s="68">
        <f t="shared" si="251"/>
        <v>-3.3882765307452871E-3</v>
      </c>
      <c r="G289" s="68">
        <f t="shared" si="251"/>
        <v>-3.2904203181892927E-3</v>
      </c>
      <c r="H289" s="68">
        <f t="shared" si="251"/>
        <v>-3.172995672085119E-3</v>
      </c>
      <c r="I289" s="68">
        <f t="shared" si="251"/>
        <v>-3.040214975938631E-3</v>
      </c>
      <c r="J289" s="68">
        <f t="shared" si="251"/>
        <v>-2.9000389398022713E-3</v>
      </c>
      <c r="K289" s="68">
        <f t="shared" si="251"/>
        <v>-2.7626213058651533E-3</v>
      </c>
      <c r="L289" s="68">
        <f t="shared" si="251"/>
        <v>-2.6375272051488408E-3</v>
      </c>
      <c r="M289" s="68">
        <f t="shared" si="251"/>
        <v>-2.5312150332824808E-3</v>
      </c>
      <c r="N289" s="68">
        <f t="shared" si="251"/>
        <v>-2.446078023048782E-3</v>
      </c>
      <c r="O289" s="68">
        <f t="shared" si="251"/>
        <v>-2.3811147055903059E-3</v>
      </c>
      <c r="P289" s="68">
        <f t="shared" si="251"/>
        <v>-2.3333614571927346E-3</v>
      </c>
      <c r="Q289" s="68">
        <f t="shared" si="251"/>
        <v>-2.2992185754186871E-3</v>
      </c>
      <c r="R289" s="68">
        <f t="shared" si="251"/>
        <v>-2.2752894575039278E-3</v>
      </c>
      <c r="S289" s="68">
        <f t="shared" si="251"/>
        <v>-2.2587529662262975E-3</v>
      </c>
      <c r="T289" s="68">
        <f t="shared" si="251"/>
        <v>-2.2474362212000464E-3</v>
      </c>
      <c r="U289" s="68">
        <f t="shared" si="251"/>
        <v>-2.2397432998057546E-3</v>
      </c>
      <c r="V289" s="68">
        <f t="shared" si="251"/>
        <v>-2.2345375855004892E-3</v>
      </c>
      <c r="W289" s="68">
        <f t="shared" si="251"/>
        <v>-2.2310258051952843E-3</v>
      </c>
      <c r="X289" s="68">
        <f t="shared" si="251"/>
        <v>-2.2286616921388652E-3</v>
      </c>
      <c r="Y289" s="68">
        <f t="shared" si="251"/>
        <v>-2.2270724180411127E-3</v>
      </c>
      <c r="Z289" s="68">
        <f t="shared" si="251"/>
        <v>-2.2260050384144202E-3</v>
      </c>
      <c r="AA289" s="68">
        <f t="shared" si="251"/>
        <v>-2.2252886257248142E-3</v>
      </c>
      <c r="AB289" s="68">
        <f t="shared" si="251"/>
        <v>-2.2248079828348036E-3</v>
      </c>
      <c r="AC289" s="68">
        <f t="shared" si="251"/>
        <v>-2.2244856106439686E-3</v>
      </c>
    </row>
    <row r="290" spans="1:29" x14ac:dyDescent="0.3">
      <c r="A290" s="30" t="str">
        <f t="shared" si="249"/>
        <v>Capex costumization</v>
      </c>
      <c r="B290" s="66">
        <f>((1+B249)^B257)*B249/(((1+B249)^B257)-1)*(B247)/B261/(B258)</f>
        <v>1.552776665375814E-3</v>
      </c>
      <c r="C290" s="66">
        <f t="shared" ref="C290:AC290" si="252">((1+C249)^C257)*C249/(((1+C249)^C257)-1)*(C247)/C261/(C258)</f>
        <v>1.552776665375814E-3</v>
      </c>
      <c r="D290" s="66">
        <f t="shared" si="252"/>
        <v>1.552776665375814E-3</v>
      </c>
      <c r="E290" s="66">
        <f t="shared" si="252"/>
        <v>1.552776665375814E-3</v>
      </c>
      <c r="F290" s="66">
        <f t="shared" si="252"/>
        <v>1.552776665375814E-3</v>
      </c>
      <c r="G290" s="66">
        <f t="shared" si="252"/>
        <v>1.552776665375814E-3</v>
      </c>
      <c r="H290" s="66">
        <f t="shared" si="252"/>
        <v>1.552776665375814E-3</v>
      </c>
      <c r="I290" s="66">
        <f t="shared" si="252"/>
        <v>1.552776665375814E-3</v>
      </c>
      <c r="J290" s="66">
        <f t="shared" si="252"/>
        <v>1.552776665375814E-3</v>
      </c>
      <c r="K290" s="66">
        <f t="shared" si="252"/>
        <v>1.552776665375814E-3</v>
      </c>
      <c r="L290" s="66">
        <f t="shared" si="252"/>
        <v>1.552776665375814E-3</v>
      </c>
      <c r="M290" s="66">
        <f t="shared" si="252"/>
        <v>1.552776665375814E-3</v>
      </c>
      <c r="N290" s="66">
        <f t="shared" si="252"/>
        <v>1.552776665375814E-3</v>
      </c>
      <c r="O290" s="66">
        <f t="shared" si="252"/>
        <v>1.552776665375814E-3</v>
      </c>
      <c r="P290" s="66">
        <f t="shared" si="252"/>
        <v>1.552776665375814E-3</v>
      </c>
      <c r="Q290" s="66">
        <f t="shared" si="252"/>
        <v>1.552776665375814E-3</v>
      </c>
      <c r="R290" s="66">
        <f t="shared" si="252"/>
        <v>1.552776665375814E-3</v>
      </c>
      <c r="S290" s="66">
        <f t="shared" si="252"/>
        <v>1.552776665375814E-3</v>
      </c>
      <c r="T290" s="66">
        <f t="shared" si="252"/>
        <v>1.552776665375814E-3</v>
      </c>
      <c r="U290" s="66">
        <f t="shared" si="252"/>
        <v>1.552776665375814E-3</v>
      </c>
      <c r="V290" s="66">
        <f t="shared" si="252"/>
        <v>1.552776665375814E-3</v>
      </c>
      <c r="W290" s="66">
        <f t="shared" si="252"/>
        <v>1.552776665375814E-3</v>
      </c>
      <c r="X290" s="66">
        <f t="shared" si="252"/>
        <v>1.552776665375814E-3</v>
      </c>
      <c r="Y290" s="66">
        <f t="shared" si="252"/>
        <v>1.552776665375814E-3</v>
      </c>
      <c r="Z290" s="66">
        <f t="shared" si="252"/>
        <v>1.552776665375814E-3</v>
      </c>
      <c r="AA290" s="66">
        <f t="shared" si="252"/>
        <v>1.552776665375814E-3</v>
      </c>
      <c r="AB290" s="66">
        <f t="shared" si="252"/>
        <v>1.552776665375814E-3</v>
      </c>
      <c r="AC290" s="66">
        <f t="shared" si="252"/>
        <v>1.552776665375814E-3</v>
      </c>
    </row>
    <row r="291" spans="1:29" x14ac:dyDescent="0.3">
      <c r="A291" s="30" t="str">
        <f t="shared" si="249"/>
        <v>Residual value (costumization)</v>
      </c>
      <c r="B291" s="69">
        <f>((1+B249)^B257)*B249/(((1+B249)^B257)-1)*(B248)/B261/(B258)</f>
        <v>-3.8819416634395349E-4</v>
      </c>
      <c r="C291" s="69">
        <f t="shared" ref="C291:AC291" si="253">((1+C249)^C257)*C249/(((1+C249)^C257)-1)*(C248)/C261/(C258)</f>
        <v>-3.8819416634395349E-4</v>
      </c>
      <c r="D291" s="69">
        <f t="shared" si="253"/>
        <v>-3.8819416634395349E-4</v>
      </c>
      <c r="E291" s="69">
        <f t="shared" si="253"/>
        <v>-3.8819416634395349E-4</v>
      </c>
      <c r="F291" s="69">
        <f t="shared" si="253"/>
        <v>-3.8819416634395349E-4</v>
      </c>
      <c r="G291" s="69">
        <f t="shared" si="253"/>
        <v>-3.8819416634395349E-4</v>
      </c>
      <c r="H291" s="69">
        <f t="shared" si="253"/>
        <v>-3.8819416634395349E-4</v>
      </c>
      <c r="I291" s="69">
        <f t="shared" si="253"/>
        <v>-3.8819416634395349E-4</v>
      </c>
      <c r="J291" s="69">
        <f t="shared" si="253"/>
        <v>-3.8819416634395349E-4</v>
      </c>
      <c r="K291" s="69">
        <f t="shared" si="253"/>
        <v>-3.8819416634395349E-4</v>
      </c>
      <c r="L291" s="69">
        <f t="shared" si="253"/>
        <v>-3.8819416634395349E-4</v>
      </c>
      <c r="M291" s="69">
        <f t="shared" si="253"/>
        <v>-3.8819416634395349E-4</v>
      </c>
      <c r="N291" s="69">
        <f t="shared" si="253"/>
        <v>-3.8819416634395349E-4</v>
      </c>
      <c r="O291" s="69">
        <f t="shared" si="253"/>
        <v>-3.8819416634395349E-4</v>
      </c>
      <c r="P291" s="69">
        <f t="shared" si="253"/>
        <v>-3.8819416634395349E-4</v>
      </c>
      <c r="Q291" s="69">
        <f t="shared" si="253"/>
        <v>-3.8819416634395349E-4</v>
      </c>
      <c r="R291" s="69">
        <f t="shared" si="253"/>
        <v>-3.8819416634395349E-4</v>
      </c>
      <c r="S291" s="69">
        <f t="shared" si="253"/>
        <v>-3.8819416634395349E-4</v>
      </c>
      <c r="T291" s="69">
        <f t="shared" si="253"/>
        <v>-3.8819416634395349E-4</v>
      </c>
      <c r="U291" s="69">
        <f t="shared" si="253"/>
        <v>-3.8819416634395349E-4</v>
      </c>
      <c r="V291" s="69">
        <f t="shared" si="253"/>
        <v>-3.8819416634395349E-4</v>
      </c>
      <c r="W291" s="69">
        <f t="shared" si="253"/>
        <v>-3.8819416634395349E-4</v>
      </c>
      <c r="X291" s="69">
        <f t="shared" si="253"/>
        <v>-3.8819416634395349E-4</v>
      </c>
      <c r="Y291" s="69">
        <f t="shared" si="253"/>
        <v>-3.8819416634395349E-4</v>
      </c>
      <c r="Z291" s="69">
        <f t="shared" si="253"/>
        <v>-3.8819416634395349E-4</v>
      </c>
      <c r="AA291" s="69">
        <f t="shared" si="253"/>
        <v>-3.8819416634395349E-4</v>
      </c>
      <c r="AB291" s="69">
        <f t="shared" si="253"/>
        <v>-3.8819416634395349E-4</v>
      </c>
      <c r="AC291" s="69">
        <f t="shared" si="253"/>
        <v>-3.8819416634395349E-4</v>
      </c>
    </row>
    <row r="292" spans="1:29" x14ac:dyDescent="0.3">
      <c r="A292" s="30" t="str">
        <f t="shared" si="249"/>
        <v>Opex fix (admin, crew, insurance)</v>
      </c>
      <c r="B292" s="66">
        <f>B250/B261/(B258)</f>
        <v>2.6666666666666665E-2</v>
      </c>
      <c r="C292" s="66">
        <f t="shared" ref="C292:AC292" si="254">C250/C261/(C258)</f>
        <v>2.6666666666666665E-2</v>
      </c>
      <c r="D292" s="66">
        <f t="shared" si="254"/>
        <v>2.6666666666666665E-2</v>
      </c>
      <c r="E292" s="66">
        <f t="shared" si="254"/>
        <v>2.6666666666666665E-2</v>
      </c>
      <c r="F292" s="66">
        <f t="shared" si="254"/>
        <v>2.6666666666666665E-2</v>
      </c>
      <c r="G292" s="66">
        <f t="shared" si="254"/>
        <v>2.6666666666666665E-2</v>
      </c>
      <c r="H292" s="66">
        <f t="shared" si="254"/>
        <v>2.6666666666666665E-2</v>
      </c>
      <c r="I292" s="66">
        <f t="shared" si="254"/>
        <v>2.6666666666666665E-2</v>
      </c>
      <c r="J292" s="66">
        <f t="shared" si="254"/>
        <v>2.6666666666666665E-2</v>
      </c>
      <c r="K292" s="66">
        <f t="shared" si="254"/>
        <v>2.6666666666666665E-2</v>
      </c>
      <c r="L292" s="66">
        <f t="shared" si="254"/>
        <v>2.6666666666666665E-2</v>
      </c>
      <c r="M292" s="66">
        <f t="shared" si="254"/>
        <v>2.6666666666666665E-2</v>
      </c>
      <c r="N292" s="66">
        <f t="shared" si="254"/>
        <v>2.6666666666666665E-2</v>
      </c>
      <c r="O292" s="66">
        <f t="shared" si="254"/>
        <v>2.6666666666666665E-2</v>
      </c>
      <c r="P292" s="66">
        <f t="shared" si="254"/>
        <v>2.6666666666666665E-2</v>
      </c>
      <c r="Q292" s="66">
        <f t="shared" si="254"/>
        <v>2.6666666666666665E-2</v>
      </c>
      <c r="R292" s="66">
        <f t="shared" si="254"/>
        <v>2.6666666666666665E-2</v>
      </c>
      <c r="S292" s="66">
        <f t="shared" si="254"/>
        <v>2.6666666666666665E-2</v>
      </c>
      <c r="T292" s="66">
        <f t="shared" si="254"/>
        <v>2.6666666666666665E-2</v>
      </c>
      <c r="U292" s="66">
        <f t="shared" si="254"/>
        <v>2.6666666666666665E-2</v>
      </c>
      <c r="V292" s="66">
        <f t="shared" si="254"/>
        <v>2.6666666666666665E-2</v>
      </c>
      <c r="W292" s="66">
        <f t="shared" si="254"/>
        <v>2.6666666666666665E-2</v>
      </c>
      <c r="X292" s="66">
        <f t="shared" si="254"/>
        <v>2.6666666666666665E-2</v>
      </c>
      <c r="Y292" s="66">
        <f t="shared" si="254"/>
        <v>2.6666666666666665E-2</v>
      </c>
      <c r="Z292" s="66">
        <f t="shared" si="254"/>
        <v>2.6666666666666665E-2</v>
      </c>
      <c r="AA292" s="66">
        <f t="shared" si="254"/>
        <v>2.6666666666666665E-2</v>
      </c>
      <c r="AB292" s="66">
        <f t="shared" si="254"/>
        <v>2.6666666666666665E-2</v>
      </c>
      <c r="AC292" s="66">
        <f t="shared" si="254"/>
        <v>2.6666666666666665E-2</v>
      </c>
    </row>
    <row r="293" spans="1:29" x14ac:dyDescent="0.3">
      <c r="A293" s="30" t="str">
        <f t="shared" si="249"/>
        <v>Opex maintenance &amp; repair</v>
      </c>
      <c r="B293" s="66">
        <f>B251/B261/(B258)</f>
        <v>5.7142857142857143E-3</v>
      </c>
      <c r="C293" s="66">
        <f t="shared" ref="C293:AC293" si="255">C251/C261/(C258)</f>
        <v>5.7142857142857143E-3</v>
      </c>
      <c r="D293" s="66">
        <f t="shared" si="255"/>
        <v>5.7142857142857143E-3</v>
      </c>
      <c r="E293" s="66">
        <f t="shared" si="255"/>
        <v>5.7142857142857143E-3</v>
      </c>
      <c r="F293" s="66">
        <f t="shared" si="255"/>
        <v>5.7142857142857143E-3</v>
      </c>
      <c r="G293" s="66">
        <f t="shared" si="255"/>
        <v>5.7142857142857143E-3</v>
      </c>
      <c r="H293" s="66">
        <f t="shared" si="255"/>
        <v>5.7142857142857143E-3</v>
      </c>
      <c r="I293" s="66">
        <f t="shared" si="255"/>
        <v>5.7142857142857143E-3</v>
      </c>
      <c r="J293" s="66">
        <f t="shared" si="255"/>
        <v>5.7142857142857143E-3</v>
      </c>
      <c r="K293" s="66">
        <f t="shared" si="255"/>
        <v>5.7142857142857143E-3</v>
      </c>
      <c r="L293" s="66">
        <f t="shared" si="255"/>
        <v>5.7142857142857143E-3</v>
      </c>
      <c r="M293" s="66">
        <f t="shared" si="255"/>
        <v>5.7142857142857143E-3</v>
      </c>
      <c r="N293" s="66">
        <f t="shared" si="255"/>
        <v>5.7142857142857143E-3</v>
      </c>
      <c r="O293" s="66">
        <f t="shared" si="255"/>
        <v>5.7142857142857143E-3</v>
      </c>
      <c r="P293" s="66">
        <f t="shared" si="255"/>
        <v>5.7142857142857143E-3</v>
      </c>
      <c r="Q293" s="66">
        <f t="shared" si="255"/>
        <v>5.7142857142857143E-3</v>
      </c>
      <c r="R293" s="66">
        <f t="shared" si="255"/>
        <v>5.7142857142857143E-3</v>
      </c>
      <c r="S293" s="66">
        <f t="shared" si="255"/>
        <v>5.7142857142857143E-3</v>
      </c>
      <c r="T293" s="66">
        <f t="shared" si="255"/>
        <v>5.7142857142857143E-3</v>
      </c>
      <c r="U293" s="66">
        <f t="shared" si="255"/>
        <v>5.7142857142857143E-3</v>
      </c>
      <c r="V293" s="66">
        <f t="shared" si="255"/>
        <v>5.7142857142857143E-3</v>
      </c>
      <c r="W293" s="66">
        <f t="shared" si="255"/>
        <v>5.7142857142857143E-3</v>
      </c>
      <c r="X293" s="66">
        <f t="shared" si="255"/>
        <v>5.7142857142857143E-3</v>
      </c>
      <c r="Y293" s="66">
        <f t="shared" si="255"/>
        <v>5.7142857142857143E-3</v>
      </c>
      <c r="Z293" s="66">
        <f t="shared" si="255"/>
        <v>5.7142857142857143E-3</v>
      </c>
      <c r="AA293" s="66">
        <f t="shared" si="255"/>
        <v>5.7142857142857143E-3</v>
      </c>
      <c r="AB293" s="66">
        <f t="shared" si="255"/>
        <v>5.7142857142857143E-3</v>
      </c>
      <c r="AC293" s="66">
        <f t="shared" si="255"/>
        <v>5.7142857142857143E-3</v>
      </c>
    </row>
    <row r="294" spans="1:29" x14ac:dyDescent="0.3">
      <c r="A294" s="30" t="str">
        <f t="shared" si="249"/>
        <v>Opex var (mode-fees)</v>
      </c>
      <c r="B294" s="66">
        <f>B252*B261/B261/(B258)</f>
        <v>4.4000000000000003E-3</v>
      </c>
      <c r="C294" s="66">
        <f t="shared" ref="C294:AC294" si="256">C252*C261/C261/(C258)</f>
        <v>4.4000000000000003E-3</v>
      </c>
      <c r="D294" s="66">
        <f t="shared" si="256"/>
        <v>4.4000000000000003E-3</v>
      </c>
      <c r="E294" s="66">
        <f t="shared" si="256"/>
        <v>4.4000000000000003E-3</v>
      </c>
      <c r="F294" s="66">
        <f t="shared" si="256"/>
        <v>4.4000000000000003E-3</v>
      </c>
      <c r="G294" s="66">
        <f t="shared" si="256"/>
        <v>4.4000000000000003E-3</v>
      </c>
      <c r="H294" s="66">
        <f t="shared" si="256"/>
        <v>4.4000000000000003E-3</v>
      </c>
      <c r="I294" s="66">
        <f t="shared" si="256"/>
        <v>4.4000000000000003E-3</v>
      </c>
      <c r="J294" s="66">
        <f t="shared" si="256"/>
        <v>4.4000000000000003E-3</v>
      </c>
      <c r="K294" s="66">
        <f t="shared" si="256"/>
        <v>4.4000000000000003E-3</v>
      </c>
      <c r="L294" s="66">
        <f t="shared" si="256"/>
        <v>4.4000000000000003E-3</v>
      </c>
      <c r="M294" s="66">
        <f t="shared" si="256"/>
        <v>4.4000000000000003E-3</v>
      </c>
      <c r="N294" s="66">
        <f t="shared" si="256"/>
        <v>4.4000000000000003E-3</v>
      </c>
      <c r="O294" s="66">
        <f t="shared" si="256"/>
        <v>4.4000000000000003E-3</v>
      </c>
      <c r="P294" s="66">
        <f t="shared" si="256"/>
        <v>4.4000000000000003E-3</v>
      </c>
      <c r="Q294" s="66">
        <f t="shared" si="256"/>
        <v>4.4000000000000003E-3</v>
      </c>
      <c r="R294" s="66">
        <f t="shared" si="256"/>
        <v>4.4000000000000003E-3</v>
      </c>
      <c r="S294" s="66">
        <f t="shared" si="256"/>
        <v>4.4000000000000003E-3</v>
      </c>
      <c r="T294" s="66">
        <f t="shared" si="256"/>
        <v>4.4000000000000003E-3</v>
      </c>
      <c r="U294" s="66">
        <f t="shared" si="256"/>
        <v>4.4000000000000003E-3</v>
      </c>
      <c r="V294" s="66">
        <f t="shared" si="256"/>
        <v>4.4000000000000003E-3</v>
      </c>
      <c r="W294" s="66">
        <f t="shared" si="256"/>
        <v>4.4000000000000003E-3</v>
      </c>
      <c r="X294" s="66">
        <f t="shared" si="256"/>
        <v>4.4000000000000003E-3</v>
      </c>
      <c r="Y294" s="66">
        <f t="shared" si="256"/>
        <v>4.4000000000000003E-3</v>
      </c>
      <c r="Z294" s="66">
        <f t="shared" si="256"/>
        <v>4.4000000000000003E-3</v>
      </c>
      <c r="AA294" s="66">
        <f t="shared" si="256"/>
        <v>4.4000000000000003E-3</v>
      </c>
      <c r="AB294" s="66">
        <f t="shared" si="256"/>
        <v>4.4000000000000003E-3</v>
      </c>
      <c r="AC294" s="66">
        <f t="shared" si="256"/>
        <v>4.4000000000000003E-3</v>
      </c>
    </row>
    <row r="295" spans="1:29" x14ac:dyDescent="0.3">
      <c r="A295" s="30" t="str">
        <f t="shared" si="249"/>
        <v>Fuel Cost</v>
      </c>
      <c r="B295" s="66">
        <f>B253*B254*B261/B261/(B258)</f>
        <v>5.5397830482865063E-3</v>
      </c>
      <c r="C295" s="66">
        <f t="shared" ref="C295:AC295" si="257">C253*C254*C261/C261/(C258)</f>
        <v>5.5030187968735864E-3</v>
      </c>
      <c r="D295" s="66">
        <f t="shared" si="257"/>
        <v>5.4524168925878169E-3</v>
      </c>
      <c r="E295" s="66">
        <f t="shared" si="257"/>
        <v>5.3840018143389082E-3</v>
      </c>
      <c r="F295" s="66">
        <f t="shared" si="257"/>
        <v>5.2937441438000356E-3</v>
      </c>
      <c r="G295" s="66">
        <f t="shared" si="257"/>
        <v>5.1784825442777946E-3</v>
      </c>
      <c r="H295" s="66">
        <f t="shared" si="257"/>
        <v>5.0372299936559187E-3</v>
      </c>
      <c r="I295" s="66">
        <f t="shared" si="257"/>
        <v>4.8724144010720231E-3</v>
      </c>
      <c r="J295" s="66">
        <f t="shared" si="257"/>
        <v>4.6902619632768188E-3</v>
      </c>
      <c r="K295" s="66">
        <f t="shared" si="257"/>
        <v>4.4997681186015239E-3</v>
      </c>
      <c r="L295" s="66">
        <f t="shared" si="257"/>
        <v>4.3106701485028636E-3</v>
      </c>
      <c r="M295" s="66">
        <f t="shared" si="257"/>
        <v>4.13162426244334E-3</v>
      </c>
      <c r="N295" s="66">
        <f t="shared" si="257"/>
        <v>3.9693641445853536E-3</v>
      </c>
      <c r="O295" s="66">
        <f t="shared" si="257"/>
        <v>3.8285256527784911E-3</v>
      </c>
      <c r="P295" s="66">
        <f t="shared" si="257"/>
        <v>3.7115144421374104E-3</v>
      </c>
      <c r="Q295" s="66">
        <f t="shared" si="257"/>
        <v>3.6183959788129274E-3</v>
      </c>
      <c r="R295" s="66">
        <f t="shared" si="257"/>
        <v>3.5471719951152359E-3</v>
      </c>
      <c r="S295" s="66">
        <f t="shared" si="257"/>
        <v>3.4945123865455156E-3</v>
      </c>
      <c r="T295" s="66">
        <f t="shared" si="257"/>
        <v>3.4566245568603427E-3</v>
      </c>
      <c r="U295" s="66">
        <f t="shared" si="257"/>
        <v>3.4299250721049413E-3</v>
      </c>
      <c r="V295" s="66">
        <f t="shared" si="257"/>
        <v>3.411394468339254E-3</v>
      </c>
      <c r="W295" s="66">
        <f t="shared" si="257"/>
        <v>3.3986724592991102E-3</v>
      </c>
      <c r="X295" s="66">
        <f t="shared" si="257"/>
        <v>3.3900044467554675E-3</v>
      </c>
      <c r="Y295" s="66">
        <f t="shared" si="257"/>
        <v>3.3841294914713758E-3</v>
      </c>
      <c r="Z295" s="66">
        <f t="shared" si="257"/>
        <v>3.3801618559776369E-3</v>
      </c>
      <c r="AA295" s="66">
        <f t="shared" si="257"/>
        <v>3.3774888447340441E-3</v>
      </c>
      <c r="AB295" s="66">
        <f t="shared" si="257"/>
        <v>3.3756909919627777E-3</v>
      </c>
      <c r="AC295" s="66">
        <f t="shared" si="257"/>
        <v>3.3744831090442877E-3</v>
      </c>
    </row>
    <row r="296" spans="1:29" x14ac:dyDescent="0.3">
      <c r="A296" s="59" t="str">
        <f>A259</f>
        <v>Market failure (av. utilization)</v>
      </c>
      <c r="B296" s="66">
        <f t="shared" ref="B296:AC296" si="258">B285/B259-B285/B258</f>
        <v>7.5707949094327057E-2</v>
      </c>
      <c r="C296" s="66">
        <f t="shared" si="258"/>
        <v>7.5295849604522E-2</v>
      </c>
      <c r="D296" s="66">
        <f t="shared" si="258"/>
        <v>7.4730632931873306E-2</v>
      </c>
      <c r="E296" s="66">
        <f t="shared" si="258"/>
        <v>7.397053969045804E-2</v>
      </c>
      <c r="F296" s="66">
        <f t="shared" si="258"/>
        <v>7.2975942150506068E-2</v>
      </c>
      <c r="G296" s="66">
        <f t="shared" si="258"/>
        <v>7.1721462376147016E-2</v>
      </c>
      <c r="H296" s="66">
        <f t="shared" si="258"/>
        <v>7.0212521947862566E-2</v>
      </c>
      <c r="I296" s="66">
        <f t="shared" si="258"/>
        <v>6.8500005458833169E-2</v>
      </c>
      <c r="J296" s="66">
        <f t="shared" si="258"/>
        <v>6.6682058335328948E-2</v>
      </c>
      <c r="K296" s="66">
        <f t="shared" si="258"/>
        <v>6.4885090748938529E-2</v>
      </c>
      <c r="L296" s="66">
        <f t="shared" si="258"/>
        <v>6.3229594682068305E-2</v>
      </c>
      <c r="M296" s="66">
        <f t="shared" si="258"/>
        <v>6.1799222420589786E-2</v>
      </c>
      <c r="N296" s="66">
        <f t="shared" si="258"/>
        <v>6.0628866015801114E-2</v>
      </c>
      <c r="O296" s="66">
        <f t="shared" si="258"/>
        <v>5.9712174620116881E-2</v>
      </c>
      <c r="P296" s="66">
        <f t="shared" si="258"/>
        <v>5.9017882971484741E-2</v>
      </c>
      <c r="Q296" s="66">
        <f t="shared" si="258"/>
        <v>5.8504988703133684E-2</v>
      </c>
      <c r="R296" s="66">
        <f t="shared" si="258"/>
        <v>5.8132800022986514E-2</v>
      </c>
      <c r="S296" s="66">
        <f t="shared" si="258"/>
        <v>5.7866064593111104E-2</v>
      </c>
      <c r="T296" s="66">
        <f t="shared" si="258"/>
        <v>5.7676645645927428E-2</v>
      </c>
      <c r="U296" s="66">
        <f t="shared" si="258"/>
        <v>5.7543179923893788E-2</v>
      </c>
      <c r="V296" s="66">
        <f t="shared" si="258"/>
        <v>5.744986374384356E-2</v>
      </c>
      <c r="W296" s="66">
        <f t="shared" si="258"/>
        <v>5.7385130558017014E-2</v>
      </c>
      <c r="X296" s="66">
        <f t="shared" si="258"/>
        <v>5.734056306858288E-2</v>
      </c>
      <c r="Y296" s="66">
        <f t="shared" si="258"/>
        <v>5.7310083333112855E-2</v>
      </c>
      <c r="Z296" s="66">
        <f t="shared" si="258"/>
        <v>5.7289352000678112E-2</v>
      </c>
      <c r="AA296" s="66">
        <f t="shared" si="258"/>
        <v>5.7275310758938422E-2</v>
      </c>
      <c r="AB296" s="66">
        <f t="shared" si="258"/>
        <v>5.7265830423503382E-2</v>
      </c>
      <c r="AC296" s="66">
        <f t="shared" si="258"/>
        <v>5.7259443876853541E-2</v>
      </c>
    </row>
    <row r="297" spans="1:29" x14ac:dyDescent="0.3">
      <c r="A297" s="59" t="str">
        <f>A260</f>
        <v>Payload loss (fuel)</v>
      </c>
      <c r="B297" s="66">
        <f>B285/(B258-B260)-B285/B258</f>
        <v>7.1132539649722548E-3</v>
      </c>
      <c r="C297" s="66">
        <f t="shared" ref="C297:AC297" si="259">C285/(C258-C260)-C285/C258</f>
        <v>7.0521932696329254E-3</v>
      </c>
      <c r="D297" s="66">
        <f t="shared" si="259"/>
        <v>6.9677958062299844E-3</v>
      </c>
      <c r="E297" s="66">
        <f t="shared" si="259"/>
        <v>6.852960306075434E-3</v>
      </c>
      <c r="F297" s="66">
        <f t="shared" si="259"/>
        <v>6.700011814774795E-3</v>
      </c>
      <c r="G297" s="66">
        <f t="shared" si="259"/>
        <v>6.501924349569442E-3</v>
      </c>
      <c r="H297" s="66">
        <f t="shared" si="259"/>
        <v>6.254175768394786E-3</v>
      </c>
      <c r="I297" s="66">
        <f t="shared" si="259"/>
        <v>5.9567288205646107E-3</v>
      </c>
      <c r="J297" s="66">
        <f t="shared" si="259"/>
        <v>5.6152032899646695E-3</v>
      </c>
      <c r="K297" s="66">
        <f t="shared" si="259"/>
        <v>5.2405823534905638E-3</v>
      </c>
      <c r="L297" s="66">
        <f t="shared" si="259"/>
        <v>4.8478575400371718E-3</v>
      </c>
      <c r="M297" s="66">
        <f t="shared" si="259"/>
        <v>4.4545939822651093E-3</v>
      </c>
      <c r="N297" s="66">
        <f t="shared" si="259"/>
        <v>4.0794801741904502E-3</v>
      </c>
      <c r="O297" s="66">
        <f t="shared" si="259"/>
        <v>3.7399489758319637E-3</v>
      </c>
      <c r="P297" s="66">
        <f t="shared" si="259"/>
        <v>3.4488778526204147E-3</v>
      </c>
      <c r="Q297" s="66">
        <f t="shared" si="259"/>
        <v>3.2120846756053187E-3</v>
      </c>
      <c r="R297" s="66">
        <f t="shared" si="259"/>
        <v>3.0282251422027867E-3</v>
      </c>
      <c r="S297" s="66">
        <f t="shared" si="259"/>
        <v>2.8908787585848889E-3</v>
      </c>
      <c r="T297" s="66">
        <f t="shared" si="259"/>
        <v>2.7913356227970629E-3</v>
      </c>
      <c r="U297" s="66">
        <f t="shared" si="259"/>
        <v>2.7208100437619773E-3</v>
      </c>
      <c r="V297" s="66">
        <f t="shared" si="259"/>
        <v>2.6716637719493078E-3</v>
      </c>
      <c r="W297" s="66">
        <f t="shared" si="259"/>
        <v>2.6378194803718391E-3</v>
      </c>
      <c r="X297" s="66">
        <f t="shared" si="259"/>
        <v>2.6147072799384899E-3</v>
      </c>
      <c r="Y297" s="66">
        <f t="shared" si="259"/>
        <v>2.5990162216793095E-3</v>
      </c>
      <c r="Z297" s="66">
        <f t="shared" si="259"/>
        <v>2.5884066053105254E-3</v>
      </c>
      <c r="AA297" s="66">
        <f t="shared" si="259"/>
        <v>2.5812528364661108E-3</v>
      </c>
      <c r="AB297" s="66">
        <f t="shared" si="259"/>
        <v>2.5764384340241087E-3</v>
      </c>
      <c r="AC297" s="66">
        <f t="shared" si="259"/>
        <v>2.5732025895309971E-3</v>
      </c>
    </row>
    <row r="298" spans="1:29" ht="15" thickBot="1" x14ac:dyDescent="0.35">
      <c r="A298" s="59" t="str">
        <f>A235</f>
        <v>Emission Cost</v>
      </c>
      <c r="B298" s="68">
        <f>B255*B261/B261/(B258)</f>
        <v>1.4049076735721778E-4</v>
      </c>
      <c r="C298" s="68">
        <f t="shared" ref="C298:AC298" si="260">C255*C261/C261/(C258)</f>
        <v>1.4035698591588104E-4</v>
      </c>
      <c r="D298" s="68">
        <f t="shared" si="260"/>
        <v>1.4016548076234878E-4</v>
      </c>
      <c r="E298" s="68">
        <f t="shared" si="260"/>
        <v>1.3989151917297648E-4</v>
      </c>
      <c r="F298" s="68">
        <f t="shared" si="260"/>
        <v>1.3949996760913741E-4</v>
      </c>
      <c r="G298" s="68">
        <f t="shared" si="260"/>
        <v>1.3894113890973713E-4</v>
      </c>
      <c r="H298" s="68">
        <f t="shared" si="260"/>
        <v>1.3814522974610444E-4</v>
      </c>
      <c r="I298" s="68">
        <f t="shared" si="260"/>
        <v>1.3701515282874783E-4</v>
      </c>
      <c r="J298" s="68">
        <f t="shared" si="260"/>
        <v>1.3541789769952266E-4</v>
      </c>
      <c r="K298" s="68">
        <f t="shared" si="260"/>
        <v>1.3317538031496002E-4</v>
      </c>
      <c r="L298" s="68">
        <f t="shared" si="260"/>
        <v>1.3005746709139924E-4</v>
      </c>
      <c r="M298" s="68">
        <f t="shared" si="260"/>
        <v>1.2578292470326314E-4</v>
      </c>
      <c r="N298" s="68">
        <f t="shared" si="260"/>
        <v>1.2003839777505247E-4</v>
      </c>
      <c r="O298" s="68">
        <f t="shared" si="260"/>
        <v>1.1252919131889444E-4</v>
      </c>
      <c r="P298" s="68">
        <f t="shared" si="260"/>
        <v>1.0307261500799069E-4</v>
      </c>
      <c r="Q298" s="68">
        <f t="shared" si="260"/>
        <v>9.1724994885971666E-5</v>
      </c>
      <c r="R298" s="68">
        <f t="shared" si="260"/>
        <v>7.8893405016236212E-5</v>
      </c>
      <c r="S298" s="68">
        <f t="shared" si="260"/>
        <v>6.534714823744498E-5</v>
      </c>
      <c r="T298" s="68">
        <f t="shared" si="260"/>
        <v>5.2067456454497702E-5</v>
      </c>
      <c r="U298" s="68">
        <f t="shared" si="260"/>
        <v>3.9978679681221538E-5</v>
      </c>
      <c r="V298" s="68">
        <f t="shared" si="260"/>
        <v>2.9704940898853776E-5</v>
      </c>
      <c r="W298" s="68">
        <f t="shared" si="260"/>
        <v>2.1477516056547865E-5</v>
      </c>
      <c r="X298" s="68">
        <f t="shared" si="260"/>
        <v>1.5199625742695674E-5</v>
      </c>
      <c r="Y298" s="68">
        <f t="shared" si="260"/>
        <v>1.0584872874483328E-5</v>
      </c>
      <c r="Z298" s="68">
        <f t="shared" si="260"/>
        <v>7.2853913337923142E-6</v>
      </c>
      <c r="AA298" s="68">
        <f t="shared" si="260"/>
        <v>4.9729420400487081E-6</v>
      </c>
      <c r="AB298" s="68">
        <f t="shared" si="260"/>
        <v>3.3748974438302729E-6</v>
      </c>
      <c r="AC298" s="68">
        <f t="shared" si="260"/>
        <v>2.2812758930212777E-6</v>
      </c>
    </row>
    <row r="299" spans="1:29" ht="15" thickBot="1" x14ac:dyDescent="0.35">
      <c r="A299" s="31" t="s">
        <v>210</v>
      </c>
      <c r="B299" s="67">
        <f>B288+B289+B290+B291+B292+B293+B294+B295+B296+B297+B298</f>
        <v>0.14653677136251964</v>
      </c>
      <c r="C299" s="67">
        <f t="shared" ref="C299:AC299" si="261">C288+C289+C290+C291+C292+C293+C294+C295+C296+C297+C298</f>
        <v>0.14571256346383762</v>
      </c>
      <c r="D299" s="67">
        <f t="shared" si="261"/>
        <v>0.14458146845849262</v>
      </c>
      <c r="E299" s="67">
        <f t="shared" si="261"/>
        <v>0.14305905288164317</v>
      </c>
      <c r="F299" s="67">
        <f t="shared" si="261"/>
        <v>0.14106425709413517</v>
      </c>
      <c r="G299" s="67">
        <f t="shared" si="261"/>
        <v>0.13854305893567234</v>
      </c>
      <c r="H299" s="67">
        <f t="shared" si="261"/>
        <v>0.13550097622804499</v>
      </c>
      <c r="I299" s="67">
        <f t="shared" si="261"/>
        <v>0.13203220244867886</v>
      </c>
      <c r="J299" s="67">
        <f t="shared" si="261"/>
        <v>0.12832410817084888</v>
      </c>
      <c r="K299" s="67">
        <f t="shared" si="261"/>
        <v>0.12462176948179993</v>
      </c>
      <c r="L299" s="67">
        <f t="shared" si="261"/>
        <v>0.12116331121117947</v>
      </c>
      <c r="M299" s="67">
        <f t="shared" si="261"/>
        <v>0.11812121013215086</v>
      </c>
      <c r="N299" s="67">
        <f t="shared" si="261"/>
        <v>0.11557876964854165</v>
      </c>
      <c r="O299" s="67">
        <f t="shared" si="261"/>
        <v>0.11354166179150864</v>
      </c>
      <c r="P299" s="67">
        <f t="shared" si="261"/>
        <v>0.11196486539305241</v>
      </c>
      <c r="Q299" s="67">
        <f t="shared" si="261"/>
        <v>0.11077826801538718</v>
      </c>
      <c r="R299" s="67">
        <f t="shared" si="261"/>
        <v>0.10990517018541583</v>
      </c>
      <c r="S299" s="67">
        <f t="shared" si="261"/>
        <v>0.10927386930202865</v>
      </c>
      <c r="T299" s="67">
        <f t="shared" si="261"/>
        <v>0.10882355033812291</v>
      </c>
      <c r="U299" s="67">
        <f t="shared" si="261"/>
        <v>0.10850586601458109</v>
      </c>
      <c r="V299" s="67">
        <f t="shared" si="261"/>
        <v>0.10828391200193463</v>
      </c>
      <c r="W299" s="67">
        <f t="shared" si="261"/>
        <v>0.10813019144030803</v>
      </c>
      <c r="X299" s="67">
        <f t="shared" si="261"/>
        <v>0.10802454685203369</v>
      </c>
      <c r="Y299" s="67">
        <f t="shared" si="261"/>
        <v>0.1079524118392004</v>
      </c>
      <c r="Z299" s="67">
        <f t="shared" si="261"/>
        <v>0.10790341086647097</v>
      </c>
      <c r="AA299" s="67">
        <f t="shared" si="261"/>
        <v>0.10787025479810862</v>
      </c>
      <c r="AB299" s="67">
        <f t="shared" si="261"/>
        <v>0.10784788421893504</v>
      </c>
      <c r="AC299" s="67">
        <f t="shared" si="261"/>
        <v>0.10783282143620151</v>
      </c>
    </row>
    <row r="301" spans="1:29" x14ac:dyDescent="0.3">
      <c r="B301" s="40"/>
    </row>
    <row r="324" spans="1:44" s="3" customFormat="1" ht="21" x14ac:dyDescent="0.4">
      <c r="A324" s="2" t="str">
        <f>'Parameter Input'!A45</f>
        <v>Road long-haul: Break bulk</v>
      </c>
    </row>
    <row r="325" spans="1:44" s="3" customFormat="1" ht="21" x14ac:dyDescent="0.4">
      <c r="A325" s="2" t="s">
        <v>87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Input'!$L$20</f>
        <v>400000</v>
      </c>
      <c r="C334" s="42">
        <f>'Parameter Input'!$M$20</f>
        <v>145000</v>
      </c>
      <c r="D334" s="1" t="s">
        <v>15</v>
      </c>
      <c r="L334" s="51">
        <f>'Parameter Input'!$O$20</f>
        <v>8</v>
      </c>
      <c r="M334" s="52">
        <v>0</v>
      </c>
      <c r="N334" s="52">
        <v>1</v>
      </c>
      <c r="O334" s="52">
        <f>'Parameter Input'!$P$20</f>
        <v>0.9</v>
      </c>
      <c r="P334" s="53">
        <f>'Parameter Input'!$Q$20</f>
        <v>0.4</v>
      </c>
      <c r="Q334" s="4">
        <f t="shared" ref="Q334:AR343" si="262">$N334+($M334-$N334)*((1/(1+EXP(-$P334*(Q$9-$L334)))^$O334))</f>
        <v>0.94584787155511363</v>
      </c>
      <c r="R334" s="4">
        <f t="shared" si="262"/>
        <v>0.92370360150141495</v>
      </c>
      <c r="S334" s="4">
        <f t="shared" si="262"/>
        <v>0.89334463567658451</v>
      </c>
      <c r="T334" s="4">
        <f t="shared" si="262"/>
        <v>0.85254543874327005</v>
      </c>
      <c r="U334" s="4">
        <f t="shared" si="262"/>
        <v>0.79921300652623883</v>
      </c>
      <c r="V334" s="4">
        <f t="shared" si="262"/>
        <v>0.73204982249993378</v>
      </c>
      <c r="W334" s="4">
        <f t="shared" si="262"/>
        <v>0.65145592958786691</v>
      </c>
      <c r="X334" s="4">
        <f t="shared" si="262"/>
        <v>0.56032247880849573</v>
      </c>
      <c r="Y334" s="4">
        <f t="shared" si="262"/>
        <v>0.46411326873185343</v>
      </c>
      <c r="Z334" s="4">
        <f t="shared" si="262"/>
        <v>0.36979727595523937</v>
      </c>
      <c r="AA334" s="4">
        <f t="shared" si="262"/>
        <v>0.28393948637231203</v>
      </c>
      <c r="AB334" s="4">
        <f t="shared" si="262"/>
        <v>0.21097259161117732</v>
      </c>
      <c r="AC334" s="4">
        <f t="shared" si="262"/>
        <v>0.15253917653798199</v>
      </c>
      <c r="AD334" s="4">
        <f t="shared" si="262"/>
        <v>0.10795188737709993</v>
      </c>
      <c r="AE334" s="4">
        <f t="shared" si="262"/>
        <v>7.5176653938091809E-2</v>
      </c>
      <c r="AF334" s="4">
        <f t="shared" si="262"/>
        <v>5.1742836177502194E-2</v>
      </c>
      <c r="AG334" s="4">
        <f t="shared" si="262"/>
        <v>3.5319190625345942E-2</v>
      </c>
      <c r="AH334" s="4">
        <f t="shared" si="262"/>
        <v>2.3969442072658165E-2</v>
      </c>
      <c r="AI334" s="4">
        <f t="shared" si="262"/>
        <v>1.6202243558389728E-2</v>
      </c>
      <c r="AJ334" s="4">
        <f t="shared" si="262"/>
        <v>1.0922240564108399E-2</v>
      </c>
      <c r="AK334" s="4">
        <f t="shared" si="262"/>
        <v>7.3493212906090566E-3</v>
      </c>
      <c r="AL334" s="4">
        <f t="shared" si="262"/>
        <v>4.9390262185057265E-3</v>
      </c>
      <c r="AM334" s="4">
        <f t="shared" si="262"/>
        <v>3.3164275492956197E-3</v>
      </c>
      <c r="AN334" s="4">
        <f t="shared" si="262"/>
        <v>2.2256362146679809E-3</v>
      </c>
      <c r="AO334" s="4">
        <f t="shared" si="262"/>
        <v>1.4930448704811861E-3</v>
      </c>
      <c r="AP334" s="4">
        <f t="shared" si="262"/>
        <v>1.0013381504474506E-3</v>
      </c>
      <c r="AQ334" s="4">
        <f t="shared" si="262"/>
        <v>6.7145100246257527E-4</v>
      </c>
      <c r="AR334" s="4">
        <f t="shared" si="262"/>
        <v>4.5019225748876845E-4</v>
      </c>
    </row>
    <row r="335" spans="1:44" x14ac:dyDescent="0.3">
      <c r="A335" s="24" t="s">
        <v>28</v>
      </c>
      <c r="B335" s="60">
        <f>'Parameter Input'!$L$21</f>
        <v>-60000</v>
      </c>
      <c r="C335" s="61">
        <f>'Parameter Input'!$M$21</f>
        <v>-36250</v>
      </c>
      <c r="D335" s="1" t="s">
        <v>15</v>
      </c>
      <c r="L335" s="54">
        <f>'Parameter Input'!$O$21</f>
        <v>8</v>
      </c>
      <c r="M335" s="37">
        <v>0</v>
      </c>
      <c r="N335" s="37">
        <v>1</v>
      </c>
      <c r="O335" s="37">
        <f>'Parameter Input'!$P$21</f>
        <v>0.9</v>
      </c>
      <c r="P335" s="55">
        <f>'Parameter Input'!$Q$21</f>
        <v>0.4</v>
      </c>
      <c r="Q335" s="4">
        <f t="shared" si="262"/>
        <v>0.94584787155511363</v>
      </c>
      <c r="R335" s="4">
        <f t="shared" si="262"/>
        <v>0.92370360150141495</v>
      </c>
      <c r="S335" s="4">
        <f t="shared" si="262"/>
        <v>0.89334463567658451</v>
      </c>
      <c r="T335" s="4">
        <f t="shared" si="262"/>
        <v>0.85254543874327005</v>
      </c>
      <c r="U335" s="4">
        <f t="shared" si="262"/>
        <v>0.79921300652623883</v>
      </c>
      <c r="V335" s="4">
        <f t="shared" si="262"/>
        <v>0.73204982249993378</v>
      </c>
      <c r="W335" s="4">
        <f t="shared" si="262"/>
        <v>0.65145592958786691</v>
      </c>
      <c r="X335" s="4">
        <f t="shared" si="262"/>
        <v>0.56032247880849573</v>
      </c>
      <c r="Y335" s="4">
        <f t="shared" si="262"/>
        <v>0.46411326873185343</v>
      </c>
      <c r="Z335" s="4">
        <f t="shared" si="262"/>
        <v>0.36979727595523937</v>
      </c>
      <c r="AA335" s="4">
        <f t="shared" si="262"/>
        <v>0.28393948637231203</v>
      </c>
      <c r="AB335" s="4">
        <f t="shared" si="262"/>
        <v>0.21097259161117732</v>
      </c>
      <c r="AC335" s="4">
        <f t="shared" si="262"/>
        <v>0.15253917653798199</v>
      </c>
      <c r="AD335" s="4">
        <f t="shared" si="262"/>
        <v>0.10795188737709993</v>
      </c>
      <c r="AE335" s="4">
        <f t="shared" si="262"/>
        <v>7.5176653938091809E-2</v>
      </c>
      <c r="AF335" s="4">
        <f t="shared" si="262"/>
        <v>5.1742836177502194E-2</v>
      </c>
      <c r="AG335" s="4">
        <f t="shared" si="262"/>
        <v>3.5319190625345942E-2</v>
      </c>
      <c r="AH335" s="4">
        <f t="shared" si="262"/>
        <v>2.3969442072658165E-2</v>
      </c>
      <c r="AI335" s="4">
        <f t="shared" si="262"/>
        <v>1.6202243558389728E-2</v>
      </c>
      <c r="AJ335" s="4">
        <f t="shared" si="262"/>
        <v>1.0922240564108399E-2</v>
      </c>
      <c r="AK335" s="4">
        <f t="shared" si="262"/>
        <v>7.3493212906090566E-3</v>
      </c>
      <c r="AL335" s="4">
        <f t="shared" si="262"/>
        <v>4.9390262185057265E-3</v>
      </c>
      <c r="AM335" s="4">
        <f t="shared" si="262"/>
        <v>3.3164275492956197E-3</v>
      </c>
      <c r="AN335" s="4">
        <f t="shared" si="262"/>
        <v>2.2256362146679809E-3</v>
      </c>
      <c r="AO335" s="4">
        <f t="shared" si="262"/>
        <v>1.4930448704811861E-3</v>
      </c>
      <c r="AP335" s="4">
        <f t="shared" si="262"/>
        <v>1.0013381504474506E-3</v>
      </c>
      <c r="AQ335" s="4">
        <f t="shared" si="262"/>
        <v>6.7145100246257527E-4</v>
      </c>
      <c r="AR335" s="4">
        <f t="shared" si="262"/>
        <v>4.5019225748876845E-4</v>
      </c>
    </row>
    <row r="336" spans="1:44" x14ac:dyDescent="0.3">
      <c r="A336" s="24" t="s">
        <v>14</v>
      </c>
      <c r="B336" s="60">
        <f>'Parameter Input'!B46</f>
        <v>40000</v>
      </c>
      <c r="C336" s="61">
        <f>'Parameter Input'!C46</f>
        <v>40000</v>
      </c>
      <c r="D336" s="1" t="s">
        <v>15</v>
      </c>
      <c r="L336" s="54">
        <f>'Parameter Input'!E46</f>
        <v>12</v>
      </c>
      <c r="M336" s="37">
        <v>0</v>
      </c>
      <c r="N336" s="37">
        <v>1</v>
      </c>
      <c r="O336" s="37">
        <f>'Parameter Input'!F46</f>
        <v>0.9</v>
      </c>
      <c r="P336" s="55">
        <f>'Parameter Input'!G46</f>
        <v>0.4</v>
      </c>
      <c r="Q336" s="4">
        <f t="shared" si="262"/>
        <v>0.9867978615748374</v>
      </c>
      <c r="R336" s="4">
        <f t="shared" si="262"/>
        <v>0.98114509762858249</v>
      </c>
      <c r="S336" s="4">
        <f t="shared" si="262"/>
        <v>0.97311898315872036</v>
      </c>
      <c r="T336" s="4">
        <f t="shared" si="262"/>
        <v>0.96177484161592774</v>
      </c>
      <c r="U336" s="4">
        <f t="shared" si="262"/>
        <v>0.94584787155511363</v>
      </c>
      <c r="V336" s="4">
        <f t="shared" si="262"/>
        <v>0.92370360150141495</v>
      </c>
      <c r="W336" s="4">
        <f t="shared" si="262"/>
        <v>0.89334463567658451</v>
      </c>
      <c r="X336" s="4">
        <f t="shared" si="262"/>
        <v>0.85254543874327005</v>
      </c>
      <c r="Y336" s="4">
        <f t="shared" si="262"/>
        <v>0.79921300652623883</v>
      </c>
      <c r="Z336" s="4">
        <f t="shared" si="262"/>
        <v>0.73204982249993378</v>
      </c>
      <c r="AA336" s="4">
        <f t="shared" si="262"/>
        <v>0.65145592958786691</v>
      </c>
      <c r="AB336" s="4">
        <f t="shared" si="262"/>
        <v>0.56032247880849573</v>
      </c>
      <c r="AC336" s="4">
        <f t="shared" si="262"/>
        <v>0.46411326873185343</v>
      </c>
      <c r="AD336" s="4">
        <f t="shared" si="262"/>
        <v>0.36979727595523937</v>
      </c>
      <c r="AE336" s="4">
        <f t="shared" si="262"/>
        <v>0.28393948637231203</v>
      </c>
      <c r="AF336" s="4">
        <f t="shared" si="262"/>
        <v>0.21097259161117732</v>
      </c>
      <c r="AG336" s="4">
        <f t="shared" si="262"/>
        <v>0.15253917653798199</v>
      </c>
      <c r="AH336" s="4">
        <f t="shared" si="262"/>
        <v>0.10795188737709993</v>
      </c>
      <c r="AI336" s="4">
        <f t="shared" si="262"/>
        <v>7.5176653938091809E-2</v>
      </c>
      <c r="AJ336" s="4">
        <f t="shared" si="262"/>
        <v>5.1742836177502194E-2</v>
      </c>
      <c r="AK336" s="4">
        <f t="shared" si="262"/>
        <v>3.5319190625345942E-2</v>
      </c>
      <c r="AL336" s="4">
        <f t="shared" si="262"/>
        <v>2.3969442072658165E-2</v>
      </c>
      <c r="AM336" s="4">
        <f t="shared" si="262"/>
        <v>1.6202243558389728E-2</v>
      </c>
      <c r="AN336" s="4">
        <f t="shared" si="262"/>
        <v>1.0922240564108399E-2</v>
      </c>
      <c r="AO336" s="4">
        <f t="shared" si="262"/>
        <v>7.3493212906090566E-3</v>
      </c>
      <c r="AP336" s="4">
        <f t="shared" si="262"/>
        <v>4.9390262185057265E-3</v>
      </c>
      <c r="AQ336" s="4">
        <f t="shared" si="262"/>
        <v>3.3164275492956197E-3</v>
      </c>
      <c r="AR336" s="4">
        <f t="shared" si="262"/>
        <v>2.2256362146679809E-3</v>
      </c>
    </row>
    <row r="337" spans="1:44" x14ac:dyDescent="0.3">
      <c r="A337" s="24" t="s">
        <v>25</v>
      </c>
      <c r="B337" s="60">
        <f>'Parameter Input'!B47</f>
        <v>-10000</v>
      </c>
      <c r="C337" s="61">
        <f>'Parameter Input'!C47</f>
        <v>-10000</v>
      </c>
      <c r="D337" s="1" t="s">
        <v>15</v>
      </c>
      <c r="L337" s="54">
        <f>'Parameter Input'!E47</f>
        <v>12</v>
      </c>
      <c r="M337" s="37">
        <v>0</v>
      </c>
      <c r="N337" s="37">
        <v>1</v>
      </c>
      <c r="O337" s="37">
        <f>'Parameter Input'!F47</f>
        <v>0.9</v>
      </c>
      <c r="P337" s="55">
        <f>'Parameter Input'!G47</f>
        <v>0.4</v>
      </c>
      <c r="Q337" s="4">
        <f t="shared" si="262"/>
        <v>0.9867978615748374</v>
      </c>
      <c r="R337" s="4">
        <f t="shared" si="262"/>
        <v>0.98114509762858249</v>
      </c>
      <c r="S337" s="4">
        <f t="shared" si="262"/>
        <v>0.97311898315872036</v>
      </c>
      <c r="T337" s="4">
        <f t="shared" si="262"/>
        <v>0.96177484161592774</v>
      </c>
      <c r="U337" s="4">
        <f t="shared" si="262"/>
        <v>0.94584787155511363</v>
      </c>
      <c r="V337" s="4">
        <f t="shared" si="262"/>
        <v>0.92370360150141495</v>
      </c>
      <c r="W337" s="4">
        <f t="shared" si="262"/>
        <v>0.89334463567658451</v>
      </c>
      <c r="X337" s="4">
        <f t="shared" si="262"/>
        <v>0.85254543874327005</v>
      </c>
      <c r="Y337" s="4">
        <f t="shared" si="262"/>
        <v>0.79921300652623883</v>
      </c>
      <c r="Z337" s="4">
        <f t="shared" si="262"/>
        <v>0.73204982249993378</v>
      </c>
      <c r="AA337" s="4">
        <f t="shared" si="262"/>
        <v>0.65145592958786691</v>
      </c>
      <c r="AB337" s="4">
        <f t="shared" si="262"/>
        <v>0.56032247880849573</v>
      </c>
      <c r="AC337" s="4">
        <f t="shared" si="262"/>
        <v>0.46411326873185343</v>
      </c>
      <c r="AD337" s="4">
        <f t="shared" si="262"/>
        <v>0.36979727595523937</v>
      </c>
      <c r="AE337" s="4">
        <f t="shared" si="262"/>
        <v>0.28393948637231203</v>
      </c>
      <c r="AF337" s="4">
        <f t="shared" si="262"/>
        <v>0.21097259161117732</v>
      </c>
      <c r="AG337" s="4">
        <f t="shared" si="262"/>
        <v>0.15253917653798199</v>
      </c>
      <c r="AH337" s="4">
        <f t="shared" si="262"/>
        <v>0.10795188737709993</v>
      </c>
      <c r="AI337" s="4">
        <f t="shared" si="262"/>
        <v>7.5176653938091809E-2</v>
      </c>
      <c r="AJ337" s="4">
        <f t="shared" si="262"/>
        <v>5.1742836177502194E-2</v>
      </c>
      <c r="AK337" s="4">
        <f t="shared" si="262"/>
        <v>3.5319190625345942E-2</v>
      </c>
      <c r="AL337" s="4">
        <f t="shared" si="262"/>
        <v>2.3969442072658165E-2</v>
      </c>
      <c r="AM337" s="4">
        <f t="shared" si="262"/>
        <v>1.6202243558389728E-2</v>
      </c>
      <c r="AN337" s="4">
        <f t="shared" si="262"/>
        <v>1.0922240564108399E-2</v>
      </c>
      <c r="AO337" s="4">
        <f t="shared" si="262"/>
        <v>7.3493212906090566E-3</v>
      </c>
      <c r="AP337" s="4">
        <f t="shared" si="262"/>
        <v>4.9390262185057265E-3</v>
      </c>
      <c r="AQ337" s="4">
        <f t="shared" si="262"/>
        <v>3.3164275492956197E-3</v>
      </c>
      <c r="AR337" s="4">
        <f t="shared" si="262"/>
        <v>2.2256362146679809E-3</v>
      </c>
    </row>
    <row r="338" spans="1:44" x14ac:dyDescent="0.3">
      <c r="A338" s="24" t="s">
        <v>79</v>
      </c>
      <c r="B338" s="45">
        <f>'Parameter Input'!$L$27</f>
        <v>0.06</v>
      </c>
      <c r="C338" s="46">
        <f>'Parameter Input'!$M$27</f>
        <v>0.06</v>
      </c>
      <c r="D338" s="1" t="s">
        <v>57</v>
      </c>
      <c r="L338" s="54">
        <f>'Parameter Input'!$O$27</f>
        <v>12</v>
      </c>
      <c r="M338" s="37">
        <v>0</v>
      </c>
      <c r="N338" s="37">
        <v>1</v>
      </c>
      <c r="O338" s="37">
        <f>'Parameter Input'!$P$27</f>
        <v>0.9</v>
      </c>
      <c r="P338" s="55">
        <f>'Parameter Input'!$Q$27</f>
        <v>0.4</v>
      </c>
      <c r="Q338" s="4">
        <f t="shared" si="262"/>
        <v>0.9867978615748374</v>
      </c>
      <c r="R338" s="4">
        <f t="shared" si="262"/>
        <v>0.98114509762858249</v>
      </c>
      <c r="S338" s="4">
        <f t="shared" si="262"/>
        <v>0.97311898315872036</v>
      </c>
      <c r="T338" s="4">
        <f t="shared" si="262"/>
        <v>0.96177484161592774</v>
      </c>
      <c r="U338" s="4">
        <f t="shared" si="262"/>
        <v>0.94584787155511363</v>
      </c>
      <c r="V338" s="4">
        <f t="shared" si="262"/>
        <v>0.92370360150141495</v>
      </c>
      <c r="W338" s="4">
        <f t="shared" si="262"/>
        <v>0.89334463567658451</v>
      </c>
      <c r="X338" s="4">
        <f t="shared" si="262"/>
        <v>0.85254543874327005</v>
      </c>
      <c r="Y338" s="4">
        <f t="shared" si="262"/>
        <v>0.79921300652623883</v>
      </c>
      <c r="Z338" s="4">
        <f t="shared" si="262"/>
        <v>0.73204982249993378</v>
      </c>
      <c r="AA338" s="4">
        <f t="shared" si="262"/>
        <v>0.65145592958786691</v>
      </c>
      <c r="AB338" s="4">
        <f t="shared" si="262"/>
        <v>0.56032247880849573</v>
      </c>
      <c r="AC338" s="4">
        <f t="shared" si="262"/>
        <v>0.46411326873185343</v>
      </c>
      <c r="AD338" s="4">
        <f t="shared" si="262"/>
        <v>0.36979727595523937</v>
      </c>
      <c r="AE338" s="4">
        <f t="shared" si="262"/>
        <v>0.28393948637231203</v>
      </c>
      <c r="AF338" s="4">
        <f t="shared" si="262"/>
        <v>0.21097259161117732</v>
      </c>
      <c r="AG338" s="4">
        <f t="shared" si="262"/>
        <v>0.15253917653798199</v>
      </c>
      <c r="AH338" s="4">
        <f t="shared" si="262"/>
        <v>0.10795188737709993</v>
      </c>
      <c r="AI338" s="4">
        <f t="shared" si="262"/>
        <v>7.5176653938091809E-2</v>
      </c>
      <c r="AJ338" s="4">
        <f t="shared" si="262"/>
        <v>5.1742836177502194E-2</v>
      </c>
      <c r="AK338" s="4">
        <f t="shared" si="262"/>
        <v>3.5319190625345942E-2</v>
      </c>
      <c r="AL338" s="4">
        <f t="shared" si="262"/>
        <v>2.3969442072658165E-2</v>
      </c>
      <c r="AM338" s="4">
        <f t="shared" si="262"/>
        <v>1.6202243558389728E-2</v>
      </c>
      <c r="AN338" s="4">
        <f t="shared" si="262"/>
        <v>1.0922240564108399E-2</v>
      </c>
      <c r="AO338" s="4">
        <f t="shared" si="262"/>
        <v>7.3493212906090566E-3</v>
      </c>
      <c r="AP338" s="4">
        <f t="shared" si="262"/>
        <v>4.9390262185057265E-3</v>
      </c>
      <c r="AQ338" s="4">
        <f t="shared" si="262"/>
        <v>3.3164275492956197E-3</v>
      </c>
      <c r="AR338" s="4">
        <f t="shared" si="262"/>
        <v>2.2256362146679809E-3</v>
      </c>
    </row>
    <row r="339" spans="1:44" x14ac:dyDescent="0.3">
      <c r="A339" s="24" t="s">
        <v>37</v>
      </c>
      <c r="B339" s="60">
        <f>'Parameter Input'!B48</f>
        <v>70000</v>
      </c>
      <c r="C339" s="61">
        <f>'Parameter Input'!C48</f>
        <v>70000</v>
      </c>
      <c r="D339" s="1" t="s">
        <v>38</v>
      </c>
      <c r="L339" s="54">
        <f>'Parameter Input'!E48</f>
        <v>12</v>
      </c>
      <c r="M339" s="37">
        <v>0</v>
      </c>
      <c r="N339" s="37">
        <v>1</v>
      </c>
      <c r="O339" s="37">
        <f>'Parameter Input'!F48</f>
        <v>0.9</v>
      </c>
      <c r="P339" s="55">
        <f>'Parameter Input'!G48</f>
        <v>0.4</v>
      </c>
      <c r="Q339" s="4">
        <f t="shared" si="262"/>
        <v>0.9867978615748374</v>
      </c>
      <c r="R339" s="4">
        <f t="shared" si="262"/>
        <v>0.98114509762858249</v>
      </c>
      <c r="S339" s="4">
        <f t="shared" si="262"/>
        <v>0.97311898315872036</v>
      </c>
      <c r="T339" s="4">
        <f t="shared" si="262"/>
        <v>0.96177484161592774</v>
      </c>
      <c r="U339" s="4">
        <f t="shared" si="262"/>
        <v>0.94584787155511363</v>
      </c>
      <c r="V339" s="4">
        <f t="shared" si="262"/>
        <v>0.92370360150141495</v>
      </c>
      <c r="W339" s="4">
        <f t="shared" si="262"/>
        <v>0.89334463567658451</v>
      </c>
      <c r="X339" s="4">
        <f t="shared" si="262"/>
        <v>0.85254543874327005</v>
      </c>
      <c r="Y339" s="4">
        <f t="shared" si="262"/>
        <v>0.79921300652623883</v>
      </c>
      <c r="Z339" s="4">
        <f t="shared" si="262"/>
        <v>0.73204982249993378</v>
      </c>
      <c r="AA339" s="4">
        <f t="shared" si="262"/>
        <v>0.65145592958786691</v>
      </c>
      <c r="AB339" s="4">
        <f t="shared" si="262"/>
        <v>0.56032247880849573</v>
      </c>
      <c r="AC339" s="4">
        <f t="shared" si="262"/>
        <v>0.46411326873185343</v>
      </c>
      <c r="AD339" s="4">
        <f t="shared" si="262"/>
        <v>0.36979727595523937</v>
      </c>
      <c r="AE339" s="4">
        <f t="shared" si="262"/>
        <v>0.28393948637231203</v>
      </c>
      <c r="AF339" s="4">
        <f t="shared" si="262"/>
        <v>0.21097259161117732</v>
      </c>
      <c r="AG339" s="4">
        <f t="shared" si="262"/>
        <v>0.15253917653798199</v>
      </c>
      <c r="AH339" s="4">
        <f t="shared" si="262"/>
        <v>0.10795188737709993</v>
      </c>
      <c r="AI339" s="4">
        <f t="shared" si="262"/>
        <v>7.5176653938091809E-2</v>
      </c>
      <c r="AJ339" s="4">
        <f t="shared" si="262"/>
        <v>5.1742836177502194E-2</v>
      </c>
      <c r="AK339" s="4">
        <f t="shared" si="262"/>
        <v>3.5319190625345942E-2</v>
      </c>
      <c r="AL339" s="4">
        <f t="shared" si="262"/>
        <v>2.3969442072658165E-2</v>
      </c>
      <c r="AM339" s="4">
        <f t="shared" si="262"/>
        <v>1.6202243558389728E-2</v>
      </c>
      <c r="AN339" s="4">
        <f t="shared" si="262"/>
        <v>1.0922240564108399E-2</v>
      </c>
      <c r="AO339" s="4">
        <f t="shared" si="262"/>
        <v>7.3493212906090566E-3</v>
      </c>
      <c r="AP339" s="4">
        <f t="shared" si="262"/>
        <v>4.9390262185057265E-3</v>
      </c>
      <c r="AQ339" s="4">
        <f t="shared" si="262"/>
        <v>3.3164275492956197E-3</v>
      </c>
      <c r="AR339" s="4">
        <f t="shared" si="262"/>
        <v>2.2256362146679809E-3</v>
      </c>
    </row>
    <row r="340" spans="1:44" x14ac:dyDescent="0.3">
      <c r="A340" s="24" t="s">
        <v>52</v>
      </c>
      <c r="B340" s="43">
        <f>'Parameter Input'!$L$23</f>
        <v>15000</v>
      </c>
      <c r="C340" s="44">
        <f>'Parameter Input'!$M$23</f>
        <v>15000</v>
      </c>
      <c r="D340" s="1" t="s">
        <v>38</v>
      </c>
      <c r="L340" s="54">
        <f>'Parameter Input'!$O$23</f>
        <v>8</v>
      </c>
      <c r="M340" s="37">
        <v>0</v>
      </c>
      <c r="N340" s="37">
        <v>1</v>
      </c>
      <c r="O340" s="37">
        <f>'Parameter Input'!$P$23</f>
        <v>0.9</v>
      </c>
      <c r="P340" s="55">
        <f>'Parameter Input'!$Q$23</f>
        <v>0.4</v>
      </c>
      <c r="Q340" s="4">
        <f t="shared" si="262"/>
        <v>0.94584787155511363</v>
      </c>
      <c r="R340" s="4">
        <f t="shared" si="262"/>
        <v>0.92370360150141495</v>
      </c>
      <c r="S340" s="4">
        <f t="shared" si="262"/>
        <v>0.89334463567658451</v>
      </c>
      <c r="T340" s="4">
        <f t="shared" si="262"/>
        <v>0.85254543874327005</v>
      </c>
      <c r="U340" s="4">
        <f t="shared" si="262"/>
        <v>0.79921300652623883</v>
      </c>
      <c r="V340" s="4">
        <f t="shared" si="262"/>
        <v>0.73204982249993378</v>
      </c>
      <c r="W340" s="4">
        <f t="shared" si="262"/>
        <v>0.65145592958786691</v>
      </c>
      <c r="X340" s="4">
        <f t="shared" si="262"/>
        <v>0.56032247880849573</v>
      </c>
      <c r="Y340" s="4">
        <f t="shared" si="262"/>
        <v>0.46411326873185343</v>
      </c>
      <c r="Z340" s="4">
        <f t="shared" si="262"/>
        <v>0.36979727595523937</v>
      </c>
      <c r="AA340" s="4">
        <f t="shared" si="262"/>
        <v>0.28393948637231203</v>
      </c>
      <c r="AB340" s="4">
        <f t="shared" si="262"/>
        <v>0.21097259161117732</v>
      </c>
      <c r="AC340" s="4">
        <f t="shared" si="262"/>
        <v>0.15253917653798199</v>
      </c>
      <c r="AD340" s="4">
        <f t="shared" si="262"/>
        <v>0.10795188737709993</v>
      </c>
      <c r="AE340" s="4">
        <f t="shared" si="262"/>
        <v>7.5176653938091809E-2</v>
      </c>
      <c r="AF340" s="4">
        <f t="shared" si="262"/>
        <v>5.1742836177502194E-2</v>
      </c>
      <c r="AG340" s="4">
        <f t="shared" si="262"/>
        <v>3.5319190625345942E-2</v>
      </c>
      <c r="AH340" s="4">
        <f t="shared" si="262"/>
        <v>2.3969442072658165E-2</v>
      </c>
      <c r="AI340" s="4">
        <f t="shared" si="262"/>
        <v>1.6202243558389728E-2</v>
      </c>
      <c r="AJ340" s="4">
        <f t="shared" si="262"/>
        <v>1.0922240564108399E-2</v>
      </c>
      <c r="AK340" s="4">
        <f t="shared" si="262"/>
        <v>7.3493212906090566E-3</v>
      </c>
      <c r="AL340" s="4">
        <f t="shared" si="262"/>
        <v>4.9390262185057265E-3</v>
      </c>
      <c r="AM340" s="4">
        <f t="shared" si="262"/>
        <v>3.3164275492956197E-3</v>
      </c>
      <c r="AN340" s="4">
        <f t="shared" si="262"/>
        <v>2.2256362146679809E-3</v>
      </c>
      <c r="AO340" s="4">
        <f t="shared" si="262"/>
        <v>1.4930448704811861E-3</v>
      </c>
      <c r="AP340" s="4">
        <f t="shared" si="262"/>
        <v>1.0013381504474506E-3</v>
      </c>
      <c r="AQ340" s="4">
        <f t="shared" si="262"/>
        <v>6.7145100246257527E-4</v>
      </c>
      <c r="AR340" s="4">
        <f t="shared" si="262"/>
        <v>4.5019225748876845E-4</v>
      </c>
    </row>
    <row r="341" spans="1:44" x14ac:dyDescent="0.3">
      <c r="A341" s="24" t="s">
        <v>273</v>
      </c>
      <c r="B341" s="60">
        <f>'Parameter Input'!B53</f>
        <v>0.11</v>
      </c>
      <c r="C341" s="61">
        <f>'Parameter Input'!C53</f>
        <v>0.11</v>
      </c>
      <c r="D341" s="1" t="s">
        <v>76</v>
      </c>
      <c r="L341" s="54">
        <f>'Parameter Input'!E53</f>
        <v>12</v>
      </c>
      <c r="M341" s="37">
        <v>0</v>
      </c>
      <c r="N341" s="37">
        <v>1</v>
      </c>
      <c r="O341" s="37">
        <f>'Parameter Input'!F53</f>
        <v>0.9</v>
      </c>
      <c r="P341" s="55">
        <f>'Parameter Input'!G53</f>
        <v>0.4</v>
      </c>
      <c r="Q341" s="4">
        <f t="shared" si="262"/>
        <v>0.9867978615748374</v>
      </c>
      <c r="R341" s="4">
        <f t="shared" si="262"/>
        <v>0.98114509762858249</v>
      </c>
      <c r="S341" s="4">
        <f t="shared" si="262"/>
        <v>0.97311898315872036</v>
      </c>
      <c r="T341" s="4">
        <f t="shared" si="262"/>
        <v>0.96177484161592774</v>
      </c>
      <c r="U341" s="4">
        <f t="shared" si="262"/>
        <v>0.94584787155511363</v>
      </c>
      <c r="V341" s="4">
        <f t="shared" si="262"/>
        <v>0.92370360150141495</v>
      </c>
      <c r="W341" s="4">
        <f t="shared" si="262"/>
        <v>0.89334463567658451</v>
      </c>
      <c r="X341" s="4">
        <f t="shared" si="262"/>
        <v>0.85254543874327005</v>
      </c>
      <c r="Y341" s="4">
        <f t="shared" si="262"/>
        <v>0.79921300652623883</v>
      </c>
      <c r="Z341" s="4">
        <f t="shared" si="262"/>
        <v>0.73204982249993378</v>
      </c>
      <c r="AA341" s="4">
        <f t="shared" si="262"/>
        <v>0.65145592958786691</v>
      </c>
      <c r="AB341" s="4">
        <f t="shared" si="262"/>
        <v>0.56032247880849573</v>
      </c>
      <c r="AC341" s="4">
        <f t="shared" si="262"/>
        <v>0.46411326873185343</v>
      </c>
      <c r="AD341" s="4">
        <f t="shared" si="262"/>
        <v>0.36979727595523937</v>
      </c>
      <c r="AE341" s="4">
        <f t="shared" si="262"/>
        <v>0.28393948637231203</v>
      </c>
      <c r="AF341" s="4">
        <f t="shared" si="262"/>
        <v>0.21097259161117732</v>
      </c>
      <c r="AG341" s="4">
        <f t="shared" si="262"/>
        <v>0.15253917653798199</v>
      </c>
      <c r="AH341" s="4">
        <f t="shared" si="262"/>
        <v>0.10795188737709993</v>
      </c>
      <c r="AI341" s="4">
        <f t="shared" si="262"/>
        <v>7.5176653938091809E-2</v>
      </c>
      <c r="AJ341" s="4">
        <f t="shared" si="262"/>
        <v>5.1742836177502194E-2</v>
      </c>
      <c r="AK341" s="4">
        <f t="shared" si="262"/>
        <v>3.5319190625345942E-2</v>
      </c>
      <c r="AL341" s="4">
        <f t="shared" si="262"/>
        <v>2.3969442072658165E-2</v>
      </c>
      <c r="AM341" s="4">
        <f t="shared" si="262"/>
        <v>1.6202243558389728E-2</v>
      </c>
      <c r="AN341" s="4">
        <f t="shared" si="262"/>
        <v>1.0922240564108399E-2</v>
      </c>
      <c r="AO341" s="4">
        <f t="shared" si="262"/>
        <v>7.3493212906090566E-3</v>
      </c>
      <c r="AP341" s="4">
        <f t="shared" si="262"/>
        <v>4.9390262185057265E-3</v>
      </c>
      <c r="AQ341" s="4">
        <f t="shared" si="262"/>
        <v>3.3164275492956197E-3</v>
      </c>
      <c r="AR341" s="4">
        <f t="shared" si="262"/>
        <v>2.2256362146679809E-3</v>
      </c>
    </row>
    <row r="342" spans="1:44" x14ac:dyDescent="0.3">
      <c r="A342" s="24" t="s">
        <v>59</v>
      </c>
      <c r="B342" s="47">
        <f>'Parameter Input'!$L$24</f>
        <v>1.52</v>
      </c>
      <c r="C342" s="48">
        <f>'Parameter Input'!$M$24</f>
        <v>1.1499999999999999</v>
      </c>
      <c r="D342" s="1" t="s">
        <v>60</v>
      </c>
      <c r="L342" s="54">
        <f>'Parameter Input'!$O$24</f>
        <v>8</v>
      </c>
      <c r="M342" s="37">
        <v>0</v>
      </c>
      <c r="N342" s="37">
        <v>1</v>
      </c>
      <c r="O342" s="37">
        <f>'Parameter Input'!$P$24</f>
        <v>0.9</v>
      </c>
      <c r="P342" s="55">
        <f>'Parameter Input'!$Q$24</f>
        <v>0.4</v>
      </c>
      <c r="Q342" s="4">
        <f t="shared" si="262"/>
        <v>0.94584787155511363</v>
      </c>
      <c r="R342" s="4">
        <f t="shared" si="262"/>
        <v>0.92370360150141495</v>
      </c>
      <c r="S342" s="4">
        <f t="shared" si="262"/>
        <v>0.89334463567658451</v>
      </c>
      <c r="T342" s="4">
        <f t="shared" si="262"/>
        <v>0.85254543874327005</v>
      </c>
      <c r="U342" s="4">
        <f t="shared" si="262"/>
        <v>0.79921300652623883</v>
      </c>
      <c r="V342" s="4">
        <f t="shared" si="262"/>
        <v>0.73204982249993378</v>
      </c>
      <c r="W342" s="4">
        <f t="shared" si="262"/>
        <v>0.65145592958786691</v>
      </c>
      <c r="X342" s="4">
        <f t="shared" si="262"/>
        <v>0.56032247880849573</v>
      </c>
      <c r="Y342" s="4">
        <f t="shared" si="262"/>
        <v>0.46411326873185343</v>
      </c>
      <c r="Z342" s="4">
        <f t="shared" si="262"/>
        <v>0.36979727595523937</v>
      </c>
      <c r="AA342" s="4">
        <f t="shared" si="262"/>
        <v>0.28393948637231203</v>
      </c>
      <c r="AB342" s="4">
        <f t="shared" si="262"/>
        <v>0.21097259161117732</v>
      </c>
      <c r="AC342" s="4">
        <f t="shared" si="262"/>
        <v>0.15253917653798199</v>
      </c>
      <c r="AD342" s="4">
        <f t="shared" si="262"/>
        <v>0.10795188737709993</v>
      </c>
      <c r="AE342" s="4">
        <f t="shared" si="262"/>
        <v>7.5176653938091809E-2</v>
      </c>
      <c r="AF342" s="4">
        <f t="shared" si="262"/>
        <v>5.1742836177502194E-2</v>
      </c>
      <c r="AG342" s="4">
        <f t="shared" si="262"/>
        <v>3.5319190625345942E-2</v>
      </c>
      <c r="AH342" s="4">
        <f t="shared" si="262"/>
        <v>2.3969442072658165E-2</v>
      </c>
      <c r="AI342" s="4">
        <f t="shared" si="262"/>
        <v>1.6202243558389728E-2</v>
      </c>
      <c r="AJ342" s="4">
        <f t="shared" si="262"/>
        <v>1.0922240564108399E-2</v>
      </c>
      <c r="AK342" s="4">
        <f t="shared" si="262"/>
        <v>7.3493212906090566E-3</v>
      </c>
      <c r="AL342" s="4">
        <f t="shared" si="262"/>
        <v>4.9390262185057265E-3</v>
      </c>
      <c r="AM342" s="4">
        <f t="shared" si="262"/>
        <v>3.3164275492956197E-3</v>
      </c>
      <c r="AN342" s="4">
        <f t="shared" si="262"/>
        <v>2.2256362146679809E-3</v>
      </c>
      <c r="AO342" s="4">
        <f t="shared" si="262"/>
        <v>1.4930448704811861E-3</v>
      </c>
      <c r="AP342" s="4">
        <f t="shared" si="262"/>
        <v>1.0013381504474506E-3</v>
      </c>
      <c r="AQ342" s="4">
        <f t="shared" si="262"/>
        <v>6.7145100246257527E-4</v>
      </c>
      <c r="AR342" s="4">
        <f t="shared" si="262"/>
        <v>4.5019225748876845E-4</v>
      </c>
    </row>
    <row r="343" spans="1:44" x14ac:dyDescent="0.3">
      <c r="A343" s="24" t="s">
        <v>67</v>
      </c>
      <c r="B343" s="45">
        <f>'Parameter Input'!$L$25</f>
        <v>9.2586511082899101E-2</v>
      </c>
      <c r="C343" s="46">
        <f>'Parameter Input'!$M$25</f>
        <v>7.3304790352502799E-2</v>
      </c>
      <c r="D343" s="1" t="s">
        <v>68</v>
      </c>
      <c r="L343" s="54">
        <f>'Parameter Input'!$O$25</f>
        <v>12</v>
      </c>
      <c r="M343" s="37">
        <v>0</v>
      </c>
      <c r="N343" s="37">
        <v>1</v>
      </c>
      <c r="O343" s="37">
        <f>'Parameter Input'!$P$25</f>
        <v>0.9</v>
      </c>
      <c r="P343" s="55">
        <f>'Parameter Input'!$Q$25</f>
        <v>0.4</v>
      </c>
      <c r="Q343" s="4">
        <f t="shared" si="262"/>
        <v>0.9867978615748374</v>
      </c>
      <c r="R343" s="4">
        <f t="shared" si="262"/>
        <v>0.98114509762858249</v>
      </c>
      <c r="S343" s="4">
        <f t="shared" si="262"/>
        <v>0.97311898315872036</v>
      </c>
      <c r="T343" s="4">
        <f t="shared" ref="T343:AI350" si="263">$N343+($M343-$N343)*((1/(1+EXP(-$P343*(T$9-$L343)))^$O343))</f>
        <v>0.96177484161592774</v>
      </c>
      <c r="U343" s="4">
        <f t="shared" si="263"/>
        <v>0.94584787155511363</v>
      </c>
      <c r="V343" s="4">
        <f t="shared" si="263"/>
        <v>0.92370360150141495</v>
      </c>
      <c r="W343" s="4">
        <f t="shared" si="263"/>
        <v>0.89334463567658451</v>
      </c>
      <c r="X343" s="4">
        <f t="shared" si="263"/>
        <v>0.85254543874327005</v>
      </c>
      <c r="Y343" s="4">
        <f t="shared" si="263"/>
        <v>0.79921300652623883</v>
      </c>
      <c r="Z343" s="4">
        <f t="shared" si="263"/>
        <v>0.73204982249993378</v>
      </c>
      <c r="AA343" s="4">
        <f t="shared" si="263"/>
        <v>0.65145592958786691</v>
      </c>
      <c r="AB343" s="4">
        <f t="shared" si="263"/>
        <v>0.56032247880849573</v>
      </c>
      <c r="AC343" s="4">
        <f t="shared" si="263"/>
        <v>0.46411326873185343</v>
      </c>
      <c r="AD343" s="4">
        <f t="shared" si="263"/>
        <v>0.36979727595523937</v>
      </c>
      <c r="AE343" s="4">
        <f t="shared" si="263"/>
        <v>0.28393948637231203</v>
      </c>
      <c r="AF343" s="4">
        <f t="shared" si="263"/>
        <v>0.21097259161117732</v>
      </c>
      <c r="AG343" s="4">
        <f t="shared" si="263"/>
        <v>0.15253917653798199</v>
      </c>
      <c r="AH343" s="4">
        <f t="shared" si="263"/>
        <v>0.10795188737709993</v>
      </c>
      <c r="AI343" s="4">
        <f t="shared" si="263"/>
        <v>7.5176653938091809E-2</v>
      </c>
      <c r="AJ343" s="4">
        <f t="shared" ref="AJ343:AR350" si="264">$N343+($M343-$N343)*((1/(1+EXP(-$P343*(AJ$9-$L343)))^$O343))</f>
        <v>5.1742836177502194E-2</v>
      </c>
      <c r="AK343" s="4">
        <f t="shared" si="264"/>
        <v>3.5319190625345942E-2</v>
      </c>
      <c r="AL343" s="4">
        <f t="shared" si="264"/>
        <v>2.3969442072658165E-2</v>
      </c>
      <c r="AM343" s="4">
        <f t="shared" si="264"/>
        <v>1.6202243558389728E-2</v>
      </c>
      <c r="AN343" s="4">
        <f t="shared" si="264"/>
        <v>1.0922240564108399E-2</v>
      </c>
      <c r="AO343" s="4">
        <f t="shared" si="264"/>
        <v>7.3493212906090566E-3</v>
      </c>
      <c r="AP343" s="4">
        <f t="shared" si="264"/>
        <v>4.9390262185057265E-3</v>
      </c>
      <c r="AQ343" s="4">
        <f t="shared" si="264"/>
        <v>3.3164275492956197E-3</v>
      </c>
      <c r="AR343" s="4">
        <f t="shared" si="264"/>
        <v>2.2256362146679809E-3</v>
      </c>
    </row>
    <row r="344" spans="1:44" x14ac:dyDescent="0.3">
      <c r="A344" s="24" t="s">
        <v>206</v>
      </c>
      <c r="B344" s="115">
        <f>'Parameter Input'!$L$28</f>
        <v>3.5200000000000006E-3</v>
      </c>
      <c r="C344" s="116">
        <f>'Parameter Input'!$M$28</f>
        <v>0</v>
      </c>
      <c r="D344" s="1" t="s">
        <v>76</v>
      </c>
      <c r="L344" s="54">
        <f>'Parameter Input'!$O$28</f>
        <v>17</v>
      </c>
      <c r="M344" s="37">
        <v>0</v>
      </c>
      <c r="N344" s="37">
        <v>1</v>
      </c>
      <c r="O344" s="37">
        <f>'Parameter Input'!$P$28</f>
        <v>0.9</v>
      </c>
      <c r="P344" s="55">
        <f>'Parameter Input'!$Q$28</f>
        <v>0.4</v>
      </c>
      <c r="Q344" s="4">
        <f t="shared" ref="Q344:AR344" si="265">$N344+($M344-$N344)*((1/(1+EXP(-$P344*(Q$9-$L344)))^$O344))</f>
        <v>0.99780374543478534</v>
      </c>
      <c r="R344" s="4">
        <f t="shared" si="265"/>
        <v>0.99685359315256394</v>
      </c>
      <c r="S344" s="4">
        <f t="shared" si="265"/>
        <v>0.99549347132349975</v>
      </c>
      <c r="T344" s="4">
        <f t="shared" si="265"/>
        <v>0.99354772139898062</v>
      </c>
      <c r="U344" s="4">
        <f t="shared" si="265"/>
        <v>0.99076681540580536</v>
      </c>
      <c r="V344" s="4">
        <f t="shared" si="265"/>
        <v>0.9867978615748374</v>
      </c>
      <c r="W344" s="4">
        <f t="shared" si="265"/>
        <v>0.98114509762858249</v>
      </c>
      <c r="X344" s="4">
        <f t="shared" si="265"/>
        <v>0.97311898315872036</v>
      </c>
      <c r="Y344" s="4">
        <f t="shared" si="265"/>
        <v>0.96177484161592774</v>
      </c>
      <c r="Z344" s="4">
        <f t="shared" si="265"/>
        <v>0.94584787155511363</v>
      </c>
      <c r="AA344" s="4">
        <f t="shared" si="265"/>
        <v>0.92370360150141495</v>
      </c>
      <c r="AB344" s="4">
        <f t="shared" si="265"/>
        <v>0.89334463567658451</v>
      </c>
      <c r="AC344" s="4">
        <f t="shared" si="265"/>
        <v>0.85254543874327005</v>
      </c>
      <c r="AD344" s="4">
        <f t="shared" si="265"/>
        <v>0.79921300652623883</v>
      </c>
      <c r="AE344" s="4">
        <f t="shared" si="265"/>
        <v>0.73204982249993378</v>
      </c>
      <c r="AF344" s="4">
        <f t="shared" si="265"/>
        <v>0.65145592958786691</v>
      </c>
      <c r="AG344" s="4">
        <f t="shared" si="265"/>
        <v>0.56032247880849573</v>
      </c>
      <c r="AH344" s="4">
        <f t="shared" si="265"/>
        <v>0.46411326873185343</v>
      </c>
      <c r="AI344" s="4">
        <f t="shared" si="265"/>
        <v>0.36979727595523937</v>
      </c>
      <c r="AJ344" s="4">
        <f t="shared" si="265"/>
        <v>0.28393948637231203</v>
      </c>
      <c r="AK344" s="4">
        <f t="shared" si="265"/>
        <v>0.21097259161117732</v>
      </c>
      <c r="AL344" s="4">
        <f t="shared" si="265"/>
        <v>0.15253917653798199</v>
      </c>
      <c r="AM344" s="4">
        <f t="shared" si="265"/>
        <v>0.10795188737709993</v>
      </c>
      <c r="AN344" s="4">
        <f t="shared" si="265"/>
        <v>7.5176653938091809E-2</v>
      </c>
      <c r="AO344" s="4">
        <f t="shared" si="265"/>
        <v>5.1742836177502194E-2</v>
      </c>
      <c r="AP344" s="4">
        <f t="shared" si="265"/>
        <v>3.5319190625345942E-2</v>
      </c>
      <c r="AQ344" s="4">
        <f t="shared" si="265"/>
        <v>2.3969442072658165E-2</v>
      </c>
      <c r="AR344" s="4">
        <f t="shared" si="265"/>
        <v>1.6202243558389728E-2</v>
      </c>
    </row>
    <row r="345" spans="1:44" x14ac:dyDescent="0.3">
      <c r="A345" s="24" t="s">
        <v>41</v>
      </c>
      <c r="B345" s="43">
        <f>'Parameter Input'!$L$22</f>
        <v>8</v>
      </c>
      <c r="C345" s="44">
        <f>'Parameter Input'!$M$22</f>
        <v>8</v>
      </c>
      <c r="D345" s="1" t="s">
        <v>42</v>
      </c>
      <c r="L345" s="54">
        <f>'Parameter Input'!$O$22</f>
        <v>8</v>
      </c>
      <c r="M345" s="37">
        <v>0</v>
      </c>
      <c r="N345" s="37">
        <v>1</v>
      </c>
      <c r="O345" s="37">
        <f>'Parameter Input'!$P$22</f>
        <v>0.9</v>
      </c>
      <c r="P345" s="55">
        <f>'Parameter Input'!$Q$22</f>
        <v>0.4</v>
      </c>
      <c r="Q345" s="4">
        <f t="shared" ref="Q345:AF350" si="266">$N345+($M345-$N345)*((1/(1+EXP(-$P345*(Q$9-$L345)))^$O345))</f>
        <v>0.94584787155511363</v>
      </c>
      <c r="R345" s="4">
        <f t="shared" si="266"/>
        <v>0.92370360150141495</v>
      </c>
      <c r="S345" s="4">
        <f t="shared" si="266"/>
        <v>0.89334463567658451</v>
      </c>
      <c r="T345" s="4">
        <f t="shared" si="266"/>
        <v>0.85254543874327005</v>
      </c>
      <c r="U345" s="4">
        <f t="shared" si="266"/>
        <v>0.79921300652623883</v>
      </c>
      <c r="V345" s="4">
        <f t="shared" si="266"/>
        <v>0.73204982249993378</v>
      </c>
      <c r="W345" s="4">
        <f t="shared" si="266"/>
        <v>0.65145592958786691</v>
      </c>
      <c r="X345" s="4">
        <f t="shared" si="266"/>
        <v>0.56032247880849573</v>
      </c>
      <c r="Y345" s="4">
        <f t="shared" si="266"/>
        <v>0.46411326873185343</v>
      </c>
      <c r="Z345" s="4">
        <f t="shared" si="266"/>
        <v>0.36979727595523937</v>
      </c>
      <c r="AA345" s="4">
        <f t="shared" si="266"/>
        <v>0.28393948637231203</v>
      </c>
      <c r="AB345" s="4">
        <f t="shared" si="266"/>
        <v>0.21097259161117732</v>
      </c>
      <c r="AC345" s="4">
        <f t="shared" si="266"/>
        <v>0.15253917653798199</v>
      </c>
      <c r="AD345" s="4">
        <f t="shared" si="266"/>
        <v>0.10795188737709993</v>
      </c>
      <c r="AE345" s="4">
        <f t="shared" si="266"/>
        <v>7.5176653938091809E-2</v>
      </c>
      <c r="AF345" s="4">
        <f t="shared" si="266"/>
        <v>5.1742836177502194E-2</v>
      </c>
      <c r="AG345" s="4">
        <f t="shared" si="263"/>
        <v>3.5319190625345942E-2</v>
      </c>
      <c r="AH345" s="4">
        <f t="shared" si="263"/>
        <v>2.3969442072658165E-2</v>
      </c>
      <c r="AI345" s="4">
        <f t="shared" si="263"/>
        <v>1.6202243558389728E-2</v>
      </c>
      <c r="AJ345" s="4">
        <f t="shared" si="264"/>
        <v>1.0922240564108399E-2</v>
      </c>
      <c r="AK345" s="4">
        <f t="shared" si="264"/>
        <v>7.3493212906090566E-3</v>
      </c>
      <c r="AL345" s="4">
        <f t="shared" si="264"/>
        <v>4.9390262185057265E-3</v>
      </c>
      <c r="AM345" s="4">
        <f t="shared" si="264"/>
        <v>3.3164275492956197E-3</v>
      </c>
      <c r="AN345" s="4">
        <f t="shared" si="264"/>
        <v>2.2256362146679809E-3</v>
      </c>
      <c r="AO345" s="4">
        <f t="shared" si="264"/>
        <v>1.4930448704811861E-3</v>
      </c>
      <c r="AP345" s="4">
        <f t="shared" si="264"/>
        <v>1.0013381504474506E-3</v>
      </c>
      <c r="AQ345" s="4">
        <f t="shared" si="264"/>
        <v>6.7145100246257527E-4</v>
      </c>
      <c r="AR345" s="4">
        <f t="shared" si="264"/>
        <v>4.5019225748876845E-4</v>
      </c>
    </row>
    <row r="346" spans="1:44" x14ac:dyDescent="0.3">
      <c r="A346" s="24" t="s">
        <v>70</v>
      </c>
      <c r="B346" s="60">
        <f>'Parameter Input'!B52</f>
        <v>10</v>
      </c>
      <c r="C346" s="61">
        <f>'Parameter Input'!C52</f>
        <v>10</v>
      </c>
      <c r="D346" s="1" t="s">
        <v>42</v>
      </c>
      <c r="L346" s="54">
        <f>'Parameter Input'!E52</f>
        <v>12</v>
      </c>
      <c r="M346" s="37">
        <v>0</v>
      </c>
      <c r="N346" s="37">
        <v>1</v>
      </c>
      <c r="O346" s="37">
        <f>'Parameter Input'!F52</f>
        <v>0.9</v>
      </c>
      <c r="P346" s="55">
        <f>'Parameter Input'!G52</f>
        <v>0.4</v>
      </c>
      <c r="Q346" s="4">
        <f t="shared" si="266"/>
        <v>0.9867978615748374</v>
      </c>
      <c r="R346" s="4">
        <f t="shared" si="266"/>
        <v>0.98114509762858249</v>
      </c>
      <c r="S346" s="4">
        <f t="shared" si="266"/>
        <v>0.97311898315872036</v>
      </c>
      <c r="T346" s="4">
        <f t="shared" si="266"/>
        <v>0.96177484161592774</v>
      </c>
      <c r="U346" s="4">
        <f t="shared" si="266"/>
        <v>0.94584787155511363</v>
      </c>
      <c r="V346" s="4">
        <f t="shared" si="266"/>
        <v>0.92370360150141495</v>
      </c>
      <c r="W346" s="4">
        <f t="shared" si="266"/>
        <v>0.89334463567658451</v>
      </c>
      <c r="X346" s="4">
        <f t="shared" si="266"/>
        <v>0.85254543874327005</v>
      </c>
      <c r="Y346" s="4">
        <f t="shared" si="266"/>
        <v>0.79921300652623883</v>
      </c>
      <c r="Z346" s="4">
        <f t="shared" si="266"/>
        <v>0.73204982249993378</v>
      </c>
      <c r="AA346" s="4">
        <f t="shared" si="266"/>
        <v>0.65145592958786691</v>
      </c>
      <c r="AB346" s="4">
        <f t="shared" si="266"/>
        <v>0.56032247880849573</v>
      </c>
      <c r="AC346" s="4">
        <f t="shared" si="266"/>
        <v>0.46411326873185343</v>
      </c>
      <c r="AD346" s="4">
        <f t="shared" si="266"/>
        <v>0.36979727595523937</v>
      </c>
      <c r="AE346" s="4">
        <f t="shared" si="266"/>
        <v>0.28393948637231203</v>
      </c>
      <c r="AF346" s="4">
        <f t="shared" si="266"/>
        <v>0.21097259161117732</v>
      </c>
      <c r="AG346" s="4">
        <f t="shared" si="263"/>
        <v>0.15253917653798199</v>
      </c>
      <c r="AH346" s="4">
        <f t="shared" si="263"/>
        <v>0.10795188737709993</v>
      </c>
      <c r="AI346" s="4">
        <f t="shared" si="263"/>
        <v>7.5176653938091809E-2</v>
      </c>
      <c r="AJ346" s="4">
        <f t="shared" si="264"/>
        <v>5.1742836177502194E-2</v>
      </c>
      <c r="AK346" s="4">
        <f t="shared" si="264"/>
        <v>3.5319190625345942E-2</v>
      </c>
      <c r="AL346" s="4">
        <f t="shared" si="264"/>
        <v>2.3969442072658165E-2</v>
      </c>
      <c r="AM346" s="4">
        <f t="shared" si="264"/>
        <v>1.6202243558389728E-2</v>
      </c>
      <c r="AN346" s="4">
        <f t="shared" si="264"/>
        <v>1.0922240564108399E-2</v>
      </c>
      <c r="AO346" s="4">
        <f t="shared" si="264"/>
        <v>7.3493212906090566E-3</v>
      </c>
      <c r="AP346" s="4">
        <f t="shared" si="264"/>
        <v>4.9390262185057265E-3</v>
      </c>
      <c r="AQ346" s="4">
        <f t="shared" si="264"/>
        <v>3.3164275492956197E-3</v>
      </c>
      <c r="AR346" s="4">
        <f t="shared" si="264"/>
        <v>2.2256362146679809E-3</v>
      </c>
    </row>
    <row r="347" spans="1:44" x14ac:dyDescent="0.3">
      <c r="A347" s="24" t="s">
        <v>207</v>
      </c>
      <c r="B347" s="43">
        <f>'Parameter Input'!B49</f>
        <v>25</v>
      </c>
      <c r="C347" s="44">
        <f>'Parameter Input'!C49</f>
        <v>25</v>
      </c>
      <c r="D347" s="1" t="s">
        <v>49</v>
      </c>
      <c r="L347" s="54">
        <f>'Parameter Input'!E49</f>
        <v>12</v>
      </c>
      <c r="M347" s="37">
        <v>0</v>
      </c>
      <c r="N347" s="37">
        <v>1</v>
      </c>
      <c r="O347" s="37">
        <f>'Parameter Input'!F49</f>
        <v>0.9</v>
      </c>
      <c r="P347" s="55">
        <f>'Parameter Input'!G49</f>
        <v>0.4</v>
      </c>
      <c r="Q347" s="4">
        <f t="shared" si="266"/>
        <v>0.9867978615748374</v>
      </c>
      <c r="R347" s="4">
        <f t="shared" si="266"/>
        <v>0.98114509762858249</v>
      </c>
      <c r="S347" s="4">
        <f t="shared" si="266"/>
        <v>0.97311898315872036</v>
      </c>
      <c r="T347" s="4">
        <f t="shared" si="266"/>
        <v>0.96177484161592774</v>
      </c>
      <c r="U347" s="4">
        <f t="shared" si="266"/>
        <v>0.94584787155511363</v>
      </c>
      <c r="V347" s="4">
        <f t="shared" si="266"/>
        <v>0.92370360150141495</v>
      </c>
      <c r="W347" s="4">
        <f t="shared" si="266"/>
        <v>0.89334463567658451</v>
      </c>
      <c r="X347" s="4">
        <f t="shared" si="266"/>
        <v>0.85254543874327005</v>
      </c>
      <c r="Y347" s="4">
        <f t="shared" si="266"/>
        <v>0.79921300652623883</v>
      </c>
      <c r="Z347" s="4">
        <f t="shared" si="266"/>
        <v>0.73204982249993378</v>
      </c>
      <c r="AA347" s="4">
        <f t="shared" si="266"/>
        <v>0.65145592958786691</v>
      </c>
      <c r="AB347" s="4">
        <f t="shared" si="266"/>
        <v>0.56032247880849573</v>
      </c>
      <c r="AC347" s="4">
        <f t="shared" si="266"/>
        <v>0.46411326873185343</v>
      </c>
      <c r="AD347" s="4">
        <f t="shared" si="266"/>
        <v>0.36979727595523937</v>
      </c>
      <c r="AE347" s="4">
        <f t="shared" si="266"/>
        <v>0.28393948637231203</v>
      </c>
      <c r="AF347" s="4">
        <f t="shared" si="266"/>
        <v>0.21097259161117732</v>
      </c>
      <c r="AG347" s="4">
        <f t="shared" si="263"/>
        <v>0.15253917653798199</v>
      </c>
      <c r="AH347" s="4">
        <f t="shared" si="263"/>
        <v>0.10795188737709993</v>
      </c>
      <c r="AI347" s="4">
        <f t="shared" si="263"/>
        <v>7.5176653938091809E-2</v>
      </c>
      <c r="AJ347" s="4">
        <f t="shared" si="264"/>
        <v>5.1742836177502194E-2</v>
      </c>
      <c r="AK347" s="4">
        <f t="shared" si="264"/>
        <v>3.5319190625345942E-2</v>
      </c>
      <c r="AL347" s="4">
        <f t="shared" si="264"/>
        <v>2.3969442072658165E-2</v>
      </c>
      <c r="AM347" s="4">
        <f t="shared" si="264"/>
        <v>1.6202243558389728E-2</v>
      </c>
      <c r="AN347" s="4">
        <f t="shared" si="264"/>
        <v>1.0922240564108399E-2</v>
      </c>
      <c r="AO347" s="4">
        <f t="shared" si="264"/>
        <v>7.3493212906090566E-3</v>
      </c>
      <c r="AP347" s="4">
        <f t="shared" si="264"/>
        <v>4.9390262185057265E-3</v>
      </c>
      <c r="AQ347" s="4">
        <f t="shared" si="264"/>
        <v>3.3164275492956197E-3</v>
      </c>
      <c r="AR347" s="4">
        <f t="shared" si="264"/>
        <v>2.2256362146679809E-3</v>
      </c>
    </row>
    <row r="348" spans="1:44" x14ac:dyDescent="0.3">
      <c r="A348" s="24" t="s">
        <v>56</v>
      </c>
      <c r="B348" s="45">
        <f>'Parameter Input'!B50</f>
        <v>0.46</v>
      </c>
      <c r="C348" s="46">
        <f>'Parameter Input'!C50</f>
        <v>0.46</v>
      </c>
      <c r="D348" s="1" t="s">
        <v>57</v>
      </c>
      <c r="L348" s="54">
        <f>'Parameter Input'!E50</f>
        <v>12</v>
      </c>
      <c r="M348" s="37">
        <v>0</v>
      </c>
      <c r="N348" s="37">
        <v>1</v>
      </c>
      <c r="O348" s="37">
        <f>'Parameter Input'!F50</f>
        <v>0.9</v>
      </c>
      <c r="P348" s="55">
        <f>'Parameter Input'!G50</f>
        <v>0.4</v>
      </c>
      <c r="Q348" s="4">
        <f t="shared" si="266"/>
        <v>0.9867978615748374</v>
      </c>
      <c r="R348" s="4">
        <f t="shared" si="266"/>
        <v>0.98114509762858249</v>
      </c>
      <c r="S348" s="4">
        <f t="shared" si="266"/>
        <v>0.97311898315872036</v>
      </c>
      <c r="T348" s="4">
        <f t="shared" si="266"/>
        <v>0.96177484161592774</v>
      </c>
      <c r="U348" s="4">
        <f t="shared" si="266"/>
        <v>0.94584787155511363</v>
      </c>
      <c r="V348" s="4">
        <f t="shared" si="266"/>
        <v>0.92370360150141495</v>
      </c>
      <c r="W348" s="4">
        <f t="shared" si="266"/>
        <v>0.89334463567658451</v>
      </c>
      <c r="X348" s="4">
        <f t="shared" si="266"/>
        <v>0.85254543874327005</v>
      </c>
      <c r="Y348" s="4">
        <f t="shared" si="266"/>
        <v>0.79921300652623883</v>
      </c>
      <c r="Z348" s="4">
        <f t="shared" si="266"/>
        <v>0.73204982249993378</v>
      </c>
      <c r="AA348" s="4">
        <f t="shared" si="266"/>
        <v>0.65145592958786691</v>
      </c>
      <c r="AB348" s="4">
        <f t="shared" si="266"/>
        <v>0.56032247880849573</v>
      </c>
      <c r="AC348" s="4">
        <f t="shared" si="266"/>
        <v>0.46411326873185343</v>
      </c>
      <c r="AD348" s="4">
        <f t="shared" si="266"/>
        <v>0.36979727595523937</v>
      </c>
      <c r="AE348" s="4">
        <f t="shared" si="266"/>
        <v>0.28393948637231203</v>
      </c>
      <c r="AF348" s="4">
        <f t="shared" si="266"/>
        <v>0.21097259161117732</v>
      </c>
      <c r="AG348" s="4">
        <f t="shared" si="263"/>
        <v>0.15253917653798199</v>
      </c>
      <c r="AH348" s="4">
        <f t="shared" si="263"/>
        <v>0.10795188737709993</v>
      </c>
      <c r="AI348" s="4">
        <f t="shared" si="263"/>
        <v>7.5176653938091809E-2</v>
      </c>
      <c r="AJ348" s="4">
        <f t="shared" si="264"/>
        <v>5.1742836177502194E-2</v>
      </c>
      <c r="AK348" s="4">
        <f t="shared" si="264"/>
        <v>3.5319190625345942E-2</v>
      </c>
      <c r="AL348" s="4">
        <f t="shared" si="264"/>
        <v>2.3969442072658165E-2</v>
      </c>
      <c r="AM348" s="4">
        <f t="shared" si="264"/>
        <v>1.6202243558389728E-2</v>
      </c>
      <c r="AN348" s="4">
        <f t="shared" si="264"/>
        <v>1.0922240564108399E-2</v>
      </c>
      <c r="AO348" s="4">
        <f t="shared" si="264"/>
        <v>7.3493212906090566E-3</v>
      </c>
      <c r="AP348" s="4">
        <f t="shared" si="264"/>
        <v>4.9390262185057265E-3</v>
      </c>
      <c r="AQ348" s="4">
        <f t="shared" si="264"/>
        <v>3.3164275492956197E-3</v>
      </c>
      <c r="AR348" s="4">
        <f t="shared" si="264"/>
        <v>2.2256362146679809E-3</v>
      </c>
    </row>
    <row r="349" spans="1:44" x14ac:dyDescent="0.3">
      <c r="A349" s="24" t="s">
        <v>73</v>
      </c>
      <c r="B349" s="72">
        <f>'Parameter Input'!$L$26</f>
        <v>0.1</v>
      </c>
      <c r="C349" s="73">
        <f>'Parameter Input'!$M$26</f>
        <v>0.05</v>
      </c>
      <c r="D349" s="1" t="s">
        <v>57</v>
      </c>
      <c r="L349" s="54">
        <f>'Parameter Input'!$O$26</f>
        <v>12</v>
      </c>
      <c r="M349" s="37">
        <v>0</v>
      </c>
      <c r="N349" s="37">
        <v>1</v>
      </c>
      <c r="O349" s="37">
        <f>'Parameter Input'!$P$26</f>
        <v>0.9</v>
      </c>
      <c r="P349" s="55">
        <f>'Parameter Input'!$Q$26</f>
        <v>0.4</v>
      </c>
      <c r="Q349" s="4">
        <f t="shared" si="266"/>
        <v>0.9867978615748374</v>
      </c>
      <c r="R349" s="4">
        <f t="shared" si="266"/>
        <v>0.98114509762858249</v>
      </c>
      <c r="S349" s="4">
        <f t="shared" si="266"/>
        <v>0.97311898315872036</v>
      </c>
      <c r="T349" s="4">
        <f t="shared" si="266"/>
        <v>0.96177484161592774</v>
      </c>
      <c r="U349" s="4">
        <f t="shared" si="266"/>
        <v>0.94584787155511363</v>
      </c>
      <c r="V349" s="4">
        <f t="shared" si="266"/>
        <v>0.92370360150141495</v>
      </c>
      <c r="W349" s="4">
        <f t="shared" si="266"/>
        <v>0.89334463567658451</v>
      </c>
      <c r="X349" s="4">
        <f t="shared" si="266"/>
        <v>0.85254543874327005</v>
      </c>
      <c r="Y349" s="4">
        <f t="shared" si="266"/>
        <v>0.79921300652623883</v>
      </c>
      <c r="Z349" s="4">
        <f t="shared" si="266"/>
        <v>0.73204982249993378</v>
      </c>
      <c r="AA349" s="4">
        <f t="shared" si="266"/>
        <v>0.65145592958786691</v>
      </c>
      <c r="AB349" s="4">
        <f t="shared" si="266"/>
        <v>0.56032247880849573</v>
      </c>
      <c r="AC349" s="4">
        <f t="shared" si="266"/>
        <v>0.46411326873185343</v>
      </c>
      <c r="AD349" s="4">
        <f t="shared" si="266"/>
        <v>0.36979727595523937</v>
      </c>
      <c r="AE349" s="4">
        <f t="shared" si="266"/>
        <v>0.28393948637231203</v>
      </c>
      <c r="AF349" s="4">
        <f t="shared" si="266"/>
        <v>0.21097259161117732</v>
      </c>
      <c r="AG349" s="4">
        <f t="shared" si="263"/>
        <v>0.15253917653798199</v>
      </c>
      <c r="AH349" s="4">
        <f t="shared" si="263"/>
        <v>0.10795188737709993</v>
      </c>
      <c r="AI349" s="4">
        <f t="shared" si="263"/>
        <v>7.5176653938091809E-2</v>
      </c>
      <c r="AJ349" s="4">
        <f t="shared" si="264"/>
        <v>5.1742836177502194E-2</v>
      </c>
      <c r="AK349" s="4">
        <f t="shared" si="264"/>
        <v>3.5319190625345942E-2</v>
      </c>
      <c r="AL349" s="4">
        <f t="shared" si="264"/>
        <v>2.3969442072658165E-2</v>
      </c>
      <c r="AM349" s="4">
        <f t="shared" si="264"/>
        <v>1.6202243558389728E-2</v>
      </c>
      <c r="AN349" s="4">
        <f t="shared" si="264"/>
        <v>1.0922240564108399E-2</v>
      </c>
      <c r="AO349" s="4">
        <f t="shared" si="264"/>
        <v>7.3493212906090566E-3</v>
      </c>
      <c r="AP349" s="4">
        <f t="shared" si="264"/>
        <v>4.9390262185057265E-3</v>
      </c>
      <c r="AQ349" s="4">
        <f t="shared" si="264"/>
        <v>3.3164275492956197E-3</v>
      </c>
      <c r="AR349" s="4">
        <f t="shared" si="264"/>
        <v>2.2256362146679809E-3</v>
      </c>
    </row>
    <row r="350" spans="1:44" ht="15" thickBot="1" x14ac:dyDescent="0.35">
      <c r="A350" s="24" t="s">
        <v>64</v>
      </c>
      <c r="B350" s="49">
        <f>'Parameter Input'!B51</f>
        <v>78000</v>
      </c>
      <c r="C350" s="50">
        <f>'Parameter Input'!C51</f>
        <v>78000</v>
      </c>
      <c r="D350" s="1" t="s">
        <v>65</v>
      </c>
      <c r="L350" s="56">
        <f>'Parameter Input'!E51</f>
        <v>12</v>
      </c>
      <c r="M350" s="57">
        <v>0</v>
      </c>
      <c r="N350" s="57">
        <v>1</v>
      </c>
      <c r="O350" s="57">
        <f>'Parameter Input'!F51</f>
        <v>0.9</v>
      </c>
      <c r="P350" s="58">
        <f>'Parameter Input'!G51</f>
        <v>0.4</v>
      </c>
      <c r="Q350" s="4">
        <f t="shared" si="266"/>
        <v>0.9867978615748374</v>
      </c>
      <c r="R350" s="4">
        <f t="shared" si="266"/>
        <v>0.98114509762858249</v>
      </c>
      <c r="S350" s="4">
        <f t="shared" si="266"/>
        <v>0.97311898315872036</v>
      </c>
      <c r="T350" s="4">
        <f t="shared" si="266"/>
        <v>0.96177484161592774</v>
      </c>
      <c r="U350" s="4">
        <f t="shared" si="266"/>
        <v>0.94584787155511363</v>
      </c>
      <c r="V350" s="4">
        <f t="shared" si="266"/>
        <v>0.92370360150141495</v>
      </c>
      <c r="W350" s="4">
        <f t="shared" si="266"/>
        <v>0.89334463567658451</v>
      </c>
      <c r="X350" s="4">
        <f t="shared" si="266"/>
        <v>0.85254543874327005</v>
      </c>
      <c r="Y350" s="4">
        <f t="shared" si="266"/>
        <v>0.79921300652623883</v>
      </c>
      <c r="Z350" s="4">
        <f t="shared" si="266"/>
        <v>0.73204982249993378</v>
      </c>
      <c r="AA350" s="4">
        <f t="shared" si="266"/>
        <v>0.65145592958786691</v>
      </c>
      <c r="AB350" s="4">
        <f t="shared" si="266"/>
        <v>0.56032247880849573</v>
      </c>
      <c r="AC350" s="4">
        <f t="shared" si="266"/>
        <v>0.46411326873185343</v>
      </c>
      <c r="AD350" s="4">
        <f t="shared" si="266"/>
        <v>0.36979727595523937</v>
      </c>
      <c r="AE350" s="4">
        <f t="shared" si="266"/>
        <v>0.28393948637231203</v>
      </c>
      <c r="AF350" s="4">
        <f t="shared" si="266"/>
        <v>0.21097259161117732</v>
      </c>
      <c r="AG350" s="4">
        <f t="shared" si="263"/>
        <v>0.15253917653798199</v>
      </c>
      <c r="AH350" s="4">
        <f t="shared" si="263"/>
        <v>0.10795188737709993</v>
      </c>
      <c r="AI350" s="4">
        <f t="shared" si="263"/>
        <v>7.5176653938091809E-2</v>
      </c>
      <c r="AJ350" s="4">
        <f t="shared" si="264"/>
        <v>5.1742836177502194E-2</v>
      </c>
      <c r="AK350" s="4">
        <f t="shared" si="264"/>
        <v>3.5319190625345942E-2</v>
      </c>
      <c r="AL350" s="4">
        <f t="shared" si="264"/>
        <v>2.3969442072658165E-2</v>
      </c>
      <c r="AM350" s="4">
        <f t="shared" si="264"/>
        <v>1.6202243558389728E-2</v>
      </c>
      <c r="AN350" s="4">
        <f t="shared" si="264"/>
        <v>1.0922240564108399E-2</v>
      </c>
      <c r="AO350" s="4">
        <f t="shared" si="264"/>
        <v>7.3493212906090566E-3</v>
      </c>
      <c r="AP350" s="4">
        <f t="shared" si="264"/>
        <v>4.9390262185057265E-3</v>
      </c>
      <c r="AQ350" s="4">
        <f t="shared" si="264"/>
        <v>3.3164275492956197E-3</v>
      </c>
      <c r="AR350" s="4">
        <f t="shared" si="264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67">A334</f>
        <v>Capex vehicle</v>
      </c>
      <c r="B354" s="62">
        <f t="shared" ref="B354:B363" si="268">$B334+($C334-$B334)*(1-Q334)</f>
        <v>386191.20724655397</v>
      </c>
      <c r="C354" s="62">
        <f t="shared" ref="C354:C363" si="269">$B334+($C334-$B334)*(1-R334)</f>
        <v>380544.41838286084</v>
      </c>
      <c r="D354" s="62">
        <f t="shared" ref="D354:D363" si="270">$B334+($C334-$B334)*(1-S334)</f>
        <v>372802.88209752907</v>
      </c>
      <c r="E354" s="62">
        <f t="shared" ref="E354:E363" si="271">$B334+($C334-$B334)*(1-T334)</f>
        <v>362399.08687953383</v>
      </c>
      <c r="F354" s="62">
        <f t="shared" ref="F354:F363" si="272">$B334+($C334-$B334)*(1-U334)</f>
        <v>348799.3166641909</v>
      </c>
      <c r="G354" s="62">
        <f t="shared" ref="G354:G363" si="273">$B334+($C334-$B334)*(1-V334)</f>
        <v>331672.70473748312</v>
      </c>
      <c r="H354" s="62">
        <f t="shared" ref="H354:H363" si="274">$B334+($C334-$B334)*(1-W334)</f>
        <v>311121.26204490603</v>
      </c>
      <c r="I354" s="62">
        <f t="shared" ref="I354:I363" si="275">$B334+($C334-$B334)*(1-X334)</f>
        <v>287882.23209616641</v>
      </c>
      <c r="J354" s="62">
        <f t="shared" ref="J354:J363" si="276">$B334+($C334-$B334)*(1-Y334)</f>
        <v>263348.88352662267</v>
      </c>
      <c r="K354" s="62">
        <f t="shared" ref="K354:K363" si="277">$B334+($C334-$B334)*(1-Z334)</f>
        <v>239298.30536858604</v>
      </c>
      <c r="L354" s="62">
        <f t="shared" ref="L354:L363" si="278">$B334+($C334-$B334)*(1-AA334)</f>
        <v>217404.56902493956</v>
      </c>
      <c r="M354" s="62">
        <f t="shared" ref="M354:M363" si="279">$B334+($C334-$B334)*(1-AB334)</f>
        <v>198798.01086085022</v>
      </c>
      <c r="N354" s="62">
        <f t="shared" ref="N354:N363" si="280">$B334+($C334-$B334)*(1-AC334)</f>
        <v>183897.4900171854</v>
      </c>
      <c r="O354" s="62">
        <f t="shared" ref="O354:O363" si="281">$B334+($C334-$B334)*(1-AD334)</f>
        <v>172527.73128116049</v>
      </c>
      <c r="P354" s="62">
        <f t="shared" ref="P354:P363" si="282">$B334+($C334-$B334)*(1-AE334)</f>
        <v>164170.0467542134</v>
      </c>
      <c r="Q354" s="62">
        <f t="shared" ref="Q354:Q363" si="283">$B334+($C334-$B334)*(1-AF334)</f>
        <v>158194.42322526305</v>
      </c>
      <c r="R354" s="62">
        <f t="shared" ref="R354:R363" si="284">$B334+($C334-$B334)*(1-AG334)</f>
        <v>154006.39360946321</v>
      </c>
      <c r="S354" s="62">
        <f t="shared" ref="S354:S363" si="285">$B334+($C334-$B334)*(1-AH334)</f>
        <v>151112.20772852784</v>
      </c>
      <c r="T354" s="62">
        <f t="shared" ref="T354:T363" si="286">$B334+($C334-$B334)*(1-AI334)</f>
        <v>149131.57210738939</v>
      </c>
      <c r="U354" s="62">
        <f t="shared" ref="U354:U363" si="287">$B334+($C334-$B334)*(1-AJ334)</f>
        <v>147785.17134384764</v>
      </c>
      <c r="V354" s="62">
        <f t="shared" ref="V354:V363" si="288">$B334+($C334-$B334)*(1-AK334)</f>
        <v>146874.0769291053</v>
      </c>
      <c r="W354" s="62">
        <f t="shared" ref="W354:W363" si="289">$B334+($C334-$B334)*(1-AL334)</f>
        <v>146259.45168571896</v>
      </c>
      <c r="X354" s="62">
        <f t="shared" ref="X354:X363" si="290">$B334+($C334-$B334)*(1-AM334)</f>
        <v>145845.68902507037</v>
      </c>
      <c r="Y354" s="62">
        <f t="shared" ref="Y354:Y363" si="291">$B334+($C334-$B334)*(1-AN334)</f>
        <v>145567.53723474033</v>
      </c>
      <c r="Z354" s="62">
        <f t="shared" ref="Z354:Z363" si="292">$B334+($C334-$B334)*(1-AO334)</f>
        <v>145380.72644197271</v>
      </c>
      <c r="AA354" s="62">
        <f t="shared" ref="AA354:AA363" si="293">$B334+($C334-$B334)*(1-AP334)</f>
        <v>145255.34122836409</v>
      </c>
      <c r="AB354" s="62">
        <f t="shared" ref="AB354:AB363" si="294">$B334+($C334-$B334)*(1-AQ334)</f>
        <v>145171.22000562795</v>
      </c>
      <c r="AC354" s="62">
        <f t="shared" ref="AC354:AC363" si="295">$B334+($C334-$B334)*(1-AR334)</f>
        <v>145114.79902565962</v>
      </c>
    </row>
    <row r="355" spans="1:29" x14ac:dyDescent="0.3">
      <c r="A355" s="30" t="str">
        <f t="shared" si="267"/>
        <v>Residual value (vehicle)</v>
      </c>
      <c r="B355" s="62">
        <f t="shared" si="268"/>
        <v>-58713.886949433945</v>
      </c>
      <c r="C355" s="62">
        <f t="shared" si="269"/>
        <v>-58187.960535658603</v>
      </c>
      <c r="D355" s="62">
        <f t="shared" si="270"/>
        <v>-57466.935097318885</v>
      </c>
      <c r="E355" s="62">
        <f t="shared" si="271"/>
        <v>-56497.954170152661</v>
      </c>
      <c r="F355" s="62">
        <f t="shared" si="272"/>
        <v>-55231.308904998172</v>
      </c>
      <c r="G355" s="62">
        <f t="shared" si="273"/>
        <v>-53636.18328437343</v>
      </c>
      <c r="H355" s="62">
        <f t="shared" si="274"/>
        <v>-51722.078327711839</v>
      </c>
      <c r="I355" s="62">
        <f t="shared" si="275"/>
        <v>-49557.658871701773</v>
      </c>
      <c r="J355" s="62">
        <f t="shared" si="276"/>
        <v>-47272.690132381518</v>
      </c>
      <c r="K355" s="62">
        <f t="shared" si="277"/>
        <v>-45032.685303936931</v>
      </c>
      <c r="L355" s="62">
        <f t="shared" si="278"/>
        <v>-42993.562801342414</v>
      </c>
      <c r="M355" s="62">
        <f t="shared" si="279"/>
        <v>-41260.599050765464</v>
      </c>
      <c r="N355" s="62">
        <f t="shared" si="280"/>
        <v>-39872.805442777069</v>
      </c>
      <c r="O355" s="62">
        <f t="shared" si="281"/>
        <v>-38813.857325206125</v>
      </c>
      <c r="P355" s="62">
        <f t="shared" si="282"/>
        <v>-38035.445531029676</v>
      </c>
      <c r="Q355" s="62">
        <f t="shared" si="283"/>
        <v>-37478.892359215679</v>
      </c>
      <c r="R355" s="62">
        <f t="shared" si="284"/>
        <v>-37088.830777351963</v>
      </c>
      <c r="S355" s="62">
        <f t="shared" si="285"/>
        <v>-36819.274249225637</v>
      </c>
      <c r="T355" s="62">
        <f t="shared" si="286"/>
        <v>-36634.803284511756</v>
      </c>
      <c r="U355" s="62">
        <f t="shared" si="287"/>
        <v>-36509.403213397571</v>
      </c>
      <c r="V355" s="62">
        <f t="shared" si="288"/>
        <v>-36424.546380651969</v>
      </c>
      <c r="W355" s="62">
        <f t="shared" si="289"/>
        <v>-36367.30187268951</v>
      </c>
      <c r="X355" s="62">
        <f t="shared" si="290"/>
        <v>-36328.765154295776</v>
      </c>
      <c r="Y355" s="62">
        <f t="shared" si="291"/>
        <v>-36302.858860098364</v>
      </c>
      <c r="Z355" s="62">
        <f t="shared" si="292"/>
        <v>-36285.459815673923</v>
      </c>
      <c r="AA355" s="62">
        <f t="shared" si="293"/>
        <v>-36273.781781073129</v>
      </c>
      <c r="AB355" s="62">
        <f t="shared" si="294"/>
        <v>-36265.946961308488</v>
      </c>
      <c r="AC355" s="62">
        <f t="shared" si="295"/>
        <v>-36260.692066115356</v>
      </c>
    </row>
    <row r="356" spans="1:29" x14ac:dyDescent="0.3">
      <c r="A356" s="30" t="str">
        <f t="shared" si="267"/>
        <v>Capex costumization</v>
      </c>
      <c r="B356" s="62">
        <f t="shared" si="268"/>
        <v>40000</v>
      </c>
      <c r="C356" s="62">
        <f t="shared" si="269"/>
        <v>40000</v>
      </c>
      <c r="D356" s="62">
        <f t="shared" si="270"/>
        <v>40000</v>
      </c>
      <c r="E356" s="62">
        <f t="shared" si="271"/>
        <v>40000</v>
      </c>
      <c r="F356" s="62">
        <f t="shared" si="272"/>
        <v>40000</v>
      </c>
      <c r="G356" s="62">
        <f t="shared" si="273"/>
        <v>40000</v>
      </c>
      <c r="H356" s="62">
        <f t="shared" si="274"/>
        <v>40000</v>
      </c>
      <c r="I356" s="62">
        <f t="shared" si="275"/>
        <v>40000</v>
      </c>
      <c r="J356" s="62">
        <f t="shared" si="276"/>
        <v>40000</v>
      </c>
      <c r="K356" s="62">
        <f t="shared" si="277"/>
        <v>40000</v>
      </c>
      <c r="L356" s="62">
        <f t="shared" si="278"/>
        <v>40000</v>
      </c>
      <c r="M356" s="62">
        <f t="shared" si="279"/>
        <v>40000</v>
      </c>
      <c r="N356" s="62">
        <f t="shared" si="280"/>
        <v>40000</v>
      </c>
      <c r="O356" s="62">
        <f t="shared" si="281"/>
        <v>40000</v>
      </c>
      <c r="P356" s="62">
        <f t="shared" si="282"/>
        <v>40000</v>
      </c>
      <c r="Q356" s="62">
        <f t="shared" si="283"/>
        <v>40000</v>
      </c>
      <c r="R356" s="62">
        <f t="shared" si="284"/>
        <v>40000</v>
      </c>
      <c r="S356" s="62">
        <f t="shared" si="285"/>
        <v>40000</v>
      </c>
      <c r="T356" s="62">
        <f t="shared" si="286"/>
        <v>40000</v>
      </c>
      <c r="U356" s="62">
        <f t="shared" si="287"/>
        <v>40000</v>
      </c>
      <c r="V356" s="62">
        <f t="shared" si="288"/>
        <v>40000</v>
      </c>
      <c r="W356" s="62">
        <f t="shared" si="289"/>
        <v>40000</v>
      </c>
      <c r="X356" s="62">
        <f t="shared" si="290"/>
        <v>40000</v>
      </c>
      <c r="Y356" s="62">
        <f t="shared" si="291"/>
        <v>40000</v>
      </c>
      <c r="Z356" s="62">
        <f t="shared" si="292"/>
        <v>40000</v>
      </c>
      <c r="AA356" s="62">
        <f t="shared" si="293"/>
        <v>40000</v>
      </c>
      <c r="AB356" s="62">
        <f t="shared" si="294"/>
        <v>40000</v>
      </c>
      <c r="AC356" s="62">
        <f t="shared" si="295"/>
        <v>40000</v>
      </c>
    </row>
    <row r="357" spans="1:29" x14ac:dyDescent="0.3">
      <c r="A357" s="30" t="str">
        <f t="shared" si="267"/>
        <v>Residual value (costumization)</v>
      </c>
      <c r="B357" s="62">
        <f t="shared" si="268"/>
        <v>-10000</v>
      </c>
      <c r="C357" s="62">
        <f t="shared" si="269"/>
        <v>-10000</v>
      </c>
      <c r="D357" s="62">
        <f t="shared" si="270"/>
        <v>-10000</v>
      </c>
      <c r="E357" s="62">
        <f t="shared" si="271"/>
        <v>-10000</v>
      </c>
      <c r="F357" s="62">
        <f t="shared" si="272"/>
        <v>-10000</v>
      </c>
      <c r="G357" s="62">
        <f t="shared" si="273"/>
        <v>-10000</v>
      </c>
      <c r="H357" s="62">
        <f t="shared" si="274"/>
        <v>-10000</v>
      </c>
      <c r="I357" s="62">
        <f t="shared" si="275"/>
        <v>-10000</v>
      </c>
      <c r="J357" s="62">
        <f t="shared" si="276"/>
        <v>-10000</v>
      </c>
      <c r="K357" s="62">
        <f t="shared" si="277"/>
        <v>-10000</v>
      </c>
      <c r="L357" s="62">
        <f t="shared" si="278"/>
        <v>-10000</v>
      </c>
      <c r="M357" s="62">
        <f t="shared" si="279"/>
        <v>-10000</v>
      </c>
      <c r="N357" s="62">
        <f t="shared" si="280"/>
        <v>-10000</v>
      </c>
      <c r="O357" s="62">
        <f t="shared" si="281"/>
        <v>-10000</v>
      </c>
      <c r="P357" s="62">
        <f t="shared" si="282"/>
        <v>-10000</v>
      </c>
      <c r="Q357" s="62">
        <f t="shared" si="283"/>
        <v>-10000</v>
      </c>
      <c r="R357" s="62">
        <f t="shared" si="284"/>
        <v>-10000</v>
      </c>
      <c r="S357" s="62">
        <f t="shared" si="285"/>
        <v>-10000</v>
      </c>
      <c r="T357" s="62">
        <f t="shared" si="286"/>
        <v>-10000</v>
      </c>
      <c r="U357" s="62">
        <f t="shared" si="287"/>
        <v>-10000</v>
      </c>
      <c r="V357" s="62">
        <f t="shared" si="288"/>
        <v>-10000</v>
      </c>
      <c r="W357" s="62">
        <f t="shared" si="289"/>
        <v>-10000</v>
      </c>
      <c r="X357" s="62">
        <f t="shared" si="290"/>
        <v>-10000</v>
      </c>
      <c r="Y357" s="62">
        <f t="shared" si="291"/>
        <v>-10000</v>
      </c>
      <c r="Z357" s="62">
        <f t="shared" si="292"/>
        <v>-10000</v>
      </c>
      <c r="AA357" s="62">
        <f t="shared" si="293"/>
        <v>-10000</v>
      </c>
      <c r="AB357" s="62">
        <f t="shared" si="294"/>
        <v>-10000</v>
      </c>
      <c r="AC357" s="62">
        <f t="shared" si="295"/>
        <v>-10000</v>
      </c>
    </row>
    <row r="358" spans="1:29" x14ac:dyDescent="0.3">
      <c r="A358" s="30" t="str">
        <f t="shared" si="267"/>
        <v>WACC</v>
      </c>
      <c r="B358" s="62">
        <f t="shared" si="268"/>
        <v>0.06</v>
      </c>
      <c r="C358" s="62">
        <f t="shared" si="269"/>
        <v>0.06</v>
      </c>
      <c r="D358" s="62">
        <f t="shared" si="270"/>
        <v>0.06</v>
      </c>
      <c r="E358" s="62">
        <f t="shared" si="271"/>
        <v>0.06</v>
      </c>
      <c r="F358" s="62">
        <f t="shared" si="272"/>
        <v>0.06</v>
      </c>
      <c r="G358" s="62">
        <f t="shared" si="273"/>
        <v>0.06</v>
      </c>
      <c r="H358" s="62">
        <f t="shared" si="274"/>
        <v>0.06</v>
      </c>
      <c r="I358" s="62">
        <f t="shared" si="275"/>
        <v>0.06</v>
      </c>
      <c r="J358" s="62">
        <f t="shared" si="276"/>
        <v>0.06</v>
      </c>
      <c r="K358" s="62">
        <f t="shared" si="277"/>
        <v>0.06</v>
      </c>
      <c r="L358" s="62">
        <f t="shared" si="278"/>
        <v>0.06</v>
      </c>
      <c r="M358" s="62">
        <f t="shared" si="279"/>
        <v>0.06</v>
      </c>
      <c r="N358" s="62">
        <f t="shared" si="280"/>
        <v>0.06</v>
      </c>
      <c r="O358" s="62">
        <f t="shared" si="281"/>
        <v>0.06</v>
      </c>
      <c r="P358" s="62">
        <f t="shared" si="282"/>
        <v>0.06</v>
      </c>
      <c r="Q358" s="62">
        <f t="shared" si="283"/>
        <v>0.06</v>
      </c>
      <c r="R358" s="62">
        <f t="shared" si="284"/>
        <v>0.06</v>
      </c>
      <c r="S358" s="62">
        <f t="shared" si="285"/>
        <v>0.06</v>
      </c>
      <c r="T358" s="62">
        <f t="shared" si="286"/>
        <v>0.06</v>
      </c>
      <c r="U358" s="62">
        <f t="shared" si="287"/>
        <v>0.06</v>
      </c>
      <c r="V358" s="62">
        <f t="shared" si="288"/>
        <v>0.06</v>
      </c>
      <c r="W358" s="62">
        <f t="shared" si="289"/>
        <v>0.06</v>
      </c>
      <c r="X358" s="62">
        <f t="shared" si="290"/>
        <v>0.06</v>
      </c>
      <c r="Y358" s="62">
        <f t="shared" si="291"/>
        <v>0.06</v>
      </c>
      <c r="Z358" s="62">
        <f t="shared" si="292"/>
        <v>0.06</v>
      </c>
      <c r="AA358" s="62">
        <f t="shared" si="293"/>
        <v>0.06</v>
      </c>
      <c r="AB358" s="62">
        <f t="shared" si="294"/>
        <v>0.06</v>
      </c>
      <c r="AC358" s="62">
        <f t="shared" si="295"/>
        <v>0.06</v>
      </c>
    </row>
    <row r="359" spans="1:29" x14ac:dyDescent="0.3">
      <c r="A359" s="30" t="str">
        <f t="shared" si="267"/>
        <v>Opex fix (admin, crew, insurance)</v>
      </c>
      <c r="B359" s="62">
        <f t="shared" si="268"/>
        <v>70000</v>
      </c>
      <c r="C359" s="62">
        <f t="shared" si="269"/>
        <v>70000</v>
      </c>
      <c r="D359" s="62">
        <f t="shared" si="270"/>
        <v>70000</v>
      </c>
      <c r="E359" s="62">
        <f t="shared" si="271"/>
        <v>70000</v>
      </c>
      <c r="F359" s="62">
        <f t="shared" si="272"/>
        <v>70000</v>
      </c>
      <c r="G359" s="62">
        <f t="shared" si="273"/>
        <v>70000</v>
      </c>
      <c r="H359" s="62">
        <f t="shared" si="274"/>
        <v>70000</v>
      </c>
      <c r="I359" s="62">
        <f t="shared" si="275"/>
        <v>70000</v>
      </c>
      <c r="J359" s="62">
        <f t="shared" si="276"/>
        <v>70000</v>
      </c>
      <c r="K359" s="62">
        <f t="shared" si="277"/>
        <v>70000</v>
      </c>
      <c r="L359" s="62">
        <f t="shared" si="278"/>
        <v>70000</v>
      </c>
      <c r="M359" s="62">
        <f t="shared" si="279"/>
        <v>70000</v>
      </c>
      <c r="N359" s="62">
        <f t="shared" si="280"/>
        <v>70000</v>
      </c>
      <c r="O359" s="62">
        <f t="shared" si="281"/>
        <v>70000</v>
      </c>
      <c r="P359" s="62">
        <f t="shared" si="282"/>
        <v>70000</v>
      </c>
      <c r="Q359" s="62">
        <f t="shared" si="283"/>
        <v>70000</v>
      </c>
      <c r="R359" s="62">
        <f t="shared" si="284"/>
        <v>70000</v>
      </c>
      <c r="S359" s="62">
        <f t="shared" si="285"/>
        <v>70000</v>
      </c>
      <c r="T359" s="62">
        <f t="shared" si="286"/>
        <v>70000</v>
      </c>
      <c r="U359" s="62">
        <f t="shared" si="287"/>
        <v>70000</v>
      </c>
      <c r="V359" s="62">
        <f t="shared" si="288"/>
        <v>70000</v>
      </c>
      <c r="W359" s="62">
        <f t="shared" si="289"/>
        <v>70000</v>
      </c>
      <c r="X359" s="62">
        <f t="shared" si="290"/>
        <v>70000</v>
      </c>
      <c r="Y359" s="62">
        <f t="shared" si="291"/>
        <v>70000</v>
      </c>
      <c r="Z359" s="62">
        <f t="shared" si="292"/>
        <v>70000</v>
      </c>
      <c r="AA359" s="62">
        <f t="shared" si="293"/>
        <v>70000</v>
      </c>
      <c r="AB359" s="62">
        <f t="shared" si="294"/>
        <v>70000</v>
      </c>
      <c r="AC359" s="62">
        <f t="shared" si="295"/>
        <v>70000</v>
      </c>
    </row>
    <row r="360" spans="1:29" x14ac:dyDescent="0.3">
      <c r="A360" s="30" t="str">
        <f t="shared" si="267"/>
        <v>Opex maintenance &amp; repair</v>
      </c>
      <c r="B360" s="62">
        <f t="shared" si="268"/>
        <v>15000</v>
      </c>
      <c r="C360" s="62">
        <f t="shared" si="269"/>
        <v>15000</v>
      </c>
      <c r="D360" s="62">
        <f t="shared" si="270"/>
        <v>15000</v>
      </c>
      <c r="E360" s="62">
        <f t="shared" si="271"/>
        <v>15000</v>
      </c>
      <c r="F360" s="62">
        <f t="shared" si="272"/>
        <v>15000</v>
      </c>
      <c r="G360" s="62">
        <f t="shared" si="273"/>
        <v>15000</v>
      </c>
      <c r="H360" s="62">
        <f t="shared" si="274"/>
        <v>15000</v>
      </c>
      <c r="I360" s="62">
        <f t="shared" si="275"/>
        <v>15000</v>
      </c>
      <c r="J360" s="62">
        <f t="shared" si="276"/>
        <v>15000</v>
      </c>
      <c r="K360" s="62">
        <f t="shared" si="277"/>
        <v>15000</v>
      </c>
      <c r="L360" s="62">
        <f t="shared" si="278"/>
        <v>15000</v>
      </c>
      <c r="M360" s="62">
        <f t="shared" si="279"/>
        <v>15000</v>
      </c>
      <c r="N360" s="62">
        <f t="shared" si="280"/>
        <v>15000</v>
      </c>
      <c r="O360" s="62">
        <f t="shared" si="281"/>
        <v>15000</v>
      </c>
      <c r="P360" s="62">
        <f t="shared" si="282"/>
        <v>15000</v>
      </c>
      <c r="Q360" s="62">
        <f t="shared" si="283"/>
        <v>15000</v>
      </c>
      <c r="R360" s="62">
        <f t="shared" si="284"/>
        <v>15000</v>
      </c>
      <c r="S360" s="62">
        <f t="shared" si="285"/>
        <v>15000</v>
      </c>
      <c r="T360" s="62">
        <f t="shared" si="286"/>
        <v>15000</v>
      </c>
      <c r="U360" s="62">
        <f t="shared" si="287"/>
        <v>15000</v>
      </c>
      <c r="V360" s="62">
        <f t="shared" si="288"/>
        <v>15000</v>
      </c>
      <c r="W360" s="62">
        <f t="shared" si="289"/>
        <v>15000</v>
      </c>
      <c r="X360" s="62">
        <f t="shared" si="290"/>
        <v>15000</v>
      </c>
      <c r="Y360" s="62">
        <f t="shared" si="291"/>
        <v>15000</v>
      </c>
      <c r="Z360" s="62">
        <f t="shared" si="292"/>
        <v>15000</v>
      </c>
      <c r="AA360" s="62">
        <f t="shared" si="293"/>
        <v>15000</v>
      </c>
      <c r="AB360" s="62">
        <f t="shared" si="294"/>
        <v>15000</v>
      </c>
      <c r="AC360" s="62">
        <f t="shared" si="295"/>
        <v>15000</v>
      </c>
    </row>
    <row r="361" spans="1:29" x14ac:dyDescent="0.3">
      <c r="A361" s="30" t="str">
        <f t="shared" si="267"/>
        <v>Opex var (mode-fees)</v>
      </c>
      <c r="B361" s="62">
        <f t="shared" si="268"/>
        <v>0.11</v>
      </c>
      <c r="C361" s="62">
        <f t="shared" si="269"/>
        <v>0.11</v>
      </c>
      <c r="D361" s="62">
        <f t="shared" si="270"/>
        <v>0.11</v>
      </c>
      <c r="E361" s="62">
        <f t="shared" si="271"/>
        <v>0.11</v>
      </c>
      <c r="F361" s="62">
        <f t="shared" si="272"/>
        <v>0.11</v>
      </c>
      <c r="G361" s="62">
        <f t="shared" si="273"/>
        <v>0.11</v>
      </c>
      <c r="H361" s="62">
        <f t="shared" si="274"/>
        <v>0.11</v>
      </c>
      <c r="I361" s="62">
        <f t="shared" si="275"/>
        <v>0.11</v>
      </c>
      <c r="J361" s="62">
        <f t="shared" si="276"/>
        <v>0.11</v>
      </c>
      <c r="K361" s="62">
        <f t="shared" si="277"/>
        <v>0.11</v>
      </c>
      <c r="L361" s="62">
        <f t="shared" si="278"/>
        <v>0.11</v>
      </c>
      <c r="M361" s="62">
        <f t="shared" si="279"/>
        <v>0.11</v>
      </c>
      <c r="N361" s="62">
        <f t="shared" si="280"/>
        <v>0.11</v>
      </c>
      <c r="O361" s="62">
        <f t="shared" si="281"/>
        <v>0.11</v>
      </c>
      <c r="P361" s="62">
        <f t="shared" si="282"/>
        <v>0.11</v>
      </c>
      <c r="Q361" s="62">
        <f t="shared" si="283"/>
        <v>0.11</v>
      </c>
      <c r="R361" s="62">
        <f t="shared" si="284"/>
        <v>0.11</v>
      </c>
      <c r="S361" s="62">
        <f t="shared" si="285"/>
        <v>0.11</v>
      </c>
      <c r="T361" s="62">
        <f t="shared" si="286"/>
        <v>0.11</v>
      </c>
      <c r="U361" s="62">
        <f t="shared" si="287"/>
        <v>0.11</v>
      </c>
      <c r="V361" s="62">
        <f t="shared" si="288"/>
        <v>0.11</v>
      </c>
      <c r="W361" s="62">
        <f t="shared" si="289"/>
        <v>0.11</v>
      </c>
      <c r="X361" s="62">
        <f t="shared" si="290"/>
        <v>0.11</v>
      </c>
      <c r="Y361" s="62">
        <f t="shared" si="291"/>
        <v>0.11</v>
      </c>
      <c r="Z361" s="62">
        <f t="shared" si="292"/>
        <v>0.11</v>
      </c>
      <c r="AA361" s="62">
        <f t="shared" si="293"/>
        <v>0.11</v>
      </c>
      <c r="AB361" s="62">
        <f t="shared" si="294"/>
        <v>0.11</v>
      </c>
      <c r="AC361" s="62">
        <f t="shared" si="295"/>
        <v>0.11</v>
      </c>
    </row>
    <row r="362" spans="1:29" x14ac:dyDescent="0.3">
      <c r="A362" s="30" t="str">
        <f t="shared" si="267"/>
        <v>Fuel Economy</v>
      </c>
      <c r="B362" s="62">
        <f t="shared" si="268"/>
        <v>1.499963712475392</v>
      </c>
      <c r="C362" s="62">
        <f t="shared" si="269"/>
        <v>1.4917703325555236</v>
      </c>
      <c r="D362" s="62">
        <f t="shared" si="270"/>
        <v>1.4805375152003362</v>
      </c>
      <c r="E362" s="62">
        <f t="shared" si="271"/>
        <v>1.4654418123350099</v>
      </c>
      <c r="F362" s="62">
        <f t="shared" si="272"/>
        <v>1.4457088124147084</v>
      </c>
      <c r="G362" s="62">
        <f t="shared" si="273"/>
        <v>1.4208584343249755</v>
      </c>
      <c r="H362" s="62">
        <f t="shared" si="274"/>
        <v>1.3910386939475108</v>
      </c>
      <c r="I362" s="62">
        <f t="shared" si="275"/>
        <v>1.3573193171591433</v>
      </c>
      <c r="J362" s="62">
        <f t="shared" si="276"/>
        <v>1.3217219094307857</v>
      </c>
      <c r="K362" s="62">
        <f t="shared" si="277"/>
        <v>1.2868249921034385</v>
      </c>
      <c r="L362" s="62">
        <f t="shared" si="278"/>
        <v>1.2550576099577553</v>
      </c>
      <c r="M362" s="62">
        <f t="shared" si="279"/>
        <v>1.2280598588961356</v>
      </c>
      <c r="N362" s="62">
        <f t="shared" si="280"/>
        <v>1.2064394953190534</v>
      </c>
      <c r="O362" s="62">
        <f t="shared" si="281"/>
        <v>1.1899421983295269</v>
      </c>
      <c r="P362" s="62">
        <f t="shared" si="282"/>
        <v>1.1778153619570939</v>
      </c>
      <c r="Q362" s="62">
        <f t="shared" si="283"/>
        <v>1.1691448493856758</v>
      </c>
      <c r="R362" s="62">
        <f t="shared" si="284"/>
        <v>1.1630681005313779</v>
      </c>
      <c r="S362" s="62">
        <f t="shared" si="285"/>
        <v>1.1588686935668835</v>
      </c>
      <c r="T362" s="62">
        <f t="shared" si="286"/>
        <v>1.1559948301166041</v>
      </c>
      <c r="U362" s="62">
        <f t="shared" si="287"/>
        <v>1.1540412290087201</v>
      </c>
      <c r="V362" s="62">
        <f t="shared" si="288"/>
        <v>1.1527192488775253</v>
      </c>
      <c r="W362" s="62">
        <f t="shared" si="289"/>
        <v>1.151827439700847</v>
      </c>
      <c r="X362" s="62">
        <f t="shared" si="290"/>
        <v>1.1512270781932392</v>
      </c>
      <c r="Y362" s="62">
        <f t="shared" si="291"/>
        <v>1.150823485399427</v>
      </c>
      <c r="Z362" s="62">
        <f t="shared" si="292"/>
        <v>1.1505524266020779</v>
      </c>
      <c r="AA362" s="62">
        <f t="shared" si="293"/>
        <v>1.1503704951156655</v>
      </c>
      <c r="AB362" s="62">
        <f t="shared" si="294"/>
        <v>1.1502484368709109</v>
      </c>
      <c r="AC362" s="62">
        <f t="shared" si="295"/>
        <v>1.1501665711352707</v>
      </c>
    </row>
    <row r="363" spans="1:29" x14ac:dyDescent="0.3">
      <c r="A363" s="30" t="str">
        <f t="shared" si="267"/>
        <v>Fuel Cost</v>
      </c>
      <c r="B363" s="62">
        <f t="shared" si="268"/>
        <v>9.2331951136741086E-2</v>
      </c>
      <c r="C363" s="62">
        <f t="shared" si="269"/>
        <v>9.2222956120974545E-2</v>
      </c>
      <c r="D363" s="62">
        <f t="shared" si="270"/>
        <v>9.2068198823216471E-2</v>
      </c>
      <c r="E363" s="62">
        <f t="shared" si="271"/>
        <v>9.1849464254062249E-2</v>
      </c>
      <c r="F363" s="62">
        <f t="shared" si="272"/>
        <v>9.1542364865268247E-2</v>
      </c>
      <c r="G363" s="62">
        <f t="shared" si="273"/>
        <v>9.1115385234314353E-2</v>
      </c>
      <c r="H363" s="62">
        <f t="shared" si="274"/>
        <v>9.0530012133616333E-2</v>
      </c>
      <c r="I363" s="62">
        <f t="shared" si="275"/>
        <v>8.9743333412323725E-2</v>
      </c>
      <c r="J363" s="62">
        <f t="shared" si="276"/>
        <v>8.8714992348442129E-2</v>
      </c>
      <c r="K363" s="62">
        <f t="shared" si="277"/>
        <v>8.7419970590682711E-2</v>
      </c>
      <c r="L363" s="62">
        <f t="shared" si="278"/>
        <v>8.5865981654976761E-2</v>
      </c>
      <c r="M363" s="62">
        <f t="shared" si="279"/>
        <v>8.4108771907851612E-2</v>
      </c>
      <c r="N363" s="62">
        <f t="shared" si="280"/>
        <v>8.2253692787461766E-2</v>
      </c>
      <c r="O363" s="62">
        <f t="shared" si="281"/>
        <v>8.0435118154333018E-2</v>
      </c>
      <c r="P363" s="62">
        <f t="shared" si="282"/>
        <v>7.8779632233065888E-2</v>
      </c>
      <c r="Q363" s="62">
        <f t="shared" si="283"/>
        <v>7.7372704945717463E-2</v>
      </c>
      <c r="R363" s="62">
        <f t="shared" si="284"/>
        <v>7.6246008154952791E-2</v>
      </c>
      <c r="S363" s="62">
        <f t="shared" si="285"/>
        <v>7.5386288497227227E-2</v>
      </c>
      <c r="T363" s="62">
        <f t="shared" si="286"/>
        <v>7.4754325599182742E-2</v>
      </c>
      <c r="U363" s="62">
        <f t="shared" si="287"/>
        <v>7.4302481269476042E-2</v>
      </c>
      <c r="V363" s="62">
        <f t="shared" si="288"/>
        <v>7.3985805122564349E-2</v>
      </c>
      <c r="W363" s="62">
        <f t="shared" si="289"/>
        <v>7.3766962440611206E-2</v>
      </c>
      <c r="X363" s="62">
        <f t="shared" si="290"/>
        <v>7.3617197488001537E-2</v>
      </c>
      <c r="Y363" s="62">
        <f t="shared" si="291"/>
        <v>7.3515389944810147E-2</v>
      </c>
      <c r="Z363" s="62">
        <f t="shared" si="292"/>
        <v>7.3446497913186276E-2</v>
      </c>
      <c r="AA363" s="62">
        <f t="shared" si="293"/>
        <v>7.3400023276728135E-2</v>
      </c>
      <c r="AB363" s="62">
        <f t="shared" si="294"/>
        <v>7.3368736782330912E-2</v>
      </c>
      <c r="AC363" s="62">
        <f t="shared" si="295"/>
        <v>7.3347704448441492E-2</v>
      </c>
    </row>
    <row r="364" spans="1:29" x14ac:dyDescent="0.3">
      <c r="A364" s="30" t="str">
        <f t="shared" ref="A364" si="296">A344</f>
        <v>Emission Cost</v>
      </c>
      <c r="B364" s="66">
        <f>$B344+($C344-$B344)*(1-Q344)</f>
        <v>3.5122691839304448E-3</v>
      </c>
      <c r="C364" s="66">
        <f t="shared" ref="C364" si="297">$B344+($C344-$B344)*(1-R344)</f>
        <v>3.5089246478970256E-3</v>
      </c>
      <c r="D364" s="66">
        <f t="shared" ref="D364" si="298">$B344+($C344-$B344)*(1-S344)</f>
        <v>3.5041370190587195E-3</v>
      </c>
      <c r="E364" s="66">
        <f t="shared" ref="E364" si="299">$B344+($C344-$B344)*(1-T344)</f>
        <v>3.4972879793244123E-3</v>
      </c>
      <c r="F364" s="66">
        <f t="shared" ref="F364" si="300">$B344+($C344-$B344)*(1-U344)</f>
        <v>3.4874991902284352E-3</v>
      </c>
      <c r="G364" s="66">
        <f t="shared" ref="G364" si="301">$B344+($C344-$B344)*(1-V344)</f>
        <v>3.4735284727434282E-3</v>
      </c>
      <c r="H364" s="66">
        <f t="shared" ref="H364" si="302">$B344+($C344-$B344)*(1-W344)</f>
        <v>3.4536307436526109E-3</v>
      </c>
      <c r="I364" s="66">
        <f t="shared" ref="I364" si="303">$B344+($C344-$B344)*(1-X344)</f>
        <v>3.4253788207186963E-3</v>
      </c>
      <c r="J364" s="66">
        <f t="shared" ref="J364" si="304">$B344+($C344-$B344)*(1-Y344)</f>
        <v>3.3854474424880663E-3</v>
      </c>
      <c r="K364" s="66">
        <f t="shared" ref="K364" si="305">$B344+($C344-$B344)*(1-Z344)</f>
        <v>3.3293845078740006E-3</v>
      </c>
      <c r="L364" s="66">
        <f t="shared" ref="L364" si="306">$B344+($C344-$B344)*(1-AA344)</f>
        <v>3.251436677284981E-3</v>
      </c>
      <c r="M364" s="66">
        <f t="shared" ref="M364" si="307">$B344+($C344-$B344)*(1-AB344)</f>
        <v>3.1445731175815781E-3</v>
      </c>
      <c r="N364" s="66">
        <f t="shared" ref="N364" si="308">$B344+($C344-$B344)*(1-AC344)</f>
        <v>3.0009599443763112E-3</v>
      </c>
      <c r="O364" s="66">
        <f t="shared" ref="O364" si="309">$B344+($C344-$B344)*(1-AD344)</f>
        <v>2.813229782972361E-3</v>
      </c>
      <c r="P364" s="66">
        <f t="shared" ref="P364" si="310">$B344+($C344-$B344)*(1-AE344)</f>
        <v>2.5768153751997672E-3</v>
      </c>
      <c r="Q364" s="66">
        <f t="shared" ref="Q364" si="311">$B344+($C344-$B344)*(1-AF344)</f>
        <v>2.2931248721492917E-3</v>
      </c>
      <c r="R364" s="66">
        <f t="shared" ref="R364" si="312">$B344+($C344-$B344)*(1-AG344)</f>
        <v>1.9723351254059053E-3</v>
      </c>
      <c r="S364" s="66">
        <f t="shared" ref="S364" si="313">$B344+($C344-$B344)*(1-AH344)</f>
        <v>1.6336787059361244E-3</v>
      </c>
      <c r="T364" s="66">
        <f t="shared" ref="T364" si="314">$B344+($C344-$B344)*(1-AI344)</f>
        <v>1.3016864113624426E-3</v>
      </c>
      <c r="U364" s="66">
        <f t="shared" ref="U364" si="315">$B344+($C344-$B344)*(1-AJ344)</f>
        <v>9.9946699203053851E-4</v>
      </c>
      <c r="V364" s="66">
        <f t="shared" ref="V364" si="316">$B344+($C344-$B344)*(1-AK344)</f>
        <v>7.4262352247134438E-4</v>
      </c>
      <c r="W364" s="66">
        <f t="shared" ref="W364" si="317">$B344+($C344-$B344)*(1-AL344)</f>
        <v>5.3693790141369664E-4</v>
      </c>
      <c r="X364" s="66">
        <f t="shared" ref="X364" si="318">$B344+($C344-$B344)*(1-AM344)</f>
        <v>3.7999064356739184E-4</v>
      </c>
      <c r="Y364" s="66">
        <f t="shared" ref="Y364" si="319">$B344+($C344-$B344)*(1-AN344)</f>
        <v>2.646218218620832E-4</v>
      </c>
      <c r="Z364" s="66">
        <f t="shared" ref="Z364" si="320">$B344+($C344-$B344)*(1-AO344)</f>
        <v>1.8213478334480789E-4</v>
      </c>
      <c r="AA364" s="66">
        <f t="shared" ref="AA364" si="321">$B344+($C344-$B344)*(1-AP344)</f>
        <v>1.2432355100121771E-4</v>
      </c>
      <c r="AB364" s="66">
        <f t="shared" ref="AB364" si="322">$B344+($C344-$B344)*(1-AQ344)</f>
        <v>8.4372436095756821E-5</v>
      </c>
      <c r="AC364" s="66">
        <f t="shared" ref="AC364" si="323">$B344+($C344-$B344)*(1-AR344)</f>
        <v>5.7031897325531943E-5</v>
      </c>
    </row>
    <row r="365" spans="1:29" x14ac:dyDescent="0.3">
      <c r="A365" s="30" t="str">
        <f>A345</f>
        <v>Lifetime vehicle</v>
      </c>
      <c r="B365" s="62">
        <f>$B345+($C345-$B345)*(1-Q345)</f>
        <v>8</v>
      </c>
      <c r="C365" s="62">
        <f t="shared" ref="C365:L367" si="324">$B345+($C345-$B345)*(1-R345)</f>
        <v>8</v>
      </c>
      <c r="D365" s="62">
        <f t="shared" si="324"/>
        <v>8</v>
      </c>
      <c r="E365" s="62">
        <f t="shared" si="324"/>
        <v>8</v>
      </c>
      <c r="F365" s="62">
        <f t="shared" si="324"/>
        <v>8</v>
      </c>
      <c r="G365" s="62">
        <f t="shared" si="324"/>
        <v>8</v>
      </c>
      <c r="H365" s="62">
        <f t="shared" si="324"/>
        <v>8</v>
      </c>
      <c r="I365" s="62">
        <f t="shared" si="324"/>
        <v>8</v>
      </c>
      <c r="J365" s="62">
        <f t="shared" si="324"/>
        <v>8</v>
      </c>
      <c r="K365" s="62">
        <f t="shared" si="324"/>
        <v>8</v>
      </c>
      <c r="L365" s="62">
        <f t="shared" si="324"/>
        <v>8</v>
      </c>
      <c r="M365" s="62">
        <f t="shared" ref="M365:V367" si="325">$B345+($C345-$B345)*(1-AB345)</f>
        <v>8</v>
      </c>
      <c r="N365" s="62">
        <f t="shared" si="325"/>
        <v>8</v>
      </c>
      <c r="O365" s="62">
        <f t="shared" si="325"/>
        <v>8</v>
      </c>
      <c r="P365" s="62">
        <f t="shared" si="325"/>
        <v>8</v>
      </c>
      <c r="Q365" s="62">
        <f t="shared" si="325"/>
        <v>8</v>
      </c>
      <c r="R365" s="62">
        <f t="shared" si="325"/>
        <v>8</v>
      </c>
      <c r="S365" s="62">
        <f t="shared" si="325"/>
        <v>8</v>
      </c>
      <c r="T365" s="62">
        <f t="shared" si="325"/>
        <v>8</v>
      </c>
      <c r="U365" s="62">
        <f t="shared" si="325"/>
        <v>8</v>
      </c>
      <c r="V365" s="62">
        <f t="shared" si="325"/>
        <v>8</v>
      </c>
      <c r="W365" s="62">
        <f t="shared" ref="W365:AC367" si="326">$B345+($C345-$B345)*(1-AL345)</f>
        <v>8</v>
      </c>
      <c r="X365" s="62">
        <f t="shared" si="326"/>
        <v>8</v>
      </c>
      <c r="Y365" s="62">
        <f t="shared" si="326"/>
        <v>8</v>
      </c>
      <c r="Z365" s="62">
        <f t="shared" si="326"/>
        <v>8</v>
      </c>
      <c r="AA365" s="62">
        <f t="shared" si="326"/>
        <v>8</v>
      </c>
      <c r="AB365" s="62">
        <f t="shared" si="326"/>
        <v>8</v>
      </c>
      <c r="AC365" s="62">
        <f t="shared" si="326"/>
        <v>8</v>
      </c>
    </row>
    <row r="366" spans="1:29" x14ac:dyDescent="0.3">
      <c r="A366" s="30" t="str">
        <f>A346</f>
        <v>Lifetime costumization</v>
      </c>
      <c r="B366" s="62">
        <f>$B346+($C346-$B346)*(1-Q346)</f>
        <v>10</v>
      </c>
      <c r="C366" s="62">
        <f t="shared" si="324"/>
        <v>10</v>
      </c>
      <c r="D366" s="62">
        <f t="shared" si="324"/>
        <v>10</v>
      </c>
      <c r="E366" s="62">
        <f t="shared" si="324"/>
        <v>10</v>
      </c>
      <c r="F366" s="62">
        <f t="shared" si="324"/>
        <v>10</v>
      </c>
      <c r="G366" s="62">
        <f t="shared" si="324"/>
        <v>10</v>
      </c>
      <c r="H366" s="62">
        <f t="shared" si="324"/>
        <v>10</v>
      </c>
      <c r="I366" s="62">
        <f t="shared" si="324"/>
        <v>10</v>
      </c>
      <c r="J366" s="62">
        <f t="shared" si="324"/>
        <v>10</v>
      </c>
      <c r="K366" s="62">
        <f t="shared" si="324"/>
        <v>10</v>
      </c>
      <c r="L366" s="62">
        <f t="shared" si="324"/>
        <v>10</v>
      </c>
      <c r="M366" s="62">
        <f t="shared" si="325"/>
        <v>10</v>
      </c>
      <c r="N366" s="62">
        <f t="shared" si="325"/>
        <v>10</v>
      </c>
      <c r="O366" s="62">
        <f t="shared" si="325"/>
        <v>10</v>
      </c>
      <c r="P366" s="62">
        <f t="shared" si="325"/>
        <v>10</v>
      </c>
      <c r="Q366" s="62">
        <f t="shared" si="325"/>
        <v>10</v>
      </c>
      <c r="R366" s="62">
        <f t="shared" si="325"/>
        <v>10</v>
      </c>
      <c r="S366" s="62">
        <f t="shared" si="325"/>
        <v>10</v>
      </c>
      <c r="T366" s="62">
        <f t="shared" si="325"/>
        <v>10</v>
      </c>
      <c r="U366" s="62">
        <f t="shared" si="325"/>
        <v>10</v>
      </c>
      <c r="V366" s="62">
        <f t="shared" si="325"/>
        <v>10</v>
      </c>
      <c r="W366" s="62">
        <f t="shared" si="326"/>
        <v>10</v>
      </c>
      <c r="X366" s="62">
        <f t="shared" si="326"/>
        <v>10</v>
      </c>
      <c r="Y366" s="62">
        <f t="shared" si="326"/>
        <v>10</v>
      </c>
      <c r="Z366" s="62">
        <f t="shared" si="326"/>
        <v>10</v>
      </c>
      <c r="AA366" s="62">
        <f t="shared" si="326"/>
        <v>10</v>
      </c>
      <c r="AB366" s="62">
        <f t="shared" si="326"/>
        <v>10</v>
      </c>
      <c r="AC366" s="62">
        <f t="shared" si="326"/>
        <v>10</v>
      </c>
    </row>
    <row r="367" spans="1:29" x14ac:dyDescent="0.3">
      <c r="A367" s="30" t="str">
        <f>A347</f>
        <v>Tonnage .</v>
      </c>
      <c r="B367" s="62">
        <f>$B347+($C347-$B347)*(1-Q347)</f>
        <v>25</v>
      </c>
      <c r="C367" s="62">
        <f t="shared" si="324"/>
        <v>25</v>
      </c>
      <c r="D367" s="62">
        <f t="shared" si="324"/>
        <v>25</v>
      </c>
      <c r="E367" s="62">
        <f t="shared" si="324"/>
        <v>25</v>
      </c>
      <c r="F367" s="62">
        <f t="shared" si="324"/>
        <v>25</v>
      </c>
      <c r="G367" s="62">
        <f t="shared" si="324"/>
        <v>25</v>
      </c>
      <c r="H367" s="62">
        <f t="shared" si="324"/>
        <v>25</v>
      </c>
      <c r="I367" s="62">
        <f t="shared" si="324"/>
        <v>25</v>
      </c>
      <c r="J367" s="62">
        <f t="shared" si="324"/>
        <v>25</v>
      </c>
      <c r="K367" s="62">
        <f t="shared" si="324"/>
        <v>25</v>
      </c>
      <c r="L367" s="62">
        <f t="shared" si="324"/>
        <v>25</v>
      </c>
      <c r="M367" s="62">
        <f t="shared" si="325"/>
        <v>25</v>
      </c>
      <c r="N367" s="62">
        <f t="shared" si="325"/>
        <v>25</v>
      </c>
      <c r="O367" s="62">
        <f t="shared" si="325"/>
        <v>25</v>
      </c>
      <c r="P367" s="62">
        <f t="shared" si="325"/>
        <v>25</v>
      </c>
      <c r="Q367" s="62">
        <f t="shared" si="325"/>
        <v>25</v>
      </c>
      <c r="R367" s="62">
        <f t="shared" si="325"/>
        <v>25</v>
      </c>
      <c r="S367" s="62">
        <f t="shared" si="325"/>
        <v>25</v>
      </c>
      <c r="T367" s="62">
        <f t="shared" si="325"/>
        <v>25</v>
      </c>
      <c r="U367" s="62">
        <f t="shared" si="325"/>
        <v>25</v>
      </c>
      <c r="V367" s="62">
        <f t="shared" si="325"/>
        <v>25</v>
      </c>
      <c r="W367" s="62">
        <f t="shared" si="326"/>
        <v>25</v>
      </c>
      <c r="X367" s="62">
        <f t="shared" si="326"/>
        <v>25</v>
      </c>
      <c r="Y367" s="62">
        <f t="shared" si="326"/>
        <v>25</v>
      </c>
      <c r="Z367" s="62">
        <f t="shared" si="326"/>
        <v>25</v>
      </c>
      <c r="AA367" s="62">
        <f t="shared" si="326"/>
        <v>25</v>
      </c>
      <c r="AB367" s="62">
        <f t="shared" si="326"/>
        <v>25</v>
      </c>
      <c r="AC367" s="62">
        <f t="shared" si="326"/>
        <v>25</v>
      </c>
    </row>
    <row r="368" spans="1:29" x14ac:dyDescent="0.3">
      <c r="A368" s="30" t="str">
        <f>A348</f>
        <v>Market failure (av. utilization)</v>
      </c>
      <c r="B368" s="62">
        <f t="shared" ref="B368:K369" si="327">($B348+($C348-$B348)*(1-Q348))*B$44</f>
        <v>11.5</v>
      </c>
      <c r="C368" s="62">
        <f t="shared" si="327"/>
        <v>11.5</v>
      </c>
      <c r="D368" s="62">
        <f t="shared" si="327"/>
        <v>11.5</v>
      </c>
      <c r="E368" s="62">
        <f t="shared" si="327"/>
        <v>11.5</v>
      </c>
      <c r="F368" s="62">
        <f t="shared" si="327"/>
        <v>11.5</v>
      </c>
      <c r="G368" s="62">
        <f t="shared" si="327"/>
        <v>11.5</v>
      </c>
      <c r="H368" s="62">
        <f t="shared" si="327"/>
        <v>11.5</v>
      </c>
      <c r="I368" s="62">
        <f t="shared" si="327"/>
        <v>11.5</v>
      </c>
      <c r="J368" s="62">
        <f t="shared" si="327"/>
        <v>11.5</v>
      </c>
      <c r="K368" s="62">
        <f t="shared" si="327"/>
        <v>11.5</v>
      </c>
      <c r="L368" s="62">
        <f t="shared" ref="L368:U369" si="328">($B348+($C348-$B348)*(1-AA348))*L$44</f>
        <v>11.5</v>
      </c>
      <c r="M368" s="62">
        <f t="shared" si="328"/>
        <v>11.5</v>
      </c>
      <c r="N368" s="62">
        <f t="shared" si="328"/>
        <v>11.5</v>
      </c>
      <c r="O368" s="62">
        <f t="shared" si="328"/>
        <v>11.5</v>
      </c>
      <c r="P368" s="62">
        <f t="shared" si="328"/>
        <v>11.5</v>
      </c>
      <c r="Q368" s="62">
        <f t="shared" si="328"/>
        <v>11.5</v>
      </c>
      <c r="R368" s="62">
        <f t="shared" si="328"/>
        <v>11.5</v>
      </c>
      <c r="S368" s="62">
        <f t="shared" si="328"/>
        <v>11.5</v>
      </c>
      <c r="T368" s="62">
        <f t="shared" si="328"/>
        <v>11.5</v>
      </c>
      <c r="U368" s="62">
        <f t="shared" si="328"/>
        <v>11.5</v>
      </c>
      <c r="V368" s="62">
        <f t="shared" ref="V368:AC369" si="329">($B348+($C348-$B348)*(1-AK348))*V$44</f>
        <v>11.5</v>
      </c>
      <c r="W368" s="62">
        <f t="shared" si="329"/>
        <v>11.5</v>
      </c>
      <c r="X368" s="62">
        <f t="shared" si="329"/>
        <v>11.5</v>
      </c>
      <c r="Y368" s="62">
        <f t="shared" si="329"/>
        <v>11.5</v>
      </c>
      <c r="Z368" s="62">
        <f t="shared" si="329"/>
        <v>11.5</v>
      </c>
      <c r="AA368" s="62">
        <f t="shared" si="329"/>
        <v>11.5</v>
      </c>
      <c r="AB368" s="62">
        <f t="shared" si="329"/>
        <v>11.5</v>
      </c>
      <c r="AC368" s="62">
        <f t="shared" si="329"/>
        <v>11.5</v>
      </c>
    </row>
    <row r="369" spans="1:29" x14ac:dyDescent="0.3">
      <c r="A369" s="30" t="s">
        <v>73</v>
      </c>
      <c r="B369" s="62">
        <f t="shared" si="327"/>
        <v>2.4834973269685467</v>
      </c>
      <c r="C369" s="62">
        <f t="shared" si="327"/>
        <v>2.4764313720357283</v>
      </c>
      <c r="D369" s="62">
        <f t="shared" si="327"/>
        <v>2.4663987289484006</v>
      </c>
      <c r="E369" s="62">
        <f t="shared" si="327"/>
        <v>2.4522185520199096</v>
      </c>
      <c r="F369" s="62">
        <f t="shared" si="327"/>
        <v>2.4323098394438922</v>
      </c>
      <c r="G369" s="62">
        <f t="shared" si="327"/>
        <v>2.4046295018767689</v>
      </c>
      <c r="H369" s="62">
        <f t="shared" si="327"/>
        <v>2.3666807945957307</v>
      </c>
      <c r="I369" s="62">
        <f t="shared" si="327"/>
        <v>2.3156817984290878</v>
      </c>
      <c r="J369" s="62">
        <f t="shared" si="327"/>
        <v>2.2490162581577988</v>
      </c>
      <c r="K369" s="62">
        <f t="shared" si="327"/>
        <v>2.1650622781249176</v>
      </c>
      <c r="L369" s="62">
        <f t="shared" si="328"/>
        <v>2.0643199119848337</v>
      </c>
      <c r="M369" s="62">
        <f t="shared" si="328"/>
        <v>1.9504030985106198</v>
      </c>
      <c r="N369" s="62">
        <f t="shared" si="328"/>
        <v>1.8301415859148171</v>
      </c>
      <c r="O369" s="62">
        <f t="shared" si="328"/>
        <v>1.7122465949440495</v>
      </c>
      <c r="P369" s="62">
        <f t="shared" si="328"/>
        <v>1.6049243579653898</v>
      </c>
      <c r="Q369" s="62">
        <f t="shared" si="328"/>
        <v>1.5137157395139718</v>
      </c>
      <c r="R369" s="62">
        <f t="shared" si="328"/>
        <v>1.4406739706724776</v>
      </c>
      <c r="S369" s="62">
        <f t="shared" si="328"/>
        <v>1.3849398592213749</v>
      </c>
      <c r="T369" s="62">
        <f t="shared" si="328"/>
        <v>1.3439708174226148</v>
      </c>
      <c r="U369" s="62">
        <f t="shared" si="328"/>
        <v>1.3146785452218777</v>
      </c>
      <c r="V369" s="62">
        <f t="shared" si="329"/>
        <v>1.2941489882816826</v>
      </c>
      <c r="W369" s="62">
        <f t="shared" si="329"/>
        <v>1.2799618025908228</v>
      </c>
      <c r="X369" s="62">
        <f t="shared" si="329"/>
        <v>1.2702528044479873</v>
      </c>
      <c r="Y369" s="62">
        <f t="shared" si="329"/>
        <v>1.2636528007051355</v>
      </c>
      <c r="Z369" s="62">
        <f t="shared" si="329"/>
        <v>1.2591866516132615</v>
      </c>
      <c r="AA369" s="62">
        <f t="shared" si="329"/>
        <v>1.2561737827731323</v>
      </c>
      <c r="AB369" s="62">
        <f t="shared" si="329"/>
        <v>1.2541455344366195</v>
      </c>
      <c r="AC369" s="62">
        <f t="shared" si="329"/>
        <v>1.2527820452683351</v>
      </c>
    </row>
    <row r="370" spans="1:29" x14ac:dyDescent="0.3">
      <c r="A370" s="30" t="str">
        <f>A350</f>
        <v>Annual Mileage</v>
      </c>
      <c r="B370" s="62">
        <f t="shared" ref="B370:AC370" si="330">$B350+($C350-$B350)*(1-Q350)</f>
        <v>78000</v>
      </c>
      <c r="C370" s="62">
        <f t="shared" si="330"/>
        <v>78000</v>
      </c>
      <c r="D370" s="62">
        <f t="shared" si="330"/>
        <v>78000</v>
      </c>
      <c r="E370" s="62">
        <f t="shared" si="330"/>
        <v>78000</v>
      </c>
      <c r="F370" s="62">
        <f t="shared" si="330"/>
        <v>78000</v>
      </c>
      <c r="G370" s="62">
        <f t="shared" si="330"/>
        <v>78000</v>
      </c>
      <c r="H370" s="62">
        <f t="shared" si="330"/>
        <v>78000</v>
      </c>
      <c r="I370" s="62">
        <f t="shared" si="330"/>
        <v>78000</v>
      </c>
      <c r="J370" s="62">
        <f t="shared" si="330"/>
        <v>78000</v>
      </c>
      <c r="K370" s="62">
        <f t="shared" si="330"/>
        <v>78000</v>
      </c>
      <c r="L370" s="62">
        <f t="shared" si="330"/>
        <v>78000</v>
      </c>
      <c r="M370" s="62">
        <f t="shared" si="330"/>
        <v>78000</v>
      </c>
      <c r="N370" s="62">
        <f t="shared" si="330"/>
        <v>78000</v>
      </c>
      <c r="O370" s="62">
        <f t="shared" si="330"/>
        <v>78000</v>
      </c>
      <c r="P370" s="62">
        <f t="shared" si="330"/>
        <v>78000</v>
      </c>
      <c r="Q370" s="62">
        <f t="shared" si="330"/>
        <v>78000</v>
      </c>
      <c r="R370" s="62">
        <f t="shared" si="330"/>
        <v>78000</v>
      </c>
      <c r="S370" s="62">
        <f t="shared" si="330"/>
        <v>78000</v>
      </c>
      <c r="T370" s="62">
        <f t="shared" si="330"/>
        <v>78000</v>
      </c>
      <c r="U370" s="62">
        <f t="shared" si="330"/>
        <v>78000</v>
      </c>
      <c r="V370" s="62">
        <f t="shared" si="330"/>
        <v>78000</v>
      </c>
      <c r="W370" s="62">
        <f t="shared" si="330"/>
        <v>78000</v>
      </c>
      <c r="X370" s="62">
        <f t="shared" si="330"/>
        <v>78000</v>
      </c>
      <c r="Y370" s="62">
        <f t="shared" si="330"/>
        <v>78000</v>
      </c>
      <c r="Z370" s="62">
        <f t="shared" si="330"/>
        <v>78000</v>
      </c>
      <c r="AA370" s="62">
        <f t="shared" si="330"/>
        <v>78000</v>
      </c>
      <c r="AB370" s="62">
        <f t="shared" si="330"/>
        <v>78000</v>
      </c>
      <c r="AC370" s="62">
        <f t="shared" si="330"/>
        <v>78000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62190.665101367747</v>
      </c>
      <c r="C373" s="63">
        <f t="shared" ref="C373:AC373" si="331">((1+C358)^C365)*C358/(((1+C358)^C365)-1)*(C354)</f>
        <v>61281.329133767969</v>
      </c>
      <c r="D373" s="63">
        <f t="shared" si="331"/>
        <v>60034.66354051487</v>
      </c>
      <c r="E373" s="63">
        <f t="shared" si="331"/>
        <v>58359.278570466915</v>
      </c>
      <c r="F373" s="63">
        <f t="shared" si="331"/>
        <v>56169.226754041214</v>
      </c>
      <c r="G373" s="63">
        <f t="shared" si="331"/>
        <v>53411.226658055137</v>
      </c>
      <c r="H373" s="63">
        <f t="shared" si="331"/>
        <v>50101.705711276991</v>
      </c>
      <c r="I373" s="63">
        <f t="shared" si="331"/>
        <v>46359.3866172536</v>
      </c>
      <c r="J373" s="63">
        <f t="shared" si="331"/>
        <v>42408.635704041997</v>
      </c>
      <c r="K373" s="63">
        <f t="shared" si="331"/>
        <v>38535.628179130072</v>
      </c>
      <c r="L373" s="63">
        <f t="shared" si="331"/>
        <v>35009.949708941356</v>
      </c>
      <c r="M373" s="63">
        <f t="shared" si="331"/>
        <v>32013.625075549993</v>
      </c>
      <c r="N373" s="63">
        <f t="shared" si="331"/>
        <v>29614.105655542335</v>
      </c>
      <c r="O373" s="63">
        <f t="shared" si="331"/>
        <v>27783.165839804766</v>
      </c>
      <c r="P373" s="63">
        <f t="shared" si="331"/>
        <v>26437.27823365216</v>
      </c>
      <c r="Q373" s="63">
        <f t="shared" si="331"/>
        <v>25474.988065757298</v>
      </c>
      <c r="R373" s="63">
        <f t="shared" si="331"/>
        <v>24800.564768738692</v>
      </c>
      <c r="S373" s="63">
        <f t="shared" si="331"/>
        <v>24334.496817203359</v>
      </c>
      <c r="T373" s="63">
        <f t="shared" si="331"/>
        <v>24015.543292910865</v>
      </c>
      <c r="U373" s="63">
        <f t="shared" si="331"/>
        <v>23798.724376771759</v>
      </c>
      <c r="V373" s="63">
        <f t="shared" si="331"/>
        <v>23652.005428852281</v>
      </c>
      <c r="W373" s="63">
        <f t="shared" si="331"/>
        <v>23553.028673408226</v>
      </c>
      <c r="X373" s="63">
        <f t="shared" si="331"/>
        <v>23486.398013318085</v>
      </c>
      <c r="Y373" s="63">
        <f t="shared" si="331"/>
        <v>23441.605577563019</v>
      </c>
      <c r="Z373" s="63">
        <f t="shared" si="331"/>
        <v>23411.522325452843</v>
      </c>
      <c r="AA373" s="63">
        <f t="shared" si="331"/>
        <v>23391.330799385243</v>
      </c>
      <c r="AB373" s="63">
        <f t="shared" si="331"/>
        <v>23377.784258985215</v>
      </c>
      <c r="AC373" s="63">
        <f t="shared" si="331"/>
        <v>23368.698453290883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-9455.0461314377717</v>
      </c>
      <c r="C374" s="62">
        <f t="shared" ref="C374:AC374" si="332">((1+C358)^C365)*C358/(((1+C358)^C365)-1)*(C355)</f>
        <v>-9370.3530756319105</v>
      </c>
      <c r="D374" s="62">
        <f t="shared" si="332"/>
        <v>-9254.2420644955928</v>
      </c>
      <c r="E374" s="62">
        <f t="shared" si="332"/>
        <v>-9098.2013074813221</v>
      </c>
      <c r="F374" s="62">
        <f t="shared" si="332"/>
        <v>-8894.2258932063796</v>
      </c>
      <c r="G374" s="62">
        <f t="shared" si="332"/>
        <v>-8637.353335246893</v>
      </c>
      <c r="H374" s="62">
        <f t="shared" si="332"/>
        <v>-8329.1136392234366</v>
      </c>
      <c r="I374" s="62">
        <f t="shared" si="332"/>
        <v>-7980.5643118389062</v>
      </c>
      <c r="J374" s="62">
        <f t="shared" si="332"/>
        <v>-7612.6022169809621</v>
      </c>
      <c r="K374" s="62">
        <f t="shared" si="332"/>
        <v>-7251.8809278960271</v>
      </c>
      <c r="L374" s="62">
        <f t="shared" si="332"/>
        <v>-6923.5089135157077</v>
      </c>
      <c r="M374" s="62">
        <f t="shared" si="332"/>
        <v>-6644.4394623665112</v>
      </c>
      <c r="N374" s="62">
        <f t="shared" si="332"/>
        <v>-6420.9548105030526</v>
      </c>
      <c r="O374" s="62">
        <f t="shared" si="332"/>
        <v>-6250.4261021745533</v>
      </c>
      <c r="P374" s="62">
        <f t="shared" si="332"/>
        <v>-6125.0738251309276</v>
      </c>
      <c r="Q374" s="62">
        <f t="shared" si="332"/>
        <v>-6035.4487604740543</v>
      </c>
      <c r="R374" s="62">
        <f t="shared" si="332"/>
        <v>-5972.6348259478109</v>
      </c>
      <c r="S374" s="62">
        <f t="shared" si="332"/>
        <v>-5929.226536344031</v>
      </c>
      <c r="T374" s="62">
        <f t="shared" si="332"/>
        <v>-5899.5200806501216</v>
      </c>
      <c r="U374" s="62">
        <f t="shared" si="332"/>
        <v>-5879.3261619901059</v>
      </c>
      <c r="V374" s="62">
        <f t="shared" si="332"/>
        <v>-5865.6611619387841</v>
      </c>
      <c r="W374" s="62">
        <f t="shared" si="332"/>
        <v>-5856.442738637621</v>
      </c>
      <c r="X374" s="62">
        <f t="shared" si="332"/>
        <v>-5850.2369418645203</v>
      </c>
      <c r="Y374" s="62">
        <f t="shared" si="332"/>
        <v>-5846.0650973579204</v>
      </c>
      <c r="Z374" s="62">
        <f t="shared" si="332"/>
        <v>-5843.2632258378535</v>
      </c>
      <c r="AA374" s="62">
        <f t="shared" si="332"/>
        <v>-5841.3826425276375</v>
      </c>
      <c r="AB374" s="62">
        <f t="shared" si="332"/>
        <v>-5840.1209549413597</v>
      </c>
      <c r="AC374" s="62">
        <f t="shared" si="332"/>
        <v>-5839.2747279404175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5434.7183288153492</v>
      </c>
      <c r="C375" s="62">
        <f t="shared" ref="C375:AC375" si="333">((1+C358)^C366)*C358/(((1+C358)^C366)-1)*(C356)</f>
        <v>5434.7183288153492</v>
      </c>
      <c r="D375" s="62">
        <f t="shared" si="333"/>
        <v>5434.7183288153492</v>
      </c>
      <c r="E375" s="62">
        <f t="shared" si="333"/>
        <v>5434.7183288153492</v>
      </c>
      <c r="F375" s="62">
        <f t="shared" si="333"/>
        <v>5434.7183288153492</v>
      </c>
      <c r="G375" s="62">
        <f t="shared" si="333"/>
        <v>5434.7183288153492</v>
      </c>
      <c r="H375" s="62">
        <f t="shared" si="333"/>
        <v>5434.7183288153492</v>
      </c>
      <c r="I375" s="62">
        <f t="shared" si="333"/>
        <v>5434.7183288153492</v>
      </c>
      <c r="J375" s="62">
        <f t="shared" si="333"/>
        <v>5434.7183288153492</v>
      </c>
      <c r="K375" s="62">
        <f t="shared" si="333"/>
        <v>5434.7183288153492</v>
      </c>
      <c r="L375" s="62">
        <f t="shared" si="333"/>
        <v>5434.7183288153492</v>
      </c>
      <c r="M375" s="62">
        <f t="shared" si="333"/>
        <v>5434.7183288153492</v>
      </c>
      <c r="N375" s="62">
        <f t="shared" si="333"/>
        <v>5434.7183288153492</v>
      </c>
      <c r="O375" s="62">
        <f t="shared" si="333"/>
        <v>5434.7183288153492</v>
      </c>
      <c r="P375" s="62">
        <f t="shared" si="333"/>
        <v>5434.7183288153492</v>
      </c>
      <c r="Q375" s="62">
        <f t="shared" si="333"/>
        <v>5434.7183288153492</v>
      </c>
      <c r="R375" s="62">
        <f t="shared" si="333"/>
        <v>5434.7183288153492</v>
      </c>
      <c r="S375" s="62">
        <f t="shared" si="333"/>
        <v>5434.7183288153492</v>
      </c>
      <c r="T375" s="62">
        <f t="shared" si="333"/>
        <v>5434.7183288153492</v>
      </c>
      <c r="U375" s="62">
        <f t="shared" si="333"/>
        <v>5434.7183288153492</v>
      </c>
      <c r="V375" s="62">
        <f t="shared" si="333"/>
        <v>5434.7183288153492</v>
      </c>
      <c r="W375" s="62">
        <f t="shared" si="333"/>
        <v>5434.7183288153492</v>
      </c>
      <c r="X375" s="62">
        <f t="shared" si="333"/>
        <v>5434.7183288153492</v>
      </c>
      <c r="Y375" s="62">
        <f t="shared" si="333"/>
        <v>5434.7183288153492</v>
      </c>
      <c r="Z375" s="62">
        <f t="shared" si="333"/>
        <v>5434.7183288153492</v>
      </c>
      <c r="AA375" s="62">
        <f t="shared" si="333"/>
        <v>5434.7183288153492</v>
      </c>
      <c r="AB375" s="62">
        <f t="shared" si="333"/>
        <v>5434.7183288153492</v>
      </c>
      <c r="AC375" s="62">
        <f t="shared" si="333"/>
        <v>5434.7183288153492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-1358.6795822038373</v>
      </c>
      <c r="C376" s="62">
        <f t="shared" ref="C376:AC376" si="334">((1+C358)^C366)*C358/(((1+C358)^C366)-1)*(C357)</f>
        <v>-1358.6795822038373</v>
      </c>
      <c r="D376" s="62">
        <f t="shared" si="334"/>
        <v>-1358.6795822038373</v>
      </c>
      <c r="E376" s="62">
        <f t="shared" si="334"/>
        <v>-1358.6795822038373</v>
      </c>
      <c r="F376" s="62">
        <f t="shared" si="334"/>
        <v>-1358.6795822038373</v>
      </c>
      <c r="G376" s="62">
        <f t="shared" si="334"/>
        <v>-1358.6795822038373</v>
      </c>
      <c r="H376" s="62">
        <f t="shared" si="334"/>
        <v>-1358.6795822038373</v>
      </c>
      <c r="I376" s="62">
        <f t="shared" si="334"/>
        <v>-1358.6795822038373</v>
      </c>
      <c r="J376" s="62">
        <f t="shared" si="334"/>
        <v>-1358.6795822038373</v>
      </c>
      <c r="K376" s="62">
        <f t="shared" si="334"/>
        <v>-1358.6795822038373</v>
      </c>
      <c r="L376" s="62">
        <f t="shared" si="334"/>
        <v>-1358.6795822038373</v>
      </c>
      <c r="M376" s="62">
        <f t="shared" si="334"/>
        <v>-1358.6795822038373</v>
      </c>
      <c r="N376" s="62">
        <f t="shared" si="334"/>
        <v>-1358.6795822038373</v>
      </c>
      <c r="O376" s="62">
        <f t="shared" si="334"/>
        <v>-1358.6795822038373</v>
      </c>
      <c r="P376" s="62">
        <f t="shared" si="334"/>
        <v>-1358.6795822038373</v>
      </c>
      <c r="Q376" s="62">
        <f t="shared" si="334"/>
        <v>-1358.6795822038373</v>
      </c>
      <c r="R376" s="62">
        <f t="shared" si="334"/>
        <v>-1358.6795822038373</v>
      </c>
      <c r="S376" s="62">
        <f t="shared" si="334"/>
        <v>-1358.6795822038373</v>
      </c>
      <c r="T376" s="62">
        <f t="shared" si="334"/>
        <v>-1358.6795822038373</v>
      </c>
      <c r="U376" s="62">
        <f t="shared" si="334"/>
        <v>-1358.6795822038373</v>
      </c>
      <c r="V376" s="62">
        <f t="shared" si="334"/>
        <v>-1358.6795822038373</v>
      </c>
      <c r="W376" s="62">
        <f t="shared" si="334"/>
        <v>-1358.6795822038373</v>
      </c>
      <c r="X376" s="62">
        <f t="shared" si="334"/>
        <v>-1358.6795822038373</v>
      </c>
      <c r="Y376" s="62">
        <f t="shared" si="334"/>
        <v>-1358.6795822038373</v>
      </c>
      <c r="Z376" s="62">
        <f t="shared" si="334"/>
        <v>-1358.6795822038373</v>
      </c>
      <c r="AA376" s="62">
        <f t="shared" si="334"/>
        <v>-1358.6795822038373</v>
      </c>
      <c r="AB376" s="62">
        <f t="shared" si="334"/>
        <v>-1358.6795822038373</v>
      </c>
      <c r="AC376" s="62">
        <f t="shared" si="334"/>
        <v>-1358.6795822038373</v>
      </c>
    </row>
    <row r="377" spans="1:29" x14ac:dyDescent="0.3">
      <c r="A377" s="30" t="str">
        <f t="shared" ref="A377:AC377" si="335">A359</f>
        <v>Opex fix (admin, crew, insurance)</v>
      </c>
      <c r="B377" s="62">
        <f t="shared" si="335"/>
        <v>70000</v>
      </c>
      <c r="C377" s="62">
        <f t="shared" si="335"/>
        <v>70000</v>
      </c>
      <c r="D377" s="62">
        <f t="shared" si="335"/>
        <v>70000</v>
      </c>
      <c r="E377" s="62">
        <f t="shared" si="335"/>
        <v>70000</v>
      </c>
      <c r="F377" s="62">
        <f t="shared" si="335"/>
        <v>70000</v>
      </c>
      <c r="G377" s="62">
        <f t="shared" si="335"/>
        <v>70000</v>
      </c>
      <c r="H377" s="62">
        <f t="shared" si="335"/>
        <v>70000</v>
      </c>
      <c r="I377" s="62">
        <f t="shared" si="335"/>
        <v>70000</v>
      </c>
      <c r="J377" s="62">
        <f t="shared" si="335"/>
        <v>70000</v>
      </c>
      <c r="K377" s="62">
        <f t="shared" si="335"/>
        <v>70000</v>
      </c>
      <c r="L377" s="62">
        <f t="shared" si="335"/>
        <v>70000</v>
      </c>
      <c r="M377" s="62">
        <f t="shared" si="335"/>
        <v>70000</v>
      </c>
      <c r="N377" s="62">
        <f t="shared" si="335"/>
        <v>70000</v>
      </c>
      <c r="O377" s="62">
        <f t="shared" si="335"/>
        <v>70000</v>
      </c>
      <c r="P377" s="62">
        <f t="shared" si="335"/>
        <v>70000</v>
      </c>
      <c r="Q377" s="62">
        <f t="shared" si="335"/>
        <v>70000</v>
      </c>
      <c r="R377" s="62">
        <f t="shared" si="335"/>
        <v>70000</v>
      </c>
      <c r="S377" s="62">
        <f t="shared" si="335"/>
        <v>70000</v>
      </c>
      <c r="T377" s="62">
        <f t="shared" si="335"/>
        <v>70000</v>
      </c>
      <c r="U377" s="62">
        <f t="shared" si="335"/>
        <v>70000</v>
      </c>
      <c r="V377" s="62">
        <f t="shared" si="335"/>
        <v>70000</v>
      </c>
      <c r="W377" s="62">
        <f t="shared" si="335"/>
        <v>70000</v>
      </c>
      <c r="X377" s="62">
        <f t="shared" si="335"/>
        <v>70000</v>
      </c>
      <c r="Y377" s="62">
        <f t="shared" si="335"/>
        <v>70000</v>
      </c>
      <c r="Z377" s="62">
        <f t="shared" si="335"/>
        <v>70000</v>
      </c>
      <c r="AA377" s="62">
        <f t="shared" si="335"/>
        <v>70000</v>
      </c>
      <c r="AB377" s="62">
        <f t="shared" si="335"/>
        <v>70000</v>
      </c>
      <c r="AC377" s="62">
        <f t="shared" si="335"/>
        <v>70000</v>
      </c>
    </row>
    <row r="378" spans="1:29" x14ac:dyDescent="0.3">
      <c r="A378" s="30" t="str">
        <f t="shared" ref="A378:AC378" si="336">A360</f>
        <v>Opex maintenance &amp; repair</v>
      </c>
      <c r="B378" s="62">
        <f t="shared" si="336"/>
        <v>15000</v>
      </c>
      <c r="C378" s="62">
        <f t="shared" si="336"/>
        <v>15000</v>
      </c>
      <c r="D378" s="62">
        <f t="shared" si="336"/>
        <v>15000</v>
      </c>
      <c r="E378" s="62">
        <f t="shared" si="336"/>
        <v>15000</v>
      </c>
      <c r="F378" s="62">
        <f t="shared" si="336"/>
        <v>15000</v>
      </c>
      <c r="G378" s="62">
        <f t="shared" si="336"/>
        <v>15000</v>
      </c>
      <c r="H378" s="62">
        <f t="shared" si="336"/>
        <v>15000</v>
      </c>
      <c r="I378" s="62">
        <f t="shared" si="336"/>
        <v>15000</v>
      </c>
      <c r="J378" s="62">
        <f t="shared" si="336"/>
        <v>15000</v>
      </c>
      <c r="K378" s="62">
        <f t="shared" si="336"/>
        <v>15000</v>
      </c>
      <c r="L378" s="62">
        <f t="shared" si="336"/>
        <v>15000</v>
      </c>
      <c r="M378" s="62">
        <f t="shared" si="336"/>
        <v>15000</v>
      </c>
      <c r="N378" s="62">
        <f t="shared" si="336"/>
        <v>15000</v>
      </c>
      <c r="O378" s="62">
        <f t="shared" si="336"/>
        <v>15000</v>
      </c>
      <c r="P378" s="62">
        <f t="shared" si="336"/>
        <v>15000</v>
      </c>
      <c r="Q378" s="62">
        <f t="shared" si="336"/>
        <v>15000</v>
      </c>
      <c r="R378" s="62">
        <f t="shared" si="336"/>
        <v>15000</v>
      </c>
      <c r="S378" s="62">
        <f t="shared" si="336"/>
        <v>15000</v>
      </c>
      <c r="T378" s="62">
        <f t="shared" si="336"/>
        <v>15000</v>
      </c>
      <c r="U378" s="62">
        <f t="shared" si="336"/>
        <v>15000</v>
      </c>
      <c r="V378" s="62">
        <f t="shared" si="336"/>
        <v>15000</v>
      </c>
      <c r="W378" s="62">
        <f t="shared" si="336"/>
        <v>15000</v>
      </c>
      <c r="X378" s="62">
        <f t="shared" si="336"/>
        <v>15000</v>
      </c>
      <c r="Y378" s="62">
        <f t="shared" si="336"/>
        <v>15000</v>
      </c>
      <c r="Z378" s="62">
        <f t="shared" si="336"/>
        <v>15000</v>
      </c>
      <c r="AA378" s="62">
        <f t="shared" si="336"/>
        <v>15000</v>
      </c>
      <c r="AB378" s="62">
        <f t="shared" si="336"/>
        <v>15000</v>
      </c>
      <c r="AC378" s="62">
        <f t="shared" si="336"/>
        <v>15000</v>
      </c>
    </row>
    <row r="379" spans="1:29" x14ac:dyDescent="0.3">
      <c r="A379" s="30" t="str">
        <f>A361</f>
        <v>Opex var (mode-fees)</v>
      </c>
      <c r="B379" s="62">
        <f>B361*B370</f>
        <v>8580</v>
      </c>
      <c r="C379" s="62">
        <f t="shared" ref="C379:AC379" si="337">C361*C370</f>
        <v>8580</v>
      </c>
      <c r="D379" s="62">
        <f t="shared" si="337"/>
        <v>8580</v>
      </c>
      <c r="E379" s="62">
        <f t="shared" si="337"/>
        <v>8580</v>
      </c>
      <c r="F379" s="62">
        <f t="shared" si="337"/>
        <v>8580</v>
      </c>
      <c r="G379" s="62">
        <f t="shared" si="337"/>
        <v>8580</v>
      </c>
      <c r="H379" s="62">
        <f t="shared" si="337"/>
        <v>8580</v>
      </c>
      <c r="I379" s="62">
        <f t="shared" si="337"/>
        <v>8580</v>
      </c>
      <c r="J379" s="62">
        <f t="shared" si="337"/>
        <v>8580</v>
      </c>
      <c r="K379" s="62">
        <f t="shared" si="337"/>
        <v>8580</v>
      </c>
      <c r="L379" s="62">
        <f t="shared" si="337"/>
        <v>8580</v>
      </c>
      <c r="M379" s="62">
        <f t="shared" si="337"/>
        <v>8580</v>
      </c>
      <c r="N379" s="62">
        <f t="shared" si="337"/>
        <v>8580</v>
      </c>
      <c r="O379" s="62">
        <f t="shared" si="337"/>
        <v>8580</v>
      </c>
      <c r="P379" s="62">
        <f t="shared" si="337"/>
        <v>8580</v>
      </c>
      <c r="Q379" s="62">
        <f t="shared" si="337"/>
        <v>8580</v>
      </c>
      <c r="R379" s="62">
        <f t="shared" si="337"/>
        <v>8580</v>
      </c>
      <c r="S379" s="62">
        <f t="shared" si="337"/>
        <v>8580</v>
      </c>
      <c r="T379" s="62">
        <f t="shared" si="337"/>
        <v>8580</v>
      </c>
      <c r="U379" s="62">
        <f t="shared" si="337"/>
        <v>8580</v>
      </c>
      <c r="V379" s="62">
        <f t="shared" si="337"/>
        <v>8580</v>
      </c>
      <c r="W379" s="62">
        <f t="shared" si="337"/>
        <v>8580</v>
      </c>
      <c r="X379" s="62">
        <f t="shared" si="337"/>
        <v>8580</v>
      </c>
      <c r="Y379" s="62">
        <f t="shared" si="337"/>
        <v>8580</v>
      </c>
      <c r="Z379" s="62">
        <f t="shared" si="337"/>
        <v>8580</v>
      </c>
      <c r="AA379" s="62">
        <f t="shared" si="337"/>
        <v>8580</v>
      </c>
      <c r="AB379" s="62">
        <f t="shared" si="337"/>
        <v>8580</v>
      </c>
      <c r="AC379" s="62">
        <f t="shared" si="337"/>
        <v>8580</v>
      </c>
    </row>
    <row r="380" spans="1:29" x14ac:dyDescent="0.3">
      <c r="A380" s="30" t="str">
        <f>A363</f>
        <v>Fuel Cost</v>
      </c>
      <c r="B380" s="62">
        <f>B362*B363*B370</f>
        <v>10802.576944158687</v>
      </c>
      <c r="C380" s="62">
        <f t="shared" ref="C380:AC380" si="338">C362*C363*C370</f>
        <v>10730.886653903493</v>
      </c>
      <c r="D380" s="62">
        <f t="shared" si="338"/>
        <v>10632.212940546244</v>
      </c>
      <c r="E380" s="62">
        <f t="shared" si="338"/>
        <v>10498.80353796087</v>
      </c>
      <c r="F380" s="62">
        <f t="shared" si="338"/>
        <v>10322.801080410069</v>
      </c>
      <c r="G380" s="62">
        <f t="shared" si="338"/>
        <v>10098.0409613417</v>
      </c>
      <c r="H380" s="62">
        <f t="shared" si="338"/>
        <v>9822.5984876290404</v>
      </c>
      <c r="I380" s="62">
        <f t="shared" si="338"/>
        <v>9501.2080820904448</v>
      </c>
      <c r="J380" s="62">
        <f t="shared" si="338"/>
        <v>9146.0108283897971</v>
      </c>
      <c r="K380" s="62">
        <f t="shared" si="338"/>
        <v>8774.547831272972</v>
      </c>
      <c r="L380" s="62">
        <f t="shared" si="338"/>
        <v>8405.8067895805834</v>
      </c>
      <c r="M380" s="62">
        <f t="shared" si="338"/>
        <v>8056.6673117645132</v>
      </c>
      <c r="N380" s="62">
        <f t="shared" si="338"/>
        <v>7740.2600819414392</v>
      </c>
      <c r="O380" s="62">
        <f t="shared" si="338"/>
        <v>7465.6250229180569</v>
      </c>
      <c r="P380" s="62">
        <f t="shared" si="338"/>
        <v>7237.4531621679489</v>
      </c>
      <c r="Q380" s="62">
        <f t="shared" si="338"/>
        <v>7055.872158685208</v>
      </c>
      <c r="R380" s="62">
        <f t="shared" si="338"/>
        <v>6916.9853904747097</v>
      </c>
      <c r="S380" s="62">
        <f t="shared" si="338"/>
        <v>6814.2991537637554</v>
      </c>
      <c r="T380" s="62">
        <f t="shared" si="338"/>
        <v>6740.4178858776686</v>
      </c>
      <c r="U380" s="62">
        <f t="shared" si="338"/>
        <v>6688.3538906046351</v>
      </c>
      <c r="V380" s="62">
        <f t="shared" si="338"/>
        <v>6652.2192132615446</v>
      </c>
      <c r="W380" s="62">
        <f t="shared" si="338"/>
        <v>6627.4112956332647</v>
      </c>
      <c r="X380" s="62">
        <f t="shared" si="338"/>
        <v>6610.508671173161</v>
      </c>
      <c r="Y380" s="62">
        <f t="shared" si="338"/>
        <v>6599.0525083691828</v>
      </c>
      <c r="Z380" s="62">
        <f t="shared" si="338"/>
        <v>6591.3156191563921</v>
      </c>
      <c r="AA380" s="62">
        <f t="shared" si="338"/>
        <v>6586.1032472313873</v>
      </c>
      <c r="AB380" s="62">
        <f t="shared" si="338"/>
        <v>6582.5974343274165</v>
      </c>
      <c r="AC380" s="62">
        <f t="shared" si="338"/>
        <v>6580.242062636361</v>
      </c>
    </row>
    <row r="381" spans="1:29" ht="15" thickBot="1" x14ac:dyDescent="0.35">
      <c r="A381" s="59" t="str">
        <f>A344</f>
        <v>Emission Cost</v>
      </c>
      <c r="B381" s="62">
        <f>B364*B370</f>
        <v>273.95699634657467</v>
      </c>
      <c r="C381" s="62">
        <f t="shared" ref="C381:AC381" si="339">C364*C370</f>
        <v>273.69612253596802</v>
      </c>
      <c r="D381" s="62">
        <f t="shared" si="339"/>
        <v>273.32268748658009</v>
      </c>
      <c r="E381" s="62">
        <f t="shared" si="339"/>
        <v>272.78846238730415</v>
      </c>
      <c r="F381" s="62">
        <f t="shared" si="339"/>
        <v>272.02493683781796</v>
      </c>
      <c r="G381" s="62">
        <f t="shared" si="339"/>
        <v>270.93522087398742</v>
      </c>
      <c r="H381" s="62">
        <f t="shared" si="339"/>
        <v>269.38319800490365</v>
      </c>
      <c r="I381" s="62">
        <f t="shared" si="339"/>
        <v>267.17954801605833</v>
      </c>
      <c r="J381" s="62">
        <f t="shared" si="339"/>
        <v>264.06490051406917</v>
      </c>
      <c r="K381" s="62">
        <f t="shared" si="339"/>
        <v>259.69199161417203</v>
      </c>
      <c r="L381" s="62">
        <f t="shared" si="339"/>
        <v>253.61206082822852</v>
      </c>
      <c r="M381" s="62">
        <f t="shared" si="339"/>
        <v>245.2767031713631</v>
      </c>
      <c r="N381" s="62">
        <f t="shared" si="339"/>
        <v>234.07487566135228</v>
      </c>
      <c r="O381" s="62">
        <f t="shared" si="339"/>
        <v>219.43192307184415</v>
      </c>
      <c r="P381" s="62">
        <f t="shared" si="339"/>
        <v>200.99159926558184</v>
      </c>
      <c r="Q381" s="62">
        <f t="shared" si="339"/>
        <v>178.86374002764475</v>
      </c>
      <c r="R381" s="62">
        <f t="shared" si="339"/>
        <v>153.84213978166062</v>
      </c>
      <c r="S381" s="62">
        <f t="shared" si="339"/>
        <v>127.4269390630177</v>
      </c>
      <c r="T381" s="62">
        <f t="shared" si="339"/>
        <v>101.53154008627052</v>
      </c>
      <c r="U381" s="62">
        <f t="shared" si="339"/>
        <v>77.958425378382003</v>
      </c>
      <c r="V381" s="62">
        <f t="shared" si="339"/>
        <v>57.92463475276486</v>
      </c>
      <c r="W381" s="62">
        <f t="shared" si="339"/>
        <v>41.881156310268338</v>
      </c>
      <c r="X381" s="62">
        <f t="shared" si="339"/>
        <v>29.639270198256565</v>
      </c>
      <c r="Y381" s="62">
        <f t="shared" si="339"/>
        <v>20.64050210524249</v>
      </c>
      <c r="Z381" s="62">
        <f t="shared" si="339"/>
        <v>14.206513100895014</v>
      </c>
      <c r="AA381" s="62">
        <f t="shared" si="339"/>
        <v>9.6972369780949812</v>
      </c>
      <c r="AB381" s="62">
        <f t="shared" si="339"/>
        <v>6.5810500154690317</v>
      </c>
      <c r="AC381" s="62">
        <f t="shared" si="339"/>
        <v>4.4484879913914916</v>
      </c>
    </row>
    <row r="382" spans="1:29" ht="15" thickBot="1" x14ac:dyDescent="0.35">
      <c r="A382" s="31" t="s">
        <v>209</v>
      </c>
      <c r="B382" s="64">
        <f>B373+B374+B375+B376+B377+B378+B379+B380+B381</f>
        <v>161468.19165704673</v>
      </c>
      <c r="C382" s="64">
        <f t="shared" ref="C382:AC382" si="340">C373+C374+C375+C376+C377+C378+C379+C380+C381</f>
        <v>160571.59758118703</v>
      </c>
      <c r="D382" s="64">
        <f t="shared" si="340"/>
        <v>159341.99585066363</v>
      </c>
      <c r="E382" s="64">
        <f t="shared" si="340"/>
        <v>157688.70800994526</v>
      </c>
      <c r="F382" s="64">
        <f t="shared" si="340"/>
        <v>155525.86562469424</v>
      </c>
      <c r="G382" s="64">
        <f t="shared" si="340"/>
        <v>152798.88825163542</v>
      </c>
      <c r="H382" s="64">
        <f t="shared" si="340"/>
        <v>149520.612504299</v>
      </c>
      <c r="I382" s="64">
        <f t="shared" si="340"/>
        <v>145803.24868213272</v>
      </c>
      <c r="J382" s="64">
        <f t="shared" si="340"/>
        <v>141862.14796257639</v>
      </c>
      <c r="K382" s="64">
        <f t="shared" si="340"/>
        <v>137974.0258207327</v>
      </c>
      <c r="L382" s="64">
        <f t="shared" si="340"/>
        <v>134401.89839244596</v>
      </c>
      <c r="M382" s="64">
        <f t="shared" si="340"/>
        <v>131327.16837473089</v>
      </c>
      <c r="N382" s="64">
        <f t="shared" si="340"/>
        <v>128823.52454925358</v>
      </c>
      <c r="O382" s="64">
        <f t="shared" si="340"/>
        <v>126873.83543023161</v>
      </c>
      <c r="P382" s="64">
        <f t="shared" si="340"/>
        <v>125406.68791656628</v>
      </c>
      <c r="Q382" s="64">
        <f t="shared" si="340"/>
        <v>124330.31395060761</v>
      </c>
      <c r="R382" s="64">
        <f t="shared" si="340"/>
        <v>123554.79621965876</v>
      </c>
      <c r="S382" s="64">
        <f t="shared" si="340"/>
        <v>123003.03512029762</v>
      </c>
      <c r="T382" s="64">
        <f t="shared" si="340"/>
        <v>122614.01138483619</v>
      </c>
      <c r="U382" s="64">
        <f t="shared" si="340"/>
        <v>122341.74927737618</v>
      </c>
      <c r="V382" s="64">
        <f t="shared" si="340"/>
        <v>122152.52686153933</v>
      </c>
      <c r="W382" s="64">
        <f t="shared" si="340"/>
        <v>122021.91713332565</v>
      </c>
      <c r="X382" s="64">
        <f t="shared" si="340"/>
        <v>121932.34775943648</v>
      </c>
      <c r="Y382" s="64">
        <f t="shared" si="340"/>
        <v>121871.27223729105</v>
      </c>
      <c r="Z382" s="64">
        <f t="shared" si="340"/>
        <v>121829.81997848379</v>
      </c>
      <c r="AA382" s="64">
        <f t="shared" si="340"/>
        <v>121801.7873876786</v>
      </c>
      <c r="AB382" s="64">
        <f t="shared" si="340"/>
        <v>121782.88053499824</v>
      </c>
      <c r="AC382" s="64">
        <f t="shared" si="340"/>
        <v>121770.15302258973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341">A373</f>
        <v>Capex vehicle</v>
      </c>
      <c r="B385" s="65">
        <f>((1+B358)^B365)*B358/(((1+B358)^B365)-1)*(B354)/B370</f>
        <v>0.79731621924830443</v>
      </c>
      <c r="C385" s="65">
        <f t="shared" ref="C385:AC385" si="342">((1+C358)^C365)*C358/(((1+C358)^C365)-1)*(C354)/C370</f>
        <v>0.78565806581753805</v>
      </c>
      <c r="D385" s="65">
        <f t="shared" si="342"/>
        <v>0.76967517359634452</v>
      </c>
      <c r="E385" s="65">
        <f t="shared" si="342"/>
        <v>0.74819587910855023</v>
      </c>
      <c r="F385" s="65">
        <f t="shared" si="342"/>
        <v>0.72011829171847708</v>
      </c>
      <c r="G385" s="65">
        <f t="shared" si="342"/>
        <v>0.68475931612891205</v>
      </c>
      <c r="H385" s="65">
        <f t="shared" si="342"/>
        <v>0.6423295604009871</v>
      </c>
      <c r="I385" s="65">
        <f t="shared" si="342"/>
        <v>0.59435111047761024</v>
      </c>
      <c r="J385" s="65">
        <f t="shared" si="342"/>
        <v>0.54370045774412812</v>
      </c>
      <c r="K385" s="65">
        <f t="shared" si="342"/>
        <v>0.49404651511705222</v>
      </c>
      <c r="L385" s="65">
        <f t="shared" si="342"/>
        <v>0.44884550908899173</v>
      </c>
      <c r="M385" s="65">
        <f t="shared" si="342"/>
        <v>0.41043109071217942</v>
      </c>
      <c r="N385" s="65">
        <f t="shared" si="342"/>
        <v>0.37966802122490173</v>
      </c>
      <c r="O385" s="65">
        <f t="shared" si="342"/>
        <v>0.35619443384365085</v>
      </c>
      <c r="P385" s="65">
        <f t="shared" si="342"/>
        <v>0.33893946453400203</v>
      </c>
      <c r="Q385" s="65">
        <f t="shared" si="342"/>
        <v>0.32660241109945254</v>
      </c>
      <c r="R385" s="65">
        <f t="shared" si="342"/>
        <v>0.31795595857357295</v>
      </c>
      <c r="S385" s="65">
        <f t="shared" si="342"/>
        <v>0.31198072842568408</v>
      </c>
      <c r="T385" s="65">
        <f t="shared" si="342"/>
        <v>0.30789158067834443</v>
      </c>
      <c r="U385" s="65">
        <f t="shared" si="342"/>
        <v>0.30511185098425331</v>
      </c>
      <c r="V385" s="65">
        <f t="shared" si="342"/>
        <v>0.30323083883143948</v>
      </c>
      <c r="W385" s="65">
        <f t="shared" si="342"/>
        <v>0.30196190606933621</v>
      </c>
      <c r="X385" s="65">
        <f t="shared" si="342"/>
        <v>0.30110766683741136</v>
      </c>
      <c r="Y385" s="65">
        <f t="shared" si="342"/>
        <v>0.30053340484055152</v>
      </c>
      <c r="Z385" s="65">
        <f t="shared" si="342"/>
        <v>0.30014772212119029</v>
      </c>
      <c r="AA385" s="65">
        <f t="shared" si="342"/>
        <v>0.29988885640237489</v>
      </c>
      <c r="AB385" s="65">
        <f t="shared" si="342"/>
        <v>0.29971518280750276</v>
      </c>
      <c r="AC385" s="65">
        <f t="shared" si="342"/>
        <v>0.29959869811911388</v>
      </c>
    </row>
    <row r="386" spans="1:29" x14ac:dyDescent="0.3">
      <c r="A386" s="30" t="str">
        <f t="shared" si="341"/>
        <v>Residual value (vehicle)</v>
      </c>
      <c r="B386" s="66">
        <f>((1+B358)^B365)*B358/(((1+B358)^B365)-1)*(B355)/B370</f>
        <v>-0.1212185401466381</v>
      </c>
      <c r="C386" s="66">
        <f t="shared" ref="C386:AC386" si="343">((1+C358)^C365)*C358/(((1+C358)^C365)-1)*(C355)/C370</f>
        <v>-0.12013273173887065</v>
      </c>
      <c r="D386" s="66">
        <f t="shared" si="343"/>
        <v>-0.11864412903199478</v>
      </c>
      <c r="E386" s="66">
        <f t="shared" si="343"/>
        <v>-0.1166436065061708</v>
      </c>
      <c r="F386" s="66">
        <f t="shared" si="343"/>
        <v>-0.11402853709238948</v>
      </c>
      <c r="G386" s="66">
        <f t="shared" si="343"/>
        <v>-0.11073529916983196</v>
      </c>
      <c r="H386" s="66">
        <f t="shared" si="343"/>
        <v>-0.10678350819517227</v>
      </c>
      <c r="I386" s="66">
        <f t="shared" si="343"/>
        <v>-0.10231492707485777</v>
      </c>
      <c r="J386" s="66">
        <f t="shared" si="343"/>
        <v>-9.7597464320268751E-2</v>
      </c>
      <c r="K386" s="66">
        <f t="shared" si="343"/>
        <v>-9.2972832408923428E-2</v>
      </c>
      <c r="L386" s="66">
        <f t="shared" si="343"/>
        <v>-8.8762934788662914E-2</v>
      </c>
      <c r="M386" s="66">
        <f t="shared" si="343"/>
        <v>-8.5185121312391171E-2</v>
      </c>
      <c r="N386" s="66">
        <f t="shared" si="343"/>
        <v>-8.2319933467987855E-2</v>
      </c>
      <c r="O386" s="66">
        <f t="shared" si="343"/>
        <v>-8.0133667976596837E-2</v>
      </c>
      <c r="P386" s="66">
        <f t="shared" si="343"/>
        <v>-7.8526587501678555E-2</v>
      </c>
      <c r="Q386" s="66">
        <f t="shared" si="343"/>
        <v>-7.7377548211205821E-2</v>
      </c>
      <c r="R386" s="66">
        <f t="shared" si="343"/>
        <v>-7.6572241358305274E-2</v>
      </c>
      <c r="S386" s="66">
        <f t="shared" si="343"/>
        <v>-7.601572482492347E-2</v>
      </c>
      <c r="T386" s="66">
        <f t="shared" si="343"/>
        <v>-7.5634872828847718E-2</v>
      </c>
      <c r="U386" s="66">
        <f t="shared" si="343"/>
        <v>-7.5375976435770584E-2</v>
      </c>
      <c r="V386" s="66">
        <f t="shared" si="343"/>
        <v>-7.5200784127420303E-2</v>
      </c>
      <c r="W386" s="66">
        <f t="shared" si="343"/>
        <v>-7.5082599213302834E-2</v>
      </c>
      <c r="X386" s="66">
        <f t="shared" si="343"/>
        <v>-7.5003037716211793E-2</v>
      </c>
      <c r="Y386" s="66">
        <f t="shared" si="343"/>
        <v>-7.4949552530229752E-2</v>
      </c>
      <c r="Z386" s="66">
        <f t="shared" si="343"/>
        <v>-7.4913631100485295E-2</v>
      </c>
      <c r="AA386" s="66">
        <f t="shared" si="343"/>
        <v>-7.4889521058046638E-2</v>
      </c>
      <c r="AB386" s="66">
        <f t="shared" si="343"/>
        <v>-7.4873345576171285E-2</v>
      </c>
      <c r="AC386" s="66">
        <f t="shared" si="343"/>
        <v>-7.4862496512056634E-2</v>
      </c>
    </row>
    <row r="387" spans="1:29" x14ac:dyDescent="0.3">
      <c r="A387" s="30" t="str">
        <f t="shared" si="341"/>
        <v>Capex costumization</v>
      </c>
      <c r="B387" s="66">
        <f>((1+B358)^B366)*B358/(((1+B358)^B366)-1)*(B356)/B370</f>
        <v>6.9675876010453192E-2</v>
      </c>
      <c r="C387" s="66">
        <f t="shared" ref="C387:AC387" si="344">((1+C358)^C366)*C358/(((1+C358)^C366)-1)*(C356)/C370</f>
        <v>6.9675876010453192E-2</v>
      </c>
      <c r="D387" s="66">
        <f t="shared" si="344"/>
        <v>6.9675876010453192E-2</v>
      </c>
      <c r="E387" s="66">
        <f t="shared" si="344"/>
        <v>6.9675876010453192E-2</v>
      </c>
      <c r="F387" s="66">
        <f t="shared" si="344"/>
        <v>6.9675876010453192E-2</v>
      </c>
      <c r="G387" s="66">
        <f t="shared" si="344"/>
        <v>6.9675876010453192E-2</v>
      </c>
      <c r="H387" s="66">
        <f t="shared" si="344"/>
        <v>6.9675876010453192E-2</v>
      </c>
      <c r="I387" s="66">
        <f t="shared" si="344"/>
        <v>6.9675876010453192E-2</v>
      </c>
      <c r="J387" s="66">
        <f t="shared" si="344"/>
        <v>6.9675876010453192E-2</v>
      </c>
      <c r="K387" s="66">
        <f t="shared" si="344"/>
        <v>6.9675876010453192E-2</v>
      </c>
      <c r="L387" s="66">
        <f t="shared" si="344"/>
        <v>6.9675876010453192E-2</v>
      </c>
      <c r="M387" s="66">
        <f t="shared" si="344"/>
        <v>6.9675876010453192E-2</v>
      </c>
      <c r="N387" s="66">
        <f t="shared" si="344"/>
        <v>6.9675876010453192E-2</v>
      </c>
      <c r="O387" s="66">
        <f t="shared" si="344"/>
        <v>6.9675876010453192E-2</v>
      </c>
      <c r="P387" s="66">
        <f t="shared" si="344"/>
        <v>6.9675876010453192E-2</v>
      </c>
      <c r="Q387" s="66">
        <f t="shared" si="344"/>
        <v>6.9675876010453192E-2</v>
      </c>
      <c r="R387" s="66">
        <f t="shared" si="344"/>
        <v>6.9675876010453192E-2</v>
      </c>
      <c r="S387" s="66">
        <f t="shared" si="344"/>
        <v>6.9675876010453192E-2</v>
      </c>
      <c r="T387" s="66">
        <f t="shared" si="344"/>
        <v>6.9675876010453192E-2</v>
      </c>
      <c r="U387" s="66">
        <f t="shared" si="344"/>
        <v>6.9675876010453192E-2</v>
      </c>
      <c r="V387" s="66">
        <f t="shared" si="344"/>
        <v>6.9675876010453192E-2</v>
      </c>
      <c r="W387" s="66">
        <f t="shared" si="344"/>
        <v>6.9675876010453192E-2</v>
      </c>
      <c r="X387" s="66">
        <f t="shared" si="344"/>
        <v>6.9675876010453192E-2</v>
      </c>
      <c r="Y387" s="66">
        <f t="shared" si="344"/>
        <v>6.9675876010453192E-2</v>
      </c>
      <c r="Z387" s="66">
        <f t="shared" si="344"/>
        <v>6.9675876010453192E-2</v>
      </c>
      <c r="AA387" s="66">
        <f t="shared" si="344"/>
        <v>6.9675876010453192E-2</v>
      </c>
      <c r="AB387" s="66">
        <f t="shared" si="344"/>
        <v>6.9675876010453192E-2</v>
      </c>
      <c r="AC387" s="66">
        <f t="shared" si="344"/>
        <v>6.9675876010453192E-2</v>
      </c>
    </row>
    <row r="388" spans="1:29" x14ac:dyDescent="0.3">
      <c r="A388" s="30" t="str">
        <f t="shared" si="341"/>
        <v>Residual value (costumization)</v>
      </c>
      <c r="B388" s="66">
        <f>((1+B358)^B366)*B358/(((1+B358)^B366)-1)*(B357)/B370</f>
        <v>-1.7418969002613298E-2</v>
      </c>
      <c r="C388" s="66">
        <f t="shared" ref="C388:AC388" si="345">((1+C358)^C366)*C358/(((1+C358)^C366)-1)*(C357)/C370</f>
        <v>-1.7418969002613298E-2</v>
      </c>
      <c r="D388" s="66">
        <f t="shared" si="345"/>
        <v>-1.7418969002613298E-2</v>
      </c>
      <c r="E388" s="66">
        <f t="shared" si="345"/>
        <v>-1.7418969002613298E-2</v>
      </c>
      <c r="F388" s="66">
        <f t="shared" si="345"/>
        <v>-1.7418969002613298E-2</v>
      </c>
      <c r="G388" s="66">
        <f t="shared" si="345"/>
        <v>-1.7418969002613298E-2</v>
      </c>
      <c r="H388" s="66">
        <f t="shared" si="345"/>
        <v>-1.7418969002613298E-2</v>
      </c>
      <c r="I388" s="66">
        <f t="shared" si="345"/>
        <v>-1.7418969002613298E-2</v>
      </c>
      <c r="J388" s="66">
        <f t="shared" si="345"/>
        <v>-1.7418969002613298E-2</v>
      </c>
      <c r="K388" s="66">
        <f t="shared" si="345"/>
        <v>-1.7418969002613298E-2</v>
      </c>
      <c r="L388" s="66">
        <f t="shared" si="345"/>
        <v>-1.7418969002613298E-2</v>
      </c>
      <c r="M388" s="66">
        <f t="shared" si="345"/>
        <v>-1.7418969002613298E-2</v>
      </c>
      <c r="N388" s="66">
        <f t="shared" si="345"/>
        <v>-1.7418969002613298E-2</v>
      </c>
      <c r="O388" s="66">
        <f t="shared" si="345"/>
        <v>-1.7418969002613298E-2</v>
      </c>
      <c r="P388" s="66">
        <f t="shared" si="345"/>
        <v>-1.7418969002613298E-2</v>
      </c>
      <c r="Q388" s="66">
        <f t="shared" si="345"/>
        <v>-1.7418969002613298E-2</v>
      </c>
      <c r="R388" s="66">
        <f t="shared" si="345"/>
        <v>-1.7418969002613298E-2</v>
      </c>
      <c r="S388" s="66">
        <f t="shared" si="345"/>
        <v>-1.7418969002613298E-2</v>
      </c>
      <c r="T388" s="66">
        <f t="shared" si="345"/>
        <v>-1.7418969002613298E-2</v>
      </c>
      <c r="U388" s="66">
        <f t="shared" si="345"/>
        <v>-1.7418969002613298E-2</v>
      </c>
      <c r="V388" s="66">
        <f t="shared" si="345"/>
        <v>-1.7418969002613298E-2</v>
      </c>
      <c r="W388" s="66">
        <f t="shared" si="345"/>
        <v>-1.7418969002613298E-2</v>
      </c>
      <c r="X388" s="66">
        <f t="shared" si="345"/>
        <v>-1.7418969002613298E-2</v>
      </c>
      <c r="Y388" s="66">
        <f t="shared" si="345"/>
        <v>-1.7418969002613298E-2</v>
      </c>
      <c r="Z388" s="66">
        <f t="shared" si="345"/>
        <v>-1.7418969002613298E-2</v>
      </c>
      <c r="AA388" s="66">
        <f t="shared" si="345"/>
        <v>-1.7418969002613298E-2</v>
      </c>
      <c r="AB388" s="66">
        <f t="shared" si="345"/>
        <v>-1.7418969002613298E-2</v>
      </c>
      <c r="AC388" s="66">
        <f t="shared" si="345"/>
        <v>-1.7418969002613298E-2</v>
      </c>
    </row>
    <row r="389" spans="1:29" x14ac:dyDescent="0.3">
      <c r="A389" s="30" t="str">
        <f t="shared" si="341"/>
        <v>Opex fix (admin, crew, insurance)</v>
      </c>
      <c r="B389" s="66">
        <f>B359/B370</f>
        <v>0.89743589743589747</v>
      </c>
      <c r="C389" s="66">
        <f t="shared" ref="C389:AC389" si="346">C359/C370</f>
        <v>0.89743589743589747</v>
      </c>
      <c r="D389" s="66">
        <f t="shared" si="346"/>
        <v>0.89743589743589747</v>
      </c>
      <c r="E389" s="66">
        <f t="shared" si="346"/>
        <v>0.89743589743589747</v>
      </c>
      <c r="F389" s="66">
        <f t="shared" si="346"/>
        <v>0.89743589743589747</v>
      </c>
      <c r="G389" s="66">
        <f t="shared" si="346"/>
        <v>0.89743589743589747</v>
      </c>
      <c r="H389" s="66">
        <f t="shared" si="346"/>
        <v>0.89743589743589747</v>
      </c>
      <c r="I389" s="66">
        <f t="shared" si="346"/>
        <v>0.89743589743589747</v>
      </c>
      <c r="J389" s="66">
        <f t="shared" si="346"/>
        <v>0.89743589743589747</v>
      </c>
      <c r="K389" s="66">
        <f t="shared" si="346"/>
        <v>0.89743589743589747</v>
      </c>
      <c r="L389" s="66">
        <f t="shared" si="346"/>
        <v>0.89743589743589747</v>
      </c>
      <c r="M389" s="66">
        <f t="shared" si="346"/>
        <v>0.89743589743589747</v>
      </c>
      <c r="N389" s="66">
        <f t="shared" si="346"/>
        <v>0.89743589743589747</v>
      </c>
      <c r="O389" s="66">
        <f t="shared" si="346"/>
        <v>0.89743589743589747</v>
      </c>
      <c r="P389" s="66">
        <f t="shared" si="346"/>
        <v>0.89743589743589747</v>
      </c>
      <c r="Q389" s="66">
        <f t="shared" si="346"/>
        <v>0.89743589743589747</v>
      </c>
      <c r="R389" s="66">
        <f t="shared" si="346"/>
        <v>0.89743589743589747</v>
      </c>
      <c r="S389" s="66">
        <f t="shared" si="346"/>
        <v>0.89743589743589747</v>
      </c>
      <c r="T389" s="66">
        <f t="shared" si="346"/>
        <v>0.89743589743589747</v>
      </c>
      <c r="U389" s="66">
        <f t="shared" si="346"/>
        <v>0.89743589743589747</v>
      </c>
      <c r="V389" s="66">
        <f t="shared" si="346"/>
        <v>0.89743589743589747</v>
      </c>
      <c r="W389" s="66">
        <f t="shared" si="346"/>
        <v>0.89743589743589747</v>
      </c>
      <c r="X389" s="66">
        <f t="shared" si="346"/>
        <v>0.89743589743589747</v>
      </c>
      <c r="Y389" s="66">
        <f t="shared" si="346"/>
        <v>0.89743589743589747</v>
      </c>
      <c r="Z389" s="66">
        <f t="shared" si="346"/>
        <v>0.89743589743589747</v>
      </c>
      <c r="AA389" s="66">
        <f t="shared" si="346"/>
        <v>0.89743589743589747</v>
      </c>
      <c r="AB389" s="66">
        <f t="shared" si="346"/>
        <v>0.89743589743589747</v>
      </c>
      <c r="AC389" s="66">
        <f t="shared" si="346"/>
        <v>0.89743589743589747</v>
      </c>
    </row>
    <row r="390" spans="1:29" x14ac:dyDescent="0.3">
      <c r="A390" s="30" t="str">
        <f t="shared" si="341"/>
        <v>Opex maintenance &amp; repair</v>
      </c>
      <c r="B390" s="66">
        <f>B360/B370</f>
        <v>0.19230769230769232</v>
      </c>
      <c r="C390" s="66">
        <f t="shared" ref="C390:AC390" si="347">C360/C370</f>
        <v>0.19230769230769232</v>
      </c>
      <c r="D390" s="66">
        <f t="shared" si="347"/>
        <v>0.19230769230769232</v>
      </c>
      <c r="E390" s="66">
        <f t="shared" si="347"/>
        <v>0.19230769230769232</v>
      </c>
      <c r="F390" s="66">
        <f t="shared" si="347"/>
        <v>0.19230769230769232</v>
      </c>
      <c r="G390" s="66">
        <f t="shared" si="347"/>
        <v>0.19230769230769232</v>
      </c>
      <c r="H390" s="66">
        <f t="shared" si="347"/>
        <v>0.19230769230769232</v>
      </c>
      <c r="I390" s="66">
        <f t="shared" si="347"/>
        <v>0.19230769230769232</v>
      </c>
      <c r="J390" s="66">
        <f t="shared" si="347"/>
        <v>0.19230769230769232</v>
      </c>
      <c r="K390" s="66">
        <f t="shared" si="347"/>
        <v>0.19230769230769232</v>
      </c>
      <c r="L390" s="66">
        <f t="shared" si="347"/>
        <v>0.19230769230769232</v>
      </c>
      <c r="M390" s="66">
        <f t="shared" si="347"/>
        <v>0.19230769230769232</v>
      </c>
      <c r="N390" s="66">
        <f t="shared" si="347"/>
        <v>0.19230769230769232</v>
      </c>
      <c r="O390" s="66">
        <f t="shared" si="347"/>
        <v>0.19230769230769232</v>
      </c>
      <c r="P390" s="66">
        <f t="shared" si="347"/>
        <v>0.19230769230769232</v>
      </c>
      <c r="Q390" s="66">
        <f t="shared" si="347"/>
        <v>0.19230769230769232</v>
      </c>
      <c r="R390" s="66">
        <f t="shared" si="347"/>
        <v>0.19230769230769232</v>
      </c>
      <c r="S390" s="66">
        <f t="shared" si="347"/>
        <v>0.19230769230769232</v>
      </c>
      <c r="T390" s="66">
        <f t="shared" si="347"/>
        <v>0.19230769230769232</v>
      </c>
      <c r="U390" s="66">
        <f t="shared" si="347"/>
        <v>0.19230769230769232</v>
      </c>
      <c r="V390" s="66">
        <f t="shared" si="347"/>
        <v>0.19230769230769232</v>
      </c>
      <c r="W390" s="66">
        <f t="shared" si="347"/>
        <v>0.19230769230769232</v>
      </c>
      <c r="X390" s="66">
        <f t="shared" si="347"/>
        <v>0.19230769230769232</v>
      </c>
      <c r="Y390" s="66">
        <f t="shared" si="347"/>
        <v>0.19230769230769232</v>
      </c>
      <c r="Z390" s="66">
        <f t="shared" si="347"/>
        <v>0.19230769230769232</v>
      </c>
      <c r="AA390" s="66">
        <f t="shared" si="347"/>
        <v>0.19230769230769232</v>
      </c>
      <c r="AB390" s="66">
        <f t="shared" si="347"/>
        <v>0.19230769230769232</v>
      </c>
      <c r="AC390" s="66">
        <f t="shared" si="347"/>
        <v>0.19230769230769232</v>
      </c>
    </row>
    <row r="391" spans="1:29" x14ac:dyDescent="0.3">
      <c r="A391" s="30" t="str">
        <f t="shared" si="341"/>
        <v>Opex var (mode-fees)</v>
      </c>
      <c r="B391" s="66">
        <f>B361*B370/B370</f>
        <v>0.11</v>
      </c>
      <c r="C391" s="66">
        <f t="shared" ref="C391:AC391" si="348">C361*C370/C370</f>
        <v>0.11</v>
      </c>
      <c r="D391" s="66">
        <f t="shared" si="348"/>
        <v>0.11</v>
      </c>
      <c r="E391" s="66">
        <f t="shared" si="348"/>
        <v>0.11</v>
      </c>
      <c r="F391" s="66">
        <f t="shared" si="348"/>
        <v>0.11</v>
      </c>
      <c r="G391" s="66">
        <f t="shared" si="348"/>
        <v>0.11</v>
      </c>
      <c r="H391" s="66">
        <f t="shared" si="348"/>
        <v>0.11</v>
      </c>
      <c r="I391" s="66">
        <f t="shared" si="348"/>
        <v>0.11</v>
      </c>
      <c r="J391" s="66">
        <f t="shared" si="348"/>
        <v>0.11</v>
      </c>
      <c r="K391" s="66">
        <f t="shared" si="348"/>
        <v>0.11</v>
      </c>
      <c r="L391" s="66">
        <f t="shared" si="348"/>
        <v>0.11</v>
      </c>
      <c r="M391" s="66">
        <f t="shared" si="348"/>
        <v>0.11</v>
      </c>
      <c r="N391" s="66">
        <f t="shared" si="348"/>
        <v>0.11</v>
      </c>
      <c r="O391" s="66">
        <f t="shared" si="348"/>
        <v>0.11</v>
      </c>
      <c r="P391" s="66">
        <f t="shared" si="348"/>
        <v>0.11</v>
      </c>
      <c r="Q391" s="66">
        <f t="shared" si="348"/>
        <v>0.11</v>
      </c>
      <c r="R391" s="66">
        <f t="shared" si="348"/>
        <v>0.11</v>
      </c>
      <c r="S391" s="66">
        <f t="shared" si="348"/>
        <v>0.11</v>
      </c>
      <c r="T391" s="66">
        <f t="shared" si="348"/>
        <v>0.11</v>
      </c>
      <c r="U391" s="66">
        <f t="shared" si="348"/>
        <v>0.11</v>
      </c>
      <c r="V391" s="66">
        <f t="shared" si="348"/>
        <v>0.11</v>
      </c>
      <c r="W391" s="66">
        <f t="shared" si="348"/>
        <v>0.11</v>
      </c>
      <c r="X391" s="66">
        <f t="shared" si="348"/>
        <v>0.11</v>
      </c>
      <c r="Y391" s="66">
        <f t="shared" si="348"/>
        <v>0.11</v>
      </c>
      <c r="Z391" s="66">
        <f t="shared" si="348"/>
        <v>0.11</v>
      </c>
      <c r="AA391" s="66">
        <f t="shared" si="348"/>
        <v>0.11</v>
      </c>
      <c r="AB391" s="66">
        <f t="shared" si="348"/>
        <v>0.11</v>
      </c>
      <c r="AC391" s="66">
        <f t="shared" si="348"/>
        <v>0.11</v>
      </c>
    </row>
    <row r="392" spans="1:29" x14ac:dyDescent="0.3">
      <c r="A392" s="30" t="str">
        <f t="shared" si="341"/>
        <v>Fuel Cost</v>
      </c>
      <c r="B392" s="66">
        <f>B362*B363*B370/B370</f>
        <v>0.13849457620716266</v>
      </c>
      <c r="C392" s="66">
        <f t="shared" ref="C392:AC392" si="349">C362*C363*C370/C370</f>
        <v>0.13757546992183967</v>
      </c>
      <c r="D392" s="66">
        <f t="shared" si="349"/>
        <v>0.13631042231469542</v>
      </c>
      <c r="E392" s="66">
        <f t="shared" si="349"/>
        <v>0.1346000453584727</v>
      </c>
      <c r="F392" s="66">
        <f t="shared" si="349"/>
        <v>0.13234360359500089</v>
      </c>
      <c r="G392" s="66">
        <f t="shared" si="349"/>
        <v>0.12946206360694487</v>
      </c>
      <c r="H392" s="66">
        <f t="shared" si="349"/>
        <v>0.12593074984139796</v>
      </c>
      <c r="I392" s="66">
        <f t="shared" si="349"/>
        <v>0.12181036002680057</v>
      </c>
      <c r="J392" s="66">
        <f t="shared" si="349"/>
        <v>0.11725654908192047</v>
      </c>
      <c r="K392" s="66">
        <f t="shared" si="349"/>
        <v>0.11249420296503811</v>
      </c>
      <c r="L392" s="66">
        <f t="shared" si="349"/>
        <v>0.10776675371257158</v>
      </c>
      <c r="M392" s="66">
        <f t="shared" si="349"/>
        <v>0.10329060656108351</v>
      </c>
      <c r="N392" s="66">
        <f t="shared" si="349"/>
        <v>9.9234103614633834E-2</v>
      </c>
      <c r="O392" s="66">
        <f t="shared" si="349"/>
        <v>9.5713141319462264E-2</v>
      </c>
      <c r="P392" s="66">
        <f t="shared" si="349"/>
        <v>9.2787861053435242E-2</v>
      </c>
      <c r="Q392" s="66">
        <f t="shared" si="349"/>
        <v>9.045989947032318E-2</v>
      </c>
      <c r="R392" s="66">
        <f t="shared" si="349"/>
        <v>8.8679299877880896E-2</v>
      </c>
      <c r="S392" s="66">
        <f t="shared" si="349"/>
        <v>8.7362809663637894E-2</v>
      </c>
      <c r="T392" s="66">
        <f t="shared" si="349"/>
        <v>8.6415613921508566E-2</v>
      </c>
      <c r="U392" s="66">
        <f t="shared" si="349"/>
        <v>8.5748126802623531E-2</v>
      </c>
      <c r="V392" s="66">
        <f t="shared" si="349"/>
        <v>8.5284861708481347E-2</v>
      </c>
      <c r="W392" s="66">
        <f t="shared" si="349"/>
        <v>8.4966811482477755E-2</v>
      </c>
      <c r="X392" s="66">
        <f t="shared" si="349"/>
        <v>8.4750111168886685E-2</v>
      </c>
      <c r="Y392" s="66">
        <f t="shared" si="349"/>
        <v>8.46032372867844E-2</v>
      </c>
      <c r="Z392" s="66">
        <f t="shared" si="349"/>
        <v>8.4504046399440924E-2</v>
      </c>
      <c r="AA392" s="66">
        <f t="shared" si="349"/>
        <v>8.4437221118351113E-2</v>
      </c>
      <c r="AB392" s="66">
        <f t="shared" si="349"/>
        <v>8.4392274799069439E-2</v>
      </c>
      <c r="AC392" s="66">
        <f t="shared" si="349"/>
        <v>8.4362077726107196E-2</v>
      </c>
    </row>
    <row r="393" spans="1:29" ht="15" thickBot="1" x14ac:dyDescent="0.35">
      <c r="A393" s="59" t="str">
        <f t="shared" ref="A393" si="350">A381</f>
        <v>Emission Cost</v>
      </c>
      <c r="B393" s="66">
        <f>B364</f>
        <v>3.5122691839304448E-3</v>
      </c>
      <c r="C393" s="66">
        <f t="shared" ref="C393:AC393" si="351">C364</f>
        <v>3.5089246478970256E-3</v>
      </c>
      <c r="D393" s="66">
        <f t="shared" si="351"/>
        <v>3.5041370190587195E-3</v>
      </c>
      <c r="E393" s="66">
        <f t="shared" si="351"/>
        <v>3.4972879793244123E-3</v>
      </c>
      <c r="F393" s="66">
        <f t="shared" si="351"/>
        <v>3.4874991902284352E-3</v>
      </c>
      <c r="G393" s="66">
        <f t="shared" si="351"/>
        <v>3.4735284727434282E-3</v>
      </c>
      <c r="H393" s="66">
        <f t="shared" si="351"/>
        <v>3.4536307436526109E-3</v>
      </c>
      <c r="I393" s="66">
        <f t="shared" si="351"/>
        <v>3.4253788207186963E-3</v>
      </c>
      <c r="J393" s="66">
        <f t="shared" si="351"/>
        <v>3.3854474424880663E-3</v>
      </c>
      <c r="K393" s="66">
        <f t="shared" si="351"/>
        <v>3.3293845078740006E-3</v>
      </c>
      <c r="L393" s="66">
        <f t="shared" si="351"/>
        <v>3.251436677284981E-3</v>
      </c>
      <c r="M393" s="66">
        <f t="shared" si="351"/>
        <v>3.1445731175815781E-3</v>
      </c>
      <c r="N393" s="66">
        <f t="shared" si="351"/>
        <v>3.0009599443763112E-3</v>
      </c>
      <c r="O393" s="66">
        <f t="shared" si="351"/>
        <v>2.813229782972361E-3</v>
      </c>
      <c r="P393" s="66">
        <f t="shared" si="351"/>
        <v>2.5768153751997672E-3</v>
      </c>
      <c r="Q393" s="66">
        <f t="shared" si="351"/>
        <v>2.2931248721492917E-3</v>
      </c>
      <c r="R393" s="66">
        <f t="shared" si="351"/>
        <v>1.9723351254059053E-3</v>
      </c>
      <c r="S393" s="66">
        <f t="shared" si="351"/>
        <v>1.6336787059361244E-3</v>
      </c>
      <c r="T393" s="66">
        <f t="shared" si="351"/>
        <v>1.3016864113624426E-3</v>
      </c>
      <c r="U393" s="66">
        <f t="shared" si="351"/>
        <v>9.9946699203053851E-4</v>
      </c>
      <c r="V393" s="66">
        <f t="shared" si="351"/>
        <v>7.4262352247134438E-4</v>
      </c>
      <c r="W393" s="66">
        <f t="shared" si="351"/>
        <v>5.3693790141369664E-4</v>
      </c>
      <c r="X393" s="66">
        <f t="shared" si="351"/>
        <v>3.7999064356739184E-4</v>
      </c>
      <c r="Y393" s="66">
        <f t="shared" si="351"/>
        <v>2.646218218620832E-4</v>
      </c>
      <c r="Z393" s="66">
        <f t="shared" si="351"/>
        <v>1.8213478334480789E-4</v>
      </c>
      <c r="AA393" s="66">
        <f t="shared" si="351"/>
        <v>1.2432355100121771E-4</v>
      </c>
      <c r="AB393" s="66">
        <f t="shared" si="351"/>
        <v>8.4372436095756821E-5</v>
      </c>
      <c r="AC393" s="66">
        <f t="shared" si="351"/>
        <v>5.7031897325531943E-5</v>
      </c>
    </row>
    <row r="394" spans="1:29" ht="15" thickBot="1" x14ac:dyDescent="0.35">
      <c r="A394" s="31" t="s">
        <v>63</v>
      </c>
      <c r="B394" s="76">
        <f>B385+B386+B387-B388+B389+B390+B391+B392+B393</f>
        <v>2.1049429592494158</v>
      </c>
      <c r="C394" s="76">
        <f t="shared" ref="C394:AC394" si="352">C385+C386+C387-C388+C389+C390+C391+C392+C393</f>
        <v>2.0934481634050606</v>
      </c>
      <c r="D394" s="76">
        <f t="shared" si="352"/>
        <v>2.0776840386547604</v>
      </c>
      <c r="E394" s="76">
        <f t="shared" si="352"/>
        <v>2.0564880406968329</v>
      </c>
      <c r="F394" s="76">
        <f t="shared" si="352"/>
        <v>2.0287592921679733</v>
      </c>
      <c r="G394" s="76">
        <f t="shared" si="352"/>
        <v>1.9937980437954246</v>
      </c>
      <c r="H394" s="76">
        <f t="shared" si="352"/>
        <v>1.9517688675475218</v>
      </c>
      <c r="I394" s="76">
        <f t="shared" si="352"/>
        <v>1.9041103570069282</v>
      </c>
      <c r="J394" s="76">
        <f t="shared" si="352"/>
        <v>1.8535834247049243</v>
      </c>
      <c r="K394" s="76">
        <f t="shared" si="352"/>
        <v>1.8037357049376974</v>
      </c>
      <c r="L394" s="76">
        <f t="shared" si="352"/>
        <v>1.7579391994468416</v>
      </c>
      <c r="M394" s="76">
        <f t="shared" si="352"/>
        <v>1.7185195838351097</v>
      </c>
      <c r="N394" s="76">
        <f t="shared" si="352"/>
        <v>1.6864215860725804</v>
      </c>
      <c r="O394" s="76">
        <f t="shared" si="352"/>
        <v>1.661425571726145</v>
      </c>
      <c r="P394" s="76">
        <f t="shared" si="352"/>
        <v>1.6426159882176146</v>
      </c>
      <c r="Q394" s="76">
        <f t="shared" si="352"/>
        <v>1.6288163219873757</v>
      </c>
      <c r="R394" s="76">
        <f t="shared" si="352"/>
        <v>1.6188737869752108</v>
      </c>
      <c r="S394" s="76">
        <f t="shared" si="352"/>
        <v>1.6117999267269909</v>
      </c>
      <c r="T394" s="76">
        <f t="shared" si="352"/>
        <v>1.6068124429390243</v>
      </c>
      <c r="U394" s="76">
        <f t="shared" si="352"/>
        <v>1.6033219030997932</v>
      </c>
      <c r="V394" s="76">
        <f t="shared" si="352"/>
        <v>1.6008959746916283</v>
      </c>
      <c r="W394" s="76">
        <f t="shared" si="352"/>
        <v>1.5992214909965812</v>
      </c>
      <c r="X394" s="76">
        <f t="shared" si="352"/>
        <v>1.5980731656903098</v>
      </c>
      <c r="Y394" s="76">
        <f t="shared" si="352"/>
        <v>1.5972901461756246</v>
      </c>
      <c r="Z394" s="76">
        <f t="shared" si="352"/>
        <v>1.596758706960147</v>
      </c>
      <c r="AA394" s="76">
        <f t="shared" si="352"/>
        <v>1.5963993147703368</v>
      </c>
      <c r="AB394" s="76">
        <f t="shared" si="352"/>
        <v>1.5961569192231531</v>
      </c>
      <c r="AC394" s="76">
        <f t="shared" si="352"/>
        <v>1.5959937459871463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353">A373</f>
        <v>Capex vehicle</v>
      </c>
      <c r="B397" s="65">
        <f>((1+B358)^B365)*B358/(((1+B358)^B365)-1)*(B354)/B370/(B367)</f>
        <v>3.1892648769932176E-2</v>
      </c>
      <c r="C397" s="65">
        <f t="shared" ref="C397:AC397" si="354">((1+C358)^C365)*C358/(((1+C358)^C365)-1)*(C354)/C370/(C367)</f>
        <v>3.1426322632701523E-2</v>
      </c>
      <c r="D397" s="65">
        <f t="shared" si="354"/>
        <v>3.0787006943853782E-2</v>
      </c>
      <c r="E397" s="65">
        <f t="shared" si="354"/>
        <v>2.9927835164342009E-2</v>
      </c>
      <c r="F397" s="65">
        <f t="shared" si="354"/>
        <v>2.8804731668739082E-2</v>
      </c>
      <c r="G397" s="65">
        <f t="shared" si="354"/>
        <v>2.7390372645156483E-2</v>
      </c>
      <c r="H397" s="65">
        <f t="shared" si="354"/>
        <v>2.5693182416039483E-2</v>
      </c>
      <c r="I397" s="65">
        <f t="shared" si="354"/>
        <v>2.3774044419104409E-2</v>
      </c>
      <c r="J397" s="65">
        <f t="shared" si="354"/>
        <v>2.1748018309765124E-2</v>
      </c>
      <c r="K397" s="65">
        <f t="shared" si="354"/>
        <v>1.9761860604682088E-2</v>
      </c>
      <c r="L397" s="65">
        <f t="shared" si="354"/>
        <v>1.7953820363559671E-2</v>
      </c>
      <c r="M397" s="65">
        <f t="shared" si="354"/>
        <v>1.6417243628487177E-2</v>
      </c>
      <c r="N397" s="65">
        <f t="shared" si="354"/>
        <v>1.5186720848996069E-2</v>
      </c>
      <c r="O397" s="65">
        <f t="shared" si="354"/>
        <v>1.4247777353746034E-2</v>
      </c>
      <c r="P397" s="65">
        <f t="shared" si="354"/>
        <v>1.3557578581360081E-2</v>
      </c>
      <c r="Q397" s="65">
        <f t="shared" si="354"/>
        <v>1.3064096443978102E-2</v>
      </c>
      <c r="R397" s="65">
        <f t="shared" si="354"/>
        <v>1.2718238342942919E-2</v>
      </c>
      <c r="S397" s="65">
        <f t="shared" si="354"/>
        <v>1.2479229137027363E-2</v>
      </c>
      <c r="T397" s="65">
        <f t="shared" si="354"/>
        <v>1.2315663227133778E-2</v>
      </c>
      <c r="U397" s="65">
        <f t="shared" si="354"/>
        <v>1.2204474039370132E-2</v>
      </c>
      <c r="V397" s="65">
        <f t="shared" si="354"/>
        <v>1.2129233553257578E-2</v>
      </c>
      <c r="W397" s="65">
        <f t="shared" si="354"/>
        <v>1.2078476242773448E-2</v>
      </c>
      <c r="X397" s="65">
        <f t="shared" si="354"/>
        <v>1.2044306673496454E-2</v>
      </c>
      <c r="Y397" s="65">
        <f t="shared" si="354"/>
        <v>1.2021336193622062E-2</v>
      </c>
      <c r="Z397" s="65">
        <f t="shared" si="354"/>
        <v>1.2005908884847611E-2</v>
      </c>
      <c r="AA397" s="65">
        <f t="shared" si="354"/>
        <v>1.1995554256094996E-2</v>
      </c>
      <c r="AB397" s="65">
        <f t="shared" si="354"/>
        <v>1.1988607312300109E-2</v>
      </c>
      <c r="AC397" s="65">
        <f t="shared" si="354"/>
        <v>1.1983947924764555E-2</v>
      </c>
    </row>
    <row r="398" spans="1:29" x14ac:dyDescent="0.3">
      <c r="A398" s="30" t="str">
        <f t="shared" si="353"/>
        <v>Residual value (vehicle)</v>
      </c>
      <c r="B398" s="68">
        <f>((1+B358)^B365)*B358/(((1+B358)^B365)-1)*(B355)/B370/(B367)</f>
        <v>-4.8487416058655246E-3</v>
      </c>
      <c r="C398" s="68">
        <f t="shared" ref="C398:AC398" si="355">((1+C358)^C365)*C358/(((1+C358)^C365)-1)*(C355)/C370/(C367)</f>
        <v>-4.8053092695548262E-3</v>
      </c>
      <c r="D398" s="68">
        <f t="shared" si="355"/>
        <v>-4.7457651612797915E-3</v>
      </c>
      <c r="E398" s="68">
        <f t="shared" si="355"/>
        <v>-4.6657442602468322E-3</v>
      </c>
      <c r="F398" s="68">
        <f t="shared" si="355"/>
        <v>-4.5611414836955796E-3</v>
      </c>
      <c r="G398" s="68">
        <f t="shared" si="355"/>
        <v>-4.4294119667932785E-3</v>
      </c>
      <c r="H398" s="68">
        <f t="shared" si="355"/>
        <v>-4.2713403278068903E-3</v>
      </c>
      <c r="I398" s="68">
        <f t="shared" si="355"/>
        <v>-4.092597082994311E-3</v>
      </c>
      <c r="J398" s="68">
        <f t="shared" si="355"/>
        <v>-3.9038985728107501E-3</v>
      </c>
      <c r="K398" s="68">
        <f t="shared" si="355"/>
        <v>-3.7189132963569372E-3</v>
      </c>
      <c r="L398" s="68">
        <f t="shared" si="355"/>
        <v>-3.5505173915465166E-3</v>
      </c>
      <c r="M398" s="68">
        <f t="shared" si="355"/>
        <v>-3.4074048524956467E-3</v>
      </c>
      <c r="N398" s="68">
        <f t="shared" si="355"/>
        <v>-3.2927973387195143E-3</v>
      </c>
      <c r="O398" s="68">
        <f t="shared" si="355"/>
        <v>-3.2053467190638735E-3</v>
      </c>
      <c r="P398" s="68">
        <f t="shared" si="355"/>
        <v>-3.1410635000671421E-3</v>
      </c>
      <c r="Q398" s="68">
        <f t="shared" si="355"/>
        <v>-3.0951019284482326E-3</v>
      </c>
      <c r="R398" s="68">
        <f t="shared" si="355"/>
        <v>-3.0628896543322109E-3</v>
      </c>
      <c r="S398" s="68">
        <f t="shared" si="355"/>
        <v>-3.0406289929969387E-3</v>
      </c>
      <c r="T398" s="68">
        <f t="shared" si="355"/>
        <v>-3.0253949131539087E-3</v>
      </c>
      <c r="U398" s="68">
        <f t="shared" si="355"/>
        <v>-3.0150390574308233E-3</v>
      </c>
      <c r="V398" s="68">
        <f t="shared" si="355"/>
        <v>-3.0080313650968121E-3</v>
      </c>
      <c r="W398" s="68">
        <f t="shared" si="355"/>
        <v>-3.0033039685321132E-3</v>
      </c>
      <c r="X398" s="68">
        <f t="shared" si="355"/>
        <v>-3.0001215086484716E-3</v>
      </c>
      <c r="Y398" s="68">
        <f t="shared" si="355"/>
        <v>-2.9979821012091901E-3</v>
      </c>
      <c r="Z398" s="68">
        <f t="shared" si="355"/>
        <v>-2.9965452440194116E-3</v>
      </c>
      <c r="AA398" s="68">
        <f t="shared" si="355"/>
        <v>-2.9955808423218653E-3</v>
      </c>
      <c r="AB398" s="68">
        <f t="shared" si="355"/>
        <v>-2.9949338230468516E-3</v>
      </c>
      <c r="AC398" s="68">
        <f t="shared" si="355"/>
        <v>-2.9944998604822652E-3</v>
      </c>
    </row>
    <row r="399" spans="1:29" x14ac:dyDescent="0.3">
      <c r="A399" s="30" t="str">
        <f t="shared" si="353"/>
        <v>Capex costumization</v>
      </c>
      <c r="B399" s="66">
        <f>((1+B358)^B366)*B358/(((1+B358)^B366)-1)*(B356)/B370/(B367)</f>
        <v>2.7870350404181278E-3</v>
      </c>
      <c r="C399" s="66">
        <f t="shared" ref="C399:AC399" si="356">((1+C358)^C366)*C358/(((1+C358)^C366)-1)*(C356)/C370/(C367)</f>
        <v>2.7870350404181278E-3</v>
      </c>
      <c r="D399" s="66">
        <f t="shared" si="356"/>
        <v>2.7870350404181278E-3</v>
      </c>
      <c r="E399" s="66">
        <f t="shared" si="356"/>
        <v>2.7870350404181278E-3</v>
      </c>
      <c r="F399" s="66">
        <f t="shared" si="356"/>
        <v>2.7870350404181278E-3</v>
      </c>
      <c r="G399" s="66">
        <f t="shared" si="356"/>
        <v>2.7870350404181278E-3</v>
      </c>
      <c r="H399" s="66">
        <f t="shared" si="356"/>
        <v>2.7870350404181278E-3</v>
      </c>
      <c r="I399" s="66">
        <f t="shared" si="356"/>
        <v>2.7870350404181278E-3</v>
      </c>
      <c r="J399" s="66">
        <f t="shared" si="356"/>
        <v>2.7870350404181278E-3</v>
      </c>
      <c r="K399" s="66">
        <f t="shared" si="356"/>
        <v>2.7870350404181278E-3</v>
      </c>
      <c r="L399" s="66">
        <f t="shared" si="356"/>
        <v>2.7870350404181278E-3</v>
      </c>
      <c r="M399" s="66">
        <f t="shared" si="356"/>
        <v>2.7870350404181278E-3</v>
      </c>
      <c r="N399" s="66">
        <f t="shared" si="356"/>
        <v>2.7870350404181278E-3</v>
      </c>
      <c r="O399" s="66">
        <f t="shared" si="356"/>
        <v>2.7870350404181278E-3</v>
      </c>
      <c r="P399" s="66">
        <f t="shared" si="356"/>
        <v>2.7870350404181278E-3</v>
      </c>
      <c r="Q399" s="66">
        <f t="shared" si="356"/>
        <v>2.7870350404181278E-3</v>
      </c>
      <c r="R399" s="66">
        <f t="shared" si="356"/>
        <v>2.7870350404181278E-3</v>
      </c>
      <c r="S399" s="66">
        <f t="shared" si="356"/>
        <v>2.7870350404181278E-3</v>
      </c>
      <c r="T399" s="66">
        <f t="shared" si="356"/>
        <v>2.7870350404181278E-3</v>
      </c>
      <c r="U399" s="66">
        <f t="shared" si="356"/>
        <v>2.7870350404181278E-3</v>
      </c>
      <c r="V399" s="66">
        <f t="shared" si="356"/>
        <v>2.7870350404181278E-3</v>
      </c>
      <c r="W399" s="66">
        <f t="shared" si="356"/>
        <v>2.7870350404181278E-3</v>
      </c>
      <c r="X399" s="66">
        <f t="shared" si="356"/>
        <v>2.7870350404181278E-3</v>
      </c>
      <c r="Y399" s="66">
        <f t="shared" si="356"/>
        <v>2.7870350404181278E-3</v>
      </c>
      <c r="Z399" s="66">
        <f t="shared" si="356"/>
        <v>2.7870350404181278E-3</v>
      </c>
      <c r="AA399" s="66">
        <f t="shared" si="356"/>
        <v>2.7870350404181278E-3</v>
      </c>
      <c r="AB399" s="66">
        <f t="shared" si="356"/>
        <v>2.7870350404181278E-3</v>
      </c>
      <c r="AC399" s="66">
        <f t="shared" si="356"/>
        <v>2.7870350404181278E-3</v>
      </c>
    </row>
    <row r="400" spans="1:29" x14ac:dyDescent="0.3">
      <c r="A400" s="30" t="str">
        <f t="shared" si="353"/>
        <v>Residual value (costumization)</v>
      </c>
      <c r="B400" s="69">
        <f>((1+B358)^B366)*B358/(((1+B358)^B366)-1)*(B357)/B370/(B367)</f>
        <v>-6.9675876010453195E-4</v>
      </c>
      <c r="C400" s="69">
        <f t="shared" ref="C400:AC400" si="357">((1+C358)^C366)*C358/(((1+C358)^C366)-1)*(C357)/C370/(C367)</f>
        <v>-6.9675876010453195E-4</v>
      </c>
      <c r="D400" s="69">
        <f t="shared" si="357"/>
        <v>-6.9675876010453195E-4</v>
      </c>
      <c r="E400" s="69">
        <f t="shared" si="357"/>
        <v>-6.9675876010453195E-4</v>
      </c>
      <c r="F400" s="69">
        <f t="shared" si="357"/>
        <v>-6.9675876010453195E-4</v>
      </c>
      <c r="G400" s="69">
        <f t="shared" si="357"/>
        <v>-6.9675876010453195E-4</v>
      </c>
      <c r="H400" s="69">
        <f t="shared" si="357"/>
        <v>-6.9675876010453195E-4</v>
      </c>
      <c r="I400" s="69">
        <f t="shared" si="357"/>
        <v>-6.9675876010453195E-4</v>
      </c>
      <c r="J400" s="69">
        <f t="shared" si="357"/>
        <v>-6.9675876010453195E-4</v>
      </c>
      <c r="K400" s="69">
        <f t="shared" si="357"/>
        <v>-6.9675876010453195E-4</v>
      </c>
      <c r="L400" s="69">
        <f t="shared" si="357"/>
        <v>-6.9675876010453195E-4</v>
      </c>
      <c r="M400" s="69">
        <f t="shared" si="357"/>
        <v>-6.9675876010453195E-4</v>
      </c>
      <c r="N400" s="69">
        <f t="shared" si="357"/>
        <v>-6.9675876010453195E-4</v>
      </c>
      <c r="O400" s="69">
        <f t="shared" si="357"/>
        <v>-6.9675876010453195E-4</v>
      </c>
      <c r="P400" s="69">
        <f t="shared" si="357"/>
        <v>-6.9675876010453195E-4</v>
      </c>
      <c r="Q400" s="69">
        <f t="shared" si="357"/>
        <v>-6.9675876010453195E-4</v>
      </c>
      <c r="R400" s="69">
        <f t="shared" si="357"/>
        <v>-6.9675876010453195E-4</v>
      </c>
      <c r="S400" s="69">
        <f t="shared" si="357"/>
        <v>-6.9675876010453195E-4</v>
      </c>
      <c r="T400" s="69">
        <f t="shared" si="357"/>
        <v>-6.9675876010453195E-4</v>
      </c>
      <c r="U400" s="69">
        <f t="shared" si="357"/>
        <v>-6.9675876010453195E-4</v>
      </c>
      <c r="V400" s="69">
        <f t="shared" si="357"/>
        <v>-6.9675876010453195E-4</v>
      </c>
      <c r="W400" s="69">
        <f t="shared" si="357"/>
        <v>-6.9675876010453195E-4</v>
      </c>
      <c r="X400" s="69">
        <f t="shared" si="357"/>
        <v>-6.9675876010453195E-4</v>
      </c>
      <c r="Y400" s="69">
        <f t="shared" si="357"/>
        <v>-6.9675876010453195E-4</v>
      </c>
      <c r="Z400" s="69">
        <f t="shared" si="357"/>
        <v>-6.9675876010453195E-4</v>
      </c>
      <c r="AA400" s="69">
        <f t="shared" si="357"/>
        <v>-6.9675876010453195E-4</v>
      </c>
      <c r="AB400" s="69">
        <f t="shared" si="357"/>
        <v>-6.9675876010453195E-4</v>
      </c>
      <c r="AC400" s="69">
        <f t="shared" si="357"/>
        <v>-6.9675876010453195E-4</v>
      </c>
    </row>
    <row r="401" spans="1:29" x14ac:dyDescent="0.3">
      <c r="A401" s="30" t="str">
        <f t="shared" si="353"/>
        <v>Opex fix (admin, crew, insurance)</v>
      </c>
      <c r="B401" s="66">
        <f>B359/B370/(B367)</f>
        <v>3.5897435897435902E-2</v>
      </c>
      <c r="C401" s="66">
        <f t="shared" ref="C401:AC401" si="358">C359/C370/(C367)</f>
        <v>3.5897435897435902E-2</v>
      </c>
      <c r="D401" s="66">
        <f t="shared" si="358"/>
        <v>3.5897435897435902E-2</v>
      </c>
      <c r="E401" s="66">
        <f t="shared" si="358"/>
        <v>3.5897435897435902E-2</v>
      </c>
      <c r="F401" s="66">
        <f t="shared" si="358"/>
        <v>3.5897435897435902E-2</v>
      </c>
      <c r="G401" s="66">
        <f t="shared" si="358"/>
        <v>3.5897435897435902E-2</v>
      </c>
      <c r="H401" s="66">
        <f t="shared" si="358"/>
        <v>3.5897435897435902E-2</v>
      </c>
      <c r="I401" s="66">
        <f t="shared" si="358"/>
        <v>3.5897435897435902E-2</v>
      </c>
      <c r="J401" s="66">
        <f t="shared" si="358"/>
        <v>3.5897435897435902E-2</v>
      </c>
      <c r="K401" s="66">
        <f t="shared" si="358"/>
        <v>3.5897435897435902E-2</v>
      </c>
      <c r="L401" s="66">
        <f t="shared" si="358"/>
        <v>3.5897435897435902E-2</v>
      </c>
      <c r="M401" s="66">
        <f t="shared" si="358"/>
        <v>3.5897435897435902E-2</v>
      </c>
      <c r="N401" s="66">
        <f t="shared" si="358"/>
        <v>3.5897435897435902E-2</v>
      </c>
      <c r="O401" s="66">
        <f t="shared" si="358"/>
        <v>3.5897435897435902E-2</v>
      </c>
      <c r="P401" s="66">
        <f t="shared" si="358"/>
        <v>3.5897435897435902E-2</v>
      </c>
      <c r="Q401" s="66">
        <f t="shared" si="358"/>
        <v>3.5897435897435902E-2</v>
      </c>
      <c r="R401" s="66">
        <f t="shared" si="358"/>
        <v>3.5897435897435902E-2</v>
      </c>
      <c r="S401" s="66">
        <f t="shared" si="358"/>
        <v>3.5897435897435902E-2</v>
      </c>
      <c r="T401" s="66">
        <f t="shared" si="358"/>
        <v>3.5897435897435902E-2</v>
      </c>
      <c r="U401" s="66">
        <f t="shared" si="358"/>
        <v>3.5897435897435902E-2</v>
      </c>
      <c r="V401" s="66">
        <f t="shared" si="358"/>
        <v>3.5897435897435902E-2</v>
      </c>
      <c r="W401" s="66">
        <f t="shared" si="358"/>
        <v>3.5897435897435902E-2</v>
      </c>
      <c r="X401" s="66">
        <f t="shared" si="358"/>
        <v>3.5897435897435902E-2</v>
      </c>
      <c r="Y401" s="66">
        <f t="shared" si="358"/>
        <v>3.5897435897435902E-2</v>
      </c>
      <c r="Z401" s="66">
        <f t="shared" si="358"/>
        <v>3.5897435897435902E-2</v>
      </c>
      <c r="AA401" s="66">
        <f t="shared" si="358"/>
        <v>3.5897435897435902E-2</v>
      </c>
      <c r="AB401" s="66">
        <f t="shared" si="358"/>
        <v>3.5897435897435902E-2</v>
      </c>
      <c r="AC401" s="66">
        <f t="shared" si="358"/>
        <v>3.5897435897435902E-2</v>
      </c>
    </row>
    <row r="402" spans="1:29" x14ac:dyDescent="0.3">
      <c r="A402" s="30" t="str">
        <f t="shared" si="353"/>
        <v>Opex maintenance &amp; repair</v>
      </c>
      <c r="B402" s="66">
        <f>B360/B370/(B367)</f>
        <v>7.6923076923076927E-3</v>
      </c>
      <c r="C402" s="66">
        <f t="shared" ref="C402:AC402" si="359">C360/C370/(C367)</f>
        <v>7.6923076923076927E-3</v>
      </c>
      <c r="D402" s="66">
        <f t="shared" si="359"/>
        <v>7.6923076923076927E-3</v>
      </c>
      <c r="E402" s="66">
        <f t="shared" si="359"/>
        <v>7.6923076923076927E-3</v>
      </c>
      <c r="F402" s="66">
        <f t="shared" si="359"/>
        <v>7.6923076923076927E-3</v>
      </c>
      <c r="G402" s="66">
        <f t="shared" si="359"/>
        <v>7.6923076923076927E-3</v>
      </c>
      <c r="H402" s="66">
        <f t="shared" si="359"/>
        <v>7.6923076923076927E-3</v>
      </c>
      <c r="I402" s="66">
        <f t="shared" si="359"/>
        <v>7.6923076923076927E-3</v>
      </c>
      <c r="J402" s="66">
        <f t="shared" si="359"/>
        <v>7.6923076923076927E-3</v>
      </c>
      <c r="K402" s="66">
        <f t="shared" si="359"/>
        <v>7.6923076923076927E-3</v>
      </c>
      <c r="L402" s="66">
        <f t="shared" si="359"/>
        <v>7.6923076923076927E-3</v>
      </c>
      <c r="M402" s="66">
        <f t="shared" si="359"/>
        <v>7.6923076923076927E-3</v>
      </c>
      <c r="N402" s="66">
        <f t="shared" si="359"/>
        <v>7.6923076923076927E-3</v>
      </c>
      <c r="O402" s="66">
        <f t="shared" si="359"/>
        <v>7.6923076923076927E-3</v>
      </c>
      <c r="P402" s="66">
        <f t="shared" si="359"/>
        <v>7.6923076923076927E-3</v>
      </c>
      <c r="Q402" s="66">
        <f t="shared" si="359"/>
        <v>7.6923076923076927E-3</v>
      </c>
      <c r="R402" s="66">
        <f t="shared" si="359"/>
        <v>7.6923076923076927E-3</v>
      </c>
      <c r="S402" s="66">
        <f t="shared" si="359"/>
        <v>7.6923076923076927E-3</v>
      </c>
      <c r="T402" s="66">
        <f t="shared" si="359"/>
        <v>7.6923076923076927E-3</v>
      </c>
      <c r="U402" s="66">
        <f t="shared" si="359"/>
        <v>7.6923076923076927E-3</v>
      </c>
      <c r="V402" s="66">
        <f t="shared" si="359"/>
        <v>7.6923076923076927E-3</v>
      </c>
      <c r="W402" s="66">
        <f t="shared" si="359"/>
        <v>7.6923076923076927E-3</v>
      </c>
      <c r="X402" s="66">
        <f t="shared" si="359"/>
        <v>7.6923076923076927E-3</v>
      </c>
      <c r="Y402" s="66">
        <f t="shared" si="359"/>
        <v>7.6923076923076927E-3</v>
      </c>
      <c r="Z402" s="66">
        <f t="shared" si="359"/>
        <v>7.6923076923076927E-3</v>
      </c>
      <c r="AA402" s="66">
        <f t="shared" si="359"/>
        <v>7.6923076923076927E-3</v>
      </c>
      <c r="AB402" s="66">
        <f t="shared" si="359"/>
        <v>7.6923076923076927E-3</v>
      </c>
      <c r="AC402" s="66">
        <f t="shared" si="359"/>
        <v>7.6923076923076927E-3</v>
      </c>
    </row>
    <row r="403" spans="1:29" x14ac:dyDescent="0.3">
      <c r="A403" s="30" t="str">
        <f t="shared" si="353"/>
        <v>Opex var (mode-fees)</v>
      </c>
      <c r="B403" s="66">
        <f>B361*B370/B370/(B367)</f>
        <v>4.4000000000000003E-3</v>
      </c>
      <c r="C403" s="66">
        <f t="shared" ref="C403:AC403" si="360">C361*C370/C370/(C367)</f>
        <v>4.4000000000000003E-3</v>
      </c>
      <c r="D403" s="66">
        <f t="shared" si="360"/>
        <v>4.4000000000000003E-3</v>
      </c>
      <c r="E403" s="66">
        <f t="shared" si="360"/>
        <v>4.4000000000000003E-3</v>
      </c>
      <c r="F403" s="66">
        <f t="shared" si="360"/>
        <v>4.4000000000000003E-3</v>
      </c>
      <c r="G403" s="66">
        <f t="shared" si="360"/>
        <v>4.4000000000000003E-3</v>
      </c>
      <c r="H403" s="66">
        <f t="shared" si="360"/>
        <v>4.4000000000000003E-3</v>
      </c>
      <c r="I403" s="66">
        <f t="shared" si="360"/>
        <v>4.4000000000000003E-3</v>
      </c>
      <c r="J403" s="66">
        <f t="shared" si="360"/>
        <v>4.4000000000000003E-3</v>
      </c>
      <c r="K403" s="66">
        <f t="shared" si="360"/>
        <v>4.4000000000000003E-3</v>
      </c>
      <c r="L403" s="66">
        <f t="shared" si="360"/>
        <v>4.4000000000000003E-3</v>
      </c>
      <c r="M403" s="66">
        <f t="shared" si="360"/>
        <v>4.4000000000000003E-3</v>
      </c>
      <c r="N403" s="66">
        <f t="shared" si="360"/>
        <v>4.4000000000000003E-3</v>
      </c>
      <c r="O403" s="66">
        <f t="shared" si="360"/>
        <v>4.4000000000000003E-3</v>
      </c>
      <c r="P403" s="66">
        <f t="shared" si="360"/>
        <v>4.4000000000000003E-3</v>
      </c>
      <c r="Q403" s="66">
        <f t="shared" si="360"/>
        <v>4.4000000000000003E-3</v>
      </c>
      <c r="R403" s="66">
        <f t="shared" si="360"/>
        <v>4.4000000000000003E-3</v>
      </c>
      <c r="S403" s="66">
        <f t="shared" si="360"/>
        <v>4.4000000000000003E-3</v>
      </c>
      <c r="T403" s="66">
        <f t="shared" si="360"/>
        <v>4.4000000000000003E-3</v>
      </c>
      <c r="U403" s="66">
        <f t="shared" si="360"/>
        <v>4.4000000000000003E-3</v>
      </c>
      <c r="V403" s="66">
        <f t="shared" si="360"/>
        <v>4.4000000000000003E-3</v>
      </c>
      <c r="W403" s="66">
        <f t="shared" si="360"/>
        <v>4.4000000000000003E-3</v>
      </c>
      <c r="X403" s="66">
        <f t="shared" si="360"/>
        <v>4.4000000000000003E-3</v>
      </c>
      <c r="Y403" s="66">
        <f t="shared" si="360"/>
        <v>4.4000000000000003E-3</v>
      </c>
      <c r="Z403" s="66">
        <f t="shared" si="360"/>
        <v>4.4000000000000003E-3</v>
      </c>
      <c r="AA403" s="66">
        <f t="shared" si="360"/>
        <v>4.4000000000000003E-3</v>
      </c>
      <c r="AB403" s="66">
        <f t="shared" si="360"/>
        <v>4.4000000000000003E-3</v>
      </c>
      <c r="AC403" s="66">
        <f t="shared" si="360"/>
        <v>4.4000000000000003E-3</v>
      </c>
    </row>
    <row r="404" spans="1:29" x14ac:dyDescent="0.3">
      <c r="A404" s="30" t="str">
        <f t="shared" si="353"/>
        <v>Fuel Cost</v>
      </c>
      <c r="B404" s="66">
        <f>B362*B363*B370/B370/(B367)</f>
        <v>5.5397830482865063E-3</v>
      </c>
      <c r="C404" s="66">
        <f t="shared" ref="C404:AC404" si="361">C362*C363*C370/C370/(C367)</f>
        <v>5.5030187968735864E-3</v>
      </c>
      <c r="D404" s="66">
        <f t="shared" si="361"/>
        <v>5.4524168925878169E-3</v>
      </c>
      <c r="E404" s="66">
        <f t="shared" si="361"/>
        <v>5.3840018143389082E-3</v>
      </c>
      <c r="F404" s="66">
        <f t="shared" si="361"/>
        <v>5.2937441438000356E-3</v>
      </c>
      <c r="G404" s="66">
        <f t="shared" si="361"/>
        <v>5.1784825442777946E-3</v>
      </c>
      <c r="H404" s="66">
        <f t="shared" si="361"/>
        <v>5.0372299936559187E-3</v>
      </c>
      <c r="I404" s="66">
        <f t="shared" si="361"/>
        <v>4.8724144010720231E-3</v>
      </c>
      <c r="J404" s="66">
        <f t="shared" si="361"/>
        <v>4.6902619632768188E-3</v>
      </c>
      <c r="K404" s="66">
        <f t="shared" si="361"/>
        <v>4.4997681186015239E-3</v>
      </c>
      <c r="L404" s="66">
        <f t="shared" si="361"/>
        <v>4.3106701485028627E-3</v>
      </c>
      <c r="M404" s="66">
        <f t="shared" si="361"/>
        <v>4.13162426244334E-3</v>
      </c>
      <c r="N404" s="66">
        <f t="shared" si="361"/>
        <v>3.9693641445853536E-3</v>
      </c>
      <c r="O404" s="66">
        <f t="shared" si="361"/>
        <v>3.8285256527784907E-3</v>
      </c>
      <c r="P404" s="66">
        <f t="shared" si="361"/>
        <v>3.7115144421374095E-3</v>
      </c>
      <c r="Q404" s="66">
        <f t="shared" si="361"/>
        <v>3.6183959788129274E-3</v>
      </c>
      <c r="R404" s="66">
        <f t="shared" si="361"/>
        <v>3.5471719951152359E-3</v>
      </c>
      <c r="S404" s="66">
        <f t="shared" si="361"/>
        <v>3.4945123865455156E-3</v>
      </c>
      <c r="T404" s="66">
        <f t="shared" si="361"/>
        <v>3.4566245568603427E-3</v>
      </c>
      <c r="U404" s="66">
        <f t="shared" si="361"/>
        <v>3.4299250721049413E-3</v>
      </c>
      <c r="V404" s="66">
        <f t="shared" si="361"/>
        <v>3.411394468339254E-3</v>
      </c>
      <c r="W404" s="66">
        <f t="shared" si="361"/>
        <v>3.3986724592991102E-3</v>
      </c>
      <c r="X404" s="66">
        <f t="shared" si="361"/>
        <v>3.3900044467554675E-3</v>
      </c>
      <c r="Y404" s="66">
        <f t="shared" si="361"/>
        <v>3.3841294914713758E-3</v>
      </c>
      <c r="Z404" s="66">
        <f t="shared" si="361"/>
        <v>3.3801618559776369E-3</v>
      </c>
      <c r="AA404" s="66">
        <f t="shared" si="361"/>
        <v>3.3774888447340445E-3</v>
      </c>
      <c r="AB404" s="66">
        <f t="shared" si="361"/>
        <v>3.3756909919627777E-3</v>
      </c>
      <c r="AC404" s="66">
        <f t="shared" si="361"/>
        <v>3.3744831090442877E-3</v>
      </c>
    </row>
    <row r="405" spans="1:29" x14ac:dyDescent="0.3">
      <c r="A405" s="59" t="str">
        <f>A368</f>
        <v>Market failure (av. utilization)</v>
      </c>
      <c r="B405" s="66">
        <f t="shared" ref="B405:AC405" si="362">B394/B368-B394/B367</f>
        <v>9.8840799825624742E-2</v>
      </c>
      <c r="C405" s="66">
        <f t="shared" si="362"/>
        <v>9.8301044194672407E-2</v>
      </c>
      <c r="D405" s="66">
        <f t="shared" si="362"/>
        <v>9.7560815728136574E-2</v>
      </c>
      <c r="E405" s="66">
        <f t="shared" si="362"/>
        <v>9.6565525389242596E-2</v>
      </c>
      <c r="F405" s="66">
        <f t="shared" si="362"/>
        <v>9.5263479806148327E-2</v>
      </c>
      <c r="G405" s="66">
        <f t="shared" si="362"/>
        <v>9.3621821186915574E-2</v>
      </c>
      <c r="H405" s="66">
        <f t="shared" si="362"/>
        <v>9.16482772587532E-2</v>
      </c>
      <c r="I405" s="66">
        <f t="shared" si="362"/>
        <v>8.9410399372499241E-2</v>
      </c>
      <c r="J405" s="66">
        <f t="shared" si="362"/>
        <v>8.7037830377448611E-2</v>
      </c>
      <c r="K405" s="66">
        <f t="shared" si="362"/>
        <v>8.4697154840552749E-2</v>
      </c>
      <c r="L405" s="66">
        <f t="shared" si="362"/>
        <v>8.2546710234895182E-2</v>
      </c>
      <c r="M405" s="66">
        <f t="shared" si="362"/>
        <v>8.0695702197474711E-2</v>
      </c>
      <c r="N405" s="66">
        <f t="shared" si="362"/>
        <v>7.918849186775595E-2</v>
      </c>
      <c r="O405" s="66">
        <f t="shared" si="362"/>
        <v>7.8014765976705938E-2</v>
      </c>
      <c r="P405" s="66">
        <f t="shared" si="362"/>
        <v>7.7131533359783622E-2</v>
      </c>
      <c r="Q405" s="66">
        <f t="shared" si="362"/>
        <v>7.6483549032450679E-2</v>
      </c>
      <c r="R405" s="66">
        <f t="shared" si="362"/>
        <v>7.6016682171009889E-2</v>
      </c>
      <c r="S405" s="66">
        <f t="shared" si="362"/>
        <v>7.5684518298484799E-2</v>
      </c>
      <c r="T405" s="66">
        <f t="shared" si="362"/>
        <v>7.5450323407571573E-2</v>
      </c>
      <c r="U405" s="66">
        <f t="shared" si="362"/>
        <v>7.5286419797729418E-2</v>
      </c>
      <c r="V405" s="66">
        <f t="shared" si="362"/>
        <v>7.5172506637693842E-2</v>
      </c>
      <c r="W405" s="66">
        <f t="shared" si="362"/>
        <v>7.5093878707665554E-2</v>
      </c>
      <c r="X405" s="66">
        <f t="shared" si="362"/>
        <v>7.5039957345458014E-2</v>
      </c>
      <c r="Y405" s="66">
        <f t="shared" si="362"/>
        <v>7.5003189472594559E-2</v>
      </c>
      <c r="Z405" s="66">
        <f t="shared" si="362"/>
        <v>7.4978234935519944E-2</v>
      </c>
      <c r="AA405" s="66">
        <f t="shared" si="362"/>
        <v>7.4961359128346242E-2</v>
      </c>
      <c r="AB405" s="66">
        <f t="shared" si="362"/>
        <v>7.4949977076565449E-2</v>
      </c>
      <c r="AC405" s="66">
        <f t="shared" si="362"/>
        <v>7.4942315028961634E-2</v>
      </c>
    </row>
    <row r="406" spans="1:29" x14ac:dyDescent="0.3">
      <c r="A406" s="59" t="str">
        <f>A369</f>
        <v>Payload loss (fuel)</v>
      </c>
      <c r="B406" s="66">
        <f>B394/(B367-B369)-B394/B367</f>
        <v>9.2867356687296315E-3</v>
      </c>
      <c r="C406" s="66">
        <f t="shared" ref="C406:AC406" si="363">C394/(C367-C369)-C394/C367</f>
        <v>9.2068549051330939E-3</v>
      </c>
      <c r="D406" s="66">
        <f t="shared" si="363"/>
        <v>9.0964550414365936E-3</v>
      </c>
      <c r="E406" s="66">
        <f t="shared" si="363"/>
        <v>8.9462604328296308E-3</v>
      </c>
      <c r="F406" s="66">
        <f t="shared" si="363"/>
        <v>8.7462583066264393E-3</v>
      </c>
      <c r="G406" s="66">
        <f t="shared" si="363"/>
        <v>8.487306012163659E-3</v>
      </c>
      <c r="H406" s="66">
        <f t="shared" si="363"/>
        <v>8.1635642609796666E-3</v>
      </c>
      <c r="I406" s="66">
        <f t="shared" si="363"/>
        <v>7.7750870125175842E-3</v>
      </c>
      <c r="J406" s="66">
        <f t="shared" si="363"/>
        <v>7.3293345119776893E-3</v>
      </c>
      <c r="K406" s="66">
        <f t="shared" si="363"/>
        <v>6.8407458466183818E-3</v>
      </c>
      <c r="L406" s="66">
        <f t="shared" si="363"/>
        <v>6.3289143893719702E-3</v>
      </c>
      <c r="M406" s="66">
        <f t="shared" si="363"/>
        <v>5.8166846656595439E-3</v>
      </c>
      <c r="N406" s="66">
        <f t="shared" si="363"/>
        <v>5.3282850864200398E-3</v>
      </c>
      <c r="O406" s="66">
        <f t="shared" si="363"/>
        <v>4.8862940593031867E-3</v>
      </c>
      <c r="P406" s="66">
        <f t="shared" si="363"/>
        <v>4.5074005326782018E-3</v>
      </c>
      <c r="Q406" s="66">
        <f t="shared" si="363"/>
        <v>4.1991570501727915E-3</v>
      </c>
      <c r="R406" s="66">
        <f t="shared" si="363"/>
        <v>3.9598235090356482E-3</v>
      </c>
      <c r="S406" s="66">
        <f t="shared" si="363"/>
        <v>3.7810548866816507E-3</v>
      </c>
      <c r="T406" s="66">
        <f t="shared" si="363"/>
        <v>3.6515156719067049E-3</v>
      </c>
      <c r="U406" s="66">
        <f t="shared" si="363"/>
        <v>3.5597623804499989E-3</v>
      </c>
      <c r="V406" s="66">
        <f t="shared" si="363"/>
        <v>3.4958422795575012E-3</v>
      </c>
      <c r="W406" s="66">
        <f t="shared" si="363"/>
        <v>3.4518366375675402E-3</v>
      </c>
      <c r="X406" s="66">
        <f t="shared" si="363"/>
        <v>3.421792745961813E-3</v>
      </c>
      <c r="Y406" s="66">
        <f t="shared" si="363"/>
        <v>3.4013998022636022E-3</v>
      </c>
      <c r="Z406" s="66">
        <f t="shared" si="363"/>
        <v>3.3876130866225818E-3</v>
      </c>
      <c r="AA406" s="66">
        <f t="shared" si="363"/>
        <v>3.3783181323935735E-3</v>
      </c>
      <c r="AB406" s="66">
        <f t="shared" si="363"/>
        <v>3.3720632380812299E-3</v>
      </c>
      <c r="AC406" s="66">
        <f t="shared" si="363"/>
        <v>3.3678594488747021E-3</v>
      </c>
    </row>
    <row r="407" spans="1:29" ht="15" thickBot="1" x14ac:dyDescent="0.35">
      <c r="A407" s="59" t="str">
        <f>A344</f>
        <v>Emission Cost</v>
      </c>
      <c r="B407" s="68">
        <f>B364*B370/B370/(B367)</f>
        <v>1.4049076735721778E-4</v>
      </c>
      <c r="C407" s="68">
        <f t="shared" ref="C407:AC407" si="364">C364*C370/C370/(C367)</f>
        <v>1.4035698591588104E-4</v>
      </c>
      <c r="D407" s="68">
        <f t="shared" si="364"/>
        <v>1.4016548076234875E-4</v>
      </c>
      <c r="E407" s="68">
        <f t="shared" si="364"/>
        <v>1.3989151917297648E-4</v>
      </c>
      <c r="F407" s="68">
        <f t="shared" si="364"/>
        <v>1.3949996760913741E-4</v>
      </c>
      <c r="G407" s="68">
        <f t="shared" si="364"/>
        <v>1.3894113890973716E-4</v>
      </c>
      <c r="H407" s="68">
        <f t="shared" si="364"/>
        <v>1.3814522974610444E-4</v>
      </c>
      <c r="I407" s="68">
        <f t="shared" si="364"/>
        <v>1.3701515282874788E-4</v>
      </c>
      <c r="J407" s="68">
        <f t="shared" si="364"/>
        <v>1.3541789769952266E-4</v>
      </c>
      <c r="K407" s="68">
        <f t="shared" si="364"/>
        <v>1.3317538031496E-4</v>
      </c>
      <c r="L407" s="68">
        <f t="shared" si="364"/>
        <v>1.3005746709139924E-4</v>
      </c>
      <c r="M407" s="68">
        <f t="shared" si="364"/>
        <v>1.2578292470326314E-4</v>
      </c>
      <c r="N407" s="68">
        <f t="shared" si="364"/>
        <v>1.2003839777505244E-4</v>
      </c>
      <c r="O407" s="68">
        <f t="shared" si="364"/>
        <v>1.1252919131889444E-4</v>
      </c>
      <c r="P407" s="68">
        <f t="shared" si="364"/>
        <v>1.0307261500799069E-4</v>
      </c>
      <c r="Q407" s="68">
        <f t="shared" si="364"/>
        <v>9.1724994885971666E-5</v>
      </c>
      <c r="R407" s="68">
        <f t="shared" si="364"/>
        <v>7.8893405016236212E-5</v>
      </c>
      <c r="S407" s="68">
        <f t="shared" si="364"/>
        <v>6.534714823744498E-5</v>
      </c>
      <c r="T407" s="68">
        <f t="shared" si="364"/>
        <v>5.2067456454497702E-5</v>
      </c>
      <c r="U407" s="68">
        <f t="shared" si="364"/>
        <v>3.9978679681221538E-5</v>
      </c>
      <c r="V407" s="68">
        <f t="shared" si="364"/>
        <v>2.9704940898853776E-5</v>
      </c>
      <c r="W407" s="68">
        <f t="shared" si="364"/>
        <v>2.1477516056547865E-5</v>
      </c>
      <c r="X407" s="68">
        <f t="shared" si="364"/>
        <v>1.5199625742695674E-5</v>
      </c>
      <c r="Y407" s="68">
        <f t="shared" si="364"/>
        <v>1.0584872874483328E-5</v>
      </c>
      <c r="Z407" s="68">
        <f t="shared" si="364"/>
        <v>7.285391333792315E-6</v>
      </c>
      <c r="AA407" s="68">
        <f t="shared" si="364"/>
        <v>4.9729420400487081E-6</v>
      </c>
      <c r="AB407" s="68">
        <f t="shared" si="364"/>
        <v>3.3748974438302729E-6</v>
      </c>
      <c r="AC407" s="68">
        <f t="shared" si="364"/>
        <v>2.2812758930212777E-6</v>
      </c>
    </row>
    <row r="408" spans="1:29" ht="15" thickBot="1" x14ac:dyDescent="0.35">
      <c r="A408" s="31" t="s">
        <v>210</v>
      </c>
      <c r="B408" s="67">
        <f>B397+B398+B399+B400+B401+B402+B403+B404+B405+B406+B407</f>
        <v>0.19093173634412192</v>
      </c>
      <c r="C408" s="67">
        <f t="shared" ref="C408:AC408" si="365">C397+C398+C399+C400+C401+C402+C403+C404+C405+C406+C407</f>
        <v>0.18985230811579884</v>
      </c>
      <c r="D408" s="67">
        <f t="shared" si="365"/>
        <v>0.18837111479555452</v>
      </c>
      <c r="E408" s="67">
        <f t="shared" si="365"/>
        <v>0.18637778992973647</v>
      </c>
      <c r="F408" s="67">
        <f t="shared" si="365"/>
        <v>0.18376659227928466</v>
      </c>
      <c r="G408" s="67">
        <f t="shared" si="365"/>
        <v>0.18046753143068717</v>
      </c>
      <c r="H408" s="67">
        <f t="shared" si="365"/>
        <v>0.17648907870142466</v>
      </c>
      <c r="I408" s="67">
        <f t="shared" si="365"/>
        <v>0.17195638314508488</v>
      </c>
      <c r="J408" s="67">
        <f t="shared" si="365"/>
        <v>0.16711698435741421</v>
      </c>
      <c r="K408" s="67">
        <f t="shared" si="365"/>
        <v>0.16229381136446994</v>
      </c>
      <c r="L408" s="67">
        <f t="shared" si="365"/>
        <v>0.15779967508193177</v>
      </c>
      <c r="M408" s="67">
        <f t="shared" si="365"/>
        <v>0.15385965269632956</v>
      </c>
      <c r="N408" s="67">
        <f t="shared" si="365"/>
        <v>0.15058012287687014</v>
      </c>
      <c r="O408" s="67">
        <f t="shared" si="365"/>
        <v>0.14796456538484587</v>
      </c>
      <c r="P408" s="67">
        <f t="shared" si="365"/>
        <v>0.14595005590095736</v>
      </c>
      <c r="Q408" s="67">
        <f t="shared" si="365"/>
        <v>0.14444184144190944</v>
      </c>
      <c r="R408" s="67">
        <f t="shared" si="365"/>
        <v>0.14333793963884492</v>
      </c>
      <c r="S408" s="67">
        <f t="shared" si="365"/>
        <v>0.14254405273403703</v>
      </c>
      <c r="T408" s="67">
        <f t="shared" si="365"/>
        <v>0.14198081927683018</v>
      </c>
      <c r="U408" s="67">
        <f t="shared" si="365"/>
        <v>0.14158554078196209</v>
      </c>
      <c r="V408" s="67">
        <f t="shared" si="365"/>
        <v>0.14131067038470743</v>
      </c>
      <c r="W408" s="67">
        <f t="shared" si="365"/>
        <v>0.14112105746488726</v>
      </c>
      <c r="X408" s="67">
        <f t="shared" si="365"/>
        <v>0.14099115919882316</v>
      </c>
      <c r="Y408" s="67">
        <f t="shared" si="365"/>
        <v>0.14090267760167408</v>
      </c>
      <c r="Z408" s="67">
        <f t="shared" si="365"/>
        <v>0.14084267878033935</v>
      </c>
      <c r="AA408" s="67">
        <f t="shared" si="365"/>
        <v>0.14080213233134425</v>
      </c>
      <c r="AB408" s="67">
        <f t="shared" si="365"/>
        <v>0.14077479956336375</v>
      </c>
      <c r="AC408" s="67">
        <f t="shared" si="365"/>
        <v>0.1407564067971131</v>
      </c>
    </row>
    <row r="410" spans="1:29" x14ac:dyDescent="0.3">
      <c r="B410" s="40"/>
    </row>
    <row r="429" spans="1:1" s="3" customFormat="1" ht="21" x14ac:dyDescent="0.4">
      <c r="A429" s="2" t="str">
        <f>'Parameter Input'!A59</f>
        <v>Road long-haul:  Neo bulk</v>
      </c>
    </row>
    <row r="430" spans="1:1" s="3" customFormat="1" ht="21" x14ac:dyDescent="0.4">
      <c r="A430" s="2" t="s">
        <v>87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Input'!$L$20</f>
        <v>400000</v>
      </c>
      <c r="C439" s="42">
        <f>'Parameter Input'!$M$20</f>
        <v>145000</v>
      </c>
      <c r="D439" s="1" t="s">
        <v>15</v>
      </c>
      <c r="L439" s="51">
        <f>'Parameter Input'!$O$20</f>
        <v>8</v>
      </c>
      <c r="M439" s="52">
        <v>0</v>
      </c>
      <c r="N439" s="52">
        <v>1</v>
      </c>
      <c r="O439" s="52">
        <f>'Parameter Input'!$P$20</f>
        <v>0.9</v>
      </c>
      <c r="P439" s="53">
        <f>'Parameter Input'!$Q$20</f>
        <v>0.4</v>
      </c>
      <c r="Q439" s="4">
        <f t="shared" ref="Q439:AR448" si="366">$N439+($M439-$N439)*((1/(1+EXP(-$P439*(Q$9-$L439)))^$O439))</f>
        <v>0.94584787155511363</v>
      </c>
      <c r="R439" s="4">
        <f t="shared" si="366"/>
        <v>0.92370360150141495</v>
      </c>
      <c r="S439" s="4">
        <f t="shared" si="366"/>
        <v>0.89334463567658451</v>
      </c>
      <c r="T439" s="4">
        <f t="shared" si="366"/>
        <v>0.85254543874327005</v>
      </c>
      <c r="U439" s="4">
        <f t="shared" si="366"/>
        <v>0.79921300652623883</v>
      </c>
      <c r="V439" s="4">
        <f t="shared" si="366"/>
        <v>0.73204982249993378</v>
      </c>
      <c r="W439" s="4">
        <f t="shared" si="366"/>
        <v>0.65145592958786691</v>
      </c>
      <c r="X439" s="4">
        <f t="shared" si="366"/>
        <v>0.56032247880849573</v>
      </c>
      <c r="Y439" s="4">
        <f t="shared" si="366"/>
        <v>0.46411326873185343</v>
      </c>
      <c r="Z439" s="4">
        <f t="shared" si="366"/>
        <v>0.36979727595523937</v>
      </c>
      <c r="AA439" s="4">
        <f t="shared" si="366"/>
        <v>0.28393948637231203</v>
      </c>
      <c r="AB439" s="4">
        <f t="shared" si="366"/>
        <v>0.21097259161117732</v>
      </c>
      <c r="AC439" s="4">
        <f t="shared" si="366"/>
        <v>0.15253917653798199</v>
      </c>
      <c r="AD439" s="4">
        <f t="shared" si="366"/>
        <v>0.10795188737709993</v>
      </c>
      <c r="AE439" s="4">
        <f t="shared" si="366"/>
        <v>7.5176653938091809E-2</v>
      </c>
      <c r="AF439" s="4">
        <f t="shared" si="366"/>
        <v>5.1742836177502194E-2</v>
      </c>
      <c r="AG439" s="4">
        <f t="shared" si="366"/>
        <v>3.5319190625345942E-2</v>
      </c>
      <c r="AH439" s="4">
        <f t="shared" si="366"/>
        <v>2.3969442072658165E-2</v>
      </c>
      <c r="AI439" s="4">
        <f t="shared" si="366"/>
        <v>1.6202243558389728E-2</v>
      </c>
      <c r="AJ439" s="4">
        <f t="shared" si="366"/>
        <v>1.0922240564108399E-2</v>
      </c>
      <c r="AK439" s="4">
        <f t="shared" si="366"/>
        <v>7.3493212906090566E-3</v>
      </c>
      <c r="AL439" s="4">
        <f t="shared" si="366"/>
        <v>4.9390262185057265E-3</v>
      </c>
      <c r="AM439" s="4">
        <f t="shared" si="366"/>
        <v>3.3164275492956197E-3</v>
      </c>
      <c r="AN439" s="4">
        <f t="shared" si="366"/>
        <v>2.2256362146679809E-3</v>
      </c>
      <c r="AO439" s="4">
        <f t="shared" si="366"/>
        <v>1.4930448704811861E-3</v>
      </c>
      <c r="AP439" s="4">
        <f t="shared" si="366"/>
        <v>1.0013381504474506E-3</v>
      </c>
      <c r="AQ439" s="4">
        <f t="shared" si="366"/>
        <v>6.7145100246257527E-4</v>
      </c>
      <c r="AR439" s="4">
        <f t="shared" si="366"/>
        <v>4.5019225748876845E-4</v>
      </c>
    </row>
    <row r="440" spans="1:44" x14ac:dyDescent="0.3">
      <c r="A440" s="24" t="s">
        <v>28</v>
      </c>
      <c r="B440" s="60">
        <f>'Parameter Input'!$L$21</f>
        <v>-60000</v>
      </c>
      <c r="C440" s="61">
        <f>'Parameter Input'!$M$21</f>
        <v>-36250</v>
      </c>
      <c r="D440" s="1" t="s">
        <v>15</v>
      </c>
      <c r="L440" s="54">
        <f>'Parameter Input'!$O$21</f>
        <v>8</v>
      </c>
      <c r="M440" s="37">
        <v>0</v>
      </c>
      <c r="N440" s="37">
        <v>1</v>
      </c>
      <c r="O440" s="37">
        <f>'Parameter Input'!$P$21</f>
        <v>0.9</v>
      </c>
      <c r="P440" s="55">
        <f>'Parameter Input'!$Q$21</f>
        <v>0.4</v>
      </c>
      <c r="Q440" s="4">
        <f t="shared" si="366"/>
        <v>0.94584787155511363</v>
      </c>
      <c r="R440" s="4">
        <f t="shared" si="366"/>
        <v>0.92370360150141495</v>
      </c>
      <c r="S440" s="4">
        <f t="shared" si="366"/>
        <v>0.89334463567658451</v>
      </c>
      <c r="T440" s="4">
        <f t="shared" si="366"/>
        <v>0.85254543874327005</v>
      </c>
      <c r="U440" s="4">
        <f t="shared" si="366"/>
        <v>0.79921300652623883</v>
      </c>
      <c r="V440" s="4">
        <f t="shared" si="366"/>
        <v>0.73204982249993378</v>
      </c>
      <c r="W440" s="4">
        <f t="shared" si="366"/>
        <v>0.65145592958786691</v>
      </c>
      <c r="X440" s="4">
        <f t="shared" si="366"/>
        <v>0.56032247880849573</v>
      </c>
      <c r="Y440" s="4">
        <f t="shared" si="366"/>
        <v>0.46411326873185343</v>
      </c>
      <c r="Z440" s="4">
        <f t="shared" si="366"/>
        <v>0.36979727595523937</v>
      </c>
      <c r="AA440" s="4">
        <f t="shared" si="366"/>
        <v>0.28393948637231203</v>
      </c>
      <c r="AB440" s="4">
        <f t="shared" si="366"/>
        <v>0.21097259161117732</v>
      </c>
      <c r="AC440" s="4">
        <f t="shared" si="366"/>
        <v>0.15253917653798199</v>
      </c>
      <c r="AD440" s="4">
        <f t="shared" si="366"/>
        <v>0.10795188737709993</v>
      </c>
      <c r="AE440" s="4">
        <f t="shared" si="366"/>
        <v>7.5176653938091809E-2</v>
      </c>
      <c r="AF440" s="4">
        <f t="shared" si="366"/>
        <v>5.1742836177502194E-2</v>
      </c>
      <c r="AG440" s="4">
        <f t="shared" si="366"/>
        <v>3.5319190625345942E-2</v>
      </c>
      <c r="AH440" s="4">
        <f t="shared" si="366"/>
        <v>2.3969442072658165E-2</v>
      </c>
      <c r="AI440" s="4">
        <f t="shared" si="366"/>
        <v>1.6202243558389728E-2</v>
      </c>
      <c r="AJ440" s="4">
        <f t="shared" si="366"/>
        <v>1.0922240564108399E-2</v>
      </c>
      <c r="AK440" s="4">
        <f t="shared" si="366"/>
        <v>7.3493212906090566E-3</v>
      </c>
      <c r="AL440" s="4">
        <f t="shared" si="366"/>
        <v>4.9390262185057265E-3</v>
      </c>
      <c r="AM440" s="4">
        <f t="shared" si="366"/>
        <v>3.3164275492956197E-3</v>
      </c>
      <c r="AN440" s="4">
        <f t="shared" si="366"/>
        <v>2.2256362146679809E-3</v>
      </c>
      <c r="AO440" s="4">
        <f t="shared" si="366"/>
        <v>1.4930448704811861E-3</v>
      </c>
      <c r="AP440" s="4">
        <f t="shared" si="366"/>
        <v>1.0013381504474506E-3</v>
      </c>
      <c r="AQ440" s="4">
        <f t="shared" si="366"/>
        <v>6.7145100246257527E-4</v>
      </c>
      <c r="AR440" s="4">
        <f t="shared" si="366"/>
        <v>4.5019225748876845E-4</v>
      </c>
    </row>
    <row r="441" spans="1:44" x14ac:dyDescent="0.3">
      <c r="A441" s="24" t="s">
        <v>14</v>
      </c>
      <c r="B441" s="60">
        <f>'Parameter Input'!B60</f>
        <v>35000</v>
      </c>
      <c r="C441" s="61">
        <f>'Parameter Input'!C60</f>
        <v>35000</v>
      </c>
      <c r="D441" s="1" t="s">
        <v>15</v>
      </c>
      <c r="L441" s="54">
        <f>'Parameter Input'!E60</f>
        <v>12</v>
      </c>
      <c r="M441" s="37">
        <v>0</v>
      </c>
      <c r="N441" s="37">
        <v>1</v>
      </c>
      <c r="O441" s="37">
        <f>'Parameter Input'!F46</f>
        <v>0.9</v>
      </c>
      <c r="P441" s="55">
        <f>'Parameter Input'!G60</f>
        <v>0.4</v>
      </c>
      <c r="Q441" s="4">
        <f t="shared" si="366"/>
        <v>0.9867978615748374</v>
      </c>
      <c r="R441" s="4">
        <f t="shared" si="366"/>
        <v>0.98114509762858249</v>
      </c>
      <c r="S441" s="4">
        <f t="shared" si="366"/>
        <v>0.97311898315872036</v>
      </c>
      <c r="T441" s="4">
        <f t="shared" si="366"/>
        <v>0.96177484161592774</v>
      </c>
      <c r="U441" s="4">
        <f t="shared" si="366"/>
        <v>0.94584787155511363</v>
      </c>
      <c r="V441" s="4">
        <f t="shared" si="366"/>
        <v>0.92370360150141495</v>
      </c>
      <c r="W441" s="4">
        <f t="shared" si="366"/>
        <v>0.89334463567658451</v>
      </c>
      <c r="X441" s="4">
        <f t="shared" si="366"/>
        <v>0.85254543874327005</v>
      </c>
      <c r="Y441" s="4">
        <f t="shared" si="366"/>
        <v>0.79921300652623883</v>
      </c>
      <c r="Z441" s="4">
        <f t="shared" si="366"/>
        <v>0.73204982249993378</v>
      </c>
      <c r="AA441" s="4">
        <f t="shared" si="366"/>
        <v>0.65145592958786691</v>
      </c>
      <c r="AB441" s="4">
        <f t="shared" si="366"/>
        <v>0.56032247880849573</v>
      </c>
      <c r="AC441" s="4">
        <f t="shared" si="366"/>
        <v>0.46411326873185343</v>
      </c>
      <c r="AD441" s="4">
        <f t="shared" si="366"/>
        <v>0.36979727595523937</v>
      </c>
      <c r="AE441" s="4">
        <f t="shared" si="366"/>
        <v>0.28393948637231203</v>
      </c>
      <c r="AF441" s="4">
        <f t="shared" si="366"/>
        <v>0.21097259161117732</v>
      </c>
      <c r="AG441" s="4">
        <f t="shared" si="366"/>
        <v>0.15253917653798199</v>
      </c>
      <c r="AH441" s="4">
        <f t="shared" si="366"/>
        <v>0.10795188737709993</v>
      </c>
      <c r="AI441" s="4">
        <f t="shared" si="366"/>
        <v>7.5176653938091809E-2</v>
      </c>
      <c r="AJ441" s="4">
        <f t="shared" si="366"/>
        <v>5.1742836177502194E-2</v>
      </c>
      <c r="AK441" s="4">
        <f t="shared" si="366"/>
        <v>3.5319190625345942E-2</v>
      </c>
      <c r="AL441" s="4">
        <f t="shared" si="366"/>
        <v>2.3969442072658165E-2</v>
      </c>
      <c r="AM441" s="4">
        <f t="shared" si="366"/>
        <v>1.6202243558389728E-2</v>
      </c>
      <c r="AN441" s="4">
        <f t="shared" si="366"/>
        <v>1.0922240564108399E-2</v>
      </c>
      <c r="AO441" s="4">
        <f t="shared" si="366"/>
        <v>7.3493212906090566E-3</v>
      </c>
      <c r="AP441" s="4">
        <f t="shared" si="366"/>
        <v>4.9390262185057265E-3</v>
      </c>
      <c r="AQ441" s="4">
        <f t="shared" si="366"/>
        <v>3.3164275492956197E-3</v>
      </c>
      <c r="AR441" s="4">
        <f t="shared" si="366"/>
        <v>2.2256362146679809E-3</v>
      </c>
    </row>
    <row r="442" spans="1:44" x14ac:dyDescent="0.3">
      <c r="A442" s="24" t="s">
        <v>25</v>
      </c>
      <c r="B442" s="60">
        <f>'Parameter Input'!B61</f>
        <v>-8750</v>
      </c>
      <c r="C442" s="61">
        <f>'Parameter Input'!C61</f>
        <v>-8750</v>
      </c>
      <c r="D442" s="1" t="s">
        <v>15</v>
      </c>
      <c r="L442" s="54">
        <f>'Parameter Input'!E61</f>
        <v>12</v>
      </c>
      <c r="M442" s="37">
        <v>0</v>
      </c>
      <c r="N442" s="37">
        <v>1</v>
      </c>
      <c r="O442" s="37">
        <f>'Parameter Input'!F61</f>
        <v>0.9</v>
      </c>
      <c r="P442" s="55">
        <f>'Parameter Input'!G61</f>
        <v>0.4</v>
      </c>
      <c r="Q442" s="4">
        <f t="shared" si="366"/>
        <v>0.9867978615748374</v>
      </c>
      <c r="R442" s="4">
        <f t="shared" si="366"/>
        <v>0.98114509762858249</v>
      </c>
      <c r="S442" s="4">
        <f t="shared" si="366"/>
        <v>0.97311898315872036</v>
      </c>
      <c r="T442" s="4">
        <f t="shared" si="366"/>
        <v>0.96177484161592774</v>
      </c>
      <c r="U442" s="4">
        <f t="shared" si="366"/>
        <v>0.94584787155511363</v>
      </c>
      <c r="V442" s="4">
        <f t="shared" si="366"/>
        <v>0.92370360150141495</v>
      </c>
      <c r="W442" s="4">
        <f t="shared" si="366"/>
        <v>0.89334463567658451</v>
      </c>
      <c r="X442" s="4">
        <f t="shared" si="366"/>
        <v>0.85254543874327005</v>
      </c>
      <c r="Y442" s="4">
        <f t="shared" si="366"/>
        <v>0.79921300652623883</v>
      </c>
      <c r="Z442" s="4">
        <f t="shared" si="366"/>
        <v>0.73204982249993378</v>
      </c>
      <c r="AA442" s="4">
        <f t="shared" si="366"/>
        <v>0.65145592958786691</v>
      </c>
      <c r="AB442" s="4">
        <f t="shared" si="366"/>
        <v>0.56032247880849573</v>
      </c>
      <c r="AC442" s="4">
        <f t="shared" si="366"/>
        <v>0.46411326873185343</v>
      </c>
      <c r="AD442" s="4">
        <f t="shared" si="366"/>
        <v>0.36979727595523937</v>
      </c>
      <c r="AE442" s="4">
        <f t="shared" si="366"/>
        <v>0.28393948637231203</v>
      </c>
      <c r="AF442" s="4">
        <f t="shared" si="366"/>
        <v>0.21097259161117732</v>
      </c>
      <c r="AG442" s="4">
        <f t="shared" si="366"/>
        <v>0.15253917653798199</v>
      </c>
      <c r="AH442" s="4">
        <f t="shared" si="366"/>
        <v>0.10795188737709993</v>
      </c>
      <c r="AI442" s="4">
        <f t="shared" si="366"/>
        <v>7.5176653938091809E-2</v>
      </c>
      <c r="AJ442" s="4">
        <f t="shared" si="366"/>
        <v>5.1742836177502194E-2</v>
      </c>
      <c r="AK442" s="4">
        <f t="shared" si="366"/>
        <v>3.5319190625345942E-2</v>
      </c>
      <c r="AL442" s="4">
        <f t="shared" si="366"/>
        <v>2.3969442072658165E-2</v>
      </c>
      <c r="AM442" s="4">
        <f t="shared" si="366"/>
        <v>1.6202243558389728E-2</v>
      </c>
      <c r="AN442" s="4">
        <f t="shared" si="366"/>
        <v>1.0922240564108399E-2</v>
      </c>
      <c r="AO442" s="4">
        <f t="shared" si="366"/>
        <v>7.3493212906090566E-3</v>
      </c>
      <c r="AP442" s="4">
        <f t="shared" si="366"/>
        <v>4.9390262185057265E-3</v>
      </c>
      <c r="AQ442" s="4">
        <f t="shared" si="366"/>
        <v>3.3164275492956197E-3</v>
      </c>
      <c r="AR442" s="4">
        <f t="shared" si="366"/>
        <v>2.2256362146679809E-3</v>
      </c>
    </row>
    <row r="443" spans="1:44" x14ac:dyDescent="0.3">
      <c r="A443" s="24" t="s">
        <v>79</v>
      </c>
      <c r="B443" s="45">
        <f>'Parameter Input'!$L$27</f>
        <v>0.06</v>
      </c>
      <c r="C443" s="46">
        <f>'Parameter Input'!$M$27</f>
        <v>0.06</v>
      </c>
      <c r="D443" s="1" t="s">
        <v>57</v>
      </c>
      <c r="L443" s="54">
        <f>'Parameter Input'!$O$27</f>
        <v>12</v>
      </c>
      <c r="M443" s="37">
        <v>0</v>
      </c>
      <c r="N443" s="37">
        <v>1</v>
      </c>
      <c r="O443" s="37">
        <f>'Parameter Input'!$P$27</f>
        <v>0.9</v>
      </c>
      <c r="P443" s="55">
        <f>'Parameter Input'!$Q$27</f>
        <v>0.4</v>
      </c>
      <c r="Q443" s="4">
        <f t="shared" si="366"/>
        <v>0.9867978615748374</v>
      </c>
      <c r="R443" s="4">
        <f t="shared" si="366"/>
        <v>0.98114509762858249</v>
      </c>
      <c r="S443" s="4">
        <f t="shared" si="366"/>
        <v>0.97311898315872036</v>
      </c>
      <c r="T443" s="4">
        <f t="shared" si="366"/>
        <v>0.96177484161592774</v>
      </c>
      <c r="U443" s="4">
        <f t="shared" si="366"/>
        <v>0.94584787155511363</v>
      </c>
      <c r="V443" s="4">
        <f t="shared" si="366"/>
        <v>0.92370360150141495</v>
      </c>
      <c r="W443" s="4">
        <f t="shared" si="366"/>
        <v>0.89334463567658451</v>
      </c>
      <c r="X443" s="4">
        <f t="shared" si="366"/>
        <v>0.85254543874327005</v>
      </c>
      <c r="Y443" s="4">
        <f t="shared" si="366"/>
        <v>0.79921300652623883</v>
      </c>
      <c r="Z443" s="4">
        <f t="shared" si="366"/>
        <v>0.73204982249993378</v>
      </c>
      <c r="AA443" s="4">
        <f t="shared" si="366"/>
        <v>0.65145592958786691</v>
      </c>
      <c r="AB443" s="4">
        <f t="shared" si="366"/>
        <v>0.56032247880849573</v>
      </c>
      <c r="AC443" s="4">
        <f t="shared" si="366"/>
        <v>0.46411326873185343</v>
      </c>
      <c r="AD443" s="4">
        <f t="shared" si="366"/>
        <v>0.36979727595523937</v>
      </c>
      <c r="AE443" s="4">
        <f t="shared" si="366"/>
        <v>0.28393948637231203</v>
      </c>
      <c r="AF443" s="4">
        <f t="shared" si="366"/>
        <v>0.21097259161117732</v>
      </c>
      <c r="AG443" s="4">
        <f t="shared" si="366"/>
        <v>0.15253917653798199</v>
      </c>
      <c r="AH443" s="4">
        <f t="shared" si="366"/>
        <v>0.10795188737709993</v>
      </c>
      <c r="AI443" s="4">
        <f t="shared" si="366"/>
        <v>7.5176653938091809E-2</v>
      </c>
      <c r="AJ443" s="4">
        <f t="shared" si="366"/>
        <v>5.1742836177502194E-2</v>
      </c>
      <c r="AK443" s="4">
        <f t="shared" si="366"/>
        <v>3.5319190625345942E-2</v>
      </c>
      <c r="AL443" s="4">
        <f t="shared" si="366"/>
        <v>2.3969442072658165E-2</v>
      </c>
      <c r="AM443" s="4">
        <f t="shared" si="366"/>
        <v>1.6202243558389728E-2</v>
      </c>
      <c r="AN443" s="4">
        <f t="shared" si="366"/>
        <v>1.0922240564108399E-2</v>
      </c>
      <c r="AO443" s="4">
        <f t="shared" si="366"/>
        <v>7.3493212906090566E-3</v>
      </c>
      <c r="AP443" s="4">
        <f t="shared" si="366"/>
        <v>4.9390262185057265E-3</v>
      </c>
      <c r="AQ443" s="4">
        <f t="shared" si="366"/>
        <v>3.3164275492956197E-3</v>
      </c>
      <c r="AR443" s="4">
        <f t="shared" si="366"/>
        <v>2.2256362146679809E-3</v>
      </c>
    </row>
    <row r="444" spans="1:44" x14ac:dyDescent="0.3">
      <c r="A444" s="24" t="s">
        <v>37</v>
      </c>
      <c r="B444" s="60">
        <f>'Parameter Input'!B62</f>
        <v>70000</v>
      </c>
      <c r="C444" s="61">
        <f>'Parameter Input'!C62</f>
        <v>70000</v>
      </c>
      <c r="D444" s="1" t="s">
        <v>38</v>
      </c>
      <c r="L444" s="54">
        <f>'Parameter Input'!E62</f>
        <v>12</v>
      </c>
      <c r="M444" s="37">
        <v>0</v>
      </c>
      <c r="N444" s="37">
        <v>1</v>
      </c>
      <c r="O444" s="37">
        <f>'Parameter Input'!F62</f>
        <v>0.9</v>
      </c>
      <c r="P444" s="55">
        <f>'Parameter Input'!G62</f>
        <v>0.4</v>
      </c>
      <c r="Q444" s="4">
        <f t="shared" si="366"/>
        <v>0.9867978615748374</v>
      </c>
      <c r="R444" s="4">
        <f t="shared" si="366"/>
        <v>0.98114509762858249</v>
      </c>
      <c r="S444" s="4">
        <f t="shared" si="366"/>
        <v>0.97311898315872036</v>
      </c>
      <c r="T444" s="4">
        <f t="shared" si="366"/>
        <v>0.96177484161592774</v>
      </c>
      <c r="U444" s="4">
        <f t="shared" si="366"/>
        <v>0.94584787155511363</v>
      </c>
      <c r="V444" s="4">
        <f t="shared" si="366"/>
        <v>0.92370360150141495</v>
      </c>
      <c r="W444" s="4">
        <f t="shared" si="366"/>
        <v>0.89334463567658451</v>
      </c>
      <c r="X444" s="4">
        <f t="shared" si="366"/>
        <v>0.85254543874327005</v>
      </c>
      <c r="Y444" s="4">
        <f t="shared" si="366"/>
        <v>0.79921300652623883</v>
      </c>
      <c r="Z444" s="4">
        <f t="shared" si="366"/>
        <v>0.73204982249993378</v>
      </c>
      <c r="AA444" s="4">
        <f t="shared" si="366"/>
        <v>0.65145592958786691</v>
      </c>
      <c r="AB444" s="4">
        <f t="shared" si="366"/>
        <v>0.56032247880849573</v>
      </c>
      <c r="AC444" s="4">
        <f t="shared" si="366"/>
        <v>0.46411326873185343</v>
      </c>
      <c r="AD444" s="4">
        <f t="shared" si="366"/>
        <v>0.36979727595523937</v>
      </c>
      <c r="AE444" s="4">
        <f t="shared" si="366"/>
        <v>0.28393948637231203</v>
      </c>
      <c r="AF444" s="4">
        <f t="shared" si="366"/>
        <v>0.21097259161117732</v>
      </c>
      <c r="AG444" s="4">
        <f t="shared" si="366"/>
        <v>0.15253917653798199</v>
      </c>
      <c r="AH444" s="4">
        <f t="shared" si="366"/>
        <v>0.10795188737709993</v>
      </c>
      <c r="AI444" s="4">
        <f t="shared" si="366"/>
        <v>7.5176653938091809E-2</v>
      </c>
      <c r="AJ444" s="4">
        <f t="shared" si="366"/>
        <v>5.1742836177502194E-2</v>
      </c>
      <c r="AK444" s="4">
        <f t="shared" si="366"/>
        <v>3.5319190625345942E-2</v>
      </c>
      <c r="AL444" s="4">
        <f t="shared" si="366"/>
        <v>2.3969442072658165E-2</v>
      </c>
      <c r="AM444" s="4">
        <f t="shared" si="366"/>
        <v>1.6202243558389728E-2</v>
      </c>
      <c r="AN444" s="4">
        <f t="shared" si="366"/>
        <v>1.0922240564108399E-2</v>
      </c>
      <c r="AO444" s="4">
        <f t="shared" si="366"/>
        <v>7.3493212906090566E-3</v>
      </c>
      <c r="AP444" s="4">
        <f t="shared" si="366"/>
        <v>4.9390262185057265E-3</v>
      </c>
      <c r="AQ444" s="4">
        <f t="shared" si="366"/>
        <v>3.3164275492956197E-3</v>
      </c>
      <c r="AR444" s="4">
        <f t="shared" si="366"/>
        <v>2.2256362146679809E-3</v>
      </c>
    </row>
    <row r="445" spans="1:44" x14ac:dyDescent="0.3">
      <c r="A445" s="24" t="s">
        <v>52</v>
      </c>
      <c r="B445" s="43">
        <f>'Parameter Input'!$L$23</f>
        <v>15000</v>
      </c>
      <c r="C445" s="44">
        <f>'Parameter Input'!$M$23</f>
        <v>15000</v>
      </c>
      <c r="D445" s="1" t="s">
        <v>38</v>
      </c>
      <c r="L445" s="54">
        <f>'Parameter Input'!$O$23</f>
        <v>8</v>
      </c>
      <c r="M445" s="37">
        <v>0</v>
      </c>
      <c r="N445" s="37">
        <v>1</v>
      </c>
      <c r="O445" s="37">
        <f>'Parameter Input'!$P$23</f>
        <v>0.9</v>
      </c>
      <c r="P445" s="55">
        <f>'Parameter Input'!$Q$23</f>
        <v>0.4</v>
      </c>
      <c r="Q445" s="4">
        <f t="shared" si="366"/>
        <v>0.94584787155511363</v>
      </c>
      <c r="R445" s="4">
        <f t="shared" si="366"/>
        <v>0.92370360150141495</v>
      </c>
      <c r="S445" s="4">
        <f t="shared" si="366"/>
        <v>0.89334463567658451</v>
      </c>
      <c r="T445" s="4">
        <f t="shared" si="366"/>
        <v>0.85254543874327005</v>
      </c>
      <c r="U445" s="4">
        <f t="shared" si="366"/>
        <v>0.79921300652623883</v>
      </c>
      <c r="V445" s="4">
        <f t="shared" si="366"/>
        <v>0.73204982249993378</v>
      </c>
      <c r="W445" s="4">
        <f t="shared" si="366"/>
        <v>0.65145592958786691</v>
      </c>
      <c r="X445" s="4">
        <f t="shared" si="366"/>
        <v>0.56032247880849573</v>
      </c>
      <c r="Y445" s="4">
        <f t="shared" si="366"/>
        <v>0.46411326873185343</v>
      </c>
      <c r="Z445" s="4">
        <f t="shared" si="366"/>
        <v>0.36979727595523937</v>
      </c>
      <c r="AA445" s="4">
        <f t="shared" si="366"/>
        <v>0.28393948637231203</v>
      </c>
      <c r="AB445" s="4">
        <f t="shared" si="366"/>
        <v>0.21097259161117732</v>
      </c>
      <c r="AC445" s="4">
        <f t="shared" si="366"/>
        <v>0.15253917653798199</v>
      </c>
      <c r="AD445" s="4">
        <f t="shared" si="366"/>
        <v>0.10795188737709993</v>
      </c>
      <c r="AE445" s="4">
        <f t="shared" si="366"/>
        <v>7.5176653938091809E-2</v>
      </c>
      <c r="AF445" s="4">
        <f t="shared" si="366"/>
        <v>5.1742836177502194E-2</v>
      </c>
      <c r="AG445" s="4">
        <f t="shared" si="366"/>
        <v>3.5319190625345942E-2</v>
      </c>
      <c r="AH445" s="4">
        <f t="shared" si="366"/>
        <v>2.3969442072658165E-2</v>
      </c>
      <c r="AI445" s="4">
        <f t="shared" si="366"/>
        <v>1.6202243558389728E-2</v>
      </c>
      <c r="AJ445" s="4">
        <f t="shared" si="366"/>
        <v>1.0922240564108399E-2</v>
      </c>
      <c r="AK445" s="4">
        <f t="shared" si="366"/>
        <v>7.3493212906090566E-3</v>
      </c>
      <c r="AL445" s="4">
        <f t="shared" si="366"/>
        <v>4.9390262185057265E-3</v>
      </c>
      <c r="AM445" s="4">
        <f t="shared" si="366"/>
        <v>3.3164275492956197E-3</v>
      </c>
      <c r="AN445" s="4">
        <f t="shared" si="366"/>
        <v>2.2256362146679809E-3</v>
      </c>
      <c r="AO445" s="4">
        <f t="shared" si="366"/>
        <v>1.4930448704811861E-3</v>
      </c>
      <c r="AP445" s="4">
        <f t="shared" si="366"/>
        <v>1.0013381504474506E-3</v>
      </c>
      <c r="AQ445" s="4">
        <f t="shared" si="366"/>
        <v>6.7145100246257527E-4</v>
      </c>
      <c r="AR445" s="4">
        <f t="shared" si="366"/>
        <v>4.5019225748876845E-4</v>
      </c>
    </row>
    <row r="446" spans="1:44" x14ac:dyDescent="0.3">
      <c r="A446" s="24" t="s">
        <v>273</v>
      </c>
      <c r="B446" s="60">
        <f>'Parameter Input'!B67</f>
        <v>0.11</v>
      </c>
      <c r="C446" s="61">
        <f>'Parameter Input'!C67</f>
        <v>0.11</v>
      </c>
      <c r="D446" s="1" t="s">
        <v>76</v>
      </c>
      <c r="L446" s="54">
        <f>'Parameter Input'!E67</f>
        <v>12</v>
      </c>
      <c r="M446" s="37">
        <v>0</v>
      </c>
      <c r="N446" s="37">
        <v>1</v>
      </c>
      <c r="O446" s="37">
        <f>'Parameter Input'!F67</f>
        <v>0.9</v>
      </c>
      <c r="P446" s="55">
        <f>'Parameter Input'!G67</f>
        <v>0.4</v>
      </c>
      <c r="Q446" s="4">
        <f t="shared" si="366"/>
        <v>0.9867978615748374</v>
      </c>
      <c r="R446" s="4">
        <f t="shared" si="366"/>
        <v>0.98114509762858249</v>
      </c>
      <c r="S446" s="4">
        <f t="shared" si="366"/>
        <v>0.97311898315872036</v>
      </c>
      <c r="T446" s="4">
        <f t="shared" si="366"/>
        <v>0.96177484161592774</v>
      </c>
      <c r="U446" s="4">
        <f t="shared" si="366"/>
        <v>0.94584787155511363</v>
      </c>
      <c r="V446" s="4">
        <f t="shared" si="366"/>
        <v>0.92370360150141495</v>
      </c>
      <c r="W446" s="4">
        <f t="shared" si="366"/>
        <v>0.89334463567658451</v>
      </c>
      <c r="X446" s="4">
        <f t="shared" si="366"/>
        <v>0.85254543874327005</v>
      </c>
      <c r="Y446" s="4">
        <f t="shared" si="366"/>
        <v>0.79921300652623883</v>
      </c>
      <c r="Z446" s="4">
        <f t="shared" si="366"/>
        <v>0.73204982249993378</v>
      </c>
      <c r="AA446" s="4">
        <f t="shared" si="366"/>
        <v>0.65145592958786691</v>
      </c>
      <c r="AB446" s="4">
        <f t="shared" si="366"/>
        <v>0.56032247880849573</v>
      </c>
      <c r="AC446" s="4">
        <f t="shared" si="366"/>
        <v>0.46411326873185343</v>
      </c>
      <c r="AD446" s="4">
        <f t="shared" si="366"/>
        <v>0.36979727595523937</v>
      </c>
      <c r="AE446" s="4">
        <f t="shared" si="366"/>
        <v>0.28393948637231203</v>
      </c>
      <c r="AF446" s="4">
        <f t="shared" si="366"/>
        <v>0.21097259161117732</v>
      </c>
      <c r="AG446" s="4">
        <f t="shared" si="366"/>
        <v>0.15253917653798199</v>
      </c>
      <c r="AH446" s="4">
        <f t="shared" si="366"/>
        <v>0.10795188737709993</v>
      </c>
      <c r="AI446" s="4">
        <f t="shared" si="366"/>
        <v>7.5176653938091809E-2</v>
      </c>
      <c r="AJ446" s="4">
        <f t="shared" si="366"/>
        <v>5.1742836177502194E-2</v>
      </c>
      <c r="AK446" s="4">
        <f t="shared" si="366"/>
        <v>3.5319190625345942E-2</v>
      </c>
      <c r="AL446" s="4">
        <f t="shared" si="366"/>
        <v>2.3969442072658165E-2</v>
      </c>
      <c r="AM446" s="4">
        <f t="shared" si="366"/>
        <v>1.6202243558389728E-2</v>
      </c>
      <c r="AN446" s="4">
        <f t="shared" si="366"/>
        <v>1.0922240564108399E-2</v>
      </c>
      <c r="AO446" s="4">
        <f t="shared" si="366"/>
        <v>7.3493212906090566E-3</v>
      </c>
      <c r="AP446" s="4">
        <f t="shared" si="366"/>
        <v>4.9390262185057265E-3</v>
      </c>
      <c r="AQ446" s="4">
        <f t="shared" si="366"/>
        <v>3.3164275492956197E-3</v>
      </c>
      <c r="AR446" s="4">
        <f t="shared" si="366"/>
        <v>2.2256362146679809E-3</v>
      </c>
    </row>
    <row r="447" spans="1:44" x14ac:dyDescent="0.3">
      <c r="A447" s="24" t="s">
        <v>59</v>
      </c>
      <c r="B447" s="47">
        <f>'Parameter Input'!$L$24</f>
        <v>1.52</v>
      </c>
      <c r="C447" s="48">
        <f>'Parameter Input'!$M$24</f>
        <v>1.1499999999999999</v>
      </c>
      <c r="D447" s="1" t="s">
        <v>60</v>
      </c>
      <c r="L447" s="54">
        <f>'Parameter Input'!$O$24</f>
        <v>8</v>
      </c>
      <c r="M447" s="37">
        <v>0</v>
      </c>
      <c r="N447" s="37">
        <v>1</v>
      </c>
      <c r="O447" s="37">
        <f>'Parameter Input'!$P$24</f>
        <v>0.9</v>
      </c>
      <c r="P447" s="55">
        <f>'Parameter Input'!$Q$24</f>
        <v>0.4</v>
      </c>
      <c r="Q447" s="4">
        <f t="shared" si="366"/>
        <v>0.94584787155511363</v>
      </c>
      <c r="R447" s="4">
        <f t="shared" si="366"/>
        <v>0.92370360150141495</v>
      </c>
      <c r="S447" s="4">
        <f t="shared" si="366"/>
        <v>0.89334463567658451</v>
      </c>
      <c r="T447" s="4">
        <f t="shared" si="366"/>
        <v>0.85254543874327005</v>
      </c>
      <c r="U447" s="4">
        <f t="shared" si="366"/>
        <v>0.79921300652623883</v>
      </c>
      <c r="V447" s="4">
        <f t="shared" si="366"/>
        <v>0.73204982249993378</v>
      </c>
      <c r="W447" s="4">
        <f t="shared" si="366"/>
        <v>0.65145592958786691</v>
      </c>
      <c r="X447" s="4">
        <f t="shared" si="366"/>
        <v>0.56032247880849573</v>
      </c>
      <c r="Y447" s="4">
        <f t="shared" si="366"/>
        <v>0.46411326873185343</v>
      </c>
      <c r="Z447" s="4">
        <f t="shared" si="366"/>
        <v>0.36979727595523937</v>
      </c>
      <c r="AA447" s="4">
        <f t="shared" si="366"/>
        <v>0.28393948637231203</v>
      </c>
      <c r="AB447" s="4">
        <f t="shared" si="366"/>
        <v>0.21097259161117732</v>
      </c>
      <c r="AC447" s="4">
        <f t="shared" si="366"/>
        <v>0.15253917653798199</v>
      </c>
      <c r="AD447" s="4">
        <f t="shared" si="366"/>
        <v>0.10795188737709993</v>
      </c>
      <c r="AE447" s="4">
        <f t="shared" si="366"/>
        <v>7.5176653938091809E-2</v>
      </c>
      <c r="AF447" s="4">
        <f t="shared" si="366"/>
        <v>5.1742836177502194E-2</v>
      </c>
      <c r="AG447" s="4">
        <f t="shared" si="366"/>
        <v>3.5319190625345942E-2</v>
      </c>
      <c r="AH447" s="4">
        <f t="shared" si="366"/>
        <v>2.3969442072658165E-2</v>
      </c>
      <c r="AI447" s="4">
        <f t="shared" si="366"/>
        <v>1.6202243558389728E-2</v>
      </c>
      <c r="AJ447" s="4">
        <f t="shared" si="366"/>
        <v>1.0922240564108399E-2</v>
      </c>
      <c r="AK447" s="4">
        <f t="shared" si="366"/>
        <v>7.3493212906090566E-3</v>
      </c>
      <c r="AL447" s="4">
        <f t="shared" si="366"/>
        <v>4.9390262185057265E-3</v>
      </c>
      <c r="AM447" s="4">
        <f t="shared" si="366"/>
        <v>3.3164275492956197E-3</v>
      </c>
      <c r="AN447" s="4">
        <f t="shared" si="366"/>
        <v>2.2256362146679809E-3</v>
      </c>
      <c r="AO447" s="4">
        <f t="shared" si="366"/>
        <v>1.4930448704811861E-3</v>
      </c>
      <c r="AP447" s="4">
        <f t="shared" si="366"/>
        <v>1.0013381504474506E-3</v>
      </c>
      <c r="AQ447" s="4">
        <f t="shared" si="366"/>
        <v>6.7145100246257527E-4</v>
      </c>
      <c r="AR447" s="4">
        <f t="shared" si="366"/>
        <v>4.5019225748876845E-4</v>
      </c>
    </row>
    <row r="448" spans="1:44" x14ac:dyDescent="0.3">
      <c r="A448" s="24" t="s">
        <v>67</v>
      </c>
      <c r="B448" s="45">
        <f>'Parameter Input'!$L$25</f>
        <v>9.2586511082899101E-2</v>
      </c>
      <c r="C448" s="46">
        <f>'Parameter Input'!$M$25</f>
        <v>7.3304790352502799E-2</v>
      </c>
      <c r="D448" s="1" t="s">
        <v>68</v>
      </c>
      <c r="L448" s="54">
        <f>'Parameter Input'!$O$25</f>
        <v>12</v>
      </c>
      <c r="M448" s="37">
        <v>0</v>
      </c>
      <c r="N448" s="37">
        <v>1</v>
      </c>
      <c r="O448" s="37">
        <f>'Parameter Input'!$P$25</f>
        <v>0.9</v>
      </c>
      <c r="P448" s="55">
        <f>'Parameter Input'!$Q$25</f>
        <v>0.4</v>
      </c>
      <c r="Q448" s="4">
        <f t="shared" si="366"/>
        <v>0.9867978615748374</v>
      </c>
      <c r="R448" s="4">
        <f t="shared" si="366"/>
        <v>0.98114509762858249</v>
      </c>
      <c r="S448" s="4">
        <f t="shared" si="366"/>
        <v>0.97311898315872036</v>
      </c>
      <c r="T448" s="4">
        <f t="shared" ref="T448:AI455" si="367">$N448+($M448-$N448)*((1/(1+EXP(-$P448*(T$9-$L448)))^$O448))</f>
        <v>0.96177484161592774</v>
      </c>
      <c r="U448" s="4">
        <f t="shared" si="367"/>
        <v>0.94584787155511363</v>
      </c>
      <c r="V448" s="4">
        <f t="shared" si="367"/>
        <v>0.92370360150141495</v>
      </c>
      <c r="W448" s="4">
        <f t="shared" si="367"/>
        <v>0.89334463567658451</v>
      </c>
      <c r="X448" s="4">
        <f t="shared" si="367"/>
        <v>0.85254543874327005</v>
      </c>
      <c r="Y448" s="4">
        <f t="shared" si="367"/>
        <v>0.79921300652623883</v>
      </c>
      <c r="Z448" s="4">
        <f t="shared" si="367"/>
        <v>0.73204982249993378</v>
      </c>
      <c r="AA448" s="4">
        <f t="shared" si="367"/>
        <v>0.65145592958786691</v>
      </c>
      <c r="AB448" s="4">
        <f t="shared" si="367"/>
        <v>0.56032247880849573</v>
      </c>
      <c r="AC448" s="4">
        <f t="shared" si="367"/>
        <v>0.46411326873185343</v>
      </c>
      <c r="AD448" s="4">
        <f t="shared" si="367"/>
        <v>0.36979727595523937</v>
      </c>
      <c r="AE448" s="4">
        <f t="shared" si="367"/>
        <v>0.28393948637231203</v>
      </c>
      <c r="AF448" s="4">
        <f t="shared" si="367"/>
        <v>0.21097259161117732</v>
      </c>
      <c r="AG448" s="4">
        <f t="shared" si="367"/>
        <v>0.15253917653798199</v>
      </c>
      <c r="AH448" s="4">
        <f t="shared" si="367"/>
        <v>0.10795188737709993</v>
      </c>
      <c r="AI448" s="4">
        <f t="shared" si="367"/>
        <v>7.5176653938091809E-2</v>
      </c>
      <c r="AJ448" s="4">
        <f t="shared" ref="AJ448:AR455" si="368">$N448+($M448-$N448)*((1/(1+EXP(-$P448*(AJ$9-$L448)))^$O448))</f>
        <v>5.1742836177502194E-2</v>
      </c>
      <c r="AK448" s="4">
        <f t="shared" si="368"/>
        <v>3.5319190625345942E-2</v>
      </c>
      <c r="AL448" s="4">
        <f t="shared" si="368"/>
        <v>2.3969442072658165E-2</v>
      </c>
      <c r="AM448" s="4">
        <f t="shared" si="368"/>
        <v>1.6202243558389728E-2</v>
      </c>
      <c r="AN448" s="4">
        <f t="shared" si="368"/>
        <v>1.0922240564108399E-2</v>
      </c>
      <c r="AO448" s="4">
        <f t="shared" si="368"/>
        <v>7.3493212906090566E-3</v>
      </c>
      <c r="AP448" s="4">
        <f t="shared" si="368"/>
        <v>4.9390262185057265E-3</v>
      </c>
      <c r="AQ448" s="4">
        <f t="shared" si="368"/>
        <v>3.3164275492956197E-3</v>
      </c>
      <c r="AR448" s="4">
        <f t="shared" si="368"/>
        <v>2.2256362146679809E-3</v>
      </c>
    </row>
    <row r="449" spans="1:44" x14ac:dyDescent="0.3">
      <c r="A449" s="24" t="s">
        <v>206</v>
      </c>
      <c r="B449" s="115">
        <f>'Parameter Input'!$L$28</f>
        <v>3.5200000000000006E-3</v>
      </c>
      <c r="C449" s="116">
        <f>'Parameter Input'!$M$28</f>
        <v>0</v>
      </c>
      <c r="D449" s="1" t="s">
        <v>76</v>
      </c>
      <c r="L449" s="54">
        <f>'Parameter Input'!$O$28</f>
        <v>17</v>
      </c>
      <c r="M449" s="37">
        <v>0</v>
      </c>
      <c r="N449" s="37">
        <v>1</v>
      </c>
      <c r="O449" s="37">
        <f>'Parameter Input'!$P$28</f>
        <v>0.9</v>
      </c>
      <c r="P449" s="55">
        <f>'Parameter Input'!$Q$28</f>
        <v>0.4</v>
      </c>
      <c r="Q449" s="4">
        <f t="shared" ref="Q449:AR449" si="369">$N449+($M449-$N449)*((1/(1+EXP(-$P449*(Q$9-$L449)))^$O449))</f>
        <v>0.99780374543478534</v>
      </c>
      <c r="R449" s="4">
        <f t="shared" si="369"/>
        <v>0.99685359315256394</v>
      </c>
      <c r="S449" s="4">
        <f t="shared" si="369"/>
        <v>0.99549347132349975</v>
      </c>
      <c r="T449" s="4">
        <f t="shared" si="369"/>
        <v>0.99354772139898062</v>
      </c>
      <c r="U449" s="4">
        <f t="shared" si="369"/>
        <v>0.99076681540580536</v>
      </c>
      <c r="V449" s="4">
        <f t="shared" si="369"/>
        <v>0.9867978615748374</v>
      </c>
      <c r="W449" s="4">
        <f t="shared" si="369"/>
        <v>0.98114509762858249</v>
      </c>
      <c r="X449" s="4">
        <f t="shared" si="369"/>
        <v>0.97311898315872036</v>
      </c>
      <c r="Y449" s="4">
        <f t="shared" si="369"/>
        <v>0.96177484161592774</v>
      </c>
      <c r="Z449" s="4">
        <f t="shared" si="369"/>
        <v>0.94584787155511363</v>
      </c>
      <c r="AA449" s="4">
        <f t="shared" si="369"/>
        <v>0.92370360150141495</v>
      </c>
      <c r="AB449" s="4">
        <f t="shared" si="369"/>
        <v>0.89334463567658451</v>
      </c>
      <c r="AC449" s="4">
        <f t="shared" si="369"/>
        <v>0.85254543874327005</v>
      </c>
      <c r="AD449" s="4">
        <f t="shared" si="369"/>
        <v>0.79921300652623883</v>
      </c>
      <c r="AE449" s="4">
        <f t="shared" si="369"/>
        <v>0.73204982249993378</v>
      </c>
      <c r="AF449" s="4">
        <f t="shared" si="369"/>
        <v>0.65145592958786691</v>
      </c>
      <c r="AG449" s="4">
        <f t="shared" si="369"/>
        <v>0.56032247880849573</v>
      </c>
      <c r="AH449" s="4">
        <f t="shared" si="369"/>
        <v>0.46411326873185343</v>
      </c>
      <c r="AI449" s="4">
        <f t="shared" si="369"/>
        <v>0.36979727595523937</v>
      </c>
      <c r="AJ449" s="4">
        <f t="shared" si="369"/>
        <v>0.28393948637231203</v>
      </c>
      <c r="AK449" s="4">
        <f t="shared" si="369"/>
        <v>0.21097259161117732</v>
      </c>
      <c r="AL449" s="4">
        <f t="shared" si="369"/>
        <v>0.15253917653798199</v>
      </c>
      <c r="AM449" s="4">
        <f t="shared" si="369"/>
        <v>0.10795188737709993</v>
      </c>
      <c r="AN449" s="4">
        <f t="shared" si="369"/>
        <v>7.5176653938091809E-2</v>
      </c>
      <c r="AO449" s="4">
        <f t="shared" si="369"/>
        <v>5.1742836177502194E-2</v>
      </c>
      <c r="AP449" s="4">
        <f t="shared" si="369"/>
        <v>3.5319190625345942E-2</v>
      </c>
      <c r="AQ449" s="4">
        <f t="shared" si="369"/>
        <v>2.3969442072658165E-2</v>
      </c>
      <c r="AR449" s="4">
        <f t="shared" si="369"/>
        <v>1.6202243558389728E-2</v>
      </c>
    </row>
    <row r="450" spans="1:44" x14ac:dyDescent="0.3">
      <c r="A450" s="24" t="s">
        <v>41</v>
      </c>
      <c r="B450" s="43">
        <f>'Parameter Input'!$L$22</f>
        <v>8</v>
      </c>
      <c r="C450" s="44">
        <f>'Parameter Input'!$M$22</f>
        <v>8</v>
      </c>
      <c r="D450" s="1" t="s">
        <v>42</v>
      </c>
      <c r="L450" s="54">
        <f>'Parameter Input'!$O$22</f>
        <v>8</v>
      </c>
      <c r="M450" s="37">
        <v>0</v>
      </c>
      <c r="N450" s="37">
        <v>1</v>
      </c>
      <c r="O450" s="37">
        <f>'Parameter Input'!$P$22</f>
        <v>0.9</v>
      </c>
      <c r="P450" s="55">
        <f>'Parameter Input'!$Q$22</f>
        <v>0.4</v>
      </c>
      <c r="Q450" s="4">
        <f t="shared" ref="Q450:AF455" si="370">$N450+($M450-$N450)*((1/(1+EXP(-$P450*(Q$9-$L450)))^$O450))</f>
        <v>0.94584787155511363</v>
      </c>
      <c r="R450" s="4">
        <f t="shared" si="370"/>
        <v>0.92370360150141495</v>
      </c>
      <c r="S450" s="4">
        <f t="shared" si="370"/>
        <v>0.89334463567658451</v>
      </c>
      <c r="T450" s="4">
        <f t="shared" si="370"/>
        <v>0.85254543874327005</v>
      </c>
      <c r="U450" s="4">
        <f t="shared" si="370"/>
        <v>0.79921300652623883</v>
      </c>
      <c r="V450" s="4">
        <f t="shared" si="370"/>
        <v>0.73204982249993378</v>
      </c>
      <c r="W450" s="4">
        <f t="shared" si="370"/>
        <v>0.65145592958786691</v>
      </c>
      <c r="X450" s="4">
        <f t="shared" si="370"/>
        <v>0.56032247880849573</v>
      </c>
      <c r="Y450" s="4">
        <f t="shared" si="370"/>
        <v>0.46411326873185343</v>
      </c>
      <c r="Z450" s="4">
        <f t="shared" si="370"/>
        <v>0.36979727595523937</v>
      </c>
      <c r="AA450" s="4">
        <f t="shared" si="370"/>
        <v>0.28393948637231203</v>
      </c>
      <c r="AB450" s="4">
        <f t="shared" si="370"/>
        <v>0.21097259161117732</v>
      </c>
      <c r="AC450" s="4">
        <f t="shared" si="370"/>
        <v>0.15253917653798199</v>
      </c>
      <c r="AD450" s="4">
        <f t="shared" si="370"/>
        <v>0.10795188737709993</v>
      </c>
      <c r="AE450" s="4">
        <f t="shared" si="370"/>
        <v>7.5176653938091809E-2</v>
      </c>
      <c r="AF450" s="4">
        <f t="shared" si="370"/>
        <v>5.1742836177502194E-2</v>
      </c>
      <c r="AG450" s="4">
        <f t="shared" si="367"/>
        <v>3.5319190625345942E-2</v>
      </c>
      <c r="AH450" s="4">
        <f t="shared" si="367"/>
        <v>2.3969442072658165E-2</v>
      </c>
      <c r="AI450" s="4">
        <f t="shared" si="367"/>
        <v>1.6202243558389728E-2</v>
      </c>
      <c r="AJ450" s="4">
        <f t="shared" si="368"/>
        <v>1.0922240564108399E-2</v>
      </c>
      <c r="AK450" s="4">
        <f t="shared" si="368"/>
        <v>7.3493212906090566E-3</v>
      </c>
      <c r="AL450" s="4">
        <f t="shared" si="368"/>
        <v>4.9390262185057265E-3</v>
      </c>
      <c r="AM450" s="4">
        <f t="shared" si="368"/>
        <v>3.3164275492956197E-3</v>
      </c>
      <c r="AN450" s="4">
        <f t="shared" si="368"/>
        <v>2.2256362146679809E-3</v>
      </c>
      <c r="AO450" s="4">
        <f t="shared" si="368"/>
        <v>1.4930448704811861E-3</v>
      </c>
      <c r="AP450" s="4">
        <f t="shared" si="368"/>
        <v>1.0013381504474506E-3</v>
      </c>
      <c r="AQ450" s="4">
        <f t="shared" si="368"/>
        <v>6.7145100246257527E-4</v>
      </c>
      <c r="AR450" s="4">
        <f t="shared" si="368"/>
        <v>4.5019225748876845E-4</v>
      </c>
    </row>
    <row r="451" spans="1:44" x14ac:dyDescent="0.3">
      <c r="A451" s="24" t="s">
        <v>70</v>
      </c>
      <c r="B451" s="60">
        <f>'Parameter Input'!B66</f>
        <v>10</v>
      </c>
      <c r="C451" s="61">
        <f>'Parameter Input'!C66</f>
        <v>10</v>
      </c>
      <c r="D451" s="1" t="s">
        <v>42</v>
      </c>
      <c r="L451" s="54">
        <f>'Parameter Input'!E66</f>
        <v>12</v>
      </c>
      <c r="M451" s="37">
        <v>0</v>
      </c>
      <c r="N451" s="37">
        <v>1</v>
      </c>
      <c r="O451" s="37">
        <f>'Parameter Input'!F66</f>
        <v>0.9</v>
      </c>
      <c r="P451" s="55">
        <f>'Parameter Input'!G66</f>
        <v>0.4</v>
      </c>
      <c r="Q451" s="4">
        <f t="shared" si="370"/>
        <v>0.9867978615748374</v>
      </c>
      <c r="R451" s="4">
        <f t="shared" si="370"/>
        <v>0.98114509762858249</v>
      </c>
      <c r="S451" s="4">
        <f t="shared" si="370"/>
        <v>0.97311898315872036</v>
      </c>
      <c r="T451" s="4">
        <f t="shared" si="370"/>
        <v>0.96177484161592774</v>
      </c>
      <c r="U451" s="4">
        <f t="shared" si="370"/>
        <v>0.94584787155511363</v>
      </c>
      <c r="V451" s="4">
        <f t="shared" si="370"/>
        <v>0.92370360150141495</v>
      </c>
      <c r="W451" s="4">
        <f t="shared" si="370"/>
        <v>0.89334463567658451</v>
      </c>
      <c r="X451" s="4">
        <f t="shared" si="370"/>
        <v>0.85254543874327005</v>
      </c>
      <c r="Y451" s="4">
        <f t="shared" si="370"/>
        <v>0.79921300652623883</v>
      </c>
      <c r="Z451" s="4">
        <f t="shared" si="370"/>
        <v>0.73204982249993378</v>
      </c>
      <c r="AA451" s="4">
        <f t="shared" si="370"/>
        <v>0.65145592958786691</v>
      </c>
      <c r="AB451" s="4">
        <f t="shared" si="370"/>
        <v>0.56032247880849573</v>
      </c>
      <c r="AC451" s="4">
        <f t="shared" si="370"/>
        <v>0.46411326873185343</v>
      </c>
      <c r="AD451" s="4">
        <f t="shared" si="370"/>
        <v>0.36979727595523937</v>
      </c>
      <c r="AE451" s="4">
        <f t="shared" si="370"/>
        <v>0.28393948637231203</v>
      </c>
      <c r="AF451" s="4">
        <f t="shared" si="370"/>
        <v>0.21097259161117732</v>
      </c>
      <c r="AG451" s="4">
        <f t="shared" si="367"/>
        <v>0.15253917653798199</v>
      </c>
      <c r="AH451" s="4">
        <f t="shared" si="367"/>
        <v>0.10795188737709993</v>
      </c>
      <c r="AI451" s="4">
        <f t="shared" si="367"/>
        <v>7.5176653938091809E-2</v>
      </c>
      <c r="AJ451" s="4">
        <f t="shared" si="368"/>
        <v>5.1742836177502194E-2</v>
      </c>
      <c r="AK451" s="4">
        <f t="shared" si="368"/>
        <v>3.5319190625345942E-2</v>
      </c>
      <c r="AL451" s="4">
        <f t="shared" si="368"/>
        <v>2.3969442072658165E-2</v>
      </c>
      <c r="AM451" s="4">
        <f t="shared" si="368"/>
        <v>1.6202243558389728E-2</v>
      </c>
      <c r="AN451" s="4">
        <f t="shared" si="368"/>
        <v>1.0922240564108399E-2</v>
      </c>
      <c r="AO451" s="4">
        <f t="shared" si="368"/>
        <v>7.3493212906090566E-3</v>
      </c>
      <c r="AP451" s="4">
        <f t="shared" si="368"/>
        <v>4.9390262185057265E-3</v>
      </c>
      <c r="AQ451" s="4">
        <f t="shared" si="368"/>
        <v>3.3164275492956197E-3</v>
      </c>
      <c r="AR451" s="4">
        <f t="shared" si="368"/>
        <v>2.2256362146679809E-3</v>
      </c>
    </row>
    <row r="452" spans="1:44" x14ac:dyDescent="0.3">
      <c r="A452" s="24" t="s">
        <v>207</v>
      </c>
      <c r="B452" s="43">
        <f>'Parameter Input'!B63</f>
        <v>25</v>
      </c>
      <c r="C452" s="44">
        <f>'Parameter Input'!C63</f>
        <v>25</v>
      </c>
      <c r="D452" s="1" t="s">
        <v>49</v>
      </c>
      <c r="L452" s="54">
        <f>'Parameter Input'!E63</f>
        <v>12</v>
      </c>
      <c r="M452" s="37">
        <v>0</v>
      </c>
      <c r="N452" s="37">
        <v>1</v>
      </c>
      <c r="O452" s="37">
        <f>'Parameter Input'!F63</f>
        <v>0.9</v>
      </c>
      <c r="P452" s="55">
        <f>'Parameter Input'!G63</f>
        <v>0.4</v>
      </c>
      <c r="Q452" s="4">
        <f t="shared" si="370"/>
        <v>0.9867978615748374</v>
      </c>
      <c r="R452" s="4">
        <f t="shared" si="370"/>
        <v>0.98114509762858249</v>
      </c>
      <c r="S452" s="4">
        <f t="shared" si="370"/>
        <v>0.97311898315872036</v>
      </c>
      <c r="T452" s="4">
        <f t="shared" si="370"/>
        <v>0.96177484161592774</v>
      </c>
      <c r="U452" s="4">
        <f t="shared" si="370"/>
        <v>0.94584787155511363</v>
      </c>
      <c r="V452" s="4">
        <f t="shared" si="370"/>
        <v>0.92370360150141495</v>
      </c>
      <c r="W452" s="4">
        <f t="shared" si="370"/>
        <v>0.89334463567658451</v>
      </c>
      <c r="X452" s="4">
        <f t="shared" si="370"/>
        <v>0.85254543874327005</v>
      </c>
      <c r="Y452" s="4">
        <f t="shared" si="370"/>
        <v>0.79921300652623883</v>
      </c>
      <c r="Z452" s="4">
        <f t="shared" si="370"/>
        <v>0.73204982249993378</v>
      </c>
      <c r="AA452" s="4">
        <f t="shared" si="370"/>
        <v>0.65145592958786691</v>
      </c>
      <c r="AB452" s="4">
        <f t="shared" si="370"/>
        <v>0.56032247880849573</v>
      </c>
      <c r="AC452" s="4">
        <f t="shared" si="370"/>
        <v>0.46411326873185343</v>
      </c>
      <c r="AD452" s="4">
        <f t="shared" si="370"/>
        <v>0.36979727595523937</v>
      </c>
      <c r="AE452" s="4">
        <f t="shared" si="370"/>
        <v>0.28393948637231203</v>
      </c>
      <c r="AF452" s="4">
        <f t="shared" si="370"/>
        <v>0.21097259161117732</v>
      </c>
      <c r="AG452" s="4">
        <f t="shared" si="367"/>
        <v>0.15253917653798199</v>
      </c>
      <c r="AH452" s="4">
        <f t="shared" si="367"/>
        <v>0.10795188737709993</v>
      </c>
      <c r="AI452" s="4">
        <f t="shared" si="367"/>
        <v>7.5176653938091809E-2</v>
      </c>
      <c r="AJ452" s="4">
        <f t="shared" si="368"/>
        <v>5.1742836177502194E-2</v>
      </c>
      <c r="AK452" s="4">
        <f t="shared" si="368"/>
        <v>3.5319190625345942E-2</v>
      </c>
      <c r="AL452" s="4">
        <f t="shared" si="368"/>
        <v>2.3969442072658165E-2</v>
      </c>
      <c r="AM452" s="4">
        <f t="shared" si="368"/>
        <v>1.6202243558389728E-2</v>
      </c>
      <c r="AN452" s="4">
        <f t="shared" si="368"/>
        <v>1.0922240564108399E-2</v>
      </c>
      <c r="AO452" s="4">
        <f t="shared" si="368"/>
        <v>7.3493212906090566E-3</v>
      </c>
      <c r="AP452" s="4">
        <f t="shared" si="368"/>
        <v>4.9390262185057265E-3</v>
      </c>
      <c r="AQ452" s="4">
        <f t="shared" si="368"/>
        <v>3.3164275492956197E-3</v>
      </c>
      <c r="AR452" s="4">
        <f t="shared" si="368"/>
        <v>2.2256362146679809E-3</v>
      </c>
    </row>
    <row r="453" spans="1:44" x14ac:dyDescent="0.3">
      <c r="A453" s="24" t="s">
        <v>56</v>
      </c>
      <c r="B453" s="45">
        <f>'Parameter Input'!B64</f>
        <v>0.48</v>
      </c>
      <c r="C453" s="46">
        <f>'Parameter Input'!C64</f>
        <v>0.48</v>
      </c>
      <c r="D453" s="1" t="s">
        <v>57</v>
      </c>
      <c r="L453" s="54">
        <f>'Parameter Input'!E64</f>
        <v>12</v>
      </c>
      <c r="M453" s="37">
        <v>0</v>
      </c>
      <c r="N453" s="37">
        <v>1</v>
      </c>
      <c r="O453" s="37">
        <f>'Parameter Input'!F64</f>
        <v>0.9</v>
      </c>
      <c r="P453" s="55">
        <f>'Parameter Input'!G64</f>
        <v>0.4</v>
      </c>
      <c r="Q453" s="4">
        <f t="shared" si="370"/>
        <v>0.9867978615748374</v>
      </c>
      <c r="R453" s="4">
        <f t="shared" si="370"/>
        <v>0.98114509762858249</v>
      </c>
      <c r="S453" s="4">
        <f t="shared" si="370"/>
        <v>0.97311898315872036</v>
      </c>
      <c r="T453" s="4">
        <f t="shared" si="370"/>
        <v>0.96177484161592774</v>
      </c>
      <c r="U453" s="4">
        <f t="shared" si="370"/>
        <v>0.94584787155511363</v>
      </c>
      <c r="V453" s="4">
        <f t="shared" si="370"/>
        <v>0.92370360150141495</v>
      </c>
      <c r="W453" s="4">
        <f t="shared" si="370"/>
        <v>0.89334463567658451</v>
      </c>
      <c r="X453" s="4">
        <f t="shared" si="370"/>
        <v>0.85254543874327005</v>
      </c>
      <c r="Y453" s="4">
        <f t="shared" si="370"/>
        <v>0.79921300652623883</v>
      </c>
      <c r="Z453" s="4">
        <f t="shared" si="370"/>
        <v>0.73204982249993378</v>
      </c>
      <c r="AA453" s="4">
        <f t="shared" si="370"/>
        <v>0.65145592958786691</v>
      </c>
      <c r="AB453" s="4">
        <f t="shared" si="370"/>
        <v>0.56032247880849573</v>
      </c>
      <c r="AC453" s="4">
        <f t="shared" si="370"/>
        <v>0.46411326873185343</v>
      </c>
      <c r="AD453" s="4">
        <f t="shared" si="370"/>
        <v>0.36979727595523937</v>
      </c>
      <c r="AE453" s="4">
        <f t="shared" si="370"/>
        <v>0.28393948637231203</v>
      </c>
      <c r="AF453" s="4">
        <f t="shared" si="370"/>
        <v>0.21097259161117732</v>
      </c>
      <c r="AG453" s="4">
        <f t="shared" si="367"/>
        <v>0.15253917653798199</v>
      </c>
      <c r="AH453" s="4">
        <f t="shared" si="367"/>
        <v>0.10795188737709993</v>
      </c>
      <c r="AI453" s="4">
        <f t="shared" si="367"/>
        <v>7.5176653938091809E-2</v>
      </c>
      <c r="AJ453" s="4">
        <f t="shared" si="368"/>
        <v>5.1742836177502194E-2</v>
      </c>
      <c r="AK453" s="4">
        <f t="shared" si="368"/>
        <v>3.5319190625345942E-2</v>
      </c>
      <c r="AL453" s="4">
        <f t="shared" si="368"/>
        <v>2.3969442072658165E-2</v>
      </c>
      <c r="AM453" s="4">
        <f t="shared" si="368"/>
        <v>1.6202243558389728E-2</v>
      </c>
      <c r="AN453" s="4">
        <f t="shared" si="368"/>
        <v>1.0922240564108399E-2</v>
      </c>
      <c r="AO453" s="4">
        <f t="shared" si="368"/>
        <v>7.3493212906090566E-3</v>
      </c>
      <c r="AP453" s="4">
        <f t="shared" si="368"/>
        <v>4.9390262185057265E-3</v>
      </c>
      <c r="AQ453" s="4">
        <f t="shared" si="368"/>
        <v>3.3164275492956197E-3</v>
      </c>
      <c r="AR453" s="4">
        <f t="shared" si="368"/>
        <v>2.2256362146679809E-3</v>
      </c>
    </row>
    <row r="454" spans="1:44" x14ac:dyDescent="0.3">
      <c r="A454" s="24" t="s">
        <v>73</v>
      </c>
      <c r="B454" s="72">
        <f>'Parameter Input'!$L$26</f>
        <v>0.1</v>
      </c>
      <c r="C454" s="73">
        <f>'Parameter Input'!$M$26</f>
        <v>0.05</v>
      </c>
      <c r="D454" s="1" t="s">
        <v>57</v>
      </c>
      <c r="L454" s="54">
        <f>'Parameter Input'!$O$26</f>
        <v>12</v>
      </c>
      <c r="M454" s="37">
        <v>0</v>
      </c>
      <c r="N454" s="37">
        <v>1</v>
      </c>
      <c r="O454" s="37">
        <f>'Parameter Input'!$P$26</f>
        <v>0.9</v>
      </c>
      <c r="P454" s="55">
        <f>'Parameter Input'!$Q$26</f>
        <v>0.4</v>
      </c>
      <c r="Q454" s="4">
        <f t="shared" si="370"/>
        <v>0.9867978615748374</v>
      </c>
      <c r="R454" s="4">
        <f t="shared" si="370"/>
        <v>0.98114509762858249</v>
      </c>
      <c r="S454" s="4">
        <f t="shared" si="370"/>
        <v>0.97311898315872036</v>
      </c>
      <c r="T454" s="4">
        <f t="shared" si="370"/>
        <v>0.96177484161592774</v>
      </c>
      <c r="U454" s="4">
        <f t="shared" si="370"/>
        <v>0.94584787155511363</v>
      </c>
      <c r="V454" s="4">
        <f t="shared" si="370"/>
        <v>0.92370360150141495</v>
      </c>
      <c r="W454" s="4">
        <f t="shared" si="370"/>
        <v>0.89334463567658451</v>
      </c>
      <c r="X454" s="4">
        <f t="shared" si="370"/>
        <v>0.85254543874327005</v>
      </c>
      <c r="Y454" s="4">
        <f t="shared" si="370"/>
        <v>0.79921300652623883</v>
      </c>
      <c r="Z454" s="4">
        <f t="shared" si="370"/>
        <v>0.73204982249993378</v>
      </c>
      <c r="AA454" s="4">
        <f t="shared" si="370"/>
        <v>0.65145592958786691</v>
      </c>
      <c r="AB454" s="4">
        <f t="shared" si="370"/>
        <v>0.56032247880849573</v>
      </c>
      <c r="AC454" s="4">
        <f t="shared" si="370"/>
        <v>0.46411326873185343</v>
      </c>
      <c r="AD454" s="4">
        <f t="shared" si="370"/>
        <v>0.36979727595523937</v>
      </c>
      <c r="AE454" s="4">
        <f t="shared" si="370"/>
        <v>0.28393948637231203</v>
      </c>
      <c r="AF454" s="4">
        <f t="shared" si="370"/>
        <v>0.21097259161117732</v>
      </c>
      <c r="AG454" s="4">
        <f t="shared" si="367"/>
        <v>0.15253917653798199</v>
      </c>
      <c r="AH454" s="4">
        <f t="shared" si="367"/>
        <v>0.10795188737709993</v>
      </c>
      <c r="AI454" s="4">
        <f t="shared" si="367"/>
        <v>7.5176653938091809E-2</v>
      </c>
      <c r="AJ454" s="4">
        <f t="shared" si="368"/>
        <v>5.1742836177502194E-2</v>
      </c>
      <c r="AK454" s="4">
        <f t="shared" si="368"/>
        <v>3.5319190625345942E-2</v>
      </c>
      <c r="AL454" s="4">
        <f t="shared" si="368"/>
        <v>2.3969442072658165E-2</v>
      </c>
      <c r="AM454" s="4">
        <f t="shared" si="368"/>
        <v>1.6202243558389728E-2</v>
      </c>
      <c r="AN454" s="4">
        <f t="shared" si="368"/>
        <v>1.0922240564108399E-2</v>
      </c>
      <c r="AO454" s="4">
        <f t="shared" si="368"/>
        <v>7.3493212906090566E-3</v>
      </c>
      <c r="AP454" s="4">
        <f t="shared" si="368"/>
        <v>4.9390262185057265E-3</v>
      </c>
      <c r="AQ454" s="4">
        <f t="shared" si="368"/>
        <v>3.3164275492956197E-3</v>
      </c>
      <c r="AR454" s="4">
        <f t="shared" si="368"/>
        <v>2.2256362146679809E-3</v>
      </c>
    </row>
    <row r="455" spans="1:44" ht="15" thickBot="1" x14ac:dyDescent="0.35">
      <c r="A455" s="24" t="s">
        <v>64</v>
      </c>
      <c r="B455" s="49">
        <f>'Parameter Input'!B65</f>
        <v>90000</v>
      </c>
      <c r="C455" s="50">
        <f>'Parameter Input'!C65</f>
        <v>90000</v>
      </c>
      <c r="D455" s="1" t="s">
        <v>65</v>
      </c>
      <c r="L455" s="56">
        <f>'Parameter Input'!E65</f>
        <v>12</v>
      </c>
      <c r="M455" s="57">
        <v>0</v>
      </c>
      <c r="N455" s="57">
        <v>1</v>
      </c>
      <c r="O455" s="57">
        <f>'Parameter Input'!F65</f>
        <v>0.9</v>
      </c>
      <c r="P455" s="58">
        <f>'Parameter Input'!G65</f>
        <v>0.4</v>
      </c>
      <c r="Q455" s="4">
        <f t="shared" si="370"/>
        <v>0.9867978615748374</v>
      </c>
      <c r="R455" s="4">
        <f t="shared" si="370"/>
        <v>0.98114509762858249</v>
      </c>
      <c r="S455" s="4">
        <f t="shared" si="370"/>
        <v>0.97311898315872036</v>
      </c>
      <c r="T455" s="4">
        <f t="shared" si="370"/>
        <v>0.96177484161592774</v>
      </c>
      <c r="U455" s="4">
        <f t="shared" si="370"/>
        <v>0.94584787155511363</v>
      </c>
      <c r="V455" s="4">
        <f t="shared" si="370"/>
        <v>0.92370360150141495</v>
      </c>
      <c r="W455" s="4">
        <f t="shared" si="370"/>
        <v>0.89334463567658451</v>
      </c>
      <c r="X455" s="4">
        <f t="shared" si="370"/>
        <v>0.85254543874327005</v>
      </c>
      <c r="Y455" s="4">
        <f t="shared" si="370"/>
        <v>0.79921300652623883</v>
      </c>
      <c r="Z455" s="4">
        <f t="shared" si="370"/>
        <v>0.73204982249993378</v>
      </c>
      <c r="AA455" s="4">
        <f t="shared" si="370"/>
        <v>0.65145592958786691</v>
      </c>
      <c r="AB455" s="4">
        <f t="shared" si="370"/>
        <v>0.56032247880849573</v>
      </c>
      <c r="AC455" s="4">
        <f t="shared" si="370"/>
        <v>0.46411326873185343</v>
      </c>
      <c r="AD455" s="4">
        <f t="shared" si="370"/>
        <v>0.36979727595523937</v>
      </c>
      <c r="AE455" s="4">
        <f t="shared" si="370"/>
        <v>0.28393948637231203</v>
      </c>
      <c r="AF455" s="4">
        <f t="shared" si="370"/>
        <v>0.21097259161117732</v>
      </c>
      <c r="AG455" s="4">
        <f t="shared" si="367"/>
        <v>0.15253917653798199</v>
      </c>
      <c r="AH455" s="4">
        <f t="shared" si="367"/>
        <v>0.10795188737709993</v>
      </c>
      <c r="AI455" s="4">
        <f t="shared" si="367"/>
        <v>7.5176653938091809E-2</v>
      </c>
      <c r="AJ455" s="4">
        <f t="shared" si="368"/>
        <v>5.1742836177502194E-2</v>
      </c>
      <c r="AK455" s="4">
        <f t="shared" si="368"/>
        <v>3.5319190625345942E-2</v>
      </c>
      <c r="AL455" s="4">
        <f t="shared" si="368"/>
        <v>2.3969442072658165E-2</v>
      </c>
      <c r="AM455" s="4">
        <f t="shared" si="368"/>
        <v>1.6202243558389728E-2</v>
      </c>
      <c r="AN455" s="4">
        <f t="shared" si="368"/>
        <v>1.0922240564108399E-2</v>
      </c>
      <c r="AO455" s="4">
        <f t="shared" si="368"/>
        <v>7.3493212906090566E-3</v>
      </c>
      <c r="AP455" s="4">
        <f t="shared" si="368"/>
        <v>4.9390262185057265E-3</v>
      </c>
      <c r="AQ455" s="4">
        <f t="shared" si="368"/>
        <v>3.3164275492956197E-3</v>
      </c>
      <c r="AR455" s="4">
        <f t="shared" si="368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68" si="371">A439</f>
        <v>Capex vehicle</v>
      </c>
      <c r="B459" s="62">
        <f t="shared" ref="B459:B468" si="372">$B439+($C439-$B439)*(1-Q439)</f>
        <v>386191.20724655397</v>
      </c>
      <c r="C459" s="62">
        <f t="shared" ref="C459:C468" si="373">$B439+($C439-$B439)*(1-R439)</f>
        <v>380544.41838286084</v>
      </c>
      <c r="D459" s="62">
        <f t="shared" ref="D459:D468" si="374">$B439+($C439-$B439)*(1-S439)</f>
        <v>372802.88209752907</v>
      </c>
      <c r="E459" s="62">
        <f t="shared" ref="E459:E468" si="375">$B439+($C439-$B439)*(1-T439)</f>
        <v>362399.08687953383</v>
      </c>
      <c r="F459" s="62">
        <f t="shared" ref="F459:F468" si="376">$B439+($C439-$B439)*(1-U439)</f>
        <v>348799.3166641909</v>
      </c>
      <c r="G459" s="62">
        <f t="shared" ref="G459:G468" si="377">$B439+($C439-$B439)*(1-V439)</f>
        <v>331672.70473748312</v>
      </c>
      <c r="H459" s="62">
        <f t="shared" ref="H459:H468" si="378">$B439+($C439-$B439)*(1-W439)</f>
        <v>311121.26204490603</v>
      </c>
      <c r="I459" s="62">
        <f t="shared" ref="I459:I468" si="379">$B439+($C439-$B439)*(1-X439)</f>
        <v>287882.23209616641</v>
      </c>
      <c r="J459" s="62">
        <f t="shared" ref="J459:J468" si="380">$B439+($C439-$B439)*(1-Y439)</f>
        <v>263348.88352662267</v>
      </c>
      <c r="K459" s="62">
        <f t="shared" ref="K459:K468" si="381">$B439+($C439-$B439)*(1-Z439)</f>
        <v>239298.30536858604</v>
      </c>
      <c r="L459" s="62">
        <f t="shared" ref="L459:L468" si="382">$B439+($C439-$B439)*(1-AA439)</f>
        <v>217404.56902493956</v>
      </c>
      <c r="M459" s="62">
        <f t="shared" ref="M459:M468" si="383">$B439+($C439-$B439)*(1-AB439)</f>
        <v>198798.01086085022</v>
      </c>
      <c r="N459" s="62">
        <f t="shared" ref="N459:N468" si="384">$B439+($C439-$B439)*(1-AC439)</f>
        <v>183897.4900171854</v>
      </c>
      <c r="O459" s="62">
        <f t="shared" ref="O459:O468" si="385">$B439+($C439-$B439)*(1-AD439)</f>
        <v>172527.73128116049</v>
      </c>
      <c r="P459" s="62">
        <f t="shared" ref="P459:P468" si="386">$B439+($C439-$B439)*(1-AE439)</f>
        <v>164170.0467542134</v>
      </c>
      <c r="Q459" s="62">
        <f t="shared" ref="Q459:Q468" si="387">$B439+($C439-$B439)*(1-AF439)</f>
        <v>158194.42322526305</v>
      </c>
      <c r="R459" s="62">
        <f t="shared" ref="R459:R468" si="388">$B439+($C439-$B439)*(1-AG439)</f>
        <v>154006.39360946321</v>
      </c>
      <c r="S459" s="62">
        <f t="shared" ref="S459:S468" si="389">$B439+($C439-$B439)*(1-AH439)</f>
        <v>151112.20772852784</v>
      </c>
      <c r="T459" s="62">
        <f t="shared" ref="T459:T468" si="390">$B439+($C439-$B439)*(1-AI439)</f>
        <v>149131.57210738939</v>
      </c>
      <c r="U459" s="62">
        <f t="shared" ref="U459:U468" si="391">$B439+($C439-$B439)*(1-AJ439)</f>
        <v>147785.17134384764</v>
      </c>
      <c r="V459" s="62">
        <f t="shared" ref="V459:V468" si="392">$B439+($C439-$B439)*(1-AK439)</f>
        <v>146874.0769291053</v>
      </c>
      <c r="W459" s="62">
        <f t="shared" ref="W459:W468" si="393">$B439+($C439-$B439)*(1-AL439)</f>
        <v>146259.45168571896</v>
      </c>
      <c r="X459" s="62">
        <f t="shared" ref="X459:X468" si="394">$B439+($C439-$B439)*(1-AM439)</f>
        <v>145845.68902507037</v>
      </c>
      <c r="Y459" s="62">
        <f t="shared" ref="Y459:Y468" si="395">$B439+($C439-$B439)*(1-AN439)</f>
        <v>145567.53723474033</v>
      </c>
      <c r="Z459" s="62">
        <f t="shared" ref="Z459:Z468" si="396">$B439+($C439-$B439)*(1-AO439)</f>
        <v>145380.72644197271</v>
      </c>
      <c r="AA459" s="62">
        <f t="shared" ref="AA459:AA468" si="397">$B439+($C439-$B439)*(1-AP439)</f>
        <v>145255.34122836409</v>
      </c>
      <c r="AB459" s="62">
        <f t="shared" ref="AB459:AB468" si="398">$B439+($C439-$B439)*(1-AQ439)</f>
        <v>145171.22000562795</v>
      </c>
      <c r="AC459" s="62">
        <f t="shared" ref="AC459:AC468" si="399">$B439+($C439-$B439)*(1-AR439)</f>
        <v>145114.79902565962</v>
      </c>
    </row>
    <row r="460" spans="1:44" x14ac:dyDescent="0.3">
      <c r="A460" s="30" t="str">
        <f t="shared" si="371"/>
        <v>Residual value (vehicle)</v>
      </c>
      <c r="B460" s="62">
        <f t="shared" si="372"/>
        <v>-58713.886949433945</v>
      </c>
      <c r="C460" s="62">
        <f t="shared" si="373"/>
        <v>-58187.960535658603</v>
      </c>
      <c r="D460" s="62">
        <f t="shared" si="374"/>
        <v>-57466.935097318885</v>
      </c>
      <c r="E460" s="62">
        <f t="shared" si="375"/>
        <v>-56497.954170152661</v>
      </c>
      <c r="F460" s="62">
        <f t="shared" si="376"/>
        <v>-55231.308904998172</v>
      </c>
      <c r="G460" s="62">
        <f t="shared" si="377"/>
        <v>-53636.18328437343</v>
      </c>
      <c r="H460" s="62">
        <f t="shared" si="378"/>
        <v>-51722.078327711839</v>
      </c>
      <c r="I460" s="62">
        <f t="shared" si="379"/>
        <v>-49557.658871701773</v>
      </c>
      <c r="J460" s="62">
        <f t="shared" si="380"/>
        <v>-47272.690132381518</v>
      </c>
      <c r="K460" s="62">
        <f t="shared" si="381"/>
        <v>-45032.685303936931</v>
      </c>
      <c r="L460" s="62">
        <f t="shared" si="382"/>
        <v>-42993.562801342414</v>
      </c>
      <c r="M460" s="62">
        <f t="shared" si="383"/>
        <v>-41260.599050765464</v>
      </c>
      <c r="N460" s="62">
        <f t="shared" si="384"/>
        <v>-39872.805442777069</v>
      </c>
      <c r="O460" s="62">
        <f t="shared" si="385"/>
        <v>-38813.857325206125</v>
      </c>
      <c r="P460" s="62">
        <f t="shared" si="386"/>
        <v>-38035.445531029676</v>
      </c>
      <c r="Q460" s="62">
        <f t="shared" si="387"/>
        <v>-37478.892359215679</v>
      </c>
      <c r="R460" s="62">
        <f t="shared" si="388"/>
        <v>-37088.830777351963</v>
      </c>
      <c r="S460" s="62">
        <f t="shared" si="389"/>
        <v>-36819.274249225637</v>
      </c>
      <c r="T460" s="62">
        <f t="shared" si="390"/>
        <v>-36634.803284511756</v>
      </c>
      <c r="U460" s="62">
        <f t="shared" si="391"/>
        <v>-36509.403213397571</v>
      </c>
      <c r="V460" s="62">
        <f t="shared" si="392"/>
        <v>-36424.546380651969</v>
      </c>
      <c r="W460" s="62">
        <f t="shared" si="393"/>
        <v>-36367.30187268951</v>
      </c>
      <c r="X460" s="62">
        <f t="shared" si="394"/>
        <v>-36328.765154295776</v>
      </c>
      <c r="Y460" s="62">
        <f t="shared" si="395"/>
        <v>-36302.858860098364</v>
      </c>
      <c r="Z460" s="62">
        <f t="shared" si="396"/>
        <v>-36285.459815673923</v>
      </c>
      <c r="AA460" s="62">
        <f t="shared" si="397"/>
        <v>-36273.781781073129</v>
      </c>
      <c r="AB460" s="62">
        <f t="shared" si="398"/>
        <v>-36265.946961308488</v>
      </c>
      <c r="AC460" s="62">
        <f t="shared" si="399"/>
        <v>-36260.692066115356</v>
      </c>
    </row>
    <row r="461" spans="1:44" x14ac:dyDescent="0.3">
      <c r="A461" s="30" t="str">
        <f t="shared" si="371"/>
        <v>Capex costumization</v>
      </c>
      <c r="B461" s="62">
        <f t="shared" si="372"/>
        <v>35000</v>
      </c>
      <c r="C461" s="62">
        <f t="shared" si="373"/>
        <v>35000</v>
      </c>
      <c r="D461" s="62">
        <f t="shared" si="374"/>
        <v>35000</v>
      </c>
      <c r="E461" s="62">
        <f t="shared" si="375"/>
        <v>35000</v>
      </c>
      <c r="F461" s="62">
        <f t="shared" si="376"/>
        <v>35000</v>
      </c>
      <c r="G461" s="62">
        <f t="shared" si="377"/>
        <v>35000</v>
      </c>
      <c r="H461" s="62">
        <f t="shared" si="378"/>
        <v>35000</v>
      </c>
      <c r="I461" s="62">
        <f t="shared" si="379"/>
        <v>35000</v>
      </c>
      <c r="J461" s="62">
        <f t="shared" si="380"/>
        <v>35000</v>
      </c>
      <c r="K461" s="62">
        <f t="shared" si="381"/>
        <v>35000</v>
      </c>
      <c r="L461" s="62">
        <f t="shared" si="382"/>
        <v>35000</v>
      </c>
      <c r="M461" s="62">
        <f t="shared" si="383"/>
        <v>35000</v>
      </c>
      <c r="N461" s="62">
        <f t="shared" si="384"/>
        <v>35000</v>
      </c>
      <c r="O461" s="62">
        <f t="shared" si="385"/>
        <v>35000</v>
      </c>
      <c r="P461" s="62">
        <f t="shared" si="386"/>
        <v>35000</v>
      </c>
      <c r="Q461" s="62">
        <f t="shared" si="387"/>
        <v>35000</v>
      </c>
      <c r="R461" s="62">
        <f t="shared" si="388"/>
        <v>35000</v>
      </c>
      <c r="S461" s="62">
        <f t="shared" si="389"/>
        <v>35000</v>
      </c>
      <c r="T461" s="62">
        <f t="shared" si="390"/>
        <v>35000</v>
      </c>
      <c r="U461" s="62">
        <f t="shared" si="391"/>
        <v>35000</v>
      </c>
      <c r="V461" s="62">
        <f t="shared" si="392"/>
        <v>35000</v>
      </c>
      <c r="W461" s="62">
        <f t="shared" si="393"/>
        <v>35000</v>
      </c>
      <c r="X461" s="62">
        <f t="shared" si="394"/>
        <v>35000</v>
      </c>
      <c r="Y461" s="62">
        <f t="shared" si="395"/>
        <v>35000</v>
      </c>
      <c r="Z461" s="62">
        <f t="shared" si="396"/>
        <v>35000</v>
      </c>
      <c r="AA461" s="62">
        <f t="shared" si="397"/>
        <v>35000</v>
      </c>
      <c r="AB461" s="62">
        <f t="shared" si="398"/>
        <v>35000</v>
      </c>
      <c r="AC461" s="62">
        <f t="shared" si="399"/>
        <v>35000</v>
      </c>
    </row>
    <row r="462" spans="1:44" x14ac:dyDescent="0.3">
      <c r="A462" s="30" t="str">
        <f t="shared" si="371"/>
        <v>Residual value (costumization)</v>
      </c>
      <c r="B462" s="62">
        <f t="shared" si="372"/>
        <v>-8750</v>
      </c>
      <c r="C462" s="62">
        <f t="shared" si="373"/>
        <v>-8750</v>
      </c>
      <c r="D462" s="62">
        <f t="shared" si="374"/>
        <v>-8750</v>
      </c>
      <c r="E462" s="62">
        <f t="shared" si="375"/>
        <v>-8750</v>
      </c>
      <c r="F462" s="62">
        <f t="shared" si="376"/>
        <v>-8750</v>
      </c>
      <c r="G462" s="62">
        <f t="shared" si="377"/>
        <v>-8750</v>
      </c>
      <c r="H462" s="62">
        <f t="shared" si="378"/>
        <v>-8750</v>
      </c>
      <c r="I462" s="62">
        <f t="shared" si="379"/>
        <v>-8750</v>
      </c>
      <c r="J462" s="62">
        <f t="shared" si="380"/>
        <v>-8750</v>
      </c>
      <c r="K462" s="62">
        <f t="shared" si="381"/>
        <v>-8750</v>
      </c>
      <c r="L462" s="62">
        <f t="shared" si="382"/>
        <v>-8750</v>
      </c>
      <c r="M462" s="62">
        <f t="shared" si="383"/>
        <v>-8750</v>
      </c>
      <c r="N462" s="62">
        <f t="shared" si="384"/>
        <v>-8750</v>
      </c>
      <c r="O462" s="62">
        <f t="shared" si="385"/>
        <v>-8750</v>
      </c>
      <c r="P462" s="62">
        <f t="shared" si="386"/>
        <v>-8750</v>
      </c>
      <c r="Q462" s="62">
        <f t="shared" si="387"/>
        <v>-8750</v>
      </c>
      <c r="R462" s="62">
        <f t="shared" si="388"/>
        <v>-8750</v>
      </c>
      <c r="S462" s="62">
        <f t="shared" si="389"/>
        <v>-8750</v>
      </c>
      <c r="T462" s="62">
        <f t="shared" si="390"/>
        <v>-8750</v>
      </c>
      <c r="U462" s="62">
        <f t="shared" si="391"/>
        <v>-8750</v>
      </c>
      <c r="V462" s="62">
        <f t="shared" si="392"/>
        <v>-8750</v>
      </c>
      <c r="W462" s="62">
        <f t="shared" si="393"/>
        <v>-8750</v>
      </c>
      <c r="X462" s="62">
        <f t="shared" si="394"/>
        <v>-8750</v>
      </c>
      <c r="Y462" s="62">
        <f t="shared" si="395"/>
        <v>-8750</v>
      </c>
      <c r="Z462" s="62">
        <f t="shared" si="396"/>
        <v>-8750</v>
      </c>
      <c r="AA462" s="62">
        <f t="shared" si="397"/>
        <v>-8750</v>
      </c>
      <c r="AB462" s="62">
        <f t="shared" si="398"/>
        <v>-8750</v>
      </c>
      <c r="AC462" s="62">
        <f t="shared" si="399"/>
        <v>-8750</v>
      </c>
    </row>
    <row r="463" spans="1:44" x14ac:dyDescent="0.3">
      <c r="A463" s="30" t="str">
        <f t="shared" si="371"/>
        <v>WACC</v>
      </c>
      <c r="B463" s="62">
        <f t="shared" si="372"/>
        <v>0.06</v>
      </c>
      <c r="C463" s="62">
        <f t="shared" si="373"/>
        <v>0.06</v>
      </c>
      <c r="D463" s="62">
        <f t="shared" si="374"/>
        <v>0.06</v>
      </c>
      <c r="E463" s="62">
        <f t="shared" si="375"/>
        <v>0.06</v>
      </c>
      <c r="F463" s="62">
        <f t="shared" si="376"/>
        <v>0.06</v>
      </c>
      <c r="G463" s="62">
        <f t="shared" si="377"/>
        <v>0.06</v>
      </c>
      <c r="H463" s="62">
        <f t="shared" si="378"/>
        <v>0.06</v>
      </c>
      <c r="I463" s="62">
        <f t="shared" si="379"/>
        <v>0.06</v>
      </c>
      <c r="J463" s="62">
        <f t="shared" si="380"/>
        <v>0.06</v>
      </c>
      <c r="K463" s="62">
        <f t="shared" si="381"/>
        <v>0.06</v>
      </c>
      <c r="L463" s="62">
        <f t="shared" si="382"/>
        <v>0.06</v>
      </c>
      <c r="M463" s="62">
        <f t="shared" si="383"/>
        <v>0.06</v>
      </c>
      <c r="N463" s="62">
        <f t="shared" si="384"/>
        <v>0.06</v>
      </c>
      <c r="O463" s="62">
        <f t="shared" si="385"/>
        <v>0.06</v>
      </c>
      <c r="P463" s="62">
        <f t="shared" si="386"/>
        <v>0.06</v>
      </c>
      <c r="Q463" s="62">
        <f t="shared" si="387"/>
        <v>0.06</v>
      </c>
      <c r="R463" s="62">
        <f t="shared" si="388"/>
        <v>0.06</v>
      </c>
      <c r="S463" s="62">
        <f t="shared" si="389"/>
        <v>0.06</v>
      </c>
      <c r="T463" s="62">
        <f t="shared" si="390"/>
        <v>0.06</v>
      </c>
      <c r="U463" s="62">
        <f t="shared" si="391"/>
        <v>0.06</v>
      </c>
      <c r="V463" s="62">
        <f t="shared" si="392"/>
        <v>0.06</v>
      </c>
      <c r="W463" s="62">
        <f t="shared" si="393"/>
        <v>0.06</v>
      </c>
      <c r="X463" s="62">
        <f t="shared" si="394"/>
        <v>0.06</v>
      </c>
      <c r="Y463" s="62">
        <f t="shared" si="395"/>
        <v>0.06</v>
      </c>
      <c r="Z463" s="62">
        <f t="shared" si="396"/>
        <v>0.06</v>
      </c>
      <c r="AA463" s="62">
        <f t="shared" si="397"/>
        <v>0.06</v>
      </c>
      <c r="AB463" s="62">
        <f t="shared" si="398"/>
        <v>0.06</v>
      </c>
      <c r="AC463" s="62">
        <f t="shared" si="399"/>
        <v>0.06</v>
      </c>
    </row>
    <row r="464" spans="1:44" x14ac:dyDescent="0.3">
      <c r="A464" s="30" t="str">
        <f t="shared" si="371"/>
        <v>Opex fix (admin, crew, insurance)</v>
      </c>
      <c r="B464" s="62">
        <f t="shared" si="372"/>
        <v>70000</v>
      </c>
      <c r="C464" s="62">
        <f t="shared" si="373"/>
        <v>70000</v>
      </c>
      <c r="D464" s="62">
        <f t="shared" si="374"/>
        <v>70000</v>
      </c>
      <c r="E464" s="62">
        <f t="shared" si="375"/>
        <v>70000</v>
      </c>
      <c r="F464" s="62">
        <f t="shared" si="376"/>
        <v>70000</v>
      </c>
      <c r="G464" s="62">
        <f t="shared" si="377"/>
        <v>70000</v>
      </c>
      <c r="H464" s="62">
        <f t="shared" si="378"/>
        <v>70000</v>
      </c>
      <c r="I464" s="62">
        <f t="shared" si="379"/>
        <v>70000</v>
      </c>
      <c r="J464" s="62">
        <f t="shared" si="380"/>
        <v>70000</v>
      </c>
      <c r="K464" s="62">
        <f t="shared" si="381"/>
        <v>70000</v>
      </c>
      <c r="L464" s="62">
        <f t="shared" si="382"/>
        <v>70000</v>
      </c>
      <c r="M464" s="62">
        <f t="shared" si="383"/>
        <v>70000</v>
      </c>
      <c r="N464" s="62">
        <f t="shared" si="384"/>
        <v>70000</v>
      </c>
      <c r="O464" s="62">
        <f t="shared" si="385"/>
        <v>70000</v>
      </c>
      <c r="P464" s="62">
        <f t="shared" si="386"/>
        <v>70000</v>
      </c>
      <c r="Q464" s="62">
        <f t="shared" si="387"/>
        <v>70000</v>
      </c>
      <c r="R464" s="62">
        <f t="shared" si="388"/>
        <v>70000</v>
      </c>
      <c r="S464" s="62">
        <f t="shared" si="389"/>
        <v>70000</v>
      </c>
      <c r="T464" s="62">
        <f t="shared" si="390"/>
        <v>70000</v>
      </c>
      <c r="U464" s="62">
        <f t="shared" si="391"/>
        <v>70000</v>
      </c>
      <c r="V464" s="62">
        <f t="shared" si="392"/>
        <v>70000</v>
      </c>
      <c r="W464" s="62">
        <f t="shared" si="393"/>
        <v>70000</v>
      </c>
      <c r="X464" s="62">
        <f t="shared" si="394"/>
        <v>70000</v>
      </c>
      <c r="Y464" s="62">
        <f t="shared" si="395"/>
        <v>70000</v>
      </c>
      <c r="Z464" s="62">
        <f t="shared" si="396"/>
        <v>70000</v>
      </c>
      <c r="AA464" s="62">
        <f t="shared" si="397"/>
        <v>70000</v>
      </c>
      <c r="AB464" s="62">
        <f t="shared" si="398"/>
        <v>70000</v>
      </c>
      <c r="AC464" s="62">
        <f t="shared" si="399"/>
        <v>70000</v>
      </c>
    </row>
    <row r="465" spans="1:29" x14ac:dyDescent="0.3">
      <c r="A465" s="30" t="str">
        <f t="shared" si="371"/>
        <v>Opex maintenance &amp; repair</v>
      </c>
      <c r="B465" s="62">
        <f t="shared" si="372"/>
        <v>15000</v>
      </c>
      <c r="C465" s="62">
        <f t="shared" si="373"/>
        <v>15000</v>
      </c>
      <c r="D465" s="62">
        <f t="shared" si="374"/>
        <v>15000</v>
      </c>
      <c r="E465" s="62">
        <f t="shared" si="375"/>
        <v>15000</v>
      </c>
      <c r="F465" s="62">
        <f t="shared" si="376"/>
        <v>15000</v>
      </c>
      <c r="G465" s="62">
        <f t="shared" si="377"/>
        <v>15000</v>
      </c>
      <c r="H465" s="62">
        <f t="shared" si="378"/>
        <v>15000</v>
      </c>
      <c r="I465" s="62">
        <f t="shared" si="379"/>
        <v>15000</v>
      </c>
      <c r="J465" s="62">
        <f t="shared" si="380"/>
        <v>15000</v>
      </c>
      <c r="K465" s="62">
        <f t="shared" si="381"/>
        <v>15000</v>
      </c>
      <c r="L465" s="62">
        <f t="shared" si="382"/>
        <v>15000</v>
      </c>
      <c r="M465" s="62">
        <f t="shared" si="383"/>
        <v>15000</v>
      </c>
      <c r="N465" s="62">
        <f t="shared" si="384"/>
        <v>15000</v>
      </c>
      <c r="O465" s="62">
        <f t="shared" si="385"/>
        <v>15000</v>
      </c>
      <c r="P465" s="62">
        <f t="shared" si="386"/>
        <v>15000</v>
      </c>
      <c r="Q465" s="62">
        <f t="shared" si="387"/>
        <v>15000</v>
      </c>
      <c r="R465" s="62">
        <f t="shared" si="388"/>
        <v>15000</v>
      </c>
      <c r="S465" s="62">
        <f t="shared" si="389"/>
        <v>15000</v>
      </c>
      <c r="T465" s="62">
        <f t="shared" si="390"/>
        <v>15000</v>
      </c>
      <c r="U465" s="62">
        <f t="shared" si="391"/>
        <v>15000</v>
      </c>
      <c r="V465" s="62">
        <f t="shared" si="392"/>
        <v>15000</v>
      </c>
      <c r="W465" s="62">
        <f t="shared" si="393"/>
        <v>15000</v>
      </c>
      <c r="X465" s="62">
        <f t="shared" si="394"/>
        <v>15000</v>
      </c>
      <c r="Y465" s="62">
        <f t="shared" si="395"/>
        <v>15000</v>
      </c>
      <c r="Z465" s="62">
        <f t="shared" si="396"/>
        <v>15000</v>
      </c>
      <c r="AA465" s="62">
        <f t="shared" si="397"/>
        <v>15000</v>
      </c>
      <c r="AB465" s="62">
        <f t="shared" si="398"/>
        <v>15000</v>
      </c>
      <c r="AC465" s="62">
        <f t="shared" si="399"/>
        <v>15000</v>
      </c>
    </row>
    <row r="466" spans="1:29" x14ac:dyDescent="0.3">
      <c r="A466" s="30" t="str">
        <f t="shared" si="371"/>
        <v>Opex var (mode-fees)</v>
      </c>
      <c r="B466" s="62">
        <f t="shared" si="372"/>
        <v>0.11</v>
      </c>
      <c r="C466" s="62">
        <f t="shared" si="373"/>
        <v>0.11</v>
      </c>
      <c r="D466" s="62">
        <f t="shared" si="374"/>
        <v>0.11</v>
      </c>
      <c r="E466" s="62">
        <f t="shared" si="375"/>
        <v>0.11</v>
      </c>
      <c r="F466" s="62">
        <f t="shared" si="376"/>
        <v>0.11</v>
      </c>
      <c r="G466" s="62">
        <f t="shared" si="377"/>
        <v>0.11</v>
      </c>
      <c r="H466" s="62">
        <f t="shared" si="378"/>
        <v>0.11</v>
      </c>
      <c r="I466" s="62">
        <f t="shared" si="379"/>
        <v>0.11</v>
      </c>
      <c r="J466" s="62">
        <f t="shared" si="380"/>
        <v>0.11</v>
      </c>
      <c r="K466" s="62">
        <f t="shared" si="381"/>
        <v>0.11</v>
      </c>
      <c r="L466" s="62">
        <f t="shared" si="382"/>
        <v>0.11</v>
      </c>
      <c r="M466" s="62">
        <f t="shared" si="383"/>
        <v>0.11</v>
      </c>
      <c r="N466" s="62">
        <f t="shared" si="384"/>
        <v>0.11</v>
      </c>
      <c r="O466" s="62">
        <f t="shared" si="385"/>
        <v>0.11</v>
      </c>
      <c r="P466" s="62">
        <f t="shared" si="386"/>
        <v>0.11</v>
      </c>
      <c r="Q466" s="62">
        <f t="shared" si="387"/>
        <v>0.11</v>
      </c>
      <c r="R466" s="62">
        <f t="shared" si="388"/>
        <v>0.11</v>
      </c>
      <c r="S466" s="62">
        <f t="shared" si="389"/>
        <v>0.11</v>
      </c>
      <c r="T466" s="62">
        <f t="shared" si="390"/>
        <v>0.11</v>
      </c>
      <c r="U466" s="62">
        <f t="shared" si="391"/>
        <v>0.11</v>
      </c>
      <c r="V466" s="62">
        <f t="shared" si="392"/>
        <v>0.11</v>
      </c>
      <c r="W466" s="62">
        <f t="shared" si="393"/>
        <v>0.11</v>
      </c>
      <c r="X466" s="62">
        <f t="shared" si="394"/>
        <v>0.11</v>
      </c>
      <c r="Y466" s="62">
        <f t="shared" si="395"/>
        <v>0.11</v>
      </c>
      <c r="Z466" s="62">
        <f t="shared" si="396"/>
        <v>0.11</v>
      </c>
      <c r="AA466" s="62">
        <f t="shared" si="397"/>
        <v>0.11</v>
      </c>
      <c r="AB466" s="62">
        <f t="shared" si="398"/>
        <v>0.11</v>
      </c>
      <c r="AC466" s="62">
        <f t="shared" si="399"/>
        <v>0.11</v>
      </c>
    </row>
    <row r="467" spans="1:29" x14ac:dyDescent="0.3">
      <c r="A467" s="30" t="str">
        <f t="shared" si="371"/>
        <v>Fuel Economy</v>
      </c>
      <c r="B467" s="62">
        <f t="shared" si="372"/>
        <v>1.499963712475392</v>
      </c>
      <c r="C467" s="62">
        <f t="shared" si="373"/>
        <v>1.4917703325555236</v>
      </c>
      <c r="D467" s="62">
        <f t="shared" si="374"/>
        <v>1.4805375152003362</v>
      </c>
      <c r="E467" s="62">
        <f t="shared" si="375"/>
        <v>1.4654418123350099</v>
      </c>
      <c r="F467" s="62">
        <f t="shared" si="376"/>
        <v>1.4457088124147084</v>
      </c>
      <c r="G467" s="62">
        <f t="shared" si="377"/>
        <v>1.4208584343249755</v>
      </c>
      <c r="H467" s="62">
        <f t="shared" si="378"/>
        <v>1.3910386939475108</v>
      </c>
      <c r="I467" s="62">
        <f t="shared" si="379"/>
        <v>1.3573193171591433</v>
      </c>
      <c r="J467" s="62">
        <f t="shared" si="380"/>
        <v>1.3217219094307857</v>
      </c>
      <c r="K467" s="62">
        <f t="shared" si="381"/>
        <v>1.2868249921034385</v>
      </c>
      <c r="L467" s="62">
        <f t="shared" si="382"/>
        <v>1.2550576099577553</v>
      </c>
      <c r="M467" s="62">
        <f t="shared" si="383"/>
        <v>1.2280598588961356</v>
      </c>
      <c r="N467" s="62">
        <f t="shared" si="384"/>
        <v>1.2064394953190534</v>
      </c>
      <c r="O467" s="62">
        <f t="shared" si="385"/>
        <v>1.1899421983295269</v>
      </c>
      <c r="P467" s="62">
        <f t="shared" si="386"/>
        <v>1.1778153619570939</v>
      </c>
      <c r="Q467" s="62">
        <f t="shared" si="387"/>
        <v>1.1691448493856758</v>
      </c>
      <c r="R467" s="62">
        <f t="shared" si="388"/>
        <v>1.1630681005313779</v>
      </c>
      <c r="S467" s="62">
        <f t="shared" si="389"/>
        <v>1.1588686935668835</v>
      </c>
      <c r="T467" s="62">
        <f t="shared" si="390"/>
        <v>1.1559948301166041</v>
      </c>
      <c r="U467" s="62">
        <f t="shared" si="391"/>
        <v>1.1540412290087201</v>
      </c>
      <c r="V467" s="62">
        <f t="shared" si="392"/>
        <v>1.1527192488775253</v>
      </c>
      <c r="W467" s="62">
        <f t="shared" si="393"/>
        <v>1.151827439700847</v>
      </c>
      <c r="X467" s="62">
        <f t="shared" si="394"/>
        <v>1.1512270781932392</v>
      </c>
      <c r="Y467" s="62">
        <f t="shared" si="395"/>
        <v>1.150823485399427</v>
      </c>
      <c r="Z467" s="62">
        <f t="shared" si="396"/>
        <v>1.1505524266020779</v>
      </c>
      <c r="AA467" s="62">
        <f t="shared" si="397"/>
        <v>1.1503704951156655</v>
      </c>
      <c r="AB467" s="62">
        <f t="shared" si="398"/>
        <v>1.1502484368709109</v>
      </c>
      <c r="AC467" s="62">
        <f t="shared" si="399"/>
        <v>1.1501665711352707</v>
      </c>
    </row>
    <row r="468" spans="1:29" x14ac:dyDescent="0.3">
      <c r="A468" s="30" t="str">
        <f t="shared" si="371"/>
        <v>Fuel Cost</v>
      </c>
      <c r="B468" s="62">
        <f t="shared" si="372"/>
        <v>9.2331951136741086E-2</v>
      </c>
      <c r="C468" s="62">
        <f t="shared" si="373"/>
        <v>9.2222956120974545E-2</v>
      </c>
      <c r="D468" s="62">
        <f t="shared" si="374"/>
        <v>9.2068198823216471E-2</v>
      </c>
      <c r="E468" s="62">
        <f t="shared" si="375"/>
        <v>9.1849464254062249E-2</v>
      </c>
      <c r="F468" s="62">
        <f t="shared" si="376"/>
        <v>9.1542364865268247E-2</v>
      </c>
      <c r="G468" s="62">
        <f t="shared" si="377"/>
        <v>9.1115385234314353E-2</v>
      </c>
      <c r="H468" s="62">
        <f t="shared" si="378"/>
        <v>9.0530012133616333E-2</v>
      </c>
      <c r="I468" s="62">
        <f t="shared" si="379"/>
        <v>8.9743333412323725E-2</v>
      </c>
      <c r="J468" s="62">
        <f t="shared" si="380"/>
        <v>8.8714992348442129E-2</v>
      </c>
      <c r="K468" s="62">
        <f t="shared" si="381"/>
        <v>8.7419970590682711E-2</v>
      </c>
      <c r="L468" s="62">
        <f t="shared" si="382"/>
        <v>8.5865981654976761E-2</v>
      </c>
      <c r="M468" s="62">
        <f t="shared" si="383"/>
        <v>8.4108771907851612E-2</v>
      </c>
      <c r="N468" s="62">
        <f t="shared" si="384"/>
        <v>8.2253692787461766E-2</v>
      </c>
      <c r="O468" s="62">
        <f t="shared" si="385"/>
        <v>8.0435118154333018E-2</v>
      </c>
      <c r="P468" s="62">
        <f t="shared" si="386"/>
        <v>7.8779632233065888E-2</v>
      </c>
      <c r="Q468" s="62">
        <f t="shared" si="387"/>
        <v>7.7372704945717463E-2</v>
      </c>
      <c r="R468" s="62">
        <f t="shared" si="388"/>
        <v>7.6246008154952791E-2</v>
      </c>
      <c r="S468" s="62">
        <f t="shared" si="389"/>
        <v>7.5386288497227227E-2</v>
      </c>
      <c r="T468" s="62">
        <f t="shared" si="390"/>
        <v>7.4754325599182742E-2</v>
      </c>
      <c r="U468" s="62">
        <f t="shared" si="391"/>
        <v>7.4302481269476042E-2</v>
      </c>
      <c r="V468" s="62">
        <f t="shared" si="392"/>
        <v>7.3985805122564349E-2</v>
      </c>
      <c r="W468" s="62">
        <f t="shared" si="393"/>
        <v>7.3766962440611206E-2</v>
      </c>
      <c r="X468" s="62">
        <f t="shared" si="394"/>
        <v>7.3617197488001537E-2</v>
      </c>
      <c r="Y468" s="62">
        <f t="shared" si="395"/>
        <v>7.3515389944810147E-2</v>
      </c>
      <c r="Z468" s="62">
        <f t="shared" si="396"/>
        <v>7.3446497913186276E-2</v>
      </c>
      <c r="AA468" s="62">
        <f t="shared" si="397"/>
        <v>7.3400023276728135E-2</v>
      </c>
      <c r="AB468" s="62">
        <f t="shared" si="398"/>
        <v>7.3368736782330912E-2</v>
      </c>
      <c r="AC468" s="62">
        <f t="shared" si="399"/>
        <v>7.3347704448441492E-2</v>
      </c>
    </row>
    <row r="469" spans="1:29" x14ac:dyDescent="0.3">
      <c r="A469" s="30" t="str">
        <f t="shared" ref="A469" si="400">A449</f>
        <v>Emission Cost</v>
      </c>
      <c r="B469" s="66">
        <f>$B449+($C449-$B449)*(1-Q449)</f>
        <v>3.5122691839304448E-3</v>
      </c>
      <c r="C469" s="66">
        <f t="shared" ref="C469" si="401">$B449+($C449-$B449)*(1-R449)</f>
        <v>3.5089246478970256E-3</v>
      </c>
      <c r="D469" s="66">
        <f t="shared" ref="D469" si="402">$B449+($C449-$B449)*(1-S449)</f>
        <v>3.5041370190587195E-3</v>
      </c>
      <c r="E469" s="66">
        <f t="shared" ref="E469" si="403">$B449+($C449-$B449)*(1-T449)</f>
        <v>3.4972879793244123E-3</v>
      </c>
      <c r="F469" s="66">
        <f t="shared" ref="F469" si="404">$B449+($C449-$B449)*(1-U449)</f>
        <v>3.4874991902284352E-3</v>
      </c>
      <c r="G469" s="66">
        <f t="shared" ref="G469" si="405">$B449+($C449-$B449)*(1-V449)</f>
        <v>3.4735284727434282E-3</v>
      </c>
      <c r="H469" s="66">
        <f t="shared" ref="H469" si="406">$B449+($C449-$B449)*(1-W449)</f>
        <v>3.4536307436526109E-3</v>
      </c>
      <c r="I469" s="66">
        <f t="shared" ref="I469" si="407">$B449+($C449-$B449)*(1-X449)</f>
        <v>3.4253788207186963E-3</v>
      </c>
      <c r="J469" s="66">
        <f t="shared" ref="J469" si="408">$B449+($C449-$B449)*(1-Y449)</f>
        <v>3.3854474424880663E-3</v>
      </c>
      <c r="K469" s="66">
        <f t="shared" ref="K469" si="409">$B449+($C449-$B449)*(1-Z449)</f>
        <v>3.3293845078740006E-3</v>
      </c>
      <c r="L469" s="66">
        <f t="shared" ref="L469" si="410">$B449+($C449-$B449)*(1-AA449)</f>
        <v>3.251436677284981E-3</v>
      </c>
      <c r="M469" s="66">
        <f t="shared" ref="M469" si="411">$B449+($C449-$B449)*(1-AB449)</f>
        <v>3.1445731175815781E-3</v>
      </c>
      <c r="N469" s="66">
        <f t="shared" ref="N469" si="412">$B449+($C449-$B449)*(1-AC449)</f>
        <v>3.0009599443763112E-3</v>
      </c>
      <c r="O469" s="66">
        <f t="shared" ref="O469" si="413">$B449+($C449-$B449)*(1-AD449)</f>
        <v>2.813229782972361E-3</v>
      </c>
      <c r="P469" s="66">
        <f t="shared" ref="P469" si="414">$B449+($C449-$B449)*(1-AE449)</f>
        <v>2.5768153751997672E-3</v>
      </c>
      <c r="Q469" s="66">
        <f t="shared" ref="Q469" si="415">$B449+($C449-$B449)*(1-AF449)</f>
        <v>2.2931248721492917E-3</v>
      </c>
      <c r="R469" s="66">
        <f t="shared" ref="R469" si="416">$B449+($C449-$B449)*(1-AG449)</f>
        <v>1.9723351254059053E-3</v>
      </c>
      <c r="S469" s="66">
        <f t="shared" ref="S469" si="417">$B449+($C449-$B449)*(1-AH449)</f>
        <v>1.6336787059361244E-3</v>
      </c>
      <c r="T469" s="66">
        <f t="shared" ref="T469" si="418">$B449+($C449-$B449)*(1-AI449)</f>
        <v>1.3016864113624426E-3</v>
      </c>
      <c r="U469" s="66">
        <f t="shared" ref="U469" si="419">$B449+($C449-$B449)*(1-AJ449)</f>
        <v>9.9946699203053851E-4</v>
      </c>
      <c r="V469" s="66">
        <f t="shared" ref="V469" si="420">$B449+($C449-$B449)*(1-AK449)</f>
        <v>7.4262352247134438E-4</v>
      </c>
      <c r="W469" s="66">
        <f t="shared" ref="W469" si="421">$B449+($C449-$B449)*(1-AL449)</f>
        <v>5.3693790141369664E-4</v>
      </c>
      <c r="X469" s="66">
        <f t="shared" ref="X469" si="422">$B449+($C449-$B449)*(1-AM449)</f>
        <v>3.7999064356739184E-4</v>
      </c>
      <c r="Y469" s="66">
        <f t="shared" ref="Y469" si="423">$B449+($C449-$B449)*(1-AN449)</f>
        <v>2.646218218620832E-4</v>
      </c>
      <c r="Z469" s="66">
        <f t="shared" ref="Z469" si="424">$B449+($C449-$B449)*(1-AO449)</f>
        <v>1.8213478334480789E-4</v>
      </c>
      <c r="AA469" s="66">
        <f t="shared" ref="AA469" si="425">$B449+($C449-$B449)*(1-AP449)</f>
        <v>1.2432355100121771E-4</v>
      </c>
      <c r="AB469" s="66">
        <f t="shared" ref="AB469" si="426">$B449+($C449-$B449)*(1-AQ449)</f>
        <v>8.4372436095756821E-5</v>
      </c>
      <c r="AC469" s="66">
        <f t="shared" ref="AC469" si="427">$B449+($C449-$B449)*(1-AR449)</f>
        <v>5.7031897325531943E-5</v>
      </c>
    </row>
    <row r="470" spans="1:29" x14ac:dyDescent="0.3">
      <c r="A470" s="30" t="str">
        <f>A450</f>
        <v>Lifetime vehicle</v>
      </c>
      <c r="B470" s="62">
        <f>$B450+($C450-$B450)*(1-Q450)</f>
        <v>8</v>
      </c>
      <c r="C470" s="62">
        <f t="shared" ref="C470:L472" si="428">$B450+($C450-$B450)*(1-R450)</f>
        <v>8</v>
      </c>
      <c r="D470" s="62">
        <f t="shared" si="428"/>
        <v>8</v>
      </c>
      <c r="E470" s="62">
        <f t="shared" si="428"/>
        <v>8</v>
      </c>
      <c r="F470" s="62">
        <f t="shared" si="428"/>
        <v>8</v>
      </c>
      <c r="G470" s="62">
        <f t="shared" si="428"/>
        <v>8</v>
      </c>
      <c r="H470" s="62">
        <f t="shared" si="428"/>
        <v>8</v>
      </c>
      <c r="I470" s="62">
        <f t="shared" si="428"/>
        <v>8</v>
      </c>
      <c r="J470" s="62">
        <f t="shared" si="428"/>
        <v>8</v>
      </c>
      <c r="K470" s="62">
        <f t="shared" si="428"/>
        <v>8</v>
      </c>
      <c r="L470" s="62">
        <f t="shared" si="428"/>
        <v>8</v>
      </c>
      <c r="M470" s="62">
        <f t="shared" ref="M470:V472" si="429">$B450+($C450-$B450)*(1-AB450)</f>
        <v>8</v>
      </c>
      <c r="N470" s="62">
        <f t="shared" si="429"/>
        <v>8</v>
      </c>
      <c r="O470" s="62">
        <f t="shared" si="429"/>
        <v>8</v>
      </c>
      <c r="P470" s="62">
        <f t="shared" si="429"/>
        <v>8</v>
      </c>
      <c r="Q470" s="62">
        <f t="shared" si="429"/>
        <v>8</v>
      </c>
      <c r="R470" s="62">
        <f t="shared" si="429"/>
        <v>8</v>
      </c>
      <c r="S470" s="62">
        <f t="shared" si="429"/>
        <v>8</v>
      </c>
      <c r="T470" s="62">
        <f t="shared" si="429"/>
        <v>8</v>
      </c>
      <c r="U470" s="62">
        <f t="shared" si="429"/>
        <v>8</v>
      </c>
      <c r="V470" s="62">
        <f t="shared" si="429"/>
        <v>8</v>
      </c>
      <c r="W470" s="62">
        <f t="shared" ref="W470:AC472" si="430">$B450+($C450-$B450)*(1-AL450)</f>
        <v>8</v>
      </c>
      <c r="X470" s="62">
        <f t="shared" si="430"/>
        <v>8</v>
      </c>
      <c r="Y470" s="62">
        <f t="shared" si="430"/>
        <v>8</v>
      </c>
      <c r="Z470" s="62">
        <f t="shared" si="430"/>
        <v>8</v>
      </c>
      <c r="AA470" s="62">
        <f t="shared" si="430"/>
        <v>8</v>
      </c>
      <c r="AB470" s="62">
        <f t="shared" si="430"/>
        <v>8</v>
      </c>
      <c r="AC470" s="62">
        <f t="shared" si="430"/>
        <v>8</v>
      </c>
    </row>
    <row r="471" spans="1:29" x14ac:dyDescent="0.3">
      <c r="A471" s="30" t="str">
        <f>A451</f>
        <v>Lifetime costumization</v>
      </c>
      <c r="B471" s="62">
        <f>$B451+($C451-$B451)*(1-Q451)</f>
        <v>10</v>
      </c>
      <c r="C471" s="62">
        <f t="shared" si="428"/>
        <v>10</v>
      </c>
      <c r="D471" s="62">
        <f t="shared" si="428"/>
        <v>10</v>
      </c>
      <c r="E471" s="62">
        <f t="shared" si="428"/>
        <v>10</v>
      </c>
      <c r="F471" s="62">
        <f t="shared" si="428"/>
        <v>10</v>
      </c>
      <c r="G471" s="62">
        <f t="shared" si="428"/>
        <v>10</v>
      </c>
      <c r="H471" s="62">
        <f t="shared" si="428"/>
        <v>10</v>
      </c>
      <c r="I471" s="62">
        <f t="shared" si="428"/>
        <v>10</v>
      </c>
      <c r="J471" s="62">
        <f t="shared" si="428"/>
        <v>10</v>
      </c>
      <c r="K471" s="62">
        <f t="shared" si="428"/>
        <v>10</v>
      </c>
      <c r="L471" s="62">
        <f t="shared" si="428"/>
        <v>10</v>
      </c>
      <c r="M471" s="62">
        <f t="shared" si="429"/>
        <v>10</v>
      </c>
      <c r="N471" s="62">
        <f t="shared" si="429"/>
        <v>10</v>
      </c>
      <c r="O471" s="62">
        <f t="shared" si="429"/>
        <v>10</v>
      </c>
      <c r="P471" s="62">
        <f t="shared" si="429"/>
        <v>10</v>
      </c>
      <c r="Q471" s="62">
        <f t="shared" si="429"/>
        <v>10</v>
      </c>
      <c r="R471" s="62">
        <f t="shared" si="429"/>
        <v>10</v>
      </c>
      <c r="S471" s="62">
        <f t="shared" si="429"/>
        <v>10</v>
      </c>
      <c r="T471" s="62">
        <f t="shared" si="429"/>
        <v>10</v>
      </c>
      <c r="U471" s="62">
        <f t="shared" si="429"/>
        <v>10</v>
      </c>
      <c r="V471" s="62">
        <f t="shared" si="429"/>
        <v>10</v>
      </c>
      <c r="W471" s="62">
        <f t="shared" si="430"/>
        <v>10</v>
      </c>
      <c r="X471" s="62">
        <f t="shared" si="430"/>
        <v>10</v>
      </c>
      <c r="Y471" s="62">
        <f t="shared" si="430"/>
        <v>10</v>
      </c>
      <c r="Z471" s="62">
        <f t="shared" si="430"/>
        <v>10</v>
      </c>
      <c r="AA471" s="62">
        <f t="shared" si="430"/>
        <v>10</v>
      </c>
      <c r="AB471" s="62">
        <f t="shared" si="430"/>
        <v>10</v>
      </c>
      <c r="AC471" s="62">
        <f t="shared" si="430"/>
        <v>10</v>
      </c>
    </row>
    <row r="472" spans="1:29" x14ac:dyDescent="0.3">
      <c r="A472" s="30" t="str">
        <f>A452</f>
        <v>Tonnage .</v>
      </c>
      <c r="B472" s="62">
        <f>$B452+($C452-$B452)*(1-Q452)</f>
        <v>25</v>
      </c>
      <c r="C472" s="62">
        <f t="shared" si="428"/>
        <v>25</v>
      </c>
      <c r="D472" s="62">
        <f t="shared" si="428"/>
        <v>25</v>
      </c>
      <c r="E472" s="62">
        <f t="shared" si="428"/>
        <v>25</v>
      </c>
      <c r="F472" s="62">
        <f t="shared" si="428"/>
        <v>25</v>
      </c>
      <c r="G472" s="62">
        <f t="shared" si="428"/>
        <v>25</v>
      </c>
      <c r="H472" s="62">
        <f t="shared" si="428"/>
        <v>25</v>
      </c>
      <c r="I472" s="62">
        <f t="shared" si="428"/>
        <v>25</v>
      </c>
      <c r="J472" s="62">
        <f t="shared" si="428"/>
        <v>25</v>
      </c>
      <c r="K472" s="62">
        <f t="shared" si="428"/>
        <v>25</v>
      </c>
      <c r="L472" s="62">
        <f t="shared" si="428"/>
        <v>25</v>
      </c>
      <c r="M472" s="62">
        <f t="shared" si="429"/>
        <v>25</v>
      </c>
      <c r="N472" s="62">
        <f t="shared" si="429"/>
        <v>25</v>
      </c>
      <c r="O472" s="62">
        <f t="shared" si="429"/>
        <v>25</v>
      </c>
      <c r="P472" s="62">
        <f t="shared" si="429"/>
        <v>25</v>
      </c>
      <c r="Q472" s="62">
        <f t="shared" si="429"/>
        <v>25</v>
      </c>
      <c r="R472" s="62">
        <f t="shared" si="429"/>
        <v>25</v>
      </c>
      <c r="S472" s="62">
        <f t="shared" si="429"/>
        <v>25</v>
      </c>
      <c r="T472" s="62">
        <f t="shared" si="429"/>
        <v>25</v>
      </c>
      <c r="U472" s="62">
        <f t="shared" si="429"/>
        <v>25</v>
      </c>
      <c r="V472" s="62">
        <f t="shared" si="429"/>
        <v>25</v>
      </c>
      <c r="W472" s="62">
        <f t="shared" si="430"/>
        <v>25</v>
      </c>
      <c r="X472" s="62">
        <f t="shared" si="430"/>
        <v>25</v>
      </c>
      <c r="Y472" s="62">
        <f t="shared" si="430"/>
        <v>25</v>
      </c>
      <c r="Z472" s="62">
        <f t="shared" si="430"/>
        <v>25</v>
      </c>
      <c r="AA472" s="62">
        <f t="shared" si="430"/>
        <v>25</v>
      </c>
      <c r="AB472" s="62">
        <f t="shared" si="430"/>
        <v>25</v>
      </c>
      <c r="AC472" s="62">
        <f t="shared" si="430"/>
        <v>25</v>
      </c>
    </row>
    <row r="473" spans="1:29" x14ac:dyDescent="0.3">
      <c r="A473" s="30" t="str">
        <f>A453</f>
        <v>Market failure (av. utilization)</v>
      </c>
      <c r="B473" s="62">
        <f t="shared" ref="B473:K474" si="431">($B453+($C453-$B453)*(1-Q453))*B$44</f>
        <v>12</v>
      </c>
      <c r="C473" s="62">
        <f t="shared" si="431"/>
        <v>12</v>
      </c>
      <c r="D473" s="62">
        <f t="shared" si="431"/>
        <v>12</v>
      </c>
      <c r="E473" s="62">
        <f t="shared" si="431"/>
        <v>12</v>
      </c>
      <c r="F473" s="62">
        <f t="shared" si="431"/>
        <v>12</v>
      </c>
      <c r="G473" s="62">
        <f t="shared" si="431"/>
        <v>12</v>
      </c>
      <c r="H473" s="62">
        <f t="shared" si="431"/>
        <v>12</v>
      </c>
      <c r="I473" s="62">
        <f t="shared" si="431"/>
        <v>12</v>
      </c>
      <c r="J473" s="62">
        <f t="shared" si="431"/>
        <v>12</v>
      </c>
      <c r="K473" s="62">
        <f t="shared" si="431"/>
        <v>12</v>
      </c>
      <c r="L473" s="62">
        <f t="shared" ref="L473:U474" si="432">($B453+($C453-$B453)*(1-AA453))*L$44</f>
        <v>12</v>
      </c>
      <c r="M473" s="62">
        <f t="shared" si="432"/>
        <v>12</v>
      </c>
      <c r="N473" s="62">
        <f t="shared" si="432"/>
        <v>12</v>
      </c>
      <c r="O473" s="62">
        <f t="shared" si="432"/>
        <v>12</v>
      </c>
      <c r="P473" s="62">
        <f t="shared" si="432"/>
        <v>12</v>
      </c>
      <c r="Q473" s="62">
        <f t="shared" si="432"/>
        <v>12</v>
      </c>
      <c r="R473" s="62">
        <f t="shared" si="432"/>
        <v>12</v>
      </c>
      <c r="S473" s="62">
        <f t="shared" si="432"/>
        <v>12</v>
      </c>
      <c r="T473" s="62">
        <f t="shared" si="432"/>
        <v>12</v>
      </c>
      <c r="U473" s="62">
        <f t="shared" si="432"/>
        <v>12</v>
      </c>
      <c r="V473" s="62">
        <f t="shared" ref="V473:AC474" si="433">($B453+($C453-$B453)*(1-AK453))*V$44</f>
        <v>12</v>
      </c>
      <c r="W473" s="62">
        <f t="shared" si="433"/>
        <v>12</v>
      </c>
      <c r="X473" s="62">
        <f t="shared" si="433"/>
        <v>12</v>
      </c>
      <c r="Y473" s="62">
        <f t="shared" si="433"/>
        <v>12</v>
      </c>
      <c r="Z473" s="62">
        <f t="shared" si="433"/>
        <v>12</v>
      </c>
      <c r="AA473" s="62">
        <f t="shared" si="433"/>
        <v>12</v>
      </c>
      <c r="AB473" s="62">
        <f t="shared" si="433"/>
        <v>12</v>
      </c>
      <c r="AC473" s="62">
        <f t="shared" si="433"/>
        <v>12</v>
      </c>
    </row>
    <row r="474" spans="1:29" x14ac:dyDescent="0.3">
      <c r="A474" s="30" t="s">
        <v>73</v>
      </c>
      <c r="B474" s="62">
        <f t="shared" si="431"/>
        <v>2.4834973269685467</v>
      </c>
      <c r="C474" s="62">
        <f t="shared" si="431"/>
        <v>2.4764313720357283</v>
      </c>
      <c r="D474" s="62">
        <f t="shared" si="431"/>
        <v>2.4663987289484006</v>
      </c>
      <c r="E474" s="62">
        <f t="shared" si="431"/>
        <v>2.4522185520199096</v>
      </c>
      <c r="F474" s="62">
        <f t="shared" si="431"/>
        <v>2.4323098394438922</v>
      </c>
      <c r="G474" s="62">
        <f t="shared" si="431"/>
        <v>2.4046295018767689</v>
      </c>
      <c r="H474" s="62">
        <f t="shared" si="431"/>
        <v>2.3666807945957307</v>
      </c>
      <c r="I474" s="62">
        <f t="shared" si="431"/>
        <v>2.3156817984290878</v>
      </c>
      <c r="J474" s="62">
        <f t="shared" si="431"/>
        <v>2.2490162581577988</v>
      </c>
      <c r="K474" s="62">
        <f t="shared" si="431"/>
        <v>2.1650622781249176</v>
      </c>
      <c r="L474" s="62">
        <f t="shared" si="432"/>
        <v>2.0643199119848337</v>
      </c>
      <c r="M474" s="62">
        <f t="shared" si="432"/>
        <v>1.9504030985106198</v>
      </c>
      <c r="N474" s="62">
        <f t="shared" si="432"/>
        <v>1.8301415859148171</v>
      </c>
      <c r="O474" s="62">
        <f t="shared" si="432"/>
        <v>1.7122465949440495</v>
      </c>
      <c r="P474" s="62">
        <f t="shared" si="432"/>
        <v>1.6049243579653898</v>
      </c>
      <c r="Q474" s="62">
        <f t="shared" si="432"/>
        <v>1.5137157395139718</v>
      </c>
      <c r="R474" s="62">
        <f t="shared" si="432"/>
        <v>1.4406739706724776</v>
      </c>
      <c r="S474" s="62">
        <f t="shared" si="432"/>
        <v>1.3849398592213749</v>
      </c>
      <c r="T474" s="62">
        <f t="shared" si="432"/>
        <v>1.3439708174226148</v>
      </c>
      <c r="U474" s="62">
        <f t="shared" si="432"/>
        <v>1.3146785452218777</v>
      </c>
      <c r="V474" s="62">
        <f t="shared" si="433"/>
        <v>1.2941489882816826</v>
      </c>
      <c r="W474" s="62">
        <f t="shared" si="433"/>
        <v>1.2799618025908228</v>
      </c>
      <c r="X474" s="62">
        <f t="shared" si="433"/>
        <v>1.2702528044479873</v>
      </c>
      <c r="Y474" s="62">
        <f t="shared" si="433"/>
        <v>1.2636528007051355</v>
      </c>
      <c r="Z474" s="62">
        <f t="shared" si="433"/>
        <v>1.2591866516132615</v>
      </c>
      <c r="AA474" s="62">
        <f t="shared" si="433"/>
        <v>1.2561737827731323</v>
      </c>
      <c r="AB474" s="62">
        <f t="shared" si="433"/>
        <v>1.2541455344366195</v>
      </c>
      <c r="AC474" s="62">
        <f t="shared" si="433"/>
        <v>1.2527820452683351</v>
      </c>
    </row>
    <row r="475" spans="1:29" x14ac:dyDescent="0.3">
      <c r="A475" s="30" t="str">
        <f>A455</f>
        <v>Annual Mileage</v>
      </c>
      <c r="B475" s="62">
        <f t="shared" ref="B475:AC475" si="434">$B455+($C455-$B455)*(1-Q455)</f>
        <v>90000</v>
      </c>
      <c r="C475" s="62">
        <f t="shared" si="434"/>
        <v>90000</v>
      </c>
      <c r="D475" s="62">
        <f t="shared" si="434"/>
        <v>90000</v>
      </c>
      <c r="E475" s="62">
        <f t="shared" si="434"/>
        <v>90000</v>
      </c>
      <c r="F475" s="62">
        <f t="shared" si="434"/>
        <v>90000</v>
      </c>
      <c r="G475" s="62">
        <f t="shared" si="434"/>
        <v>90000</v>
      </c>
      <c r="H475" s="62">
        <f t="shared" si="434"/>
        <v>90000</v>
      </c>
      <c r="I475" s="62">
        <f t="shared" si="434"/>
        <v>90000</v>
      </c>
      <c r="J475" s="62">
        <f t="shared" si="434"/>
        <v>90000</v>
      </c>
      <c r="K475" s="62">
        <f t="shared" si="434"/>
        <v>90000</v>
      </c>
      <c r="L475" s="62">
        <f t="shared" si="434"/>
        <v>90000</v>
      </c>
      <c r="M475" s="62">
        <f t="shared" si="434"/>
        <v>90000</v>
      </c>
      <c r="N475" s="62">
        <f t="shared" si="434"/>
        <v>90000</v>
      </c>
      <c r="O475" s="62">
        <f t="shared" si="434"/>
        <v>90000</v>
      </c>
      <c r="P475" s="62">
        <f t="shared" si="434"/>
        <v>90000</v>
      </c>
      <c r="Q475" s="62">
        <f t="shared" si="434"/>
        <v>90000</v>
      </c>
      <c r="R475" s="62">
        <f t="shared" si="434"/>
        <v>90000</v>
      </c>
      <c r="S475" s="62">
        <f t="shared" si="434"/>
        <v>90000</v>
      </c>
      <c r="T475" s="62">
        <f t="shared" si="434"/>
        <v>90000</v>
      </c>
      <c r="U475" s="62">
        <f t="shared" si="434"/>
        <v>90000</v>
      </c>
      <c r="V475" s="62">
        <f t="shared" si="434"/>
        <v>90000</v>
      </c>
      <c r="W475" s="62">
        <f t="shared" si="434"/>
        <v>90000</v>
      </c>
      <c r="X475" s="62">
        <f t="shared" si="434"/>
        <v>90000</v>
      </c>
      <c r="Y475" s="62">
        <f t="shared" si="434"/>
        <v>90000</v>
      </c>
      <c r="Z475" s="62">
        <f t="shared" si="434"/>
        <v>90000</v>
      </c>
      <c r="AA475" s="62">
        <f t="shared" si="434"/>
        <v>90000</v>
      </c>
      <c r="AB475" s="62">
        <f t="shared" si="434"/>
        <v>90000</v>
      </c>
      <c r="AC475" s="62">
        <f t="shared" si="434"/>
        <v>90000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62190.665101367747</v>
      </c>
      <c r="C478" s="63">
        <f t="shared" ref="C478:AC478" si="435">((1+C463)^C470)*C463/(((1+C463)^C470)-1)*(C459)</f>
        <v>61281.329133767969</v>
      </c>
      <c r="D478" s="63">
        <f t="shared" si="435"/>
        <v>60034.66354051487</v>
      </c>
      <c r="E478" s="63">
        <f t="shared" si="435"/>
        <v>58359.278570466915</v>
      </c>
      <c r="F478" s="63">
        <f t="shared" si="435"/>
        <v>56169.226754041214</v>
      </c>
      <c r="G478" s="63">
        <f t="shared" si="435"/>
        <v>53411.226658055137</v>
      </c>
      <c r="H478" s="63">
        <f t="shared" si="435"/>
        <v>50101.705711276991</v>
      </c>
      <c r="I478" s="63">
        <f t="shared" si="435"/>
        <v>46359.3866172536</v>
      </c>
      <c r="J478" s="63">
        <f t="shared" si="435"/>
        <v>42408.635704041997</v>
      </c>
      <c r="K478" s="63">
        <f t="shared" si="435"/>
        <v>38535.628179130072</v>
      </c>
      <c r="L478" s="63">
        <f t="shared" si="435"/>
        <v>35009.949708941356</v>
      </c>
      <c r="M478" s="63">
        <f t="shared" si="435"/>
        <v>32013.625075549993</v>
      </c>
      <c r="N478" s="63">
        <f t="shared" si="435"/>
        <v>29614.105655542335</v>
      </c>
      <c r="O478" s="63">
        <f t="shared" si="435"/>
        <v>27783.165839804766</v>
      </c>
      <c r="P478" s="63">
        <f t="shared" si="435"/>
        <v>26437.27823365216</v>
      </c>
      <c r="Q478" s="63">
        <f t="shared" si="435"/>
        <v>25474.988065757298</v>
      </c>
      <c r="R478" s="63">
        <f t="shared" si="435"/>
        <v>24800.564768738692</v>
      </c>
      <c r="S478" s="63">
        <f t="shared" si="435"/>
        <v>24334.496817203359</v>
      </c>
      <c r="T478" s="63">
        <f t="shared" si="435"/>
        <v>24015.543292910865</v>
      </c>
      <c r="U478" s="63">
        <f t="shared" si="435"/>
        <v>23798.724376771759</v>
      </c>
      <c r="V478" s="63">
        <f t="shared" si="435"/>
        <v>23652.005428852281</v>
      </c>
      <c r="W478" s="63">
        <f t="shared" si="435"/>
        <v>23553.028673408226</v>
      </c>
      <c r="X478" s="63">
        <f t="shared" si="435"/>
        <v>23486.398013318085</v>
      </c>
      <c r="Y478" s="63">
        <f t="shared" si="435"/>
        <v>23441.605577563019</v>
      </c>
      <c r="Z478" s="63">
        <f t="shared" si="435"/>
        <v>23411.522325452843</v>
      </c>
      <c r="AA478" s="63">
        <f t="shared" si="435"/>
        <v>23391.330799385243</v>
      </c>
      <c r="AB478" s="63">
        <f t="shared" si="435"/>
        <v>23377.784258985215</v>
      </c>
      <c r="AC478" s="63">
        <f t="shared" si="435"/>
        <v>23368.698453290883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-9455.0461314377717</v>
      </c>
      <c r="C479" s="62">
        <f t="shared" ref="C479:AC479" si="436">((1+C463)^C470)*C463/(((1+C463)^C470)-1)*(C460)</f>
        <v>-9370.3530756319105</v>
      </c>
      <c r="D479" s="62">
        <f t="shared" si="436"/>
        <v>-9254.2420644955928</v>
      </c>
      <c r="E479" s="62">
        <f t="shared" si="436"/>
        <v>-9098.2013074813221</v>
      </c>
      <c r="F479" s="62">
        <f t="shared" si="436"/>
        <v>-8894.2258932063796</v>
      </c>
      <c r="G479" s="62">
        <f t="shared" si="436"/>
        <v>-8637.353335246893</v>
      </c>
      <c r="H479" s="62">
        <f t="shared" si="436"/>
        <v>-8329.1136392234366</v>
      </c>
      <c r="I479" s="62">
        <f t="shared" si="436"/>
        <v>-7980.5643118389062</v>
      </c>
      <c r="J479" s="62">
        <f t="shared" si="436"/>
        <v>-7612.6022169809621</v>
      </c>
      <c r="K479" s="62">
        <f t="shared" si="436"/>
        <v>-7251.8809278960271</v>
      </c>
      <c r="L479" s="62">
        <f t="shared" si="436"/>
        <v>-6923.5089135157077</v>
      </c>
      <c r="M479" s="62">
        <f t="shared" si="436"/>
        <v>-6644.4394623665112</v>
      </c>
      <c r="N479" s="62">
        <f t="shared" si="436"/>
        <v>-6420.9548105030526</v>
      </c>
      <c r="O479" s="62">
        <f t="shared" si="436"/>
        <v>-6250.4261021745533</v>
      </c>
      <c r="P479" s="62">
        <f t="shared" si="436"/>
        <v>-6125.0738251309276</v>
      </c>
      <c r="Q479" s="62">
        <f t="shared" si="436"/>
        <v>-6035.4487604740543</v>
      </c>
      <c r="R479" s="62">
        <f t="shared" si="436"/>
        <v>-5972.6348259478109</v>
      </c>
      <c r="S479" s="62">
        <f t="shared" si="436"/>
        <v>-5929.226536344031</v>
      </c>
      <c r="T479" s="62">
        <f t="shared" si="436"/>
        <v>-5899.5200806501216</v>
      </c>
      <c r="U479" s="62">
        <f t="shared" si="436"/>
        <v>-5879.3261619901059</v>
      </c>
      <c r="V479" s="62">
        <f t="shared" si="436"/>
        <v>-5865.6611619387841</v>
      </c>
      <c r="W479" s="62">
        <f t="shared" si="436"/>
        <v>-5856.442738637621</v>
      </c>
      <c r="X479" s="62">
        <f t="shared" si="436"/>
        <v>-5850.2369418645203</v>
      </c>
      <c r="Y479" s="62">
        <f t="shared" si="436"/>
        <v>-5846.0650973579204</v>
      </c>
      <c r="Z479" s="62">
        <f t="shared" si="436"/>
        <v>-5843.2632258378535</v>
      </c>
      <c r="AA479" s="62">
        <f t="shared" si="436"/>
        <v>-5841.3826425276375</v>
      </c>
      <c r="AB479" s="62">
        <f t="shared" si="436"/>
        <v>-5840.1209549413597</v>
      </c>
      <c r="AC479" s="62">
        <f t="shared" si="436"/>
        <v>-5839.2747279404175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4755.37853771343</v>
      </c>
      <c r="C480" s="62">
        <f t="shared" ref="C480:AC480" si="437">((1+C463)^C471)*C463/(((1+C463)^C471)-1)*(C461)</f>
        <v>4755.37853771343</v>
      </c>
      <c r="D480" s="62">
        <f t="shared" si="437"/>
        <v>4755.37853771343</v>
      </c>
      <c r="E480" s="62">
        <f t="shared" si="437"/>
        <v>4755.37853771343</v>
      </c>
      <c r="F480" s="62">
        <f t="shared" si="437"/>
        <v>4755.37853771343</v>
      </c>
      <c r="G480" s="62">
        <f t="shared" si="437"/>
        <v>4755.37853771343</v>
      </c>
      <c r="H480" s="62">
        <f t="shared" si="437"/>
        <v>4755.37853771343</v>
      </c>
      <c r="I480" s="62">
        <f t="shared" si="437"/>
        <v>4755.37853771343</v>
      </c>
      <c r="J480" s="62">
        <f t="shared" si="437"/>
        <v>4755.37853771343</v>
      </c>
      <c r="K480" s="62">
        <f t="shared" si="437"/>
        <v>4755.37853771343</v>
      </c>
      <c r="L480" s="62">
        <f t="shared" si="437"/>
        <v>4755.37853771343</v>
      </c>
      <c r="M480" s="62">
        <f t="shared" si="437"/>
        <v>4755.37853771343</v>
      </c>
      <c r="N480" s="62">
        <f t="shared" si="437"/>
        <v>4755.37853771343</v>
      </c>
      <c r="O480" s="62">
        <f t="shared" si="437"/>
        <v>4755.37853771343</v>
      </c>
      <c r="P480" s="62">
        <f t="shared" si="437"/>
        <v>4755.37853771343</v>
      </c>
      <c r="Q480" s="62">
        <f t="shared" si="437"/>
        <v>4755.37853771343</v>
      </c>
      <c r="R480" s="62">
        <f t="shared" si="437"/>
        <v>4755.37853771343</v>
      </c>
      <c r="S480" s="62">
        <f t="shared" si="437"/>
        <v>4755.37853771343</v>
      </c>
      <c r="T480" s="62">
        <f t="shared" si="437"/>
        <v>4755.37853771343</v>
      </c>
      <c r="U480" s="62">
        <f t="shared" si="437"/>
        <v>4755.37853771343</v>
      </c>
      <c r="V480" s="62">
        <f t="shared" si="437"/>
        <v>4755.37853771343</v>
      </c>
      <c r="W480" s="62">
        <f t="shared" si="437"/>
        <v>4755.37853771343</v>
      </c>
      <c r="X480" s="62">
        <f t="shared" si="437"/>
        <v>4755.37853771343</v>
      </c>
      <c r="Y480" s="62">
        <f t="shared" si="437"/>
        <v>4755.37853771343</v>
      </c>
      <c r="Z480" s="62">
        <f t="shared" si="437"/>
        <v>4755.37853771343</v>
      </c>
      <c r="AA480" s="62">
        <f t="shared" si="437"/>
        <v>4755.37853771343</v>
      </c>
      <c r="AB480" s="62">
        <f t="shared" si="437"/>
        <v>4755.37853771343</v>
      </c>
      <c r="AC480" s="62">
        <f t="shared" si="437"/>
        <v>4755.37853771343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-1188.8446344283575</v>
      </c>
      <c r="C481" s="62">
        <f t="shared" ref="C481:AC481" si="438">((1+C463)^C471)*C463/(((1+C463)^C471)-1)*(C462)</f>
        <v>-1188.8446344283575</v>
      </c>
      <c r="D481" s="62">
        <f t="shared" si="438"/>
        <v>-1188.8446344283575</v>
      </c>
      <c r="E481" s="62">
        <f t="shared" si="438"/>
        <v>-1188.8446344283575</v>
      </c>
      <c r="F481" s="62">
        <f t="shared" si="438"/>
        <v>-1188.8446344283575</v>
      </c>
      <c r="G481" s="62">
        <f t="shared" si="438"/>
        <v>-1188.8446344283575</v>
      </c>
      <c r="H481" s="62">
        <f t="shared" si="438"/>
        <v>-1188.8446344283575</v>
      </c>
      <c r="I481" s="62">
        <f t="shared" si="438"/>
        <v>-1188.8446344283575</v>
      </c>
      <c r="J481" s="62">
        <f t="shared" si="438"/>
        <v>-1188.8446344283575</v>
      </c>
      <c r="K481" s="62">
        <f t="shared" si="438"/>
        <v>-1188.8446344283575</v>
      </c>
      <c r="L481" s="62">
        <f t="shared" si="438"/>
        <v>-1188.8446344283575</v>
      </c>
      <c r="M481" s="62">
        <f t="shared" si="438"/>
        <v>-1188.8446344283575</v>
      </c>
      <c r="N481" s="62">
        <f t="shared" si="438"/>
        <v>-1188.8446344283575</v>
      </c>
      <c r="O481" s="62">
        <f t="shared" si="438"/>
        <v>-1188.8446344283575</v>
      </c>
      <c r="P481" s="62">
        <f t="shared" si="438"/>
        <v>-1188.8446344283575</v>
      </c>
      <c r="Q481" s="62">
        <f t="shared" si="438"/>
        <v>-1188.8446344283575</v>
      </c>
      <c r="R481" s="62">
        <f t="shared" si="438"/>
        <v>-1188.8446344283575</v>
      </c>
      <c r="S481" s="62">
        <f t="shared" si="438"/>
        <v>-1188.8446344283575</v>
      </c>
      <c r="T481" s="62">
        <f t="shared" si="438"/>
        <v>-1188.8446344283575</v>
      </c>
      <c r="U481" s="62">
        <f t="shared" si="438"/>
        <v>-1188.8446344283575</v>
      </c>
      <c r="V481" s="62">
        <f t="shared" si="438"/>
        <v>-1188.8446344283575</v>
      </c>
      <c r="W481" s="62">
        <f t="shared" si="438"/>
        <v>-1188.8446344283575</v>
      </c>
      <c r="X481" s="62">
        <f t="shared" si="438"/>
        <v>-1188.8446344283575</v>
      </c>
      <c r="Y481" s="62">
        <f t="shared" si="438"/>
        <v>-1188.8446344283575</v>
      </c>
      <c r="Z481" s="62">
        <f t="shared" si="438"/>
        <v>-1188.8446344283575</v>
      </c>
      <c r="AA481" s="62">
        <f t="shared" si="438"/>
        <v>-1188.8446344283575</v>
      </c>
      <c r="AB481" s="62">
        <f t="shared" si="438"/>
        <v>-1188.8446344283575</v>
      </c>
      <c r="AC481" s="62">
        <f t="shared" si="438"/>
        <v>-1188.8446344283575</v>
      </c>
    </row>
    <row r="482" spans="1:29" x14ac:dyDescent="0.3">
      <c r="A482" s="30" t="str">
        <f t="shared" ref="A482:AC482" si="439">A464</f>
        <v>Opex fix (admin, crew, insurance)</v>
      </c>
      <c r="B482" s="62">
        <f t="shared" si="439"/>
        <v>70000</v>
      </c>
      <c r="C482" s="62">
        <f t="shared" si="439"/>
        <v>70000</v>
      </c>
      <c r="D482" s="62">
        <f t="shared" si="439"/>
        <v>70000</v>
      </c>
      <c r="E482" s="62">
        <f t="shared" si="439"/>
        <v>70000</v>
      </c>
      <c r="F482" s="62">
        <f t="shared" si="439"/>
        <v>70000</v>
      </c>
      <c r="G482" s="62">
        <f t="shared" si="439"/>
        <v>70000</v>
      </c>
      <c r="H482" s="62">
        <f t="shared" si="439"/>
        <v>70000</v>
      </c>
      <c r="I482" s="62">
        <f t="shared" si="439"/>
        <v>70000</v>
      </c>
      <c r="J482" s="62">
        <f t="shared" si="439"/>
        <v>70000</v>
      </c>
      <c r="K482" s="62">
        <f t="shared" si="439"/>
        <v>70000</v>
      </c>
      <c r="L482" s="62">
        <f t="shared" si="439"/>
        <v>70000</v>
      </c>
      <c r="M482" s="62">
        <f t="shared" si="439"/>
        <v>70000</v>
      </c>
      <c r="N482" s="62">
        <f t="shared" si="439"/>
        <v>70000</v>
      </c>
      <c r="O482" s="62">
        <f t="shared" si="439"/>
        <v>70000</v>
      </c>
      <c r="P482" s="62">
        <f t="shared" si="439"/>
        <v>70000</v>
      </c>
      <c r="Q482" s="62">
        <f t="shared" si="439"/>
        <v>70000</v>
      </c>
      <c r="R482" s="62">
        <f t="shared" si="439"/>
        <v>70000</v>
      </c>
      <c r="S482" s="62">
        <f t="shared" si="439"/>
        <v>70000</v>
      </c>
      <c r="T482" s="62">
        <f t="shared" si="439"/>
        <v>70000</v>
      </c>
      <c r="U482" s="62">
        <f t="shared" si="439"/>
        <v>70000</v>
      </c>
      <c r="V482" s="62">
        <f t="shared" si="439"/>
        <v>70000</v>
      </c>
      <c r="W482" s="62">
        <f t="shared" si="439"/>
        <v>70000</v>
      </c>
      <c r="X482" s="62">
        <f t="shared" si="439"/>
        <v>70000</v>
      </c>
      <c r="Y482" s="62">
        <f t="shared" si="439"/>
        <v>70000</v>
      </c>
      <c r="Z482" s="62">
        <f t="shared" si="439"/>
        <v>70000</v>
      </c>
      <c r="AA482" s="62">
        <f t="shared" si="439"/>
        <v>70000</v>
      </c>
      <c r="AB482" s="62">
        <f t="shared" si="439"/>
        <v>70000</v>
      </c>
      <c r="AC482" s="62">
        <f t="shared" si="439"/>
        <v>70000</v>
      </c>
    </row>
    <row r="483" spans="1:29" x14ac:dyDescent="0.3">
      <c r="A483" s="30" t="str">
        <f t="shared" ref="A483:AC483" si="440">A465</f>
        <v>Opex maintenance &amp; repair</v>
      </c>
      <c r="B483" s="62">
        <f t="shared" si="440"/>
        <v>15000</v>
      </c>
      <c r="C483" s="62">
        <f t="shared" si="440"/>
        <v>15000</v>
      </c>
      <c r="D483" s="62">
        <f t="shared" si="440"/>
        <v>15000</v>
      </c>
      <c r="E483" s="62">
        <f t="shared" si="440"/>
        <v>15000</v>
      </c>
      <c r="F483" s="62">
        <f t="shared" si="440"/>
        <v>15000</v>
      </c>
      <c r="G483" s="62">
        <f t="shared" si="440"/>
        <v>15000</v>
      </c>
      <c r="H483" s="62">
        <f t="shared" si="440"/>
        <v>15000</v>
      </c>
      <c r="I483" s="62">
        <f t="shared" si="440"/>
        <v>15000</v>
      </c>
      <c r="J483" s="62">
        <f t="shared" si="440"/>
        <v>15000</v>
      </c>
      <c r="K483" s="62">
        <f t="shared" si="440"/>
        <v>15000</v>
      </c>
      <c r="L483" s="62">
        <f t="shared" si="440"/>
        <v>15000</v>
      </c>
      <c r="M483" s="62">
        <f t="shared" si="440"/>
        <v>15000</v>
      </c>
      <c r="N483" s="62">
        <f t="shared" si="440"/>
        <v>15000</v>
      </c>
      <c r="O483" s="62">
        <f t="shared" si="440"/>
        <v>15000</v>
      </c>
      <c r="P483" s="62">
        <f t="shared" si="440"/>
        <v>15000</v>
      </c>
      <c r="Q483" s="62">
        <f t="shared" si="440"/>
        <v>15000</v>
      </c>
      <c r="R483" s="62">
        <f t="shared" si="440"/>
        <v>15000</v>
      </c>
      <c r="S483" s="62">
        <f t="shared" si="440"/>
        <v>15000</v>
      </c>
      <c r="T483" s="62">
        <f t="shared" si="440"/>
        <v>15000</v>
      </c>
      <c r="U483" s="62">
        <f t="shared" si="440"/>
        <v>15000</v>
      </c>
      <c r="V483" s="62">
        <f t="shared" si="440"/>
        <v>15000</v>
      </c>
      <c r="W483" s="62">
        <f t="shared" si="440"/>
        <v>15000</v>
      </c>
      <c r="X483" s="62">
        <f t="shared" si="440"/>
        <v>15000</v>
      </c>
      <c r="Y483" s="62">
        <f t="shared" si="440"/>
        <v>15000</v>
      </c>
      <c r="Z483" s="62">
        <f t="shared" si="440"/>
        <v>15000</v>
      </c>
      <c r="AA483" s="62">
        <f t="shared" si="440"/>
        <v>15000</v>
      </c>
      <c r="AB483" s="62">
        <f t="shared" si="440"/>
        <v>15000</v>
      </c>
      <c r="AC483" s="62">
        <f t="shared" si="440"/>
        <v>15000</v>
      </c>
    </row>
    <row r="484" spans="1:29" x14ac:dyDescent="0.3">
      <c r="A484" s="30" t="str">
        <f>A466</f>
        <v>Opex var (mode-fees)</v>
      </c>
      <c r="B484" s="62">
        <f>B466*B475</f>
        <v>9900</v>
      </c>
      <c r="C484" s="62">
        <f t="shared" ref="C484:AC484" si="441">C466*C475</f>
        <v>9900</v>
      </c>
      <c r="D484" s="62">
        <f t="shared" si="441"/>
        <v>9900</v>
      </c>
      <c r="E484" s="62">
        <f t="shared" si="441"/>
        <v>9900</v>
      </c>
      <c r="F484" s="62">
        <f t="shared" si="441"/>
        <v>9900</v>
      </c>
      <c r="G484" s="62">
        <f t="shared" si="441"/>
        <v>9900</v>
      </c>
      <c r="H484" s="62">
        <f t="shared" si="441"/>
        <v>9900</v>
      </c>
      <c r="I484" s="62">
        <f t="shared" si="441"/>
        <v>9900</v>
      </c>
      <c r="J484" s="62">
        <f t="shared" si="441"/>
        <v>9900</v>
      </c>
      <c r="K484" s="62">
        <f t="shared" si="441"/>
        <v>9900</v>
      </c>
      <c r="L484" s="62">
        <f t="shared" si="441"/>
        <v>9900</v>
      </c>
      <c r="M484" s="62">
        <f t="shared" si="441"/>
        <v>9900</v>
      </c>
      <c r="N484" s="62">
        <f t="shared" si="441"/>
        <v>9900</v>
      </c>
      <c r="O484" s="62">
        <f t="shared" si="441"/>
        <v>9900</v>
      </c>
      <c r="P484" s="62">
        <f t="shared" si="441"/>
        <v>9900</v>
      </c>
      <c r="Q484" s="62">
        <f t="shared" si="441"/>
        <v>9900</v>
      </c>
      <c r="R484" s="62">
        <f t="shared" si="441"/>
        <v>9900</v>
      </c>
      <c r="S484" s="62">
        <f t="shared" si="441"/>
        <v>9900</v>
      </c>
      <c r="T484" s="62">
        <f t="shared" si="441"/>
        <v>9900</v>
      </c>
      <c r="U484" s="62">
        <f t="shared" si="441"/>
        <v>9900</v>
      </c>
      <c r="V484" s="62">
        <f t="shared" si="441"/>
        <v>9900</v>
      </c>
      <c r="W484" s="62">
        <f t="shared" si="441"/>
        <v>9900</v>
      </c>
      <c r="X484" s="62">
        <f t="shared" si="441"/>
        <v>9900</v>
      </c>
      <c r="Y484" s="62">
        <f t="shared" si="441"/>
        <v>9900</v>
      </c>
      <c r="Z484" s="62">
        <f t="shared" si="441"/>
        <v>9900</v>
      </c>
      <c r="AA484" s="62">
        <f t="shared" si="441"/>
        <v>9900</v>
      </c>
      <c r="AB484" s="62">
        <f t="shared" si="441"/>
        <v>9900</v>
      </c>
      <c r="AC484" s="62">
        <f t="shared" si="441"/>
        <v>9900</v>
      </c>
    </row>
    <row r="485" spans="1:29" x14ac:dyDescent="0.3">
      <c r="A485" s="30" t="str">
        <f>A468</f>
        <v>Fuel Cost</v>
      </c>
      <c r="B485" s="62">
        <f>B467*B468*B475</f>
        <v>12464.511858644639</v>
      </c>
      <c r="C485" s="62">
        <f t="shared" ref="C485:AC485" si="442">C467*C468*C475</f>
        <v>12381.792292965571</v>
      </c>
      <c r="D485" s="62">
        <f t="shared" si="442"/>
        <v>12267.938008322588</v>
      </c>
      <c r="E485" s="62">
        <f t="shared" si="442"/>
        <v>12114.004082262543</v>
      </c>
      <c r="F485" s="62">
        <f t="shared" si="442"/>
        <v>11910.92432355008</v>
      </c>
      <c r="G485" s="62">
        <f t="shared" si="442"/>
        <v>11651.585724625038</v>
      </c>
      <c r="H485" s="62">
        <f t="shared" si="442"/>
        <v>11333.767485725817</v>
      </c>
      <c r="I485" s="62">
        <f t="shared" si="442"/>
        <v>10962.932402412051</v>
      </c>
      <c r="J485" s="62">
        <f t="shared" si="442"/>
        <v>10553.089417372843</v>
      </c>
      <c r="K485" s="62">
        <f t="shared" si="442"/>
        <v>10124.47826685343</v>
      </c>
      <c r="L485" s="62">
        <f t="shared" si="442"/>
        <v>9699.0078341314438</v>
      </c>
      <c r="M485" s="62">
        <f t="shared" si="442"/>
        <v>9296.1545904975155</v>
      </c>
      <c r="N485" s="62">
        <f t="shared" si="442"/>
        <v>8931.0693253170448</v>
      </c>
      <c r="O485" s="62">
        <f t="shared" si="442"/>
        <v>8614.1827187516046</v>
      </c>
      <c r="P485" s="62">
        <f t="shared" si="442"/>
        <v>8350.9074948091711</v>
      </c>
      <c r="Q485" s="62">
        <f t="shared" si="442"/>
        <v>8141.3909523290858</v>
      </c>
      <c r="R485" s="62">
        <f t="shared" si="442"/>
        <v>7981.136989009281</v>
      </c>
      <c r="S485" s="62">
        <f t="shared" si="442"/>
        <v>7862.6528697274107</v>
      </c>
      <c r="T485" s="62">
        <f t="shared" si="442"/>
        <v>7777.4052529357714</v>
      </c>
      <c r="U485" s="62">
        <f t="shared" si="442"/>
        <v>7717.331412236118</v>
      </c>
      <c r="V485" s="62">
        <f t="shared" si="442"/>
        <v>7675.6375537633212</v>
      </c>
      <c r="W485" s="62">
        <f t="shared" si="442"/>
        <v>7647.013033422998</v>
      </c>
      <c r="X485" s="62">
        <f t="shared" si="442"/>
        <v>7627.5100051998015</v>
      </c>
      <c r="Y485" s="62">
        <f t="shared" si="442"/>
        <v>7614.2913558105956</v>
      </c>
      <c r="Z485" s="62">
        <f t="shared" si="442"/>
        <v>7605.3641759496832</v>
      </c>
      <c r="AA485" s="62">
        <f t="shared" si="442"/>
        <v>7599.3499006516004</v>
      </c>
      <c r="AB485" s="62">
        <f t="shared" si="442"/>
        <v>7595.3047319162497</v>
      </c>
      <c r="AC485" s="62">
        <f t="shared" si="442"/>
        <v>7592.5869953496476</v>
      </c>
    </row>
    <row r="486" spans="1:29" ht="15" thickBot="1" x14ac:dyDescent="0.35">
      <c r="A486" s="59" t="str">
        <f>A449</f>
        <v>Emission Cost</v>
      </c>
      <c r="B486" s="62">
        <f>B469*B475</f>
        <v>316.10422655374003</v>
      </c>
      <c r="C486" s="62">
        <f t="shared" ref="C486:AC486" si="443">C469*C475</f>
        <v>315.80321831073229</v>
      </c>
      <c r="D486" s="62">
        <f t="shared" si="443"/>
        <v>315.37233171528476</v>
      </c>
      <c r="E486" s="62">
        <f t="shared" si="443"/>
        <v>314.75591813919709</v>
      </c>
      <c r="F486" s="62">
        <f t="shared" si="443"/>
        <v>313.87492712055916</v>
      </c>
      <c r="G486" s="62">
        <f t="shared" si="443"/>
        <v>312.61756254690852</v>
      </c>
      <c r="H486" s="62">
        <f t="shared" si="443"/>
        <v>310.82676692873497</v>
      </c>
      <c r="I486" s="62">
        <f t="shared" si="443"/>
        <v>308.28409386468269</v>
      </c>
      <c r="J486" s="62">
        <f t="shared" si="443"/>
        <v>304.69026982392597</v>
      </c>
      <c r="K486" s="62">
        <f t="shared" si="443"/>
        <v>299.64460570866004</v>
      </c>
      <c r="L486" s="62">
        <f t="shared" si="443"/>
        <v>292.62930095564832</v>
      </c>
      <c r="M486" s="62">
        <f t="shared" si="443"/>
        <v>283.01158058234205</v>
      </c>
      <c r="N486" s="62">
        <f t="shared" si="443"/>
        <v>270.086394993868</v>
      </c>
      <c r="O486" s="62">
        <f t="shared" si="443"/>
        <v>253.19068046751249</v>
      </c>
      <c r="P486" s="62">
        <f t="shared" si="443"/>
        <v>231.91338376797904</v>
      </c>
      <c r="Q486" s="62">
        <f t="shared" si="443"/>
        <v>206.38123849343626</v>
      </c>
      <c r="R486" s="62">
        <f t="shared" si="443"/>
        <v>177.51016128653148</v>
      </c>
      <c r="S486" s="62">
        <f t="shared" si="443"/>
        <v>147.0310835342512</v>
      </c>
      <c r="T486" s="62">
        <f t="shared" si="443"/>
        <v>117.15177702261984</v>
      </c>
      <c r="U486" s="62">
        <f t="shared" si="443"/>
        <v>89.95202928274847</v>
      </c>
      <c r="V486" s="62">
        <f t="shared" si="443"/>
        <v>66.836117022420993</v>
      </c>
      <c r="W486" s="62">
        <f t="shared" si="443"/>
        <v>48.3244111272327</v>
      </c>
      <c r="X486" s="62">
        <f t="shared" si="443"/>
        <v>34.199157921065265</v>
      </c>
      <c r="Y486" s="62">
        <f t="shared" si="443"/>
        <v>23.815963967587489</v>
      </c>
      <c r="Z486" s="62">
        <f t="shared" si="443"/>
        <v>16.39213050103271</v>
      </c>
      <c r="AA486" s="62">
        <f t="shared" si="443"/>
        <v>11.189119590109595</v>
      </c>
      <c r="AB486" s="62">
        <f t="shared" si="443"/>
        <v>7.5935192486181142</v>
      </c>
      <c r="AC486" s="62">
        <f t="shared" si="443"/>
        <v>5.1328707592978748</v>
      </c>
    </row>
    <row r="487" spans="1:29" ht="15" thickBot="1" x14ac:dyDescent="0.35">
      <c r="A487" s="31" t="s">
        <v>209</v>
      </c>
      <c r="B487" s="64">
        <f>B478+B479+B480+B481+B482+B483+B484+B485+B486</f>
        <v>163982.76895841342</v>
      </c>
      <c r="C487" s="64">
        <f t="shared" ref="C487:AC487" si="444">C478+C479+C480+C481+C482+C483+C484+C485+C486</f>
        <v>163075.10547269744</v>
      </c>
      <c r="D487" s="64">
        <f t="shared" si="444"/>
        <v>161830.26571934222</v>
      </c>
      <c r="E487" s="64">
        <f t="shared" si="444"/>
        <v>160156.37116667241</v>
      </c>
      <c r="F487" s="64">
        <f t="shared" si="444"/>
        <v>157966.33401479051</v>
      </c>
      <c r="G487" s="64">
        <f t="shared" si="444"/>
        <v>155204.61051326527</v>
      </c>
      <c r="H487" s="64">
        <f t="shared" si="444"/>
        <v>151883.72022799318</v>
      </c>
      <c r="I487" s="64">
        <f t="shared" si="444"/>
        <v>148116.57270497648</v>
      </c>
      <c r="J487" s="64">
        <f t="shared" si="444"/>
        <v>144120.34707754286</v>
      </c>
      <c r="K487" s="64">
        <f t="shared" si="444"/>
        <v>140174.40402708121</v>
      </c>
      <c r="L487" s="64">
        <f t="shared" si="444"/>
        <v>136544.61183379783</v>
      </c>
      <c r="M487" s="64">
        <f t="shared" si="444"/>
        <v>133414.88568754841</v>
      </c>
      <c r="N487" s="64">
        <f t="shared" si="444"/>
        <v>130860.84046863527</v>
      </c>
      <c r="O487" s="64">
        <f t="shared" si="444"/>
        <v>128866.6470401344</v>
      </c>
      <c r="P487" s="64">
        <f t="shared" si="444"/>
        <v>127361.55919038346</v>
      </c>
      <c r="Q487" s="64">
        <f t="shared" si="444"/>
        <v>126253.84539939083</v>
      </c>
      <c r="R487" s="64">
        <f t="shared" si="444"/>
        <v>125453.11099637176</v>
      </c>
      <c r="S487" s="64">
        <f t="shared" si="444"/>
        <v>124881.48813740605</v>
      </c>
      <c r="T487" s="64">
        <f t="shared" si="444"/>
        <v>124477.11414550421</v>
      </c>
      <c r="U487" s="64">
        <f t="shared" si="444"/>
        <v>124193.2155595856</v>
      </c>
      <c r="V487" s="64">
        <f t="shared" si="444"/>
        <v>123995.35184098432</v>
      </c>
      <c r="W487" s="64">
        <f t="shared" si="444"/>
        <v>123858.45728260592</v>
      </c>
      <c r="X487" s="64">
        <f t="shared" si="444"/>
        <v>123764.4041378595</v>
      </c>
      <c r="Y487" s="64">
        <f t="shared" si="444"/>
        <v>123700.18170326835</v>
      </c>
      <c r="Z487" s="64">
        <f t="shared" si="444"/>
        <v>123656.54930935077</v>
      </c>
      <c r="AA487" s="64">
        <f t="shared" si="444"/>
        <v>123627.02108038439</v>
      </c>
      <c r="AB487" s="64">
        <f t="shared" si="444"/>
        <v>123607.09545849379</v>
      </c>
      <c r="AC487" s="64">
        <f t="shared" si="444"/>
        <v>123593.67749474448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445">A478</f>
        <v>Capex vehicle</v>
      </c>
      <c r="B490" s="65">
        <f>((1+B463)^B470)*B463/(((1+B463)^B470)-1)*(B459)/B475</f>
        <v>0.69100739001519718</v>
      </c>
      <c r="C490" s="65">
        <f t="shared" ref="C490:AC490" si="446">((1+C463)^C470)*C463/(((1+C463)^C470)-1)*(C459)/C475</f>
        <v>0.68090365704186628</v>
      </c>
      <c r="D490" s="65">
        <f t="shared" si="446"/>
        <v>0.66705181711683192</v>
      </c>
      <c r="E490" s="65">
        <f t="shared" si="446"/>
        <v>0.64843642856074346</v>
      </c>
      <c r="F490" s="65">
        <f t="shared" si="446"/>
        <v>0.62410251948934681</v>
      </c>
      <c r="G490" s="65">
        <f t="shared" si="446"/>
        <v>0.59345807397839045</v>
      </c>
      <c r="H490" s="65">
        <f t="shared" si="446"/>
        <v>0.55668561901418878</v>
      </c>
      <c r="I490" s="65">
        <f t="shared" si="446"/>
        <v>0.51510429574726224</v>
      </c>
      <c r="J490" s="65">
        <f t="shared" si="446"/>
        <v>0.47120706337824442</v>
      </c>
      <c r="K490" s="65">
        <f t="shared" si="446"/>
        <v>0.42817364643477857</v>
      </c>
      <c r="L490" s="65">
        <f t="shared" si="446"/>
        <v>0.38899944121045954</v>
      </c>
      <c r="M490" s="65">
        <f t="shared" si="446"/>
        <v>0.3557069452838888</v>
      </c>
      <c r="N490" s="65">
        <f t="shared" si="446"/>
        <v>0.32904561839491481</v>
      </c>
      <c r="O490" s="65">
        <f t="shared" si="446"/>
        <v>0.30870184266449741</v>
      </c>
      <c r="P490" s="65">
        <f t="shared" si="446"/>
        <v>0.29374753592946845</v>
      </c>
      <c r="Q490" s="65">
        <f t="shared" si="446"/>
        <v>0.28305542295285885</v>
      </c>
      <c r="R490" s="65">
        <f t="shared" si="446"/>
        <v>0.27556183076376323</v>
      </c>
      <c r="S490" s="65">
        <f t="shared" si="446"/>
        <v>0.27038329796892618</v>
      </c>
      <c r="T490" s="65">
        <f t="shared" si="446"/>
        <v>0.26683936992123181</v>
      </c>
      <c r="U490" s="65">
        <f t="shared" si="446"/>
        <v>0.26443027085301957</v>
      </c>
      <c r="V490" s="65">
        <f t="shared" si="446"/>
        <v>0.2628000603205809</v>
      </c>
      <c r="W490" s="65">
        <f t="shared" si="446"/>
        <v>0.26170031859342474</v>
      </c>
      <c r="X490" s="65">
        <f t="shared" si="446"/>
        <v>0.26095997792575648</v>
      </c>
      <c r="Y490" s="65">
        <f t="shared" si="446"/>
        <v>0.26046228419514467</v>
      </c>
      <c r="Z490" s="65">
        <f t="shared" si="446"/>
        <v>0.26012802583836492</v>
      </c>
      <c r="AA490" s="65">
        <f t="shared" si="446"/>
        <v>0.2599036755487249</v>
      </c>
      <c r="AB490" s="65">
        <f t="shared" si="446"/>
        <v>0.25975315843316904</v>
      </c>
      <c r="AC490" s="65">
        <f t="shared" si="446"/>
        <v>0.25965220503656539</v>
      </c>
    </row>
    <row r="491" spans="1:29" x14ac:dyDescent="0.3">
      <c r="A491" s="30" t="str">
        <f t="shared" si="445"/>
        <v>Residual value (vehicle)</v>
      </c>
      <c r="B491" s="66">
        <f>((1+B463)^B470)*B463/(((1+B463)^B470)-1)*(B460)/B475</f>
        <v>-0.10505606812708636</v>
      </c>
      <c r="C491" s="66">
        <f t="shared" ref="C491:AC491" si="447">((1+C463)^C470)*C463/(((1+C463)^C470)-1)*(C460)/C475</f>
        <v>-0.10411503417368789</v>
      </c>
      <c r="D491" s="66">
        <f t="shared" si="447"/>
        <v>-0.10282491182772881</v>
      </c>
      <c r="E491" s="66">
        <f t="shared" si="447"/>
        <v>-0.10109112563868136</v>
      </c>
      <c r="F491" s="66">
        <f t="shared" si="447"/>
        <v>-9.8824732146737551E-2</v>
      </c>
      <c r="G491" s="66">
        <f t="shared" si="447"/>
        <v>-9.5970592613854364E-2</v>
      </c>
      <c r="H491" s="66">
        <f t="shared" si="447"/>
        <v>-9.2545707102482624E-2</v>
      </c>
      <c r="I491" s="66">
        <f t="shared" si="447"/>
        <v>-8.8672936798210075E-2</v>
      </c>
      <c r="J491" s="66">
        <f t="shared" si="447"/>
        <v>-8.4584469077566241E-2</v>
      </c>
      <c r="K491" s="66">
        <f t="shared" si="447"/>
        <v>-8.0576454754400298E-2</v>
      </c>
      <c r="L491" s="66">
        <f t="shared" si="447"/>
        <v>-7.6927876816841198E-2</v>
      </c>
      <c r="M491" s="66">
        <f t="shared" si="447"/>
        <v>-7.3827105137405674E-2</v>
      </c>
      <c r="N491" s="66">
        <f t="shared" si="447"/>
        <v>-7.13439423389228E-2</v>
      </c>
      <c r="O491" s="66">
        <f t="shared" si="447"/>
        <v>-6.9449178913050594E-2</v>
      </c>
      <c r="P491" s="66">
        <f t="shared" si="447"/>
        <v>-6.8056375834788088E-2</v>
      </c>
      <c r="Q491" s="66">
        <f t="shared" si="447"/>
        <v>-6.7060541783045047E-2</v>
      </c>
      <c r="R491" s="66">
        <f t="shared" si="447"/>
        <v>-6.6362609177197898E-2</v>
      </c>
      <c r="S491" s="66">
        <f t="shared" si="447"/>
        <v>-6.5880294848267018E-2</v>
      </c>
      <c r="T491" s="66">
        <f t="shared" si="447"/>
        <v>-6.555022311833468E-2</v>
      </c>
      <c r="U491" s="66">
        <f t="shared" si="447"/>
        <v>-6.5325846244334504E-2</v>
      </c>
      <c r="V491" s="66">
        <f t="shared" si="447"/>
        <v>-6.5174012910430928E-2</v>
      </c>
      <c r="W491" s="66">
        <f t="shared" si="447"/>
        <v>-6.5071585984862457E-2</v>
      </c>
      <c r="X491" s="66">
        <f t="shared" si="447"/>
        <v>-6.5002632687383557E-2</v>
      </c>
      <c r="Y491" s="66">
        <f t="shared" si="447"/>
        <v>-6.4956278859532451E-2</v>
      </c>
      <c r="Z491" s="66">
        <f t="shared" si="447"/>
        <v>-6.4925146953753926E-2</v>
      </c>
      <c r="AA491" s="66">
        <f t="shared" si="447"/>
        <v>-6.490425158364041E-2</v>
      </c>
      <c r="AB491" s="66">
        <f t="shared" si="447"/>
        <v>-6.4890232832681777E-2</v>
      </c>
      <c r="AC491" s="66">
        <f t="shared" si="447"/>
        <v>-6.4880830310449084E-2</v>
      </c>
    </row>
    <row r="492" spans="1:29" x14ac:dyDescent="0.3">
      <c r="A492" s="30" t="str">
        <f t="shared" si="445"/>
        <v>Capex costumization</v>
      </c>
      <c r="B492" s="66">
        <f>((1+B463)^B471)*B463/(((1+B463)^B471)-1)*(B461)/B475</f>
        <v>5.2837539307926999E-2</v>
      </c>
      <c r="C492" s="66">
        <f t="shared" ref="C492:AC492" si="448">((1+C463)^C471)*C463/(((1+C463)^C471)-1)*(C461)/C475</f>
        <v>5.2837539307926999E-2</v>
      </c>
      <c r="D492" s="66">
        <f t="shared" si="448"/>
        <v>5.2837539307926999E-2</v>
      </c>
      <c r="E492" s="66">
        <f t="shared" si="448"/>
        <v>5.2837539307926999E-2</v>
      </c>
      <c r="F492" s="66">
        <f t="shared" si="448"/>
        <v>5.2837539307926999E-2</v>
      </c>
      <c r="G492" s="66">
        <f t="shared" si="448"/>
        <v>5.2837539307926999E-2</v>
      </c>
      <c r="H492" s="66">
        <f t="shared" si="448"/>
        <v>5.2837539307926999E-2</v>
      </c>
      <c r="I492" s="66">
        <f t="shared" si="448"/>
        <v>5.2837539307926999E-2</v>
      </c>
      <c r="J492" s="66">
        <f t="shared" si="448"/>
        <v>5.2837539307926999E-2</v>
      </c>
      <c r="K492" s="66">
        <f t="shared" si="448"/>
        <v>5.2837539307926999E-2</v>
      </c>
      <c r="L492" s="66">
        <f t="shared" si="448"/>
        <v>5.2837539307926999E-2</v>
      </c>
      <c r="M492" s="66">
        <f t="shared" si="448"/>
        <v>5.2837539307926999E-2</v>
      </c>
      <c r="N492" s="66">
        <f t="shared" si="448"/>
        <v>5.2837539307926999E-2</v>
      </c>
      <c r="O492" s="66">
        <f t="shared" si="448"/>
        <v>5.2837539307926999E-2</v>
      </c>
      <c r="P492" s="66">
        <f t="shared" si="448"/>
        <v>5.2837539307926999E-2</v>
      </c>
      <c r="Q492" s="66">
        <f t="shared" si="448"/>
        <v>5.2837539307926999E-2</v>
      </c>
      <c r="R492" s="66">
        <f t="shared" si="448"/>
        <v>5.2837539307926999E-2</v>
      </c>
      <c r="S492" s="66">
        <f t="shared" si="448"/>
        <v>5.2837539307926999E-2</v>
      </c>
      <c r="T492" s="66">
        <f t="shared" si="448"/>
        <v>5.2837539307926999E-2</v>
      </c>
      <c r="U492" s="66">
        <f t="shared" si="448"/>
        <v>5.2837539307926999E-2</v>
      </c>
      <c r="V492" s="66">
        <f t="shared" si="448"/>
        <v>5.2837539307926999E-2</v>
      </c>
      <c r="W492" s="66">
        <f t="shared" si="448"/>
        <v>5.2837539307926999E-2</v>
      </c>
      <c r="X492" s="66">
        <f t="shared" si="448"/>
        <v>5.2837539307926999E-2</v>
      </c>
      <c r="Y492" s="66">
        <f t="shared" si="448"/>
        <v>5.2837539307926999E-2</v>
      </c>
      <c r="Z492" s="66">
        <f t="shared" si="448"/>
        <v>5.2837539307926999E-2</v>
      </c>
      <c r="AA492" s="66">
        <f t="shared" si="448"/>
        <v>5.2837539307926999E-2</v>
      </c>
      <c r="AB492" s="66">
        <f t="shared" si="448"/>
        <v>5.2837539307926999E-2</v>
      </c>
      <c r="AC492" s="66">
        <f t="shared" si="448"/>
        <v>5.2837539307926999E-2</v>
      </c>
    </row>
    <row r="493" spans="1:29" x14ac:dyDescent="0.3">
      <c r="A493" s="30" t="str">
        <f t="shared" si="445"/>
        <v>Residual value (costumization)</v>
      </c>
      <c r="B493" s="66">
        <f>((1+B463)^B471)*B463/(((1+B463)^B471)-1)*(B462)/B475</f>
        <v>-1.320938482698175E-2</v>
      </c>
      <c r="C493" s="66">
        <f t="shared" ref="C493:AC493" si="449">((1+C463)^C471)*C463/(((1+C463)^C471)-1)*(C462)/C475</f>
        <v>-1.320938482698175E-2</v>
      </c>
      <c r="D493" s="66">
        <f t="shared" si="449"/>
        <v>-1.320938482698175E-2</v>
      </c>
      <c r="E493" s="66">
        <f t="shared" si="449"/>
        <v>-1.320938482698175E-2</v>
      </c>
      <c r="F493" s="66">
        <f t="shared" si="449"/>
        <v>-1.320938482698175E-2</v>
      </c>
      <c r="G493" s="66">
        <f t="shared" si="449"/>
        <v>-1.320938482698175E-2</v>
      </c>
      <c r="H493" s="66">
        <f t="shared" si="449"/>
        <v>-1.320938482698175E-2</v>
      </c>
      <c r="I493" s="66">
        <f t="shared" si="449"/>
        <v>-1.320938482698175E-2</v>
      </c>
      <c r="J493" s="66">
        <f t="shared" si="449"/>
        <v>-1.320938482698175E-2</v>
      </c>
      <c r="K493" s="66">
        <f t="shared" si="449"/>
        <v>-1.320938482698175E-2</v>
      </c>
      <c r="L493" s="66">
        <f t="shared" si="449"/>
        <v>-1.320938482698175E-2</v>
      </c>
      <c r="M493" s="66">
        <f t="shared" si="449"/>
        <v>-1.320938482698175E-2</v>
      </c>
      <c r="N493" s="66">
        <f t="shared" si="449"/>
        <v>-1.320938482698175E-2</v>
      </c>
      <c r="O493" s="66">
        <f t="shared" si="449"/>
        <v>-1.320938482698175E-2</v>
      </c>
      <c r="P493" s="66">
        <f t="shared" si="449"/>
        <v>-1.320938482698175E-2</v>
      </c>
      <c r="Q493" s="66">
        <f t="shared" si="449"/>
        <v>-1.320938482698175E-2</v>
      </c>
      <c r="R493" s="66">
        <f t="shared" si="449"/>
        <v>-1.320938482698175E-2</v>
      </c>
      <c r="S493" s="66">
        <f t="shared" si="449"/>
        <v>-1.320938482698175E-2</v>
      </c>
      <c r="T493" s="66">
        <f t="shared" si="449"/>
        <v>-1.320938482698175E-2</v>
      </c>
      <c r="U493" s="66">
        <f t="shared" si="449"/>
        <v>-1.320938482698175E-2</v>
      </c>
      <c r="V493" s="66">
        <f t="shared" si="449"/>
        <v>-1.320938482698175E-2</v>
      </c>
      <c r="W493" s="66">
        <f t="shared" si="449"/>
        <v>-1.320938482698175E-2</v>
      </c>
      <c r="X493" s="66">
        <f t="shared" si="449"/>
        <v>-1.320938482698175E-2</v>
      </c>
      <c r="Y493" s="66">
        <f t="shared" si="449"/>
        <v>-1.320938482698175E-2</v>
      </c>
      <c r="Z493" s="66">
        <f t="shared" si="449"/>
        <v>-1.320938482698175E-2</v>
      </c>
      <c r="AA493" s="66">
        <f t="shared" si="449"/>
        <v>-1.320938482698175E-2</v>
      </c>
      <c r="AB493" s="66">
        <f t="shared" si="449"/>
        <v>-1.320938482698175E-2</v>
      </c>
      <c r="AC493" s="66">
        <f t="shared" si="449"/>
        <v>-1.320938482698175E-2</v>
      </c>
    </row>
    <row r="494" spans="1:29" x14ac:dyDescent="0.3">
      <c r="A494" s="30" t="str">
        <f t="shared" si="445"/>
        <v>Opex fix (admin, crew, insurance)</v>
      </c>
      <c r="B494" s="66">
        <f>B464/B475</f>
        <v>0.77777777777777779</v>
      </c>
      <c r="C494" s="66">
        <f t="shared" ref="C494:AC494" si="450">C464/C475</f>
        <v>0.77777777777777779</v>
      </c>
      <c r="D494" s="66">
        <f t="shared" si="450"/>
        <v>0.77777777777777779</v>
      </c>
      <c r="E494" s="66">
        <f t="shared" si="450"/>
        <v>0.77777777777777779</v>
      </c>
      <c r="F494" s="66">
        <f t="shared" si="450"/>
        <v>0.77777777777777779</v>
      </c>
      <c r="G494" s="66">
        <f t="shared" si="450"/>
        <v>0.77777777777777779</v>
      </c>
      <c r="H494" s="66">
        <f t="shared" si="450"/>
        <v>0.77777777777777779</v>
      </c>
      <c r="I494" s="66">
        <f t="shared" si="450"/>
        <v>0.77777777777777779</v>
      </c>
      <c r="J494" s="66">
        <f t="shared" si="450"/>
        <v>0.77777777777777779</v>
      </c>
      <c r="K494" s="66">
        <f t="shared" si="450"/>
        <v>0.77777777777777779</v>
      </c>
      <c r="L494" s="66">
        <f t="shared" si="450"/>
        <v>0.77777777777777779</v>
      </c>
      <c r="M494" s="66">
        <f t="shared" si="450"/>
        <v>0.77777777777777779</v>
      </c>
      <c r="N494" s="66">
        <f t="shared" si="450"/>
        <v>0.77777777777777779</v>
      </c>
      <c r="O494" s="66">
        <f t="shared" si="450"/>
        <v>0.77777777777777779</v>
      </c>
      <c r="P494" s="66">
        <f t="shared" si="450"/>
        <v>0.77777777777777779</v>
      </c>
      <c r="Q494" s="66">
        <f t="shared" si="450"/>
        <v>0.77777777777777779</v>
      </c>
      <c r="R494" s="66">
        <f t="shared" si="450"/>
        <v>0.77777777777777779</v>
      </c>
      <c r="S494" s="66">
        <f t="shared" si="450"/>
        <v>0.77777777777777779</v>
      </c>
      <c r="T494" s="66">
        <f t="shared" si="450"/>
        <v>0.77777777777777779</v>
      </c>
      <c r="U494" s="66">
        <f t="shared" si="450"/>
        <v>0.77777777777777779</v>
      </c>
      <c r="V494" s="66">
        <f t="shared" si="450"/>
        <v>0.77777777777777779</v>
      </c>
      <c r="W494" s="66">
        <f t="shared" si="450"/>
        <v>0.77777777777777779</v>
      </c>
      <c r="X494" s="66">
        <f t="shared" si="450"/>
        <v>0.77777777777777779</v>
      </c>
      <c r="Y494" s="66">
        <f t="shared" si="450"/>
        <v>0.77777777777777779</v>
      </c>
      <c r="Z494" s="66">
        <f t="shared" si="450"/>
        <v>0.77777777777777779</v>
      </c>
      <c r="AA494" s="66">
        <f t="shared" si="450"/>
        <v>0.77777777777777779</v>
      </c>
      <c r="AB494" s="66">
        <f t="shared" si="450"/>
        <v>0.77777777777777779</v>
      </c>
      <c r="AC494" s="66">
        <f t="shared" si="450"/>
        <v>0.77777777777777779</v>
      </c>
    </row>
    <row r="495" spans="1:29" x14ac:dyDescent="0.3">
      <c r="A495" s="30" t="str">
        <f t="shared" si="445"/>
        <v>Opex maintenance &amp; repair</v>
      </c>
      <c r="B495" s="66">
        <f>B465/B475</f>
        <v>0.16666666666666666</v>
      </c>
      <c r="C495" s="66">
        <f t="shared" ref="C495:AC495" si="451">C465/C475</f>
        <v>0.16666666666666666</v>
      </c>
      <c r="D495" s="66">
        <f t="shared" si="451"/>
        <v>0.16666666666666666</v>
      </c>
      <c r="E495" s="66">
        <f t="shared" si="451"/>
        <v>0.16666666666666666</v>
      </c>
      <c r="F495" s="66">
        <f t="shared" si="451"/>
        <v>0.16666666666666666</v>
      </c>
      <c r="G495" s="66">
        <f t="shared" si="451"/>
        <v>0.16666666666666666</v>
      </c>
      <c r="H495" s="66">
        <f t="shared" si="451"/>
        <v>0.16666666666666666</v>
      </c>
      <c r="I495" s="66">
        <f t="shared" si="451"/>
        <v>0.16666666666666666</v>
      </c>
      <c r="J495" s="66">
        <f t="shared" si="451"/>
        <v>0.16666666666666666</v>
      </c>
      <c r="K495" s="66">
        <f t="shared" si="451"/>
        <v>0.16666666666666666</v>
      </c>
      <c r="L495" s="66">
        <f t="shared" si="451"/>
        <v>0.16666666666666666</v>
      </c>
      <c r="M495" s="66">
        <f t="shared" si="451"/>
        <v>0.16666666666666666</v>
      </c>
      <c r="N495" s="66">
        <f t="shared" si="451"/>
        <v>0.16666666666666666</v>
      </c>
      <c r="O495" s="66">
        <f t="shared" si="451"/>
        <v>0.16666666666666666</v>
      </c>
      <c r="P495" s="66">
        <f t="shared" si="451"/>
        <v>0.16666666666666666</v>
      </c>
      <c r="Q495" s="66">
        <f t="shared" si="451"/>
        <v>0.16666666666666666</v>
      </c>
      <c r="R495" s="66">
        <f t="shared" si="451"/>
        <v>0.16666666666666666</v>
      </c>
      <c r="S495" s="66">
        <f t="shared" si="451"/>
        <v>0.16666666666666666</v>
      </c>
      <c r="T495" s="66">
        <f t="shared" si="451"/>
        <v>0.16666666666666666</v>
      </c>
      <c r="U495" s="66">
        <f t="shared" si="451"/>
        <v>0.16666666666666666</v>
      </c>
      <c r="V495" s="66">
        <f t="shared" si="451"/>
        <v>0.16666666666666666</v>
      </c>
      <c r="W495" s="66">
        <f t="shared" si="451"/>
        <v>0.16666666666666666</v>
      </c>
      <c r="X495" s="66">
        <f t="shared" si="451"/>
        <v>0.16666666666666666</v>
      </c>
      <c r="Y495" s="66">
        <f t="shared" si="451"/>
        <v>0.16666666666666666</v>
      </c>
      <c r="Z495" s="66">
        <f t="shared" si="451"/>
        <v>0.16666666666666666</v>
      </c>
      <c r="AA495" s="66">
        <f t="shared" si="451"/>
        <v>0.16666666666666666</v>
      </c>
      <c r="AB495" s="66">
        <f t="shared" si="451"/>
        <v>0.16666666666666666</v>
      </c>
      <c r="AC495" s="66">
        <f t="shared" si="451"/>
        <v>0.16666666666666666</v>
      </c>
    </row>
    <row r="496" spans="1:29" x14ac:dyDescent="0.3">
      <c r="A496" s="30" t="str">
        <f t="shared" si="445"/>
        <v>Opex var (mode-fees)</v>
      </c>
      <c r="B496" s="66">
        <f>B466*B475/B475</f>
        <v>0.11</v>
      </c>
      <c r="C496" s="66">
        <f t="shared" ref="C496:AC496" si="452">C466*C475/C475</f>
        <v>0.11</v>
      </c>
      <c r="D496" s="66">
        <f t="shared" si="452"/>
        <v>0.11</v>
      </c>
      <c r="E496" s="66">
        <f t="shared" si="452"/>
        <v>0.11</v>
      </c>
      <c r="F496" s="66">
        <f t="shared" si="452"/>
        <v>0.11</v>
      </c>
      <c r="G496" s="66">
        <f t="shared" si="452"/>
        <v>0.11</v>
      </c>
      <c r="H496" s="66">
        <f t="shared" si="452"/>
        <v>0.11</v>
      </c>
      <c r="I496" s="66">
        <f t="shared" si="452"/>
        <v>0.11</v>
      </c>
      <c r="J496" s="66">
        <f t="shared" si="452"/>
        <v>0.11</v>
      </c>
      <c r="K496" s="66">
        <f t="shared" si="452"/>
        <v>0.11</v>
      </c>
      <c r="L496" s="66">
        <f t="shared" si="452"/>
        <v>0.11</v>
      </c>
      <c r="M496" s="66">
        <f t="shared" si="452"/>
        <v>0.11</v>
      </c>
      <c r="N496" s="66">
        <f t="shared" si="452"/>
        <v>0.11</v>
      </c>
      <c r="O496" s="66">
        <f t="shared" si="452"/>
        <v>0.11</v>
      </c>
      <c r="P496" s="66">
        <f t="shared" si="452"/>
        <v>0.11</v>
      </c>
      <c r="Q496" s="66">
        <f t="shared" si="452"/>
        <v>0.11</v>
      </c>
      <c r="R496" s="66">
        <f t="shared" si="452"/>
        <v>0.11</v>
      </c>
      <c r="S496" s="66">
        <f t="shared" si="452"/>
        <v>0.11</v>
      </c>
      <c r="T496" s="66">
        <f t="shared" si="452"/>
        <v>0.11</v>
      </c>
      <c r="U496" s="66">
        <f t="shared" si="452"/>
        <v>0.11</v>
      </c>
      <c r="V496" s="66">
        <f t="shared" si="452"/>
        <v>0.11</v>
      </c>
      <c r="W496" s="66">
        <f t="shared" si="452"/>
        <v>0.11</v>
      </c>
      <c r="X496" s="66">
        <f t="shared" si="452"/>
        <v>0.11</v>
      </c>
      <c r="Y496" s="66">
        <f t="shared" si="452"/>
        <v>0.11</v>
      </c>
      <c r="Z496" s="66">
        <f t="shared" si="452"/>
        <v>0.11</v>
      </c>
      <c r="AA496" s="66">
        <f t="shared" si="452"/>
        <v>0.11</v>
      </c>
      <c r="AB496" s="66">
        <f t="shared" si="452"/>
        <v>0.11</v>
      </c>
      <c r="AC496" s="66">
        <f t="shared" si="452"/>
        <v>0.11</v>
      </c>
    </row>
    <row r="497" spans="1:29" x14ac:dyDescent="0.3">
      <c r="A497" s="30" t="str">
        <f t="shared" si="445"/>
        <v>Fuel Cost</v>
      </c>
      <c r="B497" s="66">
        <f>B467*B468*B475/B475</f>
        <v>0.13849457620716266</v>
      </c>
      <c r="C497" s="66">
        <f t="shared" ref="C497:AC497" si="453">C467*C468*C475/C475</f>
        <v>0.13757546992183967</v>
      </c>
      <c r="D497" s="66">
        <f t="shared" si="453"/>
        <v>0.13631042231469542</v>
      </c>
      <c r="E497" s="66">
        <f t="shared" si="453"/>
        <v>0.1346000453584727</v>
      </c>
      <c r="F497" s="66">
        <f t="shared" si="453"/>
        <v>0.13234360359500089</v>
      </c>
      <c r="G497" s="66">
        <f t="shared" si="453"/>
        <v>0.12946206360694487</v>
      </c>
      <c r="H497" s="66">
        <f t="shared" si="453"/>
        <v>0.12593074984139796</v>
      </c>
      <c r="I497" s="66">
        <f t="shared" si="453"/>
        <v>0.12181036002680057</v>
      </c>
      <c r="J497" s="66">
        <f t="shared" si="453"/>
        <v>0.11725654908192047</v>
      </c>
      <c r="K497" s="66">
        <f t="shared" si="453"/>
        <v>0.11249420296503811</v>
      </c>
      <c r="L497" s="66">
        <f t="shared" si="453"/>
        <v>0.10776675371257159</v>
      </c>
      <c r="M497" s="66">
        <f t="shared" si="453"/>
        <v>0.10329060656108351</v>
      </c>
      <c r="N497" s="66">
        <f t="shared" si="453"/>
        <v>9.9234103614633834E-2</v>
      </c>
      <c r="O497" s="66">
        <f t="shared" si="453"/>
        <v>9.5713141319462278E-2</v>
      </c>
      <c r="P497" s="66">
        <f t="shared" si="453"/>
        <v>9.2787861053435228E-2</v>
      </c>
      <c r="Q497" s="66">
        <f t="shared" si="453"/>
        <v>9.045989947032318E-2</v>
      </c>
      <c r="R497" s="66">
        <f t="shared" si="453"/>
        <v>8.8679299877880896E-2</v>
      </c>
      <c r="S497" s="66">
        <f t="shared" si="453"/>
        <v>8.7362809663637894E-2</v>
      </c>
      <c r="T497" s="66">
        <f t="shared" si="453"/>
        <v>8.6415613921508566E-2</v>
      </c>
      <c r="U497" s="66">
        <f t="shared" si="453"/>
        <v>8.5748126802623531E-2</v>
      </c>
      <c r="V497" s="66">
        <f t="shared" si="453"/>
        <v>8.5284861708481347E-2</v>
      </c>
      <c r="W497" s="66">
        <f t="shared" si="453"/>
        <v>8.4966811482477755E-2</v>
      </c>
      <c r="X497" s="66">
        <f t="shared" si="453"/>
        <v>8.4750111168886685E-2</v>
      </c>
      <c r="Y497" s="66">
        <f t="shared" si="453"/>
        <v>8.46032372867844E-2</v>
      </c>
      <c r="Z497" s="66">
        <f t="shared" si="453"/>
        <v>8.4504046399440924E-2</v>
      </c>
      <c r="AA497" s="66">
        <f t="shared" si="453"/>
        <v>8.4437221118351113E-2</v>
      </c>
      <c r="AB497" s="66">
        <f t="shared" si="453"/>
        <v>8.4392274799069439E-2</v>
      </c>
      <c r="AC497" s="66">
        <f t="shared" si="453"/>
        <v>8.4362077726107196E-2</v>
      </c>
    </row>
    <row r="498" spans="1:29" ht="15" thickBot="1" x14ac:dyDescent="0.35">
      <c r="A498" s="59" t="str">
        <f t="shared" ref="A498" si="454">A486</f>
        <v>Emission Cost</v>
      </c>
      <c r="B498" s="66">
        <f>B469</f>
        <v>3.5122691839304448E-3</v>
      </c>
      <c r="C498" s="66">
        <f t="shared" ref="C498:AC498" si="455">C469</f>
        <v>3.5089246478970256E-3</v>
      </c>
      <c r="D498" s="66">
        <f t="shared" si="455"/>
        <v>3.5041370190587195E-3</v>
      </c>
      <c r="E498" s="66">
        <f t="shared" si="455"/>
        <v>3.4972879793244123E-3</v>
      </c>
      <c r="F498" s="66">
        <f t="shared" si="455"/>
        <v>3.4874991902284352E-3</v>
      </c>
      <c r="G498" s="66">
        <f t="shared" si="455"/>
        <v>3.4735284727434282E-3</v>
      </c>
      <c r="H498" s="66">
        <f t="shared" si="455"/>
        <v>3.4536307436526109E-3</v>
      </c>
      <c r="I498" s="66">
        <f t="shared" si="455"/>
        <v>3.4253788207186963E-3</v>
      </c>
      <c r="J498" s="66">
        <f t="shared" si="455"/>
        <v>3.3854474424880663E-3</v>
      </c>
      <c r="K498" s="66">
        <f t="shared" si="455"/>
        <v>3.3293845078740006E-3</v>
      </c>
      <c r="L498" s="66">
        <f t="shared" si="455"/>
        <v>3.251436677284981E-3</v>
      </c>
      <c r="M498" s="66">
        <f t="shared" si="455"/>
        <v>3.1445731175815781E-3</v>
      </c>
      <c r="N498" s="66">
        <f t="shared" si="455"/>
        <v>3.0009599443763112E-3</v>
      </c>
      <c r="O498" s="66">
        <f t="shared" si="455"/>
        <v>2.813229782972361E-3</v>
      </c>
      <c r="P498" s="66">
        <f t="shared" si="455"/>
        <v>2.5768153751997672E-3</v>
      </c>
      <c r="Q498" s="66">
        <f t="shared" si="455"/>
        <v>2.2931248721492917E-3</v>
      </c>
      <c r="R498" s="66">
        <f t="shared" si="455"/>
        <v>1.9723351254059053E-3</v>
      </c>
      <c r="S498" s="66">
        <f t="shared" si="455"/>
        <v>1.6336787059361244E-3</v>
      </c>
      <c r="T498" s="66">
        <f t="shared" si="455"/>
        <v>1.3016864113624426E-3</v>
      </c>
      <c r="U498" s="66">
        <f t="shared" si="455"/>
        <v>9.9946699203053851E-4</v>
      </c>
      <c r="V498" s="66">
        <f t="shared" si="455"/>
        <v>7.4262352247134438E-4</v>
      </c>
      <c r="W498" s="66">
        <f t="shared" si="455"/>
        <v>5.3693790141369664E-4</v>
      </c>
      <c r="X498" s="66">
        <f t="shared" si="455"/>
        <v>3.7999064356739184E-4</v>
      </c>
      <c r="Y498" s="66">
        <f t="shared" si="455"/>
        <v>2.646218218620832E-4</v>
      </c>
      <c r="Z498" s="66">
        <f t="shared" si="455"/>
        <v>1.8213478334480789E-4</v>
      </c>
      <c r="AA498" s="66">
        <f t="shared" si="455"/>
        <v>1.2432355100121771E-4</v>
      </c>
      <c r="AB498" s="66">
        <f t="shared" si="455"/>
        <v>8.4372436095756821E-5</v>
      </c>
      <c r="AC498" s="66">
        <f t="shared" si="455"/>
        <v>5.7031897325531943E-5</v>
      </c>
    </row>
    <row r="499" spans="1:29" ht="15" thickBot="1" x14ac:dyDescent="0.35">
      <c r="A499" s="31" t="s">
        <v>63</v>
      </c>
      <c r="B499" s="76">
        <f>B490+B491+B492-B493+B494+B495+B496+B497+B498</f>
        <v>1.8484495358585571</v>
      </c>
      <c r="C499" s="76">
        <f t="shared" ref="C499:AC499" si="456">C490+C491+C492-C493+C494+C495+C496+C497+C498</f>
        <v>1.8383643860172685</v>
      </c>
      <c r="D499" s="76">
        <f t="shared" si="456"/>
        <v>1.8245328332022106</v>
      </c>
      <c r="E499" s="76">
        <f t="shared" si="456"/>
        <v>1.8059340048392125</v>
      </c>
      <c r="F499" s="76">
        <f t="shared" si="456"/>
        <v>1.781600258707192</v>
      </c>
      <c r="G499" s="76">
        <f t="shared" si="456"/>
        <v>1.7509144420235776</v>
      </c>
      <c r="H499" s="76">
        <f t="shared" si="456"/>
        <v>1.7140156610761101</v>
      </c>
      <c r="I499" s="76">
        <f t="shared" si="456"/>
        <v>1.6721584663759248</v>
      </c>
      <c r="J499" s="76">
        <f t="shared" si="456"/>
        <v>1.6277559594044402</v>
      </c>
      <c r="K499" s="76">
        <f t="shared" si="456"/>
        <v>1.5839121477326439</v>
      </c>
      <c r="L499" s="76">
        <f t="shared" si="456"/>
        <v>1.543581123362828</v>
      </c>
      <c r="M499" s="76">
        <f t="shared" si="456"/>
        <v>1.5088063884045018</v>
      </c>
      <c r="N499" s="76">
        <f t="shared" si="456"/>
        <v>1.4804281081943556</v>
      </c>
      <c r="O499" s="76">
        <f t="shared" si="456"/>
        <v>1.458270403433235</v>
      </c>
      <c r="P499" s="76">
        <f t="shared" si="456"/>
        <v>1.4415472051026685</v>
      </c>
      <c r="Q499" s="76">
        <f t="shared" si="456"/>
        <v>1.4292392740916398</v>
      </c>
      <c r="R499" s="76">
        <f t="shared" si="456"/>
        <v>1.4203422251692055</v>
      </c>
      <c r="S499" s="76">
        <f t="shared" si="456"/>
        <v>1.4139908600695865</v>
      </c>
      <c r="T499" s="76">
        <f t="shared" si="456"/>
        <v>1.4094978157151217</v>
      </c>
      <c r="U499" s="76">
        <f t="shared" si="456"/>
        <v>1.4063433869826925</v>
      </c>
      <c r="V499" s="76">
        <f t="shared" si="456"/>
        <v>1.4041449012204561</v>
      </c>
      <c r="W499" s="76">
        <f t="shared" si="456"/>
        <v>1.4026238505718072</v>
      </c>
      <c r="X499" s="76">
        <f t="shared" si="456"/>
        <v>1.4015788156301803</v>
      </c>
      <c r="Y499" s="76">
        <f t="shared" si="456"/>
        <v>1.400865233023612</v>
      </c>
      <c r="Z499" s="76">
        <f t="shared" si="456"/>
        <v>1.4003804286467501</v>
      </c>
      <c r="AA499" s="76">
        <f t="shared" si="456"/>
        <v>1.4000523372137901</v>
      </c>
      <c r="AB499" s="76">
        <f t="shared" si="456"/>
        <v>1.3998309414150059</v>
      </c>
      <c r="AC499" s="76">
        <f t="shared" si="456"/>
        <v>1.3996818529289023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457">A478</f>
        <v>Capex vehicle</v>
      </c>
      <c r="B502" s="65">
        <f>((1+B463)^B470)*B463/(((1+B463)^B470)-1)*(B459)/B475/(B472)</f>
        <v>2.7640295600607889E-2</v>
      </c>
      <c r="C502" s="65">
        <f t="shared" ref="C502:AC502" si="458">((1+C463)^C470)*C463/(((1+C463)^C470)-1)*(C459)/C475/(C472)</f>
        <v>2.7236146281674652E-2</v>
      </c>
      <c r="D502" s="65">
        <f t="shared" si="458"/>
        <v>2.6682072684673278E-2</v>
      </c>
      <c r="E502" s="65">
        <f t="shared" si="458"/>
        <v>2.5937457142429739E-2</v>
      </c>
      <c r="F502" s="65">
        <f t="shared" si="458"/>
        <v>2.4964100779573874E-2</v>
      </c>
      <c r="G502" s="65">
        <f t="shared" si="458"/>
        <v>2.3738322959135617E-2</v>
      </c>
      <c r="H502" s="65">
        <f t="shared" si="458"/>
        <v>2.2267424760567551E-2</v>
      </c>
      <c r="I502" s="65">
        <f t="shared" si="458"/>
        <v>2.0604171829890491E-2</v>
      </c>
      <c r="J502" s="65">
        <f t="shared" si="458"/>
        <v>1.8848282535129778E-2</v>
      </c>
      <c r="K502" s="65">
        <f t="shared" si="458"/>
        <v>1.7126945857391142E-2</v>
      </c>
      <c r="L502" s="65">
        <f t="shared" si="458"/>
        <v>1.5559977648418382E-2</v>
      </c>
      <c r="M502" s="65">
        <f t="shared" si="458"/>
        <v>1.4228277811355551E-2</v>
      </c>
      <c r="N502" s="65">
        <f t="shared" si="458"/>
        <v>1.3161824735796593E-2</v>
      </c>
      <c r="O502" s="65">
        <f t="shared" si="458"/>
        <v>1.2348073706579896E-2</v>
      </c>
      <c r="P502" s="65">
        <f t="shared" si="458"/>
        <v>1.1749901437178738E-2</v>
      </c>
      <c r="Q502" s="65">
        <f t="shared" si="458"/>
        <v>1.1322216918114353E-2</v>
      </c>
      <c r="R502" s="65">
        <f t="shared" si="458"/>
        <v>1.102247323055053E-2</v>
      </c>
      <c r="S502" s="65">
        <f t="shared" si="458"/>
        <v>1.0815331918757047E-2</v>
      </c>
      <c r="T502" s="65">
        <f t="shared" si="458"/>
        <v>1.0673574796849272E-2</v>
      </c>
      <c r="U502" s="65">
        <f t="shared" si="458"/>
        <v>1.0577210834120783E-2</v>
      </c>
      <c r="V502" s="65">
        <f t="shared" si="458"/>
        <v>1.0512002412823235E-2</v>
      </c>
      <c r="W502" s="65">
        <f t="shared" si="458"/>
        <v>1.0468012743736989E-2</v>
      </c>
      <c r="X502" s="65">
        <f t="shared" si="458"/>
        <v>1.043839911703026E-2</v>
      </c>
      <c r="Y502" s="65">
        <f t="shared" si="458"/>
        <v>1.0418491367805786E-2</v>
      </c>
      <c r="Z502" s="65">
        <f t="shared" si="458"/>
        <v>1.0405121033534597E-2</v>
      </c>
      <c r="AA502" s="65">
        <f t="shared" si="458"/>
        <v>1.0396147021948996E-2</v>
      </c>
      <c r="AB502" s="65">
        <f t="shared" si="458"/>
        <v>1.0390126337326762E-2</v>
      </c>
      <c r="AC502" s="65">
        <f t="shared" si="458"/>
        <v>1.0386088201462616E-2</v>
      </c>
    </row>
    <row r="503" spans="1:29" x14ac:dyDescent="0.3">
      <c r="A503" s="30" t="str">
        <f t="shared" si="457"/>
        <v>Residual value (vehicle)</v>
      </c>
      <c r="B503" s="68">
        <f>((1+B463)^B470)*B463/(((1+B463)^B470)-1)*(B460)/B475/(B472)</f>
        <v>-4.2022427250834543E-3</v>
      </c>
      <c r="C503" s="68">
        <f t="shared" ref="C503:AC503" si="459">((1+C463)^C470)*C463/(((1+C463)^C470)-1)*(C460)/C475/(C472)</f>
        <v>-4.1646013669475153E-3</v>
      </c>
      <c r="D503" s="68">
        <f t="shared" si="459"/>
        <v>-4.1129964731091524E-3</v>
      </c>
      <c r="E503" s="68">
        <f t="shared" si="459"/>
        <v>-4.0436450255472546E-3</v>
      </c>
      <c r="F503" s="68">
        <f t="shared" si="459"/>
        <v>-3.9529892858695022E-3</v>
      </c>
      <c r="G503" s="68">
        <f t="shared" si="459"/>
        <v>-3.8388237045541744E-3</v>
      </c>
      <c r="H503" s="68">
        <f t="shared" si="459"/>
        <v>-3.7018282840993052E-3</v>
      </c>
      <c r="I503" s="68">
        <f t="shared" si="459"/>
        <v>-3.5469174719284032E-3</v>
      </c>
      <c r="J503" s="68">
        <f t="shared" si="459"/>
        <v>-3.3833787631026495E-3</v>
      </c>
      <c r="K503" s="68">
        <f t="shared" si="459"/>
        <v>-3.2230581901760121E-3</v>
      </c>
      <c r="L503" s="68">
        <f t="shared" si="459"/>
        <v>-3.077115072673648E-3</v>
      </c>
      <c r="M503" s="68">
        <f t="shared" si="459"/>
        <v>-2.9530842054962272E-3</v>
      </c>
      <c r="N503" s="68">
        <f t="shared" si="459"/>
        <v>-2.8537576935569122E-3</v>
      </c>
      <c r="O503" s="68">
        <f t="shared" si="459"/>
        <v>-2.7779671565220238E-3</v>
      </c>
      <c r="P503" s="68">
        <f t="shared" si="459"/>
        <v>-2.7222550333915237E-3</v>
      </c>
      <c r="Q503" s="68">
        <f t="shared" si="459"/>
        <v>-2.6824216713218019E-3</v>
      </c>
      <c r="R503" s="68">
        <f t="shared" si="459"/>
        <v>-2.6545043670879159E-3</v>
      </c>
      <c r="S503" s="68">
        <f t="shared" si="459"/>
        <v>-2.6352117939306809E-3</v>
      </c>
      <c r="T503" s="68">
        <f t="shared" si="459"/>
        <v>-2.6220089247333874E-3</v>
      </c>
      <c r="U503" s="68">
        <f t="shared" si="459"/>
        <v>-2.61303384977338E-3</v>
      </c>
      <c r="V503" s="68">
        <f t="shared" si="459"/>
        <v>-2.6069605164172373E-3</v>
      </c>
      <c r="W503" s="68">
        <f t="shared" si="459"/>
        <v>-2.6028634393944982E-3</v>
      </c>
      <c r="X503" s="68">
        <f t="shared" si="459"/>
        <v>-2.6001053074953422E-3</v>
      </c>
      <c r="Y503" s="68">
        <f t="shared" si="459"/>
        <v>-2.5982511543812979E-3</v>
      </c>
      <c r="Z503" s="68">
        <f t="shared" si="459"/>
        <v>-2.5970058781501571E-3</v>
      </c>
      <c r="AA503" s="68">
        <f t="shared" si="459"/>
        <v>-2.5961700633456166E-3</v>
      </c>
      <c r="AB503" s="68">
        <f t="shared" si="459"/>
        <v>-2.5956093133072712E-3</v>
      </c>
      <c r="AC503" s="68">
        <f t="shared" si="459"/>
        <v>-2.5952332124179632E-3</v>
      </c>
    </row>
    <row r="504" spans="1:29" x14ac:dyDescent="0.3">
      <c r="A504" s="30" t="str">
        <f t="shared" si="457"/>
        <v>Capex costumization</v>
      </c>
      <c r="B504" s="66">
        <f>((1+B463)^B471)*B463/(((1+B463)^B471)-1)*(B461)/B475/(B472)</f>
        <v>2.1135015723170798E-3</v>
      </c>
      <c r="C504" s="66">
        <f t="shared" ref="C504:AC504" si="460">((1+C463)^C471)*C463/(((1+C463)^C471)-1)*(C461)/C475/(C472)</f>
        <v>2.1135015723170798E-3</v>
      </c>
      <c r="D504" s="66">
        <f t="shared" si="460"/>
        <v>2.1135015723170798E-3</v>
      </c>
      <c r="E504" s="66">
        <f t="shared" si="460"/>
        <v>2.1135015723170798E-3</v>
      </c>
      <c r="F504" s="66">
        <f t="shared" si="460"/>
        <v>2.1135015723170798E-3</v>
      </c>
      <c r="G504" s="66">
        <f t="shared" si="460"/>
        <v>2.1135015723170798E-3</v>
      </c>
      <c r="H504" s="66">
        <f t="shared" si="460"/>
        <v>2.1135015723170798E-3</v>
      </c>
      <c r="I504" s="66">
        <f t="shared" si="460"/>
        <v>2.1135015723170798E-3</v>
      </c>
      <c r="J504" s="66">
        <f t="shared" si="460"/>
        <v>2.1135015723170798E-3</v>
      </c>
      <c r="K504" s="66">
        <f t="shared" si="460"/>
        <v>2.1135015723170798E-3</v>
      </c>
      <c r="L504" s="66">
        <f t="shared" si="460"/>
        <v>2.1135015723170798E-3</v>
      </c>
      <c r="M504" s="66">
        <f t="shared" si="460"/>
        <v>2.1135015723170798E-3</v>
      </c>
      <c r="N504" s="66">
        <f t="shared" si="460"/>
        <v>2.1135015723170798E-3</v>
      </c>
      <c r="O504" s="66">
        <f t="shared" si="460"/>
        <v>2.1135015723170798E-3</v>
      </c>
      <c r="P504" s="66">
        <f t="shared" si="460"/>
        <v>2.1135015723170798E-3</v>
      </c>
      <c r="Q504" s="66">
        <f t="shared" si="460"/>
        <v>2.1135015723170798E-3</v>
      </c>
      <c r="R504" s="66">
        <f t="shared" si="460"/>
        <v>2.1135015723170798E-3</v>
      </c>
      <c r="S504" s="66">
        <f t="shared" si="460"/>
        <v>2.1135015723170798E-3</v>
      </c>
      <c r="T504" s="66">
        <f t="shared" si="460"/>
        <v>2.1135015723170798E-3</v>
      </c>
      <c r="U504" s="66">
        <f t="shared" si="460"/>
        <v>2.1135015723170798E-3</v>
      </c>
      <c r="V504" s="66">
        <f t="shared" si="460"/>
        <v>2.1135015723170798E-3</v>
      </c>
      <c r="W504" s="66">
        <f t="shared" si="460"/>
        <v>2.1135015723170798E-3</v>
      </c>
      <c r="X504" s="66">
        <f t="shared" si="460"/>
        <v>2.1135015723170798E-3</v>
      </c>
      <c r="Y504" s="66">
        <f t="shared" si="460"/>
        <v>2.1135015723170798E-3</v>
      </c>
      <c r="Z504" s="66">
        <f t="shared" si="460"/>
        <v>2.1135015723170798E-3</v>
      </c>
      <c r="AA504" s="66">
        <f t="shared" si="460"/>
        <v>2.1135015723170798E-3</v>
      </c>
      <c r="AB504" s="66">
        <f t="shared" si="460"/>
        <v>2.1135015723170798E-3</v>
      </c>
      <c r="AC504" s="66">
        <f t="shared" si="460"/>
        <v>2.1135015723170798E-3</v>
      </c>
    </row>
    <row r="505" spans="1:29" x14ac:dyDescent="0.3">
      <c r="A505" s="30" t="str">
        <f t="shared" si="457"/>
        <v>Residual value (costumization)</v>
      </c>
      <c r="B505" s="69">
        <f>((1+B463)^B471)*B463/(((1+B463)^B471)-1)*(B462)/B475/(B472)</f>
        <v>-5.2837539307926996E-4</v>
      </c>
      <c r="C505" s="69">
        <f t="shared" ref="C505:AC505" si="461">((1+C463)^C471)*C463/(((1+C463)^C471)-1)*(C462)/C475/(C472)</f>
        <v>-5.2837539307926996E-4</v>
      </c>
      <c r="D505" s="69">
        <f t="shared" si="461"/>
        <v>-5.2837539307926996E-4</v>
      </c>
      <c r="E505" s="69">
        <f t="shared" si="461"/>
        <v>-5.2837539307926996E-4</v>
      </c>
      <c r="F505" s="69">
        <f t="shared" si="461"/>
        <v>-5.2837539307926996E-4</v>
      </c>
      <c r="G505" s="69">
        <f t="shared" si="461"/>
        <v>-5.2837539307926996E-4</v>
      </c>
      <c r="H505" s="69">
        <f t="shared" si="461"/>
        <v>-5.2837539307926996E-4</v>
      </c>
      <c r="I505" s="69">
        <f t="shared" si="461"/>
        <v>-5.2837539307926996E-4</v>
      </c>
      <c r="J505" s="69">
        <f t="shared" si="461"/>
        <v>-5.2837539307926996E-4</v>
      </c>
      <c r="K505" s="69">
        <f t="shared" si="461"/>
        <v>-5.2837539307926996E-4</v>
      </c>
      <c r="L505" s="69">
        <f t="shared" si="461"/>
        <v>-5.2837539307926996E-4</v>
      </c>
      <c r="M505" s="69">
        <f t="shared" si="461"/>
        <v>-5.2837539307926996E-4</v>
      </c>
      <c r="N505" s="69">
        <f t="shared" si="461"/>
        <v>-5.2837539307926996E-4</v>
      </c>
      <c r="O505" s="69">
        <f t="shared" si="461"/>
        <v>-5.2837539307926996E-4</v>
      </c>
      <c r="P505" s="69">
        <f t="shared" si="461"/>
        <v>-5.2837539307926996E-4</v>
      </c>
      <c r="Q505" s="69">
        <f t="shared" si="461"/>
        <v>-5.2837539307926996E-4</v>
      </c>
      <c r="R505" s="69">
        <f t="shared" si="461"/>
        <v>-5.2837539307926996E-4</v>
      </c>
      <c r="S505" s="69">
        <f t="shared" si="461"/>
        <v>-5.2837539307926996E-4</v>
      </c>
      <c r="T505" s="69">
        <f t="shared" si="461"/>
        <v>-5.2837539307926996E-4</v>
      </c>
      <c r="U505" s="69">
        <f t="shared" si="461"/>
        <v>-5.2837539307926996E-4</v>
      </c>
      <c r="V505" s="69">
        <f t="shared" si="461"/>
        <v>-5.2837539307926996E-4</v>
      </c>
      <c r="W505" s="69">
        <f t="shared" si="461"/>
        <v>-5.2837539307926996E-4</v>
      </c>
      <c r="X505" s="69">
        <f t="shared" si="461"/>
        <v>-5.2837539307926996E-4</v>
      </c>
      <c r="Y505" s="69">
        <f t="shared" si="461"/>
        <v>-5.2837539307926996E-4</v>
      </c>
      <c r="Z505" s="69">
        <f t="shared" si="461"/>
        <v>-5.2837539307926996E-4</v>
      </c>
      <c r="AA505" s="69">
        <f t="shared" si="461"/>
        <v>-5.2837539307926996E-4</v>
      </c>
      <c r="AB505" s="69">
        <f t="shared" si="461"/>
        <v>-5.2837539307926996E-4</v>
      </c>
      <c r="AC505" s="69">
        <f t="shared" si="461"/>
        <v>-5.2837539307926996E-4</v>
      </c>
    </row>
    <row r="506" spans="1:29" x14ac:dyDescent="0.3">
      <c r="A506" s="30" t="str">
        <f t="shared" si="457"/>
        <v>Opex fix (admin, crew, insurance)</v>
      </c>
      <c r="B506" s="66">
        <f>B464/B475/(B472)</f>
        <v>3.111111111111111E-2</v>
      </c>
      <c r="C506" s="66">
        <f t="shared" ref="C506:AC506" si="462">C464/C475/(C472)</f>
        <v>3.111111111111111E-2</v>
      </c>
      <c r="D506" s="66">
        <f t="shared" si="462"/>
        <v>3.111111111111111E-2</v>
      </c>
      <c r="E506" s="66">
        <f t="shared" si="462"/>
        <v>3.111111111111111E-2</v>
      </c>
      <c r="F506" s="66">
        <f t="shared" si="462"/>
        <v>3.111111111111111E-2</v>
      </c>
      <c r="G506" s="66">
        <f t="shared" si="462"/>
        <v>3.111111111111111E-2</v>
      </c>
      <c r="H506" s="66">
        <f t="shared" si="462"/>
        <v>3.111111111111111E-2</v>
      </c>
      <c r="I506" s="66">
        <f t="shared" si="462"/>
        <v>3.111111111111111E-2</v>
      </c>
      <c r="J506" s="66">
        <f t="shared" si="462"/>
        <v>3.111111111111111E-2</v>
      </c>
      <c r="K506" s="66">
        <f t="shared" si="462"/>
        <v>3.111111111111111E-2</v>
      </c>
      <c r="L506" s="66">
        <f t="shared" si="462"/>
        <v>3.111111111111111E-2</v>
      </c>
      <c r="M506" s="66">
        <f t="shared" si="462"/>
        <v>3.111111111111111E-2</v>
      </c>
      <c r="N506" s="66">
        <f t="shared" si="462"/>
        <v>3.111111111111111E-2</v>
      </c>
      <c r="O506" s="66">
        <f t="shared" si="462"/>
        <v>3.111111111111111E-2</v>
      </c>
      <c r="P506" s="66">
        <f t="shared" si="462"/>
        <v>3.111111111111111E-2</v>
      </c>
      <c r="Q506" s="66">
        <f t="shared" si="462"/>
        <v>3.111111111111111E-2</v>
      </c>
      <c r="R506" s="66">
        <f t="shared" si="462"/>
        <v>3.111111111111111E-2</v>
      </c>
      <c r="S506" s="66">
        <f t="shared" si="462"/>
        <v>3.111111111111111E-2</v>
      </c>
      <c r="T506" s="66">
        <f t="shared" si="462"/>
        <v>3.111111111111111E-2</v>
      </c>
      <c r="U506" s="66">
        <f t="shared" si="462"/>
        <v>3.111111111111111E-2</v>
      </c>
      <c r="V506" s="66">
        <f t="shared" si="462"/>
        <v>3.111111111111111E-2</v>
      </c>
      <c r="W506" s="66">
        <f t="shared" si="462"/>
        <v>3.111111111111111E-2</v>
      </c>
      <c r="X506" s="66">
        <f t="shared" si="462"/>
        <v>3.111111111111111E-2</v>
      </c>
      <c r="Y506" s="66">
        <f t="shared" si="462"/>
        <v>3.111111111111111E-2</v>
      </c>
      <c r="Z506" s="66">
        <f t="shared" si="462"/>
        <v>3.111111111111111E-2</v>
      </c>
      <c r="AA506" s="66">
        <f t="shared" si="462"/>
        <v>3.111111111111111E-2</v>
      </c>
      <c r="AB506" s="66">
        <f t="shared" si="462"/>
        <v>3.111111111111111E-2</v>
      </c>
      <c r="AC506" s="66">
        <f t="shared" si="462"/>
        <v>3.111111111111111E-2</v>
      </c>
    </row>
    <row r="507" spans="1:29" x14ac:dyDescent="0.3">
      <c r="A507" s="30" t="str">
        <f t="shared" si="457"/>
        <v>Opex maintenance &amp; repair</v>
      </c>
      <c r="B507" s="66">
        <f>B465/B475/(B472)</f>
        <v>6.6666666666666662E-3</v>
      </c>
      <c r="C507" s="66">
        <f t="shared" ref="C507:AC507" si="463">C465/C475/(C472)</f>
        <v>6.6666666666666662E-3</v>
      </c>
      <c r="D507" s="66">
        <f t="shared" si="463"/>
        <v>6.6666666666666662E-3</v>
      </c>
      <c r="E507" s="66">
        <f t="shared" si="463"/>
        <v>6.6666666666666662E-3</v>
      </c>
      <c r="F507" s="66">
        <f t="shared" si="463"/>
        <v>6.6666666666666662E-3</v>
      </c>
      <c r="G507" s="66">
        <f t="shared" si="463"/>
        <v>6.6666666666666662E-3</v>
      </c>
      <c r="H507" s="66">
        <f t="shared" si="463"/>
        <v>6.6666666666666662E-3</v>
      </c>
      <c r="I507" s="66">
        <f t="shared" si="463"/>
        <v>6.6666666666666662E-3</v>
      </c>
      <c r="J507" s="66">
        <f t="shared" si="463"/>
        <v>6.6666666666666662E-3</v>
      </c>
      <c r="K507" s="66">
        <f t="shared" si="463"/>
        <v>6.6666666666666662E-3</v>
      </c>
      <c r="L507" s="66">
        <f t="shared" si="463"/>
        <v>6.6666666666666662E-3</v>
      </c>
      <c r="M507" s="66">
        <f t="shared" si="463"/>
        <v>6.6666666666666662E-3</v>
      </c>
      <c r="N507" s="66">
        <f t="shared" si="463"/>
        <v>6.6666666666666662E-3</v>
      </c>
      <c r="O507" s="66">
        <f t="shared" si="463"/>
        <v>6.6666666666666662E-3</v>
      </c>
      <c r="P507" s="66">
        <f t="shared" si="463"/>
        <v>6.6666666666666662E-3</v>
      </c>
      <c r="Q507" s="66">
        <f t="shared" si="463"/>
        <v>6.6666666666666662E-3</v>
      </c>
      <c r="R507" s="66">
        <f t="shared" si="463"/>
        <v>6.6666666666666662E-3</v>
      </c>
      <c r="S507" s="66">
        <f t="shared" si="463"/>
        <v>6.6666666666666662E-3</v>
      </c>
      <c r="T507" s="66">
        <f t="shared" si="463"/>
        <v>6.6666666666666662E-3</v>
      </c>
      <c r="U507" s="66">
        <f t="shared" si="463"/>
        <v>6.6666666666666662E-3</v>
      </c>
      <c r="V507" s="66">
        <f t="shared" si="463"/>
        <v>6.6666666666666662E-3</v>
      </c>
      <c r="W507" s="66">
        <f t="shared" si="463"/>
        <v>6.6666666666666662E-3</v>
      </c>
      <c r="X507" s="66">
        <f t="shared" si="463"/>
        <v>6.6666666666666662E-3</v>
      </c>
      <c r="Y507" s="66">
        <f t="shared" si="463"/>
        <v>6.6666666666666662E-3</v>
      </c>
      <c r="Z507" s="66">
        <f t="shared" si="463"/>
        <v>6.6666666666666662E-3</v>
      </c>
      <c r="AA507" s="66">
        <f t="shared" si="463"/>
        <v>6.6666666666666662E-3</v>
      </c>
      <c r="AB507" s="66">
        <f t="shared" si="463"/>
        <v>6.6666666666666662E-3</v>
      </c>
      <c r="AC507" s="66">
        <f t="shared" si="463"/>
        <v>6.6666666666666662E-3</v>
      </c>
    </row>
    <row r="508" spans="1:29" x14ac:dyDescent="0.3">
      <c r="A508" s="30" t="str">
        <f t="shared" si="457"/>
        <v>Opex var (mode-fees)</v>
      </c>
      <c r="B508" s="66">
        <f>B466*B475/B475/(B472)</f>
        <v>4.4000000000000003E-3</v>
      </c>
      <c r="C508" s="66">
        <f t="shared" ref="C508:AC508" si="464">C466*C475/C475/(C472)</f>
        <v>4.4000000000000003E-3</v>
      </c>
      <c r="D508" s="66">
        <f t="shared" si="464"/>
        <v>4.4000000000000003E-3</v>
      </c>
      <c r="E508" s="66">
        <f t="shared" si="464"/>
        <v>4.4000000000000003E-3</v>
      </c>
      <c r="F508" s="66">
        <f t="shared" si="464"/>
        <v>4.4000000000000003E-3</v>
      </c>
      <c r="G508" s="66">
        <f t="shared" si="464"/>
        <v>4.4000000000000003E-3</v>
      </c>
      <c r="H508" s="66">
        <f t="shared" si="464"/>
        <v>4.4000000000000003E-3</v>
      </c>
      <c r="I508" s="66">
        <f t="shared" si="464"/>
        <v>4.4000000000000003E-3</v>
      </c>
      <c r="J508" s="66">
        <f t="shared" si="464"/>
        <v>4.4000000000000003E-3</v>
      </c>
      <c r="K508" s="66">
        <f t="shared" si="464"/>
        <v>4.4000000000000003E-3</v>
      </c>
      <c r="L508" s="66">
        <f t="shared" si="464"/>
        <v>4.4000000000000003E-3</v>
      </c>
      <c r="M508" s="66">
        <f t="shared" si="464"/>
        <v>4.4000000000000003E-3</v>
      </c>
      <c r="N508" s="66">
        <f t="shared" si="464"/>
        <v>4.4000000000000003E-3</v>
      </c>
      <c r="O508" s="66">
        <f t="shared" si="464"/>
        <v>4.4000000000000003E-3</v>
      </c>
      <c r="P508" s="66">
        <f t="shared" si="464"/>
        <v>4.4000000000000003E-3</v>
      </c>
      <c r="Q508" s="66">
        <f t="shared" si="464"/>
        <v>4.4000000000000003E-3</v>
      </c>
      <c r="R508" s="66">
        <f t="shared" si="464"/>
        <v>4.4000000000000003E-3</v>
      </c>
      <c r="S508" s="66">
        <f t="shared" si="464"/>
        <v>4.4000000000000003E-3</v>
      </c>
      <c r="T508" s="66">
        <f t="shared" si="464"/>
        <v>4.4000000000000003E-3</v>
      </c>
      <c r="U508" s="66">
        <f t="shared" si="464"/>
        <v>4.4000000000000003E-3</v>
      </c>
      <c r="V508" s="66">
        <f t="shared" si="464"/>
        <v>4.4000000000000003E-3</v>
      </c>
      <c r="W508" s="66">
        <f t="shared" si="464"/>
        <v>4.4000000000000003E-3</v>
      </c>
      <c r="X508" s="66">
        <f t="shared" si="464"/>
        <v>4.4000000000000003E-3</v>
      </c>
      <c r="Y508" s="66">
        <f t="shared" si="464"/>
        <v>4.4000000000000003E-3</v>
      </c>
      <c r="Z508" s="66">
        <f t="shared" si="464"/>
        <v>4.4000000000000003E-3</v>
      </c>
      <c r="AA508" s="66">
        <f t="shared" si="464"/>
        <v>4.4000000000000003E-3</v>
      </c>
      <c r="AB508" s="66">
        <f t="shared" si="464"/>
        <v>4.4000000000000003E-3</v>
      </c>
      <c r="AC508" s="66">
        <f t="shared" si="464"/>
        <v>4.4000000000000003E-3</v>
      </c>
    </row>
    <row r="509" spans="1:29" x14ac:dyDescent="0.3">
      <c r="A509" s="30" t="str">
        <f t="shared" si="457"/>
        <v>Fuel Cost</v>
      </c>
      <c r="B509" s="66">
        <f>B467*B468*B475/B475/(B472)</f>
        <v>5.5397830482865063E-3</v>
      </c>
      <c r="C509" s="66">
        <f t="shared" ref="C509:AC509" si="465">C467*C468*C475/C475/(C472)</f>
        <v>5.5030187968735864E-3</v>
      </c>
      <c r="D509" s="66">
        <f t="shared" si="465"/>
        <v>5.4524168925878169E-3</v>
      </c>
      <c r="E509" s="66">
        <f t="shared" si="465"/>
        <v>5.3840018143389082E-3</v>
      </c>
      <c r="F509" s="66">
        <f t="shared" si="465"/>
        <v>5.2937441438000356E-3</v>
      </c>
      <c r="G509" s="66">
        <f t="shared" si="465"/>
        <v>5.1784825442777946E-3</v>
      </c>
      <c r="H509" s="66">
        <f t="shared" si="465"/>
        <v>5.0372299936559187E-3</v>
      </c>
      <c r="I509" s="66">
        <f t="shared" si="465"/>
        <v>4.8724144010720231E-3</v>
      </c>
      <c r="J509" s="66">
        <f t="shared" si="465"/>
        <v>4.6902619632768188E-3</v>
      </c>
      <c r="K509" s="66">
        <f t="shared" si="465"/>
        <v>4.4997681186015239E-3</v>
      </c>
      <c r="L509" s="66">
        <f t="shared" si="465"/>
        <v>4.3106701485028636E-3</v>
      </c>
      <c r="M509" s="66">
        <f t="shared" si="465"/>
        <v>4.13162426244334E-3</v>
      </c>
      <c r="N509" s="66">
        <f t="shared" si="465"/>
        <v>3.9693641445853536E-3</v>
      </c>
      <c r="O509" s="66">
        <f t="shared" si="465"/>
        <v>3.8285256527784911E-3</v>
      </c>
      <c r="P509" s="66">
        <f t="shared" si="465"/>
        <v>3.7115144421374091E-3</v>
      </c>
      <c r="Q509" s="66">
        <f t="shared" si="465"/>
        <v>3.6183959788129274E-3</v>
      </c>
      <c r="R509" s="66">
        <f t="shared" si="465"/>
        <v>3.5471719951152359E-3</v>
      </c>
      <c r="S509" s="66">
        <f t="shared" si="465"/>
        <v>3.4945123865455156E-3</v>
      </c>
      <c r="T509" s="66">
        <f t="shared" si="465"/>
        <v>3.4566245568603427E-3</v>
      </c>
      <c r="U509" s="66">
        <f t="shared" si="465"/>
        <v>3.4299250721049413E-3</v>
      </c>
      <c r="V509" s="66">
        <f t="shared" si="465"/>
        <v>3.411394468339254E-3</v>
      </c>
      <c r="W509" s="66">
        <f t="shared" si="465"/>
        <v>3.3986724592991102E-3</v>
      </c>
      <c r="X509" s="66">
        <f t="shared" si="465"/>
        <v>3.3900044467554675E-3</v>
      </c>
      <c r="Y509" s="66">
        <f t="shared" si="465"/>
        <v>3.3841294914713758E-3</v>
      </c>
      <c r="Z509" s="66">
        <f t="shared" si="465"/>
        <v>3.3801618559776369E-3</v>
      </c>
      <c r="AA509" s="66">
        <f t="shared" si="465"/>
        <v>3.3774888447340445E-3</v>
      </c>
      <c r="AB509" s="66">
        <f t="shared" si="465"/>
        <v>3.3756909919627777E-3</v>
      </c>
      <c r="AC509" s="66">
        <f t="shared" si="465"/>
        <v>3.3744831090442877E-3</v>
      </c>
    </row>
    <row r="510" spans="1:29" x14ac:dyDescent="0.3">
      <c r="A510" s="59" t="str">
        <f>A473</f>
        <v>Market failure (av. utilization)</v>
      </c>
      <c r="B510" s="66">
        <f t="shared" ref="B510:AC510" si="466">B499/B473-B499/B472</f>
        <v>8.0099479887204131E-2</v>
      </c>
      <c r="C510" s="66">
        <f t="shared" si="466"/>
        <v>7.9662456727414968E-2</v>
      </c>
      <c r="D510" s="66">
        <f t="shared" si="466"/>
        <v>7.906308943876246E-2</v>
      </c>
      <c r="E510" s="66">
        <f t="shared" si="466"/>
        <v>7.8257140209699205E-2</v>
      </c>
      <c r="F510" s="66">
        <f t="shared" si="466"/>
        <v>7.7202677877311651E-2</v>
      </c>
      <c r="G510" s="66">
        <f t="shared" si="466"/>
        <v>7.5872959154355032E-2</v>
      </c>
      <c r="H510" s="66">
        <f t="shared" si="466"/>
        <v>7.4274011979964763E-2</v>
      </c>
      <c r="I510" s="66">
        <f t="shared" si="466"/>
        <v>7.2460200209623404E-2</v>
      </c>
      <c r="J510" s="66">
        <f t="shared" si="466"/>
        <v>7.0536091574192411E-2</v>
      </c>
      <c r="K510" s="66">
        <f t="shared" si="466"/>
        <v>6.8636193068414564E-2</v>
      </c>
      <c r="L510" s="66">
        <f t="shared" si="466"/>
        <v>6.6888515345722557E-2</v>
      </c>
      <c r="M510" s="66">
        <f t="shared" si="466"/>
        <v>6.5381610164195081E-2</v>
      </c>
      <c r="N510" s="66">
        <f t="shared" si="466"/>
        <v>6.4151884688422076E-2</v>
      </c>
      <c r="O510" s="66">
        <f t="shared" si="466"/>
        <v>6.3191717482106863E-2</v>
      </c>
      <c r="P510" s="66">
        <f t="shared" si="466"/>
        <v>6.2467045554448972E-2</v>
      </c>
      <c r="Q510" s="66">
        <f t="shared" si="466"/>
        <v>6.1933701877304397E-2</v>
      </c>
      <c r="R510" s="66">
        <f t="shared" si="466"/>
        <v>6.1548163090665568E-2</v>
      </c>
      <c r="S510" s="66">
        <f t="shared" si="466"/>
        <v>6.1272937269682075E-2</v>
      </c>
      <c r="T510" s="66">
        <f t="shared" si="466"/>
        <v>6.1078238680988606E-2</v>
      </c>
      <c r="U510" s="66">
        <f t="shared" si="466"/>
        <v>6.0941546769250003E-2</v>
      </c>
      <c r="V510" s="66">
        <f t="shared" si="466"/>
        <v>6.0846279052886434E-2</v>
      </c>
      <c r="W510" s="66">
        <f t="shared" si="466"/>
        <v>6.078036685811164E-2</v>
      </c>
      <c r="X510" s="66">
        <f t="shared" si="466"/>
        <v>6.073508201064115E-2</v>
      </c>
      <c r="Y510" s="66">
        <f t="shared" si="466"/>
        <v>6.0704160097689849E-2</v>
      </c>
      <c r="Z510" s="66">
        <f t="shared" si="466"/>
        <v>6.068315190802584E-2</v>
      </c>
      <c r="AA510" s="66">
        <f t="shared" si="466"/>
        <v>6.0668934612597564E-2</v>
      </c>
      <c r="AB510" s="66">
        <f t="shared" si="466"/>
        <v>6.0659340794650254E-2</v>
      </c>
      <c r="AC510" s="66">
        <f t="shared" si="466"/>
        <v>6.0652880293585773E-2</v>
      </c>
    </row>
    <row r="511" spans="1:29" x14ac:dyDescent="0.3">
      <c r="A511" s="59" t="str">
        <f>A474</f>
        <v>Payload loss (fuel)</v>
      </c>
      <c r="B511" s="66">
        <f>B499/(B472-B474)-B499/B472</f>
        <v>8.1551199100547145E-3</v>
      </c>
      <c r="C511" s="66">
        <f t="shared" ref="C511:AC511" si="467">C499/(C472-C474)-C499/C472</f>
        <v>8.0850123068225976E-3</v>
      </c>
      <c r="D511" s="66">
        <f t="shared" si="467"/>
        <v>7.9881158925371454E-3</v>
      </c>
      <c r="E511" s="66">
        <f t="shared" si="467"/>
        <v>7.8562848954473324E-3</v>
      </c>
      <c r="F511" s="66">
        <f t="shared" si="467"/>
        <v>7.6807219673429017E-3</v>
      </c>
      <c r="G511" s="66">
        <f t="shared" si="467"/>
        <v>7.4533861224390235E-3</v>
      </c>
      <c r="H511" s="66">
        <f t="shared" si="467"/>
        <v>7.1691260303288346E-3</v>
      </c>
      <c r="I511" s="66">
        <f t="shared" si="467"/>
        <v>6.8279538142039936E-3</v>
      </c>
      <c r="J511" s="66">
        <f t="shared" si="467"/>
        <v>6.4363803491820498E-3</v>
      </c>
      <c r="K511" s="66">
        <f t="shared" si="467"/>
        <v>6.0070554773348772E-3</v>
      </c>
      <c r="L511" s="66">
        <f t="shared" si="467"/>
        <v>5.5571846773130595E-3</v>
      </c>
      <c r="M511" s="66">
        <f t="shared" si="467"/>
        <v>5.1068670182368367E-3</v>
      </c>
      <c r="N511" s="66">
        <f t="shared" si="467"/>
        <v>4.6774442853161763E-3</v>
      </c>
      <c r="O511" s="66">
        <f t="shared" si="467"/>
        <v>4.2888096405970036E-3</v>
      </c>
      <c r="P511" s="66">
        <f t="shared" si="467"/>
        <v>3.9556601705862254E-3</v>
      </c>
      <c r="Q511" s="66">
        <f t="shared" si="467"/>
        <v>3.6846390186359296E-3</v>
      </c>
      <c r="R511" s="66">
        <f t="shared" si="467"/>
        <v>3.4742081682660256E-3</v>
      </c>
      <c r="S511" s="66">
        <f t="shared" si="467"/>
        <v>3.3170227659992182E-3</v>
      </c>
      <c r="T511" s="66">
        <f t="shared" si="467"/>
        <v>3.2031139578356793E-3</v>
      </c>
      <c r="U511" s="66">
        <f t="shared" si="467"/>
        <v>3.1224224363783429E-3</v>
      </c>
      <c r="V511" s="66">
        <f t="shared" si="467"/>
        <v>3.0662011710392845E-3</v>
      </c>
      <c r="W511" s="66">
        <f t="shared" si="467"/>
        <v>3.0274908281233068E-3</v>
      </c>
      <c r="X511" s="66">
        <f t="shared" si="467"/>
        <v>3.0010592300668826E-3</v>
      </c>
      <c r="Y511" s="66">
        <f t="shared" si="467"/>
        <v>2.9831165853073244E-3</v>
      </c>
      <c r="Z511" s="66">
        <f t="shared" si="467"/>
        <v>2.9709855632259058E-3</v>
      </c>
      <c r="AA511" s="66">
        <f t="shared" si="467"/>
        <v>2.9628064565974874E-3</v>
      </c>
      <c r="AB511" s="66">
        <f t="shared" si="467"/>
        <v>2.9573022553268449E-3</v>
      </c>
      <c r="AC511" s="66">
        <f t="shared" si="467"/>
        <v>2.9536028982929466E-3</v>
      </c>
    </row>
    <row r="512" spans="1:29" ht="15" thickBot="1" x14ac:dyDescent="0.35">
      <c r="A512" s="59" t="str">
        <f>A449</f>
        <v>Emission Cost</v>
      </c>
      <c r="B512" s="68">
        <f>B469*B475/B475/(B472)</f>
        <v>1.4049076735721778E-4</v>
      </c>
      <c r="C512" s="68">
        <f t="shared" ref="C512:AC512" si="468">C469*C475/C475/(C472)</f>
        <v>1.4035698591588104E-4</v>
      </c>
      <c r="D512" s="68">
        <f t="shared" si="468"/>
        <v>1.4016548076234878E-4</v>
      </c>
      <c r="E512" s="68">
        <f t="shared" si="468"/>
        <v>1.3989151917297648E-4</v>
      </c>
      <c r="F512" s="68">
        <f t="shared" si="468"/>
        <v>1.3949996760913741E-4</v>
      </c>
      <c r="G512" s="68">
        <f t="shared" si="468"/>
        <v>1.389411389097371E-4</v>
      </c>
      <c r="H512" s="68">
        <f t="shared" si="468"/>
        <v>1.3814522974610444E-4</v>
      </c>
      <c r="I512" s="68">
        <f t="shared" si="468"/>
        <v>1.3701515282874788E-4</v>
      </c>
      <c r="J512" s="68">
        <f t="shared" si="468"/>
        <v>1.3541789769952266E-4</v>
      </c>
      <c r="K512" s="68">
        <f t="shared" si="468"/>
        <v>1.3317538031496002E-4</v>
      </c>
      <c r="L512" s="68">
        <f t="shared" si="468"/>
        <v>1.3005746709139927E-4</v>
      </c>
      <c r="M512" s="68">
        <f t="shared" si="468"/>
        <v>1.2578292470326314E-4</v>
      </c>
      <c r="N512" s="68">
        <f t="shared" si="468"/>
        <v>1.2003839777505244E-4</v>
      </c>
      <c r="O512" s="68">
        <f t="shared" si="468"/>
        <v>1.1252919131889444E-4</v>
      </c>
      <c r="P512" s="68">
        <f t="shared" si="468"/>
        <v>1.0307261500799069E-4</v>
      </c>
      <c r="Q512" s="68">
        <f t="shared" si="468"/>
        <v>9.1724994885971666E-5</v>
      </c>
      <c r="R512" s="68">
        <f t="shared" si="468"/>
        <v>7.8893405016236212E-5</v>
      </c>
      <c r="S512" s="68">
        <f t="shared" si="468"/>
        <v>6.534714823744498E-5</v>
      </c>
      <c r="T512" s="68">
        <f t="shared" si="468"/>
        <v>5.2067456454497702E-5</v>
      </c>
      <c r="U512" s="68">
        <f t="shared" si="468"/>
        <v>3.9978679681221538E-5</v>
      </c>
      <c r="V512" s="68">
        <f t="shared" si="468"/>
        <v>2.9704940898853776E-5</v>
      </c>
      <c r="W512" s="68">
        <f t="shared" si="468"/>
        <v>2.1477516056547865E-5</v>
      </c>
      <c r="X512" s="68">
        <f t="shared" si="468"/>
        <v>1.5199625742695674E-5</v>
      </c>
      <c r="Y512" s="68">
        <f t="shared" si="468"/>
        <v>1.0584872874483328E-5</v>
      </c>
      <c r="Z512" s="68">
        <f t="shared" si="468"/>
        <v>7.285391333792315E-6</v>
      </c>
      <c r="AA512" s="68">
        <f t="shared" si="468"/>
        <v>4.9729420400487081E-6</v>
      </c>
      <c r="AB512" s="68">
        <f t="shared" si="468"/>
        <v>3.3748974438302729E-6</v>
      </c>
      <c r="AC512" s="68">
        <f t="shared" si="468"/>
        <v>2.2812758930212777E-6</v>
      </c>
    </row>
    <row r="513" spans="1:29" ht="15" thickBot="1" x14ac:dyDescent="0.35">
      <c r="A513" s="31" t="s">
        <v>210</v>
      </c>
      <c r="B513" s="67">
        <f>B502+B503+B504+B505+B506+B507+B508+B509+B510+B511+B512</f>
        <v>0.16113583044544258</v>
      </c>
      <c r="C513" s="67">
        <f t="shared" ref="C513:AC513" si="469">C502+C503+C504+C505+C506+C507+C508+C509+C510+C511+C512</f>
        <v>0.16022529368876975</v>
      </c>
      <c r="D513" s="67">
        <f t="shared" si="469"/>
        <v>0.15897576787322945</v>
      </c>
      <c r="E513" s="67">
        <f t="shared" si="469"/>
        <v>0.15729403451255652</v>
      </c>
      <c r="F513" s="67">
        <f t="shared" si="469"/>
        <v>0.15509065940678368</v>
      </c>
      <c r="G513" s="67">
        <f t="shared" si="469"/>
        <v>0.15230617217157863</v>
      </c>
      <c r="H513" s="67">
        <f t="shared" si="469"/>
        <v>0.14894701366717947</v>
      </c>
      <c r="I513" s="67">
        <f t="shared" si="469"/>
        <v>0.14511774189270585</v>
      </c>
      <c r="J513" s="67">
        <f t="shared" si="469"/>
        <v>0.1410259595133935</v>
      </c>
      <c r="K513" s="67">
        <f t="shared" si="469"/>
        <v>0.13694298366889665</v>
      </c>
      <c r="L513" s="67">
        <f t="shared" si="469"/>
        <v>0.13313219417139022</v>
      </c>
      <c r="M513" s="67">
        <f t="shared" si="469"/>
        <v>0.12978398193245341</v>
      </c>
      <c r="N513" s="67">
        <f t="shared" si="469"/>
        <v>0.12698970251535394</v>
      </c>
      <c r="O513" s="67">
        <f t="shared" si="469"/>
        <v>0.1247545924738747</v>
      </c>
      <c r="P513" s="67">
        <f t="shared" si="469"/>
        <v>0.1230278431429834</v>
      </c>
      <c r="Q513" s="67">
        <f t="shared" si="469"/>
        <v>0.12173116107344736</v>
      </c>
      <c r="R513" s="67">
        <f t="shared" si="469"/>
        <v>0.12077930947954127</v>
      </c>
      <c r="S513" s="67">
        <f t="shared" si="469"/>
        <v>0.12009284365230621</v>
      </c>
      <c r="T513" s="67">
        <f t="shared" si="469"/>
        <v>0.1196045144812706</v>
      </c>
      <c r="U513" s="67">
        <f t="shared" si="469"/>
        <v>0.1192609538987775</v>
      </c>
      <c r="V513" s="67">
        <f t="shared" si="469"/>
        <v>0.11902152548658541</v>
      </c>
      <c r="W513" s="67">
        <f t="shared" si="469"/>
        <v>0.1188560609229487</v>
      </c>
      <c r="X513" s="67">
        <f t="shared" si="469"/>
        <v>0.11874254307975671</v>
      </c>
      <c r="Y513" s="67">
        <f t="shared" si="469"/>
        <v>0.11866513521778312</v>
      </c>
      <c r="Z513" s="67">
        <f t="shared" si="469"/>
        <v>0.11861260383096321</v>
      </c>
      <c r="AA513" s="67">
        <f t="shared" si="469"/>
        <v>0.11857708377158813</v>
      </c>
      <c r="AB513" s="67">
        <f t="shared" si="469"/>
        <v>0.11855312992041879</v>
      </c>
      <c r="AC513" s="67">
        <f t="shared" si="469"/>
        <v>0.11853700652287627</v>
      </c>
    </row>
    <row r="515" spans="1:29" x14ac:dyDescent="0.3">
      <c r="B515" s="40"/>
    </row>
  </sheetData>
  <conditionalFormatting sqref="Q11:AR20 Q22:AR27"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1A82-B6BF-4A88-B56E-73F23EAC9051}">
  <sheetPr>
    <tabColor theme="4" tint="-0.249977111117893"/>
  </sheetPr>
  <dimension ref="A1:AR515"/>
  <sheetViews>
    <sheetView zoomScale="80" zoomScaleNormal="80" workbookViewId="0">
      <selection activeCell="A446" sqref="A446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Input'!A7</f>
        <v>Road long-haul: Dry bulk</v>
      </c>
    </row>
    <row r="2" spans="1:44" s="3" customFormat="1" ht="21" x14ac:dyDescent="0.4">
      <c r="A2" s="2" t="s">
        <v>103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Input'!$L$32</f>
        <v>390000</v>
      </c>
      <c r="C11" s="42">
        <f>'Parameter Input'!$M$32</f>
        <v>155000</v>
      </c>
      <c r="D11" s="1" t="s">
        <v>15</v>
      </c>
      <c r="L11" s="51">
        <f>'Parameter Input'!$O$32</f>
        <v>9</v>
      </c>
      <c r="M11" s="52">
        <v>0</v>
      </c>
      <c r="N11" s="52">
        <v>1</v>
      </c>
      <c r="O11" s="52">
        <f>'Parameter Input'!$P$32</f>
        <v>0.9</v>
      </c>
      <c r="P11" s="53">
        <f>'Parameter Input'!$Q$32</f>
        <v>0.4</v>
      </c>
      <c r="Q11" s="4">
        <f t="shared" ref="Q11:AR20" si="0">$N11+($M11-$N11)*((1/(1+EXP(-$P11*(Q$9-$L11)))^$O11))</f>
        <v>0.96177484161592774</v>
      </c>
      <c r="R11" s="4">
        <f t="shared" si="0"/>
        <v>0.94584787155511363</v>
      </c>
      <c r="S11" s="4">
        <f t="shared" si="0"/>
        <v>0.92370360150141495</v>
      </c>
      <c r="T11" s="4">
        <f t="shared" si="0"/>
        <v>0.89334463567658451</v>
      </c>
      <c r="U11" s="4">
        <f t="shared" si="0"/>
        <v>0.85254543874327005</v>
      </c>
      <c r="V11" s="4">
        <f t="shared" si="0"/>
        <v>0.79921300652623883</v>
      </c>
      <c r="W11" s="4">
        <f t="shared" si="0"/>
        <v>0.73204982249993378</v>
      </c>
      <c r="X11" s="4">
        <f t="shared" si="0"/>
        <v>0.65145592958786691</v>
      </c>
      <c r="Y11" s="4">
        <f t="shared" si="0"/>
        <v>0.56032247880849573</v>
      </c>
      <c r="Z11" s="4">
        <f t="shared" si="0"/>
        <v>0.46411326873185343</v>
      </c>
      <c r="AA11" s="4">
        <f t="shared" si="0"/>
        <v>0.36979727595523937</v>
      </c>
      <c r="AB11" s="4">
        <f t="shared" si="0"/>
        <v>0.28393948637231203</v>
      </c>
      <c r="AC11" s="4">
        <f t="shared" si="0"/>
        <v>0.21097259161117732</v>
      </c>
      <c r="AD11" s="4">
        <f t="shared" si="0"/>
        <v>0.15253917653798199</v>
      </c>
      <c r="AE11" s="4">
        <f t="shared" si="0"/>
        <v>0.10795188737709993</v>
      </c>
      <c r="AF11" s="4">
        <f t="shared" si="0"/>
        <v>7.5176653938091809E-2</v>
      </c>
      <c r="AG11" s="4">
        <f t="shared" si="0"/>
        <v>5.1742836177502194E-2</v>
      </c>
      <c r="AH11" s="4">
        <f t="shared" si="0"/>
        <v>3.5319190625345942E-2</v>
      </c>
      <c r="AI11" s="4">
        <f t="shared" si="0"/>
        <v>2.3969442072658165E-2</v>
      </c>
      <c r="AJ11" s="4">
        <f t="shared" si="0"/>
        <v>1.6202243558389728E-2</v>
      </c>
      <c r="AK11" s="4">
        <f t="shared" si="0"/>
        <v>1.0922240564108399E-2</v>
      </c>
      <c r="AL11" s="4">
        <f t="shared" si="0"/>
        <v>7.3493212906090566E-3</v>
      </c>
      <c r="AM11" s="4">
        <f t="shared" si="0"/>
        <v>4.9390262185057265E-3</v>
      </c>
      <c r="AN11" s="4">
        <f t="shared" si="0"/>
        <v>3.3164275492956197E-3</v>
      </c>
      <c r="AO11" s="4">
        <f t="shared" si="0"/>
        <v>2.2256362146679809E-3</v>
      </c>
      <c r="AP11" s="4">
        <f t="shared" si="0"/>
        <v>1.4930448704811861E-3</v>
      </c>
      <c r="AQ11" s="4">
        <f t="shared" si="0"/>
        <v>1.0013381504474506E-3</v>
      </c>
      <c r="AR11" s="4">
        <f t="shared" si="0"/>
        <v>6.7145100246257527E-4</v>
      </c>
    </row>
    <row r="12" spans="1:44" x14ac:dyDescent="0.3">
      <c r="A12" s="24" t="s">
        <v>28</v>
      </c>
      <c r="B12" s="60">
        <f>'Parameter Input'!$L$33</f>
        <v>-58500</v>
      </c>
      <c r="C12" s="61">
        <f>'Parameter Input'!$M$33</f>
        <v>-38750</v>
      </c>
      <c r="D12" s="1" t="s">
        <v>15</v>
      </c>
      <c r="L12" s="54">
        <f>'Parameter Input'!$O$33</f>
        <v>9</v>
      </c>
      <c r="M12" s="37">
        <v>0</v>
      </c>
      <c r="N12" s="37">
        <v>1</v>
      </c>
      <c r="O12" s="37">
        <f>'Parameter Input'!$P$33</f>
        <v>0.9</v>
      </c>
      <c r="P12" s="55">
        <f>'Parameter Input'!$Q$33</f>
        <v>0.4</v>
      </c>
      <c r="Q12" s="4">
        <f t="shared" si="0"/>
        <v>0.96177484161592774</v>
      </c>
      <c r="R12" s="4">
        <f t="shared" si="0"/>
        <v>0.94584787155511363</v>
      </c>
      <c r="S12" s="4">
        <f t="shared" si="0"/>
        <v>0.92370360150141495</v>
      </c>
      <c r="T12" s="4">
        <f t="shared" si="0"/>
        <v>0.89334463567658451</v>
      </c>
      <c r="U12" s="4">
        <f t="shared" si="0"/>
        <v>0.85254543874327005</v>
      </c>
      <c r="V12" s="4">
        <f t="shared" si="0"/>
        <v>0.79921300652623883</v>
      </c>
      <c r="W12" s="4">
        <f t="shared" si="0"/>
        <v>0.73204982249993378</v>
      </c>
      <c r="X12" s="4">
        <f t="shared" si="0"/>
        <v>0.65145592958786691</v>
      </c>
      <c r="Y12" s="4">
        <f t="shared" si="0"/>
        <v>0.56032247880849573</v>
      </c>
      <c r="Z12" s="4">
        <f t="shared" si="0"/>
        <v>0.46411326873185343</v>
      </c>
      <c r="AA12" s="4">
        <f t="shared" si="0"/>
        <v>0.36979727595523937</v>
      </c>
      <c r="AB12" s="4">
        <f t="shared" si="0"/>
        <v>0.28393948637231203</v>
      </c>
      <c r="AC12" s="4">
        <f t="shared" si="0"/>
        <v>0.21097259161117732</v>
      </c>
      <c r="AD12" s="4">
        <f t="shared" si="0"/>
        <v>0.15253917653798199</v>
      </c>
      <c r="AE12" s="4">
        <f t="shared" si="0"/>
        <v>0.10795188737709993</v>
      </c>
      <c r="AF12" s="4">
        <f t="shared" si="0"/>
        <v>7.5176653938091809E-2</v>
      </c>
      <c r="AG12" s="4">
        <f t="shared" si="0"/>
        <v>5.1742836177502194E-2</v>
      </c>
      <c r="AH12" s="4">
        <f t="shared" si="0"/>
        <v>3.5319190625345942E-2</v>
      </c>
      <c r="AI12" s="4">
        <f t="shared" si="0"/>
        <v>2.3969442072658165E-2</v>
      </c>
      <c r="AJ12" s="4">
        <f t="shared" si="0"/>
        <v>1.6202243558389728E-2</v>
      </c>
      <c r="AK12" s="4">
        <f t="shared" si="0"/>
        <v>1.0922240564108399E-2</v>
      </c>
      <c r="AL12" s="4">
        <f t="shared" si="0"/>
        <v>7.3493212906090566E-3</v>
      </c>
      <c r="AM12" s="4">
        <f t="shared" si="0"/>
        <v>4.9390262185057265E-3</v>
      </c>
      <c r="AN12" s="4">
        <f t="shared" si="0"/>
        <v>3.3164275492956197E-3</v>
      </c>
      <c r="AO12" s="4">
        <f t="shared" si="0"/>
        <v>2.2256362146679809E-3</v>
      </c>
      <c r="AP12" s="4">
        <f t="shared" si="0"/>
        <v>1.4930448704811861E-3</v>
      </c>
      <c r="AQ12" s="4">
        <f t="shared" si="0"/>
        <v>1.0013381504474506E-3</v>
      </c>
      <c r="AR12" s="4">
        <f t="shared" si="0"/>
        <v>6.7145100246257527E-4</v>
      </c>
    </row>
    <row r="13" spans="1:44" x14ac:dyDescent="0.3">
      <c r="A13" s="24" t="s">
        <v>14</v>
      </c>
      <c r="B13" s="43">
        <f>'Parameter Input'!B8</f>
        <v>40000</v>
      </c>
      <c r="C13" s="44">
        <f>'Parameter Input'!C8</f>
        <v>40000</v>
      </c>
      <c r="D13" s="1" t="s">
        <v>15</v>
      </c>
      <c r="L13" s="54">
        <f>'Parameter Input'!E8</f>
        <v>12</v>
      </c>
      <c r="M13" s="37">
        <v>0</v>
      </c>
      <c r="N13" s="37">
        <v>1</v>
      </c>
      <c r="O13" s="37">
        <f>'Parameter Input'!F8</f>
        <v>0.9</v>
      </c>
      <c r="P13" s="55">
        <f>'Parameter Input'!G8</f>
        <v>0.4</v>
      </c>
      <c r="Q13" s="4">
        <f t="shared" si="0"/>
        <v>0.9867978615748374</v>
      </c>
      <c r="R13" s="4">
        <f t="shared" si="0"/>
        <v>0.98114509762858249</v>
      </c>
      <c r="S13" s="4">
        <f t="shared" si="0"/>
        <v>0.97311898315872036</v>
      </c>
      <c r="T13" s="4">
        <f t="shared" si="0"/>
        <v>0.96177484161592774</v>
      </c>
      <c r="U13" s="4">
        <f t="shared" si="0"/>
        <v>0.94584787155511363</v>
      </c>
      <c r="V13" s="4">
        <f t="shared" si="0"/>
        <v>0.92370360150141495</v>
      </c>
      <c r="W13" s="4">
        <f t="shared" si="0"/>
        <v>0.89334463567658451</v>
      </c>
      <c r="X13" s="4">
        <f t="shared" si="0"/>
        <v>0.85254543874327005</v>
      </c>
      <c r="Y13" s="4">
        <f t="shared" si="0"/>
        <v>0.79921300652623883</v>
      </c>
      <c r="Z13" s="4">
        <f t="shared" si="0"/>
        <v>0.73204982249993378</v>
      </c>
      <c r="AA13" s="4">
        <f t="shared" si="0"/>
        <v>0.65145592958786691</v>
      </c>
      <c r="AB13" s="4">
        <f t="shared" si="0"/>
        <v>0.56032247880849573</v>
      </c>
      <c r="AC13" s="4">
        <f t="shared" si="0"/>
        <v>0.46411326873185343</v>
      </c>
      <c r="AD13" s="4">
        <f t="shared" si="0"/>
        <v>0.36979727595523937</v>
      </c>
      <c r="AE13" s="4">
        <f t="shared" si="0"/>
        <v>0.28393948637231203</v>
      </c>
      <c r="AF13" s="4">
        <f t="shared" si="0"/>
        <v>0.21097259161117732</v>
      </c>
      <c r="AG13" s="4">
        <f t="shared" si="0"/>
        <v>0.15253917653798199</v>
      </c>
      <c r="AH13" s="4">
        <f t="shared" si="0"/>
        <v>0.10795188737709993</v>
      </c>
      <c r="AI13" s="4">
        <f t="shared" si="0"/>
        <v>7.5176653938091809E-2</v>
      </c>
      <c r="AJ13" s="4">
        <f t="shared" si="0"/>
        <v>5.1742836177502194E-2</v>
      </c>
      <c r="AK13" s="4">
        <f t="shared" si="0"/>
        <v>3.5319190625345942E-2</v>
      </c>
      <c r="AL13" s="4">
        <f t="shared" si="0"/>
        <v>2.3969442072658165E-2</v>
      </c>
      <c r="AM13" s="4">
        <f t="shared" si="0"/>
        <v>1.6202243558389728E-2</v>
      </c>
      <c r="AN13" s="4">
        <f t="shared" si="0"/>
        <v>1.0922240564108399E-2</v>
      </c>
      <c r="AO13" s="4">
        <f t="shared" si="0"/>
        <v>7.3493212906090566E-3</v>
      </c>
      <c r="AP13" s="4">
        <f t="shared" si="0"/>
        <v>4.9390262185057265E-3</v>
      </c>
      <c r="AQ13" s="4">
        <f t="shared" si="0"/>
        <v>3.3164275492956197E-3</v>
      </c>
      <c r="AR13" s="4">
        <f t="shared" si="0"/>
        <v>2.2256362146679809E-3</v>
      </c>
    </row>
    <row r="14" spans="1:44" x14ac:dyDescent="0.3">
      <c r="A14" s="24" t="s">
        <v>25</v>
      </c>
      <c r="B14" s="60">
        <f>'Parameter Input'!B9</f>
        <v>-10000</v>
      </c>
      <c r="C14" s="61">
        <f>'Parameter Input'!C9</f>
        <v>-10000</v>
      </c>
      <c r="D14" s="1" t="s">
        <v>15</v>
      </c>
      <c r="L14" s="54">
        <f>'Parameter Input'!E9</f>
        <v>12</v>
      </c>
      <c r="M14" s="37">
        <v>0</v>
      </c>
      <c r="N14" s="37">
        <v>1</v>
      </c>
      <c r="O14" s="37">
        <f>'Parameter Input'!F9</f>
        <v>0.9</v>
      </c>
      <c r="P14" s="55">
        <f>'Parameter Input'!G9</f>
        <v>0.4</v>
      </c>
      <c r="Q14" s="4">
        <f t="shared" si="0"/>
        <v>0.9867978615748374</v>
      </c>
      <c r="R14" s="4">
        <f t="shared" si="0"/>
        <v>0.98114509762858249</v>
      </c>
      <c r="S14" s="4">
        <f t="shared" si="0"/>
        <v>0.97311898315872036</v>
      </c>
      <c r="T14" s="4">
        <f t="shared" si="0"/>
        <v>0.96177484161592774</v>
      </c>
      <c r="U14" s="4">
        <f t="shared" si="0"/>
        <v>0.94584787155511363</v>
      </c>
      <c r="V14" s="4">
        <f t="shared" si="0"/>
        <v>0.92370360150141495</v>
      </c>
      <c r="W14" s="4">
        <f t="shared" si="0"/>
        <v>0.89334463567658451</v>
      </c>
      <c r="X14" s="4">
        <f t="shared" si="0"/>
        <v>0.85254543874327005</v>
      </c>
      <c r="Y14" s="4">
        <f t="shared" si="0"/>
        <v>0.79921300652623883</v>
      </c>
      <c r="Z14" s="4">
        <f t="shared" si="0"/>
        <v>0.73204982249993378</v>
      </c>
      <c r="AA14" s="4">
        <f t="shared" si="0"/>
        <v>0.65145592958786691</v>
      </c>
      <c r="AB14" s="4">
        <f t="shared" si="0"/>
        <v>0.56032247880849573</v>
      </c>
      <c r="AC14" s="4">
        <f t="shared" si="0"/>
        <v>0.46411326873185343</v>
      </c>
      <c r="AD14" s="4">
        <f t="shared" si="0"/>
        <v>0.36979727595523937</v>
      </c>
      <c r="AE14" s="4">
        <f t="shared" si="0"/>
        <v>0.28393948637231203</v>
      </c>
      <c r="AF14" s="4">
        <f t="shared" si="0"/>
        <v>0.21097259161117732</v>
      </c>
      <c r="AG14" s="4">
        <f t="shared" si="0"/>
        <v>0.15253917653798199</v>
      </c>
      <c r="AH14" s="4">
        <f t="shared" si="0"/>
        <v>0.10795188737709993</v>
      </c>
      <c r="AI14" s="4">
        <f t="shared" si="0"/>
        <v>7.5176653938091809E-2</v>
      </c>
      <c r="AJ14" s="4">
        <f t="shared" si="0"/>
        <v>5.1742836177502194E-2</v>
      </c>
      <c r="AK14" s="4">
        <f t="shared" si="0"/>
        <v>3.5319190625345942E-2</v>
      </c>
      <c r="AL14" s="4">
        <f t="shared" si="0"/>
        <v>2.3969442072658165E-2</v>
      </c>
      <c r="AM14" s="4">
        <f t="shared" si="0"/>
        <v>1.6202243558389728E-2</v>
      </c>
      <c r="AN14" s="4">
        <f t="shared" si="0"/>
        <v>1.0922240564108399E-2</v>
      </c>
      <c r="AO14" s="4">
        <f t="shared" si="0"/>
        <v>7.3493212906090566E-3</v>
      </c>
      <c r="AP14" s="4">
        <f t="shared" si="0"/>
        <v>4.9390262185057265E-3</v>
      </c>
      <c r="AQ14" s="4">
        <f t="shared" si="0"/>
        <v>3.3164275492956197E-3</v>
      </c>
      <c r="AR14" s="4">
        <f t="shared" si="0"/>
        <v>2.2256362146679809E-3</v>
      </c>
    </row>
    <row r="15" spans="1:44" x14ac:dyDescent="0.3">
      <c r="A15" s="24" t="s">
        <v>79</v>
      </c>
      <c r="B15" s="45">
        <f>'Parameter Input'!$L$39</f>
        <v>0.06</v>
      </c>
      <c r="C15" s="46">
        <f>'Parameter Input'!$M$39</f>
        <v>0.06</v>
      </c>
      <c r="D15" s="1" t="s">
        <v>57</v>
      </c>
      <c r="L15" s="54">
        <f>'Parameter Input'!$O$39</f>
        <v>12</v>
      </c>
      <c r="M15" s="37">
        <v>0</v>
      </c>
      <c r="N15" s="37">
        <v>1</v>
      </c>
      <c r="O15" s="37">
        <f>'Parameter Input'!$P$39</f>
        <v>0.9</v>
      </c>
      <c r="P15" s="55">
        <f>'Parameter Input'!$Q$39</f>
        <v>0.4</v>
      </c>
      <c r="Q15" s="4">
        <f t="shared" si="0"/>
        <v>0.9867978615748374</v>
      </c>
      <c r="R15" s="4">
        <f t="shared" si="0"/>
        <v>0.98114509762858249</v>
      </c>
      <c r="S15" s="4">
        <f t="shared" si="0"/>
        <v>0.97311898315872036</v>
      </c>
      <c r="T15" s="4">
        <f t="shared" si="0"/>
        <v>0.96177484161592774</v>
      </c>
      <c r="U15" s="4">
        <f t="shared" si="0"/>
        <v>0.94584787155511363</v>
      </c>
      <c r="V15" s="4">
        <f t="shared" si="0"/>
        <v>0.92370360150141495</v>
      </c>
      <c r="W15" s="4">
        <f t="shared" si="0"/>
        <v>0.89334463567658451</v>
      </c>
      <c r="X15" s="4">
        <f t="shared" si="0"/>
        <v>0.85254543874327005</v>
      </c>
      <c r="Y15" s="4">
        <f t="shared" si="0"/>
        <v>0.79921300652623883</v>
      </c>
      <c r="Z15" s="4">
        <f t="shared" si="0"/>
        <v>0.73204982249993378</v>
      </c>
      <c r="AA15" s="4">
        <f t="shared" si="0"/>
        <v>0.65145592958786691</v>
      </c>
      <c r="AB15" s="4">
        <f t="shared" si="0"/>
        <v>0.56032247880849573</v>
      </c>
      <c r="AC15" s="4">
        <f t="shared" si="0"/>
        <v>0.46411326873185343</v>
      </c>
      <c r="AD15" s="4">
        <f t="shared" si="0"/>
        <v>0.36979727595523937</v>
      </c>
      <c r="AE15" s="4">
        <f t="shared" si="0"/>
        <v>0.28393948637231203</v>
      </c>
      <c r="AF15" s="4">
        <f t="shared" si="0"/>
        <v>0.21097259161117732</v>
      </c>
      <c r="AG15" s="4">
        <f t="shared" si="0"/>
        <v>0.15253917653798199</v>
      </c>
      <c r="AH15" s="4">
        <f t="shared" si="0"/>
        <v>0.10795188737709993</v>
      </c>
      <c r="AI15" s="4">
        <f t="shared" si="0"/>
        <v>7.5176653938091809E-2</v>
      </c>
      <c r="AJ15" s="4">
        <f t="shared" si="0"/>
        <v>5.1742836177502194E-2</v>
      </c>
      <c r="AK15" s="4">
        <f t="shared" si="0"/>
        <v>3.5319190625345942E-2</v>
      </c>
      <c r="AL15" s="4">
        <f t="shared" si="0"/>
        <v>2.3969442072658165E-2</v>
      </c>
      <c r="AM15" s="4">
        <f t="shared" si="0"/>
        <v>1.6202243558389728E-2</v>
      </c>
      <c r="AN15" s="4">
        <f t="shared" si="0"/>
        <v>1.0922240564108399E-2</v>
      </c>
      <c r="AO15" s="4">
        <f t="shared" si="0"/>
        <v>7.3493212906090566E-3</v>
      </c>
      <c r="AP15" s="4">
        <f t="shared" si="0"/>
        <v>4.9390262185057265E-3</v>
      </c>
      <c r="AQ15" s="4">
        <f t="shared" si="0"/>
        <v>3.3164275492956197E-3</v>
      </c>
      <c r="AR15" s="4">
        <f t="shared" si="0"/>
        <v>2.2256362146679809E-3</v>
      </c>
    </row>
    <row r="16" spans="1:44" x14ac:dyDescent="0.3">
      <c r="A16" s="24" t="s">
        <v>37</v>
      </c>
      <c r="B16" s="43">
        <f>'Parameter Input'!B10</f>
        <v>70000</v>
      </c>
      <c r="C16" s="44">
        <f>'Parameter Input'!C10</f>
        <v>70000</v>
      </c>
      <c r="D16" s="1" t="s">
        <v>38</v>
      </c>
      <c r="L16" s="54">
        <f>'Parameter Input'!E10</f>
        <v>12</v>
      </c>
      <c r="M16" s="37">
        <v>0</v>
      </c>
      <c r="N16" s="37">
        <v>1</v>
      </c>
      <c r="O16" s="37">
        <f>'Parameter Input'!F10</f>
        <v>0.9</v>
      </c>
      <c r="P16" s="55">
        <f>'Parameter Input'!G10</f>
        <v>0.4</v>
      </c>
      <c r="Q16" s="4">
        <f t="shared" si="0"/>
        <v>0.9867978615748374</v>
      </c>
      <c r="R16" s="4">
        <f t="shared" si="0"/>
        <v>0.98114509762858249</v>
      </c>
      <c r="S16" s="4">
        <f t="shared" si="0"/>
        <v>0.97311898315872036</v>
      </c>
      <c r="T16" s="4">
        <f t="shared" si="0"/>
        <v>0.96177484161592774</v>
      </c>
      <c r="U16" s="4">
        <f t="shared" si="0"/>
        <v>0.94584787155511363</v>
      </c>
      <c r="V16" s="4">
        <f t="shared" si="0"/>
        <v>0.92370360150141495</v>
      </c>
      <c r="W16" s="4">
        <f t="shared" si="0"/>
        <v>0.89334463567658451</v>
      </c>
      <c r="X16" s="4">
        <f t="shared" si="0"/>
        <v>0.85254543874327005</v>
      </c>
      <c r="Y16" s="4">
        <f t="shared" si="0"/>
        <v>0.79921300652623883</v>
      </c>
      <c r="Z16" s="4">
        <f t="shared" si="0"/>
        <v>0.73204982249993378</v>
      </c>
      <c r="AA16" s="4">
        <f t="shared" si="0"/>
        <v>0.65145592958786691</v>
      </c>
      <c r="AB16" s="4">
        <f t="shared" si="0"/>
        <v>0.56032247880849573</v>
      </c>
      <c r="AC16" s="4">
        <f t="shared" si="0"/>
        <v>0.46411326873185343</v>
      </c>
      <c r="AD16" s="4">
        <f t="shared" si="0"/>
        <v>0.36979727595523937</v>
      </c>
      <c r="AE16" s="4">
        <f t="shared" si="0"/>
        <v>0.28393948637231203</v>
      </c>
      <c r="AF16" s="4">
        <f t="shared" si="0"/>
        <v>0.21097259161117732</v>
      </c>
      <c r="AG16" s="4">
        <f t="shared" si="0"/>
        <v>0.15253917653798199</v>
      </c>
      <c r="AH16" s="4">
        <f t="shared" si="0"/>
        <v>0.10795188737709993</v>
      </c>
      <c r="AI16" s="4">
        <f t="shared" si="0"/>
        <v>7.5176653938091809E-2</v>
      </c>
      <c r="AJ16" s="4">
        <f t="shared" si="0"/>
        <v>5.1742836177502194E-2</v>
      </c>
      <c r="AK16" s="4">
        <f t="shared" si="0"/>
        <v>3.5319190625345942E-2</v>
      </c>
      <c r="AL16" s="4">
        <f t="shared" si="0"/>
        <v>2.3969442072658165E-2</v>
      </c>
      <c r="AM16" s="4">
        <f t="shared" si="0"/>
        <v>1.6202243558389728E-2</v>
      </c>
      <c r="AN16" s="4">
        <f t="shared" si="0"/>
        <v>1.0922240564108399E-2</v>
      </c>
      <c r="AO16" s="4">
        <f t="shared" si="0"/>
        <v>7.3493212906090566E-3</v>
      </c>
      <c r="AP16" s="4">
        <f t="shared" si="0"/>
        <v>4.9390262185057265E-3</v>
      </c>
      <c r="AQ16" s="4">
        <f t="shared" si="0"/>
        <v>3.3164275492956197E-3</v>
      </c>
      <c r="AR16" s="4">
        <f t="shared" si="0"/>
        <v>2.2256362146679809E-3</v>
      </c>
    </row>
    <row r="17" spans="1:44" x14ac:dyDescent="0.3">
      <c r="A17" s="24" t="s">
        <v>52</v>
      </c>
      <c r="B17" s="43">
        <f>'Parameter Input'!$L$35</f>
        <v>26000</v>
      </c>
      <c r="C17" s="44">
        <f>'Parameter Input'!$M$35</f>
        <v>18000</v>
      </c>
      <c r="D17" s="1" t="s">
        <v>38</v>
      </c>
      <c r="L17" s="54">
        <f>'Parameter Input'!$O$35</f>
        <v>9</v>
      </c>
      <c r="M17" s="37">
        <v>0</v>
      </c>
      <c r="N17" s="37">
        <v>1</v>
      </c>
      <c r="O17" s="37">
        <f>'Parameter Input'!$P$35</f>
        <v>0.9</v>
      </c>
      <c r="P17" s="55">
        <f>'Parameter Input'!$Q$35</f>
        <v>0.4</v>
      </c>
      <c r="Q17" s="4">
        <f t="shared" si="0"/>
        <v>0.96177484161592774</v>
      </c>
      <c r="R17" s="4">
        <f t="shared" si="0"/>
        <v>0.94584787155511363</v>
      </c>
      <c r="S17" s="4">
        <f t="shared" si="0"/>
        <v>0.92370360150141495</v>
      </c>
      <c r="T17" s="4">
        <f t="shared" si="0"/>
        <v>0.89334463567658451</v>
      </c>
      <c r="U17" s="4">
        <f t="shared" si="0"/>
        <v>0.85254543874327005</v>
      </c>
      <c r="V17" s="4">
        <f t="shared" si="0"/>
        <v>0.79921300652623883</v>
      </c>
      <c r="W17" s="4">
        <f t="shared" si="0"/>
        <v>0.73204982249993378</v>
      </c>
      <c r="X17" s="4">
        <f t="shared" si="0"/>
        <v>0.65145592958786691</v>
      </c>
      <c r="Y17" s="4">
        <f t="shared" si="0"/>
        <v>0.56032247880849573</v>
      </c>
      <c r="Z17" s="4">
        <f t="shared" si="0"/>
        <v>0.46411326873185343</v>
      </c>
      <c r="AA17" s="4">
        <f t="shared" si="0"/>
        <v>0.36979727595523937</v>
      </c>
      <c r="AB17" s="4">
        <f t="shared" si="0"/>
        <v>0.28393948637231203</v>
      </c>
      <c r="AC17" s="4">
        <f t="shared" si="0"/>
        <v>0.21097259161117732</v>
      </c>
      <c r="AD17" s="4">
        <f t="shared" si="0"/>
        <v>0.15253917653798199</v>
      </c>
      <c r="AE17" s="4">
        <f t="shared" si="0"/>
        <v>0.10795188737709993</v>
      </c>
      <c r="AF17" s="4">
        <f t="shared" si="0"/>
        <v>7.5176653938091809E-2</v>
      </c>
      <c r="AG17" s="4">
        <f t="shared" si="0"/>
        <v>5.1742836177502194E-2</v>
      </c>
      <c r="AH17" s="4">
        <f t="shared" si="0"/>
        <v>3.5319190625345942E-2</v>
      </c>
      <c r="AI17" s="4">
        <f t="shared" si="0"/>
        <v>2.3969442072658165E-2</v>
      </c>
      <c r="AJ17" s="4">
        <f t="shared" si="0"/>
        <v>1.6202243558389728E-2</v>
      </c>
      <c r="AK17" s="4">
        <f t="shared" si="0"/>
        <v>1.0922240564108399E-2</v>
      </c>
      <c r="AL17" s="4">
        <f t="shared" si="0"/>
        <v>7.3493212906090566E-3</v>
      </c>
      <c r="AM17" s="4">
        <f t="shared" si="0"/>
        <v>4.9390262185057265E-3</v>
      </c>
      <c r="AN17" s="4">
        <f t="shared" si="0"/>
        <v>3.3164275492956197E-3</v>
      </c>
      <c r="AO17" s="4">
        <f t="shared" si="0"/>
        <v>2.2256362146679809E-3</v>
      </c>
      <c r="AP17" s="4">
        <f t="shared" si="0"/>
        <v>1.4930448704811861E-3</v>
      </c>
      <c r="AQ17" s="4">
        <f t="shared" si="0"/>
        <v>1.0013381504474506E-3</v>
      </c>
      <c r="AR17" s="4">
        <f t="shared" si="0"/>
        <v>6.7145100246257527E-4</v>
      </c>
    </row>
    <row r="18" spans="1:44" x14ac:dyDescent="0.3">
      <c r="A18" s="24" t="s">
        <v>273</v>
      </c>
      <c r="B18" s="45">
        <f>'Parameter Input'!B15</f>
        <v>0.11</v>
      </c>
      <c r="C18" s="46">
        <f>'Parameter Input'!C15</f>
        <v>0.11</v>
      </c>
      <c r="D18" s="1" t="s">
        <v>76</v>
      </c>
      <c r="L18" s="54">
        <f>'Parameter Input'!E15</f>
        <v>12</v>
      </c>
      <c r="M18" s="37">
        <v>0</v>
      </c>
      <c r="N18" s="37">
        <v>1</v>
      </c>
      <c r="O18" s="37">
        <f>'Parameter Input'!F15</f>
        <v>0.9</v>
      </c>
      <c r="P18" s="55">
        <f>'Parameter Input'!G15</f>
        <v>0.4</v>
      </c>
      <c r="Q18" s="4">
        <f t="shared" si="0"/>
        <v>0.9867978615748374</v>
      </c>
      <c r="R18" s="4">
        <f t="shared" si="0"/>
        <v>0.98114509762858249</v>
      </c>
      <c r="S18" s="4">
        <f t="shared" si="0"/>
        <v>0.97311898315872036</v>
      </c>
      <c r="T18" s="4">
        <f t="shared" si="0"/>
        <v>0.96177484161592774</v>
      </c>
      <c r="U18" s="4">
        <f t="shared" si="0"/>
        <v>0.94584787155511363</v>
      </c>
      <c r="V18" s="4">
        <f t="shared" si="0"/>
        <v>0.92370360150141495</v>
      </c>
      <c r="W18" s="4">
        <f t="shared" si="0"/>
        <v>0.89334463567658451</v>
      </c>
      <c r="X18" s="4">
        <f t="shared" si="0"/>
        <v>0.85254543874327005</v>
      </c>
      <c r="Y18" s="4">
        <f t="shared" si="0"/>
        <v>0.79921300652623883</v>
      </c>
      <c r="Z18" s="4">
        <f t="shared" si="0"/>
        <v>0.73204982249993378</v>
      </c>
      <c r="AA18" s="4">
        <f t="shared" si="0"/>
        <v>0.65145592958786691</v>
      </c>
      <c r="AB18" s="4">
        <f t="shared" si="0"/>
        <v>0.56032247880849573</v>
      </c>
      <c r="AC18" s="4">
        <f t="shared" si="0"/>
        <v>0.46411326873185343</v>
      </c>
      <c r="AD18" s="4">
        <f t="shared" si="0"/>
        <v>0.36979727595523937</v>
      </c>
      <c r="AE18" s="4">
        <f t="shared" si="0"/>
        <v>0.28393948637231203</v>
      </c>
      <c r="AF18" s="4">
        <f t="shared" si="0"/>
        <v>0.21097259161117732</v>
      </c>
      <c r="AG18" s="4">
        <f t="shared" si="0"/>
        <v>0.15253917653798199</v>
      </c>
      <c r="AH18" s="4">
        <f t="shared" si="0"/>
        <v>0.10795188737709993</v>
      </c>
      <c r="AI18" s="4">
        <f t="shared" si="0"/>
        <v>7.5176653938091809E-2</v>
      </c>
      <c r="AJ18" s="4">
        <f t="shared" si="0"/>
        <v>5.1742836177502194E-2</v>
      </c>
      <c r="AK18" s="4">
        <f t="shared" si="0"/>
        <v>3.5319190625345942E-2</v>
      </c>
      <c r="AL18" s="4">
        <f t="shared" si="0"/>
        <v>2.3969442072658165E-2</v>
      </c>
      <c r="AM18" s="4">
        <f t="shared" si="0"/>
        <v>1.6202243558389728E-2</v>
      </c>
      <c r="AN18" s="4">
        <f t="shared" si="0"/>
        <v>1.0922240564108399E-2</v>
      </c>
      <c r="AO18" s="4">
        <f t="shared" si="0"/>
        <v>7.3493212906090566E-3</v>
      </c>
      <c r="AP18" s="4">
        <f t="shared" si="0"/>
        <v>4.9390262185057265E-3</v>
      </c>
      <c r="AQ18" s="4">
        <f t="shared" si="0"/>
        <v>3.3164275492956197E-3</v>
      </c>
      <c r="AR18" s="4">
        <f t="shared" si="0"/>
        <v>2.2256362146679809E-3</v>
      </c>
    </row>
    <row r="19" spans="1:44" x14ac:dyDescent="0.3">
      <c r="A19" s="24" t="s">
        <v>59</v>
      </c>
      <c r="B19" s="47">
        <f>'Parameter Input'!$L$36</f>
        <v>2.5299999999999998</v>
      </c>
      <c r="C19" s="48">
        <f>'Parameter Input'!$M$36</f>
        <v>1.79</v>
      </c>
      <c r="D19" s="1" t="s">
        <v>60</v>
      </c>
      <c r="L19" s="54">
        <f>'Parameter Input'!$O$36</f>
        <v>9</v>
      </c>
      <c r="M19" s="37">
        <v>0</v>
      </c>
      <c r="N19" s="37">
        <v>1</v>
      </c>
      <c r="O19" s="37">
        <f>'Parameter Input'!$P$36</f>
        <v>0.9</v>
      </c>
      <c r="P19" s="55">
        <f>'Parameter Input'!$Q$36</f>
        <v>0.4</v>
      </c>
      <c r="Q19" s="4">
        <f t="shared" si="0"/>
        <v>0.96177484161592774</v>
      </c>
      <c r="R19" s="4">
        <f t="shared" si="0"/>
        <v>0.94584787155511363</v>
      </c>
      <c r="S19" s="4">
        <f t="shared" si="0"/>
        <v>0.92370360150141495</v>
      </c>
      <c r="T19" s="4">
        <f t="shared" si="0"/>
        <v>0.89334463567658451</v>
      </c>
      <c r="U19" s="4">
        <f t="shared" si="0"/>
        <v>0.85254543874327005</v>
      </c>
      <c r="V19" s="4">
        <f t="shared" si="0"/>
        <v>0.79921300652623883</v>
      </c>
      <c r="W19" s="4">
        <f t="shared" si="0"/>
        <v>0.73204982249993378</v>
      </c>
      <c r="X19" s="4">
        <f t="shared" si="0"/>
        <v>0.65145592958786691</v>
      </c>
      <c r="Y19" s="4">
        <f t="shared" si="0"/>
        <v>0.56032247880849573</v>
      </c>
      <c r="Z19" s="4">
        <f t="shared" si="0"/>
        <v>0.46411326873185343</v>
      </c>
      <c r="AA19" s="4">
        <f t="shared" si="0"/>
        <v>0.36979727595523937</v>
      </c>
      <c r="AB19" s="4">
        <f t="shared" si="0"/>
        <v>0.28393948637231203</v>
      </c>
      <c r="AC19" s="4">
        <f t="shared" si="0"/>
        <v>0.21097259161117732</v>
      </c>
      <c r="AD19" s="4">
        <f t="shared" si="0"/>
        <v>0.15253917653798199</v>
      </c>
      <c r="AE19" s="4">
        <f t="shared" si="0"/>
        <v>0.10795188737709993</v>
      </c>
      <c r="AF19" s="4">
        <f t="shared" si="0"/>
        <v>7.5176653938091809E-2</v>
      </c>
      <c r="AG19" s="4">
        <f t="shared" si="0"/>
        <v>5.1742836177502194E-2</v>
      </c>
      <c r="AH19" s="4">
        <f t="shared" si="0"/>
        <v>3.5319190625345942E-2</v>
      </c>
      <c r="AI19" s="4">
        <f t="shared" si="0"/>
        <v>2.3969442072658165E-2</v>
      </c>
      <c r="AJ19" s="4">
        <f t="shared" si="0"/>
        <v>1.6202243558389728E-2</v>
      </c>
      <c r="AK19" s="4">
        <f t="shared" si="0"/>
        <v>1.0922240564108399E-2</v>
      </c>
      <c r="AL19" s="4">
        <f t="shared" si="0"/>
        <v>7.3493212906090566E-3</v>
      </c>
      <c r="AM19" s="4">
        <f t="shared" si="0"/>
        <v>4.9390262185057265E-3</v>
      </c>
      <c r="AN19" s="4">
        <f t="shared" si="0"/>
        <v>3.3164275492956197E-3</v>
      </c>
      <c r="AO19" s="4">
        <f t="shared" si="0"/>
        <v>2.2256362146679809E-3</v>
      </c>
      <c r="AP19" s="4">
        <f t="shared" si="0"/>
        <v>1.4930448704811861E-3</v>
      </c>
      <c r="AQ19" s="4">
        <f t="shared" si="0"/>
        <v>1.0013381504474506E-3</v>
      </c>
      <c r="AR19" s="4">
        <f t="shared" si="0"/>
        <v>6.7145100246257527E-4</v>
      </c>
    </row>
    <row r="20" spans="1:44" x14ac:dyDescent="0.3">
      <c r="A20" s="24" t="s">
        <v>67</v>
      </c>
      <c r="B20" s="45">
        <f>'Parameter Input'!$L$37</f>
        <v>0.21633448448114301</v>
      </c>
      <c r="C20" s="46">
        <f>'Parameter Input'!$M$37</f>
        <v>0.101814693285632</v>
      </c>
      <c r="D20" s="1" t="s">
        <v>68</v>
      </c>
      <c r="L20" s="54">
        <f>'Parameter Input'!$O$37</f>
        <v>12</v>
      </c>
      <c r="M20" s="37">
        <v>0</v>
      </c>
      <c r="N20" s="37">
        <v>1</v>
      </c>
      <c r="O20" s="37">
        <f>'Parameter Input'!$P$37</f>
        <v>0.9</v>
      </c>
      <c r="P20" s="55">
        <f>'Parameter Input'!$Q$37</f>
        <v>0.4</v>
      </c>
      <c r="Q20" s="4">
        <f t="shared" si="0"/>
        <v>0.9867978615748374</v>
      </c>
      <c r="R20" s="4">
        <f t="shared" si="0"/>
        <v>0.98114509762858249</v>
      </c>
      <c r="S20" s="4">
        <f t="shared" si="0"/>
        <v>0.97311898315872036</v>
      </c>
      <c r="T20" s="4">
        <f t="shared" ref="T20:AR27" si="1">$N20+($M20-$N20)*((1/(1+EXP(-$P20*(T$9-$L20)))^$O20))</f>
        <v>0.96177484161592774</v>
      </c>
      <c r="U20" s="4">
        <f t="shared" si="1"/>
        <v>0.94584787155511363</v>
      </c>
      <c r="V20" s="4">
        <f t="shared" si="1"/>
        <v>0.92370360150141495</v>
      </c>
      <c r="W20" s="4">
        <f t="shared" si="1"/>
        <v>0.89334463567658451</v>
      </c>
      <c r="X20" s="4">
        <f t="shared" si="1"/>
        <v>0.85254543874327005</v>
      </c>
      <c r="Y20" s="4">
        <f t="shared" si="1"/>
        <v>0.79921300652623883</v>
      </c>
      <c r="Z20" s="4">
        <f t="shared" si="1"/>
        <v>0.73204982249993378</v>
      </c>
      <c r="AA20" s="4">
        <f t="shared" si="1"/>
        <v>0.65145592958786691</v>
      </c>
      <c r="AB20" s="4">
        <f t="shared" si="1"/>
        <v>0.56032247880849573</v>
      </c>
      <c r="AC20" s="4">
        <f t="shared" si="1"/>
        <v>0.46411326873185343</v>
      </c>
      <c r="AD20" s="4">
        <f t="shared" si="1"/>
        <v>0.36979727595523937</v>
      </c>
      <c r="AE20" s="4">
        <f t="shared" si="1"/>
        <v>0.28393948637231203</v>
      </c>
      <c r="AF20" s="4">
        <f t="shared" si="1"/>
        <v>0.21097259161117732</v>
      </c>
      <c r="AG20" s="4">
        <f t="shared" si="1"/>
        <v>0.15253917653798199</v>
      </c>
      <c r="AH20" s="4">
        <f t="shared" si="1"/>
        <v>0.10795188737709993</v>
      </c>
      <c r="AI20" s="4">
        <f t="shared" si="1"/>
        <v>7.5176653938091809E-2</v>
      </c>
      <c r="AJ20" s="4">
        <f t="shared" si="1"/>
        <v>5.1742836177502194E-2</v>
      </c>
      <c r="AK20" s="4">
        <f t="shared" si="1"/>
        <v>3.5319190625345942E-2</v>
      </c>
      <c r="AL20" s="4">
        <f t="shared" si="1"/>
        <v>2.3969442072658165E-2</v>
      </c>
      <c r="AM20" s="4">
        <f t="shared" si="1"/>
        <v>1.6202243558389728E-2</v>
      </c>
      <c r="AN20" s="4">
        <f t="shared" si="1"/>
        <v>1.0922240564108399E-2</v>
      </c>
      <c r="AO20" s="4">
        <f t="shared" si="1"/>
        <v>7.3493212906090566E-3</v>
      </c>
      <c r="AP20" s="4">
        <f t="shared" si="1"/>
        <v>4.9390262185057265E-3</v>
      </c>
      <c r="AQ20" s="4">
        <f t="shared" si="1"/>
        <v>3.3164275492956197E-3</v>
      </c>
      <c r="AR20" s="4">
        <f t="shared" si="1"/>
        <v>2.2256362146679809E-3</v>
      </c>
    </row>
    <row r="21" spans="1:44" x14ac:dyDescent="0.3">
      <c r="A21" s="24" t="s">
        <v>206</v>
      </c>
      <c r="B21" s="115">
        <f>'Parameter Input'!$L$40</f>
        <v>9.1245901639344252E-3</v>
      </c>
      <c r="C21" s="116">
        <f>'Parameter Input'!$M$40</f>
        <v>0</v>
      </c>
      <c r="D21" s="1" t="s">
        <v>76</v>
      </c>
      <c r="L21" s="54">
        <f>'Parameter Input'!$O$40</f>
        <v>17</v>
      </c>
      <c r="M21" s="37">
        <v>0</v>
      </c>
      <c r="N21" s="37">
        <v>1</v>
      </c>
      <c r="O21" s="37">
        <f>'Parameter Input'!$P$40</f>
        <v>0.9</v>
      </c>
      <c r="P21" s="55">
        <f>'Parameter Input'!$Q$40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43">
        <f>'Parameter Input'!$L$34</f>
        <v>8</v>
      </c>
      <c r="C22" s="44">
        <f>'Parameter Input'!$M$34</f>
        <v>8</v>
      </c>
      <c r="D22" s="1" t="s">
        <v>42</v>
      </c>
      <c r="L22" s="54">
        <f>'Parameter Input'!$O$34</f>
        <v>9</v>
      </c>
      <c r="M22" s="37">
        <v>0</v>
      </c>
      <c r="N22" s="37">
        <v>1</v>
      </c>
      <c r="O22" s="37">
        <f>'Parameter Input'!$P$34</f>
        <v>0.9</v>
      </c>
      <c r="P22" s="55">
        <f>'Parameter Input'!$Q$34</f>
        <v>0.4</v>
      </c>
      <c r="Q22" s="4">
        <f t="shared" ref="Q22:AF27" si="3">$N22+($M22-$N22)*((1/(1+EXP(-$P22*(Q$9-$L22)))^$O22))</f>
        <v>0.96177484161592774</v>
      </c>
      <c r="R22" s="4">
        <f t="shared" si="3"/>
        <v>0.94584787155511363</v>
      </c>
      <c r="S22" s="4">
        <f t="shared" si="3"/>
        <v>0.92370360150141495</v>
      </c>
      <c r="T22" s="4">
        <f t="shared" si="3"/>
        <v>0.89334463567658451</v>
      </c>
      <c r="U22" s="4">
        <f t="shared" si="3"/>
        <v>0.85254543874327005</v>
      </c>
      <c r="V22" s="4">
        <f t="shared" si="3"/>
        <v>0.79921300652623883</v>
      </c>
      <c r="W22" s="4">
        <f t="shared" si="3"/>
        <v>0.73204982249993378</v>
      </c>
      <c r="X22" s="4">
        <f t="shared" si="3"/>
        <v>0.65145592958786691</v>
      </c>
      <c r="Y22" s="4">
        <f t="shared" si="3"/>
        <v>0.56032247880849573</v>
      </c>
      <c r="Z22" s="4">
        <f t="shared" si="3"/>
        <v>0.46411326873185343</v>
      </c>
      <c r="AA22" s="4">
        <f t="shared" si="3"/>
        <v>0.36979727595523937</v>
      </c>
      <c r="AB22" s="4">
        <f t="shared" si="3"/>
        <v>0.28393948637231203</v>
      </c>
      <c r="AC22" s="4">
        <f t="shared" si="3"/>
        <v>0.21097259161117732</v>
      </c>
      <c r="AD22" s="4">
        <f t="shared" si="3"/>
        <v>0.15253917653798199</v>
      </c>
      <c r="AE22" s="4">
        <f t="shared" si="3"/>
        <v>0.10795188737709993</v>
      </c>
      <c r="AF22" s="4">
        <f t="shared" si="3"/>
        <v>7.5176653938091809E-2</v>
      </c>
      <c r="AG22" s="4">
        <f t="shared" si="1"/>
        <v>5.1742836177502194E-2</v>
      </c>
      <c r="AH22" s="4">
        <f t="shared" si="1"/>
        <v>3.5319190625345942E-2</v>
      </c>
      <c r="AI22" s="4">
        <f t="shared" si="1"/>
        <v>2.3969442072658165E-2</v>
      </c>
      <c r="AJ22" s="4">
        <f t="shared" si="1"/>
        <v>1.6202243558389728E-2</v>
      </c>
      <c r="AK22" s="4">
        <f t="shared" si="1"/>
        <v>1.0922240564108399E-2</v>
      </c>
      <c r="AL22" s="4">
        <f t="shared" si="1"/>
        <v>7.3493212906090566E-3</v>
      </c>
      <c r="AM22" s="4">
        <f t="shared" si="1"/>
        <v>4.9390262185057265E-3</v>
      </c>
      <c r="AN22" s="4">
        <f t="shared" si="1"/>
        <v>3.3164275492956197E-3</v>
      </c>
      <c r="AO22" s="4">
        <f t="shared" si="1"/>
        <v>2.2256362146679809E-3</v>
      </c>
      <c r="AP22" s="4">
        <f t="shared" si="1"/>
        <v>1.4930448704811861E-3</v>
      </c>
      <c r="AQ22" s="4">
        <f t="shared" si="1"/>
        <v>1.0013381504474506E-3</v>
      </c>
      <c r="AR22" s="4">
        <f t="shared" si="1"/>
        <v>6.7145100246257527E-4</v>
      </c>
    </row>
    <row r="23" spans="1:44" x14ac:dyDescent="0.3">
      <c r="A23" s="24" t="s">
        <v>70</v>
      </c>
      <c r="B23" s="43">
        <f>'Parameter Input'!B14</f>
        <v>10</v>
      </c>
      <c r="C23" s="44">
        <f>'Parameter Input'!C14</f>
        <v>10</v>
      </c>
      <c r="D23" s="1" t="s">
        <v>42</v>
      </c>
      <c r="L23" s="54">
        <f>'Parameter Input'!E14</f>
        <v>12</v>
      </c>
      <c r="M23" s="37">
        <v>0</v>
      </c>
      <c r="N23" s="37">
        <v>1</v>
      </c>
      <c r="O23" s="37">
        <f>'Parameter Input'!F14</f>
        <v>0.9</v>
      </c>
      <c r="P23" s="55">
        <f>'Parameter Input'!G14</f>
        <v>0.4</v>
      </c>
      <c r="Q23" s="4">
        <f t="shared" si="3"/>
        <v>0.9867978615748374</v>
      </c>
      <c r="R23" s="4">
        <f t="shared" si="3"/>
        <v>0.98114509762858249</v>
      </c>
      <c r="S23" s="4">
        <f t="shared" si="3"/>
        <v>0.97311898315872036</v>
      </c>
      <c r="T23" s="4">
        <f t="shared" si="3"/>
        <v>0.96177484161592774</v>
      </c>
      <c r="U23" s="4">
        <f t="shared" si="3"/>
        <v>0.94584787155511363</v>
      </c>
      <c r="V23" s="4">
        <f t="shared" si="3"/>
        <v>0.92370360150141495</v>
      </c>
      <c r="W23" s="4">
        <f t="shared" si="3"/>
        <v>0.89334463567658451</v>
      </c>
      <c r="X23" s="4">
        <f t="shared" si="3"/>
        <v>0.85254543874327005</v>
      </c>
      <c r="Y23" s="4">
        <f t="shared" si="3"/>
        <v>0.79921300652623883</v>
      </c>
      <c r="Z23" s="4">
        <f t="shared" si="3"/>
        <v>0.73204982249993378</v>
      </c>
      <c r="AA23" s="4">
        <f t="shared" si="3"/>
        <v>0.65145592958786691</v>
      </c>
      <c r="AB23" s="4">
        <f t="shared" si="3"/>
        <v>0.56032247880849573</v>
      </c>
      <c r="AC23" s="4">
        <f t="shared" si="3"/>
        <v>0.46411326873185343</v>
      </c>
      <c r="AD23" s="4">
        <f t="shared" si="3"/>
        <v>0.36979727595523937</v>
      </c>
      <c r="AE23" s="4">
        <f t="shared" si="3"/>
        <v>0.28393948637231203</v>
      </c>
      <c r="AF23" s="4">
        <f t="shared" si="3"/>
        <v>0.21097259161117732</v>
      </c>
      <c r="AG23" s="4">
        <f t="shared" si="1"/>
        <v>0.15253917653798199</v>
      </c>
      <c r="AH23" s="4">
        <f t="shared" si="1"/>
        <v>0.10795188737709993</v>
      </c>
      <c r="AI23" s="4">
        <f t="shared" si="1"/>
        <v>7.5176653938091809E-2</v>
      </c>
      <c r="AJ23" s="4">
        <f t="shared" si="1"/>
        <v>5.1742836177502194E-2</v>
      </c>
      <c r="AK23" s="4">
        <f t="shared" si="1"/>
        <v>3.5319190625345942E-2</v>
      </c>
      <c r="AL23" s="4">
        <f t="shared" si="1"/>
        <v>2.3969442072658165E-2</v>
      </c>
      <c r="AM23" s="4">
        <f t="shared" si="1"/>
        <v>1.6202243558389728E-2</v>
      </c>
      <c r="AN23" s="4">
        <f t="shared" si="1"/>
        <v>1.0922240564108399E-2</v>
      </c>
      <c r="AO23" s="4">
        <f t="shared" si="1"/>
        <v>7.3493212906090566E-3</v>
      </c>
      <c r="AP23" s="4">
        <f t="shared" si="1"/>
        <v>4.9390262185057265E-3</v>
      </c>
      <c r="AQ23" s="4">
        <f t="shared" si="1"/>
        <v>3.3164275492956197E-3</v>
      </c>
      <c r="AR23" s="4">
        <f t="shared" si="1"/>
        <v>2.2256362146679809E-3</v>
      </c>
    </row>
    <row r="24" spans="1:44" x14ac:dyDescent="0.3">
      <c r="A24" s="24" t="s">
        <v>207</v>
      </c>
      <c r="B24" s="70">
        <f>'Parameter Input'!B11</f>
        <v>25</v>
      </c>
      <c r="C24" s="71">
        <f>'Parameter Input'!C11</f>
        <v>25</v>
      </c>
      <c r="D24" s="1" t="s">
        <v>49</v>
      </c>
      <c r="L24" s="54">
        <f>'Parameter Input'!E11</f>
        <v>12</v>
      </c>
      <c r="M24" s="37">
        <v>0</v>
      </c>
      <c r="N24" s="37">
        <v>1</v>
      </c>
      <c r="O24" s="37">
        <f>'Parameter Input'!F11</f>
        <v>0.9</v>
      </c>
      <c r="P24" s="55">
        <f>'Parameter Input'!G11</f>
        <v>0.4</v>
      </c>
      <c r="Q24" s="4">
        <f t="shared" si="3"/>
        <v>0.9867978615748374</v>
      </c>
      <c r="R24" s="4">
        <f t="shared" si="3"/>
        <v>0.98114509762858249</v>
      </c>
      <c r="S24" s="4">
        <f t="shared" si="3"/>
        <v>0.97311898315872036</v>
      </c>
      <c r="T24" s="4">
        <f t="shared" si="3"/>
        <v>0.96177484161592774</v>
      </c>
      <c r="U24" s="4">
        <f t="shared" si="3"/>
        <v>0.94584787155511363</v>
      </c>
      <c r="V24" s="4">
        <f t="shared" si="3"/>
        <v>0.92370360150141495</v>
      </c>
      <c r="W24" s="4">
        <f t="shared" si="3"/>
        <v>0.89334463567658451</v>
      </c>
      <c r="X24" s="4">
        <f t="shared" si="3"/>
        <v>0.85254543874327005</v>
      </c>
      <c r="Y24" s="4">
        <f t="shared" si="3"/>
        <v>0.79921300652623883</v>
      </c>
      <c r="Z24" s="4">
        <f t="shared" si="3"/>
        <v>0.73204982249993378</v>
      </c>
      <c r="AA24" s="4">
        <f t="shared" si="3"/>
        <v>0.65145592958786691</v>
      </c>
      <c r="AB24" s="4">
        <f t="shared" si="3"/>
        <v>0.56032247880849573</v>
      </c>
      <c r="AC24" s="4">
        <f t="shared" si="3"/>
        <v>0.46411326873185343</v>
      </c>
      <c r="AD24" s="4">
        <f t="shared" si="3"/>
        <v>0.36979727595523937</v>
      </c>
      <c r="AE24" s="4">
        <f t="shared" si="3"/>
        <v>0.28393948637231203</v>
      </c>
      <c r="AF24" s="4">
        <f t="shared" si="3"/>
        <v>0.21097259161117732</v>
      </c>
      <c r="AG24" s="4">
        <f t="shared" si="1"/>
        <v>0.15253917653798199</v>
      </c>
      <c r="AH24" s="4">
        <f t="shared" si="1"/>
        <v>0.10795188737709993</v>
      </c>
      <c r="AI24" s="4">
        <f t="shared" si="1"/>
        <v>7.5176653938091809E-2</v>
      </c>
      <c r="AJ24" s="4">
        <f t="shared" si="1"/>
        <v>5.1742836177502194E-2</v>
      </c>
      <c r="AK24" s="4">
        <f t="shared" si="1"/>
        <v>3.5319190625345942E-2</v>
      </c>
      <c r="AL24" s="4">
        <f t="shared" si="1"/>
        <v>2.3969442072658165E-2</v>
      </c>
      <c r="AM24" s="4">
        <f t="shared" si="1"/>
        <v>1.6202243558389728E-2</v>
      </c>
      <c r="AN24" s="4">
        <f t="shared" si="1"/>
        <v>1.0922240564108399E-2</v>
      </c>
      <c r="AO24" s="4">
        <f t="shared" si="1"/>
        <v>7.3493212906090566E-3</v>
      </c>
      <c r="AP24" s="4">
        <f t="shared" si="1"/>
        <v>4.9390262185057265E-3</v>
      </c>
      <c r="AQ24" s="4">
        <f t="shared" si="1"/>
        <v>3.3164275492956197E-3</v>
      </c>
      <c r="AR24" s="4">
        <f t="shared" si="1"/>
        <v>2.2256362146679809E-3</v>
      </c>
    </row>
    <row r="25" spans="1:44" x14ac:dyDescent="0.3">
      <c r="A25" s="24" t="s">
        <v>56</v>
      </c>
      <c r="B25" s="72">
        <f>'Parameter Input'!B12</f>
        <v>0.42</v>
      </c>
      <c r="C25" s="73">
        <f>'Parameter Input'!C12</f>
        <v>0.42</v>
      </c>
      <c r="D25" s="1" t="s">
        <v>57</v>
      </c>
      <c r="L25" s="54">
        <f>'Parameter Input'!E12</f>
        <v>12</v>
      </c>
      <c r="M25" s="37">
        <v>0</v>
      </c>
      <c r="N25" s="37">
        <v>1</v>
      </c>
      <c r="O25" s="37">
        <f>'Parameter Input'!F12</f>
        <v>0.9</v>
      </c>
      <c r="P25" s="55">
        <f>'Parameter Input'!G12</f>
        <v>0.4</v>
      </c>
      <c r="Q25" s="4">
        <f t="shared" si="3"/>
        <v>0.9867978615748374</v>
      </c>
      <c r="R25" s="4">
        <f t="shared" si="3"/>
        <v>0.98114509762858249</v>
      </c>
      <c r="S25" s="4">
        <f t="shared" si="3"/>
        <v>0.97311898315872036</v>
      </c>
      <c r="T25" s="4">
        <f t="shared" si="3"/>
        <v>0.96177484161592774</v>
      </c>
      <c r="U25" s="4">
        <f t="shared" si="3"/>
        <v>0.94584787155511363</v>
      </c>
      <c r="V25" s="4">
        <f t="shared" si="3"/>
        <v>0.92370360150141495</v>
      </c>
      <c r="W25" s="4">
        <f t="shared" si="3"/>
        <v>0.89334463567658451</v>
      </c>
      <c r="X25" s="4">
        <f t="shared" si="3"/>
        <v>0.85254543874327005</v>
      </c>
      <c r="Y25" s="4">
        <f t="shared" si="3"/>
        <v>0.79921300652623883</v>
      </c>
      <c r="Z25" s="4">
        <f t="shared" si="3"/>
        <v>0.73204982249993378</v>
      </c>
      <c r="AA25" s="4">
        <f t="shared" si="3"/>
        <v>0.65145592958786691</v>
      </c>
      <c r="AB25" s="4">
        <f t="shared" si="3"/>
        <v>0.56032247880849573</v>
      </c>
      <c r="AC25" s="4">
        <f t="shared" si="3"/>
        <v>0.46411326873185343</v>
      </c>
      <c r="AD25" s="4">
        <f t="shared" si="3"/>
        <v>0.36979727595523937</v>
      </c>
      <c r="AE25" s="4">
        <f t="shared" si="3"/>
        <v>0.28393948637231203</v>
      </c>
      <c r="AF25" s="4">
        <f t="shared" si="3"/>
        <v>0.21097259161117732</v>
      </c>
      <c r="AG25" s="4">
        <f t="shared" si="1"/>
        <v>0.15253917653798199</v>
      </c>
      <c r="AH25" s="4">
        <f t="shared" si="1"/>
        <v>0.10795188737709993</v>
      </c>
      <c r="AI25" s="4">
        <f t="shared" si="1"/>
        <v>7.5176653938091809E-2</v>
      </c>
      <c r="AJ25" s="4">
        <f t="shared" si="1"/>
        <v>5.1742836177502194E-2</v>
      </c>
      <c r="AK25" s="4">
        <f t="shared" si="1"/>
        <v>3.5319190625345942E-2</v>
      </c>
      <c r="AL25" s="4">
        <f t="shared" si="1"/>
        <v>2.3969442072658165E-2</v>
      </c>
      <c r="AM25" s="4">
        <f t="shared" si="1"/>
        <v>1.6202243558389728E-2</v>
      </c>
      <c r="AN25" s="4">
        <f t="shared" si="1"/>
        <v>1.0922240564108399E-2</v>
      </c>
      <c r="AO25" s="4">
        <f t="shared" si="1"/>
        <v>7.3493212906090566E-3</v>
      </c>
      <c r="AP25" s="4">
        <f t="shared" si="1"/>
        <v>4.9390262185057265E-3</v>
      </c>
      <c r="AQ25" s="4">
        <f t="shared" si="1"/>
        <v>3.3164275492956197E-3</v>
      </c>
      <c r="AR25" s="4">
        <f t="shared" si="1"/>
        <v>2.2256362146679809E-3</v>
      </c>
    </row>
    <row r="26" spans="1:44" x14ac:dyDescent="0.3">
      <c r="A26" s="24" t="s">
        <v>73</v>
      </c>
      <c r="B26" s="72">
        <f>'Parameter Input'!$L$38</f>
        <v>0.05</v>
      </c>
      <c r="C26" s="73">
        <f>'Parameter Input'!$M$38</f>
        <v>0.02</v>
      </c>
      <c r="D26" s="1" t="s">
        <v>57</v>
      </c>
      <c r="L26" s="54">
        <f>'Parameter Input'!$O$38</f>
        <v>12</v>
      </c>
      <c r="M26" s="37">
        <v>0</v>
      </c>
      <c r="N26" s="37">
        <v>1</v>
      </c>
      <c r="O26" s="37">
        <f>'Parameter Input'!$P$38</f>
        <v>0.9</v>
      </c>
      <c r="P26" s="55">
        <f>'Parameter Input'!$Q$38</f>
        <v>0.4</v>
      </c>
      <c r="Q26" s="4">
        <f t="shared" si="3"/>
        <v>0.9867978615748374</v>
      </c>
      <c r="R26" s="4">
        <f t="shared" si="3"/>
        <v>0.98114509762858249</v>
      </c>
      <c r="S26" s="4">
        <f t="shared" si="3"/>
        <v>0.97311898315872036</v>
      </c>
      <c r="T26" s="4">
        <f t="shared" si="3"/>
        <v>0.96177484161592774</v>
      </c>
      <c r="U26" s="4">
        <f t="shared" si="3"/>
        <v>0.94584787155511363</v>
      </c>
      <c r="V26" s="4">
        <f t="shared" si="3"/>
        <v>0.92370360150141495</v>
      </c>
      <c r="W26" s="4">
        <f t="shared" si="3"/>
        <v>0.89334463567658451</v>
      </c>
      <c r="X26" s="4">
        <f t="shared" si="3"/>
        <v>0.85254543874327005</v>
      </c>
      <c r="Y26" s="4">
        <f t="shared" si="3"/>
        <v>0.79921300652623883</v>
      </c>
      <c r="Z26" s="4">
        <f t="shared" si="3"/>
        <v>0.73204982249993378</v>
      </c>
      <c r="AA26" s="4">
        <f t="shared" si="3"/>
        <v>0.65145592958786691</v>
      </c>
      <c r="AB26" s="4">
        <f t="shared" si="3"/>
        <v>0.56032247880849573</v>
      </c>
      <c r="AC26" s="4">
        <f t="shared" si="3"/>
        <v>0.46411326873185343</v>
      </c>
      <c r="AD26" s="4">
        <f t="shared" si="3"/>
        <v>0.36979727595523937</v>
      </c>
      <c r="AE26" s="4">
        <f t="shared" si="3"/>
        <v>0.28393948637231203</v>
      </c>
      <c r="AF26" s="4">
        <f t="shared" si="3"/>
        <v>0.21097259161117732</v>
      </c>
      <c r="AG26" s="4">
        <f t="shared" si="1"/>
        <v>0.15253917653798199</v>
      </c>
      <c r="AH26" s="4">
        <f t="shared" si="1"/>
        <v>0.10795188737709993</v>
      </c>
      <c r="AI26" s="4">
        <f t="shared" si="1"/>
        <v>7.5176653938091809E-2</v>
      </c>
      <c r="AJ26" s="4">
        <f t="shared" si="1"/>
        <v>5.1742836177502194E-2</v>
      </c>
      <c r="AK26" s="4">
        <f t="shared" si="1"/>
        <v>3.5319190625345942E-2</v>
      </c>
      <c r="AL26" s="4">
        <f t="shared" si="1"/>
        <v>2.3969442072658165E-2</v>
      </c>
      <c r="AM26" s="4">
        <f t="shared" si="1"/>
        <v>1.6202243558389728E-2</v>
      </c>
      <c r="AN26" s="4">
        <f t="shared" si="1"/>
        <v>1.0922240564108399E-2</v>
      </c>
      <c r="AO26" s="4">
        <f t="shared" si="1"/>
        <v>7.3493212906090566E-3</v>
      </c>
      <c r="AP26" s="4">
        <f t="shared" si="1"/>
        <v>4.9390262185057265E-3</v>
      </c>
      <c r="AQ26" s="4">
        <f t="shared" si="1"/>
        <v>3.3164275492956197E-3</v>
      </c>
      <c r="AR26" s="4">
        <f t="shared" si="1"/>
        <v>2.2256362146679809E-3</v>
      </c>
    </row>
    <row r="27" spans="1:44" ht="15" thickBot="1" x14ac:dyDescent="0.35">
      <c r="A27" s="24" t="s">
        <v>64</v>
      </c>
      <c r="B27" s="74">
        <f>'Parameter Input'!B13</f>
        <v>55000</v>
      </c>
      <c r="C27" s="75">
        <f>'Parameter Input'!C13</f>
        <v>55000</v>
      </c>
      <c r="D27" s="1" t="s">
        <v>65</v>
      </c>
      <c r="L27" s="56">
        <f>'Parameter Input'!E13</f>
        <v>12</v>
      </c>
      <c r="M27" s="57">
        <v>0</v>
      </c>
      <c r="N27" s="57">
        <v>1</v>
      </c>
      <c r="O27" s="57">
        <f>'Parameter Input'!F13</f>
        <v>0.9</v>
      </c>
      <c r="P27" s="58">
        <f>'Parameter Input'!G13</f>
        <v>0.4</v>
      </c>
      <c r="Q27" s="4">
        <f t="shared" si="3"/>
        <v>0.9867978615748374</v>
      </c>
      <c r="R27" s="4">
        <f t="shared" si="3"/>
        <v>0.98114509762858249</v>
      </c>
      <c r="S27" s="4">
        <f t="shared" si="3"/>
        <v>0.97311898315872036</v>
      </c>
      <c r="T27" s="4">
        <f t="shared" si="3"/>
        <v>0.96177484161592774</v>
      </c>
      <c r="U27" s="4">
        <f t="shared" si="3"/>
        <v>0.94584787155511363</v>
      </c>
      <c r="V27" s="4">
        <f t="shared" si="3"/>
        <v>0.92370360150141495</v>
      </c>
      <c r="W27" s="4">
        <f t="shared" si="3"/>
        <v>0.89334463567658451</v>
      </c>
      <c r="X27" s="4">
        <f t="shared" si="3"/>
        <v>0.85254543874327005</v>
      </c>
      <c r="Y27" s="4">
        <f t="shared" si="3"/>
        <v>0.79921300652623883</v>
      </c>
      <c r="Z27" s="4">
        <f t="shared" si="3"/>
        <v>0.73204982249993378</v>
      </c>
      <c r="AA27" s="4">
        <f t="shared" si="3"/>
        <v>0.65145592958786691</v>
      </c>
      <c r="AB27" s="4">
        <f t="shared" si="3"/>
        <v>0.56032247880849573</v>
      </c>
      <c r="AC27" s="4">
        <f t="shared" si="3"/>
        <v>0.46411326873185343</v>
      </c>
      <c r="AD27" s="4">
        <f t="shared" si="3"/>
        <v>0.36979727595523937</v>
      </c>
      <c r="AE27" s="4">
        <f t="shared" si="3"/>
        <v>0.28393948637231203</v>
      </c>
      <c r="AF27" s="4">
        <f t="shared" si="3"/>
        <v>0.21097259161117732</v>
      </c>
      <c r="AG27" s="4">
        <f t="shared" si="1"/>
        <v>0.15253917653798199</v>
      </c>
      <c r="AH27" s="4">
        <f t="shared" si="1"/>
        <v>0.10795188737709993</v>
      </c>
      <c r="AI27" s="4">
        <f t="shared" si="1"/>
        <v>7.5176653938091809E-2</v>
      </c>
      <c r="AJ27" s="4">
        <f t="shared" si="1"/>
        <v>5.1742836177502194E-2</v>
      </c>
      <c r="AK27" s="4">
        <f t="shared" si="1"/>
        <v>3.5319190625345942E-2</v>
      </c>
      <c r="AL27" s="4">
        <f t="shared" si="1"/>
        <v>2.3969442072658165E-2</v>
      </c>
      <c r="AM27" s="4">
        <f t="shared" si="1"/>
        <v>1.6202243558389728E-2</v>
      </c>
      <c r="AN27" s="4">
        <f t="shared" si="1"/>
        <v>1.0922240564108399E-2</v>
      </c>
      <c r="AO27" s="4">
        <f t="shared" si="1"/>
        <v>7.3493212906090566E-3</v>
      </c>
      <c r="AP27" s="4">
        <f t="shared" si="1"/>
        <v>4.9390262185057265E-3</v>
      </c>
      <c r="AQ27" s="4">
        <f t="shared" si="1"/>
        <v>3.3164275492956197E-3</v>
      </c>
      <c r="AR27" s="4">
        <f t="shared" si="1"/>
        <v>2.2256362146679809E-3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0" si="4">A11</f>
        <v>Capex vehicle</v>
      </c>
      <c r="B31" s="62">
        <f t="shared" ref="B31:B39" si="5">$B11+($C11-$B11)*(1-Q11)</f>
        <v>381017.08777974301</v>
      </c>
      <c r="C31" s="62">
        <f t="shared" ref="C31:C39" si="6">$B11+($C11-$B11)*(1-R11)</f>
        <v>377274.24981545168</v>
      </c>
      <c r="D31" s="62">
        <f t="shared" ref="D31:D39" si="7">$B11+($C11-$B11)*(1-S11)</f>
        <v>372070.34635283251</v>
      </c>
      <c r="E31" s="62">
        <f t="shared" ref="E31:E39" si="8">$B11+($C11-$B11)*(1-T11)</f>
        <v>364935.98938399734</v>
      </c>
      <c r="F31" s="62">
        <f t="shared" ref="F31:F39" si="9">$B11+($C11-$B11)*(1-U11)</f>
        <v>355348.17810466845</v>
      </c>
      <c r="G31" s="62">
        <f t="shared" ref="G31:G39" si="10">$B11+($C11-$B11)*(1-V11)</f>
        <v>342815.05653366609</v>
      </c>
      <c r="H31" s="62">
        <f t="shared" ref="H31:H39" si="11">$B11+($C11-$B11)*(1-W11)</f>
        <v>327031.70828748442</v>
      </c>
      <c r="I31" s="62">
        <f t="shared" ref="I31:I39" si="12">$B11+($C11-$B11)*(1-X11)</f>
        <v>308092.14345314872</v>
      </c>
      <c r="J31" s="62">
        <f t="shared" ref="J31:J39" si="13">$B11+($C11-$B11)*(1-Y11)</f>
        <v>286675.78251999652</v>
      </c>
      <c r="K31" s="62">
        <f t="shared" ref="K31:K39" si="14">$B11+($C11-$B11)*(1-Z11)</f>
        <v>264066.61815198557</v>
      </c>
      <c r="L31" s="62">
        <f t="shared" ref="L31:L39" si="15">$B11+($C11-$B11)*(1-AA11)</f>
        <v>241902.35984948126</v>
      </c>
      <c r="M31" s="62">
        <f t="shared" ref="M31:M39" si="16">$B11+($C11-$B11)*(1-AB11)</f>
        <v>221725.77929749334</v>
      </c>
      <c r="N31" s="62">
        <f t="shared" ref="N31:N39" si="17">$B11+($C11-$B11)*(1-AC11)</f>
        <v>204578.55902862668</v>
      </c>
      <c r="O31" s="62">
        <f t="shared" ref="O31:O39" si="18">$B11+($C11-$B11)*(1-AD11)</f>
        <v>190846.70648642577</v>
      </c>
      <c r="P31" s="62">
        <f t="shared" ref="P31:P39" si="19">$B11+($C11-$B11)*(1-AE11)</f>
        <v>180368.6935336185</v>
      </c>
      <c r="Q31" s="62">
        <f t="shared" ref="Q31:Q39" si="20">$B11+($C11-$B11)*(1-AF11)</f>
        <v>172666.51367545157</v>
      </c>
      <c r="R31" s="62">
        <f t="shared" ref="R31:R39" si="21">$B11+($C11-$B11)*(1-AG11)</f>
        <v>167159.56650171301</v>
      </c>
      <c r="S31" s="62">
        <f t="shared" ref="S31:S39" si="22">$B11+($C11-$B11)*(1-AH11)</f>
        <v>163300.00979695629</v>
      </c>
      <c r="T31" s="62">
        <f t="shared" ref="T31:T39" si="23">$B11+($C11-$B11)*(1-AI11)</f>
        <v>160632.81888707468</v>
      </c>
      <c r="U31" s="62">
        <f t="shared" ref="U31:U39" si="24">$B11+($C11-$B11)*(1-AJ11)</f>
        <v>158807.52723622159</v>
      </c>
      <c r="V31" s="62">
        <f t="shared" ref="V31:V39" si="25">$B11+($C11-$B11)*(1-AK11)</f>
        <v>157566.72653256549</v>
      </c>
      <c r="W31" s="62">
        <f t="shared" ref="W31:W39" si="26">$B11+($C11-$B11)*(1-AL11)</f>
        <v>156727.09050329312</v>
      </c>
      <c r="X31" s="62">
        <f t="shared" ref="X31:X39" si="27">$B11+($C11-$B11)*(1-AM11)</f>
        <v>156160.67116134884</v>
      </c>
      <c r="Y31" s="62">
        <f t="shared" ref="Y31:Y39" si="28">$B11+($C11-$B11)*(1-AN11)</f>
        <v>155779.36047408447</v>
      </c>
      <c r="Z31" s="62">
        <f t="shared" ref="Z31:Z39" si="29">$B11+($C11-$B11)*(1-AO11)</f>
        <v>155523.02451044696</v>
      </c>
      <c r="AA31" s="62">
        <f t="shared" ref="AA31:AA39" si="30">$B11+($C11-$B11)*(1-AP11)</f>
        <v>155350.86554456307</v>
      </c>
      <c r="AB31" s="62">
        <f t="shared" ref="AB31:AB39" si="31">$B11+($C11-$B11)*(1-AQ11)</f>
        <v>155235.31446535516</v>
      </c>
      <c r="AC31" s="62">
        <f t="shared" ref="AC31:AC39" si="32">$B11+($C11-$B11)*(1-AR11)</f>
        <v>155157.7909855787</v>
      </c>
    </row>
    <row r="32" spans="1:44" x14ac:dyDescent="0.3">
      <c r="A32" s="30" t="str">
        <f t="shared" si="4"/>
        <v>Residual value (vehicle)</v>
      </c>
      <c r="B32" s="62">
        <f t="shared" si="5"/>
        <v>-57745.053121914571</v>
      </c>
      <c r="C32" s="62">
        <f t="shared" si="6"/>
        <v>-57430.49546321349</v>
      </c>
      <c r="D32" s="62">
        <f t="shared" si="7"/>
        <v>-56993.146129652945</v>
      </c>
      <c r="E32" s="62">
        <f t="shared" si="8"/>
        <v>-56393.556554612544</v>
      </c>
      <c r="F32" s="62">
        <f t="shared" si="9"/>
        <v>-55587.772415179585</v>
      </c>
      <c r="G32" s="62">
        <f t="shared" si="10"/>
        <v>-54534.456878893216</v>
      </c>
      <c r="H32" s="62">
        <f t="shared" si="11"/>
        <v>-53207.983994373695</v>
      </c>
      <c r="I32" s="62">
        <f t="shared" si="12"/>
        <v>-51616.254609360374</v>
      </c>
      <c r="J32" s="62">
        <f t="shared" si="13"/>
        <v>-49816.368956467792</v>
      </c>
      <c r="K32" s="62">
        <f t="shared" si="14"/>
        <v>-47916.237057454106</v>
      </c>
      <c r="L32" s="62">
        <f t="shared" si="15"/>
        <v>-46053.49620011598</v>
      </c>
      <c r="M32" s="62">
        <f t="shared" si="16"/>
        <v>-44357.804855853159</v>
      </c>
      <c r="N32" s="62">
        <f t="shared" si="17"/>
        <v>-42916.708684320751</v>
      </c>
      <c r="O32" s="62">
        <f t="shared" si="18"/>
        <v>-41762.648736625146</v>
      </c>
      <c r="P32" s="62">
        <f t="shared" si="19"/>
        <v>-40882.049775697727</v>
      </c>
      <c r="Q32" s="62">
        <f t="shared" si="20"/>
        <v>-40234.73891527731</v>
      </c>
      <c r="R32" s="62">
        <f t="shared" si="21"/>
        <v>-39771.921014505671</v>
      </c>
      <c r="S32" s="62">
        <f t="shared" si="22"/>
        <v>-39447.554014850582</v>
      </c>
      <c r="T32" s="62">
        <f t="shared" si="23"/>
        <v>-39223.396480935</v>
      </c>
      <c r="U32" s="62">
        <f t="shared" si="24"/>
        <v>-39069.994310278198</v>
      </c>
      <c r="V32" s="62">
        <f t="shared" si="25"/>
        <v>-38965.714251141137</v>
      </c>
      <c r="W32" s="62">
        <f t="shared" si="26"/>
        <v>-38895.149095489527</v>
      </c>
      <c r="X32" s="62">
        <f t="shared" si="27"/>
        <v>-38847.545767815493</v>
      </c>
      <c r="Y32" s="62">
        <f t="shared" si="28"/>
        <v>-38815.49944409859</v>
      </c>
      <c r="Z32" s="62">
        <f t="shared" si="29"/>
        <v>-38793.956315239688</v>
      </c>
      <c r="AA32" s="62">
        <f t="shared" si="30"/>
        <v>-38779.487636192003</v>
      </c>
      <c r="AB32" s="62">
        <f t="shared" si="31"/>
        <v>-38769.776428471334</v>
      </c>
      <c r="AC32" s="62">
        <f t="shared" si="32"/>
        <v>-38763.261157298635</v>
      </c>
    </row>
    <row r="33" spans="1:29" x14ac:dyDescent="0.3">
      <c r="A33" s="30" t="str">
        <f t="shared" si="4"/>
        <v>Capex costumization</v>
      </c>
      <c r="B33" s="62">
        <f t="shared" si="5"/>
        <v>40000</v>
      </c>
      <c r="C33" s="62">
        <f t="shared" si="6"/>
        <v>40000</v>
      </c>
      <c r="D33" s="62">
        <f t="shared" si="7"/>
        <v>40000</v>
      </c>
      <c r="E33" s="62">
        <f t="shared" si="8"/>
        <v>40000</v>
      </c>
      <c r="F33" s="62">
        <f t="shared" si="9"/>
        <v>40000</v>
      </c>
      <c r="G33" s="62">
        <f t="shared" si="10"/>
        <v>40000</v>
      </c>
      <c r="H33" s="62">
        <f t="shared" si="11"/>
        <v>40000</v>
      </c>
      <c r="I33" s="62">
        <f t="shared" si="12"/>
        <v>40000</v>
      </c>
      <c r="J33" s="62">
        <f t="shared" si="13"/>
        <v>40000</v>
      </c>
      <c r="K33" s="62">
        <f t="shared" si="14"/>
        <v>40000</v>
      </c>
      <c r="L33" s="62">
        <f t="shared" si="15"/>
        <v>40000</v>
      </c>
      <c r="M33" s="62">
        <f t="shared" si="16"/>
        <v>40000</v>
      </c>
      <c r="N33" s="62">
        <f t="shared" si="17"/>
        <v>40000</v>
      </c>
      <c r="O33" s="62">
        <f t="shared" si="18"/>
        <v>40000</v>
      </c>
      <c r="P33" s="62">
        <f t="shared" si="19"/>
        <v>40000</v>
      </c>
      <c r="Q33" s="62">
        <f t="shared" si="20"/>
        <v>40000</v>
      </c>
      <c r="R33" s="62">
        <f t="shared" si="21"/>
        <v>40000</v>
      </c>
      <c r="S33" s="62">
        <f t="shared" si="22"/>
        <v>40000</v>
      </c>
      <c r="T33" s="62">
        <f t="shared" si="23"/>
        <v>40000</v>
      </c>
      <c r="U33" s="62">
        <f t="shared" si="24"/>
        <v>40000</v>
      </c>
      <c r="V33" s="62">
        <f t="shared" si="25"/>
        <v>40000</v>
      </c>
      <c r="W33" s="62">
        <f t="shared" si="26"/>
        <v>40000</v>
      </c>
      <c r="X33" s="62">
        <f t="shared" si="27"/>
        <v>40000</v>
      </c>
      <c r="Y33" s="62">
        <f t="shared" si="28"/>
        <v>40000</v>
      </c>
      <c r="Z33" s="62">
        <f t="shared" si="29"/>
        <v>40000</v>
      </c>
      <c r="AA33" s="62">
        <f t="shared" si="30"/>
        <v>40000</v>
      </c>
      <c r="AB33" s="62">
        <f t="shared" si="31"/>
        <v>40000</v>
      </c>
      <c r="AC33" s="62">
        <f t="shared" si="32"/>
        <v>40000</v>
      </c>
    </row>
    <row r="34" spans="1:29" x14ac:dyDescent="0.3">
      <c r="A34" s="30" t="str">
        <f t="shared" si="4"/>
        <v>Residual value (costumization)</v>
      </c>
      <c r="B34" s="62">
        <f t="shared" si="5"/>
        <v>-10000</v>
      </c>
      <c r="C34" s="62">
        <f t="shared" si="6"/>
        <v>-10000</v>
      </c>
      <c r="D34" s="62">
        <f t="shared" si="7"/>
        <v>-10000</v>
      </c>
      <c r="E34" s="62">
        <f t="shared" si="8"/>
        <v>-10000</v>
      </c>
      <c r="F34" s="62">
        <f t="shared" si="9"/>
        <v>-10000</v>
      </c>
      <c r="G34" s="62">
        <f t="shared" si="10"/>
        <v>-10000</v>
      </c>
      <c r="H34" s="62">
        <f t="shared" si="11"/>
        <v>-10000</v>
      </c>
      <c r="I34" s="62">
        <f t="shared" si="12"/>
        <v>-10000</v>
      </c>
      <c r="J34" s="62">
        <f t="shared" si="13"/>
        <v>-10000</v>
      </c>
      <c r="K34" s="62">
        <f t="shared" si="14"/>
        <v>-10000</v>
      </c>
      <c r="L34" s="62">
        <f t="shared" si="15"/>
        <v>-10000</v>
      </c>
      <c r="M34" s="62">
        <f t="shared" si="16"/>
        <v>-10000</v>
      </c>
      <c r="N34" s="62">
        <f t="shared" si="17"/>
        <v>-10000</v>
      </c>
      <c r="O34" s="62">
        <f t="shared" si="18"/>
        <v>-10000</v>
      </c>
      <c r="P34" s="62">
        <f t="shared" si="19"/>
        <v>-10000</v>
      </c>
      <c r="Q34" s="62">
        <f t="shared" si="20"/>
        <v>-10000</v>
      </c>
      <c r="R34" s="62">
        <f t="shared" si="21"/>
        <v>-10000</v>
      </c>
      <c r="S34" s="62">
        <f t="shared" si="22"/>
        <v>-10000</v>
      </c>
      <c r="T34" s="62">
        <f t="shared" si="23"/>
        <v>-10000</v>
      </c>
      <c r="U34" s="62">
        <f t="shared" si="24"/>
        <v>-10000</v>
      </c>
      <c r="V34" s="62">
        <f t="shared" si="25"/>
        <v>-10000</v>
      </c>
      <c r="W34" s="62">
        <f t="shared" si="26"/>
        <v>-10000</v>
      </c>
      <c r="X34" s="62">
        <f t="shared" si="27"/>
        <v>-10000</v>
      </c>
      <c r="Y34" s="62">
        <f t="shared" si="28"/>
        <v>-10000</v>
      </c>
      <c r="Z34" s="62">
        <f t="shared" si="29"/>
        <v>-10000</v>
      </c>
      <c r="AA34" s="62">
        <f t="shared" si="30"/>
        <v>-10000</v>
      </c>
      <c r="AB34" s="62">
        <f t="shared" si="31"/>
        <v>-10000</v>
      </c>
      <c r="AC34" s="62">
        <f t="shared" si="32"/>
        <v>-10000</v>
      </c>
    </row>
    <row r="35" spans="1:29" x14ac:dyDescent="0.3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3">
      <c r="A36" s="30" t="str">
        <f t="shared" si="4"/>
        <v>Opex fix (admin, crew, insurance)</v>
      </c>
      <c r="B36" s="62">
        <f t="shared" si="5"/>
        <v>70000</v>
      </c>
      <c r="C36" s="62">
        <f t="shared" si="6"/>
        <v>70000</v>
      </c>
      <c r="D36" s="62">
        <f t="shared" si="7"/>
        <v>70000</v>
      </c>
      <c r="E36" s="62">
        <f t="shared" si="8"/>
        <v>70000</v>
      </c>
      <c r="F36" s="62">
        <f t="shared" si="9"/>
        <v>70000</v>
      </c>
      <c r="G36" s="62">
        <f t="shared" si="10"/>
        <v>70000</v>
      </c>
      <c r="H36" s="62">
        <f t="shared" si="11"/>
        <v>70000</v>
      </c>
      <c r="I36" s="62">
        <f t="shared" si="12"/>
        <v>70000</v>
      </c>
      <c r="J36" s="62">
        <f t="shared" si="13"/>
        <v>70000</v>
      </c>
      <c r="K36" s="62">
        <f t="shared" si="14"/>
        <v>70000</v>
      </c>
      <c r="L36" s="62">
        <f t="shared" si="15"/>
        <v>70000</v>
      </c>
      <c r="M36" s="62">
        <f t="shared" si="16"/>
        <v>70000</v>
      </c>
      <c r="N36" s="62">
        <f t="shared" si="17"/>
        <v>70000</v>
      </c>
      <c r="O36" s="62">
        <f t="shared" si="18"/>
        <v>70000</v>
      </c>
      <c r="P36" s="62">
        <f t="shared" si="19"/>
        <v>70000</v>
      </c>
      <c r="Q36" s="62">
        <f t="shared" si="20"/>
        <v>70000</v>
      </c>
      <c r="R36" s="62">
        <f t="shared" si="21"/>
        <v>70000</v>
      </c>
      <c r="S36" s="62">
        <f t="shared" si="22"/>
        <v>70000</v>
      </c>
      <c r="T36" s="62">
        <f t="shared" si="23"/>
        <v>70000</v>
      </c>
      <c r="U36" s="62">
        <f t="shared" si="24"/>
        <v>70000</v>
      </c>
      <c r="V36" s="62">
        <f t="shared" si="25"/>
        <v>70000</v>
      </c>
      <c r="W36" s="62">
        <f t="shared" si="26"/>
        <v>70000</v>
      </c>
      <c r="X36" s="62">
        <f t="shared" si="27"/>
        <v>70000</v>
      </c>
      <c r="Y36" s="62">
        <f t="shared" si="28"/>
        <v>70000</v>
      </c>
      <c r="Z36" s="62">
        <f t="shared" si="29"/>
        <v>70000</v>
      </c>
      <c r="AA36" s="62">
        <f t="shared" si="30"/>
        <v>70000</v>
      </c>
      <c r="AB36" s="62">
        <f t="shared" si="31"/>
        <v>70000</v>
      </c>
      <c r="AC36" s="62">
        <f t="shared" si="32"/>
        <v>70000</v>
      </c>
    </row>
    <row r="37" spans="1:29" x14ac:dyDescent="0.3">
      <c r="A37" s="30" t="str">
        <f t="shared" si="4"/>
        <v>Opex maintenance &amp; repair</v>
      </c>
      <c r="B37" s="62">
        <f t="shared" si="5"/>
        <v>25694.198732927423</v>
      </c>
      <c r="C37" s="62">
        <f t="shared" si="6"/>
        <v>25566.782972440909</v>
      </c>
      <c r="D37" s="62">
        <f t="shared" si="7"/>
        <v>25389.62881201132</v>
      </c>
      <c r="E37" s="62">
        <f t="shared" si="8"/>
        <v>25146.757085412675</v>
      </c>
      <c r="F37" s="62">
        <f t="shared" si="9"/>
        <v>24820.363509946161</v>
      </c>
      <c r="G37" s="62">
        <f t="shared" si="10"/>
        <v>24393.704052209912</v>
      </c>
      <c r="H37" s="62">
        <f t="shared" si="11"/>
        <v>23856.39857999947</v>
      </c>
      <c r="I37" s="62">
        <f t="shared" si="12"/>
        <v>23211.647436702937</v>
      </c>
      <c r="J37" s="62">
        <f t="shared" si="13"/>
        <v>22482.579830467967</v>
      </c>
      <c r="K37" s="62">
        <f t="shared" si="14"/>
        <v>21712.906149854825</v>
      </c>
      <c r="L37" s="62">
        <f t="shared" si="15"/>
        <v>20958.378207641916</v>
      </c>
      <c r="M37" s="62">
        <f t="shared" si="16"/>
        <v>20271.515890978495</v>
      </c>
      <c r="N37" s="62">
        <f t="shared" si="17"/>
        <v>19687.78073288942</v>
      </c>
      <c r="O37" s="62">
        <f t="shared" si="18"/>
        <v>19220.313412303854</v>
      </c>
      <c r="P37" s="62">
        <f t="shared" si="19"/>
        <v>18863.615099016799</v>
      </c>
      <c r="Q37" s="62">
        <f t="shared" si="20"/>
        <v>18601.413231504735</v>
      </c>
      <c r="R37" s="62">
        <f t="shared" si="21"/>
        <v>18413.942689420019</v>
      </c>
      <c r="S37" s="62">
        <f t="shared" si="22"/>
        <v>18282.553525002768</v>
      </c>
      <c r="T37" s="62">
        <f t="shared" si="23"/>
        <v>18191.755536581266</v>
      </c>
      <c r="U37" s="62">
        <f t="shared" si="24"/>
        <v>18129.617948467116</v>
      </c>
      <c r="V37" s="62">
        <f t="shared" si="25"/>
        <v>18087.377924512868</v>
      </c>
      <c r="W37" s="62">
        <f t="shared" si="26"/>
        <v>18058.794570324873</v>
      </c>
      <c r="X37" s="62">
        <f t="shared" si="27"/>
        <v>18039.512209748045</v>
      </c>
      <c r="Y37" s="62">
        <f t="shared" si="28"/>
        <v>18026.531420394364</v>
      </c>
      <c r="Z37" s="62">
        <f t="shared" si="29"/>
        <v>18017.805089717345</v>
      </c>
      <c r="AA37" s="62">
        <f t="shared" si="30"/>
        <v>18011.94435896385</v>
      </c>
      <c r="AB37" s="62">
        <f t="shared" si="31"/>
        <v>18008.010705203578</v>
      </c>
      <c r="AC37" s="62">
        <f t="shared" si="32"/>
        <v>18005.371608019701</v>
      </c>
    </row>
    <row r="38" spans="1:29" x14ac:dyDescent="0.3">
      <c r="A38" s="30" t="str">
        <f t="shared" si="4"/>
        <v>Opex var (mode-fees)</v>
      </c>
      <c r="B38" s="62">
        <f t="shared" si="5"/>
        <v>0.11</v>
      </c>
      <c r="C38" s="62">
        <f t="shared" si="6"/>
        <v>0.11</v>
      </c>
      <c r="D38" s="62">
        <f t="shared" si="7"/>
        <v>0.11</v>
      </c>
      <c r="E38" s="62">
        <f t="shared" si="8"/>
        <v>0.11</v>
      </c>
      <c r="F38" s="62">
        <f t="shared" si="9"/>
        <v>0.11</v>
      </c>
      <c r="G38" s="62">
        <f t="shared" si="10"/>
        <v>0.11</v>
      </c>
      <c r="H38" s="62">
        <f t="shared" si="11"/>
        <v>0.11</v>
      </c>
      <c r="I38" s="62">
        <f t="shared" si="12"/>
        <v>0.11</v>
      </c>
      <c r="J38" s="62">
        <f t="shared" si="13"/>
        <v>0.11</v>
      </c>
      <c r="K38" s="62">
        <f t="shared" si="14"/>
        <v>0.11</v>
      </c>
      <c r="L38" s="62">
        <f t="shared" si="15"/>
        <v>0.11</v>
      </c>
      <c r="M38" s="62">
        <f t="shared" si="16"/>
        <v>0.11</v>
      </c>
      <c r="N38" s="62">
        <f t="shared" si="17"/>
        <v>0.11</v>
      </c>
      <c r="O38" s="62">
        <f t="shared" si="18"/>
        <v>0.11</v>
      </c>
      <c r="P38" s="62">
        <f t="shared" si="19"/>
        <v>0.11</v>
      </c>
      <c r="Q38" s="62">
        <f t="shared" si="20"/>
        <v>0.11</v>
      </c>
      <c r="R38" s="62">
        <f t="shared" si="21"/>
        <v>0.11</v>
      </c>
      <c r="S38" s="62">
        <f t="shared" si="22"/>
        <v>0.11</v>
      </c>
      <c r="T38" s="62">
        <f t="shared" si="23"/>
        <v>0.11</v>
      </c>
      <c r="U38" s="62">
        <f t="shared" si="24"/>
        <v>0.11</v>
      </c>
      <c r="V38" s="62">
        <f t="shared" si="25"/>
        <v>0.11</v>
      </c>
      <c r="W38" s="62">
        <f t="shared" si="26"/>
        <v>0.11</v>
      </c>
      <c r="X38" s="62">
        <f t="shared" si="27"/>
        <v>0.11</v>
      </c>
      <c r="Y38" s="62">
        <f t="shared" si="28"/>
        <v>0.11</v>
      </c>
      <c r="Z38" s="62">
        <f t="shared" si="29"/>
        <v>0.11</v>
      </c>
      <c r="AA38" s="62">
        <f t="shared" si="30"/>
        <v>0.11</v>
      </c>
      <c r="AB38" s="62">
        <f t="shared" si="31"/>
        <v>0.11</v>
      </c>
      <c r="AC38" s="62">
        <f t="shared" si="32"/>
        <v>0.11</v>
      </c>
    </row>
    <row r="39" spans="1:29" x14ac:dyDescent="0.3">
      <c r="A39" s="30" t="str">
        <f t="shared" si="4"/>
        <v>Fuel Economy</v>
      </c>
      <c r="B39" s="62">
        <f t="shared" si="5"/>
        <v>2.5017133827957863</v>
      </c>
      <c r="C39" s="62">
        <f t="shared" si="6"/>
        <v>2.4899274249507841</v>
      </c>
      <c r="D39" s="62">
        <f t="shared" si="7"/>
        <v>2.473540665111047</v>
      </c>
      <c r="E39" s="62">
        <f t="shared" si="8"/>
        <v>2.4510750304006725</v>
      </c>
      <c r="F39" s="62">
        <f t="shared" si="9"/>
        <v>2.4208836246700196</v>
      </c>
      <c r="G39" s="62">
        <f t="shared" si="10"/>
        <v>2.3814176248294165</v>
      </c>
      <c r="H39" s="62">
        <f t="shared" si="11"/>
        <v>2.3317168686499508</v>
      </c>
      <c r="I39" s="62">
        <f t="shared" si="12"/>
        <v>2.2720773878950213</v>
      </c>
      <c r="J39" s="62">
        <f t="shared" si="13"/>
        <v>2.2046386343182869</v>
      </c>
      <c r="K39" s="62">
        <f t="shared" si="14"/>
        <v>2.1334438188615716</v>
      </c>
      <c r="L39" s="62">
        <f t="shared" si="15"/>
        <v>2.0636499842068772</v>
      </c>
      <c r="M39" s="62">
        <f t="shared" si="16"/>
        <v>2.0001152199155108</v>
      </c>
      <c r="N39" s="62">
        <f t="shared" si="17"/>
        <v>1.9461197177922713</v>
      </c>
      <c r="O39" s="62">
        <f t="shared" si="18"/>
        <v>1.9028789906381067</v>
      </c>
      <c r="P39" s="62">
        <f t="shared" si="19"/>
        <v>1.8698843966590539</v>
      </c>
      <c r="Q39" s="62">
        <f t="shared" si="20"/>
        <v>1.845630723914188</v>
      </c>
      <c r="R39" s="62">
        <f t="shared" si="21"/>
        <v>1.8282896987713517</v>
      </c>
      <c r="S39" s="62">
        <f t="shared" si="22"/>
        <v>1.816136201062756</v>
      </c>
      <c r="T39" s="62">
        <f t="shared" si="23"/>
        <v>1.8077373871337672</v>
      </c>
      <c r="U39" s="62">
        <f t="shared" si="24"/>
        <v>1.8019896602332084</v>
      </c>
      <c r="V39" s="62">
        <f t="shared" si="25"/>
        <v>1.7980824580174404</v>
      </c>
      <c r="W39" s="62">
        <f t="shared" si="26"/>
        <v>1.7954384977550508</v>
      </c>
      <c r="X39" s="62">
        <f t="shared" si="27"/>
        <v>1.7936548794016942</v>
      </c>
      <c r="Y39" s="62">
        <f t="shared" si="28"/>
        <v>1.7924541563864786</v>
      </c>
      <c r="Z39" s="62">
        <f t="shared" si="29"/>
        <v>1.7916469707988543</v>
      </c>
      <c r="AA39" s="62">
        <f t="shared" si="30"/>
        <v>1.791104853204156</v>
      </c>
      <c r="AB39" s="62">
        <f t="shared" si="31"/>
        <v>1.7907409902313312</v>
      </c>
      <c r="AC39" s="62">
        <f t="shared" si="32"/>
        <v>1.7904968737418223</v>
      </c>
    </row>
    <row r="40" spans="1:29" x14ac:dyDescent="0.3">
      <c r="A40" s="30" t="str">
        <f t="shared" si="4"/>
        <v>Fuel Cost</v>
      </c>
      <c r="B40" s="62">
        <f>$B20+($C20-$B20)*(1-Q20)</f>
        <v>0.21482257834535914</v>
      </c>
      <c r="C40" s="62">
        <f>$B20+($C20-$B20)*(1-R20)</f>
        <v>0.21417522499855654</v>
      </c>
      <c r="D40" s="62">
        <f>$B20+($C20-$B20)*(1-S20)</f>
        <v>0.21325607604535665</v>
      </c>
      <c r="E40" s="62">
        <f t="shared" ref="E40:AC40" si="33">$B20+($C20-$B20)*(1-T20)</f>
        <v>0.21195694732458373</v>
      </c>
      <c r="F40" s="62">
        <f t="shared" si="33"/>
        <v>0.21013299403884214</v>
      </c>
      <c r="G40" s="62">
        <f t="shared" si="33"/>
        <v>0.20759703685611555</v>
      </c>
      <c r="H40" s="62">
        <f t="shared" si="33"/>
        <v>0.20412033442894431</v>
      </c>
      <c r="I40" s="62">
        <f t="shared" si="33"/>
        <v>0.19944801891519662</v>
      </c>
      <c r="J40" s="62">
        <f t="shared" si="33"/>
        <v>0.19334039991375346</v>
      </c>
      <c r="K40" s="62">
        <f t="shared" si="33"/>
        <v>0.18564888610303532</v>
      </c>
      <c r="L40" s="62">
        <f t="shared" si="33"/>
        <v>0.17641929031511205</v>
      </c>
      <c r="M40" s="62">
        <f t="shared" si="33"/>
        <v>0.16598270656093206</v>
      </c>
      <c r="N40" s="62">
        <f t="shared" si="33"/>
        <v>0.15496484791186993</v>
      </c>
      <c r="O40" s="62">
        <f t="shared" si="33"/>
        <v>0.14416380011269478</v>
      </c>
      <c r="P40" s="62">
        <f t="shared" si="33"/>
        <v>0.13433138397714983</v>
      </c>
      <c r="Q40" s="62">
        <f t="shared" si="33"/>
        <v>0.12597523042491984</v>
      </c>
      <c r="R40" s="62">
        <f t="shared" si="33"/>
        <v>0.11928344793189689</v>
      </c>
      <c r="S40" s="62">
        <f t="shared" si="33"/>
        <v>0.11417732088721881</v>
      </c>
      <c r="T40" s="62">
        <f t="shared" si="33"/>
        <v>0.11042390799739947</v>
      </c>
      <c r="U40" s="62">
        <f t="shared" si="33"/>
        <v>0.10774027208054308</v>
      </c>
      <c r="V40" s="62">
        <f t="shared" si="33"/>
        <v>0.10585943962124107</v>
      </c>
      <c r="W40" s="62">
        <f t="shared" si="33"/>
        <v>0.10455966878686571</v>
      </c>
      <c r="X40" s="62">
        <f t="shared" si="33"/>
        <v>0.10367017083483761</v>
      </c>
      <c r="Y40" s="62">
        <f t="shared" si="33"/>
        <v>0.10306550599442084</v>
      </c>
      <c r="Z40" s="62">
        <f t="shared" si="33"/>
        <v>0.10265633602526128</v>
      </c>
      <c r="AA40" s="62">
        <f t="shared" si="33"/>
        <v>0.10238030953688443</v>
      </c>
      <c r="AB40" s="62">
        <f t="shared" si="33"/>
        <v>0.10219448987609238</v>
      </c>
      <c r="AC40" s="62">
        <f t="shared" si="33"/>
        <v>0.10206957268021295</v>
      </c>
    </row>
    <row r="41" spans="1:29" x14ac:dyDescent="0.3">
      <c r="A41" s="30" t="str">
        <f t="shared" ref="A41" si="34">A21</f>
        <v>Emission Cost</v>
      </c>
      <c r="B41" s="66">
        <f>$B21+($C21-$B21)*(1-Q21)</f>
        <v>9.1045502411311718E-3</v>
      </c>
      <c r="C41" s="66">
        <f t="shared" ref="C41:AC41" si="35">$B21+($C21-$B21)*(1-R21)</f>
        <v>9.095880490962575E-3</v>
      </c>
      <c r="D41" s="66">
        <f t="shared" si="35"/>
        <v>9.0834699366993434E-3</v>
      </c>
      <c r="E41" s="66">
        <f t="shared" si="35"/>
        <v>9.0657157660766E-3</v>
      </c>
      <c r="F41" s="66">
        <f t="shared" si="35"/>
        <v>9.040341138604446E-3</v>
      </c>
      <c r="G41" s="66">
        <f t="shared" si="35"/>
        <v>9.0041260615172855E-3</v>
      </c>
      <c r="H41" s="66">
        <f t="shared" si="35"/>
        <v>8.9525469072142452E-3</v>
      </c>
      <c r="I41" s="66">
        <f t="shared" si="35"/>
        <v>8.8793119020679299E-3</v>
      </c>
      <c r="J41" s="66">
        <f t="shared" si="35"/>
        <v>8.7758012597282838E-3</v>
      </c>
      <c r="K41" s="66">
        <f t="shared" si="35"/>
        <v>8.630474185370102E-3</v>
      </c>
      <c r="L41" s="66">
        <f t="shared" si="35"/>
        <v>8.4284167966506146E-3</v>
      </c>
      <c r="M41" s="66">
        <f t="shared" si="35"/>
        <v>8.1514036756981448E-3</v>
      </c>
      <c r="N41" s="66">
        <f t="shared" si="35"/>
        <v>7.7791277246640009E-3</v>
      </c>
      <c r="O41" s="66">
        <f t="shared" si="35"/>
        <v>7.2924911382377788E-3</v>
      </c>
      <c r="P41" s="66">
        <f t="shared" si="35"/>
        <v>6.6796546098928378E-3</v>
      </c>
      <c r="Q41" s="66">
        <f t="shared" si="35"/>
        <v>5.9442683673542078E-3</v>
      </c>
      <c r="R41" s="66">
        <f t="shared" si="35"/>
        <v>5.1127129787673555E-3</v>
      </c>
      <c r="S41" s="66">
        <f t="shared" si="35"/>
        <v>4.2348433668221242E-3</v>
      </c>
      <c r="T41" s="66">
        <f t="shared" si="35"/>
        <v>3.3742485868309214E-3</v>
      </c>
      <c r="U41" s="66">
        <f t="shared" si="35"/>
        <v>2.5908314445053909E-3</v>
      </c>
      <c r="V41" s="66">
        <f t="shared" si="35"/>
        <v>1.9250384342751033E-3</v>
      </c>
      <c r="W41" s="66">
        <f t="shared" si="35"/>
        <v>1.3918574698531276E-3</v>
      </c>
      <c r="X41" s="66">
        <f t="shared" si="35"/>
        <v>9.8501672973924301E-4</v>
      </c>
      <c r="Y41" s="66">
        <f t="shared" si="35"/>
        <v>6.8595615708101458E-4</v>
      </c>
      <c r="Z41" s="66">
        <f t="shared" si="35"/>
        <v>4.7213217403930738E-4</v>
      </c>
      <c r="AA41" s="66">
        <f t="shared" si="35"/>
        <v>3.2227313937815624E-4</v>
      </c>
      <c r="AB41" s="66">
        <f t="shared" si="35"/>
        <v>2.1871133537117345E-4</v>
      </c>
      <c r="AC41" s="66">
        <f t="shared" si="35"/>
        <v>1.4783883220655276E-4</v>
      </c>
    </row>
    <row r="42" spans="1:29" x14ac:dyDescent="0.3">
      <c r="A42" s="30" t="str">
        <f>A22</f>
        <v>Lifetime vehicle</v>
      </c>
      <c r="B42" s="62">
        <f>$B22+($C22-$B22)*(1-Q22)</f>
        <v>8</v>
      </c>
      <c r="C42" s="62">
        <f t="shared" ref="C42:L44" si="36">$B22+($C22-$B22)*(1-R22)</f>
        <v>8</v>
      </c>
      <c r="D42" s="62">
        <f t="shared" si="36"/>
        <v>8</v>
      </c>
      <c r="E42" s="62">
        <f t="shared" si="36"/>
        <v>8</v>
      </c>
      <c r="F42" s="62">
        <f t="shared" si="36"/>
        <v>8</v>
      </c>
      <c r="G42" s="62">
        <f t="shared" si="36"/>
        <v>8</v>
      </c>
      <c r="H42" s="62">
        <f t="shared" si="36"/>
        <v>8</v>
      </c>
      <c r="I42" s="62">
        <f t="shared" si="36"/>
        <v>8</v>
      </c>
      <c r="J42" s="62">
        <f t="shared" si="36"/>
        <v>8</v>
      </c>
      <c r="K42" s="62">
        <f t="shared" si="36"/>
        <v>8</v>
      </c>
      <c r="L42" s="62">
        <f t="shared" si="36"/>
        <v>8</v>
      </c>
      <c r="M42" s="62">
        <f t="shared" ref="M42:V44" si="37">$B22+($C22-$B22)*(1-AB22)</f>
        <v>8</v>
      </c>
      <c r="N42" s="62">
        <f t="shared" si="37"/>
        <v>8</v>
      </c>
      <c r="O42" s="62">
        <f t="shared" si="37"/>
        <v>8</v>
      </c>
      <c r="P42" s="62">
        <f t="shared" si="37"/>
        <v>8</v>
      </c>
      <c r="Q42" s="62">
        <f t="shared" si="37"/>
        <v>8</v>
      </c>
      <c r="R42" s="62">
        <f t="shared" si="37"/>
        <v>8</v>
      </c>
      <c r="S42" s="62">
        <f t="shared" si="37"/>
        <v>8</v>
      </c>
      <c r="T42" s="62">
        <f t="shared" si="37"/>
        <v>8</v>
      </c>
      <c r="U42" s="62">
        <f t="shared" si="37"/>
        <v>8</v>
      </c>
      <c r="V42" s="62">
        <f t="shared" si="37"/>
        <v>8</v>
      </c>
      <c r="W42" s="62">
        <f t="shared" ref="W42:AC44" si="38">$B22+($C22-$B22)*(1-AL22)</f>
        <v>8</v>
      </c>
      <c r="X42" s="62">
        <f t="shared" si="38"/>
        <v>8</v>
      </c>
      <c r="Y42" s="62">
        <f t="shared" si="38"/>
        <v>8</v>
      </c>
      <c r="Z42" s="62">
        <f t="shared" si="38"/>
        <v>8</v>
      </c>
      <c r="AA42" s="62">
        <f t="shared" si="38"/>
        <v>8</v>
      </c>
      <c r="AB42" s="62">
        <f t="shared" si="38"/>
        <v>8</v>
      </c>
      <c r="AC42" s="62">
        <f t="shared" si="38"/>
        <v>8</v>
      </c>
    </row>
    <row r="43" spans="1:29" x14ac:dyDescent="0.3">
      <c r="A43" s="30" t="str">
        <f>A23</f>
        <v>Lifetime costumization</v>
      </c>
      <c r="B43" s="62">
        <f>$B23+($C23-$B23)*(1-Q23)</f>
        <v>10</v>
      </c>
      <c r="C43" s="62">
        <f t="shared" si="36"/>
        <v>10</v>
      </c>
      <c r="D43" s="62">
        <f t="shared" si="36"/>
        <v>10</v>
      </c>
      <c r="E43" s="62">
        <f t="shared" si="36"/>
        <v>10</v>
      </c>
      <c r="F43" s="62">
        <f t="shared" si="36"/>
        <v>10</v>
      </c>
      <c r="G43" s="62">
        <f t="shared" si="36"/>
        <v>10</v>
      </c>
      <c r="H43" s="62">
        <f t="shared" si="36"/>
        <v>10</v>
      </c>
      <c r="I43" s="62">
        <f t="shared" si="36"/>
        <v>10</v>
      </c>
      <c r="J43" s="62">
        <f t="shared" si="36"/>
        <v>10</v>
      </c>
      <c r="K43" s="62">
        <f t="shared" si="36"/>
        <v>10</v>
      </c>
      <c r="L43" s="62">
        <f t="shared" si="36"/>
        <v>10</v>
      </c>
      <c r="M43" s="62">
        <f t="shared" si="37"/>
        <v>10</v>
      </c>
      <c r="N43" s="62">
        <f t="shared" si="37"/>
        <v>10</v>
      </c>
      <c r="O43" s="62">
        <f t="shared" si="37"/>
        <v>10</v>
      </c>
      <c r="P43" s="62">
        <f t="shared" si="37"/>
        <v>10</v>
      </c>
      <c r="Q43" s="62">
        <f t="shared" si="37"/>
        <v>10</v>
      </c>
      <c r="R43" s="62">
        <f t="shared" si="37"/>
        <v>10</v>
      </c>
      <c r="S43" s="62">
        <f t="shared" si="37"/>
        <v>10</v>
      </c>
      <c r="T43" s="62">
        <f t="shared" si="37"/>
        <v>10</v>
      </c>
      <c r="U43" s="62">
        <f t="shared" si="37"/>
        <v>10</v>
      </c>
      <c r="V43" s="62">
        <f t="shared" si="37"/>
        <v>10</v>
      </c>
      <c r="W43" s="62">
        <f t="shared" si="38"/>
        <v>10</v>
      </c>
      <c r="X43" s="62">
        <f t="shared" si="38"/>
        <v>10</v>
      </c>
      <c r="Y43" s="62">
        <f t="shared" si="38"/>
        <v>10</v>
      </c>
      <c r="Z43" s="62">
        <f t="shared" si="38"/>
        <v>10</v>
      </c>
      <c r="AA43" s="62">
        <f t="shared" si="38"/>
        <v>10</v>
      </c>
      <c r="AB43" s="62">
        <f t="shared" si="38"/>
        <v>10</v>
      </c>
      <c r="AC43" s="62">
        <f t="shared" si="38"/>
        <v>10</v>
      </c>
    </row>
    <row r="44" spans="1:29" x14ac:dyDescent="0.3">
      <c r="A44" s="30" t="str">
        <f>A24</f>
        <v>Tonnage .</v>
      </c>
      <c r="B44" s="62">
        <f>$B24+($C24-$B24)*(1-Q24)</f>
        <v>25</v>
      </c>
      <c r="C44" s="62">
        <f t="shared" si="36"/>
        <v>25</v>
      </c>
      <c r="D44" s="62">
        <f t="shared" si="36"/>
        <v>25</v>
      </c>
      <c r="E44" s="62">
        <f t="shared" si="36"/>
        <v>25</v>
      </c>
      <c r="F44" s="62">
        <f t="shared" si="36"/>
        <v>25</v>
      </c>
      <c r="G44" s="62">
        <f t="shared" si="36"/>
        <v>25</v>
      </c>
      <c r="H44" s="62">
        <f t="shared" si="36"/>
        <v>25</v>
      </c>
      <c r="I44" s="62">
        <f t="shared" si="36"/>
        <v>25</v>
      </c>
      <c r="J44" s="62">
        <f t="shared" si="36"/>
        <v>25</v>
      </c>
      <c r="K44" s="62">
        <f t="shared" si="36"/>
        <v>25</v>
      </c>
      <c r="L44" s="62">
        <f t="shared" si="36"/>
        <v>25</v>
      </c>
      <c r="M44" s="62">
        <f t="shared" si="37"/>
        <v>25</v>
      </c>
      <c r="N44" s="62">
        <f t="shared" si="37"/>
        <v>25</v>
      </c>
      <c r="O44" s="62">
        <f t="shared" si="37"/>
        <v>25</v>
      </c>
      <c r="P44" s="62">
        <f t="shared" si="37"/>
        <v>25</v>
      </c>
      <c r="Q44" s="62">
        <f t="shared" si="37"/>
        <v>25</v>
      </c>
      <c r="R44" s="62">
        <f t="shared" si="37"/>
        <v>25</v>
      </c>
      <c r="S44" s="62">
        <f t="shared" si="37"/>
        <v>25</v>
      </c>
      <c r="T44" s="62">
        <f t="shared" si="37"/>
        <v>25</v>
      </c>
      <c r="U44" s="62">
        <f t="shared" si="37"/>
        <v>25</v>
      </c>
      <c r="V44" s="62">
        <f t="shared" si="37"/>
        <v>25</v>
      </c>
      <c r="W44" s="62">
        <f t="shared" si="38"/>
        <v>25</v>
      </c>
      <c r="X44" s="62">
        <f t="shared" si="38"/>
        <v>25</v>
      </c>
      <c r="Y44" s="62">
        <f t="shared" si="38"/>
        <v>25</v>
      </c>
      <c r="Z44" s="62">
        <f t="shared" si="38"/>
        <v>25</v>
      </c>
      <c r="AA44" s="62">
        <f t="shared" si="38"/>
        <v>25</v>
      </c>
      <c r="AB44" s="62">
        <f t="shared" si="38"/>
        <v>25</v>
      </c>
      <c r="AC44" s="62">
        <f t="shared" si="38"/>
        <v>25</v>
      </c>
    </row>
    <row r="45" spans="1:29" x14ac:dyDescent="0.3">
      <c r="A45" s="30" t="str">
        <f>A25</f>
        <v>Market failure (av. utilization)</v>
      </c>
      <c r="B45" s="62">
        <f t="shared" ref="B45:K46" si="39">($B25+($C25-$B25)*(1-Q25))*B$44</f>
        <v>10.5</v>
      </c>
      <c r="C45" s="62">
        <f t="shared" si="39"/>
        <v>10.5</v>
      </c>
      <c r="D45" s="62">
        <f t="shared" si="39"/>
        <v>10.5</v>
      </c>
      <c r="E45" s="62">
        <f t="shared" si="39"/>
        <v>10.5</v>
      </c>
      <c r="F45" s="62">
        <f t="shared" si="39"/>
        <v>10.5</v>
      </c>
      <c r="G45" s="62">
        <f t="shared" si="39"/>
        <v>10.5</v>
      </c>
      <c r="H45" s="62">
        <f t="shared" si="39"/>
        <v>10.5</v>
      </c>
      <c r="I45" s="62">
        <f t="shared" si="39"/>
        <v>10.5</v>
      </c>
      <c r="J45" s="62">
        <f t="shared" si="39"/>
        <v>10.5</v>
      </c>
      <c r="K45" s="62">
        <f t="shared" si="39"/>
        <v>10.5</v>
      </c>
      <c r="L45" s="62">
        <f t="shared" ref="L45:U46" si="40">($B25+($C25-$B25)*(1-AA25))*L$44</f>
        <v>10.5</v>
      </c>
      <c r="M45" s="62">
        <f t="shared" si="40"/>
        <v>10.5</v>
      </c>
      <c r="N45" s="62">
        <f t="shared" si="40"/>
        <v>10.5</v>
      </c>
      <c r="O45" s="62">
        <f t="shared" si="40"/>
        <v>10.5</v>
      </c>
      <c r="P45" s="62">
        <f t="shared" si="40"/>
        <v>10.5</v>
      </c>
      <c r="Q45" s="62">
        <f t="shared" si="40"/>
        <v>10.5</v>
      </c>
      <c r="R45" s="62">
        <f t="shared" si="40"/>
        <v>10.5</v>
      </c>
      <c r="S45" s="62">
        <f t="shared" si="40"/>
        <v>10.5</v>
      </c>
      <c r="T45" s="62">
        <f t="shared" si="40"/>
        <v>10.5</v>
      </c>
      <c r="U45" s="62">
        <f t="shared" si="40"/>
        <v>10.5</v>
      </c>
      <c r="V45" s="62">
        <f t="shared" ref="V45:AC46" si="41">($B25+($C25-$B25)*(1-AK25))*V$44</f>
        <v>10.5</v>
      </c>
      <c r="W45" s="62">
        <f t="shared" si="41"/>
        <v>10.5</v>
      </c>
      <c r="X45" s="62">
        <f t="shared" si="41"/>
        <v>10.5</v>
      </c>
      <c r="Y45" s="62">
        <f t="shared" si="41"/>
        <v>10.5</v>
      </c>
      <c r="Z45" s="62">
        <f t="shared" si="41"/>
        <v>10.5</v>
      </c>
      <c r="AA45" s="62">
        <f t="shared" si="41"/>
        <v>10.5</v>
      </c>
      <c r="AB45" s="62">
        <f t="shared" si="41"/>
        <v>10.5</v>
      </c>
      <c r="AC45" s="62">
        <f t="shared" si="41"/>
        <v>10.5</v>
      </c>
    </row>
    <row r="46" spans="1:29" x14ac:dyDescent="0.3">
      <c r="A46" s="30" t="s">
        <v>73</v>
      </c>
      <c r="B46" s="62">
        <f t="shared" si="39"/>
        <v>1.240098396181128</v>
      </c>
      <c r="C46" s="62">
        <f t="shared" si="39"/>
        <v>1.2358588232214369</v>
      </c>
      <c r="D46" s="62">
        <f t="shared" si="39"/>
        <v>1.2298392373690403</v>
      </c>
      <c r="E46" s="62">
        <f t="shared" si="39"/>
        <v>1.2213311312119457</v>
      </c>
      <c r="F46" s="62">
        <f t="shared" si="39"/>
        <v>1.2093859036663352</v>
      </c>
      <c r="G46" s="62">
        <f t="shared" si="39"/>
        <v>1.1927777011260612</v>
      </c>
      <c r="H46" s="62">
        <f t="shared" si="39"/>
        <v>1.1700084767574384</v>
      </c>
      <c r="I46" s="62">
        <f t="shared" si="39"/>
        <v>1.1394090790574525</v>
      </c>
      <c r="J46" s="62">
        <f t="shared" si="39"/>
        <v>1.0994097548946793</v>
      </c>
      <c r="K46" s="62">
        <f t="shared" si="39"/>
        <v>1.0490373668749504</v>
      </c>
      <c r="L46" s="62">
        <f t="shared" si="40"/>
        <v>0.98859194719090016</v>
      </c>
      <c r="M46" s="62">
        <f t="shared" si="40"/>
        <v>0.92024185910637191</v>
      </c>
      <c r="N46" s="62">
        <f t="shared" si="40"/>
        <v>0.84808495154888996</v>
      </c>
      <c r="O46" s="62">
        <f t="shared" si="40"/>
        <v>0.77734795696642955</v>
      </c>
      <c r="P46" s="62">
        <f t="shared" si="40"/>
        <v>0.71295461477923405</v>
      </c>
      <c r="Q46" s="62">
        <f t="shared" si="40"/>
        <v>0.65822944370838299</v>
      </c>
      <c r="R46" s="62">
        <f t="shared" si="40"/>
        <v>0.61440438240348649</v>
      </c>
      <c r="S46" s="62">
        <f t="shared" si="40"/>
        <v>0.580963915532825</v>
      </c>
      <c r="T46" s="62">
        <f t="shared" si="40"/>
        <v>0.55638249045356891</v>
      </c>
      <c r="U46" s="62">
        <f t="shared" si="40"/>
        <v>0.53880712713312673</v>
      </c>
      <c r="V46" s="62">
        <f t="shared" si="41"/>
        <v>0.52648939296900943</v>
      </c>
      <c r="W46" s="62">
        <f t="shared" si="41"/>
        <v>0.51797708155449362</v>
      </c>
      <c r="X46" s="62">
        <f t="shared" si="41"/>
        <v>0.5121516826687923</v>
      </c>
      <c r="Y46" s="62">
        <f t="shared" si="41"/>
        <v>0.50819168042308127</v>
      </c>
      <c r="Z46" s="62">
        <f t="shared" si="41"/>
        <v>0.50551199096795685</v>
      </c>
      <c r="AA46" s="62">
        <f t="shared" si="41"/>
        <v>0.50370426966387927</v>
      </c>
      <c r="AB46" s="62">
        <f t="shared" si="41"/>
        <v>0.50248732066197166</v>
      </c>
      <c r="AC46" s="62">
        <f t="shared" si="41"/>
        <v>0.50166922716100104</v>
      </c>
    </row>
    <row r="47" spans="1:29" x14ac:dyDescent="0.3">
      <c r="A47" s="30" t="str">
        <f>A27</f>
        <v>Annual Mileage</v>
      </c>
      <c r="B47" s="62">
        <f t="shared" ref="B47:AC47" si="42">$B27+($C27-$B27)*(1-Q27)</f>
        <v>55000</v>
      </c>
      <c r="C47" s="62">
        <f t="shared" si="42"/>
        <v>55000</v>
      </c>
      <c r="D47" s="62">
        <f t="shared" si="42"/>
        <v>55000</v>
      </c>
      <c r="E47" s="62">
        <f t="shared" si="42"/>
        <v>55000</v>
      </c>
      <c r="F47" s="62">
        <f t="shared" si="42"/>
        <v>55000</v>
      </c>
      <c r="G47" s="62">
        <f t="shared" si="42"/>
        <v>55000</v>
      </c>
      <c r="H47" s="62">
        <f t="shared" si="42"/>
        <v>55000</v>
      </c>
      <c r="I47" s="62">
        <f t="shared" si="42"/>
        <v>55000</v>
      </c>
      <c r="J47" s="62">
        <f t="shared" si="42"/>
        <v>55000</v>
      </c>
      <c r="K47" s="62">
        <f t="shared" si="42"/>
        <v>55000</v>
      </c>
      <c r="L47" s="62">
        <f t="shared" si="42"/>
        <v>55000</v>
      </c>
      <c r="M47" s="62">
        <f t="shared" si="42"/>
        <v>55000</v>
      </c>
      <c r="N47" s="62">
        <f t="shared" si="42"/>
        <v>55000</v>
      </c>
      <c r="O47" s="62">
        <f t="shared" si="42"/>
        <v>55000</v>
      </c>
      <c r="P47" s="62">
        <f t="shared" si="42"/>
        <v>55000</v>
      </c>
      <c r="Q47" s="62">
        <f t="shared" si="42"/>
        <v>55000</v>
      </c>
      <c r="R47" s="62">
        <f t="shared" si="42"/>
        <v>55000</v>
      </c>
      <c r="S47" s="62">
        <f t="shared" si="42"/>
        <v>55000</v>
      </c>
      <c r="T47" s="62">
        <f t="shared" si="42"/>
        <v>55000</v>
      </c>
      <c r="U47" s="62">
        <f t="shared" si="42"/>
        <v>55000</v>
      </c>
      <c r="V47" s="62">
        <f t="shared" si="42"/>
        <v>55000</v>
      </c>
      <c r="W47" s="62">
        <f t="shared" si="42"/>
        <v>55000</v>
      </c>
      <c r="X47" s="62">
        <f t="shared" si="42"/>
        <v>55000</v>
      </c>
      <c r="Y47" s="62">
        <f t="shared" si="42"/>
        <v>55000</v>
      </c>
      <c r="Z47" s="62">
        <f t="shared" si="42"/>
        <v>55000</v>
      </c>
      <c r="AA47" s="62">
        <f t="shared" si="42"/>
        <v>55000</v>
      </c>
      <c r="AB47" s="62">
        <f t="shared" si="42"/>
        <v>55000</v>
      </c>
      <c r="AC47" s="62">
        <f t="shared" si="42"/>
        <v>55000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61357.445895655808</v>
      </c>
      <c r="C50" s="63">
        <f t="shared" ref="C50:AC50" si="43">((1+C35)^C42)*C35/(((1+C35)^C42)-1)*(C31)</f>
        <v>60754.714455896952</v>
      </c>
      <c r="D50" s="63">
        <f t="shared" si="43"/>
        <v>59916.698956344211</v>
      </c>
      <c r="E50" s="63">
        <f t="shared" si="43"/>
        <v>58767.811056679595</v>
      </c>
      <c r="F50" s="63">
        <f t="shared" si="43"/>
        <v>57223.828829380502</v>
      </c>
      <c r="G50" s="63">
        <f t="shared" si="43"/>
        <v>55205.54578287054</v>
      </c>
      <c r="H50" s="63">
        <f t="shared" si="43"/>
        <v>52663.859419902983</v>
      </c>
      <c r="I50" s="63">
        <f t="shared" si="43"/>
        <v>49613.908743460379</v>
      </c>
      <c r="J50" s="63">
        <f t="shared" si="43"/>
        <v>46165.10487249765</v>
      </c>
      <c r="K50" s="63">
        <f t="shared" si="43"/>
        <v>42524.216776008514</v>
      </c>
      <c r="L50" s="63">
        <f t="shared" si="43"/>
        <v>38954.974547168116</v>
      </c>
      <c r="M50" s="63">
        <f t="shared" si="43"/>
        <v>35705.819878562834</v>
      </c>
      <c r="N50" s="63">
        <f t="shared" si="43"/>
        <v>32944.501098770794</v>
      </c>
      <c r="O50" s="63">
        <f t="shared" si="43"/>
        <v>30733.179280332359</v>
      </c>
      <c r="P50" s="63">
        <f t="shared" si="43"/>
        <v>29045.842587397736</v>
      </c>
      <c r="Q50" s="63">
        <f t="shared" si="43"/>
        <v>27805.514793492392</v>
      </c>
      <c r="R50" s="63">
        <f t="shared" si="43"/>
        <v>26918.698364255953</v>
      </c>
      <c r="S50" s="63">
        <f t="shared" si="43"/>
        <v>26297.171012101549</v>
      </c>
      <c r="T50" s="63">
        <f t="shared" si="43"/>
        <v>25867.657409706244</v>
      </c>
      <c r="U50" s="63">
        <f t="shared" si="43"/>
        <v>25573.719848103356</v>
      </c>
      <c r="V50" s="63">
        <f t="shared" si="43"/>
        <v>25373.906337151635</v>
      </c>
      <c r="W50" s="63">
        <f t="shared" si="43"/>
        <v>25238.694757696427</v>
      </c>
      <c r="X50" s="63">
        <f t="shared" si="43"/>
        <v>25147.480885032299</v>
      </c>
      <c r="Y50" s="63">
        <f t="shared" si="43"/>
        <v>25086.076159066874</v>
      </c>
      <c r="Z50" s="63">
        <f t="shared" si="43"/>
        <v>25044.796855527889</v>
      </c>
      <c r="AA50" s="63">
        <f t="shared" si="43"/>
        <v>25017.073074171451</v>
      </c>
      <c r="AB50" s="63">
        <f t="shared" si="43"/>
        <v>24998.465197207195</v>
      </c>
      <c r="AC50" s="63">
        <f t="shared" si="43"/>
        <v>24985.981130564032</v>
      </c>
    </row>
    <row r="51" spans="1:29" x14ac:dyDescent="0.3">
      <c r="A51" s="30" t="str">
        <f>A32</f>
        <v>Residual value (vehicle)</v>
      </c>
      <c r="B51" s="62">
        <f>((1+B35)^B42)*B35/(((1+B35)^B42)-1)*(B32)</f>
        <v>-9299.0290627537943</v>
      </c>
      <c r="C51" s="62">
        <f t="shared" ref="C51:AC51" si="44">((1+C35)^C42)*C35/(((1+C35)^C42)-1)*(C32)</f>
        <v>-9248.373973667678</v>
      </c>
      <c r="D51" s="62">
        <f t="shared" si="44"/>
        <v>-9177.9450114712236</v>
      </c>
      <c r="E51" s="62">
        <f t="shared" si="44"/>
        <v>-9081.3895390526031</v>
      </c>
      <c r="F51" s="62">
        <f t="shared" si="44"/>
        <v>-8951.6293305881045</v>
      </c>
      <c r="G51" s="62">
        <f t="shared" si="44"/>
        <v>-8782.0076702963088</v>
      </c>
      <c r="H51" s="62">
        <f t="shared" si="44"/>
        <v>-8568.3978589405251</v>
      </c>
      <c r="I51" s="62">
        <f t="shared" si="44"/>
        <v>-8312.0722169841792</v>
      </c>
      <c r="J51" s="62">
        <f t="shared" si="44"/>
        <v>-8022.2259342117786</v>
      </c>
      <c r="K51" s="62">
        <f t="shared" si="44"/>
        <v>-7716.2364026983305</v>
      </c>
      <c r="L51" s="62">
        <f t="shared" si="44"/>
        <v>-7416.2681728277021</v>
      </c>
      <c r="M51" s="62">
        <f t="shared" si="44"/>
        <v>-7143.2009187640651</v>
      </c>
      <c r="N51" s="62">
        <f t="shared" si="44"/>
        <v>-6911.1326383347341</v>
      </c>
      <c r="O51" s="62">
        <f t="shared" si="44"/>
        <v>-6725.2875067851219</v>
      </c>
      <c r="P51" s="62">
        <f t="shared" si="44"/>
        <v>-6583.4794230172129</v>
      </c>
      <c r="Q51" s="62">
        <f t="shared" si="44"/>
        <v>-6479.2391084230394</v>
      </c>
      <c r="R51" s="62">
        <f t="shared" si="44"/>
        <v>-6404.7087914978501</v>
      </c>
      <c r="S51" s="62">
        <f t="shared" si="44"/>
        <v>-6352.4740459444474</v>
      </c>
      <c r="T51" s="62">
        <f t="shared" si="44"/>
        <v>-6316.3766261686715</v>
      </c>
      <c r="U51" s="62">
        <f t="shared" si="44"/>
        <v>-6291.6733630126846</v>
      </c>
      <c r="V51" s="62">
        <f t="shared" si="44"/>
        <v>-6274.8805253901455</v>
      </c>
      <c r="W51" s="62">
        <f t="shared" si="44"/>
        <v>-6263.5169990316763</v>
      </c>
      <c r="X51" s="62">
        <f t="shared" si="44"/>
        <v>-6255.8511522865001</v>
      </c>
      <c r="Y51" s="62">
        <f t="shared" si="44"/>
        <v>-6250.6905423383423</v>
      </c>
      <c r="Z51" s="62">
        <f t="shared" si="44"/>
        <v>-6247.2213242749585</v>
      </c>
      <c r="AA51" s="62">
        <f t="shared" si="44"/>
        <v>-6244.8913469056415</v>
      </c>
      <c r="AB51" s="62">
        <f t="shared" si="44"/>
        <v>-6243.3274934160918</v>
      </c>
      <c r="AC51" s="62">
        <f t="shared" si="44"/>
        <v>-6242.278300581188</v>
      </c>
    </row>
    <row r="52" spans="1:29" x14ac:dyDescent="0.3">
      <c r="A52" s="30" t="str">
        <f>A33</f>
        <v>Capex costumization</v>
      </c>
      <c r="B52" s="62">
        <f>((1+B35)^B43)*B35/(((1+B35)^B43)-1)*(B33)</f>
        <v>5434.7183288153492</v>
      </c>
      <c r="C52" s="62">
        <f t="shared" ref="C52:AC52" si="45">((1+C35)^C43)*C35/(((1+C35)^C43)-1)*(C33)</f>
        <v>5434.7183288153492</v>
      </c>
      <c r="D52" s="62">
        <f t="shared" si="45"/>
        <v>5434.7183288153492</v>
      </c>
      <c r="E52" s="62">
        <f t="shared" si="45"/>
        <v>5434.7183288153492</v>
      </c>
      <c r="F52" s="62">
        <f t="shared" si="45"/>
        <v>5434.7183288153492</v>
      </c>
      <c r="G52" s="62">
        <f t="shared" si="45"/>
        <v>5434.7183288153492</v>
      </c>
      <c r="H52" s="62">
        <f t="shared" si="45"/>
        <v>5434.7183288153492</v>
      </c>
      <c r="I52" s="62">
        <f t="shared" si="45"/>
        <v>5434.7183288153492</v>
      </c>
      <c r="J52" s="62">
        <f t="shared" si="45"/>
        <v>5434.7183288153492</v>
      </c>
      <c r="K52" s="62">
        <f t="shared" si="45"/>
        <v>5434.7183288153492</v>
      </c>
      <c r="L52" s="62">
        <f t="shared" si="45"/>
        <v>5434.7183288153492</v>
      </c>
      <c r="M52" s="62">
        <f t="shared" si="45"/>
        <v>5434.7183288153492</v>
      </c>
      <c r="N52" s="62">
        <f t="shared" si="45"/>
        <v>5434.7183288153492</v>
      </c>
      <c r="O52" s="62">
        <f t="shared" si="45"/>
        <v>5434.7183288153492</v>
      </c>
      <c r="P52" s="62">
        <f t="shared" si="45"/>
        <v>5434.7183288153492</v>
      </c>
      <c r="Q52" s="62">
        <f t="shared" si="45"/>
        <v>5434.7183288153492</v>
      </c>
      <c r="R52" s="62">
        <f t="shared" si="45"/>
        <v>5434.7183288153492</v>
      </c>
      <c r="S52" s="62">
        <f t="shared" si="45"/>
        <v>5434.7183288153492</v>
      </c>
      <c r="T52" s="62">
        <f t="shared" si="45"/>
        <v>5434.7183288153492</v>
      </c>
      <c r="U52" s="62">
        <f t="shared" si="45"/>
        <v>5434.7183288153492</v>
      </c>
      <c r="V52" s="62">
        <f t="shared" si="45"/>
        <v>5434.7183288153492</v>
      </c>
      <c r="W52" s="62">
        <f t="shared" si="45"/>
        <v>5434.7183288153492</v>
      </c>
      <c r="X52" s="62">
        <f t="shared" si="45"/>
        <v>5434.7183288153492</v>
      </c>
      <c r="Y52" s="62">
        <f t="shared" si="45"/>
        <v>5434.7183288153492</v>
      </c>
      <c r="Z52" s="62">
        <f t="shared" si="45"/>
        <v>5434.7183288153492</v>
      </c>
      <c r="AA52" s="62">
        <f t="shared" si="45"/>
        <v>5434.7183288153492</v>
      </c>
      <c r="AB52" s="62">
        <f t="shared" si="45"/>
        <v>5434.7183288153492</v>
      </c>
      <c r="AC52" s="62">
        <f t="shared" si="45"/>
        <v>5434.7183288153492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-1358.6795822038373</v>
      </c>
      <c r="C53" s="62">
        <f t="shared" ref="C53:AC53" si="46">((1+C35)^C43)*C35/(((1+C35)^C43)-1)*(C34)</f>
        <v>-1358.6795822038373</v>
      </c>
      <c r="D53" s="62">
        <f t="shared" si="46"/>
        <v>-1358.6795822038373</v>
      </c>
      <c r="E53" s="62">
        <f t="shared" si="46"/>
        <v>-1358.6795822038373</v>
      </c>
      <c r="F53" s="62">
        <f t="shared" si="46"/>
        <v>-1358.6795822038373</v>
      </c>
      <c r="G53" s="62">
        <f t="shared" si="46"/>
        <v>-1358.6795822038373</v>
      </c>
      <c r="H53" s="62">
        <f t="shared" si="46"/>
        <v>-1358.6795822038373</v>
      </c>
      <c r="I53" s="62">
        <f t="shared" si="46"/>
        <v>-1358.6795822038373</v>
      </c>
      <c r="J53" s="62">
        <f t="shared" si="46"/>
        <v>-1358.6795822038373</v>
      </c>
      <c r="K53" s="62">
        <f t="shared" si="46"/>
        <v>-1358.6795822038373</v>
      </c>
      <c r="L53" s="62">
        <f t="shared" si="46"/>
        <v>-1358.6795822038373</v>
      </c>
      <c r="M53" s="62">
        <f t="shared" si="46"/>
        <v>-1358.6795822038373</v>
      </c>
      <c r="N53" s="62">
        <f t="shared" si="46"/>
        <v>-1358.6795822038373</v>
      </c>
      <c r="O53" s="62">
        <f t="shared" si="46"/>
        <v>-1358.6795822038373</v>
      </c>
      <c r="P53" s="62">
        <f t="shared" si="46"/>
        <v>-1358.6795822038373</v>
      </c>
      <c r="Q53" s="62">
        <f t="shared" si="46"/>
        <v>-1358.6795822038373</v>
      </c>
      <c r="R53" s="62">
        <f t="shared" si="46"/>
        <v>-1358.6795822038373</v>
      </c>
      <c r="S53" s="62">
        <f t="shared" si="46"/>
        <v>-1358.6795822038373</v>
      </c>
      <c r="T53" s="62">
        <f t="shared" si="46"/>
        <v>-1358.6795822038373</v>
      </c>
      <c r="U53" s="62">
        <f t="shared" si="46"/>
        <v>-1358.6795822038373</v>
      </c>
      <c r="V53" s="62">
        <f t="shared" si="46"/>
        <v>-1358.6795822038373</v>
      </c>
      <c r="W53" s="62">
        <f t="shared" si="46"/>
        <v>-1358.6795822038373</v>
      </c>
      <c r="X53" s="62">
        <f t="shared" si="46"/>
        <v>-1358.6795822038373</v>
      </c>
      <c r="Y53" s="62">
        <f t="shared" si="46"/>
        <v>-1358.6795822038373</v>
      </c>
      <c r="Z53" s="62">
        <f t="shared" si="46"/>
        <v>-1358.6795822038373</v>
      </c>
      <c r="AA53" s="62">
        <f t="shared" si="46"/>
        <v>-1358.6795822038373</v>
      </c>
      <c r="AB53" s="62">
        <f t="shared" si="46"/>
        <v>-1358.6795822038373</v>
      </c>
      <c r="AC53" s="62">
        <f t="shared" si="46"/>
        <v>-1358.6795822038373</v>
      </c>
    </row>
    <row r="54" spans="1:29" x14ac:dyDescent="0.3">
      <c r="A54" s="30" t="str">
        <f t="shared" ref="A54:AC54" si="47">A36</f>
        <v>Opex fix (admin, crew, insurance)</v>
      </c>
      <c r="B54" s="62">
        <f t="shared" si="47"/>
        <v>70000</v>
      </c>
      <c r="C54" s="62">
        <f t="shared" si="47"/>
        <v>70000</v>
      </c>
      <c r="D54" s="62">
        <f t="shared" si="47"/>
        <v>70000</v>
      </c>
      <c r="E54" s="62">
        <f t="shared" si="47"/>
        <v>70000</v>
      </c>
      <c r="F54" s="62">
        <f t="shared" si="47"/>
        <v>70000</v>
      </c>
      <c r="G54" s="62">
        <f t="shared" si="47"/>
        <v>70000</v>
      </c>
      <c r="H54" s="62">
        <f t="shared" si="47"/>
        <v>70000</v>
      </c>
      <c r="I54" s="62">
        <f t="shared" si="47"/>
        <v>70000</v>
      </c>
      <c r="J54" s="62">
        <f t="shared" si="47"/>
        <v>70000</v>
      </c>
      <c r="K54" s="62">
        <f t="shared" si="47"/>
        <v>70000</v>
      </c>
      <c r="L54" s="62">
        <f t="shared" si="47"/>
        <v>70000</v>
      </c>
      <c r="M54" s="62">
        <f t="shared" si="47"/>
        <v>70000</v>
      </c>
      <c r="N54" s="62">
        <f t="shared" si="47"/>
        <v>70000</v>
      </c>
      <c r="O54" s="62">
        <f t="shared" si="47"/>
        <v>70000</v>
      </c>
      <c r="P54" s="62">
        <f t="shared" si="47"/>
        <v>70000</v>
      </c>
      <c r="Q54" s="62">
        <f t="shared" si="47"/>
        <v>70000</v>
      </c>
      <c r="R54" s="62">
        <f t="shared" si="47"/>
        <v>70000</v>
      </c>
      <c r="S54" s="62">
        <f t="shared" si="47"/>
        <v>70000</v>
      </c>
      <c r="T54" s="62">
        <f t="shared" si="47"/>
        <v>70000</v>
      </c>
      <c r="U54" s="62">
        <f t="shared" si="47"/>
        <v>70000</v>
      </c>
      <c r="V54" s="62">
        <f t="shared" si="47"/>
        <v>70000</v>
      </c>
      <c r="W54" s="62">
        <f t="shared" si="47"/>
        <v>70000</v>
      </c>
      <c r="X54" s="62">
        <f t="shared" si="47"/>
        <v>70000</v>
      </c>
      <c r="Y54" s="62">
        <f t="shared" si="47"/>
        <v>70000</v>
      </c>
      <c r="Z54" s="62">
        <f t="shared" si="47"/>
        <v>70000</v>
      </c>
      <c r="AA54" s="62">
        <f t="shared" si="47"/>
        <v>70000</v>
      </c>
      <c r="AB54" s="62">
        <f t="shared" si="47"/>
        <v>70000</v>
      </c>
      <c r="AC54" s="62">
        <f t="shared" si="47"/>
        <v>70000</v>
      </c>
    </row>
    <row r="55" spans="1:29" x14ac:dyDescent="0.3">
      <c r="A55" s="30" t="str">
        <f t="shared" ref="A55:AC55" si="48">A37</f>
        <v>Opex maintenance &amp; repair</v>
      </c>
      <c r="B55" s="62">
        <f t="shared" si="48"/>
        <v>25694.198732927423</v>
      </c>
      <c r="C55" s="62">
        <f t="shared" si="48"/>
        <v>25566.782972440909</v>
      </c>
      <c r="D55" s="62">
        <f t="shared" si="48"/>
        <v>25389.62881201132</v>
      </c>
      <c r="E55" s="62">
        <f t="shared" si="48"/>
        <v>25146.757085412675</v>
      </c>
      <c r="F55" s="62">
        <f t="shared" si="48"/>
        <v>24820.363509946161</v>
      </c>
      <c r="G55" s="62">
        <f t="shared" si="48"/>
        <v>24393.704052209912</v>
      </c>
      <c r="H55" s="62">
        <f t="shared" si="48"/>
        <v>23856.39857999947</v>
      </c>
      <c r="I55" s="62">
        <f t="shared" si="48"/>
        <v>23211.647436702937</v>
      </c>
      <c r="J55" s="62">
        <f t="shared" si="48"/>
        <v>22482.579830467967</v>
      </c>
      <c r="K55" s="62">
        <f t="shared" si="48"/>
        <v>21712.906149854825</v>
      </c>
      <c r="L55" s="62">
        <f t="shared" si="48"/>
        <v>20958.378207641916</v>
      </c>
      <c r="M55" s="62">
        <f t="shared" si="48"/>
        <v>20271.515890978495</v>
      </c>
      <c r="N55" s="62">
        <f t="shared" si="48"/>
        <v>19687.78073288942</v>
      </c>
      <c r="O55" s="62">
        <f t="shared" si="48"/>
        <v>19220.313412303854</v>
      </c>
      <c r="P55" s="62">
        <f t="shared" si="48"/>
        <v>18863.615099016799</v>
      </c>
      <c r="Q55" s="62">
        <f t="shared" si="48"/>
        <v>18601.413231504735</v>
      </c>
      <c r="R55" s="62">
        <f t="shared" si="48"/>
        <v>18413.942689420019</v>
      </c>
      <c r="S55" s="62">
        <f t="shared" si="48"/>
        <v>18282.553525002768</v>
      </c>
      <c r="T55" s="62">
        <f t="shared" si="48"/>
        <v>18191.755536581266</v>
      </c>
      <c r="U55" s="62">
        <f t="shared" si="48"/>
        <v>18129.617948467116</v>
      </c>
      <c r="V55" s="62">
        <f t="shared" si="48"/>
        <v>18087.377924512868</v>
      </c>
      <c r="W55" s="62">
        <f t="shared" si="48"/>
        <v>18058.794570324873</v>
      </c>
      <c r="X55" s="62">
        <f t="shared" si="48"/>
        <v>18039.512209748045</v>
      </c>
      <c r="Y55" s="62">
        <f t="shared" si="48"/>
        <v>18026.531420394364</v>
      </c>
      <c r="Z55" s="62">
        <f t="shared" si="48"/>
        <v>18017.805089717345</v>
      </c>
      <c r="AA55" s="62">
        <f t="shared" si="48"/>
        <v>18011.94435896385</v>
      </c>
      <c r="AB55" s="62">
        <f t="shared" si="48"/>
        <v>18008.010705203578</v>
      </c>
      <c r="AC55" s="62">
        <f t="shared" si="48"/>
        <v>18005.371608019701</v>
      </c>
    </row>
    <row r="56" spans="1:29" x14ac:dyDescent="0.3">
      <c r="A56" s="30" t="str">
        <f>A38</f>
        <v>Opex var (mode-fees)</v>
      </c>
      <c r="B56" s="62">
        <f>B38*B47</f>
        <v>6050</v>
      </c>
      <c r="C56" s="62">
        <f t="shared" ref="C56:AC56" si="49">C38*C47</f>
        <v>6050</v>
      </c>
      <c r="D56" s="62">
        <f t="shared" si="49"/>
        <v>6050</v>
      </c>
      <c r="E56" s="62">
        <f t="shared" si="49"/>
        <v>6050</v>
      </c>
      <c r="F56" s="62">
        <f t="shared" si="49"/>
        <v>6050</v>
      </c>
      <c r="G56" s="62">
        <f t="shared" si="49"/>
        <v>6050</v>
      </c>
      <c r="H56" s="62">
        <f t="shared" si="49"/>
        <v>6050</v>
      </c>
      <c r="I56" s="62">
        <f t="shared" si="49"/>
        <v>6050</v>
      </c>
      <c r="J56" s="62">
        <f t="shared" si="49"/>
        <v>6050</v>
      </c>
      <c r="K56" s="62">
        <f t="shared" si="49"/>
        <v>6050</v>
      </c>
      <c r="L56" s="62">
        <f t="shared" si="49"/>
        <v>6050</v>
      </c>
      <c r="M56" s="62">
        <f t="shared" si="49"/>
        <v>6050</v>
      </c>
      <c r="N56" s="62">
        <f t="shared" si="49"/>
        <v>6050</v>
      </c>
      <c r="O56" s="62">
        <f t="shared" si="49"/>
        <v>6050</v>
      </c>
      <c r="P56" s="62">
        <f t="shared" si="49"/>
        <v>6050</v>
      </c>
      <c r="Q56" s="62">
        <f t="shared" si="49"/>
        <v>6050</v>
      </c>
      <c r="R56" s="62">
        <f t="shared" si="49"/>
        <v>6050</v>
      </c>
      <c r="S56" s="62">
        <f t="shared" si="49"/>
        <v>6050</v>
      </c>
      <c r="T56" s="62">
        <f t="shared" si="49"/>
        <v>6050</v>
      </c>
      <c r="U56" s="62">
        <f t="shared" si="49"/>
        <v>6050</v>
      </c>
      <c r="V56" s="62">
        <f t="shared" si="49"/>
        <v>6050</v>
      </c>
      <c r="W56" s="62">
        <f t="shared" si="49"/>
        <v>6050</v>
      </c>
      <c r="X56" s="62">
        <f t="shared" si="49"/>
        <v>6050</v>
      </c>
      <c r="Y56" s="62">
        <f t="shared" si="49"/>
        <v>6050</v>
      </c>
      <c r="Z56" s="62">
        <f t="shared" si="49"/>
        <v>6050</v>
      </c>
      <c r="AA56" s="62">
        <f t="shared" si="49"/>
        <v>6050</v>
      </c>
      <c r="AB56" s="62">
        <f t="shared" si="49"/>
        <v>6050</v>
      </c>
      <c r="AC56" s="62">
        <f t="shared" si="49"/>
        <v>6050</v>
      </c>
    </row>
    <row r="57" spans="1:29" x14ac:dyDescent="0.3">
      <c r="A57" s="30" t="str">
        <f>A40</f>
        <v>Fuel Cost</v>
      </c>
      <c r="B57" s="62">
        <f>B39*B40*B47</f>
        <v>29558.348554530468</v>
      </c>
      <c r="C57" s="62">
        <f t="shared" ref="C57:AC57" si="50">C39*C40*C47</f>
        <v>29330.442155790086</v>
      </c>
      <c r="D57" s="62">
        <f t="shared" si="50"/>
        <v>29012.366689911196</v>
      </c>
      <c r="E57" s="62">
        <f t="shared" si="50"/>
        <v>28573.73096089808</v>
      </c>
      <c r="F57" s="62">
        <f t="shared" si="50"/>
        <v>27978.913834933366</v>
      </c>
      <c r="G57" s="62">
        <f t="shared" si="50"/>
        <v>27190.638333733354</v>
      </c>
      <c r="H57" s="62">
        <f t="shared" si="50"/>
        <v>26177.295486234132</v>
      </c>
      <c r="I57" s="62">
        <f t="shared" si="50"/>
        <v>24923.873361072223</v>
      </c>
      <c r="J57" s="62">
        <f t="shared" si="50"/>
        <v>23443.514337342487</v>
      </c>
      <c r="K57" s="62">
        <f t="shared" si="50"/>
        <v>21783.930769428112</v>
      </c>
      <c r="L57" s="62">
        <f t="shared" si="50"/>
        <v>20023.721611991321</v>
      </c>
      <c r="M57" s="62">
        <f t="shared" si="50"/>
        <v>18259.149569940968</v>
      </c>
      <c r="N57" s="62">
        <f t="shared" si="50"/>
        <v>16586.908034728382</v>
      </c>
      <c r="O57" s="62">
        <f t="shared" si="50"/>
        <v>15087.944654474913</v>
      </c>
      <c r="P57" s="62">
        <f t="shared" si="50"/>
        <v>13815.128738426867</v>
      </c>
      <c r="Q57" s="62">
        <f t="shared" si="50"/>
        <v>12787.706564842081</v>
      </c>
      <c r="R57" s="62">
        <f t="shared" si="50"/>
        <v>11994.65844982988</v>
      </c>
      <c r="S57" s="62">
        <f t="shared" si="50"/>
        <v>11404.886119200026</v>
      </c>
      <c r="T57" s="62">
        <f t="shared" si="50"/>
        <v>10978.958480617513</v>
      </c>
      <c r="U57" s="62">
        <f t="shared" si="50"/>
        <v>10678.07709539182</v>
      </c>
      <c r="V57" s="62">
        <f t="shared" si="50"/>
        <v>10468.920076918048</v>
      </c>
      <c r="W57" s="62">
        <f t="shared" si="50"/>
        <v>10325.17500588507</v>
      </c>
      <c r="X57" s="62">
        <f t="shared" si="50"/>
        <v>10227.167927147253</v>
      </c>
      <c r="Y57" s="62">
        <f t="shared" si="50"/>
        <v>10160.710702987635</v>
      </c>
      <c r="Z57" s="62">
        <f t="shared" si="50"/>
        <v>10115.815241013277</v>
      </c>
      <c r="AA57" s="62">
        <f t="shared" si="50"/>
        <v>10085.56281062316</v>
      </c>
      <c r="AB57" s="62">
        <f t="shared" si="50"/>
        <v>10065.212409829468</v>
      </c>
      <c r="AC57" s="62">
        <f t="shared" si="50"/>
        <v>10051.538793344675</v>
      </c>
    </row>
    <row r="58" spans="1:29" ht="15" thickBot="1" x14ac:dyDescent="0.35">
      <c r="A58" s="59" t="str">
        <f>A21</f>
        <v>Emission Cost</v>
      </c>
      <c r="B58" s="62">
        <f>B41*B47</f>
        <v>500.75026326221445</v>
      </c>
      <c r="C58" s="62">
        <f t="shared" ref="C58:AC58" si="51">C41*C47</f>
        <v>500.27342700294162</v>
      </c>
      <c r="D58" s="62">
        <f t="shared" si="51"/>
        <v>499.59084651846388</v>
      </c>
      <c r="E58" s="62">
        <f t="shared" si="51"/>
        <v>498.61436713421301</v>
      </c>
      <c r="F58" s="62">
        <f t="shared" si="51"/>
        <v>497.21876262324452</v>
      </c>
      <c r="G58" s="62">
        <f t="shared" si="51"/>
        <v>495.22693338345073</v>
      </c>
      <c r="H58" s="62">
        <f t="shared" si="51"/>
        <v>492.3900798967835</v>
      </c>
      <c r="I58" s="62">
        <f t="shared" si="51"/>
        <v>488.36215461373615</v>
      </c>
      <c r="J58" s="62">
        <f t="shared" si="51"/>
        <v>482.66906928505563</v>
      </c>
      <c r="K58" s="62">
        <f t="shared" si="51"/>
        <v>474.67608019535561</v>
      </c>
      <c r="L58" s="62">
        <f t="shared" si="51"/>
        <v>463.56292381578379</v>
      </c>
      <c r="M58" s="62">
        <f t="shared" si="51"/>
        <v>448.32720216339794</v>
      </c>
      <c r="N58" s="62">
        <f t="shared" si="51"/>
        <v>427.85202485652007</v>
      </c>
      <c r="O58" s="62">
        <f t="shared" si="51"/>
        <v>401.08701260307782</v>
      </c>
      <c r="P58" s="62">
        <f t="shared" si="51"/>
        <v>367.38100354410608</v>
      </c>
      <c r="Q58" s="62">
        <f t="shared" si="51"/>
        <v>326.93476020448145</v>
      </c>
      <c r="R58" s="62">
        <f t="shared" si="51"/>
        <v>281.19921383220458</v>
      </c>
      <c r="S58" s="62">
        <f t="shared" si="51"/>
        <v>232.91638517521682</v>
      </c>
      <c r="T58" s="62">
        <f t="shared" si="51"/>
        <v>185.58367227570068</v>
      </c>
      <c r="U58" s="62">
        <f t="shared" si="51"/>
        <v>142.49572944779649</v>
      </c>
      <c r="V58" s="62">
        <f t="shared" si="51"/>
        <v>105.87711388513068</v>
      </c>
      <c r="W58" s="62">
        <f t="shared" si="51"/>
        <v>76.552160841922017</v>
      </c>
      <c r="X58" s="62">
        <f t="shared" si="51"/>
        <v>54.175920135658366</v>
      </c>
      <c r="Y58" s="62">
        <f t="shared" si="51"/>
        <v>37.727588639455803</v>
      </c>
      <c r="Z58" s="62">
        <f t="shared" si="51"/>
        <v>25.967269572161907</v>
      </c>
      <c r="AA58" s="62">
        <f t="shared" si="51"/>
        <v>17.725022665798594</v>
      </c>
      <c r="AB58" s="62">
        <f t="shared" si="51"/>
        <v>12.029123445414539</v>
      </c>
      <c r="AC58" s="62">
        <f t="shared" si="51"/>
        <v>8.1311357713604018</v>
      </c>
    </row>
    <row r="59" spans="1:29" ht="15" thickBot="1" x14ac:dyDescent="0.35">
      <c r="A59" s="31" t="s">
        <v>209</v>
      </c>
      <c r="B59" s="64">
        <f>B50+B51+B52+B53+B54+B55+B56+B57+B58</f>
        <v>187937.75313023364</v>
      </c>
      <c r="C59" s="64">
        <f t="shared" ref="C59:AC59" si="52">C50+C51+C52+C53+C54+C55+C56+C57+C58</f>
        <v>187029.87778407472</v>
      </c>
      <c r="D59" s="64">
        <f t="shared" si="52"/>
        <v>185766.37903992549</v>
      </c>
      <c r="E59" s="64">
        <f t="shared" si="52"/>
        <v>184031.56267768345</v>
      </c>
      <c r="F59" s="64">
        <f t="shared" si="52"/>
        <v>181694.73435290667</v>
      </c>
      <c r="G59" s="64">
        <f t="shared" si="52"/>
        <v>178629.14617851243</v>
      </c>
      <c r="H59" s="64">
        <f t="shared" si="52"/>
        <v>174747.58445370436</v>
      </c>
      <c r="I59" s="64">
        <f t="shared" si="52"/>
        <v>170051.7582254766</v>
      </c>
      <c r="J59" s="64">
        <f t="shared" si="52"/>
        <v>164677.6809219929</v>
      </c>
      <c r="K59" s="64">
        <f t="shared" si="52"/>
        <v>158905.53211939998</v>
      </c>
      <c r="L59" s="64">
        <f t="shared" si="52"/>
        <v>153110.40786440094</v>
      </c>
      <c r="M59" s="64">
        <f t="shared" si="52"/>
        <v>147667.65036949315</v>
      </c>
      <c r="N59" s="64">
        <f t="shared" si="52"/>
        <v>142861.94799952189</v>
      </c>
      <c r="O59" s="64">
        <f t="shared" si="52"/>
        <v>138843.27559954059</v>
      </c>
      <c r="P59" s="64">
        <f t="shared" si="52"/>
        <v>135634.52675197981</v>
      </c>
      <c r="Q59" s="64">
        <f t="shared" si="52"/>
        <v>133168.36898823216</v>
      </c>
      <c r="R59" s="64">
        <f t="shared" si="52"/>
        <v>131329.82867245172</v>
      </c>
      <c r="S59" s="64">
        <f t="shared" si="52"/>
        <v>129991.09174214664</v>
      </c>
      <c r="T59" s="64">
        <f t="shared" si="52"/>
        <v>129033.61721962356</v>
      </c>
      <c r="U59" s="64">
        <f t="shared" si="52"/>
        <v>128358.27600500893</v>
      </c>
      <c r="V59" s="64">
        <f t="shared" si="52"/>
        <v>127887.23967368905</v>
      </c>
      <c r="W59" s="64">
        <f t="shared" si="52"/>
        <v>127561.73824232814</v>
      </c>
      <c r="X59" s="64">
        <f t="shared" si="52"/>
        <v>127338.52453638827</v>
      </c>
      <c r="Y59" s="64">
        <f t="shared" si="52"/>
        <v>127186.3940753615</v>
      </c>
      <c r="Z59" s="64">
        <f t="shared" si="52"/>
        <v>127083.20187816722</v>
      </c>
      <c r="AA59" s="64">
        <f t="shared" si="52"/>
        <v>127013.45266613014</v>
      </c>
      <c r="AB59" s="64">
        <f t="shared" si="52"/>
        <v>126966.42868888109</v>
      </c>
      <c r="AC59" s="64">
        <f t="shared" si="52"/>
        <v>126934.7831137301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53">A50</f>
        <v>Capex vehicle</v>
      </c>
      <c r="B62" s="65">
        <f>((1+B35)^B42)*B35/(((1+B35)^B42)-1)*(B31)/B47</f>
        <v>1.1155899253755601</v>
      </c>
      <c r="C62" s="65">
        <f t="shared" ref="C62:AC62" si="54">((1+C35)^C42)*C35/(((1+C35)^C42)-1)*(C31)/C47</f>
        <v>1.1046311719253992</v>
      </c>
      <c r="D62" s="65">
        <f t="shared" si="54"/>
        <v>1.0893945264789857</v>
      </c>
      <c r="E62" s="65">
        <f t="shared" si="54"/>
        <v>1.0685056555759926</v>
      </c>
      <c r="F62" s="65">
        <f t="shared" si="54"/>
        <v>1.0404332514432819</v>
      </c>
      <c r="G62" s="65">
        <f t="shared" si="54"/>
        <v>1.0037371960521917</v>
      </c>
      <c r="H62" s="65">
        <f t="shared" si="54"/>
        <v>0.95752471672550876</v>
      </c>
      <c r="I62" s="65">
        <f t="shared" si="54"/>
        <v>0.90207106806291593</v>
      </c>
      <c r="J62" s="65">
        <f t="shared" si="54"/>
        <v>0.83936554313632095</v>
      </c>
      <c r="K62" s="65">
        <f t="shared" si="54"/>
        <v>0.77316757774560929</v>
      </c>
      <c r="L62" s="65">
        <f t="shared" si="54"/>
        <v>0.70827226449396574</v>
      </c>
      <c r="M62" s="65">
        <f t="shared" si="54"/>
        <v>0.64919672506477877</v>
      </c>
      <c r="N62" s="65">
        <f t="shared" si="54"/>
        <v>0.59899092906855989</v>
      </c>
      <c r="O62" s="65">
        <f t="shared" si="54"/>
        <v>0.55878507782422471</v>
      </c>
      <c r="P62" s="65">
        <f t="shared" si="54"/>
        <v>0.52810622886177705</v>
      </c>
      <c r="Q62" s="65">
        <f t="shared" si="54"/>
        <v>0.50555481442713435</v>
      </c>
      <c r="R62" s="65">
        <f t="shared" si="54"/>
        <v>0.48943087935010826</v>
      </c>
      <c r="S62" s="65">
        <f t="shared" si="54"/>
        <v>0.47813038203821001</v>
      </c>
      <c r="T62" s="65">
        <f t="shared" si="54"/>
        <v>0.47032104381284079</v>
      </c>
      <c r="U62" s="65">
        <f t="shared" si="54"/>
        <v>0.46497672451097011</v>
      </c>
      <c r="V62" s="65">
        <f t="shared" si="54"/>
        <v>0.46134375158457519</v>
      </c>
      <c r="W62" s="65">
        <f t="shared" si="54"/>
        <v>0.45888535923084411</v>
      </c>
      <c r="X62" s="65">
        <f t="shared" si="54"/>
        <v>0.45722692518240543</v>
      </c>
      <c r="Y62" s="65">
        <f t="shared" si="54"/>
        <v>0.45611047561939771</v>
      </c>
      <c r="Z62" s="65">
        <f t="shared" si="54"/>
        <v>0.45535994282777981</v>
      </c>
      <c r="AA62" s="65">
        <f t="shared" si="54"/>
        <v>0.45485587407584455</v>
      </c>
      <c r="AB62" s="65">
        <f t="shared" si="54"/>
        <v>0.45451754904013081</v>
      </c>
      <c r="AC62" s="65">
        <f t="shared" si="54"/>
        <v>0.45429056601025514</v>
      </c>
    </row>
    <row r="63" spans="1:29" x14ac:dyDescent="0.3">
      <c r="A63" s="30" t="str">
        <f t="shared" si="53"/>
        <v>Residual value (vehicle)</v>
      </c>
      <c r="B63" s="66">
        <f>((1+B35)^B42)*B35/(((1+B35)^B42)-1)*(B32)/B47</f>
        <v>-0.16907325568643261</v>
      </c>
      <c r="C63" s="66">
        <f t="shared" ref="C63:AC63" si="55">((1+C35)^C42)*C35/(((1+C35)^C42)-1)*(C32)/C47</f>
        <v>-0.16815225406668505</v>
      </c>
      <c r="D63" s="66">
        <f t="shared" si="55"/>
        <v>-0.16687172748129497</v>
      </c>
      <c r="E63" s="66">
        <f t="shared" si="55"/>
        <v>-0.16511617343732005</v>
      </c>
      <c r="F63" s="66">
        <f t="shared" si="55"/>
        <v>-0.16275689691978371</v>
      </c>
      <c r="G63" s="66">
        <f t="shared" si="55"/>
        <v>-0.15967286673266015</v>
      </c>
      <c r="H63" s="66">
        <f t="shared" si="55"/>
        <v>-0.15578905198073681</v>
      </c>
      <c r="I63" s="66">
        <f t="shared" si="55"/>
        <v>-0.15112858576334873</v>
      </c>
      <c r="J63" s="66">
        <f t="shared" si="55"/>
        <v>-0.14585865334930506</v>
      </c>
      <c r="K63" s="66">
        <f t="shared" si="55"/>
        <v>-0.14029520732178782</v>
      </c>
      <c r="L63" s="66">
        <f t="shared" si="55"/>
        <v>-0.13484123950595822</v>
      </c>
      <c r="M63" s="66">
        <f t="shared" si="55"/>
        <v>-0.12987638034116483</v>
      </c>
      <c r="N63" s="66">
        <f t="shared" si="55"/>
        <v>-0.12565695706063154</v>
      </c>
      <c r="O63" s="66">
        <f t="shared" si="55"/>
        <v>-0.1222779546688204</v>
      </c>
      <c r="P63" s="66">
        <f t="shared" si="55"/>
        <v>-0.11969962587304023</v>
      </c>
      <c r="Q63" s="66">
        <f t="shared" si="55"/>
        <v>-0.11780434742587344</v>
      </c>
      <c r="R63" s="66">
        <f t="shared" si="55"/>
        <v>-0.11644925075450636</v>
      </c>
      <c r="S63" s="66">
        <f t="shared" si="55"/>
        <v>-0.11549952810808087</v>
      </c>
      <c r="T63" s="66">
        <f t="shared" si="55"/>
        <v>-0.11484321138488493</v>
      </c>
      <c r="U63" s="66">
        <f t="shared" si="55"/>
        <v>-0.11439406114568518</v>
      </c>
      <c r="V63" s="66">
        <f t="shared" si="55"/>
        <v>-0.11408873682527537</v>
      </c>
      <c r="W63" s="66">
        <f t="shared" si="55"/>
        <v>-0.11388212725512138</v>
      </c>
      <c r="X63" s="66">
        <f t="shared" si="55"/>
        <v>-0.11374274822339091</v>
      </c>
      <c r="Y63" s="66">
        <f t="shared" si="55"/>
        <v>-0.11364891895160623</v>
      </c>
      <c r="Z63" s="66">
        <f t="shared" si="55"/>
        <v>-0.1135858422595447</v>
      </c>
      <c r="AA63" s="66">
        <f t="shared" si="55"/>
        <v>-0.11354347903464802</v>
      </c>
      <c r="AB63" s="66">
        <f t="shared" si="55"/>
        <v>-0.11351504533483803</v>
      </c>
      <c r="AC63" s="66">
        <f t="shared" si="55"/>
        <v>-0.11349596910147615</v>
      </c>
    </row>
    <row r="64" spans="1:29" x14ac:dyDescent="0.3">
      <c r="A64" s="30" t="str">
        <f t="shared" si="53"/>
        <v>Capex costumization</v>
      </c>
      <c r="B64" s="66">
        <f>((1+B35)^B43)*B35/(((1+B35)^B43)-1)*(B33)/B47</f>
        <v>9.8813060523915433E-2</v>
      </c>
      <c r="C64" s="66">
        <f t="shared" ref="C64:AC64" si="56">((1+C35)^C43)*C35/(((1+C35)^C43)-1)*(C33)/C47</f>
        <v>9.8813060523915433E-2</v>
      </c>
      <c r="D64" s="66">
        <f t="shared" si="56"/>
        <v>9.8813060523915433E-2</v>
      </c>
      <c r="E64" s="66">
        <f t="shared" si="56"/>
        <v>9.8813060523915433E-2</v>
      </c>
      <c r="F64" s="66">
        <f t="shared" si="56"/>
        <v>9.8813060523915433E-2</v>
      </c>
      <c r="G64" s="66">
        <f t="shared" si="56"/>
        <v>9.8813060523915433E-2</v>
      </c>
      <c r="H64" s="66">
        <f t="shared" si="56"/>
        <v>9.8813060523915433E-2</v>
      </c>
      <c r="I64" s="66">
        <f t="shared" si="56"/>
        <v>9.8813060523915433E-2</v>
      </c>
      <c r="J64" s="66">
        <f t="shared" si="56"/>
        <v>9.8813060523915433E-2</v>
      </c>
      <c r="K64" s="66">
        <f t="shared" si="56"/>
        <v>9.8813060523915433E-2</v>
      </c>
      <c r="L64" s="66">
        <f t="shared" si="56"/>
        <v>9.8813060523915433E-2</v>
      </c>
      <c r="M64" s="66">
        <f t="shared" si="56"/>
        <v>9.8813060523915433E-2</v>
      </c>
      <c r="N64" s="66">
        <f t="shared" si="56"/>
        <v>9.8813060523915433E-2</v>
      </c>
      <c r="O64" s="66">
        <f t="shared" si="56"/>
        <v>9.8813060523915433E-2</v>
      </c>
      <c r="P64" s="66">
        <f t="shared" si="56"/>
        <v>9.8813060523915433E-2</v>
      </c>
      <c r="Q64" s="66">
        <f t="shared" si="56"/>
        <v>9.8813060523915433E-2</v>
      </c>
      <c r="R64" s="66">
        <f t="shared" si="56"/>
        <v>9.8813060523915433E-2</v>
      </c>
      <c r="S64" s="66">
        <f t="shared" si="56"/>
        <v>9.8813060523915433E-2</v>
      </c>
      <c r="T64" s="66">
        <f t="shared" si="56"/>
        <v>9.8813060523915433E-2</v>
      </c>
      <c r="U64" s="66">
        <f t="shared" si="56"/>
        <v>9.8813060523915433E-2</v>
      </c>
      <c r="V64" s="66">
        <f t="shared" si="56"/>
        <v>9.8813060523915433E-2</v>
      </c>
      <c r="W64" s="66">
        <f t="shared" si="56"/>
        <v>9.8813060523915433E-2</v>
      </c>
      <c r="X64" s="66">
        <f t="shared" si="56"/>
        <v>9.8813060523915433E-2</v>
      </c>
      <c r="Y64" s="66">
        <f t="shared" si="56"/>
        <v>9.8813060523915433E-2</v>
      </c>
      <c r="Z64" s="66">
        <f t="shared" si="56"/>
        <v>9.8813060523915433E-2</v>
      </c>
      <c r="AA64" s="66">
        <f t="shared" si="56"/>
        <v>9.8813060523915433E-2</v>
      </c>
      <c r="AB64" s="66">
        <f t="shared" si="56"/>
        <v>9.8813060523915433E-2</v>
      </c>
      <c r="AC64" s="66">
        <f t="shared" si="56"/>
        <v>9.8813060523915433E-2</v>
      </c>
    </row>
    <row r="65" spans="1:29" x14ac:dyDescent="0.3">
      <c r="A65" s="30" t="str">
        <f t="shared" si="53"/>
        <v>Residual value (costumization)</v>
      </c>
      <c r="B65" s="66">
        <f>((1+B35)^B43)*B35/(((1+B35)^B43)-1)*(B34)/B47</f>
        <v>-2.4703265130978858E-2</v>
      </c>
      <c r="C65" s="66">
        <f t="shared" ref="C65:AC65" si="57">((1+C35)^C43)*C35/(((1+C35)^C43)-1)*(C34)/C47</f>
        <v>-2.4703265130978858E-2</v>
      </c>
      <c r="D65" s="66">
        <f t="shared" si="57"/>
        <v>-2.4703265130978858E-2</v>
      </c>
      <c r="E65" s="66">
        <f t="shared" si="57"/>
        <v>-2.4703265130978858E-2</v>
      </c>
      <c r="F65" s="66">
        <f t="shared" si="57"/>
        <v>-2.4703265130978858E-2</v>
      </c>
      <c r="G65" s="66">
        <f t="shared" si="57"/>
        <v>-2.4703265130978858E-2</v>
      </c>
      <c r="H65" s="66">
        <f t="shared" si="57"/>
        <v>-2.4703265130978858E-2</v>
      </c>
      <c r="I65" s="66">
        <f t="shared" si="57"/>
        <v>-2.4703265130978858E-2</v>
      </c>
      <c r="J65" s="66">
        <f t="shared" si="57"/>
        <v>-2.4703265130978858E-2</v>
      </c>
      <c r="K65" s="66">
        <f t="shared" si="57"/>
        <v>-2.4703265130978858E-2</v>
      </c>
      <c r="L65" s="66">
        <f t="shared" si="57"/>
        <v>-2.4703265130978858E-2</v>
      </c>
      <c r="M65" s="66">
        <f t="shared" si="57"/>
        <v>-2.4703265130978858E-2</v>
      </c>
      <c r="N65" s="66">
        <f t="shared" si="57"/>
        <v>-2.4703265130978858E-2</v>
      </c>
      <c r="O65" s="66">
        <f t="shared" si="57"/>
        <v>-2.4703265130978858E-2</v>
      </c>
      <c r="P65" s="66">
        <f t="shared" si="57"/>
        <v>-2.4703265130978858E-2</v>
      </c>
      <c r="Q65" s="66">
        <f t="shared" si="57"/>
        <v>-2.4703265130978858E-2</v>
      </c>
      <c r="R65" s="66">
        <f t="shared" si="57"/>
        <v>-2.4703265130978858E-2</v>
      </c>
      <c r="S65" s="66">
        <f t="shared" si="57"/>
        <v>-2.4703265130978858E-2</v>
      </c>
      <c r="T65" s="66">
        <f t="shared" si="57"/>
        <v>-2.4703265130978858E-2</v>
      </c>
      <c r="U65" s="66">
        <f t="shared" si="57"/>
        <v>-2.4703265130978858E-2</v>
      </c>
      <c r="V65" s="66">
        <f t="shared" si="57"/>
        <v>-2.4703265130978858E-2</v>
      </c>
      <c r="W65" s="66">
        <f t="shared" si="57"/>
        <v>-2.4703265130978858E-2</v>
      </c>
      <c r="X65" s="66">
        <f t="shared" si="57"/>
        <v>-2.4703265130978858E-2</v>
      </c>
      <c r="Y65" s="66">
        <f t="shared" si="57"/>
        <v>-2.4703265130978858E-2</v>
      </c>
      <c r="Z65" s="66">
        <f t="shared" si="57"/>
        <v>-2.4703265130978858E-2</v>
      </c>
      <c r="AA65" s="66">
        <f t="shared" si="57"/>
        <v>-2.4703265130978858E-2</v>
      </c>
      <c r="AB65" s="66">
        <f t="shared" si="57"/>
        <v>-2.4703265130978858E-2</v>
      </c>
      <c r="AC65" s="66">
        <f t="shared" si="57"/>
        <v>-2.4703265130978858E-2</v>
      </c>
    </row>
    <row r="66" spans="1:29" x14ac:dyDescent="0.3">
      <c r="A66" s="30" t="str">
        <f t="shared" si="53"/>
        <v>Opex fix (admin, crew, insurance)</v>
      </c>
      <c r="B66" s="66">
        <f>B36/B47</f>
        <v>1.2727272727272727</v>
      </c>
      <c r="C66" s="66">
        <f t="shared" ref="C66:AC66" si="58">C36/C47</f>
        <v>1.2727272727272727</v>
      </c>
      <c r="D66" s="66">
        <f t="shared" si="58"/>
        <v>1.2727272727272727</v>
      </c>
      <c r="E66" s="66">
        <f t="shared" si="58"/>
        <v>1.2727272727272727</v>
      </c>
      <c r="F66" s="66">
        <f t="shared" si="58"/>
        <v>1.2727272727272727</v>
      </c>
      <c r="G66" s="66">
        <f t="shared" si="58"/>
        <v>1.2727272727272727</v>
      </c>
      <c r="H66" s="66">
        <f t="shared" si="58"/>
        <v>1.2727272727272727</v>
      </c>
      <c r="I66" s="66">
        <f t="shared" si="58"/>
        <v>1.2727272727272727</v>
      </c>
      <c r="J66" s="66">
        <f t="shared" si="58"/>
        <v>1.2727272727272727</v>
      </c>
      <c r="K66" s="66">
        <f t="shared" si="58"/>
        <v>1.2727272727272727</v>
      </c>
      <c r="L66" s="66">
        <f t="shared" si="58"/>
        <v>1.2727272727272727</v>
      </c>
      <c r="M66" s="66">
        <f t="shared" si="58"/>
        <v>1.2727272727272727</v>
      </c>
      <c r="N66" s="66">
        <f t="shared" si="58"/>
        <v>1.2727272727272727</v>
      </c>
      <c r="O66" s="66">
        <f t="shared" si="58"/>
        <v>1.2727272727272727</v>
      </c>
      <c r="P66" s="66">
        <f t="shared" si="58"/>
        <v>1.2727272727272727</v>
      </c>
      <c r="Q66" s="66">
        <f t="shared" si="58"/>
        <v>1.2727272727272727</v>
      </c>
      <c r="R66" s="66">
        <f t="shared" si="58"/>
        <v>1.2727272727272727</v>
      </c>
      <c r="S66" s="66">
        <f t="shared" si="58"/>
        <v>1.2727272727272727</v>
      </c>
      <c r="T66" s="66">
        <f t="shared" si="58"/>
        <v>1.2727272727272727</v>
      </c>
      <c r="U66" s="66">
        <f t="shared" si="58"/>
        <v>1.2727272727272727</v>
      </c>
      <c r="V66" s="66">
        <f t="shared" si="58"/>
        <v>1.2727272727272727</v>
      </c>
      <c r="W66" s="66">
        <f t="shared" si="58"/>
        <v>1.2727272727272727</v>
      </c>
      <c r="X66" s="66">
        <f t="shared" si="58"/>
        <v>1.2727272727272727</v>
      </c>
      <c r="Y66" s="66">
        <f t="shared" si="58"/>
        <v>1.2727272727272727</v>
      </c>
      <c r="Z66" s="66">
        <f t="shared" si="58"/>
        <v>1.2727272727272727</v>
      </c>
      <c r="AA66" s="66">
        <f t="shared" si="58"/>
        <v>1.2727272727272727</v>
      </c>
      <c r="AB66" s="66">
        <f t="shared" si="58"/>
        <v>1.2727272727272727</v>
      </c>
      <c r="AC66" s="66">
        <f t="shared" si="58"/>
        <v>1.2727272727272727</v>
      </c>
    </row>
    <row r="67" spans="1:29" x14ac:dyDescent="0.3">
      <c r="A67" s="30" t="str">
        <f t="shared" si="53"/>
        <v>Opex maintenance &amp; repair</v>
      </c>
      <c r="B67" s="66">
        <f>B37/B47</f>
        <v>0.4671672496895895</v>
      </c>
      <c r="C67" s="66">
        <f t="shared" ref="C67:AC67" si="59">C37/C47</f>
        <v>0.4648505994989256</v>
      </c>
      <c r="D67" s="66">
        <f t="shared" si="59"/>
        <v>0.46162961476384218</v>
      </c>
      <c r="E67" s="66">
        <f t="shared" si="59"/>
        <v>0.45721376518932139</v>
      </c>
      <c r="F67" s="66">
        <f t="shared" si="59"/>
        <v>0.45127933654447566</v>
      </c>
      <c r="G67" s="66">
        <f t="shared" si="59"/>
        <v>0.44352189185836205</v>
      </c>
      <c r="H67" s="66">
        <f t="shared" si="59"/>
        <v>0.43375270145453582</v>
      </c>
      <c r="I67" s="66">
        <f t="shared" si="59"/>
        <v>0.42202995339459887</v>
      </c>
      <c r="J67" s="66">
        <f t="shared" si="59"/>
        <v>0.4087741787357812</v>
      </c>
      <c r="K67" s="66">
        <f t="shared" si="59"/>
        <v>0.39478011181554229</v>
      </c>
      <c r="L67" s="66">
        <f t="shared" si="59"/>
        <v>0.38106142195712572</v>
      </c>
      <c r="M67" s="66">
        <f t="shared" si="59"/>
        <v>0.36857301619960903</v>
      </c>
      <c r="N67" s="66">
        <f t="shared" si="59"/>
        <v>0.35795964968889854</v>
      </c>
      <c r="O67" s="66">
        <f t="shared" si="59"/>
        <v>0.34946024386007007</v>
      </c>
      <c r="P67" s="66">
        <f t="shared" si="59"/>
        <v>0.34297481998212359</v>
      </c>
      <c r="Q67" s="66">
        <f t="shared" si="59"/>
        <v>0.33820751330008608</v>
      </c>
      <c r="R67" s="66">
        <f t="shared" si="59"/>
        <v>0.33479895798945486</v>
      </c>
      <c r="S67" s="66">
        <f t="shared" si="59"/>
        <v>0.33241006409095941</v>
      </c>
      <c r="T67" s="66">
        <f t="shared" si="59"/>
        <v>0.33075919157420486</v>
      </c>
      <c r="U67" s="66">
        <f t="shared" si="59"/>
        <v>0.32962941724485667</v>
      </c>
      <c r="V67" s="66">
        <f t="shared" si="59"/>
        <v>0.32886141680932485</v>
      </c>
      <c r="W67" s="66">
        <f t="shared" si="59"/>
        <v>0.32834171946045226</v>
      </c>
      <c r="X67" s="66">
        <f t="shared" si="59"/>
        <v>0.3279911310863281</v>
      </c>
      <c r="Y67" s="66">
        <f t="shared" si="59"/>
        <v>0.32775511673444296</v>
      </c>
      <c r="Z67" s="66">
        <f t="shared" si="59"/>
        <v>0.32759645617667899</v>
      </c>
      <c r="AA67" s="66">
        <f t="shared" si="59"/>
        <v>0.32748989743570639</v>
      </c>
      <c r="AB67" s="66">
        <f t="shared" si="59"/>
        <v>0.3274183764582469</v>
      </c>
      <c r="AC67" s="66">
        <f t="shared" si="59"/>
        <v>0.32737039287308545</v>
      </c>
    </row>
    <row r="68" spans="1:29" x14ac:dyDescent="0.3">
      <c r="A68" s="30" t="str">
        <f t="shared" si="53"/>
        <v>Opex var (mode-fees)</v>
      </c>
      <c r="B68" s="66">
        <f>B38*B47/B47</f>
        <v>0.11</v>
      </c>
      <c r="C68" s="66">
        <f t="shared" ref="C68:AC68" si="60">C38*C47/C47</f>
        <v>0.11</v>
      </c>
      <c r="D68" s="66">
        <f t="shared" si="60"/>
        <v>0.11</v>
      </c>
      <c r="E68" s="66">
        <f t="shared" si="60"/>
        <v>0.11</v>
      </c>
      <c r="F68" s="66">
        <f t="shared" si="60"/>
        <v>0.11</v>
      </c>
      <c r="G68" s="66">
        <f t="shared" si="60"/>
        <v>0.11</v>
      </c>
      <c r="H68" s="66">
        <f t="shared" si="60"/>
        <v>0.11</v>
      </c>
      <c r="I68" s="66">
        <f t="shared" si="60"/>
        <v>0.11</v>
      </c>
      <c r="J68" s="66">
        <f t="shared" si="60"/>
        <v>0.11</v>
      </c>
      <c r="K68" s="66">
        <f t="shared" si="60"/>
        <v>0.11</v>
      </c>
      <c r="L68" s="66">
        <f t="shared" si="60"/>
        <v>0.11</v>
      </c>
      <c r="M68" s="66">
        <f t="shared" si="60"/>
        <v>0.11</v>
      </c>
      <c r="N68" s="66">
        <f t="shared" si="60"/>
        <v>0.11</v>
      </c>
      <c r="O68" s="66">
        <f t="shared" si="60"/>
        <v>0.11</v>
      </c>
      <c r="P68" s="66">
        <f t="shared" si="60"/>
        <v>0.11</v>
      </c>
      <c r="Q68" s="66">
        <f t="shared" si="60"/>
        <v>0.11</v>
      </c>
      <c r="R68" s="66">
        <f t="shared" si="60"/>
        <v>0.11</v>
      </c>
      <c r="S68" s="66">
        <f t="shared" si="60"/>
        <v>0.11</v>
      </c>
      <c r="T68" s="66">
        <f t="shared" si="60"/>
        <v>0.11</v>
      </c>
      <c r="U68" s="66">
        <f t="shared" si="60"/>
        <v>0.11</v>
      </c>
      <c r="V68" s="66">
        <f t="shared" si="60"/>
        <v>0.11</v>
      </c>
      <c r="W68" s="66">
        <f t="shared" si="60"/>
        <v>0.11</v>
      </c>
      <c r="X68" s="66">
        <f t="shared" si="60"/>
        <v>0.11</v>
      </c>
      <c r="Y68" s="66">
        <f t="shared" si="60"/>
        <v>0.11</v>
      </c>
      <c r="Z68" s="66">
        <f t="shared" si="60"/>
        <v>0.11</v>
      </c>
      <c r="AA68" s="66">
        <f t="shared" si="60"/>
        <v>0.11</v>
      </c>
      <c r="AB68" s="66">
        <f t="shared" si="60"/>
        <v>0.11</v>
      </c>
      <c r="AC68" s="66">
        <f t="shared" si="60"/>
        <v>0.11</v>
      </c>
    </row>
    <row r="69" spans="1:29" x14ac:dyDescent="0.3">
      <c r="A69" s="30" t="str">
        <f t="shared" si="53"/>
        <v>Fuel Cost</v>
      </c>
      <c r="B69" s="66">
        <f>B39*B40*B47/B47</f>
        <v>0.53742451917328127</v>
      </c>
      <c r="C69" s="66">
        <f t="shared" ref="C69:AC69" si="61">C39*C40*C47/C47</f>
        <v>0.53328076646891065</v>
      </c>
      <c r="D69" s="66">
        <f t="shared" si="61"/>
        <v>0.52749757618020354</v>
      </c>
      <c r="E69" s="66">
        <f t="shared" si="61"/>
        <v>0.51952238110723781</v>
      </c>
      <c r="F69" s="66">
        <f t="shared" si="61"/>
        <v>0.50870752427151578</v>
      </c>
      <c r="G69" s="66">
        <f t="shared" si="61"/>
        <v>0.49437524243151554</v>
      </c>
      <c r="H69" s="66">
        <f t="shared" si="61"/>
        <v>0.47595082702243874</v>
      </c>
      <c r="I69" s="66">
        <f t="shared" si="61"/>
        <v>0.45316133383767676</v>
      </c>
      <c r="J69" s="66">
        <f t="shared" si="61"/>
        <v>0.42624571522440885</v>
      </c>
      <c r="K69" s="66">
        <f t="shared" si="61"/>
        <v>0.39607146853505659</v>
      </c>
      <c r="L69" s="66">
        <f t="shared" si="61"/>
        <v>0.36406766567256948</v>
      </c>
      <c r="M69" s="66">
        <f t="shared" si="61"/>
        <v>0.33198453763529034</v>
      </c>
      <c r="N69" s="66">
        <f t="shared" si="61"/>
        <v>0.30158014608597056</v>
      </c>
      <c r="O69" s="66">
        <f t="shared" si="61"/>
        <v>0.27432626644499841</v>
      </c>
      <c r="P69" s="66">
        <f t="shared" si="61"/>
        <v>0.25118415888048851</v>
      </c>
      <c r="Q69" s="66">
        <f t="shared" si="61"/>
        <v>0.23250375572440149</v>
      </c>
      <c r="R69" s="66">
        <f t="shared" si="61"/>
        <v>0.218084699087816</v>
      </c>
      <c r="S69" s="66">
        <f t="shared" si="61"/>
        <v>0.20736156580363682</v>
      </c>
      <c r="T69" s="66">
        <f t="shared" si="61"/>
        <v>0.19961742692031842</v>
      </c>
      <c r="U69" s="66">
        <f t="shared" si="61"/>
        <v>0.19414685627985126</v>
      </c>
      <c r="V69" s="66">
        <f t="shared" si="61"/>
        <v>0.19034400139850996</v>
      </c>
      <c r="W69" s="66">
        <f t="shared" si="61"/>
        <v>0.18773045465245583</v>
      </c>
      <c r="X69" s="66">
        <f t="shared" si="61"/>
        <v>0.18594850776631369</v>
      </c>
      <c r="Y69" s="66">
        <f t="shared" si="61"/>
        <v>0.1847401945997752</v>
      </c>
      <c r="Z69" s="66">
        <f t="shared" si="61"/>
        <v>0.18392391347296869</v>
      </c>
      <c r="AA69" s="66">
        <f t="shared" si="61"/>
        <v>0.18337386928405744</v>
      </c>
      <c r="AB69" s="66">
        <f t="shared" si="61"/>
        <v>0.18300386199689941</v>
      </c>
      <c r="AC69" s="66">
        <f t="shared" si="61"/>
        <v>0.18275525078808499</v>
      </c>
    </row>
    <row r="70" spans="1:29" ht="15" thickBot="1" x14ac:dyDescent="0.35">
      <c r="A70" s="59" t="str">
        <f t="shared" ref="A70" si="62">A58</f>
        <v>Emission Cost</v>
      </c>
      <c r="B70" s="66">
        <f>B41</f>
        <v>9.1045502411311718E-3</v>
      </c>
      <c r="C70" s="66">
        <f t="shared" ref="C70:AC70" si="63">C41</f>
        <v>9.095880490962575E-3</v>
      </c>
      <c r="D70" s="66">
        <f t="shared" si="63"/>
        <v>9.0834699366993434E-3</v>
      </c>
      <c r="E70" s="66">
        <f t="shared" si="63"/>
        <v>9.0657157660766E-3</v>
      </c>
      <c r="F70" s="66">
        <f t="shared" si="63"/>
        <v>9.040341138604446E-3</v>
      </c>
      <c r="G70" s="66">
        <f t="shared" si="63"/>
        <v>9.0041260615172855E-3</v>
      </c>
      <c r="H70" s="66">
        <f t="shared" si="63"/>
        <v>8.9525469072142452E-3</v>
      </c>
      <c r="I70" s="66">
        <f t="shared" si="63"/>
        <v>8.8793119020679299E-3</v>
      </c>
      <c r="J70" s="66">
        <f t="shared" si="63"/>
        <v>8.7758012597282838E-3</v>
      </c>
      <c r="K70" s="66">
        <f t="shared" si="63"/>
        <v>8.630474185370102E-3</v>
      </c>
      <c r="L70" s="66">
        <f t="shared" si="63"/>
        <v>8.4284167966506146E-3</v>
      </c>
      <c r="M70" s="66">
        <f t="shared" si="63"/>
        <v>8.1514036756981448E-3</v>
      </c>
      <c r="N70" s="66">
        <f t="shared" si="63"/>
        <v>7.7791277246640009E-3</v>
      </c>
      <c r="O70" s="66">
        <f t="shared" si="63"/>
        <v>7.2924911382377788E-3</v>
      </c>
      <c r="P70" s="66">
        <f t="shared" si="63"/>
        <v>6.6796546098928378E-3</v>
      </c>
      <c r="Q70" s="66">
        <f t="shared" si="63"/>
        <v>5.9442683673542078E-3</v>
      </c>
      <c r="R70" s="66">
        <f t="shared" si="63"/>
        <v>5.1127129787673555E-3</v>
      </c>
      <c r="S70" s="66">
        <f t="shared" si="63"/>
        <v>4.2348433668221242E-3</v>
      </c>
      <c r="T70" s="66">
        <f t="shared" si="63"/>
        <v>3.3742485868309214E-3</v>
      </c>
      <c r="U70" s="66">
        <f t="shared" si="63"/>
        <v>2.5908314445053909E-3</v>
      </c>
      <c r="V70" s="66">
        <f t="shared" si="63"/>
        <v>1.9250384342751033E-3</v>
      </c>
      <c r="W70" s="66">
        <f t="shared" si="63"/>
        <v>1.3918574698531276E-3</v>
      </c>
      <c r="X70" s="66">
        <f t="shared" si="63"/>
        <v>9.8501672973924301E-4</v>
      </c>
      <c r="Y70" s="66">
        <f t="shared" si="63"/>
        <v>6.8595615708101458E-4</v>
      </c>
      <c r="Z70" s="66">
        <f t="shared" si="63"/>
        <v>4.7213217403930738E-4</v>
      </c>
      <c r="AA70" s="66">
        <f t="shared" si="63"/>
        <v>3.2227313937815624E-4</v>
      </c>
      <c r="AB70" s="66">
        <f t="shared" si="63"/>
        <v>2.1871133537117345E-4</v>
      </c>
      <c r="AC70" s="66">
        <f t="shared" si="63"/>
        <v>1.4783883220655276E-4</v>
      </c>
    </row>
    <row r="71" spans="1:29" ht="15" thickBot="1" x14ac:dyDescent="0.35">
      <c r="A71" s="31" t="s">
        <v>63</v>
      </c>
      <c r="B71" s="76">
        <f>B62+B63+B64-B65+B66+B67+B68+B69+B70</f>
        <v>3.4664565871752959</v>
      </c>
      <c r="C71" s="76">
        <f t="shared" ref="C71:AC71" si="64">C62+C63+C64-C65+C66+C67+C68+C69+C70</f>
        <v>3.44994976269968</v>
      </c>
      <c r="D71" s="76">
        <f t="shared" si="64"/>
        <v>3.4269770582606029</v>
      </c>
      <c r="E71" s="76">
        <f t="shared" si="64"/>
        <v>3.3954349425834756</v>
      </c>
      <c r="F71" s="76">
        <f t="shared" si="64"/>
        <v>3.3529471548602614</v>
      </c>
      <c r="G71" s="76">
        <f t="shared" si="64"/>
        <v>3.2972091880530932</v>
      </c>
      <c r="H71" s="76">
        <f t="shared" si="64"/>
        <v>3.2266353385111275</v>
      </c>
      <c r="I71" s="76">
        <f t="shared" si="64"/>
        <v>3.1412566798160779</v>
      </c>
      <c r="J71" s="76">
        <f t="shared" si="64"/>
        <v>3.0435461833891009</v>
      </c>
      <c r="K71" s="76">
        <f t="shared" si="64"/>
        <v>2.9385980233419575</v>
      </c>
      <c r="L71" s="76">
        <f t="shared" si="64"/>
        <v>2.8332321277965198</v>
      </c>
      <c r="M71" s="76">
        <f t="shared" si="64"/>
        <v>2.7342729006163782</v>
      </c>
      <c r="N71" s="76">
        <f t="shared" si="64"/>
        <v>2.6468964938896282</v>
      </c>
      <c r="O71" s="76">
        <f t="shared" si="64"/>
        <v>2.5738297229808773</v>
      </c>
      <c r="P71" s="76">
        <f t="shared" si="64"/>
        <v>2.515488834843409</v>
      </c>
      <c r="Q71" s="76">
        <f t="shared" si="64"/>
        <v>2.4706496027752696</v>
      </c>
      <c r="R71" s="76">
        <f t="shared" si="64"/>
        <v>2.4372215970338065</v>
      </c>
      <c r="S71" s="76">
        <f t="shared" si="64"/>
        <v>2.4128809255737145</v>
      </c>
      <c r="T71" s="76">
        <f t="shared" si="64"/>
        <v>2.3954722978914771</v>
      </c>
      <c r="U71" s="76">
        <f t="shared" si="64"/>
        <v>2.3831933667166654</v>
      </c>
      <c r="V71" s="76">
        <f t="shared" si="64"/>
        <v>2.3746290697835764</v>
      </c>
      <c r="W71" s="76">
        <f t="shared" si="64"/>
        <v>2.3687108619406509</v>
      </c>
      <c r="X71" s="76">
        <f t="shared" si="64"/>
        <v>2.3646524309235626</v>
      </c>
      <c r="Y71" s="76">
        <f t="shared" si="64"/>
        <v>2.3618864225412572</v>
      </c>
      <c r="Z71" s="76">
        <f t="shared" si="64"/>
        <v>2.3600102007740893</v>
      </c>
      <c r="AA71" s="76">
        <f t="shared" si="64"/>
        <v>2.3587420332825055</v>
      </c>
      <c r="AB71" s="76">
        <f t="shared" si="64"/>
        <v>2.3578870518779773</v>
      </c>
      <c r="AC71" s="76">
        <f t="shared" si="64"/>
        <v>2.357311677784323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5">A50</f>
        <v>Capex vehicle</v>
      </c>
      <c r="B74" s="65">
        <f>((1+B35)^B42)*B35/(((1+B35)^B42)-1)*(B31)/B47/(B44)</f>
        <v>4.4623597015022408E-2</v>
      </c>
      <c r="C74" s="65">
        <f t="shared" ref="C74:AC74" si="66">((1+C35)^C42)*C35/(((1+C35)^C42)-1)*(C31)/C47/(C44)</f>
        <v>4.4185246877015964E-2</v>
      </c>
      <c r="D74" s="65">
        <f t="shared" si="66"/>
        <v>4.3575781059159428E-2</v>
      </c>
      <c r="E74" s="65">
        <f t="shared" si="66"/>
        <v>4.2740226223039704E-2</v>
      </c>
      <c r="F74" s="65">
        <f t="shared" si="66"/>
        <v>4.1617330057731279E-2</v>
      </c>
      <c r="G74" s="65">
        <f t="shared" si="66"/>
        <v>4.0149487842087668E-2</v>
      </c>
      <c r="H74" s="65">
        <f t="shared" si="66"/>
        <v>3.8300988669020347E-2</v>
      </c>
      <c r="I74" s="65">
        <f t="shared" si="66"/>
        <v>3.6082842722516634E-2</v>
      </c>
      <c r="J74" s="65">
        <f t="shared" si="66"/>
        <v>3.3574621725452836E-2</v>
      </c>
      <c r="K74" s="65">
        <f t="shared" si="66"/>
        <v>3.0926703109824372E-2</v>
      </c>
      <c r="L74" s="65">
        <f t="shared" si="66"/>
        <v>2.8330890579758631E-2</v>
      </c>
      <c r="M74" s="65">
        <f t="shared" si="66"/>
        <v>2.5967869002591151E-2</v>
      </c>
      <c r="N74" s="65">
        <f t="shared" si="66"/>
        <v>2.3959637162742395E-2</v>
      </c>
      <c r="O74" s="65">
        <f t="shared" si="66"/>
        <v>2.2351403112968987E-2</v>
      </c>
      <c r="P74" s="65">
        <f t="shared" si="66"/>
        <v>2.1124249154471083E-2</v>
      </c>
      <c r="Q74" s="65">
        <f t="shared" si="66"/>
        <v>2.0222192577085372E-2</v>
      </c>
      <c r="R74" s="65">
        <f t="shared" si="66"/>
        <v>1.957723517400433E-2</v>
      </c>
      <c r="S74" s="65">
        <f t="shared" si="66"/>
        <v>1.9125215281528399E-2</v>
      </c>
      <c r="T74" s="65">
        <f t="shared" si="66"/>
        <v>1.8812841752513632E-2</v>
      </c>
      <c r="U74" s="65">
        <f t="shared" si="66"/>
        <v>1.8599068980438803E-2</v>
      </c>
      <c r="V74" s="65">
        <f t="shared" si="66"/>
        <v>1.8453750063383009E-2</v>
      </c>
      <c r="W74" s="65">
        <f t="shared" si="66"/>
        <v>1.8355414369233766E-2</v>
      </c>
      <c r="X74" s="65">
        <f t="shared" si="66"/>
        <v>1.8289077007296217E-2</v>
      </c>
      <c r="Y74" s="65">
        <f t="shared" si="66"/>
        <v>1.8244419024775908E-2</v>
      </c>
      <c r="Z74" s="65">
        <f t="shared" si="66"/>
        <v>1.8214397713111192E-2</v>
      </c>
      <c r="AA74" s="65">
        <f t="shared" si="66"/>
        <v>1.8194234963033781E-2</v>
      </c>
      <c r="AB74" s="65">
        <f t="shared" si="66"/>
        <v>1.8180701961605233E-2</v>
      </c>
      <c r="AC74" s="65">
        <f t="shared" si="66"/>
        <v>1.8171622640410206E-2</v>
      </c>
    </row>
    <row r="75" spans="1:29" x14ac:dyDescent="0.3">
      <c r="A75" s="30" t="str">
        <f t="shared" si="65"/>
        <v>Residual value (vehicle)</v>
      </c>
      <c r="B75" s="68">
        <f>((1+B35)^B42)*B35/(((1+B35)^B42)-1)*(B32)/B47/(B44)</f>
        <v>-6.7629302274573042E-3</v>
      </c>
      <c r="C75" s="68">
        <f t="shared" ref="C75:AC75" si="67">((1+C35)^C42)*C35/(((1+C35)^C42)-1)*(C32)/C47/(C44)</f>
        <v>-6.7260901626674018E-3</v>
      </c>
      <c r="D75" s="68">
        <f t="shared" si="67"/>
        <v>-6.6748690992517986E-3</v>
      </c>
      <c r="E75" s="68">
        <f t="shared" si="67"/>
        <v>-6.6046469374928017E-3</v>
      </c>
      <c r="F75" s="68">
        <f t="shared" si="67"/>
        <v>-6.5102758767913481E-3</v>
      </c>
      <c r="G75" s="68">
        <f t="shared" si="67"/>
        <v>-6.3869146693064059E-3</v>
      </c>
      <c r="H75" s="68">
        <f t="shared" si="67"/>
        <v>-6.2315620792294723E-3</v>
      </c>
      <c r="I75" s="68">
        <f t="shared" si="67"/>
        <v>-6.045143430533949E-3</v>
      </c>
      <c r="J75" s="68">
        <f t="shared" si="67"/>
        <v>-5.8343461339722021E-3</v>
      </c>
      <c r="K75" s="68">
        <f t="shared" si="67"/>
        <v>-5.6118082928715129E-3</v>
      </c>
      <c r="L75" s="68">
        <f t="shared" si="67"/>
        <v>-5.3936495802383291E-3</v>
      </c>
      <c r="M75" s="68">
        <f t="shared" si="67"/>
        <v>-5.1950552136465931E-3</v>
      </c>
      <c r="N75" s="68">
        <f t="shared" si="67"/>
        <v>-5.0262782824252615E-3</v>
      </c>
      <c r="O75" s="68">
        <f t="shared" si="67"/>
        <v>-4.8911181867528162E-3</v>
      </c>
      <c r="P75" s="68">
        <f t="shared" si="67"/>
        <v>-4.7879850349216088E-3</v>
      </c>
      <c r="Q75" s="68">
        <f t="shared" si="67"/>
        <v>-4.7121738970349377E-3</v>
      </c>
      <c r="R75" s="68">
        <f t="shared" si="67"/>
        <v>-4.657970030180255E-3</v>
      </c>
      <c r="S75" s="68">
        <f t="shared" si="67"/>
        <v>-4.6199811243232344E-3</v>
      </c>
      <c r="T75" s="68">
        <f t="shared" si="67"/>
        <v>-4.5937284553953968E-3</v>
      </c>
      <c r="U75" s="68">
        <f t="shared" si="67"/>
        <v>-4.5757624458274068E-3</v>
      </c>
      <c r="V75" s="68">
        <f t="shared" si="67"/>
        <v>-4.563549473011015E-3</v>
      </c>
      <c r="W75" s="68">
        <f t="shared" si="67"/>
        <v>-4.5552850902048549E-3</v>
      </c>
      <c r="X75" s="68">
        <f t="shared" si="67"/>
        <v>-4.5497099289356366E-3</v>
      </c>
      <c r="Y75" s="68">
        <f t="shared" si="67"/>
        <v>-4.5459567580642488E-3</v>
      </c>
      <c r="Z75" s="68">
        <f t="shared" si="67"/>
        <v>-4.5434336903817877E-3</v>
      </c>
      <c r="AA75" s="68">
        <f t="shared" si="67"/>
        <v>-4.5417391613859206E-3</v>
      </c>
      <c r="AB75" s="68">
        <f t="shared" si="67"/>
        <v>-4.540601813393521E-3</v>
      </c>
      <c r="AC75" s="68">
        <f t="shared" si="67"/>
        <v>-4.5398387640590461E-3</v>
      </c>
    </row>
    <row r="76" spans="1:29" x14ac:dyDescent="0.3">
      <c r="A76" s="30" t="str">
        <f t="shared" si="65"/>
        <v>Capex costumization</v>
      </c>
      <c r="B76" s="66">
        <f>((1+B35)^B43)*B35/(((1+B35)^B43)-1)*(B33)/B47/(B44)</f>
        <v>3.9525224209566176E-3</v>
      </c>
      <c r="C76" s="66">
        <f t="shared" ref="C76:AC76" si="68">((1+C35)^C43)*C35/(((1+C35)^C43)-1)*(C33)/C47/(C44)</f>
        <v>3.9525224209566176E-3</v>
      </c>
      <c r="D76" s="66">
        <f t="shared" si="68"/>
        <v>3.9525224209566176E-3</v>
      </c>
      <c r="E76" s="66">
        <f t="shared" si="68"/>
        <v>3.9525224209566176E-3</v>
      </c>
      <c r="F76" s="66">
        <f t="shared" si="68"/>
        <v>3.9525224209566176E-3</v>
      </c>
      <c r="G76" s="66">
        <f t="shared" si="68"/>
        <v>3.9525224209566176E-3</v>
      </c>
      <c r="H76" s="66">
        <f t="shared" si="68"/>
        <v>3.9525224209566176E-3</v>
      </c>
      <c r="I76" s="66">
        <f t="shared" si="68"/>
        <v>3.9525224209566176E-3</v>
      </c>
      <c r="J76" s="66">
        <f t="shared" si="68"/>
        <v>3.9525224209566176E-3</v>
      </c>
      <c r="K76" s="66">
        <f t="shared" si="68"/>
        <v>3.9525224209566176E-3</v>
      </c>
      <c r="L76" s="66">
        <f t="shared" si="68"/>
        <v>3.9525224209566176E-3</v>
      </c>
      <c r="M76" s="66">
        <f t="shared" si="68"/>
        <v>3.9525224209566176E-3</v>
      </c>
      <c r="N76" s="66">
        <f t="shared" si="68"/>
        <v>3.9525224209566176E-3</v>
      </c>
      <c r="O76" s="66">
        <f t="shared" si="68"/>
        <v>3.9525224209566176E-3</v>
      </c>
      <c r="P76" s="66">
        <f t="shared" si="68"/>
        <v>3.9525224209566176E-3</v>
      </c>
      <c r="Q76" s="66">
        <f t="shared" si="68"/>
        <v>3.9525224209566176E-3</v>
      </c>
      <c r="R76" s="66">
        <f t="shared" si="68"/>
        <v>3.9525224209566176E-3</v>
      </c>
      <c r="S76" s="66">
        <f t="shared" si="68"/>
        <v>3.9525224209566176E-3</v>
      </c>
      <c r="T76" s="66">
        <f t="shared" si="68"/>
        <v>3.9525224209566176E-3</v>
      </c>
      <c r="U76" s="66">
        <f t="shared" si="68"/>
        <v>3.9525224209566176E-3</v>
      </c>
      <c r="V76" s="66">
        <f t="shared" si="68"/>
        <v>3.9525224209566176E-3</v>
      </c>
      <c r="W76" s="66">
        <f t="shared" si="68"/>
        <v>3.9525224209566176E-3</v>
      </c>
      <c r="X76" s="66">
        <f t="shared" si="68"/>
        <v>3.9525224209566176E-3</v>
      </c>
      <c r="Y76" s="66">
        <f t="shared" si="68"/>
        <v>3.9525224209566176E-3</v>
      </c>
      <c r="Z76" s="66">
        <f t="shared" si="68"/>
        <v>3.9525224209566176E-3</v>
      </c>
      <c r="AA76" s="66">
        <f t="shared" si="68"/>
        <v>3.9525224209566176E-3</v>
      </c>
      <c r="AB76" s="66">
        <f t="shared" si="68"/>
        <v>3.9525224209566176E-3</v>
      </c>
      <c r="AC76" s="66">
        <f t="shared" si="68"/>
        <v>3.9525224209566176E-3</v>
      </c>
    </row>
    <row r="77" spans="1:29" x14ac:dyDescent="0.3">
      <c r="A77" s="30" t="str">
        <f t="shared" si="65"/>
        <v>Residual value (costumization)</v>
      </c>
      <c r="B77" s="69">
        <f>((1+B35)^B43)*B35/(((1+B35)^B43)-1)*(B34)/B47/(B44)</f>
        <v>-9.8813060523915441E-4</v>
      </c>
      <c r="C77" s="69">
        <f t="shared" ref="C77:AC77" si="69">((1+C35)^C43)*C35/(((1+C35)^C43)-1)*(C34)/C47/(C44)</f>
        <v>-9.8813060523915441E-4</v>
      </c>
      <c r="D77" s="69">
        <f t="shared" si="69"/>
        <v>-9.8813060523915441E-4</v>
      </c>
      <c r="E77" s="69">
        <f t="shared" si="69"/>
        <v>-9.8813060523915441E-4</v>
      </c>
      <c r="F77" s="69">
        <f t="shared" si="69"/>
        <v>-9.8813060523915441E-4</v>
      </c>
      <c r="G77" s="69">
        <f t="shared" si="69"/>
        <v>-9.8813060523915441E-4</v>
      </c>
      <c r="H77" s="69">
        <f t="shared" si="69"/>
        <v>-9.8813060523915441E-4</v>
      </c>
      <c r="I77" s="69">
        <f t="shared" si="69"/>
        <v>-9.8813060523915441E-4</v>
      </c>
      <c r="J77" s="69">
        <f t="shared" si="69"/>
        <v>-9.8813060523915441E-4</v>
      </c>
      <c r="K77" s="69">
        <f t="shared" si="69"/>
        <v>-9.8813060523915441E-4</v>
      </c>
      <c r="L77" s="69">
        <f t="shared" si="69"/>
        <v>-9.8813060523915441E-4</v>
      </c>
      <c r="M77" s="69">
        <f t="shared" si="69"/>
        <v>-9.8813060523915441E-4</v>
      </c>
      <c r="N77" s="69">
        <f t="shared" si="69"/>
        <v>-9.8813060523915441E-4</v>
      </c>
      <c r="O77" s="69">
        <f t="shared" si="69"/>
        <v>-9.8813060523915441E-4</v>
      </c>
      <c r="P77" s="69">
        <f t="shared" si="69"/>
        <v>-9.8813060523915441E-4</v>
      </c>
      <c r="Q77" s="69">
        <f t="shared" si="69"/>
        <v>-9.8813060523915441E-4</v>
      </c>
      <c r="R77" s="69">
        <f t="shared" si="69"/>
        <v>-9.8813060523915441E-4</v>
      </c>
      <c r="S77" s="69">
        <f t="shared" si="69"/>
        <v>-9.8813060523915441E-4</v>
      </c>
      <c r="T77" s="69">
        <f t="shared" si="69"/>
        <v>-9.8813060523915441E-4</v>
      </c>
      <c r="U77" s="69">
        <f t="shared" si="69"/>
        <v>-9.8813060523915441E-4</v>
      </c>
      <c r="V77" s="69">
        <f t="shared" si="69"/>
        <v>-9.8813060523915441E-4</v>
      </c>
      <c r="W77" s="69">
        <f t="shared" si="69"/>
        <v>-9.8813060523915441E-4</v>
      </c>
      <c r="X77" s="69">
        <f t="shared" si="69"/>
        <v>-9.8813060523915441E-4</v>
      </c>
      <c r="Y77" s="69">
        <f t="shared" si="69"/>
        <v>-9.8813060523915441E-4</v>
      </c>
      <c r="Z77" s="69">
        <f t="shared" si="69"/>
        <v>-9.8813060523915441E-4</v>
      </c>
      <c r="AA77" s="69">
        <f t="shared" si="69"/>
        <v>-9.8813060523915441E-4</v>
      </c>
      <c r="AB77" s="69">
        <f t="shared" si="69"/>
        <v>-9.8813060523915441E-4</v>
      </c>
      <c r="AC77" s="69">
        <f t="shared" si="69"/>
        <v>-9.8813060523915441E-4</v>
      </c>
    </row>
    <row r="78" spans="1:29" x14ac:dyDescent="0.3">
      <c r="A78" s="30" t="str">
        <f t="shared" si="65"/>
        <v>Opex fix (admin, crew, insurance)</v>
      </c>
      <c r="B78" s="66">
        <f>B36/B47/(B44)</f>
        <v>5.0909090909090911E-2</v>
      </c>
      <c r="C78" s="66">
        <f t="shared" ref="C78:AC78" si="70">C36/C47/(C44)</f>
        <v>5.0909090909090911E-2</v>
      </c>
      <c r="D78" s="66">
        <f t="shared" si="70"/>
        <v>5.0909090909090911E-2</v>
      </c>
      <c r="E78" s="66">
        <f t="shared" si="70"/>
        <v>5.0909090909090911E-2</v>
      </c>
      <c r="F78" s="66">
        <f t="shared" si="70"/>
        <v>5.0909090909090911E-2</v>
      </c>
      <c r="G78" s="66">
        <f t="shared" si="70"/>
        <v>5.0909090909090911E-2</v>
      </c>
      <c r="H78" s="66">
        <f t="shared" si="70"/>
        <v>5.0909090909090911E-2</v>
      </c>
      <c r="I78" s="66">
        <f t="shared" si="70"/>
        <v>5.0909090909090911E-2</v>
      </c>
      <c r="J78" s="66">
        <f t="shared" si="70"/>
        <v>5.0909090909090911E-2</v>
      </c>
      <c r="K78" s="66">
        <f t="shared" si="70"/>
        <v>5.0909090909090911E-2</v>
      </c>
      <c r="L78" s="66">
        <f t="shared" si="70"/>
        <v>5.0909090909090911E-2</v>
      </c>
      <c r="M78" s="66">
        <f t="shared" si="70"/>
        <v>5.0909090909090911E-2</v>
      </c>
      <c r="N78" s="66">
        <f t="shared" si="70"/>
        <v>5.0909090909090911E-2</v>
      </c>
      <c r="O78" s="66">
        <f t="shared" si="70"/>
        <v>5.0909090909090911E-2</v>
      </c>
      <c r="P78" s="66">
        <f t="shared" si="70"/>
        <v>5.0909090909090911E-2</v>
      </c>
      <c r="Q78" s="66">
        <f t="shared" si="70"/>
        <v>5.0909090909090911E-2</v>
      </c>
      <c r="R78" s="66">
        <f t="shared" si="70"/>
        <v>5.0909090909090911E-2</v>
      </c>
      <c r="S78" s="66">
        <f t="shared" si="70"/>
        <v>5.0909090909090911E-2</v>
      </c>
      <c r="T78" s="66">
        <f t="shared" si="70"/>
        <v>5.0909090909090911E-2</v>
      </c>
      <c r="U78" s="66">
        <f t="shared" si="70"/>
        <v>5.0909090909090911E-2</v>
      </c>
      <c r="V78" s="66">
        <f t="shared" si="70"/>
        <v>5.0909090909090911E-2</v>
      </c>
      <c r="W78" s="66">
        <f t="shared" si="70"/>
        <v>5.0909090909090911E-2</v>
      </c>
      <c r="X78" s="66">
        <f t="shared" si="70"/>
        <v>5.0909090909090911E-2</v>
      </c>
      <c r="Y78" s="66">
        <f t="shared" si="70"/>
        <v>5.0909090909090911E-2</v>
      </c>
      <c r="Z78" s="66">
        <f t="shared" si="70"/>
        <v>5.0909090909090911E-2</v>
      </c>
      <c r="AA78" s="66">
        <f t="shared" si="70"/>
        <v>5.0909090909090911E-2</v>
      </c>
      <c r="AB78" s="66">
        <f t="shared" si="70"/>
        <v>5.0909090909090911E-2</v>
      </c>
      <c r="AC78" s="66">
        <f t="shared" si="70"/>
        <v>5.0909090909090911E-2</v>
      </c>
    </row>
    <row r="79" spans="1:29" x14ac:dyDescent="0.3">
      <c r="A79" s="30" t="str">
        <f t="shared" si="65"/>
        <v>Opex maintenance &amp; repair</v>
      </c>
      <c r="B79" s="66">
        <f>B37/B47/(B44)</f>
        <v>1.868668998758358E-2</v>
      </c>
      <c r="C79" s="66">
        <f t="shared" ref="C79:AC79" si="71">C37/C47/(C44)</f>
        <v>1.8594023979957023E-2</v>
      </c>
      <c r="D79" s="66">
        <f t="shared" si="71"/>
        <v>1.8465184590553688E-2</v>
      </c>
      <c r="E79" s="66">
        <f t="shared" si="71"/>
        <v>1.8288550607572854E-2</v>
      </c>
      <c r="F79" s="66">
        <f t="shared" si="71"/>
        <v>1.8051173461779025E-2</v>
      </c>
      <c r="G79" s="66">
        <f t="shared" si="71"/>
        <v>1.774087567433448E-2</v>
      </c>
      <c r="H79" s="66">
        <f t="shared" si="71"/>
        <v>1.7350108058181431E-2</v>
      </c>
      <c r="I79" s="66">
        <f t="shared" si="71"/>
        <v>1.6881198135783954E-2</v>
      </c>
      <c r="J79" s="66">
        <f t="shared" si="71"/>
        <v>1.635096714943125E-2</v>
      </c>
      <c r="K79" s="66">
        <f t="shared" si="71"/>
        <v>1.5791204472621691E-2</v>
      </c>
      <c r="L79" s="66">
        <f t="shared" si="71"/>
        <v>1.5242456878285029E-2</v>
      </c>
      <c r="M79" s="66">
        <f t="shared" si="71"/>
        <v>1.474292064798436E-2</v>
      </c>
      <c r="N79" s="66">
        <f t="shared" si="71"/>
        <v>1.4318385987555941E-2</v>
      </c>
      <c r="O79" s="66">
        <f t="shared" si="71"/>
        <v>1.3978409754402803E-2</v>
      </c>
      <c r="P79" s="66">
        <f t="shared" si="71"/>
        <v>1.3718992799284943E-2</v>
      </c>
      <c r="Q79" s="66">
        <f t="shared" si="71"/>
        <v>1.3528300532003443E-2</v>
      </c>
      <c r="R79" s="66">
        <f t="shared" si="71"/>
        <v>1.3391958319578194E-2</v>
      </c>
      <c r="S79" s="66">
        <f t="shared" si="71"/>
        <v>1.3296402563638376E-2</v>
      </c>
      <c r="T79" s="66">
        <f t="shared" si="71"/>
        <v>1.3230367662968194E-2</v>
      </c>
      <c r="U79" s="66">
        <f t="shared" si="71"/>
        <v>1.3185176689794267E-2</v>
      </c>
      <c r="V79" s="66">
        <f t="shared" si="71"/>
        <v>1.3154456672372994E-2</v>
      </c>
      <c r="W79" s="66">
        <f t="shared" si="71"/>
        <v>1.313366877841809E-2</v>
      </c>
      <c r="X79" s="66">
        <f t="shared" si="71"/>
        <v>1.3119645243453125E-2</v>
      </c>
      <c r="Y79" s="66">
        <f t="shared" si="71"/>
        <v>1.3110204669377718E-2</v>
      </c>
      <c r="Z79" s="66">
        <f t="shared" si="71"/>
        <v>1.310385824706716E-2</v>
      </c>
      <c r="AA79" s="66">
        <f t="shared" si="71"/>
        <v>1.3099595897428255E-2</v>
      </c>
      <c r="AB79" s="66">
        <f t="shared" si="71"/>
        <v>1.3096735058329876E-2</v>
      </c>
      <c r="AC79" s="66">
        <f t="shared" si="71"/>
        <v>1.3094815714923418E-2</v>
      </c>
    </row>
    <row r="80" spans="1:29" x14ac:dyDescent="0.3">
      <c r="A80" s="30" t="str">
        <f t="shared" si="65"/>
        <v>Opex var (mode-fees)</v>
      </c>
      <c r="B80" s="66">
        <f>B38*B47/B47/(B44)</f>
        <v>4.4000000000000003E-3</v>
      </c>
      <c r="C80" s="66">
        <f t="shared" ref="C80:AC80" si="72">C38*C47/C47/(C44)</f>
        <v>4.4000000000000003E-3</v>
      </c>
      <c r="D80" s="66">
        <f t="shared" si="72"/>
        <v>4.4000000000000003E-3</v>
      </c>
      <c r="E80" s="66">
        <f t="shared" si="72"/>
        <v>4.4000000000000003E-3</v>
      </c>
      <c r="F80" s="66">
        <f t="shared" si="72"/>
        <v>4.4000000000000003E-3</v>
      </c>
      <c r="G80" s="66">
        <f t="shared" si="72"/>
        <v>4.4000000000000003E-3</v>
      </c>
      <c r="H80" s="66">
        <f t="shared" si="72"/>
        <v>4.4000000000000003E-3</v>
      </c>
      <c r="I80" s="66">
        <f t="shared" si="72"/>
        <v>4.4000000000000003E-3</v>
      </c>
      <c r="J80" s="66">
        <f t="shared" si="72"/>
        <v>4.4000000000000003E-3</v>
      </c>
      <c r="K80" s="66">
        <f t="shared" si="72"/>
        <v>4.4000000000000003E-3</v>
      </c>
      <c r="L80" s="66">
        <f t="shared" si="72"/>
        <v>4.4000000000000003E-3</v>
      </c>
      <c r="M80" s="66">
        <f t="shared" si="72"/>
        <v>4.4000000000000003E-3</v>
      </c>
      <c r="N80" s="66">
        <f t="shared" si="72"/>
        <v>4.4000000000000003E-3</v>
      </c>
      <c r="O80" s="66">
        <f t="shared" si="72"/>
        <v>4.4000000000000003E-3</v>
      </c>
      <c r="P80" s="66">
        <f t="shared" si="72"/>
        <v>4.4000000000000003E-3</v>
      </c>
      <c r="Q80" s="66">
        <f t="shared" si="72"/>
        <v>4.4000000000000003E-3</v>
      </c>
      <c r="R80" s="66">
        <f t="shared" si="72"/>
        <v>4.4000000000000003E-3</v>
      </c>
      <c r="S80" s="66">
        <f t="shared" si="72"/>
        <v>4.4000000000000003E-3</v>
      </c>
      <c r="T80" s="66">
        <f t="shared" si="72"/>
        <v>4.4000000000000003E-3</v>
      </c>
      <c r="U80" s="66">
        <f t="shared" si="72"/>
        <v>4.4000000000000003E-3</v>
      </c>
      <c r="V80" s="66">
        <f t="shared" si="72"/>
        <v>4.4000000000000003E-3</v>
      </c>
      <c r="W80" s="66">
        <f t="shared" si="72"/>
        <v>4.4000000000000003E-3</v>
      </c>
      <c r="X80" s="66">
        <f t="shared" si="72"/>
        <v>4.4000000000000003E-3</v>
      </c>
      <c r="Y80" s="66">
        <f t="shared" si="72"/>
        <v>4.4000000000000003E-3</v>
      </c>
      <c r="Z80" s="66">
        <f t="shared" si="72"/>
        <v>4.4000000000000003E-3</v>
      </c>
      <c r="AA80" s="66">
        <f t="shared" si="72"/>
        <v>4.4000000000000003E-3</v>
      </c>
      <c r="AB80" s="66">
        <f t="shared" si="72"/>
        <v>4.4000000000000003E-3</v>
      </c>
      <c r="AC80" s="66">
        <f t="shared" si="72"/>
        <v>4.4000000000000003E-3</v>
      </c>
    </row>
    <row r="81" spans="1:29" x14ac:dyDescent="0.3">
      <c r="A81" s="30" t="str">
        <f t="shared" si="65"/>
        <v>Fuel Cost</v>
      </c>
      <c r="B81" s="66">
        <f>B39*B40*B47/B47/(B44)</f>
        <v>2.149698076693125E-2</v>
      </c>
      <c r="C81" s="66">
        <f t="shared" ref="C81:AC81" si="73">C39*C40*C47/C47/(C44)</f>
        <v>2.1331230658756428E-2</v>
      </c>
      <c r="D81" s="66">
        <f t="shared" si="73"/>
        <v>2.1099903047208143E-2</v>
      </c>
      <c r="E81" s="66">
        <f t="shared" si="73"/>
        <v>2.0780895244289513E-2</v>
      </c>
      <c r="F81" s="66">
        <f t="shared" si="73"/>
        <v>2.0348300970860631E-2</v>
      </c>
      <c r="G81" s="66">
        <f t="shared" si="73"/>
        <v>1.977500969726062E-2</v>
      </c>
      <c r="H81" s="66">
        <f t="shared" si="73"/>
        <v>1.9038033080897548E-2</v>
      </c>
      <c r="I81" s="66">
        <f t="shared" si="73"/>
        <v>1.8126453353507072E-2</v>
      </c>
      <c r="J81" s="66">
        <f t="shared" si="73"/>
        <v>1.7049828608976355E-2</v>
      </c>
      <c r="K81" s="66">
        <f t="shared" si="73"/>
        <v>1.5842858741402264E-2</v>
      </c>
      <c r="L81" s="66">
        <f t="shared" si="73"/>
        <v>1.456270662690278E-2</v>
      </c>
      <c r="M81" s="66">
        <f t="shared" si="73"/>
        <v>1.3279381505411613E-2</v>
      </c>
      <c r="N81" s="66">
        <f t="shared" si="73"/>
        <v>1.2063205843438823E-2</v>
      </c>
      <c r="O81" s="66">
        <f t="shared" si="73"/>
        <v>1.0973050657799936E-2</v>
      </c>
      <c r="P81" s="66">
        <f t="shared" si="73"/>
        <v>1.004736635521954E-2</v>
      </c>
      <c r="Q81" s="66">
        <f t="shared" si="73"/>
        <v>9.3001502289760604E-3</v>
      </c>
      <c r="R81" s="66">
        <f t="shared" si="73"/>
        <v>8.7233879635126403E-3</v>
      </c>
      <c r="S81" s="66">
        <f t="shared" si="73"/>
        <v>8.2944626321454721E-3</v>
      </c>
      <c r="T81" s="66">
        <f t="shared" si="73"/>
        <v>7.9846970768127374E-3</v>
      </c>
      <c r="U81" s="66">
        <f t="shared" si="73"/>
        <v>7.7658742511940507E-3</v>
      </c>
      <c r="V81" s="66">
        <f t="shared" si="73"/>
        <v>7.6137600559403988E-3</v>
      </c>
      <c r="W81" s="66">
        <f t="shared" si="73"/>
        <v>7.509218186098233E-3</v>
      </c>
      <c r="X81" s="66">
        <f t="shared" si="73"/>
        <v>7.4379403106525476E-3</v>
      </c>
      <c r="Y81" s="66">
        <f t="shared" si="73"/>
        <v>7.3896077839910078E-3</v>
      </c>
      <c r="Z81" s="66">
        <f t="shared" si="73"/>
        <v>7.3569565389187477E-3</v>
      </c>
      <c r="AA81" s="66">
        <f t="shared" si="73"/>
        <v>7.3349547713622973E-3</v>
      </c>
      <c r="AB81" s="66">
        <f t="shared" si="73"/>
        <v>7.3201544798759764E-3</v>
      </c>
      <c r="AC81" s="66">
        <f t="shared" si="73"/>
        <v>7.3102100315233995E-3</v>
      </c>
    </row>
    <row r="82" spans="1:29" x14ac:dyDescent="0.3">
      <c r="A82" s="59" t="str">
        <f>A45</f>
        <v>Market failure (av. utilization)</v>
      </c>
      <c r="B82" s="66">
        <f t="shared" ref="B82:AC82" si="74">B71/B45-B71/B44</f>
        <v>0.19148045910111161</v>
      </c>
      <c r="C82" s="66">
        <f t="shared" si="74"/>
        <v>0.19056865355864902</v>
      </c>
      <c r="D82" s="66">
        <f t="shared" si="74"/>
        <v>0.18929968512296666</v>
      </c>
      <c r="E82" s="66">
        <f t="shared" si="74"/>
        <v>0.18755735873318244</v>
      </c>
      <c r="F82" s="66">
        <f t="shared" si="74"/>
        <v>0.18521041426847157</v>
      </c>
      <c r="G82" s="66">
        <f t="shared" si="74"/>
        <v>0.18213155514959944</v>
      </c>
      <c r="H82" s="66">
        <f t="shared" si="74"/>
        <v>0.17823319012728134</v>
      </c>
      <c r="I82" s="66">
        <f t="shared" si="74"/>
        <v>0.17351703564698334</v>
      </c>
      <c r="J82" s="66">
        <f t="shared" si="74"/>
        <v>0.16811969393958842</v>
      </c>
      <c r="K82" s="66">
        <f t="shared" si="74"/>
        <v>0.16232255747984145</v>
      </c>
      <c r="L82" s="66">
        <f t="shared" si="74"/>
        <v>0.15650234610685537</v>
      </c>
      <c r="M82" s="66">
        <f t="shared" si="74"/>
        <v>0.15103602689119042</v>
      </c>
      <c r="N82" s="66">
        <f t="shared" si="74"/>
        <v>0.14620952061485565</v>
      </c>
      <c r="O82" s="66">
        <f t="shared" si="74"/>
        <v>0.14217345136465798</v>
      </c>
      <c r="P82" s="66">
        <f t="shared" si="74"/>
        <v>0.13895081182944546</v>
      </c>
      <c r="Q82" s="66">
        <f t="shared" si="74"/>
        <v>0.1364739780580625</v>
      </c>
      <c r="R82" s="66">
        <f t="shared" si="74"/>
        <v>0.134627478693296</v>
      </c>
      <c r="S82" s="66">
        <f t="shared" si="74"/>
        <v>0.13328294636502425</v>
      </c>
      <c r="T82" s="66">
        <f t="shared" si="74"/>
        <v>0.13232132693114829</v>
      </c>
      <c r="U82" s="66">
        <f t="shared" si="74"/>
        <v>0.13164306216149199</v>
      </c>
      <c r="V82" s="66">
        <f t="shared" si="74"/>
        <v>0.1311699867118547</v>
      </c>
      <c r="W82" s="66">
        <f t="shared" si="74"/>
        <v>0.13084307618338833</v>
      </c>
      <c r="X82" s="66">
        <f t="shared" si="74"/>
        <v>0.13061889618434919</v>
      </c>
      <c r="Y82" s="66">
        <f t="shared" si="74"/>
        <v>0.13046610714989801</v>
      </c>
      <c r="Z82" s="66">
        <f t="shared" si="74"/>
        <v>0.13036246823323538</v>
      </c>
      <c r="AA82" s="66">
        <f t="shared" si="74"/>
        <v>0.13029241707655745</v>
      </c>
      <c r="AB82" s="66">
        <f t="shared" si="74"/>
        <v>0.13024518953230729</v>
      </c>
      <c r="AC82" s="66">
        <f t="shared" si="74"/>
        <v>0.13021340696332451</v>
      </c>
    </row>
    <row r="83" spans="1:29" x14ac:dyDescent="0.3">
      <c r="A83" s="59" t="str">
        <f>A46</f>
        <v>Payload loss (fuel)</v>
      </c>
      <c r="B83" s="66">
        <f>B71/(B44-B46)-B71/B44</f>
        <v>7.2369782095337842E-3</v>
      </c>
      <c r="C83" s="66">
        <f t="shared" ref="C83:AC83" si="75">C71/(C44-C46)-C71/C44</f>
        <v>7.1766125645969236E-3</v>
      </c>
      <c r="D83" s="66">
        <f t="shared" si="75"/>
        <v>7.092305170166513E-3</v>
      </c>
      <c r="E83" s="66">
        <f t="shared" si="75"/>
        <v>6.9759168139564565E-3</v>
      </c>
      <c r="F83" s="66">
        <f t="shared" si="75"/>
        <v>6.8178265738017274E-3</v>
      </c>
      <c r="G83" s="66">
        <f t="shared" si="75"/>
        <v>6.6078058936656636E-3</v>
      </c>
      <c r="H83" s="66">
        <f t="shared" si="75"/>
        <v>6.3368729171069949E-3</v>
      </c>
      <c r="I83" s="66">
        <f t="shared" si="75"/>
        <v>6.000147091899305E-3</v>
      </c>
      <c r="J83" s="66">
        <f t="shared" si="75"/>
        <v>5.6000363659231556E-3</v>
      </c>
      <c r="K83" s="66">
        <f t="shared" si="75"/>
        <v>5.1483511204632876E-3</v>
      </c>
      <c r="L83" s="66">
        <f t="shared" si="75"/>
        <v>4.6659662105646565E-3</v>
      </c>
      <c r="M83" s="66">
        <f t="shared" si="75"/>
        <v>4.1797635385618787E-3</v>
      </c>
      <c r="N83" s="66">
        <f t="shared" si="75"/>
        <v>3.717788970807559E-3</v>
      </c>
      <c r="O83" s="66">
        <f t="shared" si="75"/>
        <v>3.3039508195620154E-3</v>
      </c>
      <c r="P83" s="66">
        <f t="shared" si="75"/>
        <v>2.9537217801200166E-3</v>
      </c>
      <c r="Q83" s="66">
        <f t="shared" si="75"/>
        <v>2.6723681580553826E-3</v>
      </c>
      <c r="R83" s="66">
        <f t="shared" si="75"/>
        <v>2.4562691083509086E-3</v>
      </c>
      <c r="S83" s="66">
        <f t="shared" si="75"/>
        <v>2.2962360109332058E-3</v>
      </c>
      <c r="T83" s="66">
        <f t="shared" si="75"/>
        <v>2.1810173431045937E-3</v>
      </c>
      <c r="U83" s="66">
        <f t="shared" si="75"/>
        <v>2.0997856940127707E-3</v>
      </c>
      <c r="V83" s="66">
        <f t="shared" si="75"/>
        <v>2.043379942586146E-3</v>
      </c>
      <c r="W83" s="66">
        <f t="shared" si="75"/>
        <v>2.0046349003129682E-3</v>
      </c>
      <c r="X83" s="66">
        <f t="shared" si="75"/>
        <v>1.9782231672306333E-3</v>
      </c>
      <c r="Y83" s="66">
        <f t="shared" si="75"/>
        <v>1.9603142640639976E-3</v>
      </c>
      <c r="Z83" s="66">
        <f t="shared" si="75"/>
        <v>1.9482153778565825E-3</v>
      </c>
      <c r="AA83" s="66">
        <f t="shared" si="75"/>
        <v>1.9400621976141535E-3</v>
      </c>
      <c r="AB83" s="66">
        <f t="shared" si="75"/>
        <v>1.93457737955742E-3</v>
      </c>
      <c r="AC83" s="66">
        <f t="shared" si="75"/>
        <v>1.9308919265353247E-3</v>
      </c>
    </row>
    <row r="84" spans="1:29" ht="15" thickBot="1" x14ac:dyDescent="0.35">
      <c r="A84" s="59" t="str">
        <f>A21</f>
        <v>Emission Cost</v>
      </c>
      <c r="B84" s="68">
        <f>B41*B47/B47/(B44)</f>
        <v>3.6418200964524684E-4</v>
      </c>
      <c r="C84" s="68">
        <f t="shared" ref="C84:AC84" si="76">C41*C47/C47/(C44)</f>
        <v>3.6383521963850298E-4</v>
      </c>
      <c r="D84" s="68">
        <f t="shared" si="76"/>
        <v>3.6333879746797376E-4</v>
      </c>
      <c r="E84" s="68">
        <f t="shared" si="76"/>
        <v>3.6262863064306401E-4</v>
      </c>
      <c r="F84" s="68">
        <f t="shared" si="76"/>
        <v>3.6161364554417784E-4</v>
      </c>
      <c r="G84" s="68">
        <f t="shared" si="76"/>
        <v>3.6016504246069139E-4</v>
      </c>
      <c r="H84" s="68">
        <f t="shared" si="76"/>
        <v>3.581018762885698E-4</v>
      </c>
      <c r="I84" s="68">
        <f t="shared" si="76"/>
        <v>3.551724760827172E-4</v>
      </c>
      <c r="J84" s="68">
        <f t="shared" si="76"/>
        <v>3.5103205038913133E-4</v>
      </c>
      <c r="K84" s="68">
        <f t="shared" si="76"/>
        <v>3.4521896741480408E-4</v>
      </c>
      <c r="L84" s="68">
        <f t="shared" si="76"/>
        <v>3.371366718660246E-4</v>
      </c>
      <c r="M84" s="68">
        <f t="shared" si="76"/>
        <v>3.2605614702792577E-4</v>
      </c>
      <c r="N84" s="68">
        <f t="shared" si="76"/>
        <v>3.1116510898656003E-4</v>
      </c>
      <c r="O84" s="68">
        <f t="shared" si="76"/>
        <v>2.9169964552951117E-4</v>
      </c>
      <c r="P84" s="68">
        <f t="shared" si="76"/>
        <v>2.6718618439571353E-4</v>
      </c>
      <c r="Q84" s="68">
        <f t="shared" si="76"/>
        <v>2.3777073469416832E-4</v>
      </c>
      <c r="R84" s="68">
        <f t="shared" si="76"/>
        <v>2.0450851915069425E-4</v>
      </c>
      <c r="S84" s="68">
        <f t="shared" si="76"/>
        <v>1.6939373467288497E-4</v>
      </c>
      <c r="T84" s="68">
        <f t="shared" si="76"/>
        <v>1.3496994347323685E-4</v>
      </c>
      <c r="U84" s="68">
        <f t="shared" si="76"/>
        <v>1.0363325778021563E-4</v>
      </c>
      <c r="V84" s="68">
        <f t="shared" si="76"/>
        <v>7.700153737100413E-5</v>
      </c>
      <c r="W84" s="68">
        <f t="shared" si="76"/>
        <v>5.5674298794125105E-5</v>
      </c>
      <c r="X84" s="68">
        <f t="shared" si="76"/>
        <v>3.940066918956972E-5</v>
      </c>
      <c r="Y84" s="68">
        <f t="shared" si="76"/>
        <v>2.7438246283240584E-5</v>
      </c>
      <c r="Z84" s="68">
        <f t="shared" si="76"/>
        <v>1.8885286961572295E-5</v>
      </c>
      <c r="AA84" s="68">
        <f t="shared" si="76"/>
        <v>1.2890925575126249E-5</v>
      </c>
      <c r="AB84" s="68">
        <f t="shared" si="76"/>
        <v>8.748453414846938E-6</v>
      </c>
      <c r="AC84" s="68">
        <f t="shared" si="76"/>
        <v>5.9135532882621105E-6</v>
      </c>
    </row>
    <row r="85" spans="1:29" ht="15" thickBot="1" x14ac:dyDescent="0.35">
      <c r="A85" s="31" t="s">
        <v>210</v>
      </c>
      <c r="B85" s="67">
        <f>B74+B75+B76+B77+B78+B79+B80+B81+B82+B83+B84</f>
        <v>0.33539943958717888</v>
      </c>
      <c r="C85" s="67">
        <f t="shared" ref="C85:AC85" si="77">C74+C75+C76+C77+C78+C79+C80+C81+C82+C83+C84</f>
        <v>0.33376699542075478</v>
      </c>
      <c r="D85" s="67">
        <f t="shared" si="77"/>
        <v>0.33149481141307896</v>
      </c>
      <c r="E85" s="67">
        <f t="shared" si="77"/>
        <v>0.32837441203999962</v>
      </c>
      <c r="F85" s="67">
        <f t="shared" si="77"/>
        <v>0.32416986582620538</v>
      </c>
      <c r="G85" s="67">
        <f t="shared" si="77"/>
        <v>0.31865146735491051</v>
      </c>
      <c r="H85" s="67">
        <f t="shared" si="77"/>
        <v>0.31165921537435515</v>
      </c>
      <c r="I85" s="67">
        <f t="shared" si="77"/>
        <v>0.30319118872104744</v>
      </c>
      <c r="J85" s="67">
        <f t="shared" si="77"/>
        <v>0.29348531643059733</v>
      </c>
      <c r="K85" s="67">
        <f t="shared" si="77"/>
        <v>0.28303856832350471</v>
      </c>
      <c r="L85" s="67">
        <f t="shared" si="77"/>
        <v>0.27252133621880253</v>
      </c>
      <c r="M85" s="67">
        <f t="shared" si="77"/>
        <v>0.26261044524392907</v>
      </c>
      <c r="N85" s="67">
        <f t="shared" si="77"/>
        <v>0.25382690813077002</v>
      </c>
      <c r="O85" s="67">
        <f t="shared" si="77"/>
        <v>0.24645432989297678</v>
      </c>
      <c r="P85" s="67">
        <f t="shared" si="77"/>
        <v>0.24054782579282352</v>
      </c>
      <c r="Q85" s="67">
        <f t="shared" si="77"/>
        <v>0.23599606911665036</v>
      </c>
      <c r="R85" s="67">
        <f t="shared" si="77"/>
        <v>0.23259635047252089</v>
      </c>
      <c r="S85" s="67">
        <f t="shared" si="77"/>
        <v>0.23011815818842773</v>
      </c>
      <c r="T85" s="67">
        <f t="shared" si="77"/>
        <v>0.22834497497943368</v>
      </c>
      <c r="U85" s="67">
        <f t="shared" si="77"/>
        <v>0.22709432131369309</v>
      </c>
      <c r="V85" s="67">
        <f t="shared" si="77"/>
        <v>0.22622226823530561</v>
      </c>
      <c r="W85" s="67">
        <f t="shared" si="77"/>
        <v>0.22561988435084906</v>
      </c>
      <c r="X85" s="67">
        <f t="shared" si="77"/>
        <v>0.22520695537804403</v>
      </c>
      <c r="Y85" s="67">
        <f t="shared" si="77"/>
        <v>0.22492561710513401</v>
      </c>
      <c r="Z85" s="67">
        <f t="shared" si="77"/>
        <v>0.22473483043157721</v>
      </c>
      <c r="AA85" s="67">
        <f t="shared" si="77"/>
        <v>0.22460589939499351</v>
      </c>
      <c r="AB85" s="67">
        <f t="shared" si="77"/>
        <v>0.2245189877765055</v>
      </c>
      <c r="AC85" s="67">
        <f t="shared" si="77"/>
        <v>0.22446050479075447</v>
      </c>
    </row>
    <row r="87" spans="1:29" x14ac:dyDescent="0.3">
      <c r="B87" s="40"/>
    </row>
    <row r="107" spans="1:2" s="3" customFormat="1" ht="21" x14ac:dyDescent="0.4">
      <c r="A107" s="2" t="str">
        <f>'Parameter Input'!A19</f>
        <v>Road long-haul: Liquid bulk</v>
      </c>
    </row>
    <row r="108" spans="1:2" s="3" customFormat="1" ht="21" x14ac:dyDescent="0.4">
      <c r="A108" s="2" t="s">
        <v>103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Input'!$L$32</f>
        <v>390000</v>
      </c>
      <c r="C117" s="42">
        <f>'Parameter Input'!$M$32</f>
        <v>155000</v>
      </c>
      <c r="D117" s="1" t="s">
        <v>15</v>
      </c>
      <c r="L117" s="51">
        <f>'Parameter Input'!$O$32</f>
        <v>9</v>
      </c>
      <c r="M117" s="52">
        <v>0</v>
      </c>
      <c r="N117" s="52">
        <v>1</v>
      </c>
      <c r="O117" s="52">
        <f>'Parameter Input'!$P$32</f>
        <v>0.9</v>
      </c>
      <c r="P117" s="53">
        <f>'Parameter Input'!$Q$32</f>
        <v>0.4</v>
      </c>
      <c r="Q117" s="4">
        <f t="shared" ref="Q117:AR126" si="78">$N117+($M117-$N117)*((1/(1+EXP(-$P117*(Q$9-$L117)))^$O117))</f>
        <v>0.96177484161592774</v>
      </c>
      <c r="R117" s="4">
        <f t="shared" si="78"/>
        <v>0.94584787155511363</v>
      </c>
      <c r="S117" s="4">
        <f t="shared" si="78"/>
        <v>0.92370360150141495</v>
      </c>
      <c r="T117" s="4">
        <f t="shared" si="78"/>
        <v>0.89334463567658451</v>
      </c>
      <c r="U117" s="4">
        <f t="shared" si="78"/>
        <v>0.85254543874327005</v>
      </c>
      <c r="V117" s="4">
        <f t="shared" si="78"/>
        <v>0.79921300652623883</v>
      </c>
      <c r="W117" s="4">
        <f t="shared" si="78"/>
        <v>0.73204982249993378</v>
      </c>
      <c r="X117" s="4">
        <f t="shared" si="78"/>
        <v>0.65145592958786691</v>
      </c>
      <c r="Y117" s="4">
        <f t="shared" si="78"/>
        <v>0.56032247880849573</v>
      </c>
      <c r="Z117" s="4">
        <f t="shared" si="78"/>
        <v>0.46411326873185343</v>
      </c>
      <c r="AA117" s="4">
        <f t="shared" si="78"/>
        <v>0.36979727595523937</v>
      </c>
      <c r="AB117" s="4">
        <f t="shared" si="78"/>
        <v>0.28393948637231203</v>
      </c>
      <c r="AC117" s="4">
        <f t="shared" si="78"/>
        <v>0.21097259161117732</v>
      </c>
      <c r="AD117" s="4">
        <f t="shared" si="78"/>
        <v>0.15253917653798199</v>
      </c>
      <c r="AE117" s="4">
        <f t="shared" si="78"/>
        <v>0.10795188737709993</v>
      </c>
      <c r="AF117" s="4">
        <f t="shared" si="78"/>
        <v>7.5176653938091809E-2</v>
      </c>
      <c r="AG117" s="4">
        <f t="shared" si="78"/>
        <v>5.1742836177502194E-2</v>
      </c>
      <c r="AH117" s="4">
        <f t="shared" si="78"/>
        <v>3.5319190625345942E-2</v>
      </c>
      <c r="AI117" s="4">
        <f t="shared" si="78"/>
        <v>2.3969442072658165E-2</v>
      </c>
      <c r="AJ117" s="4">
        <f t="shared" si="78"/>
        <v>1.6202243558389728E-2</v>
      </c>
      <c r="AK117" s="4">
        <f t="shared" si="78"/>
        <v>1.0922240564108399E-2</v>
      </c>
      <c r="AL117" s="4">
        <f t="shared" si="78"/>
        <v>7.3493212906090566E-3</v>
      </c>
      <c r="AM117" s="4">
        <f t="shared" si="78"/>
        <v>4.9390262185057265E-3</v>
      </c>
      <c r="AN117" s="4">
        <f t="shared" si="78"/>
        <v>3.3164275492956197E-3</v>
      </c>
      <c r="AO117" s="4">
        <f t="shared" si="78"/>
        <v>2.2256362146679809E-3</v>
      </c>
      <c r="AP117" s="4">
        <f t="shared" si="78"/>
        <v>1.4930448704811861E-3</v>
      </c>
      <c r="AQ117" s="4">
        <f t="shared" si="78"/>
        <v>1.0013381504474506E-3</v>
      </c>
      <c r="AR117" s="4">
        <f t="shared" si="78"/>
        <v>6.7145100246257527E-4</v>
      </c>
    </row>
    <row r="118" spans="1:44" x14ac:dyDescent="0.3">
      <c r="A118" s="24" t="s">
        <v>28</v>
      </c>
      <c r="B118" s="60">
        <f>'Parameter Input'!$L$33</f>
        <v>-58500</v>
      </c>
      <c r="C118" s="61">
        <f>'Parameter Input'!$M$33</f>
        <v>-38750</v>
      </c>
      <c r="D118" s="1" t="s">
        <v>15</v>
      </c>
      <c r="L118" s="54">
        <f>'Parameter Input'!$O$33</f>
        <v>9</v>
      </c>
      <c r="M118" s="37">
        <v>0</v>
      </c>
      <c r="N118" s="37">
        <v>1</v>
      </c>
      <c r="O118" s="37">
        <f>'Parameter Input'!$P$33</f>
        <v>0.9</v>
      </c>
      <c r="P118" s="55">
        <f>'Parameter Input'!$Q$33</f>
        <v>0.4</v>
      </c>
      <c r="Q118" s="4">
        <f t="shared" si="78"/>
        <v>0.96177484161592774</v>
      </c>
      <c r="R118" s="4">
        <f t="shared" si="78"/>
        <v>0.94584787155511363</v>
      </c>
      <c r="S118" s="4">
        <f t="shared" si="78"/>
        <v>0.92370360150141495</v>
      </c>
      <c r="T118" s="4">
        <f t="shared" si="78"/>
        <v>0.89334463567658451</v>
      </c>
      <c r="U118" s="4">
        <f t="shared" si="78"/>
        <v>0.85254543874327005</v>
      </c>
      <c r="V118" s="4">
        <f t="shared" si="78"/>
        <v>0.79921300652623883</v>
      </c>
      <c r="W118" s="4">
        <f t="shared" si="78"/>
        <v>0.73204982249993378</v>
      </c>
      <c r="X118" s="4">
        <f t="shared" si="78"/>
        <v>0.65145592958786691</v>
      </c>
      <c r="Y118" s="4">
        <f t="shared" si="78"/>
        <v>0.56032247880849573</v>
      </c>
      <c r="Z118" s="4">
        <f t="shared" si="78"/>
        <v>0.46411326873185343</v>
      </c>
      <c r="AA118" s="4">
        <f t="shared" si="78"/>
        <v>0.36979727595523937</v>
      </c>
      <c r="AB118" s="4">
        <f t="shared" si="78"/>
        <v>0.28393948637231203</v>
      </c>
      <c r="AC118" s="4">
        <f t="shared" si="78"/>
        <v>0.21097259161117732</v>
      </c>
      <c r="AD118" s="4">
        <f t="shared" si="78"/>
        <v>0.15253917653798199</v>
      </c>
      <c r="AE118" s="4">
        <f t="shared" si="78"/>
        <v>0.10795188737709993</v>
      </c>
      <c r="AF118" s="4">
        <f t="shared" si="78"/>
        <v>7.5176653938091809E-2</v>
      </c>
      <c r="AG118" s="4">
        <f t="shared" si="78"/>
        <v>5.1742836177502194E-2</v>
      </c>
      <c r="AH118" s="4">
        <f t="shared" si="78"/>
        <v>3.5319190625345942E-2</v>
      </c>
      <c r="AI118" s="4">
        <f t="shared" si="78"/>
        <v>2.3969442072658165E-2</v>
      </c>
      <c r="AJ118" s="4">
        <f t="shared" si="78"/>
        <v>1.6202243558389728E-2</v>
      </c>
      <c r="AK118" s="4">
        <f t="shared" si="78"/>
        <v>1.0922240564108399E-2</v>
      </c>
      <c r="AL118" s="4">
        <f t="shared" si="78"/>
        <v>7.3493212906090566E-3</v>
      </c>
      <c r="AM118" s="4">
        <f t="shared" si="78"/>
        <v>4.9390262185057265E-3</v>
      </c>
      <c r="AN118" s="4">
        <f t="shared" si="78"/>
        <v>3.3164275492956197E-3</v>
      </c>
      <c r="AO118" s="4">
        <f t="shared" si="78"/>
        <v>2.2256362146679809E-3</v>
      </c>
      <c r="AP118" s="4">
        <f t="shared" si="78"/>
        <v>1.4930448704811861E-3</v>
      </c>
      <c r="AQ118" s="4">
        <f t="shared" si="78"/>
        <v>1.0013381504474506E-3</v>
      </c>
      <c r="AR118" s="4">
        <f t="shared" si="78"/>
        <v>6.7145100246257527E-4</v>
      </c>
    </row>
    <row r="119" spans="1:44" x14ac:dyDescent="0.3">
      <c r="A119" s="24" t="s">
        <v>14</v>
      </c>
      <c r="B119" s="60">
        <f>'Parameter Input'!B20</f>
        <v>60000</v>
      </c>
      <c r="C119" s="61">
        <f>'Parameter Input'!C20</f>
        <v>60000</v>
      </c>
      <c r="D119" s="1" t="s">
        <v>15</v>
      </c>
      <c r="L119" s="54">
        <f>'Parameter Input'!E20</f>
        <v>12</v>
      </c>
      <c r="M119" s="37">
        <v>0</v>
      </c>
      <c r="N119" s="37">
        <v>1</v>
      </c>
      <c r="O119" s="37">
        <f>'Parameter Input'!F20</f>
        <v>0.9</v>
      </c>
      <c r="P119" s="55">
        <f>'Parameter Input'!G20</f>
        <v>0.4</v>
      </c>
      <c r="Q119" s="4">
        <f t="shared" si="78"/>
        <v>0.9867978615748374</v>
      </c>
      <c r="R119" s="4">
        <f t="shared" si="78"/>
        <v>0.98114509762858249</v>
      </c>
      <c r="S119" s="4">
        <f t="shared" si="78"/>
        <v>0.97311898315872036</v>
      </c>
      <c r="T119" s="4">
        <f t="shared" si="78"/>
        <v>0.96177484161592774</v>
      </c>
      <c r="U119" s="4">
        <f t="shared" si="78"/>
        <v>0.94584787155511363</v>
      </c>
      <c r="V119" s="4">
        <f t="shared" si="78"/>
        <v>0.92370360150141495</v>
      </c>
      <c r="W119" s="4">
        <f t="shared" si="78"/>
        <v>0.89334463567658451</v>
      </c>
      <c r="X119" s="4">
        <f t="shared" si="78"/>
        <v>0.85254543874327005</v>
      </c>
      <c r="Y119" s="4">
        <f t="shared" si="78"/>
        <v>0.79921300652623883</v>
      </c>
      <c r="Z119" s="4">
        <f t="shared" si="78"/>
        <v>0.73204982249993378</v>
      </c>
      <c r="AA119" s="4">
        <f t="shared" si="78"/>
        <v>0.65145592958786691</v>
      </c>
      <c r="AB119" s="4">
        <f t="shared" si="78"/>
        <v>0.56032247880849573</v>
      </c>
      <c r="AC119" s="4">
        <f t="shared" si="78"/>
        <v>0.46411326873185343</v>
      </c>
      <c r="AD119" s="4">
        <f t="shared" si="78"/>
        <v>0.36979727595523937</v>
      </c>
      <c r="AE119" s="4">
        <f t="shared" si="78"/>
        <v>0.28393948637231203</v>
      </c>
      <c r="AF119" s="4">
        <f t="shared" si="78"/>
        <v>0.21097259161117732</v>
      </c>
      <c r="AG119" s="4">
        <f t="shared" si="78"/>
        <v>0.15253917653798199</v>
      </c>
      <c r="AH119" s="4">
        <f t="shared" si="78"/>
        <v>0.10795188737709993</v>
      </c>
      <c r="AI119" s="4">
        <f t="shared" si="78"/>
        <v>7.5176653938091809E-2</v>
      </c>
      <c r="AJ119" s="4">
        <f t="shared" si="78"/>
        <v>5.1742836177502194E-2</v>
      </c>
      <c r="AK119" s="4">
        <f t="shared" si="78"/>
        <v>3.5319190625345942E-2</v>
      </c>
      <c r="AL119" s="4">
        <f t="shared" si="78"/>
        <v>2.3969442072658165E-2</v>
      </c>
      <c r="AM119" s="4">
        <f t="shared" si="78"/>
        <v>1.6202243558389728E-2</v>
      </c>
      <c r="AN119" s="4">
        <f t="shared" si="78"/>
        <v>1.0922240564108399E-2</v>
      </c>
      <c r="AO119" s="4">
        <f t="shared" si="78"/>
        <v>7.3493212906090566E-3</v>
      </c>
      <c r="AP119" s="4">
        <f t="shared" si="78"/>
        <v>4.9390262185057265E-3</v>
      </c>
      <c r="AQ119" s="4">
        <f t="shared" si="78"/>
        <v>3.3164275492956197E-3</v>
      </c>
      <c r="AR119" s="4">
        <f t="shared" si="78"/>
        <v>2.2256362146679809E-3</v>
      </c>
    </row>
    <row r="120" spans="1:44" x14ac:dyDescent="0.3">
      <c r="A120" s="24" t="s">
        <v>25</v>
      </c>
      <c r="B120" s="60">
        <f>'Parameter Input'!B21</f>
        <v>-15000</v>
      </c>
      <c r="C120" s="61">
        <f>'Parameter Input'!C21</f>
        <v>-15000</v>
      </c>
      <c r="D120" s="1" t="s">
        <v>15</v>
      </c>
      <c r="L120" s="54">
        <f>'Parameter Input'!E21</f>
        <v>12</v>
      </c>
      <c r="M120" s="37">
        <v>0</v>
      </c>
      <c r="N120" s="37">
        <v>1</v>
      </c>
      <c r="O120" s="37">
        <f>'Parameter Input'!F21</f>
        <v>0.9</v>
      </c>
      <c r="P120" s="55">
        <f>'Parameter Input'!G21</f>
        <v>0.4</v>
      </c>
      <c r="Q120" s="4">
        <f t="shared" si="78"/>
        <v>0.9867978615748374</v>
      </c>
      <c r="R120" s="4">
        <f t="shared" si="78"/>
        <v>0.98114509762858249</v>
      </c>
      <c r="S120" s="4">
        <f t="shared" si="78"/>
        <v>0.97311898315872036</v>
      </c>
      <c r="T120" s="4">
        <f t="shared" si="78"/>
        <v>0.96177484161592774</v>
      </c>
      <c r="U120" s="4">
        <f t="shared" si="78"/>
        <v>0.94584787155511363</v>
      </c>
      <c r="V120" s="4">
        <f t="shared" si="78"/>
        <v>0.92370360150141495</v>
      </c>
      <c r="W120" s="4">
        <f t="shared" si="78"/>
        <v>0.89334463567658451</v>
      </c>
      <c r="X120" s="4">
        <f t="shared" si="78"/>
        <v>0.85254543874327005</v>
      </c>
      <c r="Y120" s="4">
        <f t="shared" si="78"/>
        <v>0.79921300652623883</v>
      </c>
      <c r="Z120" s="4">
        <f t="shared" si="78"/>
        <v>0.73204982249993378</v>
      </c>
      <c r="AA120" s="4">
        <f t="shared" si="78"/>
        <v>0.65145592958786691</v>
      </c>
      <c r="AB120" s="4">
        <f t="shared" si="78"/>
        <v>0.56032247880849573</v>
      </c>
      <c r="AC120" s="4">
        <f t="shared" si="78"/>
        <v>0.46411326873185343</v>
      </c>
      <c r="AD120" s="4">
        <f t="shared" si="78"/>
        <v>0.36979727595523937</v>
      </c>
      <c r="AE120" s="4">
        <f t="shared" si="78"/>
        <v>0.28393948637231203</v>
      </c>
      <c r="AF120" s="4">
        <f t="shared" si="78"/>
        <v>0.21097259161117732</v>
      </c>
      <c r="AG120" s="4">
        <f t="shared" si="78"/>
        <v>0.15253917653798199</v>
      </c>
      <c r="AH120" s="4">
        <f t="shared" si="78"/>
        <v>0.10795188737709993</v>
      </c>
      <c r="AI120" s="4">
        <f t="shared" si="78"/>
        <v>7.5176653938091809E-2</v>
      </c>
      <c r="AJ120" s="4">
        <f t="shared" si="78"/>
        <v>5.1742836177502194E-2</v>
      </c>
      <c r="AK120" s="4">
        <f t="shared" si="78"/>
        <v>3.5319190625345942E-2</v>
      </c>
      <c r="AL120" s="4">
        <f t="shared" si="78"/>
        <v>2.3969442072658165E-2</v>
      </c>
      <c r="AM120" s="4">
        <f t="shared" si="78"/>
        <v>1.6202243558389728E-2</v>
      </c>
      <c r="AN120" s="4">
        <f t="shared" si="78"/>
        <v>1.0922240564108399E-2</v>
      </c>
      <c r="AO120" s="4">
        <f t="shared" si="78"/>
        <v>7.3493212906090566E-3</v>
      </c>
      <c r="AP120" s="4">
        <f t="shared" si="78"/>
        <v>4.9390262185057265E-3</v>
      </c>
      <c r="AQ120" s="4">
        <f t="shared" si="78"/>
        <v>3.3164275492956197E-3</v>
      </c>
      <c r="AR120" s="4">
        <f t="shared" si="78"/>
        <v>2.2256362146679809E-3</v>
      </c>
    </row>
    <row r="121" spans="1:44" x14ac:dyDescent="0.3">
      <c r="A121" s="24" t="s">
        <v>79</v>
      </c>
      <c r="B121" s="45">
        <f>'Parameter Input'!$L$39</f>
        <v>0.06</v>
      </c>
      <c r="C121" s="46">
        <f>'Parameter Input'!$M$39</f>
        <v>0.06</v>
      </c>
      <c r="D121" s="1" t="s">
        <v>57</v>
      </c>
      <c r="L121" s="54">
        <f>'Parameter Input'!$O$39</f>
        <v>12</v>
      </c>
      <c r="M121" s="37">
        <v>0</v>
      </c>
      <c r="N121" s="37">
        <v>1</v>
      </c>
      <c r="O121" s="37">
        <f>'Parameter Input'!$P$39</f>
        <v>0.9</v>
      </c>
      <c r="P121" s="55">
        <f>'Parameter Input'!$Q$39</f>
        <v>0.4</v>
      </c>
      <c r="Q121" s="4">
        <f t="shared" si="78"/>
        <v>0.9867978615748374</v>
      </c>
      <c r="R121" s="4">
        <f t="shared" si="78"/>
        <v>0.98114509762858249</v>
      </c>
      <c r="S121" s="4">
        <f t="shared" si="78"/>
        <v>0.97311898315872036</v>
      </c>
      <c r="T121" s="4">
        <f t="shared" si="78"/>
        <v>0.96177484161592774</v>
      </c>
      <c r="U121" s="4">
        <f t="shared" si="78"/>
        <v>0.94584787155511363</v>
      </c>
      <c r="V121" s="4">
        <f t="shared" si="78"/>
        <v>0.92370360150141495</v>
      </c>
      <c r="W121" s="4">
        <f t="shared" si="78"/>
        <v>0.89334463567658451</v>
      </c>
      <c r="X121" s="4">
        <f t="shared" si="78"/>
        <v>0.85254543874327005</v>
      </c>
      <c r="Y121" s="4">
        <f t="shared" si="78"/>
        <v>0.79921300652623883</v>
      </c>
      <c r="Z121" s="4">
        <f t="shared" si="78"/>
        <v>0.73204982249993378</v>
      </c>
      <c r="AA121" s="4">
        <f t="shared" si="78"/>
        <v>0.65145592958786691</v>
      </c>
      <c r="AB121" s="4">
        <f t="shared" si="78"/>
        <v>0.56032247880849573</v>
      </c>
      <c r="AC121" s="4">
        <f t="shared" si="78"/>
        <v>0.46411326873185343</v>
      </c>
      <c r="AD121" s="4">
        <f t="shared" si="78"/>
        <v>0.36979727595523937</v>
      </c>
      <c r="AE121" s="4">
        <f t="shared" si="78"/>
        <v>0.28393948637231203</v>
      </c>
      <c r="AF121" s="4">
        <f t="shared" si="78"/>
        <v>0.21097259161117732</v>
      </c>
      <c r="AG121" s="4">
        <f t="shared" si="78"/>
        <v>0.15253917653798199</v>
      </c>
      <c r="AH121" s="4">
        <f t="shared" si="78"/>
        <v>0.10795188737709993</v>
      </c>
      <c r="AI121" s="4">
        <f t="shared" si="78"/>
        <v>7.5176653938091809E-2</v>
      </c>
      <c r="AJ121" s="4">
        <f t="shared" si="78"/>
        <v>5.1742836177502194E-2</v>
      </c>
      <c r="AK121" s="4">
        <f t="shared" si="78"/>
        <v>3.5319190625345942E-2</v>
      </c>
      <c r="AL121" s="4">
        <f t="shared" si="78"/>
        <v>2.3969442072658165E-2</v>
      </c>
      <c r="AM121" s="4">
        <f t="shared" si="78"/>
        <v>1.6202243558389728E-2</v>
      </c>
      <c r="AN121" s="4">
        <f t="shared" si="78"/>
        <v>1.0922240564108399E-2</v>
      </c>
      <c r="AO121" s="4">
        <f t="shared" si="78"/>
        <v>7.3493212906090566E-3</v>
      </c>
      <c r="AP121" s="4">
        <f t="shared" si="78"/>
        <v>4.9390262185057265E-3</v>
      </c>
      <c r="AQ121" s="4">
        <f t="shared" si="78"/>
        <v>3.3164275492956197E-3</v>
      </c>
      <c r="AR121" s="4">
        <f t="shared" si="78"/>
        <v>2.2256362146679809E-3</v>
      </c>
    </row>
    <row r="122" spans="1:44" x14ac:dyDescent="0.3">
      <c r="A122" s="24" t="s">
        <v>37</v>
      </c>
      <c r="B122" s="60">
        <f>'Parameter Input'!B22</f>
        <v>70000</v>
      </c>
      <c r="C122" s="61">
        <f>'Parameter Input'!C22</f>
        <v>70000</v>
      </c>
      <c r="D122" s="1" t="s">
        <v>38</v>
      </c>
      <c r="L122" s="54">
        <f>'Parameter Input'!E22</f>
        <v>12</v>
      </c>
      <c r="M122" s="37">
        <v>0</v>
      </c>
      <c r="N122" s="37">
        <v>1</v>
      </c>
      <c r="O122" s="37">
        <f>'Parameter Input'!F22</f>
        <v>0.9</v>
      </c>
      <c r="P122" s="55">
        <f>'Parameter Input'!G22</f>
        <v>0.4</v>
      </c>
      <c r="Q122" s="4">
        <f t="shared" si="78"/>
        <v>0.9867978615748374</v>
      </c>
      <c r="R122" s="4">
        <f t="shared" si="78"/>
        <v>0.98114509762858249</v>
      </c>
      <c r="S122" s="4">
        <f t="shared" si="78"/>
        <v>0.97311898315872036</v>
      </c>
      <c r="T122" s="4">
        <f t="shared" si="78"/>
        <v>0.96177484161592774</v>
      </c>
      <c r="U122" s="4">
        <f t="shared" si="78"/>
        <v>0.94584787155511363</v>
      </c>
      <c r="V122" s="4">
        <f t="shared" si="78"/>
        <v>0.92370360150141495</v>
      </c>
      <c r="W122" s="4">
        <f t="shared" si="78"/>
        <v>0.89334463567658451</v>
      </c>
      <c r="X122" s="4">
        <f t="shared" si="78"/>
        <v>0.85254543874327005</v>
      </c>
      <c r="Y122" s="4">
        <f t="shared" si="78"/>
        <v>0.79921300652623883</v>
      </c>
      <c r="Z122" s="4">
        <f t="shared" si="78"/>
        <v>0.73204982249993378</v>
      </c>
      <c r="AA122" s="4">
        <f t="shared" si="78"/>
        <v>0.65145592958786691</v>
      </c>
      <c r="AB122" s="4">
        <f t="shared" si="78"/>
        <v>0.56032247880849573</v>
      </c>
      <c r="AC122" s="4">
        <f t="shared" si="78"/>
        <v>0.46411326873185343</v>
      </c>
      <c r="AD122" s="4">
        <f t="shared" si="78"/>
        <v>0.36979727595523937</v>
      </c>
      <c r="AE122" s="4">
        <f t="shared" si="78"/>
        <v>0.28393948637231203</v>
      </c>
      <c r="AF122" s="4">
        <f t="shared" si="78"/>
        <v>0.21097259161117732</v>
      </c>
      <c r="AG122" s="4">
        <f t="shared" si="78"/>
        <v>0.15253917653798199</v>
      </c>
      <c r="AH122" s="4">
        <f t="shared" si="78"/>
        <v>0.10795188737709993</v>
      </c>
      <c r="AI122" s="4">
        <f t="shared" si="78"/>
        <v>7.5176653938091809E-2</v>
      </c>
      <c r="AJ122" s="4">
        <f t="shared" si="78"/>
        <v>5.1742836177502194E-2</v>
      </c>
      <c r="AK122" s="4">
        <f t="shared" si="78"/>
        <v>3.5319190625345942E-2</v>
      </c>
      <c r="AL122" s="4">
        <f t="shared" si="78"/>
        <v>2.3969442072658165E-2</v>
      </c>
      <c r="AM122" s="4">
        <f t="shared" si="78"/>
        <v>1.6202243558389728E-2</v>
      </c>
      <c r="AN122" s="4">
        <f t="shared" si="78"/>
        <v>1.0922240564108399E-2</v>
      </c>
      <c r="AO122" s="4">
        <f t="shared" si="78"/>
        <v>7.3493212906090566E-3</v>
      </c>
      <c r="AP122" s="4">
        <f t="shared" si="78"/>
        <v>4.9390262185057265E-3</v>
      </c>
      <c r="AQ122" s="4">
        <f t="shared" si="78"/>
        <v>3.3164275492956197E-3</v>
      </c>
      <c r="AR122" s="4">
        <f t="shared" si="78"/>
        <v>2.2256362146679809E-3</v>
      </c>
    </row>
    <row r="123" spans="1:44" x14ac:dyDescent="0.3">
      <c r="A123" s="24" t="s">
        <v>52</v>
      </c>
      <c r="B123" s="43">
        <f>'Parameter Input'!$L$35</f>
        <v>26000</v>
      </c>
      <c r="C123" s="44">
        <f>'Parameter Input'!$M$35</f>
        <v>18000</v>
      </c>
      <c r="D123" s="1" t="s">
        <v>38</v>
      </c>
      <c r="L123" s="54">
        <f>'Parameter Input'!$O$35</f>
        <v>9</v>
      </c>
      <c r="M123" s="37">
        <v>0</v>
      </c>
      <c r="N123" s="37">
        <v>1</v>
      </c>
      <c r="O123" s="37">
        <f>'Parameter Input'!$P$35</f>
        <v>0.9</v>
      </c>
      <c r="P123" s="55">
        <f>'Parameter Input'!$Q$35</f>
        <v>0.4</v>
      </c>
      <c r="Q123" s="4">
        <f t="shared" si="78"/>
        <v>0.96177484161592774</v>
      </c>
      <c r="R123" s="4">
        <f t="shared" si="78"/>
        <v>0.94584787155511363</v>
      </c>
      <c r="S123" s="4">
        <f t="shared" si="78"/>
        <v>0.92370360150141495</v>
      </c>
      <c r="T123" s="4">
        <f t="shared" si="78"/>
        <v>0.89334463567658451</v>
      </c>
      <c r="U123" s="4">
        <f t="shared" si="78"/>
        <v>0.85254543874327005</v>
      </c>
      <c r="V123" s="4">
        <f t="shared" si="78"/>
        <v>0.79921300652623883</v>
      </c>
      <c r="W123" s="4">
        <f t="shared" si="78"/>
        <v>0.73204982249993378</v>
      </c>
      <c r="X123" s="4">
        <f t="shared" si="78"/>
        <v>0.65145592958786691</v>
      </c>
      <c r="Y123" s="4">
        <f t="shared" si="78"/>
        <v>0.56032247880849573</v>
      </c>
      <c r="Z123" s="4">
        <f t="shared" si="78"/>
        <v>0.46411326873185343</v>
      </c>
      <c r="AA123" s="4">
        <f t="shared" si="78"/>
        <v>0.36979727595523937</v>
      </c>
      <c r="AB123" s="4">
        <f t="shared" si="78"/>
        <v>0.28393948637231203</v>
      </c>
      <c r="AC123" s="4">
        <f t="shared" si="78"/>
        <v>0.21097259161117732</v>
      </c>
      <c r="AD123" s="4">
        <f t="shared" si="78"/>
        <v>0.15253917653798199</v>
      </c>
      <c r="AE123" s="4">
        <f t="shared" si="78"/>
        <v>0.10795188737709993</v>
      </c>
      <c r="AF123" s="4">
        <f t="shared" si="78"/>
        <v>7.5176653938091809E-2</v>
      </c>
      <c r="AG123" s="4">
        <f t="shared" si="78"/>
        <v>5.1742836177502194E-2</v>
      </c>
      <c r="AH123" s="4">
        <f t="shared" si="78"/>
        <v>3.5319190625345942E-2</v>
      </c>
      <c r="AI123" s="4">
        <f t="shared" si="78"/>
        <v>2.3969442072658165E-2</v>
      </c>
      <c r="AJ123" s="4">
        <f t="shared" si="78"/>
        <v>1.6202243558389728E-2</v>
      </c>
      <c r="AK123" s="4">
        <f t="shared" si="78"/>
        <v>1.0922240564108399E-2</v>
      </c>
      <c r="AL123" s="4">
        <f t="shared" si="78"/>
        <v>7.3493212906090566E-3</v>
      </c>
      <c r="AM123" s="4">
        <f t="shared" si="78"/>
        <v>4.9390262185057265E-3</v>
      </c>
      <c r="AN123" s="4">
        <f t="shared" si="78"/>
        <v>3.3164275492956197E-3</v>
      </c>
      <c r="AO123" s="4">
        <f t="shared" si="78"/>
        <v>2.2256362146679809E-3</v>
      </c>
      <c r="AP123" s="4">
        <f t="shared" si="78"/>
        <v>1.4930448704811861E-3</v>
      </c>
      <c r="AQ123" s="4">
        <f t="shared" si="78"/>
        <v>1.0013381504474506E-3</v>
      </c>
      <c r="AR123" s="4">
        <f t="shared" si="78"/>
        <v>6.7145100246257527E-4</v>
      </c>
    </row>
    <row r="124" spans="1:44" x14ac:dyDescent="0.3">
      <c r="A124" s="24" t="s">
        <v>273</v>
      </c>
      <c r="B124" s="60">
        <f>'Parameter Input'!B27</f>
        <v>0.11</v>
      </c>
      <c r="C124" s="61">
        <f>'Parameter Input'!C27</f>
        <v>0.11</v>
      </c>
      <c r="D124" s="1" t="s">
        <v>76</v>
      </c>
      <c r="L124" s="54">
        <f>'Parameter Input'!E27</f>
        <v>12</v>
      </c>
      <c r="M124" s="37">
        <v>0</v>
      </c>
      <c r="N124" s="37">
        <v>1</v>
      </c>
      <c r="O124" s="37">
        <f>'Parameter Input'!F27</f>
        <v>0.9</v>
      </c>
      <c r="P124" s="55">
        <f>'Parameter Input'!G27</f>
        <v>0.4</v>
      </c>
      <c r="Q124" s="4">
        <f t="shared" si="78"/>
        <v>0.9867978615748374</v>
      </c>
      <c r="R124" s="4">
        <f t="shared" si="78"/>
        <v>0.98114509762858249</v>
      </c>
      <c r="S124" s="4">
        <f t="shared" si="78"/>
        <v>0.97311898315872036</v>
      </c>
      <c r="T124" s="4">
        <f t="shared" si="78"/>
        <v>0.96177484161592774</v>
      </c>
      <c r="U124" s="4">
        <f t="shared" si="78"/>
        <v>0.94584787155511363</v>
      </c>
      <c r="V124" s="4">
        <f t="shared" si="78"/>
        <v>0.92370360150141495</v>
      </c>
      <c r="W124" s="4">
        <f t="shared" si="78"/>
        <v>0.89334463567658451</v>
      </c>
      <c r="X124" s="4">
        <f t="shared" si="78"/>
        <v>0.85254543874327005</v>
      </c>
      <c r="Y124" s="4">
        <f t="shared" si="78"/>
        <v>0.79921300652623883</v>
      </c>
      <c r="Z124" s="4">
        <f t="shared" si="78"/>
        <v>0.73204982249993378</v>
      </c>
      <c r="AA124" s="4">
        <f t="shared" si="78"/>
        <v>0.65145592958786691</v>
      </c>
      <c r="AB124" s="4">
        <f t="shared" si="78"/>
        <v>0.56032247880849573</v>
      </c>
      <c r="AC124" s="4">
        <f t="shared" si="78"/>
        <v>0.46411326873185343</v>
      </c>
      <c r="AD124" s="4">
        <f t="shared" si="78"/>
        <v>0.36979727595523937</v>
      </c>
      <c r="AE124" s="4">
        <f t="shared" si="78"/>
        <v>0.28393948637231203</v>
      </c>
      <c r="AF124" s="4">
        <f t="shared" si="78"/>
        <v>0.21097259161117732</v>
      </c>
      <c r="AG124" s="4">
        <f t="shared" si="78"/>
        <v>0.15253917653798199</v>
      </c>
      <c r="AH124" s="4">
        <f t="shared" si="78"/>
        <v>0.10795188737709993</v>
      </c>
      <c r="AI124" s="4">
        <f t="shared" si="78"/>
        <v>7.5176653938091809E-2</v>
      </c>
      <c r="AJ124" s="4">
        <f t="shared" si="78"/>
        <v>5.1742836177502194E-2</v>
      </c>
      <c r="AK124" s="4">
        <f t="shared" si="78"/>
        <v>3.5319190625345942E-2</v>
      </c>
      <c r="AL124" s="4">
        <f t="shared" si="78"/>
        <v>2.3969442072658165E-2</v>
      </c>
      <c r="AM124" s="4">
        <f t="shared" si="78"/>
        <v>1.6202243558389728E-2</v>
      </c>
      <c r="AN124" s="4">
        <f t="shared" si="78"/>
        <v>1.0922240564108399E-2</v>
      </c>
      <c r="AO124" s="4">
        <f t="shared" si="78"/>
        <v>7.3493212906090566E-3</v>
      </c>
      <c r="AP124" s="4">
        <f t="shared" si="78"/>
        <v>4.9390262185057265E-3</v>
      </c>
      <c r="AQ124" s="4">
        <f t="shared" si="78"/>
        <v>3.3164275492956197E-3</v>
      </c>
      <c r="AR124" s="4">
        <f t="shared" si="78"/>
        <v>2.2256362146679809E-3</v>
      </c>
    </row>
    <row r="125" spans="1:44" x14ac:dyDescent="0.3">
      <c r="A125" s="24" t="s">
        <v>59</v>
      </c>
      <c r="B125" s="47">
        <f>'Parameter Input'!$L$36</f>
        <v>2.5299999999999998</v>
      </c>
      <c r="C125" s="48">
        <f>'Parameter Input'!$M$36</f>
        <v>1.79</v>
      </c>
      <c r="D125" s="1" t="s">
        <v>60</v>
      </c>
      <c r="L125" s="54">
        <f>'Parameter Input'!$O$36</f>
        <v>9</v>
      </c>
      <c r="M125" s="37">
        <v>0</v>
      </c>
      <c r="N125" s="37">
        <v>1</v>
      </c>
      <c r="O125" s="37">
        <f>'Parameter Input'!$P$36</f>
        <v>0.9</v>
      </c>
      <c r="P125" s="55">
        <f>'Parameter Input'!$Q$36</f>
        <v>0.4</v>
      </c>
      <c r="Q125" s="4">
        <f t="shared" si="78"/>
        <v>0.96177484161592774</v>
      </c>
      <c r="R125" s="4">
        <f t="shared" si="78"/>
        <v>0.94584787155511363</v>
      </c>
      <c r="S125" s="4">
        <f t="shared" si="78"/>
        <v>0.92370360150141495</v>
      </c>
      <c r="T125" s="4">
        <f t="shared" si="78"/>
        <v>0.89334463567658451</v>
      </c>
      <c r="U125" s="4">
        <f t="shared" si="78"/>
        <v>0.85254543874327005</v>
      </c>
      <c r="V125" s="4">
        <f t="shared" si="78"/>
        <v>0.79921300652623883</v>
      </c>
      <c r="W125" s="4">
        <f t="shared" si="78"/>
        <v>0.73204982249993378</v>
      </c>
      <c r="X125" s="4">
        <f t="shared" si="78"/>
        <v>0.65145592958786691</v>
      </c>
      <c r="Y125" s="4">
        <f t="shared" si="78"/>
        <v>0.56032247880849573</v>
      </c>
      <c r="Z125" s="4">
        <f t="shared" si="78"/>
        <v>0.46411326873185343</v>
      </c>
      <c r="AA125" s="4">
        <f t="shared" si="78"/>
        <v>0.36979727595523937</v>
      </c>
      <c r="AB125" s="4">
        <f t="shared" si="78"/>
        <v>0.28393948637231203</v>
      </c>
      <c r="AC125" s="4">
        <f t="shared" si="78"/>
        <v>0.21097259161117732</v>
      </c>
      <c r="AD125" s="4">
        <f t="shared" si="78"/>
        <v>0.15253917653798199</v>
      </c>
      <c r="AE125" s="4">
        <f t="shared" si="78"/>
        <v>0.10795188737709993</v>
      </c>
      <c r="AF125" s="4">
        <f t="shared" si="78"/>
        <v>7.5176653938091809E-2</v>
      </c>
      <c r="AG125" s="4">
        <f t="shared" si="78"/>
        <v>5.1742836177502194E-2</v>
      </c>
      <c r="AH125" s="4">
        <f t="shared" si="78"/>
        <v>3.5319190625345942E-2</v>
      </c>
      <c r="AI125" s="4">
        <f t="shared" si="78"/>
        <v>2.3969442072658165E-2</v>
      </c>
      <c r="AJ125" s="4">
        <f t="shared" si="78"/>
        <v>1.6202243558389728E-2</v>
      </c>
      <c r="AK125" s="4">
        <f t="shared" si="78"/>
        <v>1.0922240564108399E-2</v>
      </c>
      <c r="AL125" s="4">
        <f t="shared" si="78"/>
        <v>7.3493212906090566E-3</v>
      </c>
      <c r="AM125" s="4">
        <f t="shared" si="78"/>
        <v>4.9390262185057265E-3</v>
      </c>
      <c r="AN125" s="4">
        <f t="shared" si="78"/>
        <v>3.3164275492956197E-3</v>
      </c>
      <c r="AO125" s="4">
        <f t="shared" si="78"/>
        <v>2.2256362146679809E-3</v>
      </c>
      <c r="AP125" s="4">
        <f t="shared" si="78"/>
        <v>1.4930448704811861E-3</v>
      </c>
      <c r="AQ125" s="4">
        <f t="shared" si="78"/>
        <v>1.0013381504474506E-3</v>
      </c>
      <c r="AR125" s="4">
        <f t="shared" si="78"/>
        <v>6.7145100246257527E-4</v>
      </c>
    </row>
    <row r="126" spans="1:44" x14ac:dyDescent="0.3">
      <c r="A126" s="24" t="s">
        <v>67</v>
      </c>
      <c r="B126" s="45">
        <f>'Parameter Input'!$L$37</f>
        <v>0.21633448448114301</v>
      </c>
      <c r="C126" s="46">
        <f>'Parameter Input'!$M$37</f>
        <v>0.101814693285632</v>
      </c>
      <c r="D126" s="1" t="s">
        <v>68</v>
      </c>
      <c r="L126" s="54">
        <f>'Parameter Input'!$O$37</f>
        <v>12</v>
      </c>
      <c r="M126" s="37">
        <v>0</v>
      </c>
      <c r="N126" s="37">
        <v>1</v>
      </c>
      <c r="O126" s="37">
        <f>'Parameter Input'!$P$37</f>
        <v>0.9</v>
      </c>
      <c r="P126" s="55">
        <f>'Parameter Input'!$Q$37</f>
        <v>0.4</v>
      </c>
      <c r="Q126" s="4">
        <f t="shared" si="78"/>
        <v>0.9867978615748374</v>
      </c>
      <c r="R126" s="4">
        <f t="shared" si="78"/>
        <v>0.98114509762858249</v>
      </c>
      <c r="S126" s="4">
        <f t="shared" si="78"/>
        <v>0.97311898315872036</v>
      </c>
      <c r="T126" s="4">
        <f t="shared" ref="T126:AI133" si="79">$N126+($M126-$N126)*((1/(1+EXP(-$P126*(T$9-$L126)))^$O126))</f>
        <v>0.96177484161592774</v>
      </c>
      <c r="U126" s="4">
        <f t="shared" si="79"/>
        <v>0.94584787155511363</v>
      </c>
      <c r="V126" s="4">
        <f t="shared" si="79"/>
        <v>0.92370360150141495</v>
      </c>
      <c r="W126" s="4">
        <f t="shared" si="79"/>
        <v>0.89334463567658451</v>
      </c>
      <c r="X126" s="4">
        <f t="shared" si="79"/>
        <v>0.85254543874327005</v>
      </c>
      <c r="Y126" s="4">
        <f t="shared" si="79"/>
        <v>0.79921300652623883</v>
      </c>
      <c r="Z126" s="4">
        <f t="shared" si="79"/>
        <v>0.73204982249993378</v>
      </c>
      <c r="AA126" s="4">
        <f t="shared" si="79"/>
        <v>0.65145592958786691</v>
      </c>
      <c r="AB126" s="4">
        <f t="shared" si="79"/>
        <v>0.56032247880849573</v>
      </c>
      <c r="AC126" s="4">
        <f t="shared" si="79"/>
        <v>0.46411326873185343</v>
      </c>
      <c r="AD126" s="4">
        <f t="shared" si="79"/>
        <v>0.36979727595523937</v>
      </c>
      <c r="AE126" s="4">
        <f t="shared" si="79"/>
        <v>0.28393948637231203</v>
      </c>
      <c r="AF126" s="4">
        <f t="shared" si="79"/>
        <v>0.21097259161117732</v>
      </c>
      <c r="AG126" s="4">
        <f t="shared" si="79"/>
        <v>0.15253917653798199</v>
      </c>
      <c r="AH126" s="4">
        <f t="shared" si="79"/>
        <v>0.10795188737709993</v>
      </c>
      <c r="AI126" s="4">
        <f t="shared" si="79"/>
        <v>7.5176653938091809E-2</v>
      </c>
      <c r="AJ126" s="4">
        <f t="shared" ref="AJ126:AR133" si="80">$N126+($M126-$N126)*((1/(1+EXP(-$P126*(AJ$9-$L126)))^$O126))</f>
        <v>5.1742836177502194E-2</v>
      </c>
      <c r="AK126" s="4">
        <f t="shared" si="80"/>
        <v>3.5319190625345942E-2</v>
      </c>
      <c r="AL126" s="4">
        <f t="shared" si="80"/>
        <v>2.3969442072658165E-2</v>
      </c>
      <c r="AM126" s="4">
        <f t="shared" si="80"/>
        <v>1.6202243558389728E-2</v>
      </c>
      <c r="AN126" s="4">
        <f t="shared" si="80"/>
        <v>1.0922240564108399E-2</v>
      </c>
      <c r="AO126" s="4">
        <f t="shared" si="80"/>
        <v>7.3493212906090566E-3</v>
      </c>
      <c r="AP126" s="4">
        <f t="shared" si="80"/>
        <v>4.9390262185057265E-3</v>
      </c>
      <c r="AQ126" s="4">
        <f t="shared" si="80"/>
        <v>3.3164275492956197E-3</v>
      </c>
      <c r="AR126" s="4">
        <f t="shared" si="80"/>
        <v>2.2256362146679809E-3</v>
      </c>
    </row>
    <row r="127" spans="1:44" x14ac:dyDescent="0.3">
      <c r="A127" s="24" t="s">
        <v>206</v>
      </c>
      <c r="B127" s="115">
        <f>'Parameter Input'!$L$40</f>
        <v>9.1245901639344252E-3</v>
      </c>
      <c r="C127" s="116">
        <f>'Parameter Input'!$M$40</f>
        <v>0</v>
      </c>
      <c r="D127" s="1" t="s">
        <v>76</v>
      </c>
      <c r="L127" s="54">
        <f>'Parameter Input'!$O$40</f>
        <v>17</v>
      </c>
      <c r="M127" s="37">
        <v>0</v>
      </c>
      <c r="N127" s="37">
        <v>1</v>
      </c>
      <c r="O127" s="37">
        <f>'Parameter Input'!$P$40</f>
        <v>0.9</v>
      </c>
      <c r="P127" s="55">
        <f>'Parameter Input'!$Q$40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3">
      <c r="A128" s="24" t="s">
        <v>41</v>
      </c>
      <c r="B128" s="43">
        <f>'Parameter Input'!$L$34</f>
        <v>8</v>
      </c>
      <c r="C128" s="44">
        <f>'Parameter Input'!$M$34</f>
        <v>8</v>
      </c>
      <c r="D128" s="1" t="s">
        <v>42</v>
      </c>
      <c r="L128" s="54">
        <f>'Parameter Input'!$O$34</f>
        <v>9</v>
      </c>
      <c r="M128" s="37">
        <v>0</v>
      </c>
      <c r="N128" s="37">
        <v>1</v>
      </c>
      <c r="O128" s="37">
        <f>'Parameter Input'!$P$34</f>
        <v>0.9</v>
      </c>
      <c r="P128" s="55">
        <f>'Parameter Input'!$Q$34</f>
        <v>0.4</v>
      </c>
      <c r="Q128" s="4">
        <f t="shared" ref="Q128:AF133" si="82">$N128+($M128-$N128)*((1/(1+EXP(-$P128*(Q$9-$L128)))^$O128))</f>
        <v>0.96177484161592774</v>
      </c>
      <c r="R128" s="4">
        <f t="shared" si="82"/>
        <v>0.94584787155511363</v>
      </c>
      <c r="S128" s="4">
        <f t="shared" si="82"/>
        <v>0.92370360150141495</v>
      </c>
      <c r="T128" s="4">
        <f t="shared" si="82"/>
        <v>0.89334463567658451</v>
      </c>
      <c r="U128" s="4">
        <f t="shared" si="82"/>
        <v>0.85254543874327005</v>
      </c>
      <c r="V128" s="4">
        <f t="shared" si="82"/>
        <v>0.79921300652623883</v>
      </c>
      <c r="W128" s="4">
        <f t="shared" si="82"/>
        <v>0.73204982249993378</v>
      </c>
      <c r="X128" s="4">
        <f t="shared" si="82"/>
        <v>0.65145592958786691</v>
      </c>
      <c r="Y128" s="4">
        <f t="shared" si="82"/>
        <v>0.56032247880849573</v>
      </c>
      <c r="Z128" s="4">
        <f t="shared" si="82"/>
        <v>0.46411326873185343</v>
      </c>
      <c r="AA128" s="4">
        <f t="shared" si="82"/>
        <v>0.36979727595523937</v>
      </c>
      <c r="AB128" s="4">
        <f t="shared" si="82"/>
        <v>0.28393948637231203</v>
      </c>
      <c r="AC128" s="4">
        <f t="shared" si="82"/>
        <v>0.21097259161117732</v>
      </c>
      <c r="AD128" s="4">
        <f t="shared" si="82"/>
        <v>0.15253917653798199</v>
      </c>
      <c r="AE128" s="4">
        <f t="shared" si="82"/>
        <v>0.10795188737709993</v>
      </c>
      <c r="AF128" s="4">
        <f t="shared" si="82"/>
        <v>7.5176653938091809E-2</v>
      </c>
      <c r="AG128" s="4">
        <f t="shared" si="79"/>
        <v>5.1742836177502194E-2</v>
      </c>
      <c r="AH128" s="4">
        <f t="shared" si="79"/>
        <v>3.5319190625345942E-2</v>
      </c>
      <c r="AI128" s="4">
        <f t="shared" si="79"/>
        <v>2.3969442072658165E-2</v>
      </c>
      <c r="AJ128" s="4">
        <f t="shared" si="80"/>
        <v>1.6202243558389728E-2</v>
      </c>
      <c r="AK128" s="4">
        <f t="shared" si="80"/>
        <v>1.0922240564108399E-2</v>
      </c>
      <c r="AL128" s="4">
        <f t="shared" si="80"/>
        <v>7.3493212906090566E-3</v>
      </c>
      <c r="AM128" s="4">
        <f t="shared" si="80"/>
        <v>4.9390262185057265E-3</v>
      </c>
      <c r="AN128" s="4">
        <f t="shared" si="80"/>
        <v>3.3164275492956197E-3</v>
      </c>
      <c r="AO128" s="4">
        <f t="shared" si="80"/>
        <v>2.2256362146679809E-3</v>
      </c>
      <c r="AP128" s="4">
        <f t="shared" si="80"/>
        <v>1.4930448704811861E-3</v>
      </c>
      <c r="AQ128" s="4">
        <f t="shared" si="80"/>
        <v>1.0013381504474506E-3</v>
      </c>
      <c r="AR128" s="4">
        <f t="shared" si="80"/>
        <v>6.7145100246257527E-4</v>
      </c>
    </row>
    <row r="129" spans="1:44" x14ac:dyDescent="0.3">
      <c r="A129" s="24" t="s">
        <v>70</v>
      </c>
      <c r="B129" s="60">
        <f>'Parameter Input'!B26</f>
        <v>10</v>
      </c>
      <c r="C129" s="61">
        <f>'Parameter Input'!C26</f>
        <v>10</v>
      </c>
      <c r="D129" s="1" t="s">
        <v>42</v>
      </c>
      <c r="L129" s="54">
        <f>'Parameter Input'!E26</f>
        <v>12</v>
      </c>
      <c r="M129" s="37">
        <v>0</v>
      </c>
      <c r="N129" s="37">
        <v>1</v>
      </c>
      <c r="O129" s="37">
        <f>'Parameter Input'!F26</f>
        <v>0.9</v>
      </c>
      <c r="P129" s="55">
        <f>'Parameter Input'!G26</f>
        <v>0.4</v>
      </c>
      <c r="Q129" s="4">
        <f t="shared" si="82"/>
        <v>0.9867978615748374</v>
      </c>
      <c r="R129" s="4">
        <f t="shared" si="82"/>
        <v>0.98114509762858249</v>
      </c>
      <c r="S129" s="4">
        <f t="shared" si="82"/>
        <v>0.97311898315872036</v>
      </c>
      <c r="T129" s="4">
        <f t="shared" si="82"/>
        <v>0.96177484161592774</v>
      </c>
      <c r="U129" s="4">
        <f t="shared" si="82"/>
        <v>0.94584787155511363</v>
      </c>
      <c r="V129" s="4">
        <f t="shared" si="82"/>
        <v>0.92370360150141495</v>
      </c>
      <c r="W129" s="4">
        <f t="shared" si="82"/>
        <v>0.89334463567658451</v>
      </c>
      <c r="X129" s="4">
        <f t="shared" si="82"/>
        <v>0.85254543874327005</v>
      </c>
      <c r="Y129" s="4">
        <f t="shared" si="82"/>
        <v>0.79921300652623883</v>
      </c>
      <c r="Z129" s="4">
        <f t="shared" si="82"/>
        <v>0.73204982249993378</v>
      </c>
      <c r="AA129" s="4">
        <f t="shared" si="82"/>
        <v>0.65145592958786691</v>
      </c>
      <c r="AB129" s="4">
        <f t="shared" si="82"/>
        <v>0.56032247880849573</v>
      </c>
      <c r="AC129" s="4">
        <f t="shared" si="82"/>
        <v>0.46411326873185343</v>
      </c>
      <c r="AD129" s="4">
        <f t="shared" si="82"/>
        <v>0.36979727595523937</v>
      </c>
      <c r="AE129" s="4">
        <f t="shared" si="82"/>
        <v>0.28393948637231203</v>
      </c>
      <c r="AF129" s="4">
        <f t="shared" si="82"/>
        <v>0.21097259161117732</v>
      </c>
      <c r="AG129" s="4">
        <f t="shared" si="79"/>
        <v>0.15253917653798199</v>
      </c>
      <c r="AH129" s="4">
        <f t="shared" si="79"/>
        <v>0.10795188737709993</v>
      </c>
      <c r="AI129" s="4">
        <f t="shared" si="79"/>
        <v>7.5176653938091809E-2</v>
      </c>
      <c r="AJ129" s="4">
        <f t="shared" si="80"/>
        <v>5.1742836177502194E-2</v>
      </c>
      <c r="AK129" s="4">
        <f t="shared" si="80"/>
        <v>3.5319190625345942E-2</v>
      </c>
      <c r="AL129" s="4">
        <f t="shared" si="80"/>
        <v>2.3969442072658165E-2</v>
      </c>
      <c r="AM129" s="4">
        <f t="shared" si="80"/>
        <v>1.6202243558389728E-2</v>
      </c>
      <c r="AN129" s="4">
        <f t="shared" si="80"/>
        <v>1.0922240564108399E-2</v>
      </c>
      <c r="AO129" s="4">
        <f t="shared" si="80"/>
        <v>7.3493212906090566E-3</v>
      </c>
      <c r="AP129" s="4">
        <f t="shared" si="80"/>
        <v>4.9390262185057265E-3</v>
      </c>
      <c r="AQ129" s="4">
        <f t="shared" si="80"/>
        <v>3.3164275492956197E-3</v>
      </c>
      <c r="AR129" s="4">
        <f t="shared" si="80"/>
        <v>2.2256362146679809E-3</v>
      </c>
    </row>
    <row r="130" spans="1:44" x14ac:dyDescent="0.3">
      <c r="A130" s="24" t="s">
        <v>207</v>
      </c>
      <c r="B130" s="43">
        <f>'Parameter Input'!B23</f>
        <v>25</v>
      </c>
      <c r="C130" s="44">
        <f>'Parameter Input'!C23</f>
        <v>25</v>
      </c>
      <c r="D130" s="1" t="s">
        <v>49</v>
      </c>
      <c r="L130" s="54">
        <f>'Parameter Input'!E23</f>
        <v>12</v>
      </c>
      <c r="M130" s="37">
        <v>0</v>
      </c>
      <c r="N130" s="37">
        <v>1</v>
      </c>
      <c r="O130" s="37">
        <f>'Parameter Input'!F23</f>
        <v>0.9</v>
      </c>
      <c r="P130" s="55">
        <f>'Parameter Input'!G23</f>
        <v>0.4</v>
      </c>
      <c r="Q130" s="4">
        <f t="shared" si="82"/>
        <v>0.9867978615748374</v>
      </c>
      <c r="R130" s="4">
        <f t="shared" si="82"/>
        <v>0.98114509762858249</v>
      </c>
      <c r="S130" s="4">
        <f t="shared" si="82"/>
        <v>0.97311898315872036</v>
      </c>
      <c r="T130" s="4">
        <f t="shared" si="82"/>
        <v>0.96177484161592774</v>
      </c>
      <c r="U130" s="4">
        <f t="shared" si="82"/>
        <v>0.94584787155511363</v>
      </c>
      <c r="V130" s="4">
        <f t="shared" si="82"/>
        <v>0.92370360150141495</v>
      </c>
      <c r="W130" s="4">
        <f t="shared" si="82"/>
        <v>0.89334463567658451</v>
      </c>
      <c r="X130" s="4">
        <f t="shared" si="82"/>
        <v>0.85254543874327005</v>
      </c>
      <c r="Y130" s="4">
        <f t="shared" si="82"/>
        <v>0.79921300652623883</v>
      </c>
      <c r="Z130" s="4">
        <f t="shared" si="82"/>
        <v>0.73204982249993378</v>
      </c>
      <c r="AA130" s="4">
        <f t="shared" si="82"/>
        <v>0.65145592958786691</v>
      </c>
      <c r="AB130" s="4">
        <f t="shared" si="82"/>
        <v>0.56032247880849573</v>
      </c>
      <c r="AC130" s="4">
        <f t="shared" si="82"/>
        <v>0.46411326873185343</v>
      </c>
      <c r="AD130" s="4">
        <f t="shared" si="82"/>
        <v>0.36979727595523937</v>
      </c>
      <c r="AE130" s="4">
        <f t="shared" si="82"/>
        <v>0.28393948637231203</v>
      </c>
      <c r="AF130" s="4">
        <f t="shared" si="82"/>
        <v>0.21097259161117732</v>
      </c>
      <c r="AG130" s="4">
        <f t="shared" si="79"/>
        <v>0.15253917653798199</v>
      </c>
      <c r="AH130" s="4">
        <f t="shared" si="79"/>
        <v>0.10795188737709993</v>
      </c>
      <c r="AI130" s="4">
        <f t="shared" si="79"/>
        <v>7.5176653938091809E-2</v>
      </c>
      <c r="AJ130" s="4">
        <f t="shared" si="80"/>
        <v>5.1742836177502194E-2</v>
      </c>
      <c r="AK130" s="4">
        <f t="shared" si="80"/>
        <v>3.5319190625345942E-2</v>
      </c>
      <c r="AL130" s="4">
        <f t="shared" si="80"/>
        <v>2.3969442072658165E-2</v>
      </c>
      <c r="AM130" s="4">
        <f t="shared" si="80"/>
        <v>1.6202243558389728E-2</v>
      </c>
      <c r="AN130" s="4">
        <f t="shared" si="80"/>
        <v>1.0922240564108399E-2</v>
      </c>
      <c r="AO130" s="4">
        <f t="shared" si="80"/>
        <v>7.3493212906090566E-3</v>
      </c>
      <c r="AP130" s="4">
        <f t="shared" si="80"/>
        <v>4.9390262185057265E-3</v>
      </c>
      <c r="AQ130" s="4">
        <f t="shared" si="80"/>
        <v>3.3164275492956197E-3</v>
      </c>
      <c r="AR130" s="4">
        <f t="shared" si="80"/>
        <v>2.2256362146679809E-3</v>
      </c>
    </row>
    <row r="131" spans="1:44" x14ac:dyDescent="0.3">
      <c r="A131" s="24" t="s">
        <v>56</v>
      </c>
      <c r="B131" s="45">
        <f>'Parameter Input'!B24</f>
        <v>0.48</v>
      </c>
      <c r="C131" s="46">
        <f>'Parameter Input'!C24</f>
        <v>0.48</v>
      </c>
      <c r="D131" s="1" t="s">
        <v>57</v>
      </c>
      <c r="L131" s="54">
        <f>'Parameter Input'!E24</f>
        <v>12</v>
      </c>
      <c r="M131" s="37">
        <v>0</v>
      </c>
      <c r="N131" s="37">
        <v>1</v>
      </c>
      <c r="O131" s="37">
        <f>'Parameter Input'!F24</f>
        <v>0.9</v>
      </c>
      <c r="P131" s="55">
        <f>'Parameter Input'!G24</f>
        <v>0.4</v>
      </c>
      <c r="Q131" s="4">
        <f t="shared" si="82"/>
        <v>0.9867978615748374</v>
      </c>
      <c r="R131" s="4">
        <f t="shared" si="82"/>
        <v>0.98114509762858249</v>
      </c>
      <c r="S131" s="4">
        <f t="shared" si="82"/>
        <v>0.97311898315872036</v>
      </c>
      <c r="T131" s="4">
        <f t="shared" si="82"/>
        <v>0.96177484161592774</v>
      </c>
      <c r="U131" s="4">
        <f t="shared" si="82"/>
        <v>0.94584787155511363</v>
      </c>
      <c r="V131" s="4">
        <f t="shared" si="82"/>
        <v>0.92370360150141495</v>
      </c>
      <c r="W131" s="4">
        <f t="shared" si="82"/>
        <v>0.89334463567658451</v>
      </c>
      <c r="X131" s="4">
        <f t="shared" si="82"/>
        <v>0.85254543874327005</v>
      </c>
      <c r="Y131" s="4">
        <f t="shared" si="82"/>
        <v>0.79921300652623883</v>
      </c>
      <c r="Z131" s="4">
        <f t="shared" si="82"/>
        <v>0.73204982249993378</v>
      </c>
      <c r="AA131" s="4">
        <f t="shared" si="82"/>
        <v>0.65145592958786691</v>
      </c>
      <c r="AB131" s="4">
        <f t="shared" si="82"/>
        <v>0.56032247880849573</v>
      </c>
      <c r="AC131" s="4">
        <f t="shared" si="82"/>
        <v>0.46411326873185343</v>
      </c>
      <c r="AD131" s="4">
        <f t="shared" si="82"/>
        <v>0.36979727595523937</v>
      </c>
      <c r="AE131" s="4">
        <f t="shared" si="82"/>
        <v>0.28393948637231203</v>
      </c>
      <c r="AF131" s="4">
        <f t="shared" si="82"/>
        <v>0.21097259161117732</v>
      </c>
      <c r="AG131" s="4">
        <f t="shared" si="79"/>
        <v>0.15253917653798199</v>
      </c>
      <c r="AH131" s="4">
        <f t="shared" si="79"/>
        <v>0.10795188737709993</v>
      </c>
      <c r="AI131" s="4">
        <f t="shared" si="79"/>
        <v>7.5176653938091809E-2</v>
      </c>
      <c r="AJ131" s="4">
        <f t="shared" si="80"/>
        <v>5.1742836177502194E-2</v>
      </c>
      <c r="AK131" s="4">
        <f t="shared" si="80"/>
        <v>3.5319190625345942E-2</v>
      </c>
      <c r="AL131" s="4">
        <f t="shared" si="80"/>
        <v>2.3969442072658165E-2</v>
      </c>
      <c r="AM131" s="4">
        <f t="shared" si="80"/>
        <v>1.6202243558389728E-2</v>
      </c>
      <c r="AN131" s="4">
        <f t="shared" si="80"/>
        <v>1.0922240564108399E-2</v>
      </c>
      <c r="AO131" s="4">
        <f t="shared" si="80"/>
        <v>7.3493212906090566E-3</v>
      </c>
      <c r="AP131" s="4">
        <f t="shared" si="80"/>
        <v>4.9390262185057265E-3</v>
      </c>
      <c r="AQ131" s="4">
        <f t="shared" si="80"/>
        <v>3.3164275492956197E-3</v>
      </c>
      <c r="AR131" s="4">
        <f t="shared" si="80"/>
        <v>2.2256362146679809E-3</v>
      </c>
    </row>
    <row r="132" spans="1:44" x14ac:dyDescent="0.3">
      <c r="A132" s="24" t="s">
        <v>73</v>
      </c>
      <c r="B132" s="72">
        <f>'Parameter Input'!$L$38</f>
        <v>0.05</v>
      </c>
      <c r="C132" s="73">
        <f>'Parameter Input'!$M$38</f>
        <v>0.02</v>
      </c>
      <c r="D132" s="1" t="s">
        <v>57</v>
      </c>
      <c r="L132" s="54">
        <f>'Parameter Input'!$O$38</f>
        <v>12</v>
      </c>
      <c r="M132" s="37">
        <v>0</v>
      </c>
      <c r="N132" s="37">
        <v>1</v>
      </c>
      <c r="O132" s="37">
        <f>'Parameter Input'!$P$38</f>
        <v>0.9</v>
      </c>
      <c r="P132" s="55">
        <f>'Parameter Input'!$Q$38</f>
        <v>0.4</v>
      </c>
      <c r="Q132" s="4">
        <f t="shared" si="82"/>
        <v>0.9867978615748374</v>
      </c>
      <c r="R132" s="4">
        <f t="shared" si="82"/>
        <v>0.98114509762858249</v>
      </c>
      <c r="S132" s="4">
        <f t="shared" si="82"/>
        <v>0.97311898315872036</v>
      </c>
      <c r="T132" s="4">
        <f t="shared" si="82"/>
        <v>0.96177484161592774</v>
      </c>
      <c r="U132" s="4">
        <f t="shared" si="82"/>
        <v>0.94584787155511363</v>
      </c>
      <c r="V132" s="4">
        <f t="shared" si="82"/>
        <v>0.92370360150141495</v>
      </c>
      <c r="W132" s="4">
        <f t="shared" si="82"/>
        <v>0.89334463567658451</v>
      </c>
      <c r="X132" s="4">
        <f t="shared" si="82"/>
        <v>0.85254543874327005</v>
      </c>
      <c r="Y132" s="4">
        <f t="shared" si="82"/>
        <v>0.79921300652623883</v>
      </c>
      <c r="Z132" s="4">
        <f t="shared" si="82"/>
        <v>0.73204982249993378</v>
      </c>
      <c r="AA132" s="4">
        <f t="shared" si="82"/>
        <v>0.65145592958786691</v>
      </c>
      <c r="AB132" s="4">
        <f t="shared" si="82"/>
        <v>0.56032247880849573</v>
      </c>
      <c r="AC132" s="4">
        <f t="shared" si="82"/>
        <v>0.46411326873185343</v>
      </c>
      <c r="AD132" s="4">
        <f t="shared" si="82"/>
        <v>0.36979727595523937</v>
      </c>
      <c r="AE132" s="4">
        <f t="shared" si="82"/>
        <v>0.28393948637231203</v>
      </c>
      <c r="AF132" s="4">
        <f t="shared" si="82"/>
        <v>0.21097259161117732</v>
      </c>
      <c r="AG132" s="4">
        <f t="shared" si="79"/>
        <v>0.15253917653798199</v>
      </c>
      <c r="AH132" s="4">
        <f t="shared" si="79"/>
        <v>0.10795188737709993</v>
      </c>
      <c r="AI132" s="4">
        <f t="shared" si="79"/>
        <v>7.5176653938091809E-2</v>
      </c>
      <c r="AJ132" s="4">
        <f t="shared" si="80"/>
        <v>5.1742836177502194E-2</v>
      </c>
      <c r="AK132" s="4">
        <f t="shared" si="80"/>
        <v>3.5319190625345942E-2</v>
      </c>
      <c r="AL132" s="4">
        <f t="shared" si="80"/>
        <v>2.3969442072658165E-2</v>
      </c>
      <c r="AM132" s="4">
        <f t="shared" si="80"/>
        <v>1.6202243558389728E-2</v>
      </c>
      <c r="AN132" s="4">
        <f t="shared" si="80"/>
        <v>1.0922240564108399E-2</v>
      </c>
      <c r="AO132" s="4">
        <f t="shared" si="80"/>
        <v>7.3493212906090566E-3</v>
      </c>
      <c r="AP132" s="4">
        <f t="shared" si="80"/>
        <v>4.9390262185057265E-3</v>
      </c>
      <c r="AQ132" s="4">
        <f t="shared" si="80"/>
        <v>3.3164275492956197E-3</v>
      </c>
      <c r="AR132" s="4">
        <f t="shared" si="80"/>
        <v>2.2256362146679809E-3</v>
      </c>
    </row>
    <row r="133" spans="1:44" ht="15" thickBot="1" x14ac:dyDescent="0.35">
      <c r="A133" s="24" t="s">
        <v>64</v>
      </c>
      <c r="B133" s="49">
        <f>'Parameter Input'!B25</f>
        <v>110000</v>
      </c>
      <c r="C133" s="50">
        <f>'Parameter Input'!C25</f>
        <v>110000</v>
      </c>
      <c r="D133" s="1" t="s">
        <v>65</v>
      </c>
      <c r="L133" s="56">
        <f>'Parameter Input'!E25</f>
        <v>12</v>
      </c>
      <c r="M133" s="57">
        <v>0</v>
      </c>
      <c r="N133" s="57">
        <v>1</v>
      </c>
      <c r="O133" s="57">
        <f>'Parameter Input'!F25</f>
        <v>0.9</v>
      </c>
      <c r="P133" s="58">
        <f>'Parameter Input'!G25</f>
        <v>0.4</v>
      </c>
      <c r="Q133" s="4">
        <f t="shared" si="82"/>
        <v>0.9867978615748374</v>
      </c>
      <c r="R133" s="4">
        <f t="shared" si="82"/>
        <v>0.98114509762858249</v>
      </c>
      <c r="S133" s="4">
        <f t="shared" si="82"/>
        <v>0.97311898315872036</v>
      </c>
      <c r="T133" s="4">
        <f t="shared" si="82"/>
        <v>0.96177484161592774</v>
      </c>
      <c r="U133" s="4">
        <f t="shared" si="82"/>
        <v>0.94584787155511363</v>
      </c>
      <c r="V133" s="4">
        <f t="shared" si="82"/>
        <v>0.92370360150141495</v>
      </c>
      <c r="W133" s="4">
        <f t="shared" si="82"/>
        <v>0.89334463567658451</v>
      </c>
      <c r="X133" s="4">
        <f t="shared" si="82"/>
        <v>0.85254543874327005</v>
      </c>
      <c r="Y133" s="4">
        <f t="shared" si="82"/>
        <v>0.79921300652623883</v>
      </c>
      <c r="Z133" s="4">
        <f t="shared" si="82"/>
        <v>0.73204982249993378</v>
      </c>
      <c r="AA133" s="4">
        <f t="shared" si="82"/>
        <v>0.65145592958786691</v>
      </c>
      <c r="AB133" s="4">
        <f t="shared" si="82"/>
        <v>0.56032247880849573</v>
      </c>
      <c r="AC133" s="4">
        <f t="shared" si="82"/>
        <v>0.46411326873185343</v>
      </c>
      <c r="AD133" s="4">
        <f t="shared" si="82"/>
        <v>0.36979727595523937</v>
      </c>
      <c r="AE133" s="4">
        <f t="shared" si="82"/>
        <v>0.28393948637231203</v>
      </c>
      <c r="AF133" s="4">
        <f t="shared" si="82"/>
        <v>0.21097259161117732</v>
      </c>
      <c r="AG133" s="4">
        <f t="shared" si="79"/>
        <v>0.15253917653798199</v>
      </c>
      <c r="AH133" s="4">
        <f t="shared" si="79"/>
        <v>0.10795188737709993</v>
      </c>
      <c r="AI133" s="4">
        <f t="shared" si="79"/>
        <v>7.5176653938091809E-2</v>
      </c>
      <c r="AJ133" s="4">
        <f t="shared" si="80"/>
        <v>5.1742836177502194E-2</v>
      </c>
      <c r="AK133" s="4">
        <f t="shared" si="80"/>
        <v>3.5319190625345942E-2</v>
      </c>
      <c r="AL133" s="4">
        <f t="shared" si="80"/>
        <v>2.3969442072658165E-2</v>
      </c>
      <c r="AM133" s="4">
        <f t="shared" si="80"/>
        <v>1.6202243558389728E-2</v>
      </c>
      <c r="AN133" s="4">
        <f t="shared" si="80"/>
        <v>1.0922240564108399E-2</v>
      </c>
      <c r="AO133" s="4">
        <f t="shared" si="80"/>
        <v>7.3493212906090566E-3</v>
      </c>
      <c r="AP133" s="4">
        <f t="shared" si="80"/>
        <v>4.9390262185057265E-3</v>
      </c>
      <c r="AQ133" s="4">
        <f t="shared" si="80"/>
        <v>3.3164275492956197E-3</v>
      </c>
      <c r="AR133" s="4">
        <f t="shared" si="80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83">A117</f>
        <v>Capex vehicle</v>
      </c>
      <c r="B137" s="62">
        <f t="shared" ref="B137:B146" si="84">$B117+($C117-$B117)*(1-Q117)</f>
        <v>381017.08777974301</v>
      </c>
      <c r="C137" s="62">
        <f t="shared" ref="C137:C146" si="85">$B117+($C117-$B117)*(1-R117)</f>
        <v>377274.24981545168</v>
      </c>
      <c r="D137" s="62">
        <f t="shared" ref="D137:D146" si="86">$B117+($C117-$B117)*(1-S117)</f>
        <v>372070.34635283251</v>
      </c>
      <c r="E137" s="62">
        <f t="shared" ref="E137:E146" si="87">$B117+($C117-$B117)*(1-T117)</f>
        <v>364935.98938399734</v>
      </c>
      <c r="F137" s="62">
        <f t="shared" ref="F137:F146" si="88">$B117+($C117-$B117)*(1-U117)</f>
        <v>355348.17810466845</v>
      </c>
      <c r="G137" s="62">
        <f t="shared" ref="G137:G146" si="89">$B117+($C117-$B117)*(1-V117)</f>
        <v>342815.05653366609</v>
      </c>
      <c r="H137" s="62">
        <f t="shared" ref="H137:H146" si="90">$B117+($C117-$B117)*(1-W117)</f>
        <v>327031.70828748442</v>
      </c>
      <c r="I137" s="62">
        <f t="shared" ref="I137:I146" si="91">$B117+($C117-$B117)*(1-X117)</f>
        <v>308092.14345314872</v>
      </c>
      <c r="J137" s="62">
        <f t="shared" ref="J137:J146" si="92">$B117+($C117-$B117)*(1-Y117)</f>
        <v>286675.78251999652</v>
      </c>
      <c r="K137" s="62">
        <f t="shared" ref="K137:K146" si="93">$B117+($C117-$B117)*(1-Z117)</f>
        <v>264066.61815198557</v>
      </c>
      <c r="L137" s="62">
        <f t="shared" ref="L137:L146" si="94">$B117+($C117-$B117)*(1-AA117)</f>
        <v>241902.35984948126</v>
      </c>
      <c r="M137" s="62">
        <f t="shared" ref="M137:M146" si="95">$B117+($C117-$B117)*(1-AB117)</f>
        <v>221725.77929749334</v>
      </c>
      <c r="N137" s="62">
        <f t="shared" ref="N137:N146" si="96">$B117+($C117-$B117)*(1-AC117)</f>
        <v>204578.55902862668</v>
      </c>
      <c r="O137" s="62">
        <f t="shared" ref="O137:O146" si="97">$B117+($C117-$B117)*(1-AD117)</f>
        <v>190846.70648642577</v>
      </c>
      <c r="P137" s="62">
        <f t="shared" ref="P137:P146" si="98">$B117+($C117-$B117)*(1-AE117)</f>
        <v>180368.6935336185</v>
      </c>
      <c r="Q137" s="62">
        <f t="shared" ref="Q137:Q146" si="99">$B117+($C117-$B117)*(1-AF117)</f>
        <v>172666.51367545157</v>
      </c>
      <c r="R137" s="62">
        <f t="shared" ref="R137:R146" si="100">$B117+($C117-$B117)*(1-AG117)</f>
        <v>167159.56650171301</v>
      </c>
      <c r="S137" s="62">
        <f t="shared" ref="S137:S146" si="101">$B117+($C117-$B117)*(1-AH117)</f>
        <v>163300.00979695629</v>
      </c>
      <c r="T137" s="62">
        <f t="shared" ref="T137:T146" si="102">$B117+($C117-$B117)*(1-AI117)</f>
        <v>160632.81888707468</v>
      </c>
      <c r="U137" s="62">
        <f t="shared" ref="U137:U146" si="103">$B117+($C117-$B117)*(1-AJ117)</f>
        <v>158807.52723622159</v>
      </c>
      <c r="V137" s="62">
        <f t="shared" ref="V137:V146" si="104">$B117+($C117-$B117)*(1-AK117)</f>
        <v>157566.72653256549</v>
      </c>
      <c r="W137" s="62">
        <f t="shared" ref="W137:W146" si="105">$B117+($C117-$B117)*(1-AL117)</f>
        <v>156727.09050329312</v>
      </c>
      <c r="X137" s="62">
        <f t="shared" ref="X137:X146" si="106">$B117+($C117-$B117)*(1-AM117)</f>
        <v>156160.67116134884</v>
      </c>
      <c r="Y137" s="62">
        <f t="shared" ref="Y137:Y146" si="107">$B117+($C117-$B117)*(1-AN117)</f>
        <v>155779.36047408447</v>
      </c>
      <c r="Z137" s="62">
        <f t="shared" ref="Z137:Z146" si="108">$B117+($C117-$B117)*(1-AO117)</f>
        <v>155523.02451044696</v>
      </c>
      <c r="AA137" s="62">
        <f t="shared" ref="AA137:AA146" si="109">$B117+($C117-$B117)*(1-AP117)</f>
        <v>155350.86554456307</v>
      </c>
      <c r="AB137" s="62">
        <f t="shared" ref="AB137:AB146" si="110">$B117+($C117-$B117)*(1-AQ117)</f>
        <v>155235.31446535516</v>
      </c>
      <c r="AC137" s="62">
        <f t="shared" ref="AC137:AC146" si="111">$B117+($C117-$B117)*(1-AR117)</f>
        <v>155157.7909855787</v>
      </c>
    </row>
    <row r="138" spans="1:44" x14ac:dyDescent="0.3">
      <c r="A138" s="30" t="str">
        <f t="shared" si="83"/>
        <v>Residual value (vehicle)</v>
      </c>
      <c r="B138" s="62">
        <f t="shared" si="84"/>
        <v>-57745.053121914571</v>
      </c>
      <c r="C138" s="62">
        <f t="shared" si="85"/>
        <v>-57430.49546321349</v>
      </c>
      <c r="D138" s="62">
        <f t="shared" si="86"/>
        <v>-56993.146129652945</v>
      </c>
      <c r="E138" s="62">
        <f t="shared" si="87"/>
        <v>-56393.556554612544</v>
      </c>
      <c r="F138" s="62">
        <f t="shared" si="88"/>
        <v>-55587.772415179585</v>
      </c>
      <c r="G138" s="62">
        <f t="shared" si="89"/>
        <v>-54534.456878893216</v>
      </c>
      <c r="H138" s="62">
        <f t="shared" si="90"/>
        <v>-53207.983994373695</v>
      </c>
      <c r="I138" s="62">
        <f t="shared" si="91"/>
        <v>-51616.254609360374</v>
      </c>
      <c r="J138" s="62">
        <f t="shared" si="92"/>
        <v>-49816.368956467792</v>
      </c>
      <c r="K138" s="62">
        <f t="shared" si="93"/>
        <v>-47916.237057454106</v>
      </c>
      <c r="L138" s="62">
        <f t="shared" si="94"/>
        <v>-46053.49620011598</v>
      </c>
      <c r="M138" s="62">
        <f t="shared" si="95"/>
        <v>-44357.804855853159</v>
      </c>
      <c r="N138" s="62">
        <f t="shared" si="96"/>
        <v>-42916.708684320751</v>
      </c>
      <c r="O138" s="62">
        <f t="shared" si="97"/>
        <v>-41762.648736625146</v>
      </c>
      <c r="P138" s="62">
        <f t="shared" si="98"/>
        <v>-40882.049775697727</v>
      </c>
      <c r="Q138" s="62">
        <f t="shared" si="99"/>
        <v>-40234.73891527731</v>
      </c>
      <c r="R138" s="62">
        <f t="shared" si="100"/>
        <v>-39771.921014505671</v>
      </c>
      <c r="S138" s="62">
        <f t="shared" si="101"/>
        <v>-39447.554014850582</v>
      </c>
      <c r="T138" s="62">
        <f t="shared" si="102"/>
        <v>-39223.396480935</v>
      </c>
      <c r="U138" s="62">
        <f t="shared" si="103"/>
        <v>-39069.994310278198</v>
      </c>
      <c r="V138" s="62">
        <f t="shared" si="104"/>
        <v>-38965.714251141137</v>
      </c>
      <c r="W138" s="62">
        <f t="shared" si="105"/>
        <v>-38895.149095489527</v>
      </c>
      <c r="X138" s="62">
        <f t="shared" si="106"/>
        <v>-38847.545767815493</v>
      </c>
      <c r="Y138" s="62">
        <f t="shared" si="107"/>
        <v>-38815.49944409859</v>
      </c>
      <c r="Z138" s="62">
        <f t="shared" si="108"/>
        <v>-38793.956315239688</v>
      </c>
      <c r="AA138" s="62">
        <f t="shared" si="109"/>
        <v>-38779.487636192003</v>
      </c>
      <c r="AB138" s="62">
        <f t="shared" si="110"/>
        <v>-38769.776428471334</v>
      </c>
      <c r="AC138" s="62">
        <f t="shared" si="111"/>
        <v>-38763.261157298635</v>
      </c>
    </row>
    <row r="139" spans="1:44" x14ac:dyDescent="0.3">
      <c r="A139" s="30" t="str">
        <f t="shared" si="83"/>
        <v>Capex costumization</v>
      </c>
      <c r="B139" s="62">
        <f t="shared" si="84"/>
        <v>60000</v>
      </c>
      <c r="C139" s="62">
        <f t="shared" si="85"/>
        <v>60000</v>
      </c>
      <c r="D139" s="62">
        <f t="shared" si="86"/>
        <v>60000</v>
      </c>
      <c r="E139" s="62">
        <f t="shared" si="87"/>
        <v>60000</v>
      </c>
      <c r="F139" s="62">
        <f t="shared" si="88"/>
        <v>60000</v>
      </c>
      <c r="G139" s="62">
        <f t="shared" si="89"/>
        <v>60000</v>
      </c>
      <c r="H139" s="62">
        <f t="shared" si="90"/>
        <v>60000</v>
      </c>
      <c r="I139" s="62">
        <f t="shared" si="91"/>
        <v>60000</v>
      </c>
      <c r="J139" s="62">
        <f t="shared" si="92"/>
        <v>60000</v>
      </c>
      <c r="K139" s="62">
        <f t="shared" si="93"/>
        <v>60000</v>
      </c>
      <c r="L139" s="62">
        <f t="shared" si="94"/>
        <v>60000</v>
      </c>
      <c r="M139" s="62">
        <f t="shared" si="95"/>
        <v>60000</v>
      </c>
      <c r="N139" s="62">
        <f t="shared" si="96"/>
        <v>60000</v>
      </c>
      <c r="O139" s="62">
        <f t="shared" si="97"/>
        <v>60000</v>
      </c>
      <c r="P139" s="62">
        <f t="shared" si="98"/>
        <v>60000</v>
      </c>
      <c r="Q139" s="62">
        <f t="shared" si="99"/>
        <v>60000</v>
      </c>
      <c r="R139" s="62">
        <f t="shared" si="100"/>
        <v>60000</v>
      </c>
      <c r="S139" s="62">
        <f t="shared" si="101"/>
        <v>60000</v>
      </c>
      <c r="T139" s="62">
        <f t="shared" si="102"/>
        <v>60000</v>
      </c>
      <c r="U139" s="62">
        <f t="shared" si="103"/>
        <v>60000</v>
      </c>
      <c r="V139" s="62">
        <f t="shared" si="104"/>
        <v>60000</v>
      </c>
      <c r="W139" s="62">
        <f t="shared" si="105"/>
        <v>60000</v>
      </c>
      <c r="X139" s="62">
        <f t="shared" si="106"/>
        <v>60000</v>
      </c>
      <c r="Y139" s="62">
        <f t="shared" si="107"/>
        <v>60000</v>
      </c>
      <c r="Z139" s="62">
        <f t="shared" si="108"/>
        <v>60000</v>
      </c>
      <c r="AA139" s="62">
        <f t="shared" si="109"/>
        <v>60000</v>
      </c>
      <c r="AB139" s="62">
        <f t="shared" si="110"/>
        <v>60000</v>
      </c>
      <c r="AC139" s="62">
        <f t="shared" si="111"/>
        <v>60000</v>
      </c>
    </row>
    <row r="140" spans="1:44" x14ac:dyDescent="0.3">
      <c r="A140" s="30" t="str">
        <f t="shared" si="83"/>
        <v>Residual value (costumization)</v>
      </c>
      <c r="B140" s="62">
        <f t="shared" si="84"/>
        <v>-15000</v>
      </c>
      <c r="C140" s="62">
        <f t="shared" si="85"/>
        <v>-15000</v>
      </c>
      <c r="D140" s="62">
        <f t="shared" si="86"/>
        <v>-15000</v>
      </c>
      <c r="E140" s="62">
        <f t="shared" si="87"/>
        <v>-15000</v>
      </c>
      <c r="F140" s="62">
        <f t="shared" si="88"/>
        <v>-15000</v>
      </c>
      <c r="G140" s="62">
        <f t="shared" si="89"/>
        <v>-15000</v>
      </c>
      <c r="H140" s="62">
        <f t="shared" si="90"/>
        <v>-15000</v>
      </c>
      <c r="I140" s="62">
        <f t="shared" si="91"/>
        <v>-15000</v>
      </c>
      <c r="J140" s="62">
        <f t="shared" si="92"/>
        <v>-15000</v>
      </c>
      <c r="K140" s="62">
        <f t="shared" si="93"/>
        <v>-15000</v>
      </c>
      <c r="L140" s="62">
        <f t="shared" si="94"/>
        <v>-15000</v>
      </c>
      <c r="M140" s="62">
        <f t="shared" si="95"/>
        <v>-15000</v>
      </c>
      <c r="N140" s="62">
        <f t="shared" si="96"/>
        <v>-15000</v>
      </c>
      <c r="O140" s="62">
        <f t="shared" si="97"/>
        <v>-15000</v>
      </c>
      <c r="P140" s="62">
        <f t="shared" si="98"/>
        <v>-15000</v>
      </c>
      <c r="Q140" s="62">
        <f t="shared" si="99"/>
        <v>-15000</v>
      </c>
      <c r="R140" s="62">
        <f t="shared" si="100"/>
        <v>-15000</v>
      </c>
      <c r="S140" s="62">
        <f t="shared" si="101"/>
        <v>-15000</v>
      </c>
      <c r="T140" s="62">
        <f t="shared" si="102"/>
        <v>-15000</v>
      </c>
      <c r="U140" s="62">
        <f t="shared" si="103"/>
        <v>-15000</v>
      </c>
      <c r="V140" s="62">
        <f t="shared" si="104"/>
        <v>-15000</v>
      </c>
      <c r="W140" s="62">
        <f t="shared" si="105"/>
        <v>-15000</v>
      </c>
      <c r="X140" s="62">
        <f t="shared" si="106"/>
        <v>-15000</v>
      </c>
      <c r="Y140" s="62">
        <f t="shared" si="107"/>
        <v>-15000</v>
      </c>
      <c r="Z140" s="62">
        <f t="shared" si="108"/>
        <v>-15000</v>
      </c>
      <c r="AA140" s="62">
        <f t="shared" si="109"/>
        <v>-15000</v>
      </c>
      <c r="AB140" s="62">
        <f t="shared" si="110"/>
        <v>-15000</v>
      </c>
      <c r="AC140" s="62">
        <f t="shared" si="111"/>
        <v>-15000</v>
      </c>
    </row>
    <row r="141" spans="1:44" x14ac:dyDescent="0.3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3">
      <c r="A142" s="30" t="str">
        <f t="shared" si="83"/>
        <v>Opex fix (admin, crew, insurance)</v>
      </c>
      <c r="B142" s="62">
        <f t="shared" si="84"/>
        <v>70000</v>
      </c>
      <c r="C142" s="62">
        <f t="shared" si="85"/>
        <v>70000</v>
      </c>
      <c r="D142" s="62">
        <f t="shared" si="86"/>
        <v>70000</v>
      </c>
      <c r="E142" s="62">
        <f t="shared" si="87"/>
        <v>70000</v>
      </c>
      <c r="F142" s="62">
        <f t="shared" si="88"/>
        <v>70000</v>
      </c>
      <c r="G142" s="62">
        <f t="shared" si="89"/>
        <v>70000</v>
      </c>
      <c r="H142" s="62">
        <f t="shared" si="90"/>
        <v>70000</v>
      </c>
      <c r="I142" s="62">
        <f t="shared" si="91"/>
        <v>70000</v>
      </c>
      <c r="J142" s="62">
        <f t="shared" si="92"/>
        <v>70000</v>
      </c>
      <c r="K142" s="62">
        <f t="shared" si="93"/>
        <v>70000</v>
      </c>
      <c r="L142" s="62">
        <f t="shared" si="94"/>
        <v>70000</v>
      </c>
      <c r="M142" s="62">
        <f t="shared" si="95"/>
        <v>70000</v>
      </c>
      <c r="N142" s="62">
        <f t="shared" si="96"/>
        <v>70000</v>
      </c>
      <c r="O142" s="62">
        <f t="shared" si="97"/>
        <v>70000</v>
      </c>
      <c r="P142" s="62">
        <f t="shared" si="98"/>
        <v>70000</v>
      </c>
      <c r="Q142" s="62">
        <f t="shared" si="99"/>
        <v>70000</v>
      </c>
      <c r="R142" s="62">
        <f t="shared" si="100"/>
        <v>70000</v>
      </c>
      <c r="S142" s="62">
        <f t="shared" si="101"/>
        <v>70000</v>
      </c>
      <c r="T142" s="62">
        <f t="shared" si="102"/>
        <v>70000</v>
      </c>
      <c r="U142" s="62">
        <f t="shared" si="103"/>
        <v>70000</v>
      </c>
      <c r="V142" s="62">
        <f t="shared" si="104"/>
        <v>70000</v>
      </c>
      <c r="W142" s="62">
        <f t="shared" si="105"/>
        <v>70000</v>
      </c>
      <c r="X142" s="62">
        <f t="shared" si="106"/>
        <v>70000</v>
      </c>
      <c r="Y142" s="62">
        <f t="shared" si="107"/>
        <v>70000</v>
      </c>
      <c r="Z142" s="62">
        <f t="shared" si="108"/>
        <v>70000</v>
      </c>
      <c r="AA142" s="62">
        <f t="shared" si="109"/>
        <v>70000</v>
      </c>
      <c r="AB142" s="62">
        <f t="shared" si="110"/>
        <v>70000</v>
      </c>
      <c r="AC142" s="62">
        <f t="shared" si="111"/>
        <v>70000</v>
      </c>
    </row>
    <row r="143" spans="1:44" x14ac:dyDescent="0.3">
      <c r="A143" s="30" t="str">
        <f t="shared" si="83"/>
        <v>Opex maintenance &amp; repair</v>
      </c>
      <c r="B143" s="62">
        <f t="shared" si="84"/>
        <v>25694.198732927423</v>
      </c>
      <c r="C143" s="62">
        <f t="shared" si="85"/>
        <v>25566.782972440909</v>
      </c>
      <c r="D143" s="62">
        <f t="shared" si="86"/>
        <v>25389.62881201132</v>
      </c>
      <c r="E143" s="62">
        <f t="shared" si="87"/>
        <v>25146.757085412675</v>
      </c>
      <c r="F143" s="62">
        <f t="shared" si="88"/>
        <v>24820.363509946161</v>
      </c>
      <c r="G143" s="62">
        <f t="shared" si="89"/>
        <v>24393.704052209912</v>
      </c>
      <c r="H143" s="62">
        <f t="shared" si="90"/>
        <v>23856.39857999947</v>
      </c>
      <c r="I143" s="62">
        <f t="shared" si="91"/>
        <v>23211.647436702937</v>
      </c>
      <c r="J143" s="62">
        <f t="shared" si="92"/>
        <v>22482.579830467967</v>
      </c>
      <c r="K143" s="62">
        <f t="shared" si="93"/>
        <v>21712.906149854825</v>
      </c>
      <c r="L143" s="62">
        <f t="shared" si="94"/>
        <v>20958.378207641916</v>
      </c>
      <c r="M143" s="62">
        <f t="shared" si="95"/>
        <v>20271.515890978495</v>
      </c>
      <c r="N143" s="62">
        <f t="shared" si="96"/>
        <v>19687.78073288942</v>
      </c>
      <c r="O143" s="62">
        <f t="shared" si="97"/>
        <v>19220.313412303854</v>
      </c>
      <c r="P143" s="62">
        <f t="shared" si="98"/>
        <v>18863.615099016799</v>
      </c>
      <c r="Q143" s="62">
        <f t="shared" si="99"/>
        <v>18601.413231504735</v>
      </c>
      <c r="R143" s="62">
        <f t="shared" si="100"/>
        <v>18413.942689420019</v>
      </c>
      <c r="S143" s="62">
        <f t="shared" si="101"/>
        <v>18282.553525002768</v>
      </c>
      <c r="T143" s="62">
        <f t="shared" si="102"/>
        <v>18191.755536581266</v>
      </c>
      <c r="U143" s="62">
        <f t="shared" si="103"/>
        <v>18129.617948467116</v>
      </c>
      <c r="V143" s="62">
        <f t="shared" si="104"/>
        <v>18087.377924512868</v>
      </c>
      <c r="W143" s="62">
        <f t="shared" si="105"/>
        <v>18058.794570324873</v>
      </c>
      <c r="X143" s="62">
        <f t="shared" si="106"/>
        <v>18039.512209748045</v>
      </c>
      <c r="Y143" s="62">
        <f t="shared" si="107"/>
        <v>18026.531420394364</v>
      </c>
      <c r="Z143" s="62">
        <f t="shared" si="108"/>
        <v>18017.805089717345</v>
      </c>
      <c r="AA143" s="62">
        <f t="shared" si="109"/>
        <v>18011.94435896385</v>
      </c>
      <c r="AB143" s="62">
        <f t="shared" si="110"/>
        <v>18008.010705203578</v>
      </c>
      <c r="AC143" s="62">
        <f t="shared" si="111"/>
        <v>18005.371608019701</v>
      </c>
    </row>
    <row r="144" spans="1:44" x14ac:dyDescent="0.3">
      <c r="A144" s="30" t="str">
        <f t="shared" si="83"/>
        <v>Opex var (mode-fees)</v>
      </c>
      <c r="B144" s="62">
        <f t="shared" si="84"/>
        <v>0.11</v>
      </c>
      <c r="C144" s="62">
        <f t="shared" si="85"/>
        <v>0.11</v>
      </c>
      <c r="D144" s="62">
        <f t="shared" si="86"/>
        <v>0.11</v>
      </c>
      <c r="E144" s="62">
        <f t="shared" si="87"/>
        <v>0.11</v>
      </c>
      <c r="F144" s="62">
        <f t="shared" si="88"/>
        <v>0.11</v>
      </c>
      <c r="G144" s="62">
        <f t="shared" si="89"/>
        <v>0.11</v>
      </c>
      <c r="H144" s="62">
        <f t="shared" si="90"/>
        <v>0.11</v>
      </c>
      <c r="I144" s="62">
        <f t="shared" si="91"/>
        <v>0.11</v>
      </c>
      <c r="J144" s="62">
        <f t="shared" si="92"/>
        <v>0.11</v>
      </c>
      <c r="K144" s="62">
        <f t="shared" si="93"/>
        <v>0.11</v>
      </c>
      <c r="L144" s="62">
        <f t="shared" si="94"/>
        <v>0.11</v>
      </c>
      <c r="M144" s="62">
        <f t="shared" si="95"/>
        <v>0.11</v>
      </c>
      <c r="N144" s="62">
        <f t="shared" si="96"/>
        <v>0.11</v>
      </c>
      <c r="O144" s="62">
        <f t="shared" si="97"/>
        <v>0.11</v>
      </c>
      <c r="P144" s="62">
        <f t="shared" si="98"/>
        <v>0.11</v>
      </c>
      <c r="Q144" s="62">
        <f t="shared" si="99"/>
        <v>0.11</v>
      </c>
      <c r="R144" s="62">
        <f t="shared" si="100"/>
        <v>0.11</v>
      </c>
      <c r="S144" s="62">
        <f t="shared" si="101"/>
        <v>0.11</v>
      </c>
      <c r="T144" s="62">
        <f t="shared" si="102"/>
        <v>0.11</v>
      </c>
      <c r="U144" s="62">
        <f t="shared" si="103"/>
        <v>0.11</v>
      </c>
      <c r="V144" s="62">
        <f t="shared" si="104"/>
        <v>0.11</v>
      </c>
      <c r="W144" s="62">
        <f t="shared" si="105"/>
        <v>0.11</v>
      </c>
      <c r="X144" s="62">
        <f t="shared" si="106"/>
        <v>0.11</v>
      </c>
      <c r="Y144" s="62">
        <f t="shared" si="107"/>
        <v>0.11</v>
      </c>
      <c r="Z144" s="62">
        <f t="shared" si="108"/>
        <v>0.11</v>
      </c>
      <c r="AA144" s="62">
        <f t="shared" si="109"/>
        <v>0.11</v>
      </c>
      <c r="AB144" s="62">
        <f t="shared" si="110"/>
        <v>0.11</v>
      </c>
      <c r="AC144" s="62">
        <f t="shared" si="111"/>
        <v>0.11</v>
      </c>
    </row>
    <row r="145" spans="1:29" x14ac:dyDescent="0.3">
      <c r="A145" s="30" t="str">
        <f t="shared" si="83"/>
        <v>Fuel Economy</v>
      </c>
      <c r="B145" s="62">
        <f t="shared" si="84"/>
        <v>2.5017133827957863</v>
      </c>
      <c r="C145" s="62">
        <f t="shared" si="85"/>
        <v>2.4899274249507841</v>
      </c>
      <c r="D145" s="62">
        <f t="shared" si="86"/>
        <v>2.473540665111047</v>
      </c>
      <c r="E145" s="62">
        <f t="shared" si="87"/>
        <v>2.4510750304006725</v>
      </c>
      <c r="F145" s="62">
        <f t="shared" si="88"/>
        <v>2.4208836246700196</v>
      </c>
      <c r="G145" s="62">
        <f t="shared" si="89"/>
        <v>2.3814176248294165</v>
      </c>
      <c r="H145" s="62">
        <f t="shared" si="90"/>
        <v>2.3317168686499508</v>
      </c>
      <c r="I145" s="62">
        <f t="shared" si="91"/>
        <v>2.2720773878950213</v>
      </c>
      <c r="J145" s="62">
        <f t="shared" si="92"/>
        <v>2.2046386343182869</v>
      </c>
      <c r="K145" s="62">
        <f t="shared" si="93"/>
        <v>2.1334438188615716</v>
      </c>
      <c r="L145" s="62">
        <f t="shared" si="94"/>
        <v>2.0636499842068772</v>
      </c>
      <c r="M145" s="62">
        <f t="shared" si="95"/>
        <v>2.0001152199155108</v>
      </c>
      <c r="N145" s="62">
        <f t="shared" si="96"/>
        <v>1.9461197177922713</v>
      </c>
      <c r="O145" s="62">
        <f t="shared" si="97"/>
        <v>1.9028789906381067</v>
      </c>
      <c r="P145" s="62">
        <f t="shared" si="98"/>
        <v>1.8698843966590539</v>
      </c>
      <c r="Q145" s="62">
        <f t="shared" si="99"/>
        <v>1.845630723914188</v>
      </c>
      <c r="R145" s="62">
        <f t="shared" si="100"/>
        <v>1.8282896987713517</v>
      </c>
      <c r="S145" s="62">
        <f t="shared" si="101"/>
        <v>1.816136201062756</v>
      </c>
      <c r="T145" s="62">
        <f t="shared" si="102"/>
        <v>1.8077373871337672</v>
      </c>
      <c r="U145" s="62">
        <f t="shared" si="103"/>
        <v>1.8019896602332084</v>
      </c>
      <c r="V145" s="62">
        <f t="shared" si="104"/>
        <v>1.7980824580174404</v>
      </c>
      <c r="W145" s="62">
        <f t="shared" si="105"/>
        <v>1.7954384977550508</v>
      </c>
      <c r="X145" s="62">
        <f t="shared" si="106"/>
        <v>1.7936548794016942</v>
      </c>
      <c r="Y145" s="62">
        <f t="shared" si="107"/>
        <v>1.7924541563864786</v>
      </c>
      <c r="Z145" s="62">
        <f t="shared" si="108"/>
        <v>1.7916469707988543</v>
      </c>
      <c r="AA145" s="62">
        <f t="shared" si="109"/>
        <v>1.791104853204156</v>
      </c>
      <c r="AB145" s="62">
        <f t="shared" si="110"/>
        <v>1.7907409902313312</v>
      </c>
      <c r="AC145" s="62">
        <f t="shared" si="111"/>
        <v>1.7904968737418223</v>
      </c>
    </row>
    <row r="146" spans="1:29" x14ac:dyDescent="0.3">
      <c r="A146" s="30" t="str">
        <f t="shared" si="83"/>
        <v>Fuel Cost</v>
      </c>
      <c r="B146" s="62">
        <f t="shared" si="84"/>
        <v>0.21482257834535914</v>
      </c>
      <c r="C146" s="62">
        <f t="shared" si="85"/>
        <v>0.21417522499855654</v>
      </c>
      <c r="D146" s="62">
        <f t="shared" si="86"/>
        <v>0.21325607604535665</v>
      </c>
      <c r="E146" s="62">
        <f t="shared" si="87"/>
        <v>0.21195694732458373</v>
      </c>
      <c r="F146" s="62">
        <f t="shared" si="88"/>
        <v>0.21013299403884214</v>
      </c>
      <c r="G146" s="62">
        <f t="shared" si="89"/>
        <v>0.20759703685611555</v>
      </c>
      <c r="H146" s="62">
        <f t="shared" si="90"/>
        <v>0.20412033442894431</v>
      </c>
      <c r="I146" s="62">
        <f t="shared" si="91"/>
        <v>0.19944801891519662</v>
      </c>
      <c r="J146" s="62">
        <f t="shared" si="92"/>
        <v>0.19334039991375346</v>
      </c>
      <c r="K146" s="62">
        <f t="shared" si="93"/>
        <v>0.18564888610303532</v>
      </c>
      <c r="L146" s="62">
        <f t="shared" si="94"/>
        <v>0.17641929031511205</v>
      </c>
      <c r="M146" s="62">
        <f t="shared" si="95"/>
        <v>0.16598270656093206</v>
      </c>
      <c r="N146" s="62">
        <f t="shared" si="96"/>
        <v>0.15496484791186993</v>
      </c>
      <c r="O146" s="62">
        <f t="shared" si="97"/>
        <v>0.14416380011269478</v>
      </c>
      <c r="P146" s="62">
        <f t="shared" si="98"/>
        <v>0.13433138397714983</v>
      </c>
      <c r="Q146" s="62">
        <f t="shared" si="99"/>
        <v>0.12597523042491984</v>
      </c>
      <c r="R146" s="62">
        <f t="shared" si="100"/>
        <v>0.11928344793189689</v>
      </c>
      <c r="S146" s="62">
        <f t="shared" si="101"/>
        <v>0.11417732088721881</v>
      </c>
      <c r="T146" s="62">
        <f t="shared" si="102"/>
        <v>0.11042390799739947</v>
      </c>
      <c r="U146" s="62">
        <f t="shared" si="103"/>
        <v>0.10774027208054308</v>
      </c>
      <c r="V146" s="62">
        <f t="shared" si="104"/>
        <v>0.10585943962124107</v>
      </c>
      <c r="W146" s="62">
        <f t="shared" si="105"/>
        <v>0.10455966878686571</v>
      </c>
      <c r="X146" s="62">
        <f t="shared" si="106"/>
        <v>0.10367017083483761</v>
      </c>
      <c r="Y146" s="62">
        <f t="shared" si="107"/>
        <v>0.10306550599442084</v>
      </c>
      <c r="Z146" s="62">
        <f t="shared" si="108"/>
        <v>0.10265633602526128</v>
      </c>
      <c r="AA146" s="62">
        <f t="shared" si="109"/>
        <v>0.10238030953688443</v>
      </c>
      <c r="AB146" s="62">
        <f t="shared" si="110"/>
        <v>0.10219448987609238</v>
      </c>
      <c r="AC146" s="62">
        <f t="shared" si="111"/>
        <v>0.10206957268021295</v>
      </c>
    </row>
    <row r="147" spans="1:29" x14ac:dyDescent="0.3">
      <c r="A147" s="30" t="str">
        <f t="shared" ref="A147" si="112">A127</f>
        <v>Emission Cost</v>
      </c>
      <c r="B147" s="66">
        <f>$B127+($C127-$B127)*(1-Q127)</f>
        <v>9.1045502411311718E-3</v>
      </c>
      <c r="C147" s="66">
        <f t="shared" ref="C147:AC147" si="113">$B127+($C127-$B127)*(1-R127)</f>
        <v>9.095880490962575E-3</v>
      </c>
      <c r="D147" s="66">
        <f t="shared" si="113"/>
        <v>9.0834699366993434E-3</v>
      </c>
      <c r="E147" s="66">
        <f t="shared" si="113"/>
        <v>9.0657157660766E-3</v>
      </c>
      <c r="F147" s="66">
        <f t="shared" si="113"/>
        <v>9.040341138604446E-3</v>
      </c>
      <c r="G147" s="66">
        <f t="shared" si="113"/>
        <v>9.0041260615172855E-3</v>
      </c>
      <c r="H147" s="66">
        <f t="shared" si="113"/>
        <v>8.9525469072142452E-3</v>
      </c>
      <c r="I147" s="66">
        <f t="shared" si="113"/>
        <v>8.8793119020679299E-3</v>
      </c>
      <c r="J147" s="66">
        <f t="shared" si="113"/>
        <v>8.7758012597282838E-3</v>
      </c>
      <c r="K147" s="66">
        <f t="shared" si="113"/>
        <v>8.630474185370102E-3</v>
      </c>
      <c r="L147" s="66">
        <f t="shared" si="113"/>
        <v>8.4284167966506146E-3</v>
      </c>
      <c r="M147" s="66">
        <f t="shared" si="113"/>
        <v>8.1514036756981448E-3</v>
      </c>
      <c r="N147" s="66">
        <f t="shared" si="113"/>
        <v>7.7791277246640009E-3</v>
      </c>
      <c r="O147" s="66">
        <f t="shared" si="113"/>
        <v>7.2924911382377788E-3</v>
      </c>
      <c r="P147" s="66">
        <f t="shared" si="113"/>
        <v>6.6796546098928378E-3</v>
      </c>
      <c r="Q147" s="66">
        <f t="shared" si="113"/>
        <v>5.9442683673542078E-3</v>
      </c>
      <c r="R147" s="66">
        <f t="shared" si="113"/>
        <v>5.1127129787673555E-3</v>
      </c>
      <c r="S147" s="66">
        <f t="shared" si="113"/>
        <v>4.2348433668221242E-3</v>
      </c>
      <c r="T147" s="66">
        <f t="shared" si="113"/>
        <v>3.3742485868309214E-3</v>
      </c>
      <c r="U147" s="66">
        <f t="shared" si="113"/>
        <v>2.5908314445053909E-3</v>
      </c>
      <c r="V147" s="66">
        <f t="shared" si="113"/>
        <v>1.9250384342751033E-3</v>
      </c>
      <c r="W147" s="66">
        <f t="shared" si="113"/>
        <v>1.3918574698531276E-3</v>
      </c>
      <c r="X147" s="66">
        <f t="shared" si="113"/>
        <v>9.8501672973924301E-4</v>
      </c>
      <c r="Y147" s="66">
        <f t="shared" si="113"/>
        <v>6.8595615708101458E-4</v>
      </c>
      <c r="Z147" s="66">
        <f t="shared" si="113"/>
        <v>4.7213217403930738E-4</v>
      </c>
      <c r="AA147" s="66">
        <f t="shared" si="113"/>
        <v>3.2227313937815624E-4</v>
      </c>
      <c r="AB147" s="66">
        <f t="shared" si="113"/>
        <v>2.1871133537117345E-4</v>
      </c>
      <c r="AC147" s="66">
        <f t="shared" si="113"/>
        <v>1.4783883220655276E-4</v>
      </c>
    </row>
    <row r="148" spans="1:29" x14ac:dyDescent="0.3">
      <c r="A148" s="30" t="str">
        <f>A128</f>
        <v>Lifetime vehicle</v>
      </c>
      <c r="B148" s="62">
        <f>$B128+($C128-$B128)*(1-Q128)</f>
        <v>8</v>
      </c>
      <c r="C148" s="62">
        <f t="shared" ref="C148:L150" si="114">$B128+($C128-$B128)*(1-R128)</f>
        <v>8</v>
      </c>
      <c r="D148" s="62">
        <f t="shared" si="114"/>
        <v>8</v>
      </c>
      <c r="E148" s="62">
        <f t="shared" si="114"/>
        <v>8</v>
      </c>
      <c r="F148" s="62">
        <f t="shared" si="114"/>
        <v>8</v>
      </c>
      <c r="G148" s="62">
        <f t="shared" si="114"/>
        <v>8</v>
      </c>
      <c r="H148" s="62">
        <f t="shared" si="114"/>
        <v>8</v>
      </c>
      <c r="I148" s="62">
        <f t="shared" si="114"/>
        <v>8</v>
      </c>
      <c r="J148" s="62">
        <f t="shared" si="114"/>
        <v>8</v>
      </c>
      <c r="K148" s="62">
        <f t="shared" si="114"/>
        <v>8</v>
      </c>
      <c r="L148" s="62">
        <f t="shared" si="114"/>
        <v>8</v>
      </c>
      <c r="M148" s="62">
        <f t="shared" ref="M148:V150" si="115">$B128+($C128-$B128)*(1-AB128)</f>
        <v>8</v>
      </c>
      <c r="N148" s="62">
        <f t="shared" si="115"/>
        <v>8</v>
      </c>
      <c r="O148" s="62">
        <f t="shared" si="115"/>
        <v>8</v>
      </c>
      <c r="P148" s="62">
        <f t="shared" si="115"/>
        <v>8</v>
      </c>
      <c r="Q148" s="62">
        <f t="shared" si="115"/>
        <v>8</v>
      </c>
      <c r="R148" s="62">
        <f t="shared" si="115"/>
        <v>8</v>
      </c>
      <c r="S148" s="62">
        <f t="shared" si="115"/>
        <v>8</v>
      </c>
      <c r="T148" s="62">
        <f t="shared" si="115"/>
        <v>8</v>
      </c>
      <c r="U148" s="62">
        <f t="shared" si="115"/>
        <v>8</v>
      </c>
      <c r="V148" s="62">
        <f t="shared" si="115"/>
        <v>8</v>
      </c>
      <c r="W148" s="62">
        <f t="shared" ref="W148:AC150" si="116">$B128+($C128-$B128)*(1-AL128)</f>
        <v>8</v>
      </c>
      <c r="X148" s="62">
        <f t="shared" si="116"/>
        <v>8</v>
      </c>
      <c r="Y148" s="62">
        <f t="shared" si="116"/>
        <v>8</v>
      </c>
      <c r="Z148" s="62">
        <f t="shared" si="116"/>
        <v>8</v>
      </c>
      <c r="AA148" s="62">
        <f t="shared" si="116"/>
        <v>8</v>
      </c>
      <c r="AB148" s="62">
        <f t="shared" si="116"/>
        <v>8</v>
      </c>
      <c r="AC148" s="62">
        <f t="shared" si="116"/>
        <v>8</v>
      </c>
    </row>
    <row r="149" spans="1:29" x14ac:dyDescent="0.3">
      <c r="A149" s="30" t="str">
        <f>A129</f>
        <v>Lifetime costumization</v>
      </c>
      <c r="B149" s="62">
        <f>$B129+($C129-$B129)*(1-Q129)</f>
        <v>10</v>
      </c>
      <c r="C149" s="62">
        <f t="shared" si="114"/>
        <v>10</v>
      </c>
      <c r="D149" s="62">
        <f t="shared" si="114"/>
        <v>10</v>
      </c>
      <c r="E149" s="62">
        <f t="shared" si="114"/>
        <v>10</v>
      </c>
      <c r="F149" s="62">
        <f t="shared" si="114"/>
        <v>10</v>
      </c>
      <c r="G149" s="62">
        <f t="shared" si="114"/>
        <v>10</v>
      </c>
      <c r="H149" s="62">
        <f t="shared" si="114"/>
        <v>10</v>
      </c>
      <c r="I149" s="62">
        <f t="shared" si="114"/>
        <v>10</v>
      </c>
      <c r="J149" s="62">
        <f t="shared" si="114"/>
        <v>10</v>
      </c>
      <c r="K149" s="62">
        <f t="shared" si="114"/>
        <v>10</v>
      </c>
      <c r="L149" s="62">
        <f t="shared" si="114"/>
        <v>10</v>
      </c>
      <c r="M149" s="62">
        <f t="shared" si="115"/>
        <v>10</v>
      </c>
      <c r="N149" s="62">
        <f t="shared" si="115"/>
        <v>10</v>
      </c>
      <c r="O149" s="62">
        <f t="shared" si="115"/>
        <v>10</v>
      </c>
      <c r="P149" s="62">
        <f t="shared" si="115"/>
        <v>10</v>
      </c>
      <c r="Q149" s="62">
        <f t="shared" si="115"/>
        <v>10</v>
      </c>
      <c r="R149" s="62">
        <f t="shared" si="115"/>
        <v>10</v>
      </c>
      <c r="S149" s="62">
        <f t="shared" si="115"/>
        <v>10</v>
      </c>
      <c r="T149" s="62">
        <f t="shared" si="115"/>
        <v>10</v>
      </c>
      <c r="U149" s="62">
        <f t="shared" si="115"/>
        <v>10</v>
      </c>
      <c r="V149" s="62">
        <f t="shared" si="115"/>
        <v>10</v>
      </c>
      <c r="W149" s="62">
        <f t="shared" si="116"/>
        <v>10</v>
      </c>
      <c r="X149" s="62">
        <f t="shared" si="116"/>
        <v>10</v>
      </c>
      <c r="Y149" s="62">
        <f t="shared" si="116"/>
        <v>10</v>
      </c>
      <c r="Z149" s="62">
        <f t="shared" si="116"/>
        <v>10</v>
      </c>
      <c r="AA149" s="62">
        <f t="shared" si="116"/>
        <v>10</v>
      </c>
      <c r="AB149" s="62">
        <f t="shared" si="116"/>
        <v>10</v>
      </c>
      <c r="AC149" s="62">
        <f t="shared" si="116"/>
        <v>10</v>
      </c>
    </row>
    <row r="150" spans="1:29" x14ac:dyDescent="0.3">
      <c r="A150" s="30" t="str">
        <f>A130</f>
        <v>Tonnage .</v>
      </c>
      <c r="B150" s="62">
        <f>$B130+($C130-$B130)*(1-Q130)</f>
        <v>25</v>
      </c>
      <c r="C150" s="62">
        <f t="shared" si="114"/>
        <v>25</v>
      </c>
      <c r="D150" s="62">
        <f t="shared" si="114"/>
        <v>25</v>
      </c>
      <c r="E150" s="62">
        <f t="shared" si="114"/>
        <v>25</v>
      </c>
      <c r="F150" s="62">
        <f t="shared" si="114"/>
        <v>25</v>
      </c>
      <c r="G150" s="62">
        <f t="shared" si="114"/>
        <v>25</v>
      </c>
      <c r="H150" s="62">
        <f t="shared" si="114"/>
        <v>25</v>
      </c>
      <c r="I150" s="62">
        <f t="shared" si="114"/>
        <v>25</v>
      </c>
      <c r="J150" s="62">
        <f t="shared" si="114"/>
        <v>25</v>
      </c>
      <c r="K150" s="62">
        <f t="shared" si="114"/>
        <v>25</v>
      </c>
      <c r="L150" s="62">
        <f t="shared" si="114"/>
        <v>25</v>
      </c>
      <c r="M150" s="62">
        <f t="shared" si="115"/>
        <v>25</v>
      </c>
      <c r="N150" s="62">
        <f t="shared" si="115"/>
        <v>25</v>
      </c>
      <c r="O150" s="62">
        <f t="shared" si="115"/>
        <v>25</v>
      </c>
      <c r="P150" s="62">
        <f t="shared" si="115"/>
        <v>25</v>
      </c>
      <c r="Q150" s="62">
        <f t="shared" si="115"/>
        <v>25</v>
      </c>
      <c r="R150" s="62">
        <f t="shared" si="115"/>
        <v>25</v>
      </c>
      <c r="S150" s="62">
        <f t="shared" si="115"/>
        <v>25</v>
      </c>
      <c r="T150" s="62">
        <f t="shared" si="115"/>
        <v>25</v>
      </c>
      <c r="U150" s="62">
        <f t="shared" si="115"/>
        <v>25</v>
      </c>
      <c r="V150" s="62">
        <f t="shared" si="115"/>
        <v>25</v>
      </c>
      <c r="W150" s="62">
        <f t="shared" si="116"/>
        <v>25</v>
      </c>
      <c r="X150" s="62">
        <f t="shared" si="116"/>
        <v>25</v>
      </c>
      <c r="Y150" s="62">
        <f t="shared" si="116"/>
        <v>25</v>
      </c>
      <c r="Z150" s="62">
        <f t="shared" si="116"/>
        <v>25</v>
      </c>
      <c r="AA150" s="62">
        <f t="shared" si="116"/>
        <v>25</v>
      </c>
      <c r="AB150" s="62">
        <f t="shared" si="116"/>
        <v>25</v>
      </c>
      <c r="AC150" s="62">
        <f t="shared" si="116"/>
        <v>25</v>
      </c>
    </row>
    <row r="151" spans="1:29" x14ac:dyDescent="0.3">
      <c r="A151" s="30" t="str">
        <f>A131</f>
        <v>Market failure (av. utilization)</v>
      </c>
      <c r="B151" s="62">
        <f t="shared" ref="B151:K152" si="117">($B131+($C131-$B131)*(1-Q131))*B$44</f>
        <v>12</v>
      </c>
      <c r="C151" s="62">
        <f t="shared" si="117"/>
        <v>12</v>
      </c>
      <c r="D151" s="62">
        <f t="shared" si="117"/>
        <v>12</v>
      </c>
      <c r="E151" s="62">
        <f t="shared" si="117"/>
        <v>12</v>
      </c>
      <c r="F151" s="62">
        <f t="shared" si="117"/>
        <v>12</v>
      </c>
      <c r="G151" s="62">
        <f t="shared" si="117"/>
        <v>12</v>
      </c>
      <c r="H151" s="62">
        <f t="shared" si="117"/>
        <v>12</v>
      </c>
      <c r="I151" s="62">
        <f t="shared" si="117"/>
        <v>12</v>
      </c>
      <c r="J151" s="62">
        <f t="shared" si="117"/>
        <v>12</v>
      </c>
      <c r="K151" s="62">
        <f t="shared" si="117"/>
        <v>12</v>
      </c>
      <c r="L151" s="62">
        <f t="shared" ref="L151:U152" si="118">($B131+($C131-$B131)*(1-AA131))*L$44</f>
        <v>12</v>
      </c>
      <c r="M151" s="62">
        <f t="shared" si="118"/>
        <v>12</v>
      </c>
      <c r="N151" s="62">
        <f t="shared" si="118"/>
        <v>12</v>
      </c>
      <c r="O151" s="62">
        <f t="shared" si="118"/>
        <v>12</v>
      </c>
      <c r="P151" s="62">
        <f t="shared" si="118"/>
        <v>12</v>
      </c>
      <c r="Q151" s="62">
        <f t="shared" si="118"/>
        <v>12</v>
      </c>
      <c r="R151" s="62">
        <f t="shared" si="118"/>
        <v>12</v>
      </c>
      <c r="S151" s="62">
        <f t="shared" si="118"/>
        <v>12</v>
      </c>
      <c r="T151" s="62">
        <f t="shared" si="118"/>
        <v>12</v>
      </c>
      <c r="U151" s="62">
        <f t="shared" si="118"/>
        <v>12</v>
      </c>
      <c r="V151" s="62">
        <f t="shared" ref="V151:AC152" si="119">($B131+($C131-$B131)*(1-AK131))*V$44</f>
        <v>12</v>
      </c>
      <c r="W151" s="62">
        <f t="shared" si="119"/>
        <v>12</v>
      </c>
      <c r="X151" s="62">
        <f t="shared" si="119"/>
        <v>12</v>
      </c>
      <c r="Y151" s="62">
        <f t="shared" si="119"/>
        <v>12</v>
      </c>
      <c r="Z151" s="62">
        <f t="shared" si="119"/>
        <v>12</v>
      </c>
      <c r="AA151" s="62">
        <f t="shared" si="119"/>
        <v>12</v>
      </c>
      <c r="AB151" s="62">
        <f t="shared" si="119"/>
        <v>12</v>
      </c>
      <c r="AC151" s="62">
        <f t="shared" si="119"/>
        <v>12</v>
      </c>
    </row>
    <row r="152" spans="1:29" x14ac:dyDescent="0.3">
      <c r="A152" s="30" t="s">
        <v>73</v>
      </c>
      <c r="B152" s="62">
        <f t="shared" si="117"/>
        <v>1.240098396181128</v>
      </c>
      <c r="C152" s="62">
        <f t="shared" si="117"/>
        <v>1.2358588232214369</v>
      </c>
      <c r="D152" s="62">
        <f t="shared" si="117"/>
        <v>1.2298392373690403</v>
      </c>
      <c r="E152" s="62">
        <f t="shared" si="117"/>
        <v>1.2213311312119457</v>
      </c>
      <c r="F152" s="62">
        <f t="shared" si="117"/>
        <v>1.2093859036663352</v>
      </c>
      <c r="G152" s="62">
        <f t="shared" si="117"/>
        <v>1.1927777011260612</v>
      </c>
      <c r="H152" s="62">
        <f t="shared" si="117"/>
        <v>1.1700084767574384</v>
      </c>
      <c r="I152" s="62">
        <f t="shared" si="117"/>
        <v>1.1394090790574525</v>
      </c>
      <c r="J152" s="62">
        <f t="shared" si="117"/>
        <v>1.0994097548946793</v>
      </c>
      <c r="K152" s="62">
        <f t="shared" si="117"/>
        <v>1.0490373668749504</v>
      </c>
      <c r="L152" s="62">
        <f t="shared" si="118"/>
        <v>0.98859194719090016</v>
      </c>
      <c r="M152" s="62">
        <f t="shared" si="118"/>
        <v>0.92024185910637191</v>
      </c>
      <c r="N152" s="62">
        <f t="shared" si="118"/>
        <v>0.84808495154888996</v>
      </c>
      <c r="O152" s="62">
        <f t="shared" si="118"/>
        <v>0.77734795696642955</v>
      </c>
      <c r="P152" s="62">
        <f t="shared" si="118"/>
        <v>0.71295461477923405</v>
      </c>
      <c r="Q152" s="62">
        <f t="shared" si="118"/>
        <v>0.65822944370838299</v>
      </c>
      <c r="R152" s="62">
        <f t="shared" si="118"/>
        <v>0.61440438240348649</v>
      </c>
      <c r="S152" s="62">
        <f t="shared" si="118"/>
        <v>0.580963915532825</v>
      </c>
      <c r="T152" s="62">
        <f t="shared" si="118"/>
        <v>0.55638249045356891</v>
      </c>
      <c r="U152" s="62">
        <f t="shared" si="118"/>
        <v>0.53880712713312673</v>
      </c>
      <c r="V152" s="62">
        <f t="shared" si="119"/>
        <v>0.52648939296900943</v>
      </c>
      <c r="W152" s="62">
        <f t="shared" si="119"/>
        <v>0.51797708155449362</v>
      </c>
      <c r="X152" s="62">
        <f t="shared" si="119"/>
        <v>0.5121516826687923</v>
      </c>
      <c r="Y152" s="62">
        <f t="shared" si="119"/>
        <v>0.50819168042308127</v>
      </c>
      <c r="Z152" s="62">
        <f t="shared" si="119"/>
        <v>0.50551199096795685</v>
      </c>
      <c r="AA152" s="62">
        <f t="shared" si="119"/>
        <v>0.50370426966387927</v>
      </c>
      <c r="AB152" s="62">
        <f t="shared" si="119"/>
        <v>0.50248732066197166</v>
      </c>
      <c r="AC152" s="62">
        <f t="shared" si="119"/>
        <v>0.50166922716100104</v>
      </c>
    </row>
    <row r="153" spans="1:29" x14ac:dyDescent="0.3">
      <c r="A153" s="30" t="str">
        <f>A133</f>
        <v>Annual Mileage</v>
      </c>
      <c r="B153" s="62">
        <f t="shared" ref="B153:AC153" si="120">$B133+($C133-$B133)*(1-Q133)</f>
        <v>110000</v>
      </c>
      <c r="C153" s="62">
        <f t="shared" si="120"/>
        <v>110000</v>
      </c>
      <c r="D153" s="62">
        <f t="shared" si="120"/>
        <v>110000</v>
      </c>
      <c r="E153" s="62">
        <f t="shared" si="120"/>
        <v>110000</v>
      </c>
      <c r="F153" s="62">
        <f t="shared" si="120"/>
        <v>110000</v>
      </c>
      <c r="G153" s="62">
        <f t="shared" si="120"/>
        <v>110000</v>
      </c>
      <c r="H153" s="62">
        <f t="shared" si="120"/>
        <v>110000</v>
      </c>
      <c r="I153" s="62">
        <f t="shared" si="120"/>
        <v>110000</v>
      </c>
      <c r="J153" s="62">
        <f t="shared" si="120"/>
        <v>110000</v>
      </c>
      <c r="K153" s="62">
        <f t="shared" si="120"/>
        <v>110000</v>
      </c>
      <c r="L153" s="62">
        <f t="shared" si="120"/>
        <v>110000</v>
      </c>
      <c r="M153" s="62">
        <f t="shared" si="120"/>
        <v>110000</v>
      </c>
      <c r="N153" s="62">
        <f t="shared" si="120"/>
        <v>110000</v>
      </c>
      <c r="O153" s="62">
        <f t="shared" si="120"/>
        <v>110000</v>
      </c>
      <c r="P153" s="62">
        <f t="shared" si="120"/>
        <v>110000</v>
      </c>
      <c r="Q153" s="62">
        <f t="shared" si="120"/>
        <v>110000</v>
      </c>
      <c r="R153" s="62">
        <f t="shared" si="120"/>
        <v>110000</v>
      </c>
      <c r="S153" s="62">
        <f t="shared" si="120"/>
        <v>110000</v>
      </c>
      <c r="T153" s="62">
        <f t="shared" si="120"/>
        <v>110000</v>
      </c>
      <c r="U153" s="62">
        <f t="shared" si="120"/>
        <v>110000</v>
      </c>
      <c r="V153" s="62">
        <f t="shared" si="120"/>
        <v>110000</v>
      </c>
      <c r="W153" s="62">
        <f t="shared" si="120"/>
        <v>110000</v>
      </c>
      <c r="X153" s="62">
        <f t="shared" si="120"/>
        <v>110000</v>
      </c>
      <c r="Y153" s="62">
        <f t="shared" si="120"/>
        <v>110000</v>
      </c>
      <c r="Z153" s="62">
        <f t="shared" si="120"/>
        <v>110000</v>
      </c>
      <c r="AA153" s="62">
        <f t="shared" si="120"/>
        <v>110000</v>
      </c>
      <c r="AB153" s="62">
        <f t="shared" si="120"/>
        <v>110000</v>
      </c>
      <c r="AC153" s="62">
        <f t="shared" si="120"/>
        <v>110000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61357.445895655808</v>
      </c>
      <c r="C156" s="63">
        <f t="shared" ref="C156:AC156" si="121">((1+C141)^C148)*C141/(((1+C141)^C148)-1)*(C137)</f>
        <v>60754.714455896952</v>
      </c>
      <c r="D156" s="63">
        <f t="shared" si="121"/>
        <v>59916.698956344211</v>
      </c>
      <c r="E156" s="63">
        <f t="shared" si="121"/>
        <v>58767.811056679595</v>
      </c>
      <c r="F156" s="63">
        <f t="shared" si="121"/>
        <v>57223.828829380502</v>
      </c>
      <c r="G156" s="63">
        <f t="shared" si="121"/>
        <v>55205.54578287054</v>
      </c>
      <c r="H156" s="63">
        <f t="shared" si="121"/>
        <v>52663.859419902983</v>
      </c>
      <c r="I156" s="63">
        <f t="shared" si="121"/>
        <v>49613.908743460379</v>
      </c>
      <c r="J156" s="63">
        <f t="shared" si="121"/>
        <v>46165.10487249765</v>
      </c>
      <c r="K156" s="63">
        <f t="shared" si="121"/>
        <v>42524.216776008514</v>
      </c>
      <c r="L156" s="63">
        <f t="shared" si="121"/>
        <v>38954.974547168116</v>
      </c>
      <c r="M156" s="63">
        <f t="shared" si="121"/>
        <v>35705.819878562834</v>
      </c>
      <c r="N156" s="63">
        <f t="shared" si="121"/>
        <v>32944.501098770794</v>
      </c>
      <c r="O156" s="63">
        <f t="shared" si="121"/>
        <v>30733.179280332359</v>
      </c>
      <c r="P156" s="63">
        <f t="shared" si="121"/>
        <v>29045.842587397736</v>
      </c>
      <c r="Q156" s="63">
        <f t="shared" si="121"/>
        <v>27805.514793492392</v>
      </c>
      <c r="R156" s="63">
        <f t="shared" si="121"/>
        <v>26918.698364255953</v>
      </c>
      <c r="S156" s="63">
        <f t="shared" si="121"/>
        <v>26297.171012101549</v>
      </c>
      <c r="T156" s="63">
        <f t="shared" si="121"/>
        <v>25867.657409706244</v>
      </c>
      <c r="U156" s="63">
        <f t="shared" si="121"/>
        <v>25573.719848103356</v>
      </c>
      <c r="V156" s="63">
        <f t="shared" si="121"/>
        <v>25373.906337151635</v>
      </c>
      <c r="W156" s="63">
        <f t="shared" si="121"/>
        <v>25238.694757696427</v>
      </c>
      <c r="X156" s="63">
        <f t="shared" si="121"/>
        <v>25147.480885032299</v>
      </c>
      <c r="Y156" s="63">
        <f t="shared" si="121"/>
        <v>25086.076159066874</v>
      </c>
      <c r="Z156" s="63">
        <f t="shared" si="121"/>
        <v>25044.796855527889</v>
      </c>
      <c r="AA156" s="63">
        <f t="shared" si="121"/>
        <v>25017.073074171451</v>
      </c>
      <c r="AB156" s="63">
        <f t="shared" si="121"/>
        <v>24998.465197207195</v>
      </c>
      <c r="AC156" s="63">
        <f t="shared" si="121"/>
        <v>24985.981130564032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-9299.0290627537943</v>
      </c>
      <c r="C157" s="62">
        <f t="shared" ref="C157:AC157" si="122">((1+C141)^C148)*C141/(((1+C141)^C148)-1)*(C138)</f>
        <v>-9248.373973667678</v>
      </c>
      <c r="D157" s="62">
        <f t="shared" si="122"/>
        <v>-9177.9450114712236</v>
      </c>
      <c r="E157" s="62">
        <f t="shared" si="122"/>
        <v>-9081.3895390526031</v>
      </c>
      <c r="F157" s="62">
        <f t="shared" si="122"/>
        <v>-8951.6293305881045</v>
      </c>
      <c r="G157" s="62">
        <f t="shared" si="122"/>
        <v>-8782.0076702963088</v>
      </c>
      <c r="H157" s="62">
        <f t="shared" si="122"/>
        <v>-8568.3978589405251</v>
      </c>
      <c r="I157" s="62">
        <f t="shared" si="122"/>
        <v>-8312.0722169841792</v>
      </c>
      <c r="J157" s="62">
        <f t="shared" si="122"/>
        <v>-8022.2259342117786</v>
      </c>
      <c r="K157" s="62">
        <f t="shared" si="122"/>
        <v>-7716.2364026983305</v>
      </c>
      <c r="L157" s="62">
        <f t="shared" si="122"/>
        <v>-7416.2681728277021</v>
      </c>
      <c r="M157" s="62">
        <f t="shared" si="122"/>
        <v>-7143.2009187640651</v>
      </c>
      <c r="N157" s="62">
        <f t="shared" si="122"/>
        <v>-6911.1326383347341</v>
      </c>
      <c r="O157" s="62">
        <f t="shared" si="122"/>
        <v>-6725.2875067851219</v>
      </c>
      <c r="P157" s="62">
        <f t="shared" si="122"/>
        <v>-6583.4794230172129</v>
      </c>
      <c r="Q157" s="62">
        <f t="shared" si="122"/>
        <v>-6479.2391084230394</v>
      </c>
      <c r="R157" s="62">
        <f t="shared" si="122"/>
        <v>-6404.7087914978501</v>
      </c>
      <c r="S157" s="62">
        <f t="shared" si="122"/>
        <v>-6352.4740459444474</v>
      </c>
      <c r="T157" s="62">
        <f t="shared" si="122"/>
        <v>-6316.3766261686715</v>
      </c>
      <c r="U157" s="62">
        <f t="shared" si="122"/>
        <v>-6291.6733630126846</v>
      </c>
      <c r="V157" s="62">
        <f t="shared" si="122"/>
        <v>-6274.8805253901455</v>
      </c>
      <c r="W157" s="62">
        <f t="shared" si="122"/>
        <v>-6263.5169990316763</v>
      </c>
      <c r="X157" s="62">
        <f t="shared" si="122"/>
        <v>-6255.8511522865001</v>
      </c>
      <c r="Y157" s="62">
        <f t="shared" si="122"/>
        <v>-6250.6905423383423</v>
      </c>
      <c r="Z157" s="62">
        <f t="shared" si="122"/>
        <v>-6247.2213242749585</v>
      </c>
      <c r="AA157" s="62">
        <f t="shared" si="122"/>
        <v>-6244.8913469056415</v>
      </c>
      <c r="AB157" s="62">
        <f t="shared" si="122"/>
        <v>-6243.3274934160918</v>
      </c>
      <c r="AC157" s="62">
        <f t="shared" si="122"/>
        <v>-6242.278300581188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8152.0774932230233</v>
      </c>
      <c r="C158" s="62">
        <f t="shared" ref="C158:AC158" si="123">((1+C141)^C149)*C141/(((1+C141)^C149)-1)*(C139)</f>
        <v>8152.0774932230233</v>
      </c>
      <c r="D158" s="62">
        <f t="shared" si="123"/>
        <v>8152.0774932230233</v>
      </c>
      <c r="E158" s="62">
        <f t="shared" si="123"/>
        <v>8152.0774932230233</v>
      </c>
      <c r="F158" s="62">
        <f t="shared" si="123"/>
        <v>8152.0774932230233</v>
      </c>
      <c r="G158" s="62">
        <f t="shared" si="123"/>
        <v>8152.0774932230233</v>
      </c>
      <c r="H158" s="62">
        <f t="shared" si="123"/>
        <v>8152.0774932230233</v>
      </c>
      <c r="I158" s="62">
        <f t="shared" si="123"/>
        <v>8152.0774932230233</v>
      </c>
      <c r="J158" s="62">
        <f t="shared" si="123"/>
        <v>8152.0774932230233</v>
      </c>
      <c r="K158" s="62">
        <f t="shared" si="123"/>
        <v>8152.0774932230233</v>
      </c>
      <c r="L158" s="62">
        <f t="shared" si="123"/>
        <v>8152.0774932230233</v>
      </c>
      <c r="M158" s="62">
        <f t="shared" si="123"/>
        <v>8152.0774932230233</v>
      </c>
      <c r="N158" s="62">
        <f t="shared" si="123"/>
        <v>8152.0774932230233</v>
      </c>
      <c r="O158" s="62">
        <f t="shared" si="123"/>
        <v>8152.0774932230233</v>
      </c>
      <c r="P158" s="62">
        <f t="shared" si="123"/>
        <v>8152.0774932230233</v>
      </c>
      <c r="Q158" s="62">
        <f t="shared" si="123"/>
        <v>8152.0774932230233</v>
      </c>
      <c r="R158" s="62">
        <f t="shared" si="123"/>
        <v>8152.0774932230233</v>
      </c>
      <c r="S158" s="62">
        <f t="shared" si="123"/>
        <v>8152.0774932230233</v>
      </c>
      <c r="T158" s="62">
        <f t="shared" si="123"/>
        <v>8152.0774932230233</v>
      </c>
      <c r="U158" s="62">
        <f t="shared" si="123"/>
        <v>8152.0774932230233</v>
      </c>
      <c r="V158" s="62">
        <f t="shared" si="123"/>
        <v>8152.0774932230233</v>
      </c>
      <c r="W158" s="62">
        <f t="shared" si="123"/>
        <v>8152.0774932230233</v>
      </c>
      <c r="X158" s="62">
        <f t="shared" si="123"/>
        <v>8152.0774932230233</v>
      </c>
      <c r="Y158" s="62">
        <f t="shared" si="123"/>
        <v>8152.0774932230233</v>
      </c>
      <c r="Z158" s="62">
        <f t="shared" si="123"/>
        <v>8152.0774932230233</v>
      </c>
      <c r="AA158" s="62">
        <f t="shared" si="123"/>
        <v>8152.0774932230233</v>
      </c>
      <c r="AB158" s="62">
        <f t="shared" si="123"/>
        <v>8152.0774932230233</v>
      </c>
      <c r="AC158" s="62">
        <f t="shared" si="123"/>
        <v>8152.0774932230233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-2038.0193733057558</v>
      </c>
      <c r="C159" s="62">
        <f t="shared" ref="C159:AC159" si="124">((1+C141)^C149)*C141/(((1+C141)^C149)-1)*(C140)</f>
        <v>-2038.0193733057558</v>
      </c>
      <c r="D159" s="62">
        <f t="shared" si="124"/>
        <v>-2038.0193733057558</v>
      </c>
      <c r="E159" s="62">
        <f t="shared" si="124"/>
        <v>-2038.0193733057558</v>
      </c>
      <c r="F159" s="62">
        <f t="shared" si="124"/>
        <v>-2038.0193733057558</v>
      </c>
      <c r="G159" s="62">
        <f t="shared" si="124"/>
        <v>-2038.0193733057558</v>
      </c>
      <c r="H159" s="62">
        <f t="shared" si="124"/>
        <v>-2038.0193733057558</v>
      </c>
      <c r="I159" s="62">
        <f t="shared" si="124"/>
        <v>-2038.0193733057558</v>
      </c>
      <c r="J159" s="62">
        <f t="shared" si="124"/>
        <v>-2038.0193733057558</v>
      </c>
      <c r="K159" s="62">
        <f t="shared" si="124"/>
        <v>-2038.0193733057558</v>
      </c>
      <c r="L159" s="62">
        <f t="shared" si="124"/>
        <v>-2038.0193733057558</v>
      </c>
      <c r="M159" s="62">
        <f t="shared" si="124"/>
        <v>-2038.0193733057558</v>
      </c>
      <c r="N159" s="62">
        <f t="shared" si="124"/>
        <v>-2038.0193733057558</v>
      </c>
      <c r="O159" s="62">
        <f t="shared" si="124"/>
        <v>-2038.0193733057558</v>
      </c>
      <c r="P159" s="62">
        <f t="shared" si="124"/>
        <v>-2038.0193733057558</v>
      </c>
      <c r="Q159" s="62">
        <f t="shared" si="124"/>
        <v>-2038.0193733057558</v>
      </c>
      <c r="R159" s="62">
        <f t="shared" si="124"/>
        <v>-2038.0193733057558</v>
      </c>
      <c r="S159" s="62">
        <f t="shared" si="124"/>
        <v>-2038.0193733057558</v>
      </c>
      <c r="T159" s="62">
        <f t="shared" si="124"/>
        <v>-2038.0193733057558</v>
      </c>
      <c r="U159" s="62">
        <f t="shared" si="124"/>
        <v>-2038.0193733057558</v>
      </c>
      <c r="V159" s="62">
        <f t="shared" si="124"/>
        <v>-2038.0193733057558</v>
      </c>
      <c r="W159" s="62">
        <f t="shared" si="124"/>
        <v>-2038.0193733057558</v>
      </c>
      <c r="X159" s="62">
        <f t="shared" si="124"/>
        <v>-2038.0193733057558</v>
      </c>
      <c r="Y159" s="62">
        <f t="shared" si="124"/>
        <v>-2038.0193733057558</v>
      </c>
      <c r="Z159" s="62">
        <f t="shared" si="124"/>
        <v>-2038.0193733057558</v>
      </c>
      <c r="AA159" s="62">
        <f t="shared" si="124"/>
        <v>-2038.0193733057558</v>
      </c>
      <c r="AB159" s="62">
        <f t="shared" si="124"/>
        <v>-2038.0193733057558</v>
      </c>
      <c r="AC159" s="62">
        <f t="shared" si="124"/>
        <v>-2038.0193733057558</v>
      </c>
    </row>
    <row r="160" spans="1:29" x14ac:dyDescent="0.3">
      <c r="A160" s="30" t="str">
        <f t="shared" ref="A160:AC160" si="125">A142</f>
        <v>Opex fix (admin, crew, insurance)</v>
      </c>
      <c r="B160" s="62">
        <f t="shared" si="125"/>
        <v>70000</v>
      </c>
      <c r="C160" s="62">
        <f t="shared" si="125"/>
        <v>70000</v>
      </c>
      <c r="D160" s="62">
        <f t="shared" si="125"/>
        <v>70000</v>
      </c>
      <c r="E160" s="62">
        <f t="shared" si="125"/>
        <v>70000</v>
      </c>
      <c r="F160" s="62">
        <f t="shared" si="125"/>
        <v>70000</v>
      </c>
      <c r="G160" s="62">
        <f t="shared" si="125"/>
        <v>70000</v>
      </c>
      <c r="H160" s="62">
        <f t="shared" si="125"/>
        <v>70000</v>
      </c>
      <c r="I160" s="62">
        <f t="shared" si="125"/>
        <v>70000</v>
      </c>
      <c r="J160" s="62">
        <f t="shared" si="125"/>
        <v>70000</v>
      </c>
      <c r="K160" s="62">
        <f t="shared" si="125"/>
        <v>70000</v>
      </c>
      <c r="L160" s="62">
        <f t="shared" si="125"/>
        <v>70000</v>
      </c>
      <c r="M160" s="62">
        <f t="shared" si="125"/>
        <v>70000</v>
      </c>
      <c r="N160" s="62">
        <f t="shared" si="125"/>
        <v>70000</v>
      </c>
      <c r="O160" s="62">
        <f t="shared" si="125"/>
        <v>70000</v>
      </c>
      <c r="P160" s="62">
        <f t="shared" si="125"/>
        <v>70000</v>
      </c>
      <c r="Q160" s="62">
        <f t="shared" si="125"/>
        <v>70000</v>
      </c>
      <c r="R160" s="62">
        <f t="shared" si="125"/>
        <v>70000</v>
      </c>
      <c r="S160" s="62">
        <f t="shared" si="125"/>
        <v>70000</v>
      </c>
      <c r="T160" s="62">
        <f t="shared" si="125"/>
        <v>70000</v>
      </c>
      <c r="U160" s="62">
        <f t="shared" si="125"/>
        <v>70000</v>
      </c>
      <c r="V160" s="62">
        <f t="shared" si="125"/>
        <v>70000</v>
      </c>
      <c r="W160" s="62">
        <f t="shared" si="125"/>
        <v>70000</v>
      </c>
      <c r="X160" s="62">
        <f t="shared" si="125"/>
        <v>70000</v>
      </c>
      <c r="Y160" s="62">
        <f t="shared" si="125"/>
        <v>70000</v>
      </c>
      <c r="Z160" s="62">
        <f t="shared" si="125"/>
        <v>70000</v>
      </c>
      <c r="AA160" s="62">
        <f t="shared" si="125"/>
        <v>70000</v>
      </c>
      <c r="AB160" s="62">
        <f t="shared" si="125"/>
        <v>70000</v>
      </c>
      <c r="AC160" s="62">
        <f t="shared" si="125"/>
        <v>70000</v>
      </c>
    </row>
    <row r="161" spans="1:29" x14ac:dyDescent="0.3">
      <c r="A161" s="30" t="str">
        <f t="shared" ref="A161:AC161" si="126">A143</f>
        <v>Opex maintenance &amp; repair</v>
      </c>
      <c r="B161" s="62">
        <f t="shared" si="126"/>
        <v>25694.198732927423</v>
      </c>
      <c r="C161" s="62">
        <f t="shared" si="126"/>
        <v>25566.782972440909</v>
      </c>
      <c r="D161" s="62">
        <f t="shared" si="126"/>
        <v>25389.62881201132</v>
      </c>
      <c r="E161" s="62">
        <f t="shared" si="126"/>
        <v>25146.757085412675</v>
      </c>
      <c r="F161" s="62">
        <f t="shared" si="126"/>
        <v>24820.363509946161</v>
      </c>
      <c r="G161" s="62">
        <f t="shared" si="126"/>
        <v>24393.704052209912</v>
      </c>
      <c r="H161" s="62">
        <f t="shared" si="126"/>
        <v>23856.39857999947</v>
      </c>
      <c r="I161" s="62">
        <f t="shared" si="126"/>
        <v>23211.647436702937</v>
      </c>
      <c r="J161" s="62">
        <f t="shared" si="126"/>
        <v>22482.579830467967</v>
      </c>
      <c r="K161" s="62">
        <f t="shared" si="126"/>
        <v>21712.906149854825</v>
      </c>
      <c r="L161" s="62">
        <f t="shared" si="126"/>
        <v>20958.378207641916</v>
      </c>
      <c r="M161" s="62">
        <f t="shared" si="126"/>
        <v>20271.515890978495</v>
      </c>
      <c r="N161" s="62">
        <f t="shared" si="126"/>
        <v>19687.78073288942</v>
      </c>
      <c r="O161" s="62">
        <f t="shared" si="126"/>
        <v>19220.313412303854</v>
      </c>
      <c r="P161" s="62">
        <f t="shared" si="126"/>
        <v>18863.615099016799</v>
      </c>
      <c r="Q161" s="62">
        <f t="shared" si="126"/>
        <v>18601.413231504735</v>
      </c>
      <c r="R161" s="62">
        <f t="shared" si="126"/>
        <v>18413.942689420019</v>
      </c>
      <c r="S161" s="62">
        <f t="shared" si="126"/>
        <v>18282.553525002768</v>
      </c>
      <c r="T161" s="62">
        <f t="shared" si="126"/>
        <v>18191.755536581266</v>
      </c>
      <c r="U161" s="62">
        <f t="shared" si="126"/>
        <v>18129.617948467116</v>
      </c>
      <c r="V161" s="62">
        <f t="shared" si="126"/>
        <v>18087.377924512868</v>
      </c>
      <c r="W161" s="62">
        <f t="shared" si="126"/>
        <v>18058.794570324873</v>
      </c>
      <c r="X161" s="62">
        <f t="shared" si="126"/>
        <v>18039.512209748045</v>
      </c>
      <c r="Y161" s="62">
        <f t="shared" si="126"/>
        <v>18026.531420394364</v>
      </c>
      <c r="Z161" s="62">
        <f t="shared" si="126"/>
        <v>18017.805089717345</v>
      </c>
      <c r="AA161" s="62">
        <f t="shared" si="126"/>
        <v>18011.94435896385</v>
      </c>
      <c r="AB161" s="62">
        <f t="shared" si="126"/>
        <v>18008.010705203578</v>
      </c>
      <c r="AC161" s="62">
        <f t="shared" si="126"/>
        <v>18005.371608019701</v>
      </c>
    </row>
    <row r="162" spans="1:29" x14ac:dyDescent="0.3">
      <c r="A162" s="30" t="str">
        <f>A144</f>
        <v>Opex var (mode-fees)</v>
      </c>
      <c r="B162" s="62">
        <f>B144*B153</f>
        <v>12100</v>
      </c>
      <c r="C162" s="62">
        <f t="shared" ref="C162:AC162" si="127">C144*C153</f>
        <v>12100</v>
      </c>
      <c r="D162" s="62">
        <f t="shared" si="127"/>
        <v>12100</v>
      </c>
      <c r="E162" s="62">
        <f t="shared" si="127"/>
        <v>12100</v>
      </c>
      <c r="F162" s="62">
        <f t="shared" si="127"/>
        <v>12100</v>
      </c>
      <c r="G162" s="62">
        <f t="shared" si="127"/>
        <v>12100</v>
      </c>
      <c r="H162" s="62">
        <f t="shared" si="127"/>
        <v>12100</v>
      </c>
      <c r="I162" s="62">
        <f t="shared" si="127"/>
        <v>12100</v>
      </c>
      <c r="J162" s="62">
        <f t="shared" si="127"/>
        <v>12100</v>
      </c>
      <c r="K162" s="62">
        <f t="shared" si="127"/>
        <v>12100</v>
      </c>
      <c r="L162" s="62">
        <f t="shared" si="127"/>
        <v>12100</v>
      </c>
      <c r="M162" s="62">
        <f t="shared" si="127"/>
        <v>12100</v>
      </c>
      <c r="N162" s="62">
        <f t="shared" si="127"/>
        <v>12100</v>
      </c>
      <c r="O162" s="62">
        <f t="shared" si="127"/>
        <v>12100</v>
      </c>
      <c r="P162" s="62">
        <f t="shared" si="127"/>
        <v>12100</v>
      </c>
      <c r="Q162" s="62">
        <f t="shared" si="127"/>
        <v>12100</v>
      </c>
      <c r="R162" s="62">
        <f t="shared" si="127"/>
        <v>12100</v>
      </c>
      <c r="S162" s="62">
        <f t="shared" si="127"/>
        <v>12100</v>
      </c>
      <c r="T162" s="62">
        <f t="shared" si="127"/>
        <v>12100</v>
      </c>
      <c r="U162" s="62">
        <f t="shared" si="127"/>
        <v>12100</v>
      </c>
      <c r="V162" s="62">
        <f t="shared" si="127"/>
        <v>12100</v>
      </c>
      <c r="W162" s="62">
        <f t="shared" si="127"/>
        <v>12100</v>
      </c>
      <c r="X162" s="62">
        <f t="shared" si="127"/>
        <v>12100</v>
      </c>
      <c r="Y162" s="62">
        <f t="shared" si="127"/>
        <v>12100</v>
      </c>
      <c r="Z162" s="62">
        <f t="shared" si="127"/>
        <v>12100</v>
      </c>
      <c r="AA162" s="62">
        <f t="shared" si="127"/>
        <v>12100</v>
      </c>
      <c r="AB162" s="62">
        <f t="shared" si="127"/>
        <v>12100</v>
      </c>
      <c r="AC162" s="62">
        <f t="shared" si="127"/>
        <v>12100</v>
      </c>
    </row>
    <row r="163" spans="1:29" x14ac:dyDescent="0.3">
      <c r="A163" s="30" t="str">
        <f>A146</f>
        <v>Fuel Cost</v>
      </c>
      <c r="B163" s="62">
        <f>B145*B146*B153</f>
        <v>59116.697109060937</v>
      </c>
      <c r="C163" s="62">
        <f t="shared" ref="C163:AC163" si="128">C145*C146*C153</f>
        <v>58660.884311580172</v>
      </c>
      <c r="D163" s="62">
        <f t="shared" si="128"/>
        <v>58024.733379822392</v>
      </c>
      <c r="E163" s="62">
        <f t="shared" si="128"/>
        <v>57147.461921796159</v>
      </c>
      <c r="F163" s="62">
        <f t="shared" si="128"/>
        <v>55957.827669866732</v>
      </c>
      <c r="G163" s="62">
        <f t="shared" si="128"/>
        <v>54381.276667466707</v>
      </c>
      <c r="H163" s="62">
        <f t="shared" si="128"/>
        <v>52354.590972468264</v>
      </c>
      <c r="I163" s="62">
        <f t="shared" si="128"/>
        <v>49847.746722144446</v>
      </c>
      <c r="J163" s="62">
        <f t="shared" si="128"/>
        <v>46887.028674684974</v>
      </c>
      <c r="K163" s="62">
        <f t="shared" si="128"/>
        <v>43567.861538856225</v>
      </c>
      <c r="L163" s="62">
        <f t="shared" si="128"/>
        <v>40047.443223982642</v>
      </c>
      <c r="M163" s="62">
        <f t="shared" si="128"/>
        <v>36518.299139881936</v>
      </c>
      <c r="N163" s="62">
        <f t="shared" si="128"/>
        <v>33173.816069456763</v>
      </c>
      <c r="O163" s="62">
        <f t="shared" si="128"/>
        <v>30175.889308949827</v>
      </c>
      <c r="P163" s="62">
        <f t="shared" si="128"/>
        <v>27630.257476853734</v>
      </c>
      <c r="Q163" s="62">
        <f t="shared" si="128"/>
        <v>25575.413129684162</v>
      </c>
      <c r="R163" s="62">
        <f t="shared" si="128"/>
        <v>23989.31689965976</v>
      </c>
      <c r="S163" s="62">
        <f t="shared" si="128"/>
        <v>22809.772238400052</v>
      </c>
      <c r="T163" s="62">
        <f t="shared" si="128"/>
        <v>21957.916961235027</v>
      </c>
      <c r="U163" s="62">
        <f t="shared" si="128"/>
        <v>21356.15419078364</v>
      </c>
      <c r="V163" s="62">
        <f t="shared" si="128"/>
        <v>20937.840153836096</v>
      </c>
      <c r="W163" s="62">
        <f t="shared" si="128"/>
        <v>20650.350011770141</v>
      </c>
      <c r="X163" s="62">
        <f t="shared" si="128"/>
        <v>20454.335854294506</v>
      </c>
      <c r="Y163" s="62">
        <f t="shared" si="128"/>
        <v>20321.42140597527</v>
      </c>
      <c r="Z163" s="62">
        <f t="shared" si="128"/>
        <v>20231.630482026554</v>
      </c>
      <c r="AA163" s="62">
        <f t="shared" si="128"/>
        <v>20171.125621246319</v>
      </c>
      <c r="AB163" s="62">
        <f t="shared" si="128"/>
        <v>20130.424819658936</v>
      </c>
      <c r="AC163" s="62">
        <f t="shared" si="128"/>
        <v>20103.077586689349</v>
      </c>
    </row>
    <row r="164" spans="1:29" ht="15" thickBot="1" x14ac:dyDescent="0.35">
      <c r="A164" s="59" t="str">
        <f>A127</f>
        <v>Emission Cost</v>
      </c>
      <c r="B164" s="62">
        <f>B147*B153</f>
        <v>1001.5005265244289</v>
      </c>
      <c r="C164" s="62">
        <f t="shared" ref="C164:AC164" si="129">C147*C153</f>
        <v>1000.5468540058832</v>
      </c>
      <c r="D164" s="62">
        <f t="shared" si="129"/>
        <v>999.18169303692775</v>
      </c>
      <c r="E164" s="62">
        <f t="shared" si="129"/>
        <v>997.22873426842602</v>
      </c>
      <c r="F164" s="62">
        <f t="shared" si="129"/>
        <v>994.43752524648903</v>
      </c>
      <c r="G164" s="62">
        <f t="shared" si="129"/>
        <v>990.45386676690146</v>
      </c>
      <c r="H164" s="62">
        <f t="shared" si="129"/>
        <v>984.78015979356701</v>
      </c>
      <c r="I164" s="62">
        <f t="shared" si="129"/>
        <v>976.7243092274723</v>
      </c>
      <c r="J164" s="62">
        <f t="shared" si="129"/>
        <v>965.33813857011125</v>
      </c>
      <c r="K164" s="62">
        <f t="shared" si="129"/>
        <v>949.35216039071122</v>
      </c>
      <c r="L164" s="62">
        <f t="shared" si="129"/>
        <v>927.12584763156758</v>
      </c>
      <c r="M164" s="62">
        <f t="shared" si="129"/>
        <v>896.65440432679588</v>
      </c>
      <c r="N164" s="62">
        <f t="shared" si="129"/>
        <v>855.70404971304015</v>
      </c>
      <c r="O164" s="62">
        <f t="shared" si="129"/>
        <v>802.17402520615565</v>
      </c>
      <c r="P164" s="62">
        <f t="shared" si="129"/>
        <v>734.76200708821216</v>
      </c>
      <c r="Q164" s="62">
        <f t="shared" si="129"/>
        <v>653.8695204089629</v>
      </c>
      <c r="R164" s="62">
        <f t="shared" si="129"/>
        <v>562.39842766440916</v>
      </c>
      <c r="S164" s="62">
        <f t="shared" si="129"/>
        <v>465.83277035043363</v>
      </c>
      <c r="T164" s="62">
        <f t="shared" si="129"/>
        <v>371.16734455140136</v>
      </c>
      <c r="U164" s="62">
        <f t="shared" si="129"/>
        <v>284.99145889559298</v>
      </c>
      <c r="V164" s="62">
        <f t="shared" si="129"/>
        <v>211.75422777026137</v>
      </c>
      <c r="W164" s="62">
        <f t="shared" si="129"/>
        <v>153.10432168384403</v>
      </c>
      <c r="X164" s="62">
        <f t="shared" si="129"/>
        <v>108.35184027131673</v>
      </c>
      <c r="Y164" s="62">
        <f t="shared" si="129"/>
        <v>75.455177278911606</v>
      </c>
      <c r="Z164" s="62">
        <f t="shared" si="129"/>
        <v>51.934539144323814</v>
      </c>
      <c r="AA164" s="62">
        <f t="shared" si="129"/>
        <v>35.450045331597188</v>
      </c>
      <c r="AB164" s="62">
        <f t="shared" si="129"/>
        <v>24.058246890829079</v>
      </c>
      <c r="AC164" s="62">
        <f t="shared" si="129"/>
        <v>16.262271542720804</v>
      </c>
    </row>
    <row r="165" spans="1:29" ht="15" thickBot="1" x14ac:dyDescent="0.35">
      <c r="A165" s="31" t="s">
        <v>209</v>
      </c>
      <c r="B165" s="64">
        <f>B156+B157+B158+B159+B160+B161+B162+B163+B164</f>
        <v>226084.87132133209</v>
      </c>
      <c r="C165" s="64">
        <f t="shared" ref="C165:AC165" si="130">C156+C157+C158+C159+C160+C161+C162+C163+C164</f>
        <v>224948.61274017353</v>
      </c>
      <c r="D165" s="64">
        <f t="shared" si="130"/>
        <v>223366.35594966091</v>
      </c>
      <c r="E165" s="64">
        <f t="shared" si="130"/>
        <v>221191.92737902151</v>
      </c>
      <c r="F165" s="64">
        <f t="shared" si="130"/>
        <v>218258.88632376905</v>
      </c>
      <c r="G165" s="64">
        <f t="shared" si="130"/>
        <v>214403.03081893502</v>
      </c>
      <c r="H165" s="64">
        <f t="shared" si="130"/>
        <v>209505.28939314102</v>
      </c>
      <c r="I165" s="64">
        <f t="shared" si="130"/>
        <v>203552.01311446831</v>
      </c>
      <c r="J165" s="64">
        <f t="shared" si="130"/>
        <v>196691.88370192618</v>
      </c>
      <c r="K165" s="64">
        <f t="shared" si="130"/>
        <v>189252.1583423292</v>
      </c>
      <c r="L165" s="64">
        <f t="shared" si="130"/>
        <v>181685.71177351382</v>
      </c>
      <c r="M165" s="64">
        <f t="shared" si="130"/>
        <v>174463.14651490329</v>
      </c>
      <c r="N165" s="64">
        <f t="shared" si="130"/>
        <v>167964.72743241256</v>
      </c>
      <c r="O165" s="64">
        <f t="shared" si="130"/>
        <v>162420.32663992434</v>
      </c>
      <c r="P165" s="64">
        <f t="shared" si="130"/>
        <v>157905.05586725654</v>
      </c>
      <c r="Q165" s="64">
        <f t="shared" si="130"/>
        <v>154371.02968658449</v>
      </c>
      <c r="R165" s="64">
        <f t="shared" si="130"/>
        <v>151693.70570941956</v>
      </c>
      <c r="S165" s="64">
        <f t="shared" si="130"/>
        <v>149716.91361982765</v>
      </c>
      <c r="T165" s="64">
        <f t="shared" si="130"/>
        <v>148286.17874582252</v>
      </c>
      <c r="U165" s="64">
        <f t="shared" si="130"/>
        <v>147266.8682031543</v>
      </c>
      <c r="V165" s="64">
        <f t="shared" si="130"/>
        <v>146550.05623779798</v>
      </c>
      <c r="W165" s="64">
        <f t="shared" si="130"/>
        <v>146051.48478236087</v>
      </c>
      <c r="X165" s="64">
        <f t="shared" si="130"/>
        <v>145707.88775697694</v>
      </c>
      <c r="Y165" s="64">
        <f t="shared" si="130"/>
        <v>145472.85174029434</v>
      </c>
      <c r="Z165" s="64">
        <f t="shared" si="130"/>
        <v>145313.00376205842</v>
      </c>
      <c r="AA165" s="64">
        <f t="shared" si="130"/>
        <v>145204.75987272486</v>
      </c>
      <c r="AB165" s="64">
        <f t="shared" si="130"/>
        <v>145131.68959546174</v>
      </c>
      <c r="AC165" s="64">
        <f t="shared" si="130"/>
        <v>145082.47241615187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31">A156</f>
        <v>Capex vehicle</v>
      </c>
      <c r="B168" s="65">
        <f>((1+B141)^B148)*B141/(((1+B141)^B148)-1)*(B137)/B153</f>
        <v>0.55779496268778006</v>
      </c>
      <c r="C168" s="65">
        <f t="shared" ref="C168:AC168" si="132">((1+C141)^C148)*C141/(((1+C141)^C148)-1)*(C137)/C153</f>
        <v>0.55231558596269958</v>
      </c>
      <c r="D168" s="65">
        <f t="shared" si="132"/>
        <v>0.54469726323949286</v>
      </c>
      <c r="E168" s="65">
        <f t="shared" si="132"/>
        <v>0.53425282778799632</v>
      </c>
      <c r="F168" s="65">
        <f t="shared" si="132"/>
        <v>0.52021662572164096</v>
      </c>
      <c r="G168" s="65">
        <f t="shared" si="132"/>
        <v>0.50186859802609585</v>
      </c>
      <c r="H168" s="65">
        <f t="shared" si="132"/>
        <v>0.47876235836275438</v>
      </c>
      <c r="I168" s="65">
        <f t="shared" si="132"/>
        <v>0.45103553403145796</v>
      </c>
      <c r="J168" s="65">
        <f t="shared" si="132"/>
        <v>0.41968277156816047</v>
      </c>
      <c r="K168" s="65">
        <f t="shared" si="132"/>
        <v>0.38658378887280465</v>
      </c>
      <c r="L168" s="65">
        <f t="shared" si="132"/>
        <v>0.35413613224698287</v>
      </c>
      <c r="M168" s="65">
        <f t="shared" si="132"/>
        <v>0.32459836253238938</v>
      </c>
      <c r="N168" s="65">
        <f t="shared" si="132"/>
        <v>0.29949546453427994</v>
      </c>
      <c r="O168" s="65">
        <f t="shared" si="132"/>
        <v>0.27939253891211235</v>
      </c>
      <c r="P168" s="65">
        <f t="shared" si="132"/>
        <v>0.26405311443088852</v>
      </c>
      <c r="Q168" s="65">
        <f t="shared" si="132"/>
        <v>0.25277740721356717</v>
      </c>
      <c r="R168" s="65">
        <f t="shared" si="132"/>
        <v>0.24471543967505413</v>
      </c>
      <c r="S168" s="65">
        <f t="shared" si="132"/>
        <v>0.23906519101910501</v>
      </c>
      <c r="T168" s="65">
        <f t="shared" si="132"/>
        <v>0.23516052190642039</v>
      </c>
      <c r="U168" s="65">
        <f t="shared" si="132"/>
        <v>0.23248836225548505</v>
      </c>
      <c r="V168" s="65">
        <f t="shared" si="132"/>
        <v>0.2306718757922876</v>
      </c>
      <c r="W168" s="65">
        <f t="shared" si="132"/>
        <v>0.22944267961542206</v>
      </c>
      <c r="X168" s="65">
        <f t="shared" si="132"/>
        <v>0.22861346259120272</v>
      </c>
      <c r="Y168" s="65">
        <f t="shared" si="132"/>
        <v>0.22805523780969886</v>
      </c>
      <c r="Z168" s="65">
        <f t="shared" si="132"/>
        <v>0.2276799714138899</v>
      </c>
      <c r="AA168" s="65">
        <f t="shared" si="132"/>
        <v>0.22742793703792227</v>
      </c>
      <c r="AB168" s="65">
        <f t="shared" si="132"/>
        <v>0.2272587745200654</v>
      </c>
      <c r="AC168" s="65">
        <f t="shared" si="132"/>
        <v>0.22714528300512757</v>
      </c>
    </row>
    <row r="169" spans="1:29" x14ac:dyDescent="0.3">
      <c r="A169" s="30" t="str">
        <f t="shared" si="131"/>
        <v>Residual value (vehicle)</v>
      </c>
      <c r="B169" s="66">
        <f>((1+B141)^B148)*B141/(((1+B141)^B148)-1)*(B138)/B153</f>
        <v>-8.4536627843216305E-2</v>
      </c>
      <c r="C169" s="66">
        <f t="shared" ref="C169:AC169" si="133">((1+C141)^C148)*C141/(((1+C141)^C148)-1)*(C138)/C153</f>
        <v>-8.4076127033342524E-2</v>
      </c>
      <c r="D169" s="66">
        <f t="shared" si="133"/>
        <v>-8.3435863740647487E-2</v>
      </c>
      <c r="E169" s="66">
        <f t="shared" si="133"/>
        <v>-8.2558086718660023E-2</v>
      </c>
      <c r="F169" s="66">
        <f t="shared" si="133"/>
        <v>-8.1378448459891853E-2</v>
      </c>
      <c r="G169" s="66">
        <f t="shared" si="133"/>
        <v>-7.9836433366330076E-2</v>
      </c>
      <c r="H169" s="66">
        <f t="shared" si="133"/>
        <v>-7.7894525990368405E-2</v>
      </c>
      <c r="I169" s="66">
        <f t="shared" si="133"/>
        <v>-7.5564292881674364E-2</v>
      </c>
      <c r="J169" s="66">
        <f t="shared" si="133"/>
        <v>-7.2929326674652531E-2</v>
      </c>
      <c r="K169" s="66">
        <f t="shared" si="133"/>
        <v>-7.0147603660893912E-2</v>
      </c>
      <c r="L169" s="66">
        <f t="shared" si="133"/>
        <v>-6.7420619752979111E-2</v>
      </c>
      <c r="M169" s="66">
        <f t="shared" si="133"/>
        <v>-6.4938190170582416E-2</v>
      </c>
      <c r="N169" s="66">
        <f t="shared" si="133"/>
        <v>-6.2828478530315771E-2</v>
      </c>
      <c r="O169" s="66">
        <f t="shared" si="133"/>
        <v>-6.1138977334410198E-2</v>
      </c>
      <c r="P169" s="66">
        <f t="shared" si="133"/>
        <v>-5.9849812936520114E-2</v>
      </c>
      <c r="Q169" s="66">
        <f t="shared" si="133"/>
        <v>-5.8902173712936719E-2</v>
      </c>
      <c r="R169" s="66">
        <f t="shared" si="133"/>
        <v>-5.8224625377253182E-2</v>
      </c>
      <c r="S169" s="66">
        <f t="shared" si="133"/>
        <v>-5.7749764054040434E-2</v>
      </c>
      <c r="T169" s="66">
        <f t="shared" si="133"/>
        <v>-5.7421605692442465E-2</v>
      </c>
      <c r="U169" s="66">
        <f t="shared" si="133"/>
        <v>-5.7197030572842589E-2</v>
      </c>
      <c r="V169" s="66">
        <f t="shared" si="133"/>
        <v>-5.7044368412637686E-2</v>
      </c>
      <c r="W169" s="66">
        <f t="shared" si="133"/>
        <v>-5.6941063627560691E-2</v>
      </c>
      <c r="X169" s="66">
        <f t="shared" si="133"/>
        <v>-5.6871374111695454E-2</v>
      </c>
      <c r="Y169" s="66">
        <f t="shared" si="133"/>
        <v>-5.6824459475803113E-2</v>
      </c>
      <c r="Z169" s="66">
        <f t="shared" si="133"/>
        <v>-5.6792921129772349E-2</v>
      </c>
      <c r="AA169" s="66">
        <f t="shared" si="133"/>
        <v>-5.6771739517324012E-2</v>
      </c>
      <c r="AB169" s="66">
        <f t="shared" si="133"/>
        <v>-5.6757522667419014E-2</v>
      </c>
      <c r="AC169" s="66">
        <f t="shared" si="133"/>
        <v>-5.6747984550738075E-2</v>
      </c>
    </row>
    <row r="170" spans="1:29" x14ac:dyDescent="0.3">
      <c r="A170" s="30" t="str">
        <f t="shared" si="131"/>
        <v>Capex costumization</v>
      </c>
      <c r="B170" s="66">
        <f>((1+B141)^B149)*B141/(((1+B141)^B149)-1)*(B139)/B153</f>
        <v>7.4109795392936578E-2</v>
      </c>
      <c r="C170" s="66">
        <f t="shared" ref="C170:AC170" si="134">((1+C141)^C149)*C141/(((1+C141)^C149)-1)*(C139)/C153</f>
        <v>7.4109795392936578E-2</v>
      </c>
      <c r="D170" s="66">
        <f t="shared" si="134"/>
        <v>7.4109795392936578E-2</v>
      </c>
      <c r="E170" s="66">
        <f t="shared" si="134"/>
        <v>7.4109795392936578E-2</v>
      </c>
      <c r="F170" s="66">
        <f t="shared" si="134"/>
        <v>7.4109795392936578E-2</v>
      </c>
      <c r="G170" s="66">
        <f t="shared" si="134"/>
        <v>7.4109795392936578E-2</v>
      </c>
      <c r="H170" s="66">
        <f t="shared" si="134"/>
        <v>7.4109795392936578E-2</v>
      </c>
      <c r="I170" s="66">
        <f t="shared" si="134"/>
        <v>7.4109795392936578E-2</v>
      </c>
      <c r="J170" s="66">
        <f t="shared" si="134"/>
        <v>7.4109795392936578E-2</v>
      </c>
      <c r="K170" s="66">
        <f t="shared" si="134"/>
        <v>7.4109795392936578E-2</v>
      </c>
      <c r="L170" s="66">
        <f t="shared" si="134"/>
        <v>7.4109795392936578E-2</v>
      </c>
      <c r="M170" s="66">
        <f t="shared" si="134"/>
        <v>7.4109795392936578E-2</v>
      </c>
      <c r="N170" s="66">
        <f t="shared" si="134"/>
        <v>7.4109795392936578E-2</v>
      </c>
      <c r="O170" s="66">
        <f t="shared" si="134"/>
        <v>7.4109795392936578E-2</v>
      </c>
      <c r="P170" s="66">
        <f t="shared" si="134"/>
        <v>7.4109795392936578E-2</v>
      </c>
      <c r="Q170" s="66">
        <f t="shared" si="134"/>
        <v>7.4109795392936578E-2</v>
      </c>
      <c r="R170" s="66">
        <f t="shared" si="134"/>
        <v>7.4109795392936578E-2</v>
      </c>
      <c r="S170" s="66">
        <f t="shared" si="134"/>
        <v>7.4109795392936578E-2</v>
      </c>
      <c r="T170" s="66">
        <f t="shared" si="134"/>
        <v>7.4109795392936578E-2</v>
      </c>
      <c r="U170" s="66">
        <f t="shared" si="134"/>
        <v>7.4109795392936578E-2</v>
      </c>
      <c r="V170" s="66">
        <f t="shared" si="134"/>
        <v>7.4109795392936578E-2</v>
      </c>
      <c r="W170" s="66">
        <f t="shared" si="134"/>
        <v>7.4109795392936578E-2</v>
      </c>
      <c r="X170" s="66">
        <f t="shared" si="134"/>
        <v>7.4109795392936578E-2</v>
      </c>
      <c r="Y170" s="66">
        <f t="shared" si="134"/>
        <v>7.4109795392936578E-2</v>
      </c>
      <c r="Z170" s="66">
        <f t="shared" si="134"/>
        <v>7.4109795392936578E-2</v>
      </c>
      <c r="AA170" s="66">
        <f t="shared" si="134"/>
        <v>7.4109795392936578E-2</v>
      </c>
      <c r="AB170" s="66">
        <f t="shared" si="134"/>
        <v>7.4109795392936578E-2</v>
      </c>
      <c r="AC170" s="66">
        <f t="shared" si="134"/>
        <v>7.4109795392936578E-2</v>
      </c>
    </row>
    <row r="171" spans="1:29" x14ac:dyDescent="0.3">
      <c r="A171" s="30" t="str">
        <f t="shared" si="131"/>
        <v>Residual value (costumization)</v>
      </c>
      <c r="B171" s="66">
        <f>((1+B141)^B149)*B141/(((1+B141)^B149)-1)*(B140)/B153</f>
        <v>-1.8527448848234145E-2</v>
      </c>
      <c r="C171" s="66">
        <f t="shared" ref="C171:AC171" si="135">((1+C141)^C149)*C141/(((1+C141)^C149)-1)*(C140)/C153</f>
        <v>-1.8527448848234145E-2</v>
      </c>
      <c r="D171" s="66">
        <f t="shared" si="135"/>
        <v>-1.8527448848234145E-2</v>
      </c>
      <c r="E171" s="66">
        <f t="shared" si="135"/>
        <v>-1.8527448848234145E-2</v>
      </c>
      <c r="F171" s="66">
        <f t="shared" si="135"/>
        <v>-1.8527448848234145E-2</v>
      </c>
      <c r="G171" s="66">
        <f t="shared" si="135"/>
        <v>-1.8527448848234145E-2</v>
      </c>
      <c r="H171" s="66">
        <f t="shared" si="135"/>
        <v>-1.8527448848234145E-2</v>
      </c>
      <c r="I171" s="66">
        <f t="shared" si="135"/>
        <v>-1.8527448848234145E-2</v>
      </c>
      <c r="J171" s="66">
        <f t="shared" si="135"/>
        <v>-1.8527448848234145E-2</v>
      </c>
      <c r="K171" s="66">
        <f t="shared" si="135"/>
        <v>-1.8527448848234145E-2</v>
      </c>
      <c r="L171" s="66">
        <f t="shared" si="135"/>
        <v>-1.8527448848234145E-2</v>
      </c>
      <c r="M171" s="66">
        <f t="shared" si="135"/>
        <v>-1.8527448848234145E-2</v>
      </c>
      <c r="N171" s="66">
        <f t="shared" si="135"/>
        <v>-1.8527448848234145E-2</v>
      </c>
      <c r="O171" s="66">
        <f t="shared" si="135"/>
        <v>-1.8527448848234145E-2</v>
      </c>
      <c r="P171" s="66">
        <f t="shared" si="135"/>
        <v>-1.8527448848234145E-2</v>
      </c>
      <c r="Q171" s="66">
        <f t="shared" si="135"/>
        <v>-1.8527448848234145E-2</v>
      </c>
      <c r="R171" s="66">
        <f t="shared" si="135"/>
        <v>-1.8527448848234145E-2</v>
      </c>
      <c r="S171" s="66">
        <f t="shared" si="135"/>
        <v>-1.8527448848234145E-2</v>
      </c>
      <c r="T171" s="66">
        <f t="shared" si="135"/>
        <v>-1.8527448848234145E-2</v>
      </c>
      <c r="U171" s="66">
        <f t="shared" si="135"/>
        <v>-1.8527448848234145E-2</v>
      </c>
      <c r="V171" s="66">
        <f t="shared" si="135"/>
        <v>-1.8527448848234145E-2</v>
      </c>
      <c r="W171" s="66">
        <f t="shared" si="135"/>
        <v>-1.8527448848234145E-2</v>
      </c>
      <c r="X171" s="66">
        <f t="shared" si="135"/>
        <v>-1.8527448848234145E-2</v>
      </c>
      <c r="Y171" s="66">
        <f t="shared" si="135"/>
        <v>-1.8527448848234145E-2</v>
      </c>
      <c r="Z171" s="66">
        <f t="shared" si="135"/>
        <v>-1.8527448848234145E-2</v>
      </c>
      <c r="AA171" s="66">
        <f t="shared" si="135"/>
        <v>-1.8527448848234145E-2</v>
      </c>
      <c r="AB171" s="66">
        <f t="shared" si="135"/>
        <v>-1.8527448848234145E-2</v>
      </c>
      <c r="AC171" s="66">
        <f t="shared" si="135"/>
        <v>-1.8527448848234145E-2</v>
      </c>
    </row>
    <row r="172" spans="1:29" x14ac:dyDescent="0.3">
      <c r="A172" s="30" t="str">
        <f t="shared" si="131"/>
        <v>Opex fix (admin, crew, insurance)</v>
      </c>
      <c r="B172" s="66">
        <f>B142/B153</f>
        <v>0.63636363636363635</v>
      </c>
      <c r="C172" s="66">
        <f t="shared" ref="C172:AC172" si="136">C142/C153</f>
        <v>0.63636363636363635</v>
      </c>
      <c r="D172" s="66">
        <f t="shared" si="136"/>
        <v>0.63636363636363635</v>
      </c>
      <c r="E172" s="66">
        <f t="shared" si="136"/>
        <v>0.63636363636363635</v>
      </c>
      <c r="F172" s="66">
        <f t="shared" si="136"/>
        <v>0.63636363636363635</v>
      </c>
      <c r="G172" s="66">
        <f t="shared" si="136"/>
        <v>0.63636363636363635</v>
      </c>
      <c r="H172" s="66">
        <f t="shared" si="136"/>
        <v>0.63636363636363635</v>
      </c>
      <c r="I172" s="66">
        <f t="shared" si="136"/>
        <v>0.63636363636363635</v>
      </c>
      <c r="J172" s="66">
        <f t="shared" si="136"/>
        <v>0.63636363636363635</v>
      </c>
      <c r="K172" s="66">
        <f t="shared" si="136"/>
        <v>0.63636363636363635</v>
      </c>
      <c r="L172" s="66">
        <f t="shared" si="136"/>
        <v>0.63636363636363635</v>
      </c>
      <c r="M172" s="66">
        <f t="shared" si="136"/>
        <v>0.63636363636363635</v>
      </c>
      <c r="N172" s="66">
        <f t="shared" si="136"/>
        <v>0.63636363636363635</v>
      </c>
      <c r="O172" s="66">
        <f t="shared" si="136"/>
        <v>0.63636363636363635</v>
      </c>
      <c r="P172" s="66">
        <f t="shared" si="136"/>
        <v>0.63636363636363635</v>
      </c>
      <c r="Q172" s="66">
        <f t="shared" si="136"/>
        <v>0.63636363636363635</v>
      </c>
      <c r="R172" s="66">
        <f t="shared" si="136"/>
        <v>0.63636363636363635</v>
      </c>
      <c r="S172" s="66">
        <f t="shared" si="136"/>
        <v>0.63636363636363635</v>
      </c>
      <c r="T172" s="66">
        <f t="shared" si="136"/>
        <v>0.63636363636363635</v>
      </c>
      <c r="U172" s="66">
        <f t="shared" si="136"/>
        <v>0.63636363636363635</v>
      </c>
      <c r="V172" s="66">
        <f t="shared" si="136"/>
        <v>0.63636363636363635</v>
      </c>
      <c r="W172" s="66">
        <f t="shared" si="136"/>
        <v>0.63636363636363635</v>
      </c>
      <c r="X172" s="66">
        <f t="shared" si="136"/>
        <v>0.63636363636363635</v>
      </c>
      <c r="Y172" s="66">
        <f t="shared" si="136"/>
        <v>0.63636363636363635</v>
      </c>
      <c r="Z172" s="66">
        <f t="shared" si="136"/>
        <v>0.63636363636363635</v>
      </c>
      <c r="AA172" s="66">
        <f t="shared" si="136"/>
        <v>0.63636363636363635</v>
      </c>
      <c r="AB172" s="66">
        <f t="shared" si="136"/>
        <v>0.63636363636363635</v>
      </c>
      <c r="AC172" s="66">
        <f t="shared" si="136"/>
        <v>0.63636363636363635</v>
      </c>
    </row>
    <row r="173" spans="1:29" x14ac:dyDescent="0.3">
      <c r="A173" s="30" t="str">
        <f t="shared" si="131"/>
        <v>Opex maintenance &amp; repair</v>
      </c>
      <c r="B173" s="66">
        <f>B143/B153</f>
        <v>0.23358362484479475</v>
      </c>
      <c r="C173" s="66">
        <f t="shared" ref="C173:AC173" si="137">C143/C153</f>
        <v>0.2324252997494628</v>
      </c>
      <c r="D173" s="66">
        <f t="shared" si="137"/>
        <v>0.23081480738192109</v>
      </c>
      <c r="E173" s="66">
        <f t="shared" si="137"/>
        <v>0.22860688259466069</v>
      </c>
      <c r="F173" s="66">
        <f t="shared" si="137"/>
        <v>0.22563966827223783</v>
      </c>
      <c r="G173" s="66">
        <f t="shared" si="137"/>
        <v>0.22176094592918102</v>
      </c>
      <c r="H173" s="66">
        <f t="shared" si="137"/>
        <v>0.21687635072726791</v>
      </c>
      <c r="I173" s="66">
        <f t="shared" si="137"/>
        <v>0.21101497669729943</v>
      </c>
      <c r="J173" s="66">
        <f t="shared" si="137"/>
        <v>0.2043870893678906</v>
      </c>
      <c r="K173" s="66">
        <f t="shared" si="137"/>
        <v>0.19739005590777114</v>
      </c>
      <c r="L173" s="66">
        <f t="shared" si="137"/>
        <v>0.19053071097856286</v>
      </c>
      <c r="M173" s="66">
        <f t="shared" si="137"/>
        <v>0.18428650809980451</v>
      </c>
      <c r="N173" s="66">
        <f t="shared" si="137"/>
        <v>0.17897982484444927</v>
      </c>
      <c r="O173" s="66">
        <f t="shared" si="137"/>
        <v>0.17473012193003504</v>
      </c>
      <c r="P173" s="66">
        <f t="shared" si="137"/>
        <v>0.1714874099910618</v>
      </c>
      <c r="Q173" s="66">
        <f t="shared" si="137"/>
        <v>0.16910375665004304</v>
      </c>
      <c r="R173" s="66">
        <f t="shared" si="137"/>
        <v>0.16739947899472743</v>
      </c>
      <c r="S173" s="66">
        <f t="shared" si="137"/>
        <v>0.16620503204547971</v>
      </c>
      <c r="T173" s="66">
        <f t="shared" si="137"/>
        <v>0.16537959578710243</v>
      </c>
      <c r="U173" s="66">
        <f t="shared" si="137"/>
        <v>0.16481470862242834</v>
      </c>
      <c r="V173" s="66">
        <f t="shared" si="137"/>
        <v>0.16443070840466242</v>
      </c>
      <c r="W173" s="66">
        <f t="shared" si="137"/>
        <v>0.16417085973022613</v>
      </c>
      <c r="X173" s="66">
        <f t="shared" si="137"/>
        <v>0.16399556554316405</v>
      </c>
      <c r="Y173" s="66">
        <f t="shared" si="137"/>
        <v>0.16387755836722148</v>
      </c>
      <c r="Z173" s="66">
        <f t="shared" si="137"/>
        <v>0.16379822808833949</v>
      </c>
      <c r="AA173" s="66">
        <f t="shared" si="137"/>
        <v>0.16374494871785319</v>
      </c>
      <c r="AB173" s="66">
        <f t="shared" si="137"/>
        <v>0.16370918822912345</v>
      </c>
      <c r="AC173" s="66">
        <f t="shared" si="137"/>
        <v>0.16368519643654272</v>
      </c>
    </row>
    <row r="174" spans="1:29" x14ac:dyDescent="0.3">
      <c r="A174" s="30" t="str">
        <f t="shared" si="131"/>
        <v>Opex var (mode-fees)</v>
      </c>
      <c r="B174" s="66">
        <f>B144*B153/B153</f>
        <v>0.11</v>
      </c>
      <c r="C174" s="66">
        <f t="shared" ref="C174:AC174" si="138">C144*C153/C153</f>
        <v>0.11</v>
      </c>
      <c r="D174" s="66">
        <f t="shared" si="138"/>
        <v>0.11</v>
      </c>
      <c r="E174" s="66">
        <f t="shared" si="138"/>
        <v>0.11</v>
      </c>
      <c r="F174" s="66">
        <f t="shared" si="138"/>
        <v>0.11</v>
      </c>
      <c r="G174" s="66">
        <f t="shared" si="138"/>
        <v>0.11</v>
      </c>
      <c r="H174" s="66">
        <f t="shared" si="138"/>
        <v>0.11</v>
      </c>
      <c r="I174" s="66">
        <f t="shared" si="138"/>
        <v>0.11</v>
      </c>
      <c r="J174" s="66">
        <f t="shared" si="138"/>
        <v>0.11</v>
      </c>
      <c r="K174" s="66">
        <f t="shared" si="138"/>
        <v>0.11</v>
      </c>
      <c r="L174" s="66">
        <f t="shared" si="138"/>
        <v>0.11</v>
      </c>
      <c r="M174" s="66">
        <f t="shared" si="138"/>
        <v>0.11</v>
      </c>
      <c r="N174" s="66">
        <f t="shared" si="138"/>
        <v>0.11</v>
      </c>
      <c r="O174" s="66">
        <f t="shared" si="138"/>
        <v>0.11</v>
      </c>
      <c r="P174" s="66">
        <f t="shared" si="138"/>
        <v>0.11</v>
      </c>
      <c r="Q174" s="66">
        <f t="shared" si="138"/>
        <v>0.11</v>
      </c>
      <c r="R174" s="66">
        <f t="shared" si="138"/>
        <v>0.11</v>
      </c>
      <c r="S174" s="66">
        <f t="shared" si="138"/>
        <v>0.11</v>
      </c>
      <c r="T174" s="66">
        <f t="shared" si="138"/>
        <v>0.11</v>
      </c>
      <c r="U174" s="66">
        <f t="shared" si="138"/>
        <v>0.11</v>
      </c>
      <c r="V174" s="66">
        <f t="shared" si="138"/>
        <v>0.11</v>
      </c>
      <c r="W174" s="66">
        <f t="shared" si="138"/>
        <v>0.11</v>
      </c>
      <c r="X174" s="66">
        <f t="shared" si="138"/>
        <v>0.11</v>
      </c>
      <c r="Y174" s="66">
        <f t="shared" si="138"/>
        <v>0.11</v>
      </c>
      <c r="Z174" s="66">
        <f t="shared" si="138"/>
        <v>0.11</v>
      </c>
      <c r="AA174" s="66">
        <f t="shared" si="138"/>
        <v>0.11</v>
      </c>
      <c r="AB174" s="66">
        <f t="shared" si="138"/>
        <v>0.11</v>
      </c>
      <c r="AC174" s="66">
        <f t="shared" si="138"/>
        <v>0.11</v>
      </c>
    </row>
    <row r="175" spans="1:29" x14ac:dyDescent="0.3">
      <c r="A175" s="30" t="str">
        <f t="shared" si="131"/>
        <v>Fuel Cost</v>
      </c>
      <c r="B175" s="66">
        <f>B145*B146*B153/B153</f>
        <v>0.53742451917328127</v>
      </c>
      <c r="C175" s="66">
        <f t="shared" ref="C175:AC175" si="139">C145*C146*C153/C153</f>
        <v>0.53328076646891065</v>
      </c>
      <c r="D175" s="66">
        <f t="shared" si="139"/>
        <v>0.52749757618020354</v>
      </c>
      <c r="E175" s="66">
        <f t="shared" si="139"/>
        <v>0.51952238110723781</v>
      </c>
      <c r="F175" s="66">
        <f t="shared" si="139"/>
        <v>0.50870752427151578</v>
      </c>
      <c r="G175" s="66">
        <f t="shared" si="139"/>
        <v>0.49437524243151554</v>
      </c>
      <c r="H175" s="66">
        <f t="shared" si="139"/>
        <v>0.47595082702243874</v>
      </c>
      <c r="I175" s="66">
        <f t="shared" si="139"/>
        <v>0.45316133383767676</v>
      </c>
      <c r="J175" s="66">
        <f t="shared" si="139"/>
        <v>0.42624571522440885</v>
      </c>
      <c r="K175" s="66">
        <f t="shared" si="139"/>
        <v>0.39607146853505659</v>
      </c>
      <c r="L175" s="66">
        <f t="shared" si="139"/>
        <v>0.36406766567256948</v>
      </c>
      <c r="M175" s="66">
        <f t="shared" si="139"/>
        <v>0.33198453763529034</v>
      </c>
      <c r="N175" s="66">
        <f t="shared" si="139"/>
        <v>0.30158014608597056</v>
      </c>
      <c r="O175" s="66">
        <f t="shared" si="139"/>
        <v>0.27432626644499841</v>
      </c>
      <c r="P175" s="66">
        <f t="shared" si="139"/>
        <v>0.25118415888048851</v>
      </c>
      <c r="Q175" s="66">
        <f t="shared" si="139"/>
        <v>0.23250375572440149</v>
      </c>
      <c r="R175" s="66">
        <f t="shared" si="139"/>
        <v>0.218084699087816</v>
      </c>
      <c r="S175" s="66">
        <f t="shared" si="139"/>
        <v>0.20736156580363682</v>
      </c>
      <c r="T175" s="66">
        <f t="shared" si="139"/>
        <v>0.19961742692031842</v>
      </c>
      <c r="U175" s="66">
        <f t="shared" si="139"/>
        <v>0.19414685627985126</v>
      </c>
      <c r="V175" s="66">
        <f t="shared" si="139"/>
        <v>0.19034400139850996</v>
      </c>
      <c r="W175" s="66">
        <f t="shared" si="139"/>
        <v>0.18773045465245583</v>
      </c>
      <c r="X175" s="66">
        <f t="shared" si="139"/>
        <v>0.18594850776631369</v>
      </c>
      <c r="Y175" s="66">
        <f t="shared" si="139"/>
        <v>0.1847401945997752</v>
      </c>
      <c r="Z175" s="66">
        <f t="shared" si="139"/>
        <v>0.18392391347296869</v>
      </c>
      <c r="AA175" s="66">
        <f t="shared" si="139"/>
        <v>0.18337386928405744</v>
      </c>
      <c r="AB175" s="66">
        <f t="shared" si="139"/>
        <v>0.18300386199689941</v>
      </c>
      <c r="AC175" s="66">
        <f t="shared" si="139"/>
        <v>0.18275525078808499</v>
      </c>
    </row>
    <row r="176" spans="1:29" ht="15" thickBot="1" x14ac:dyDescent="0.35">
      <c r="A176" s="59" t="str">
        <f t="shared" ref="A176" si="140">A164</f>
        <v>Emission Cost</v>
      </c>
      <c r="B176" s="66">
        <f>B147</f>
        <v>9.1045502411311718E-3</v>
      </c>
      <c r="C176" s="66">
        <f t="shared" ref="C176:AC176" si="141">C147</f>
        <v>9.095880490962575E-3</v>
      </c>
      <c r="D176" s="66">
        <f t="shared" si="141"/>
        <v>9.0834699366993434E-3</v>
      </c>
      <c r="E176" s="66">
        <f t="shared" si="141"/>
        <v>9.0657157660766E-3</v>
      </c>
      <c r="F176" s="66">
        <f t="shared" si="141"/>
        <v>9.040341138604446E-3</v>
      </c>
      <c r="G176" s="66">
        <f t="shared" si="141"/>
        <v>9.0041260615172855E-3</v>
      </c>
      <c r="H176" s="66">
        <f t="shared" si="141"/>
        <v>8.9525469072142452E-3</v>
      </c>
      <c r="I176" s="66">
        <f t="shared" si="141"/>
        <v>8.8793119020679299E-3</v>
      </c>
      <c r="J176" s="66">
        <f t="shared" si="141"/>
        <v>8.7758012597282838E-3</v>
      </c>
      <c r="K176" s="66">
        <f t="shared" si="141"/>
        <v>8.630474185370102E-3</v>
      </c>
      <c r="L176" s="66">
        <f t="shared" si="141"/>
        <v>8.4284167966506146E-3</v>
      </c>
      <c r="M176" s="66">
        <f t="shared" si="141"/>
        <v>8.1514036756981448E-3</v>
      </c>
      <c r="N176" s="66">
        <f t="shared" si="141"/>
        <v>7.7791277246640009E-3</v>
      </c>
      <c r="O176" s="66">
        <f t="shared" si="141"/>
        <v>7.2924911382377788E-3</v>
      </c>
      <c r="P176" s="66">
        <f t="shared" si="141"/>
        <v>6.6796546098928378E-3</v>
      </c>
      <c r="Q176" s="66">
        <f t="shared" si="141"/>
        <v>5.9442683673542078E-3</v>
      </c>
      <c r="R176" s="66">
        <f t="shared" si="141"/>
        <v>5.1127129787673555E-3</v>
      </c>
      <c r="S176" s="66">
        <f t="shared" si="141"/>
        <v>4.2348433668221242E-3</v>
      </c>
      <c r="T176" s="66">
        <f t="shared" si="141"/>
        <v>3.3742485868309214E-3</v>
      </c>
      <c r="U176" s="66">
        <f t="shared" si="141"/>
        <v>2.5908314445053909E-3</v>
      </c>
      <c r="V176" s="66">
        <f t="shared" si="141"/>
        <v>1.9250384342751033E-3</v>
      </c>
      <c r="W176" s="66">
        <f t="shared" si="141"/>
        <v>1.3918574698531276E-3</v>
      </c>
      <c r="X176" s="66">
        <f t="shared" si="141"/>
        <v>9.8501672973924301E-4</v>
      </c>
      <c r="Y176" s="66">
        <f t="shared" si="141"/>
        <v>6.8595615708101458E-4</v>
      </c>
      <c r="Z176" s="66">
        <f t="shared" si="141"/>
        <v>4.7213217403930738E-4</v>
      </c>
      <c r="AA176" s="66">
        <f t="shared" si="141"/>
        <v>3.2227313937815624E-4</v>
      </c>
      <c r="AB176" s="66">
        <f t="shared" si="141"/>
        <v>2.1871133537117345E-4</v>
      </c>
      <c r="AC176" s="66">
        <f t="shared" si="141"/>
        <v>1.4783883220655276E-4</v>
      </c>
    </row>
    <row r="177" spans="1:29" ht="15" thickBot="1" x14ac:dyDescent="0.35">
      <c r="A177" s="31" t="s">
        <v>63</v>
      </c>
      <c r="B177" s="76">
        <f>B168+B169+B170-B171+B172+B173+B174+B175+B176</f>
        <v>2.0923719097085778</v>
      </c>
      <c r="C177" s="76">
        <f t="shared" ref="C177:AC177" si="142">C168+C169+C170-C171+C172+C173+C174+C175+C176</f>
        <v>2.0820422862435004</v>
      </c>
      <c r="D177" s="76">
        <f t="shared" si="142"/>
        <v>2.0676581336024764</v>
      </c>
      <c r="E177" s="76">
        <f t="shared" si="142"/>
        <v>2.0478906011421185</v>
      </c>
      <c r="F177" s="76">
        <f t="shared" si="142"/>
        <v>2.0212265915489147</v>
      </c>
      <c r="G177" s="76">
        <f t="shared" si="142"/>
        <v>1.9861733596867868</v>
      </c>
      <c r="H177" s="76">
        <f t="shared" si="142"/>
        <v>1.9416484376341143</v>
      </c>
      <c r="I177" s="76">
        <f t="shared" si="142"/>
        <v>1.8875277441916352</v>
      </c>
      <c r="J177" s="76">
        <f t="shared" si="142"/>
        <v>1.8251629313503428</v>
      </c>
      <c r="K177" s="76">
        <f t="shared" si="142"/>
        <v>1.7575290644449155</v>
      </c>
      <c r="L177" s="76">
        <f t="shared" si="142"/>
        <v>1.6887431865465938</v>
      </c>
      <c r="M177" s="76">
        <f t="shared" si="142"/>
        <v>1.6230835023774071</v>
      </c>
      <c r="N177" s="76">
        <f t="shared" si="142"/>
        <v>1.5640069652638551</v>
      </c>
      <c r="O177" s="76">
        <f t="shared" si="142"/>
        <v>1.5136033216957805</v>
      </c>
      <c r="P177" s="76">
        <f t="shared" si="142"/>
        <v>1.4725554055806185</v>
      </c>
      <c r="Q177" s="76">
        <f t="shared" si="142"/>
        <v>1.4404278948472364</v>
      </c>
      <c r="R177" s="76">
        <f t="shared" si="142"/>
        <v>1.416088585963919</v>
      </c>
      <c r="S177" s="76">
        <f t="shared" si="142"/>
        <v>1.3981177487858105</v>
      </c>
      <c r="T177" s="76">
        <f t="shared" si="142"/>
        <v>1.3851110681130367</v>
      </c>
      <c r="U177" s="76">
        <f t="shared" si="142"/>
        <v>1.3758446086342344</v>
      </c>
      <c r="V177" s="76">
        <f t="shared" si="142"/>
        <v>1.3693281362219045</v>
      </c>
      <c r="W177" s="76">
        <f t="shared" si="142"/>
        <v>1.3647956684452036</v>
      </c>
      <c r="X177" s="76">
        <f t="shared" si="142"/>
        <v>1.3616720591235312</v>
      </c>
      <c r="Y177" s="76">
        <f t="shared" si="142"/>
        <v>1.3595353680627806</v>
      </c>
      <c r="Z177" s="76">
        <f t="shared" si="142"/>
        <v>1.3580822046242722</v>
      </c>
      <c r="AA177" s="76">
        <f t="shared" si="142"/>
        <v>1.3570981692666944</v>
      </c>
      <c r="AB177" s="76">
        <f t="shared" si="142"/>
        <v>1.3564338940188476</v>
      </c>
      <c r="AC177" s="76">
        <f t="shared" si="142"/>
        <v>1.3559864651160307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43">A156</f>
        <v>Capex vehicle</v>
      </c>
      <c r="B180" s="65">
        <f>((1+B141)^B148)*B141/(((1+B141)^B148)-1)*(B137)/B153/(B150)</f>
        <v>2.2311798507511204E-2</v>
      </c>
      <c r="C180" s="65">
        <f t="shared" ref="C180:AC180" si="144">((1+C141)^C148)*C141/(((1+C141)^C148)-1)*(C137)/C153/(C150)</f>
        <v>2.2092623438507982E-2</v>
      </c>
      <c r="D180" s="65">
        <f t="shared" si="144"/>
        <v>2.1787890529579714E-2</v>
      </c>
      <c r="E180" s="65">
        <f t="shared" si="144"/>
        <v>2.1370113111519852E-2</v>
      </c>
      <c r="F180" s="65">
        <f t="shared" si="144"/>
        <v>2.080866502886564E-2</v>
      </c>
      <c r="G180" s="65">
        <f t="shared" si="144"/>
        <v>2.0074743921043834E-2</v>
      </c>
      <c r="H180" s="65">
        <f t="shared" si="144"/>
        <v>1.9150494334510174E-2</v>
      </c>
      <c r="I180" s="65">
        <f t="shared" si="144"/>
        <v>1.8041421361258317E-2</v>
      </c>
      <c r="J180" s="65">
        <f t="shared" si="144"/>
        <v>1.6787310862726418E-2</v>
      </c>
      <c r="K180" s="65">
        <f t="shared" si="144"/>
        <v>1.5463351554912186E-2</v>
      </c>
      <c r="L180" s="65">
        <f t="shared" si="144"/>
        <v>1.4165445289879315E-2</v>
      </c>
      <c r="M180" s="65">
        <f t="shared" si="144"/>
        <v>1.2983934501295575E-2</v>
      </c>
      <c r="N180" s="65">
        <f t="shared" si="144"/>
        <v>1.1979818581371197E-2</v>
      </c>
      <c r="O180" s="65">
        <f t="shared" si="144"/>
        <v>1.1175701556484494E-2</v>
      </c>
      <c r="P180" s="65">
        <f t="shared" si="144"/>
        <v>1.0562124577235541E-2</v>
      </c>
      <c r="Q180" s="65">
        <f t="shared" si="144"/>
        <v>1.0111096288542686E-2</v>
      </c>
      <c r="R180" s="65">
        <f t="shared" si="144"/>
        <v>9.7886175870021651E-3</v>
      </c>
      <c r="S180" s="65">
        <f t="shared" si="144"/>
        <v>9.5626076407641994E-3</v>
      </c>
      <c r="T180" s="65">
        <f t="shared" si="144"/>
        <v>9.4064208762568158E-3</v>
      </c>
      <c r="U180" s="65">
        <f t="shared" si="144"/>
        <v>9.2995344902194015E-3</v>
      </c>
      <c r="V180" s="65">
        <f t="shared" si="144"/>
        <v>9.2268750316915043E-3</v>
      </c>
      <c r="W180" s="65">
        <f t="shared" si="144"/>
        <v>9.1777071846168828E-3</v>
      </c>
      <c r="X180" s="65">
        <f t="shared" si="144"/>
        <v>9.1445385036481083E-3</v>
      </c>
      <c r="Y180" s="65">
        <f t="shared" si="144"/>
        <v>9.1222095123879542E-3</v>
      </c>
      <c r="Z180" s="65">
        <f t="shared" si="144"/>
        <v>9.1071988565555959E-3</v>
      </c>
      <c r="AA180" s="65">
        <f t="shared" si="144"/>
        <v>9.0971174815168906E-3</v>
      </c>
      <c r="AB180" s="65">
        <f t="shared" si="144"/>
        <v>9.0903509808026167E-3</v>
      </c>
      <c r="AC180" s="65">
        <f t="shared" si="144"/>
        <v>9.0858113202051029E-3</v>
      </c>
    </row>
    <row r="181" spans="1:29" x14ac:dyDescent="0.3">
      <c r="A181" s="30" t="str">
        <f t="shared" si="143"/>
        <v>Residual value (vehicle)</v>
      </c>
      <c r="B181" s="68">
        <f>((1+B141)^B148)*B141/(((1+B141)^B148)-1)*(B138)/B153/(B150)</f>
        <v>-3.3814651137286521E-3</v>
      </c>
      <c r="C181" s="68">
        <f t="shared" ref="C181:AC181" si="145">((1+C141)^C148)*C141/(((1+C141)^C148)-1)*(C138)/C153/(C150)</f>
        <v>-3.3630450813337009E-3</v>
      </c>
      <c r="D181" s="68">
        <f t="shared" si="145"/>
        <v>-3.3374345496258993E-3</v>
      </c>
      <c r="E181" s="68">
        <f t="shared" si="145"/>
        <v>-3.3023234687464009E-3</v>
      </c>
      <c r="F181" s="68">
        <f t="shared" si="145"/>
        <v>-3.2551379383956741E-3</v>
      </c>
      <c r="G181" s="68">
        <f t="shared" si="145"/>
        <v>-3.193457334653203E-3</v>
      </c>
      <c r="H181" s="68">
        <f t="shared" si="145"/>
        <v>-3.1157810396147362E-3</v>
      </c>
      <c r="I181" s="68">
        <f t="shared" si="145"/>
        <v>-3.0225717152669745E-3</v>
      </c>
      <c r="J181" s="68">
        <f t="shared" si="145"/>
        <v>-2.917173066986101E-3</v>
      </c>
      <c r="K181" s="68">
        <f t="shared" si="145"/>
        <v>-2.8059041464357564E-3</v>
      </c>
      <c r="L181" s="68">
        <f t="shared" si="145"/>
        <v>-2.6968247901191645E-3</v>
      </c>
      <c r="M181" s="68">
        <f t="shared" si="145"/>
        <v>-2.5975276068232966E-3</v>
      </c>
      <c r="N181" s="68">
        <f t="shared" si="145"/>
        <v>-2.5131391412126307E-3</v>
      </c>
      <c r="O181" s="68">
        <f t="shared" si="145"/>
        <v>-2.4455590933764081E-3</v>
      </c>
      <c r="P181" s="68">
        <f t="shared" si="145"/>
        <v>-2.3939925174608044E-3</v>
      </c>
      <c r="Q181" s="68">
        <f t="shared" si="145"/>
        <v>-2.3560869485174689E-3</v>
      </c>
      <c r="R181" s="68">
        <f t="shared" si="145"/>
        <v>-2.3289850150901275E-3</v>
      </c>
      <c r="S181" s="68">
        <f t="shared" si="145"/>
        <v>-2.3099905621616172E-3</v>
      </c>
      <c r="T181" s="68">
        <f t="shared" si="145"/>
        <v>-2.2968642276976984E-3</v>
      </c>
      <c r="U181" s="68">
        <f t="shared" si="145"/>
        <v>-2.2878812229137034E-3</v>
      </c>
      <c r="V181" s="68">
        <f t="shared" si="145"/>
        <v>-2.2817747365055075E-3</v>
      </c>
      <c r="W181" s="68">
        <f t="shared" si="145"/>
        <v>-2.2776425451024275E-3</v>
      </c>
      <c r="X181" s="68">
        <f t="shared" si="145"/>
        <v>-2.2748549644678183E-3</v>
      </c>
      <c r="Y181" s="68">
        <f t="shared" si="145"/>
        <v>-2.2729783790321244E-3</v>
      </c>
      <c r="Z181" s="68">
        <f t="shared" si="145"/>
        <v>-2.2717168451908938E-3</v>
      </c>
      <c r="AA181" s="68">
        <f t="shared" si="145"/>
        <v>-2.2708695806929603E-3</v>
      </c>
      <c r="AB181" s="68">
        <f t="shared" si="145"/>
        <v>-2.2703009066967605E-3</v>
      </c>
      <c r="AC181" s="68">
        <f t="shared" si="145"/>
        <v>-2.2699193820295231E-3</v>
      </c>
    </row>
    <row r="182" spans="1:29" x14ac:dyDescent="0.3">
      <c r="A182" s="30" t="str">
        <f t="shared" si="143"/>
        <v>Capex costumization</v>
      </c>
      <c r="B182" s="66">
        <f>((1+B141)^B149)*B141/(((1+B141)^B149)-1)*(B139)/B153/(B150)</f>
        <v>2.964391815717463E-3</v>
      </c>
      <c r="C182" s="66">
        <f t="shared" ref="C182:AC182" si="146">((1+C141)^C149)*C141/(((1+C141)^C149)-1)*(C139)/C153/(C150)</f>
        <v>2.964391815717463E-3</v>
      </c>
      <c r="D182" s="66">
        <f t="shared" si="146"/>
        <v>2.964391815717463E-3</v>
      </c>
      <c r="E182" s="66">
        <f t="shared" si="146"/>
        <v>2.964391815717463E-3</v>
      </c>
      <c r="F182" s="66">
        <f t="shared" si="146"/>
        <v>2.964391815717463E-3</v>
      </c>
      <c r="G182" s="66">
        <f t="shared" si="146"/>
        <v>2.964391815717463E-3</v>
      </c>
      <c r="H182" s="66">
        <f t="shared" si="146"/>
        <v>2.964391815717463E-3</v>
      </c>
      <c r="I182" s="66">
        <f t="shared" si="146"/>
        <v>2.964391815717463E-3</v>
      </c>
      <c r="J182" s="66">
        <f t="shared" si="146"/>
        <v>2.964391815717463E-3</v>
      </c>
      <c r="K182" s="66">
        <f t="shared" si="146"/>
        <v>2.964391815717463E-3</v>
      </c>
      <c r="L182" s="66">
        <f t="shared" si="146"/>
        <v>2.964391815717463E-3</v>
      </c>
      <c r="M182" s="66">
        <f t="shared" si="146"/>
        <v>2.964391815717463E-3</v>
      </c>
      <c r="N182" s="66">
        <f t="shared" si="146"/>
        <v>2.964391815717463E-3</v>
      </c>
      <c r="O182" s="66">
        <f t="shared" si="146"/>
        <v>2.964391815717463E-3</v>
      </c>
      <c r="P182" s="66">
        <f t="shared" si="146"/>
        <v>2.964391815717463E-3</v>
      </c>
      <c r="Q182" s="66">
        <f t="shared" si="146"/>
        <v>2.964391815717463E-3</v>
      </c>
      <c r="R182" s="66">
        <f t="shared" si="146"/>
        <v>2.964391815717463E-3</v>
      </c>
      <c r="S182" s="66">
        <f t="shared" si="146"/>
        <v>2.964391815717463E-3</v>
      </c>
      <c r="T182" s="66">
        <f t="shared" si="146"/>
        <v>2.964391815717463E-3</v>
      </c>
      <c r="U182" s="66">
        <f t="shared" si="146"/>
        <v>2.964391815717463E-3</v>
      </c>
      <c r="V182" s="66">
        <f t="shared" si="146"/>
        <v>2.964391815717463E-3</v>
      </c>
      <c r="W182" s="66">
        <f t="shared" si="146"/>
        <v>2.964391815717463E-3</v>
      </c>
      <c r="X182" s="66">
        <f t="shared" si="146"/>
        <v>2.964391815717463E-3</v>
      </c>
      <c r="Y182" s="66">
        <f t="shared" si="146"/>
        <v>2.964391815717463E-3</v>
      </c>
      <c r="Z182" s="66">
        <f t="shared" si="146"/>
        <v>2.964391815717463E-3</v>
      </c>
      <c r="AA182" s="66">
        <f t="shared" si="146"/>
        <v>2.964391815717463E-3</v>
      </c>
      <c r="AB182" s="66">
        <f t="shared" si="146"/>
        <v>2.964391815717463E-3</v>
      </c>
      <c r="AC182" s="66">
        <f t="shared" si="146"/>
        <v>2.964391815717463E-3</v>
      </c>
    </row>
    <row r="183" spans="1:29" x14ac:dyDescent="0.3">
      <c r="A183" s="30" t="str">
        <f t="shared" si="143"/>
        <v>Residual value (costumization)</v>
      </c>
      <c r="B183" s="69">
        <f>((1+B141)^B149)*B141/(((1+B141)^B149)-1)*(B140)/B153/(B150)</f>
        <v>-7.4109795392936575E-4</v>
      </c>
      <c r="C183" s="69">
        <f t="shared" ref="C183:AC183" si="147">((1+C141)^C149)*C141/(((1+C141)^C149)-1)*(C140)/C153/(C150)</f>
        <v>-7.4109795392936575E-4</v>
      </c>
      <c r="D183" s="69">
        <f t="shared" si="147"/>
        <v>-7.4109795392936575E-4</v>
      </c>
      <c r="E183" s="69">
        <f t="shared" si="147"/>
        <v>-7.4109795392936575E-4</v>
      </c>
      <c r="F183" s="69">
        <f t="shared" si="147"/>
        <v>-7.4109795392936575E-4</v>
      </c>
      <c r="G183" s="69">
        <f t="shared" si="147"/>
        <v>-7.4109795392936575E-4</v>
      </c>
      <c r="H183" s="69">
        <f t="shared" si="147"/>
        <v>-7.4109795392936575E-4</v>
      </c>
      <c r="I183" s="69">
        <f t="shared" si="147"/>
        <v>-7.4109795392936575E-4</v>
      </c>
      <c r="J183" s="69">
        <f t="shared" si="147"/>
        <v>-7.4109795392936575E-4</v>
      </c>
      <c r="K183" s="69">
        <f t="shared" si="147"/>
        <v>-7.4109795392936575E-4</v>
      </c>
      <c r="L183" s="69">
        <f t="shared" si="147"/>
        <v>-7.4109795392936575E-4</v>
      </c>
      <c r="M183" s="69">
        <f t="shared" si="147"/>
        <v>-7.4109795392936575E-4</v>
      </c>
      <c r="N183" s="69">
        <f t="shared" si="147"/>
        <v>-7.4109795392936575E-4</v>
      </c>
      <c r="O183" s="69">
        <f t="shared" si="147"/>
        <v>-7.4109795392936575E-4</v>
      </c>
      <c r="P183" s="69">
        <f t="shared" si="147"/>
        <v>-7.4109795392936575E-4</v>
      </c>
      <c r="Q183" s="69">
        <f t="shared" si="147"/>
        <v>-7.4109795392936575E-4</v>
      </c>
      <c r="R183" s="69">
        <f t="shared" si="147"/>
        <v>-7.4109795392936575E-4</v>
      </c>
      <c r="S183" s="69">
        <f t="shared" si="147"/>
        <v>-7.4109795392936575E-4</v>
      </c>
      <c r="T183" s="69">
        <f t="shared" si="147"/>
        <v>-7.4109795392936575E-4</v>
      </c>
      <c r="U183" s="69">
        <f t="shared" si="147"/>
        <v>-7.4109795392936575E-4</v>
      </c>
      <c r="V183" s="69">
        <f t="shared" si="147"/>
        <v>-7.4109795392936575E-4</v>
      </c>
      <c r="W183" s="69">
        <f t="shared" si="147"/>
        <v>-7.4109795392936575E-4</v>
      </c>
      <c r="X183" s="69">
        <f t="shared" si="147"/>
        <v>-7.4109795392936575E-4</v>
      </c>
      <c r="Y183" s="69">
        <f t="shared" si="147"/>
        <v>-7.4109795392936575E-4</v>
      </c>
      <c r="Z183" s="69">
        <f t="shared" si="147"/>
        <v>-7.4109795392936575E-4</v>
      </c>
      <c r="AA183" s="69">
        <f t="shared" si="147"/>
        <v>-7.4109795392936575E-4</v>
      </c>
      <c r="AB183" s="69">
        <f t="shared" si="147"/>
        <v>-7.4109795392936575E-4</v>
      </c>
      <c r="AC183" s="69">
        <f t="shared" si="147"/>
        <v>-7.4109795392936575E-4</v>
      </c>
    </row>
    <row r="184" spans="1:29" x14ac:dyDescent="0.3">
      <c r="A184" s="30" t="str">
        <f t="shared" si="143"/>
        <v>Opex fix (admin, crew, insurance)</v>
      </c>
      <c r="B184" s="66">
        <f>B142/B153/(B150)</f>
        <v>2.5454545454545455E-2</v>
      </c>
      <c r="C184" s="66">
        <f t="shared" ref="C184:AC184" si="148">C142/C153/(C150)</f>
        <v>2.5454545454545455E-2</v>
      </c>
      <c r="D184" s="66">
        <f t="shared" si="148"/>
        <v>2.5454545454545455E-2</v>
      </c>
      <c r="E184" s="66">
        <f t="shared" si="148"/>
        <v>2.5454545454545455E-2</v>
      </c>
      <c r="F184" s="66">
        <f t="shared" si="148"/>
        <v>2.5454545454545455E-2</v>
      </c>
      <c r="G184" s="66">
        <f t="shared" si="148"/>
        <v>2.5454545454545455E-2</v>
      </c>
      <c r="H184" s="66">
        <f t="shared" si="148"/>
        <v>2.5454545454545455E-2</v>
      </c>
      <c r="I184" s="66">
        <f t="shared" si="148"/>
        <v>2.5454545454545455E-2</v>
      </c>
      <c r="J184" s="66">
        <f t="shared" si="148"/>
        <v>2.5454545454545455E-2</v>
      </c>
      <c r="K184" s="66">
        <f t="shared" si="148"/>
        <v>2.5454545454545455E-2</v>
      </c>
      <c r="L184" s="66">
        <f t="shared" si="148"/>
        <v>2.5454545454545455E-2</v>
      </c>
      <c r="M184" s="66">
        <f t="shared" si="148"/>
        <v>2.5454545454545455E-2</v>
      </c>
      <c r="N184" s="66">
        <f t="shared" si="148"/>
        <v>2.5454545454545455E-2</v>
      </c>
      <c r="O184" s="66">
        <f t="shared" si="148"/>
        <v>2.5454545454545455E-2</v>
      </c>
      <c r="P184" s="66">
        <f t="shared" si="148"/>
        <v>2.5454545454545455E-2</v>
      </c>
      <c r="Q184" s="66">
        <f t="shared" si="148"/>
        <v>2.5454545454545455E-2</v>
      </c>
      <c r="R184" s="66">
        <f t="shared" si="148"/>
        <v>2.5454545454545455E-2</v>
      </c>
      <c r="S184" s="66">
        <f t="shared" si="148"/>
        <v>2.5454545454545455E-2</v>
      </c>
      <c r="T184" s="66">
        <f t="shared" si="148"/>
        <v>2.5454545454545455E-2</v>
      </c>
      <c r="U184" s="66">
        <f t="shared" si="148"/>
        <v>2.5454545454545455E-2</v>
      </c>
      <c r="V184" s="66">
        <f t="shared" si="148"/>
        <v>2.5454545454545455E-2</v>
      </c>
      <c r="W184" s="66">
        <f t="shared" si="148"/>
        <v>2.5454545454545455E-2</v>
      </c>
      <c r="X184" s="66">
        <f t="shared" si="148"/>
        <v>2.5454545454545455E-2</v>
      </c>
      <c r="Y184" s="66">
        <f t="shared" si="148"/>
        <v>2.5454545454545455E-2</v>
      </c>
      <c r="Z184" s="66">
        <f t="shared" si="148"/>
        <v>2.5454545454545455E-2</v>
      </c>
      <c r="AA184" s="66">
        <f t="shared" si="148"/>
        <v>2.5454545454545455E-2</v>
      </c>
      <c r="AB184" s="66">
        <f t="shared" si="148"/>
        <v>2.5454545454545455E-2</v>
      </c>
      <c r="AC184" s="66">
        <f t="shared" si="148"/>
        <v>2.5454545454545455E-2</v>
      </c>
    </row>
    <row r="185" spans="1:29" x14ac:dyDescent="0.3">
      <c r="A185" s="30" t="str">
        <f t="shared" si="143"/>
        <v>Opex maintenance &amp; repair</v>
      </c>
      <c r="B185" s="66">
        <f>B143/B153/(B150)</f>
        <v>9.3433449937917901E-3</v>
      </c>
      <c r="C185" s="66">
        <f t="shared" ref="C185:AC185" si="149">C143/C153/(C150)</f>
        <v>9.2970119899785115E-3</v>
      </c>
      <c r="D185" s="66">
        <f t="shared" si="149"/>
        <v>9.2325922952768442E-3</v>
      </c>
      <c r="E185" s="66">
        <f t="shared" si="149"/>
        <v>9.1442753037864269E-3</v>
      </c>
      <c r="F185" s="66">
        <f t="shared" si="149"/>
        <v>9.0255867308895125E-3</v>
      </c>
      <c r="G185" s="66">
        <f t="shared" si="149"/>
        <v>8.8704378371672402E-3</v>
      </c>
      <c r="H185" s="66">
        <f t="shared" si="149"/>
        <v>8.6750540290907157E-3</v>
      </c>
      <c r="I185" s="66">
        <f t="shared" si="149"/>
        <v>8.4405990678919768E-3</v>
      </c>
      <c r="J185" s="66">
        <f t="shared" si="149"/>
        <v>8.1754835747156248E-3</v>
      </c>
      <c r="K185" s="66">
        <f t="shared" si="149"/>
        <v>7.8956022363108457E-3</v>
      </c>
      <c r="L185" s="66">
        <f t="shared" si="149"/>
        <v>7.6212284391425147E-3</v>
      </c>
      <c r="M185" s="66">
        <f t="shared" si="149"/>
        <v>7.3714603239921801E-3</v>
      </c>
      <c r="N185" s="66">
        <f t="shared" si="149"/>
        <v>7.1591929937779705E-3</v>
      </c>
      <c r="O185" s="66">
        <f t="shared" si="149"/>
        <v>6.9892048772014015E-3</v>
      </c>
      <c r="P185" s="66">
        <f t="shared" si="149"/>
        <v>6.8594963996424715E-3</v>
      </c>
      <c r="Q185" s="66">
        <f t="shared" si="149"/>
        <v>6.7641502660017215E-3</v>
      </c>
      <c r="R185" s="66">
        <f t="shared" si="149"/>
        <v>6.6959791597890972E-3</v>
      </c>
      <c r="S185" s="66">
        <f t="shared" si="149"/>
        <v>6.6482012818191881E-3</v>
      </c>
      <c r="T185" s="66">
        <f t="shared" si="149"/>
        <v>6.615183831484097E-3</v>
      </c>
      <c r="U185" s="66">
        <f t="shared" si="149"/>
        <v>6.5925883448971333E-3</v>
      </c>
      <c r="V185" s="66">
        <f t="shared" si="149"/>
        <v>6.5772283361864971E-3</v>
      </c>
      <c r="W185" s="66">
        <f t="shared" si="149"/>
        <v>6.5668343892090449E-3</v>
      </c>
      <c r="X185" s="66">
        <f t="shared" si="149"/>
        <v>6.5598226217265625E-3</v>
      </c>
      <c r="Y185" s="66">
        <f t="shared" si="149"/>
        <v>6.5551023346888592E-3</v>
      </c>
      <c r="Z185" s="66">
        <f t="shared" si="149"/>
        <v>6.5519291235335798E-3</v>
      </c>
      <c r="AA185" s="66">
        <f t="shared" si="149"/>
        <v>6.5497979487141277E-3</v>
      </c>
      <c r="AB185" s="66">
        <f t="shared" si="149"/>
        <v>6.5483675291649378E-3</v>
      </c>
      <c r="AC185" s="66">
        <f t="shared" si="149"/>
        <v>6.5474078574617092E-3</v>
      </c>
    </row>
    <row r="186" spans="1:29" x14ac:dyDescent="0.3">
      <c r="A186" s="30" t="str">
        <f t="shared" si="143"/>
        <v>Opex var (mode-fees)</v>
      </c>
      <c r="B186" s="66">
        <f>B144*B153/B153/(B150)</f>
        <v>4.4000000000000003E-3</v>
      </c>
      <c r="C186" s="66">
        <f t="shared" ref="C186:AC186" si="150">C144*C153/C153/(C150)</f>
        <v>4.4000000000000003E-3</v>
      </c>
      <c r="D186" s="66">
        <f t="shared" si="150"/>
        <v>4.4000000000000003E-3</v>
      </c>
      <c r="E186" s="66">
        <f t="shared" si="150"/>
        <v>4.4000000000000003E-3</v>
      </c>
      <c r="F186" s="66">
        <f t="shared" si="150"/>
        <v>4.4000000000000003E-3</v>
      </c>
      <c r="G186" s="66">
        <f t="shared" si="150"/>
        <v>4.4000000000000003E-3</v>
      </c>
      <c r="H186" s="66">
        <f t="shared" si="150"/>
        <v>4.4000000000000003E-3</v>
      </c>
      <c r="I186" s="66">
        <f t="shared" si="150"/>
        <v>4.4000000000000003E-3</v>
      </c>
      <c r="J186" s="66">
        <f t="shared" si="150"/>
        <v>4.4000000000000003E-3</v>
      </c>
      <c r="K186" s="66">
        <f t="shared" si="150"/>
        <v>4.4000000000000003E-3</v>
      </c>
      <c r="L186" s="66">
        <f t="shared" si="150"/>
        <v>4.4000000000000003E-3</v>
      </c>
      <c r="M186" s="66">
        <f t="shared" si="150"/>
        <v>4.4000000000000003E-3</v>
      </c>
      <c r="N186" s="66">
        <f t="shared" si="150"/>
        <v>4.4000000000000003E-3</v>
      </c>
      <c r="O186" s="66">
        <f t="shared" si="150"/>
        <v>4.4000000000000003E-3</v>
      </c>
      <c r="P186" s="66">
        <f t="shared" si="150"/>
        <v>4.4000000000000003E-3</v>
      </c>
      <c r="Q186" s="66">
        <f t="shared" si="150"/>
        <v>4.4000000000000003E-3</v>
      </c>
      <c r="R186" s="66">
        <f t="shared" si="150"/>
        <v>4.4000000000000003E-3</v>
      </c>
      <c r="S186" s="66">
        <f t="shared" si="150"/>
        <v>4.4000000000000003E-3</v>
      </c>
      <c r="T186" s="66">
        <f t="shared" si="150"/>
        <v>4.4000000000000003E-3</v>
      </c>
      <c r="U186" s="66">
        <f t="shared" si="150"/>
        <v>4.4000000000000003E-3</v>
      </c>
      <c r="V186" s="66">
        <f t="shared" si="150"/>
        <v>4.4000000000000003E-3</v>
      </c>
      <c r="W186" s="66">
        <f t="shared" si="150"/>
        <v>4.4000000000000003E-3</v>
      </c>
      <c r="X186" s="66">
        <f t="shared" si="150"/>
        <v>4.4000000000000003E-3</v>
      </c>
      <c r="Y186" s="66">
        <f t="shared" si="150"/>
        <v>4.4000000000000003E-3</v>
      </c>
      <c r="Z186" s="66">
        <f t="shared" si="150"/>
        <v>4.4000000000000003E-3</v>
      </c>
      <c r="AA186" s="66">
        <f t="shared" si="150"/>
        <v>4.4000000000000003E-3</v>
      </c>
      <c r="AB186" s="66">
        <f t="shared" si="150"/>
        <v>4.4000000000000003E-3</v>
      </c>
      <c r="AC186" s="66">
        <f t="shared" si="150"/>
        <v>4.4000000000000003E-3</v>
      </c>
    </row>
    <row r="187" spans="1:29" x14ac:dyDescent="0.3">
      <c r="A187" s="30" t="str">
        <f t="shared" si="143"/>
        <v>Fuel Cost</v>
      </c>
      <c r="B187" s="66">
        <f>B145*B146*B153/B153/(B150)</f>
        <v>2.149698076693125E-2</v>
      </c>
      <c r="C187" s="66">
        <f t="shared" ref="C187:AC187" si="151">C145*C146*C153/C153/(C150)</f>
        <v>2.1331230658756428E-2</v>
      </c>
      <c r="D187" s="66">
        <f t="shared" si="151"/>
        <v>2.1099903047208143E-2</v>
      </c>
      <c r="E187" s="66">
        <f t="shared" si="151"/>
        <v>2.0780895244289513E-2</v>
      </c>
      <c r="F187" s="66">
        <f t="shared" si="151"/>
        <v>2.0348300970860631E-2</v>
      </c>
      <c r="G187" s="66">
        <f t="shared" si="151"/>
        <v>1.977500969726062E-2</v>
      </c>
      <c r="H187" s="66">
        <f t="shared" si="151"/>
        <v>1.9038033080897548E-2</v>
      </c>
      <c r="I187" s="66">
        <f t="shared" si="151"/>
        <v>1.8126453353507072E-2</v>
      </c>
      <c r="J187" s="66">
        <f t="shared" si="151"/>
        <v>1.7049828608976355E-2</v>
      </c>
      <c r="K187" s="66">
        <f t="shared" si="151"/>
        <v>1.5842858741402264E-2</v>
      </c>
      <c r="L187" s="66">
        <f t="shared" si="151"/>
        <v>1.456270662690278E-2</v>
      </c>
      <c r="M187" s="66">
        <f t="shared" si="151"/>
        <v>1.3279381505411613E-2</v>
      </c>
      <c r="N187" s="66">
        <f t="shared" si="151"/>
        <v>1.2063205843438823E-2</v>
      </c>
      <c r="O187" s="66">
        <f t="shared" si="151"/>
        <v>1.0973050657799936E-2</v>
      </c>
      <c r="P187" s="66">
        <f t="shared" si="151"/>
        <v>1.004736635521954E-2</v>
      </c>
      <c r="Q187" s="66">
        <f t="shared" si="151"/>
        <v>9.3001502289760604E-3</v>
      </c>
      <c r="R187" s="66">
        <f t="shared" si="151"/>
        <v>8.7233879635126403E-3</v>
      </c>
      <c r="S187" s="66">
        <f t="shared" si="151"/>
        <v>8.2944626321454721E-3</v>
      </c>
      <c r="T187" s="66">
        <f t="shared" si="151"/>
        <v>7.9846970768127374E-3</v>
      </c>
      <c r="U187" s="66">
        <f t="shared" si="151"/>
        <v>7.7658742511940507E-3</v>
      </c>
      <c r="V187" s="66">
        <f t="shared" si="151"/>
        <v>7.6137600559403988E-3</v>
      </c>
      <c r="W187" s="66">
        <f t="shared" si="151"/>
        <v>7.509218186098233E-3</v>
      </c>
      <c r="X187" s="66">
        <f t="shared" si="151"/>
        <v>7.4379403106525476E-3</v>
      </c>
      <c r="Y187" s="66">
        <f t="shared" si="151"/>
        <v>7.3896077839910078E-3</v>
      </c>
      <c r="Z187" s="66">
        <f t="shared" si="151"/>
        <v>7.3569565389187477E-3</v>
      </c>
      <c r="AA187" s="66">
        <f t="shared" si="151"/>
        <v>7.3349547713622973E-3</v>
      </c>
      <c r="AB187" s="66">
        <f t="shared" si="151"/>
        <v>7.3201544798759764E-3</v>
      </c>
      <c r="AC187" s="66">
        <f t="shared" si="151"/>
        <v>7.3102100315233995E-3</v>
      </c>
    </row>
    <row r="188" spans="1:29" x14ac:dyDescent="0.3">
      <c r="A188" s="59" t="str">
        <f>A151</f>
        <v>Market failure (av. utilization)</v>
      </c>
      <c r="B188" s="66">
        <f t="shared" ref="B188:AC188" si="152">B177/B151-B177/B150</f>
        <v>9.0669449420705039E-2</v>
      </c>
      <c r="C188" s="66">
        <f t="shared" si="152"/>
        <v>9.0221832403885011E-2</v>
      </c>
      <c r="D188" s="66">
        <f t="shared" si="152"/>
        <v>8.9598519122773973E-2</v>
      </c>
      <c r="E188" s="66">
        <f t="shared" si="152"/>
        <v>8.8741926049491812E-2</v>
      </c>
      <c r="F188" s="66">
        <f t="shared" si="152"/>
        <v>8.7586485633786307E-2</v>
      </c>
      <c r="G188" s="66">
        <f t="shared" si="152"/>
        <v>8.6067512253094086E-2</v>
      </c>
      <c r="H188" s="66">
        <f t="shared" si="152"/>
        <v>8.4138098964144953E-2</v>
      </c>
      <c r="I188" s="66">
        <f t="shared" si="152"/>
        <v>8.1792868914970854E-2</v>
      </c>
      <c r="J188" s="66">
        <f t="shared" si="152"/>
        <v>7.9090393691848185E-2</v>
      </c>
      <c r="K188" s="66">
        <f t="shared" si="152"/>
        <v>7.6159592792613001E-2</v>
      </c>
      <c r="L188" s="66">
        <f t="shared" si="152"/>
        <v>7.3178871417019051E-2</v>
      </c>
      <c r="M188" s="66">
        <f t="shared" si="152"/>
        <v>7.03336184363543E-2</v>
      </c>
      <c r="N188" s="66">
        <f t="shared" si="152"/>
        <v>6.7773635161433712E-2</v>
      </c>
      <c r="O188" s="66">
        <f t="shared" si="152"/>
        <v>6.5589477273483826E-2</v>
      </c>
      <c r="P188" s="66">
        <f t="shared" si="152"/>
        <v>6.3810734241826803E-2</v>
      </c>
      <c r="Q188" s="66">
        <f t="shared" si="152"/>
        <v>6.2418542110046916E-2</v>
      </c>
      <c r="R188" s="66">
        <f t="shared" si="152"/>
        <v>6.1363838725103155E-2</v>
      </c>
      <c r="S188" s="66">
        <f t="shared" si="152"/>
        <v>6.0585102447385117E-2</v>
      </c>
      <c r="T188" s="66">
        <f t="shared" si="152"/>
        <v>6.0021479618231594E-2</v>
      </c>
      <c r="U188" s="66">
        <f t="shared" si="152"/>
        <v>5.9619933040816822E-2</v>
      </c>
      <c r="V188" s="66">
        <f t="shared" si="152"/>
        <v>5.933755256961587E-2</v>
      </c>
      <c r="W188" s="66">
        <f t="shared" si="152"/>
        <v>5.9141145632625486E-2</v>
      </c>
      <c r="X188" s="66">
        <f t="shared" si="152"/>
        <v>5.9005789228686358E-2</v>
      </c>
      <c r="Y188" s="66">
        <f t="shared" si="152"/>
        <v>5.8913199282720492E-2</v>
      </c>
      <c r="Z188" s="66">
        <f t="shared" si="152"/>
        <v>5.8850228867051789E-2</v>
      </c>
      <c r="AA188" s="66">
        <f t="shared" si="152"/>
        <v>5.8807587334890082E-2</v>
      </c>
      <c r="AB188" s="66">
        <f t="shared" si="152"/>
        <v>5.8778802074150059E-2</v>
      </c>
      <c r="AC188" s="66">
        <f t="shared" si="152"/>
        <v>5.8759413488361334E-2</v>
      </c>
    </row>
    <row r="189" spans="1:29" x14ac:dyDescent="0.3">
      <c r="A189" s="59" t="str">
        <f>A152</f>
        <v>Payload loss (fuel)</v>
      </c>
      <c r="B189" s="66">
        <f>B177/(B150-B152)-B177/B150</f>
        <v>4.3682791161508971E-3</v>
      </c>
      <c r="C189" s="66">
        <f t="shared" ref="C189:AC189" si="153">C177/(C150-C152)-C177/C150</f>
        <v>4.3310806995011664E-3</v>
      </c>
      <c r="D189" s="66">
        <f t="shared" si="153"/>
        <v>4.2791247860085868E-3</v>
      </c>
      <c r="E189" s="66">
        <f t="shared" si="153"/>
        <v>4.2073886613127193E-3</v>
      </c>
      <c r="F189" s="66">
        <f t="shared" si="153"/>
        <v>4.1099282902689188E-3</v>
      </c>
      <c r="G189" s="66">
        <f t="shared" si="153"/>
        <v>3.9804110941864673E-3</v>
      </c>
      <c r="H189" s="66">
        <f t="shared" si="153"/>
        <v>3.8132537792957277E-3</v>
      </c>
      <c r="I189" s="66">
        <f t="shared" si="153"/>
        <v>3.6053863977310585E-3</v>
      </c>
      <c r="J189" s="66">
        <f t="shared" si="153"/>
        <v>3.3582466548660733E-3</v>
      </c>
      <c r="K189" s="66">
        <f t="shared" si="153"/>
        <v>3.0791474901665505E-3</v>
      </c>
      <c r="L189" s="66">
        <f t="shared" si="153"/>
        <v>2.7811412165779231E-3</v>
      </c>
      <c r="M189" s="66">
        <f t="shared" si="153"/>
        <v>2.4811368469288692E-3</v>
      </c>
      <c r="N189" s="66">
        <f t="shared" si="153"/>
        <v>2.1967794581870953E-3</v>
      </c>
      <c r="O189" s="66">
        <f t="shared" si="153"/>
        <v>1.9429688337800483E-3</v>
      </c>
      <c r="P189" s="66">
        <f t="shared" si="153"/>
        <v>1.7290949232806677E-3</v>
      </c>
      <c r="Q189" s="66">
        <f t="shared" si="153"/>
        <v>1.5580330111726742E-3</v>
      </c>
      <c r="R189" s="66">
        <f t="shared" si="153"/>
        <v>1.4271556811349118E-3</v>
      </c>
      <c r="S189" s="66">
        <f t="shared" si="153"/>
        <v>1.330529114910009E-3</v>
      </c>
      <c r="T189" s="66">
        <f t="shared" si="153"/>
        <v>1.2611088278247778E-3</v>
      </c>
      <c r="U189" s="66">
        <f t="shared" si="153"/>
        <v>1.2122301390822265E-3</v>
      </c>
      <c r="V189" s="66">
        <f t="shared" si="153"/>
        <v>1.1783135665183048E-3</v>
      </c>
      <c r="W189" s="66">
        <f t="shared" si="153"/>
        <v>1.1550236344674558E-3</v>
      </c>
      <c r="X189" s="66">
        <f t="shared" si="153"/>
        <v>1.1391488991372573E-3</v>
      </c>
      <c r="Y189" s="66">
        <f t="shared" si="153"/>
        <v>1.1283847305601849E-3</v>
      </c>
      <c r="Z189" s="66">
        <f t="shared" si="153"/>
        <v>1.1211123725543767E-3</v>
      </c>
      <c r="AA189" s="66">
        <f t="shared" si="153"/>
        <v>1.116211446396162E-3</v>
      </c>
      <c r="AB189" s="66">
        <f t="shared" si="153"/>
        <v>1.1129143468275246E-3</v>
      </c>
      <c r="AC189" s="66">
        <f t="shared" si="153"/>
        <v>1.1106988281009422E-3</v>
      </c>
    </row>
    <row r="190" spans="1:29" ht="15" thickBot="1" x14ac:dyDescent="0.35">
      <c r="A190" s="59" t="str">
        <f>A127</f>
        <v>Emission Cost</v>
      </c>
      <c r="B190" s="68">
        <f>B147*B153/B153/(B150)</f>
        <v>3.6418200964524684E-4</v>
      </c>
      <c r="C190" s="68">
        <f t="shared" ref="C190:AC190" si="154">C147*C153/C153/(C150)</f>
        <v>3.6383521963850298E-4</v>
      </c>
      <c r="D190" s="68">
        <f t="shared" si="154"/>
        <v>3.6333879746797376E-4</v>
      </c>
      <c r="E190" s="68">
        <f t="shared" si="154"/>
        <v>3.6262863064306401E-4</v>
      </c>
      <c r="F190" s="68">
        <f t="shared" si="154"/>
        <v>3.6161364554417784E-4</v>
      </c>
      <c r="G190" s="68">
        <f t="shared" si="154"/>
        <v>3.6016504246069139E-4</v>
      </c>
      <c r="H190" s="68">
        <f t="shared" si="154"/>
        <v>3.581018762885698E-4</v>
      </c>
      <c r="I190" s="68">
        <f t="shared" si="154"/>
        <v>3.551724760827172E-4</v>
      </c>
      <c r="J190" s="68">
        <f t="shared" si="154"/>
        <v>3.5103205038913133E-4</v>
      </c>
      <c r="K190" s="68">
        <f t="shared" si="154"/>
        <v>3.4521896741480408E-4</v>
      </c>
      <c r="L190" s="68">
        <f t="shared" si="154"/>
        <v>3.371366718660246E-4</v>
      </c>
      <c r="M190" s="68">
        <f t="shared" si="154"/>
        <v>3.2605614702792577E-4</v>
      </c>
      <c r="N190" s="68">
        <f t="shared" si="154"/>
        <v>3.1116510898656003E-4</v>
      </c>
      <c r="O190" s="68">
        <f t="shared" si="154"/>
        <v>2.9169964552951117E-4</v>
      </c>
      <c r="P190" s="68">
        <f t="shared" si="154"/>
        <v>2.6718618439571353E-4</v>
      </c>
      <c r="Q190" s="68">
        <f t="shared" si="154"/>
        <v>2.3777073469416832E-4</v>
      </c>
      <c r="R190" s="68">
        <f t="shared" si="154"/>
        <v>2.0450851915069425E-4</v>
      </c>
      <c r="S190" s="68">
        <f t="shared" si="154"/>
        <v>1.6939373467288497E-4</v>
      </c>
      <c r="T190" s="68">
        <f t="shared" si="154"/>
        <v>1.3496994347323685E-4</v>
      </c>
      <c r="U190" s="68">
        <f t="shared" si="154"/>
        <v>1.0363325778021563E-4</v>
      </c>
      <c r="V190" s="68">
        <f t="shared" si="154"/>
        <v>7.700153737100413E-5</v>
      </c>
      <c r="W190" s="68">
        <f t="shared" si="154"/>
        <v>5.5674298794125105E-5</v>
      </c>
      <c r="X190" s="68">
        <f t="shared" si="154"/>
        <v>3.940066918956972E-5</v>
      </c>
      <c r="Y190" s="68">
        <f t="shared" si="154"/>
        <v>2.7438246283240584E-5</v>
      </c>
      <c r="Z190" s="68">
        <f t="shared" si="154"/>
        <v>1.8885286961572295E-5</v>
      </c>
      <c r="AA190" s="68">
        <f t="shared" si="154"/>
        <v>1.2890925575126249E-5</v>
      </c>
      <c r="AB190" s="68">
        <f t="shared" si="154"/>
        <v>8.748453414846938E-6</v>
      </c>
      <c r="AC190" s="68">
        <f t="shared" si="154"/>
        <v>5.9135532882621105E-6</v>
      </c>
    </row>
    <row r="191" spans="1:29" ht="15" thickBot="1" x14ac:dyDescent="0.35">
      <c r="A191" s="31" t="s">
        <v>210</v>
      </c>
      <c r="B191" s="67">
        <f>B180+B181+B182+B183+B184+B185+B186+B187+B188+B189+B190</f>
        <v>0.17725040901734032</v>
      </c>
      <c r="C191" s="67">
        <f t="shared" ref="C191:AC191" si="155">C180+C181+C182+C183+C184+C185+C186+C187+C188+C189+C190</f>
        <v>0.17635240864526747</v>
      </c>
      <c r="D191" s="67">
        <f t="shared" si="155"/>
        <v>0.17510177334502289</v>
      </c>
      <c r="E191" s="67">
        <f t="shared" si="155"/>
        <v>0.17338274284863053</v>
      </c>
      <c r="F191" s="67">
        <f t="shared" si="155"/>
        <v>0.17106328167815307</v>
      </c>
      <c r="G191" s="67">
        <f t="shared" si="155"/>
        <v>0.16801266182689331</v>
      </c>
      <c r="H191" s="67">
        <f t="shared" si="155"/>
        <v>0.1641350943409465</v>
      </c>
      <c r="I191" s="67">
        <f t="shared" si="155"/>
        <v>0.15941716917250856</v>
      </c>
      <c r="J191" s="67">
        <f t="shared" si="155"/>
        <v>0.15397296169286925</v>
      </c>
      <c r="K191" s="67">
        <f t="shared" si="155"/>
        <v>0.14805770695271744</v>
      </c>
      <c r="L191" s="67">
        <f t="shared" si="155"/>
        <v>0.142027544187602</v>
      </c>
      <c r="M191" s="67">
        <f t="shared" si="155"/>
        <v>0.13625589947052072</v>
      </c>
      <c r="N191" s="67">
        <f t="shared" si="155"/>
        <v>0.1310484973223163</v>
      </c>
      <c r="O191" s="67">
        <f t="shared" si="155"/>
        <v>0.12659438306723636</v>
      </c>
      <c r="P191" s="67">
        <f t="shared" si="155"/>
        <v>0.12295984948047349</v>
      </c>
      <c r="Q191" s="67">
        <f t="shared" si="155"/>
        <v>0.12011149500725031</v>
      </c>
      <c r="R191" s="67">
        <f t="shared" si="155"/>
        <v>0.11795234193693609</v>
      </c>
      <c r="S191" s="67">
        <f t="shared" si="155"/>
        <v>0.1163581456058688</v>
      </c>
      <c r="T191" s="67">
        <f t="shared" si="155"/>
        <v>0.11520483526271912</v>
      </c>
      <c r="U191" s="67">
        <f t="shared" si="155"/>
        <v>0.1143837516174097</v>
      </c>
      <c r="V191" s="67">
        <f t="shared" si="155"/>
        <v>0.11380679567715163</v>
      </c>
      <c r="W191" s="67">
        <f t="shared" si="155"/>
        <v>0.11340580009704235</v>
      </c>
      <c r="X191" s="67">
        <f t="shared" si="155"/>
        <v>0.11312962458490614</v>
      </c>
      <c r="Y191" s="67">
        <f t="shared" si="155"/>
        <v>0.11294080282793317</v>
      </c>
      <c r="Z191" s="67">
        <f t="shared" si="155"/>
        <v>0.11281243351671834</v>
      </c>
      <c r="AA191" s="67">
        <f t="shared" si="155"/>
        <v>0.11272552964409528</v>
      </c>
      <c r="AB191" s="67">
        <f t="shared" si="155"/>
        <v>0.11266687627387277</v>
      </c>
      <c r="AC191" s="67">
        <f t="shared" si="155"/>
        <v>0.11262737501324478</v>
      </c>
    </row>
    <row r="193" spans="2:2" x14ac:dyDescent="0.3">
      <c r="B193" s="40"/>
    </row>
    <row r="215" spans="1:44" s="3" customFormat="1" ht="21" x14ac:dyDescent="0.4">
      <c r="A215" s="2" t="str">
        <f>'Parameter Input'!A32</f>
        <v>Road long-haul: Container</v>
      </c>
    </row>
    <row r="216" spans="1:44" s="3" customFormat="1" ht="21" x14ac:dyDescent="0.4">
      <c r="A216" s="2" t="s">
        <v>103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Input'!$L$32</f>
        <v>390000</v>
      </c>
      <c r="C225" s="42">
        <f>'Parameter Input'!$M$32</f>
        <v>155000</v>
      </c>
      <c r="D225" s="1" t="s">
        <v>15</v>
      </c>
      <c r="L225" s="51">
        <f>'Parameter Input'!$O$32</f>
        <v>9</v>
      </c>
      <c r="M225" s="52">
        <v>0</v>
      </c>
      <c r="N225" s="52">
        <v>1</v>
      </c>
      <c r="O225" s="52">
        <f>'Parameter Input'!$P$32</f>
        <v>0.9</v>
      </c>
      <c r="P225" s="53">
        <f>'Parameter Input'!$Q$32</f>
        <v>0.4</v>
      </c>
      <c r="Q225" s="4">
        <f t="shared" ref="Q225:AR234" si="156">$N225+($M225-$N225)*((1/(1+EXP(-$P225*(Q$9-$L225)))^$O225))</f>
        <v>0.96177484161592774</v>
      </c>
      <c r="R225" s="4">
        <f t="shared" si="156"/>
        <v>0.94584787155511363</v>
      </c>
      <c r="S225" s="4">
        <f t="shared" si="156"/>
        <v>0.92370360150141495</v>
      </c>
      <c r="T225" s="4">
        <f t="shared" si="156"/>
        <v>0.89334463567658451</v>
      </c>
      <c r="U225" s="4">
        <f t="shared" si="156"/>
        <v>0.85254543874327005</v>
      </c>
      <c r="V225" s="4">
        <f t="shared" si="156"/>
        <v>0.79921300652623883</v>
      </c>
      <c r="W225" s="4">
        <f t="shared" si="156"/>
        <v>0.73204982249993378</v>
      </c>
      <c r="X225" s="4">
        <f t="shared" si="156"/>
        <v>0.65145592958786691</v>
      </c>
      <c r="Y225" s="4">
        <f t="shared" si="156"/>
        <v>0.56032247880849573</v>
      </c>
      <c r="Z225" s="4">
        <f t="shared" si="156"/>
        <v>0.46411326873185343</v>
      </c>
      <c r="AA225" s="4">
        <f t="shared" si="156"/>
        <v>0.36979727595523937</v>
      </c>
      <c r="AB225" s="4">
        <f t="shared" si="156"/>
        <v>0.28393948637231203</v>
      </c>
      <c r="AC225" s="4">
        <f t="shared" si="156"/>
        <v>0.21097259161117732</v>
      </c>
      <c r="AD225" s="4">
        <f t="shared" si="156"/>
        <v>0.15253917653798199</v>
      </c>
      <c r="AE225" s="4">
        <f t="shared" si="156"/>
        <v>0.10795188737709993</v>
      </c>
      <c r="AF225" s="4">
        <f t="shared" si="156"/>
        <v>7.5176653938091809E-2</v>
      </c>
      <c r="AG225" s="4">
        <f t="shared" si="156"/>
        <v>5.1742836177502194E-2</v>
      </c>
      <c r="AH225" s="4">
        <f t="shared" si="156"/>
        <v>3.5319190625345942E-2</v>
      </c>
      <c r="AI225" s="4">
        <f t="shared" si="156"/>
        <v>2.3969442072658165E-2</v>
      </c>
      <c r="AJ225" s="4">
        <f t="shared" si="156"/>
        <v>1.6202243558389728E-2</v>
      </c>
      <c r="AK225" s="4">
        <f t="shared" si="156"/>
        <v>1.0922240564108399E-2</v>
      </c>
      <c r="AL225" s="4">
        <f t="shared" si="156"/>
        <v>7.3493212906090566E-3</v>
      </c>
      <c r="AM225" s="4">
        <f t="shared" si="156"/>
        <v>4.9390262185057265E-3</v>
      </c>
      <c r="AN225" s="4">
        <f t="shared" si="156"/>
        <v>3.3164275492956197E-3</v>
      </c>
      <c r="AO225" s="4">
        <f t="shared" si="156"/>
        <v>2.2256362146679809E-3</v>
      </c>
      <c r="AP225" s="4">
        <f t="shared" si="156"/>
        <v>1.4930448704811861E-3</v>
      </c>
      <c r="AQ225" s="4">
        <f t="shared" si="156"/>
        <v>1.0013381504474506E-3</v>
      </c>
      <c r="AR225" s="4">
        <f t="shared" si="156"/>
        <v>6.7145100246257527E-4</v>
      </c>
    </row>
    <row r="226" spans="1:44" x14ac:dyDescent="0.3">
      <c r="A226" s="24" t="s">
        <v>28</v>
      </c>
      <c r="B226" s="60">
        <f>'Parameter Input'!$L$33</f>
        <v>-58500</v>
      </c>
      <c r="C226" s="61">
        <f>'Parameter Input'!$M$33</f>
        <v>-38750</v>
      </c>
      <c r="D226" s="1" t="s">
        <v>15</v>
      </c>
      <c r="L226" s="54">
        <f>'Parameter Input'!$O$33</f>
        <v>9</v>
      </c>
      <c r="M226" s="37">
        <v>0</v>
      </c>
      <c r="N226" s="37">
        <v>1</v>
      </c>
      <c r="O226" s="37">
        <f>'Parameter Input'!$P$33</f>
        <v>0.9</v>
      </c>
      <c r="P226" s="55">
        <f>'Parameter Input'!$Q$33</f>
        <v>0.4</v>
      </c>
      <c r="Q226" s="4">
        <f t="shared" si="156"/>
        <v>0.96177484161592774</v>
      </c>
      <c r="R226" s="4">
        <f t="shared" si="156"/>
        <v>0.94584787155511363</v>
      </c>
      <c r="S226" s="4">
        <f t="shared" si="156"/>
        <v>0.92370360150141495</v>
      </c>
      <c r="T226" s="4">
        <f t="shared" si="156"/>
        <v>0.89334463567658451</v>
      </c>
      <c r="U226" s="4">
        <f t="shared" si="156"/>
        <v>0.85254543874327005</v>
      </c>
      <c r="V226" s="4">
        <f t="shared" si="156"/>
        <v>0.79921300652623883</v>
      </c>
      <c r="W226" s="4">
        <f t="shared" si="156"/>
        <v>0.73204982249993378</v>
      </c>
      <c r="X226" s="4">
        <f t="shared" si="156"/>
        <v>0.65145592958786691</v>
      </c>
      <c r="Y226" s="4">
        <f t="shared" si="156"/>
        <v>0.56032247880849573</v>
      </c>
      <c r="Z226" s="4">
        <f t="shared" si="156"/>
        <v>0.46411326873185343</v>
      </c>
      <c r="AA226" s="4">
        <f t="shared" si="156"/>
        <v>0.36979727595523937</v>
      </c>
      <c r="AB226" s="4">
        <f t="shared" si="156"/>
        <v>0.28393948637231203</v>
      </c>
      <c r="AC226" s="4">
        <f t="shared" si="156"/>
        <v>0.21097259161117732</v>
      </c>
      <c r="AD226" s="4">
        <f t="shared" si="156"/>
        <v>0.15253917653798199</v>
      </c>
      <c r="AE226" s="4">
        <f t="shared" si="156"/>
        <v>0.10795188737709993</v>
      </c>
      <c r="AF226" s="4">
        <f t="shared" si="156"/>
        <v>7.5176653938091809E-2</v>
      </c>
      <c r="AG226" s="4">
        <f t="shared" si="156"/>
        <v>5.1742836177502194E-2</v>
      </c>
      <c r="AH226" s="4">
        <f t="shared" si="156"/>
        <v>3.5319190625345942E-2</v>
      </c>
      <c r="AI226" s="4">
        <f t="shared" si="156"/>
        <v>2.3969442072658165E-2</v>
      </c>
      <c r="AJ226" s="4">
        <f t="shared" si="156"/>
        <v>1.6202243558389728E-2</v>
      </c>
      <c r="AK226" s="4">
        <f t="shared" si="156"/>
        <v>1.0922240564108399E-2</v>
      </c>
      <c r="AL226" s="4">
        <f t="shared" si="156"/>
        <v>7.3493212906090566E-3</v>
      </c>
      <c r="AM226" s="4">
        <f t="shared" si="156"/>
        <v>4.9390262185057265E-3</v>
      </c>
      <c r="AN226" s="4">
        <f t="shared" si="156"/>
        <v>3.3164275492956197E-3</v>
      </c>
      <c r="AO226" s="4">
        <f t="shared" si="156"/>
        <v>2.2256362146679809E-3</v>
      </c>
      <c r="AP226" s="4">
        <f t="shared" si="156"/>
        <v>1.4930448704811861E-3</v>
      </c>
      <c r="AQ226" s="4">
        <f t="shared" si="156"/>
        <v>1.0013381504474506E-3</v>
      </c>
      <c r="AR226" s="4">
        <f t="shared" si="156"/>
        <v>6.7145100246257527E-4</v>
      </c>
    </row>
    <row r="227" spans="1:44" x14ac:dyDescent="0.3">
      <c r="A227" s="24" t="s">
        <v>14</v>
      </c>
      <c r="B227" s="60">
        <f>'Parameter Input'!B33</f>
        <v>30000</v>
      </c>
      <c r="C227" s="61">
        <f>'Parameter Input'!C33</f>
        <v>30000</v>
      </c>
      <c r="D227" s="1" t="s">
        <v>15</v>
      </c>
      <c r="L227" s="54">
        <f>'Parameter Input'!E33</f>
        <v>12</v>
      </c>
      <c r="M227" s="37">
        <v>0</v>
      </c>
      <c r="N227" s="37">
        <v>1</v>
      </c>
      <c r="O227" s="37">
        <f>'Parameter Input'!F33</f>
        <v>0.9</v>
      </c>
      <c r="P227" s="55">
        <f>'Parameter Input'!G33</f>
        <v>0.4</v>
      </c>
      <c r="Q227" s="4">
        <f t="shared" si="156"/>
        <v>0.9867978615748374</v>
      </c>
      <c r="R227" s="4">
        <f t="shared" si="156"/>
        <v>0.98114509762858249</v>
      </c>
      <c r="S227" s="4">
        <f t="shared" si="156"/>
        <v>0.97311898315872036</v>
      </c>
      <c r="T227" s="4">
        <f t="shared" si="156"/>
        <v>0.96177484161592774</v>
      </c>
      <c r="U227" s="4">
        <f t="shared" si="156"/>
        <v>0.94584787155511363</v>
      </c>
      <c r="V227" s="4">
        <f t="shared" si="156"/>
        <v>0.92370360150141495</v>
      </c>
      <c r="W227" s="4">
        <f t="shared" si="156"/>
        <v>0.89334463567658451</v>
      </c>
      <c r="X227" s="4">
        <f t="shared" si="156"/>
        <v>0.85254543874327005</v>
      </c>
      <c r="Y227" s="4">
        <f t="shared" si="156"/>
        <v>0.79921300652623883</v>
      </c>
      <c r="Z227" s="4">
        <f t="shared" si="156"/>
        <v>0.73204982249993378</v>
      </c>
      <c r="AA227" s="4">
        <f t="shared" si="156"/>
        <v>0.65145592958786691</v>
      </c>
      <c r="AB227" s="4">
        <f t="shared" si="156"/>
        <v>0.56032247880849573</v>
      </c>
      <c r="AC227" s="4">
        <f t="shared" si="156"/>
        <v>0.46411326873185343</v>
      </c>
      <c r="AD227" s="4">
        <f t="shared" si="156"/>
        <v>0.36979727595523937</v>
      </c>
      <c r="AE227" s="4">
        <f t="shared" si="156"/>
        <v>0.28393948637231203</v>
      </c>
      <c r="AF227" s="4">
        <f t="shared" si="156"/>
        <v>0.21097259161117732</v>
      </c>
      <c r="AG227" s="4">
        <f t="shared" si="156"/>
        <v>0.15253917653798199</v>
      </c>
      <c r="AH227" s="4">
        <f t="shared" si="156"/>
        <v>0.10795188737709993</v>
      </c>
      <c r="AI227" s="4">
        <f t="shared" si="156"/>
        <v>7.5176653938091809E-2</v>
      </c>
      <c r="AJ227" s="4">
        <f t="shared" si="156"/>
        <v>5.1742836177502194E-2</v>
      </c>
      <c r="AK227" s="4">
        <f t="shared" si="156"/>
        <v>3.5319190625345942E-2</v>
      </c>
      <c r="AL227" s="4">
        <f t="shared" si="156"/>
        <v>2.3969442072658165E-2</v>
      </c>
      <c r="AM227" s="4">
        <f t="shared" si="156"/>
        <v>1.6202243558389728E-2</v>
      </c>
      <c r="AN227" s="4">
        <f t="shared" si="156"/>
        <v>1.0922240564108399E-2</v>
      </c>
      <c r="AO227" s="4">
        <f t="shared" si="156"/>
        <v>7.3493212906090566E-3</v>
      </c>
      <c r="AP227" s="4">
        <f t="shared" si="156"/>
        <v>4.9390262185057265E-3</v>
      </c>
      <c r="AQ227" s="4">
        <f t="shared" si="156"/>
        <v>3.3164275492956197E-3</v>
      </c>
      <c r="AR227" s="4">
        <f t="shared" si="156"/>
        <v>2.2256362146679809E-3</v>
      </c>
    </row>
    <row r="228" spans="1:44" x14ac:dyDescent="0.3">
      <c r="A228" s="24" t="s">
        <v>25</v>
      </c>
      <c r="B228" s="60">
        <f>'Parameter Input'!B34</f>
        <v>-7500</v>
      </c>
      <c r="C228" s="61">
        <f>'Parameter Input'!C34</f>
        <v>-7500</v>
      </c>
      <c r="D228" s="1" t="s">
        <v>15</v>
      </c>
      <c r="L228" s="54">
        <f>'Parameter Input'!E34</f>
        <v>12</v>
      </c>
      <c r="M228" s="37">
        <v>0</v>
      </c>
      <c r="N228" s="37">
        <v>1</v>
      </c>
      <c r="O228" s="37">
        <f>'Parameter Input'!F21</f>
        <v>0.9</v>
      </c>
      <c r="P228" s="55">
        <f>'Parameter Input'!G21</f>
        <v>0.4</v>
      </c>
      <c r="Q228" s="4">
        <f t="shared" si="156"/>
        <v>0.9867978615748374</v>
      </c>
      <c r="R228" s="4">
        <f t="shared" si="156"/>
        <v>0.98114509762858249</v>
      </c>
      <c r="S228" s="4">
        <f t="shared" si="156"/>
        <v>0.97311898315872036</v>
      </c>
      <c r="T228" s="4">
        <f t="shared" si="156"/>
        <v>0.96177484161592774</v>
      </c>
      <c r="U228" s="4">
        <f t="shared" si="156"/>
        <v>0.94584787155511363</v>
      </c>
      <c r="V228" s="4">
        <f t="shared" si="156"/>
        <v>0.92370360150141495</v>
      </c>
      <c r="W228" s="4">
        <f t="shared" si="156"/>
        <v>0.89334463567658451</v>
      </c>
      <c r="X228" s="4">
        <f t="shared" si="156"/>
        <v>0.85254543874327005</v>
      </c>
      <c r="Y228" s="4">
        <f t="shared" si="156"/>
        <v>0.79921300652623883</v>
      </c>
      <c r="Z228" s="4">
        <f t="shared" si="156"/>
        <v>0.73204982249993378</v>
      </c>
      <c r="AA228" s="4">
        <f t="shared" si="156"/>
        <v>0.65145592958786691</v>
      </c>
      <c r="AB228" s="4">
        <f t="shared" si="156"/>
        <v>0.56032247880849573</v>
      </c>
      <c r="AC228" s="4">
        <f t="shared" si="156"/>
        <v>0.46411326873185343</v>
      </c>
      <c r="AD228" s="4">
        <f t="shared" si="156"/>
        <v>0.36979727595523937</v>
      </c>
      <c r="AE228" s="4">
        <f t="shared" si="156"/>
        <v>0.28393948637231203</v>
      </c>
      <c r="AF228" s="4">
        <f t="shared" si="156"/>
        <v>0.21097259161117732</v>
      </c>
      <c r="AG228" s="4">
        <f t="shared" si="156"/>
        <v>0.15253917653798199</v>
      </c>
      <c r="AH228" s="4">
        <f t="shared" si="156"/>
        <v>0.10795188737709993</v>
      </c>
      <c r="AI228" s="4">
        <f t="shared" si="156"/>
        <v>7.5176653938091809E-2</v>
      </c>
      <c r="AJ228" s="4">
        <f t="shared" si="156"/>
        <v>5.1742836177502194E-2</v>
      </c>
      <c r="AK228" s="4">
        <f t="shared" si="156"/>
        <v>3.5319190625345942E-2</v>
      </c>
      <c r="AL228" s="4">
        <f t="shared" si="156"/>
        <v>2.3969442072658165E-2</v>
      </c>
      <c r="AM228" s="4">
        <f t="shared" si="156"/>
        <v>1.6202243558389728E-2</v>
      </c>
      <c r="AN228" s="4">
        <f t="shared" si="156"/>
        <v>1.0922240564108399E-2</v>
      </c>
      <c r="AO228" s="4">
        <f t="shared" si="156"/>
        <v>7.3493212906090566E-3</v>
      </c>
      <c r="AP228" s="4">
        <f t="shared" si="156"/>
        <v>4.9390262185057265E-3</v>
      </c>
      <c r="AQ228" s="4">
        <f t="shared" si="156"/>
        <v>3.3164275492956197E-3</v>
      </c>
      <c r="AR228" s="4">
        <f t="shared" si="156"/>
        <v>2.2256362146679809E-3</v>
      </c>
    </row>
    <row r="229" spans="1:44" x14ac:dyDescent="0.3">
      <c r="A229" s="24" t="s">
        <v>79</v>
      </c>
      <c r="B229" s="45">
        <f>'Parameter Input'!$L$39</f>
        <v>0.06</v>
      </c>
      <c r="C229" s="46">
        <f>'Parameter Input'!$M$39</f>
        <v>0.06</v>
      </c>
      <c r="D229" s="1" t="s">
        <v>57</v>
      </c>
      <c r="L229" s="54">
        <f>'Parameter Input'!$O$39</f>
        <v>12</v>
      </c>
      <c r="M229" s="37">
        <v>0</v>
      </c>
      <c r="N229" s="37">
        <v>1</v>
      </c>
      <c r="O229" s="37">
        <f>'Parameter Input'!$P$39</f>
        <v>0.9</v>
      </c>
      <c r="P229" s="55">
        <f>'Parameter Input'!$Q$39</f>
        <v>0.4</v>
      </c>
      <c r="Q229" s="4">
        <f t="shared" si="156"/>
        <v>0.9867978615748374</v>
      </c>
      <c r="R229" s="4">
        <f t="shared" si="156"/>
        <v>0.98114509762858249</v>
      </c>
      <c r="S229" s="4">
        <f t="shared" si="156"/>
        <v>0.97311898315872036</v>
      </c>
      <c r="T229" s="4">
        <f t="shared" si="156"/>
        <v>0.96177484161592774</v>
      </c>
      <c r="U229" s="4">
        <f t="shared" si="156"/>
        <v>0.94584787155511363</v>
      </c>
      <c r="V229" s="4">
        <f t="shared" si="156"/>
        <v>0.92370360150141495</v>
      </c>
      <c r="W229" s="4">
        <f t="shared" si="156"/>
        <v>0.89334463567658451</v>
      </c>
      <c r="X229" s="4">
        <f t="shared" si="156"/>
        <v>0.85254543874327005</v>
      </c>
      <c r="Y229" s="4">
        <f t="shared" si="156"/>
        <v>0.79921300652623883</v>
      </c>
      <c r="Z229" s="4">
        <f t="shared" si="156"/>
        <v>0.73204982249993378</v>
      </c>
      <c r="AA229" s="4">
        <f t="shared" si="156"/>
        <v>0.65145592958786691</v>
      </c>
      <c r="AB229" s="4">
        <f t="shared" si="156"/>
        <v>0.56032247880849573</v>
      </c>
      <c r="AC229" s="4">
        <f t="shared" si="156"/>
        <v>0.46411326873185343</v>
      </c>
      <c r="AD229" s="4">
        <f t="shared" si="156"/>
        <v>0.36979727595523937</v>
      </c>
      <c r="AE229" s="4">
        <f t="shared" si="156"/>
        <v>0.28393948637231203</v>
      </c>
      <c r="AF229" s="4">
        <f t="shared" si="156"/>
        <v>0.21097259161117732</v>
      </c>
      <c r="AG229" s="4">
        <f t="shared" si="156"/>
        <v>0.15253917653798199</v>
      </c>
      <c r="AH229" s="4">
        <f t="shared" si="156"/>
        <v>0.10795188737709993</v>
      </c>
      <c r="AI229" s="4">
        <f t="shared" si="156"/>
        <v>7.5176653938091809E-2</v>
      </c>
      <c r="AJ229" s="4">
        <f t="shared" si="156"/>
        <v>5.1742836177502194E-2</v>
      </c>
      <c r="AK229" s="4">
        <f t="shared" si="156"/>
        <v>3.5319190625345942E-2</v>
      </c>
      <c r="AL229" s="4">
        <f t="shared" si="156"/>
        <v>2.3969442072658165E-2</v>
      </c>
      <c r="AM229" s="4">
        <f t="shared" si="156"/>
        <v>1.6202243558389728E-2</v>
      </c>
      <c r="AN229" s="4">
        <f t="shared" si="156"/>
        <v>1.0922240564108399E-2</v>
      </c>
      <c r="AO229" s="4">
        <f t="shared" si="156"/>
        <v>7.3493212906090566E-3</v>
      </c>
      <c r="AP229" s="4">
        <f t="shared" si="156"/>
        <v>4.9390262185057265E-3</v>
      </c>
      <c r="AQ229" s="4">
        <f t="shared" si="156"/>
        <v>3.3164275492956197E-3</v>
      </c>
      <c r="AR229" s="4">
        <f t="shared" si="156"/>
        <v>2.2256362146679809E-3</v>
      </c>
    </row>
    <row r="230" spans="1:44" x14ac:dyDescent="0.3">
      <c r="A230" s="24" t="s">
        <v>37</v>
      </c>
      <c r="B230" s="60">
        <f>'Parameter Input'!B35</f>
        <v>70000</v>
      </c>
      <c r="C230" s="61">
        <f>'Parameter Input'!C35</f>
        <v>70000</v>
      </c>
      <c r="D230" s="1" t="s">
        <v>38</v>
      </c>
      <c r="L230" s="54">
        <f>'Parameter Input'!E35</f>
        <v>12</v>
      </c>
      <c r="M230" s="37">
        <v>0</v>
      </c>
      <c r="N230" s="37">
        <v>1</v>
      </c>
      <c r="O230" s="37">
        <f>'Parameter Input'!F35</f>
        <v>0.9</v>
      </c>
      <c r="P230" s="55">
        <f>'Parameter Input'!G35</f>
        <v>0.4</v>
      </c>
      <c r="Q230" s="4">
        <f t="shared" si="156"/>
        <v>0.9867978615748374</v>
      </c>
      <c r="R230" s="4">
        <f t="shared" si="156"/>
        <v>0.98114509762858249</v>
      </c>
      <c r="S230" s="4">
        <f t="shared" si="156"/>
        <v>0.97311898315872036</v>
      </c>
      <c r="T230" s="4">
        <f t="shared" si="156"/>
        <v>0.96177484161592774</v>
      </c>
      <c r="U230" s="4">
        <f t="shared" si="156"/>
        <v>0.94584787155511363</v>
      </c>
      <c r="V230" s="4">
        <f t="shared" si="156"/>
        <v>0.92370360150141495</v>
      </c>
      <c r="W230" s="4">
        <f t="shared" si="156"/>
        <v>0.89334463567658451</v>
      </c>
      <c r="X230" s="4">
        <f t="shared" si="156"/>
        <v>0.85254543874327005</v>
      </c>
      <c r="Y230" s="4">
        <f t="shared" si="156"/>
        <v>0.79921300652623883</v>
      </c>
      <c r="Z230" s="4">
        <f t="shared" si="156"/>
        <v>0.73204982249993378</v>
      </c>
      <c r="AA230" s="4">
        <f t="shared" si="156"/>
        <v>0.65145592958786691</v>
      </c>
      <c r="AB230" s="4">
        <f t="shared" si="156"/>
        <v>0.56032247880849573</v>
      </c>
      <c r="AC230" s="4">
        <f t="shared" si="156"/>
        <v>0.46411326873185343</v>
      </c>
      <c r="AD230" s="4">
        <f t="shared" si="156"/>
        <v>0.36979727595523937</v>
      </c>
      <c r="AE230" s="4">
        <f t="shared" si="156"/>
        <v>0.28393948637231203</v>
      </c>
      <c r="AF230" s="4">
        <f t="shared" si="156"/>
        <v>0.21097259161117732</v>
      </c>
      <c r="AG230" s="4">
        <f t="shared" si="156"/>
        <v>0.15253917653798199</v>
      </c>
      <c r="AH230" s="4">
        <f t="shared" si="156"/>
        <v>0.10795188737709993</v>
      </c>
      <c r="AI230" s="4">
        <f t="shared" si="156"/>
        <v>7.5176653938091809E-2</v>
      </c>
      <c r="AJ230" s="4">
        <f t="shared" si="156"/>
        <v>5.1742836177502194E-2</v>
      </c>
      <c r="AK230" s="4">
        <f t="shared" si="156"/>
        <v>3.5319190625345942E-2</v>
      </c>
      <c r="AL230" s="4">
        <f t="shared" si="156"/>
        <v>2.3969442072658165E-2</v>
      </c>
      <c r="AM230" s="4">
        <f t="shared" si="156"/>
        <v>1.6202243558389728E-2</v>
      </c>
      <c r="AN230" s="4">
        <f t="shared" si="156"/>
        <v>1.0922240564108399E-2</v>
      </c>
      <c r="AO230" s="4">
        <f t="shared" si="156"/>
        <v>7.3493212906090566E-3</v>
      </c>
      <c r="AP230" s="4">
        <f t="shared" si="156"/>
        <v>4.9390262185057265E-3</v>
      </c>
      <c r="AQ230" s="4">
        <f t="shared" si="156"/>
        <v>3.3164275492956197E-3</v>
      </c>
      <c r="AR230" s="4">
        <f t="shared" si="156"/>
        <v>2.2256362146679809E-3</v>
      </c>
    </row>
    <row r="231" spans="1:44" x14ac:dyDescent="0.3">
      <c r="A231" s="24" t="s">
        <v>52</v>
      </c>
      <c r="B231" s="43">
        <f>'Parameter Input'!$L$35</f>
        <v>26000</v>
      </c>
      <c r="C231" s="44">
        <f>'Parameter Input'!$M$35</f>
        <v>18000</v>
      </c>
      <c r="D231" s="1" t="s">
        <v>38</v>
      </c>
      <c r="L231" s="54">
        <f>'Parameter Input'!$O$35</f>
        <v>9</v>
      </c>
      <c r="M231" s="37">
        <v>0</v>
      </c>
      <c r="N231" s="37">
        <v>1</v>
      </c>
      <c r="O231" s="37">
        <f>'Parameter Input'!$P$35</f>
        <v>0.9</v>
      </c>
      <c r="P231" s="55">
        <f>'Parameter Input'!$Q$35</f>
        <v>0.4</v>
      </c>
      <c r="Q231" s="4">
        <f t="shared" si="156"/>
        <v>0.96177484161592774</v>
      </c>
      <c r="R231" s="4">
        <f t="shared" si="156"/>
        <v>0.94584787155511363</v>
      </c>
      <c r="S231" s="4">
        <f t="shared" si="156"/>
        <v>0.92370360150141495</v>
      </c>
      <c r="T231" s="4">
        <f t="shared" si="156"/>
        <v>0.89334463567658451</v>
      </c>
      <c r="U231" s="4">
        <f t="shared" si="156"/>
        <v>0.85254543874327005</v>
      </c>
      <c r="V231" s="4">
        <f t="shared" si="156"/>
        <v>0.79921300652623883</v>
      </c>
      <c r="W231" s="4">
        <f t="shared" si="156"/>
        <v>0.73204982249993378</v>
      </c>
      <c r="X231" s="4">
        <f t="shared" si="156"/>
        <v>0.65145592958786691</v>
      </c>
      <c r="Y231" s="4">
        <f t="shared" si="156"/>
        <v>0.56032247880849573</v>
      </c>
      <c r="Z231" s="4">
        <f t="shared" si="156"/>
        <v>0.46411326873185343</v>
      </c>
      <c r="AA231" s="4">
        <f t="shared" si="156"/>
        <v>0.36979727595523937</v>
      </c>
      <c r="AB231" s="4">
        <f t="shared" si="156"/>
        <v>0.28393948637231203</v>
      </c>
      <c r="AC231" s="4">
        <f t="shared" si="156"/>
        <v>0.21097259161117732</v>
      </c>
      <c r="AD231" s="4">
        <f t="shared" si="156"/>
        <v>0.15253917653798199</v>
      </c>
      <c r="AE231" s="4">
        <f t="shared" si="156"/>
        <v>0.10795188737709993</v>
      </c>
      <c r="AF231" s="4">
        <f t="shared" si="156"/>
        <v>7.5176653938091809E-2</v>
      </c>
      <c r="AG231" s="4">
        <f t="shared" si="156"/>
        <v>5.1742836177502194E-2</v>
      </c>
      <c r="AH231" s="4">
        <f t="shared" si="156"/>
        <v>3.5319190625345942E-2</v>
      </c>
      <c r="AI231" s="4">
        <f t="shared" si="156"/>
        <v>2.3969442072658165E-2</v>
      </c>
      <c r="AJ231" s="4">
        <f t="shared" si="156"/>
        <v>1.6202243558389728E-2</v>
      </c>
      <c r="AK231" s="4">
        <f t="shared" si="156"/>
        <v>1.0922240564108399E-2</v>
      </c>
      <c r="AL231" s="4">
        <f t="shared" si="156"/>
        <v>7.3493212906090566E-3</v>
      </c>
      <c r="AM231" s="4">
        <f t="shared" si="156"/>
        <v>4.9390262185057265E-3</v>
      </c>
      <c r="AN231" s="4">
        <f t="shared" si="156"/>
        <v>3.3164275492956197E-3</v>
      </c>
      <c r="AO231" s="4">
        <f t="shared" si="156"/>
        <v>2.2256362146679809E-3</v>
      </c>
      <c r="AP231" s="4">
        <f t="shared" si="156"/>
        <v>1.4930448704811861E-3</v>
      </c>
      <c r="AQ231" s="4">
        <f t="shared" si="156"/>
        <v>1.0013381504474506E-3</v>
      </c>
      <c r="AR231" s="4">
        <f t="shared" si="156"/>
        <v>6.7145100246257527E-4</v>
      </c>
    </row>
    <row r="232" spans="1:44" x14ac:dyDescent="0.3">
      <c r="A232" s="24" t="s">
        <v>273</v>
      </c>
      <c r="B232" s="60">
        <f>'Parameter Input'!B40</f>
        <v>0.11</v>
      </c>
      <c r="C232" s="61">
        <f>'Parameter Input'!C40</f>
        <v>0.11</v>
      </c>
      <c r="D232" s="1" t="s">
        <v>76</v>
      </c>
      <c r="L232" s="54">
        <f>'Parameter Input'!E40</f>
        <v>12</v>
      </c>
      <c r="M232" s="37">
        <v>0</v>
      </c>
      <c r="N232" s="37">
        <v>1</v>
      </c>
      <c r="O232" s="37">
        <f>'Parameter Input'!F40</f>
        <v>0.9</v>
      </c>
      <c r="P232" s="55">
        <f>'Parameter Input'!G40</f>
        <v>0.4</v>
      </c>
      <c r="Q232" s="4">
        <f t="shared" si="156"/>
        <v>0.9867978615748374</v>
      </c>
      <c r="R232" s="4">
        <f t="shared" si="156"/>
        <v>0.98114509762858249</v>
      </c>
      <c r="S232" s="4">
        <f t="shared" si="156"/>
        <v>0.97311898315872036</v>
      </c>
      <c r="T232" s="4">
        <f t="shared" si="156"/>
        <v>0.96177484161592774</v>
      </c>
      <c r="U232" s="4">
        <f t="shared" si="156"/>
        <v>0.94584787155511363</v>
      </c>
      <c r="V232" s="4">
        <f t="shared" si="156"/>
        <v>0.92370360150141495</v>
      </c>
      <c r="W232" s="4">
        <f t="shared" si="156"/>
        <v>0.89334463567658451</v>
      </c>
      <c r="X232" s="4">
        <f t="shared" si="156"/>
        <v>0.85254543874327005</v>
      </c>
      <c r="Y232" s="4">
        <f t="shared" si="156"/>
        <v>0.79921300652623883</v>
      </c>
      <c r="Z232" s="4">
        <f t="shared" si="156"/>
        <v>0.73204982249993378</v>
      </c>
      <c r="AA232" s="4">
        <f t="shared" si="156"/>
        <v>0.65145592958786691</v>
      </c>
      <c r="AB232" s="4">
        <f t="shared" si="156"/>
        <v>0.56032247880849573</v>
      </c>
      <c r="AC232" s="4">
        <f t="shared" si="156"/>
        <v>0.46411326873185343</v>
      </c>
      <c r="AD232" s="4">
        <f t="shared" si="156"/>
        <v>0.36979727595523937</v>
      </c>
      <c r="AE232" s="4">
        <f t="shared" si="156"/>
        <v>0.28393948637231203</v>
      </c>
      <c r="AF232" s="4">
        <f t="shared" si="156"/>
        <v>0.21097259161117732</v>
      </c>
      <c r="AG232" s="4">
        <f t="shared" si="156"/>
        <v>0.15253917653798199</v>
      </c>
      <c r="AH232" s="4">
        <f t="shared" si="156"/>
        <v>0.10795188737709993</v>
      </c>
      <c r="AI232" s="4">
        <f t="shared" si="156"/>
        <v>7.5176653938091809E-2</v>
      </c>
      <c r="AJ232" s="4">
        <f t="shared" si="156"/>
        <v>5.1742836177502194E-2</v>
      </c>
      <c r="AK232" s="4">
        <f t="shared" si="156"/>
        <v>3.5319190625345942E-2</v>
      </c>
      <c r="AL232" s="4">
        <f t="shared" si="156"/>
        <v>2.3969442072658165E-2</v>
      </c>
      <c r="AM232" s="4">
        <f t="shared" si="156"/>
        <v>1.6202243558389728E-2</v>
      </c>
      <c r="AN232" s="4">
        <f t="shared" si="156"/>
        <v>1.0922240564108399E-2</v>
      </c>
      <c r="AO232" s="4">
        <f t="shared" si="156"/>
        <v>7.3493212906090566E-3</v>
      </c>
      <c r="AP232" s="4">
        <f t="shared" si="156"/>
        <v>4.9390262185057265E-3</v>
      </c>
      <c r="AQ232" s="4">
        <f t="shared" si="156"/>
        <v>3.3164275492956197E-3</v>
      </c>
      <c r="AR232" s="4">
        <f t="shared" si="156"/>
        <v>2.2256362146679809E-3</v>
      </c>
    </row>
    <row r="233" spans="1:44" x14ac:dyDescent="0.3">
      <c r="A233" s="24" t="s">
        <v>59</v>
      </c>
      <c r="B233" s="47">
        <f>'Parameter Input'!$L$36</f>
        <v>2.5299999999999998</v>
      </c>
      <c r="C233" s="48">
        <f>'Parameter Input'!$M$36</f>
        <v>1.79</v>
      </c>
      <c r="D233" s="1" t="s">
        <v>60</v>
      </c>
      <c r="L233" s="54">
        <f>'Parameter Input'!$O$36</f>
        <v>9</v>
      </c>
      <c r="M233" s="37">
        <v>0</v>
      </c>
      <c r="N233" s="37">
        <v>1</v>
      </c>
      <c r="O233" s="37">
        <f>'Parameter Input'!$P$36</f>
        <v>0.9</v>
      </c>
      <c r="P233" s="55">
        <f>'Parameter Input'!$Q$36</f>
        <v>0.4</v>
      </c>
      <c r="Q233" s="4">
        <f t="shared" si="156"/>
        <v>0.96177484161592774</v>
      </c>
      <c r="R233" s="4">
        <f t="shared" si="156"/>
        <v>0.94584787155511363</v>
      </c>
      <c r="S233" s="4">
        <f t="shared" si="156"/>
        <v>0.92370360150141495</v>
      </c>
      <c r="T233" s="4">
        <f t="shared" si="156"/>
        <v>0.89334463567658451</v>
      </c>
      <c r="U233" s="4">
        <f t="shared" si="156"/>
        <v>0.85254543874327005</v>
      </c>
      <c r="V233" s="4">
        <f t="shared" si="156"/>
        <v>0.79921300652623883</v>
      </c>
      <c r="W233" s="4">
        <f t="shared" si="156"/>
        <v>0.73204982249993378</v>
      </c>
      <c r="X233" s="4">
        <f t="shared" si="156"/>
        <v>0.65145592958786691</v>
      </c>
      <c r="Y233" s="4">
        <f t="shared" si="156"/>
        <v>0.56032247880849573</v>
      </c>
      <c r="Z233" s="4">
        <f t="shared" si="156"/>
        <v>0.46411326873185343</v>
      </c>
      <c r="AA233" s="4">
        <f t="shared" si="156"/>
        <v>0.36979727595523937</v>
      </c>
      <c r="AB233" s="4">
        <f t="shared" si="156"/>
        <v>0.28393948637231203</v>
      </c>
      <c r="AC233" s="4">
        <f t="shared" si="156"/>
        <v>0.21097259161117732</v>
      </c>
      <c r="AD233" s="4">
        <f t="shared" si="156"/>
        <v>0.15253917653798199</v>
      </c>
      <c r="AE233" s="4">
        <f t="shared" si="156"/>
        <v>0.10795188737709993</v>
      </c>
      <c r="AF233" s="4">
        <f t="shared" si="156"/>
        <v>7.5176653938091809E-2</v>
      </c>
      <c r="AG233" s="4">
        <f t="shared" si="156"/>
        <v>5.1742836177502194E-2</v>
      </c>
      <c r="AH233" s="4">
        <f t="shared" si="156"/>
        <v>3.5319190625345942E-2</v>
      </c>
      <c r="AI233" s="4">
        <f t="shared" si="156"/>
        <v>2.3969442072658165E-2</v>
      </c>
      <c r="AJ233" s="4">
        <f t="shared" si="156"/>
        <v>1.6202243558389728E-2</v>
      </c>
      <c r="AK233" s="4">
        <f t="shared" si="156"/>
        <v>1.0922240564108399E-2</v>
      </c>
      <c r="AL233" s="4">
        <f t="shared" si="156"/>
        <v>7.3493212906090566E-3</v>
      </c>
      <c r="AM233" s="4">
        <f t="shared" si="156"/>
        <v>4.9390262185057265E-3</v>
      </c>
      <c r="AN233" s="4">
        <f t="shared" si="156"/>
        <v>3.3164275492956197E-3</v>
      </c>
      <c r="AO233" s="4">
        <f t="shared" si="156"/>
        <v>2.2256362146679809E-3</v>
      </c>
      <c r="AP233" s="4">
        <f t="shared" si="156"/>
        <v>1.4930448704811861E-3</v>
      </c>
      <c r="AQ233" s="4">
        <f t="shared" si="156"/>
        <v>1.0013381504474506E-3</v>
      </c>
      <c r="AR233" s="4">
        <f t="shared" si="156"/>
        <v>6.7145100246257527E-4</v>
      </c>
    </row>
    <row r="234" spans="1:44" x14ac:dyDescent="0.3">
      <c r="A234" s="24" t="s">
        <v>67</v>
      </c>
      <c r="B234" s="45">
        <f>'Parameter Input'!$L$37</f>
        <v>0.21633448448114301</v>
      </c>
      <c r="C234" s="46">
        <f>'Parameter Input'!$M$37</f>
        <v>0.101814693285632</v>
      </c>
      <c r="D234" s="1" t="s">
        <v>68</v>
      </c>
      <c r="L234" s="54">
        <f>'Parameter Input'!$O$37</f>
        <v>12</v>
      </c>
      <c r="M234" s="37">
        <v>0</v>
      </c>
      <c r="N234" s="37">
        <v>1</v>
      </c>
      <c r="O234" s="37">
        <f>'Parameter Input'!$P$37</f>
        <v>0.9</v>
      </c>
      <c r="P234" s="55">
        <f>'Parameter Input'!$Q$37</f>
        <v>0.4</v>
      </c>
      <c r="Q234" s="4">
        <f t="shared" si="156"/>
        <v>0.9867978615748374</v>
      </c>
      <c r="R234" s="4">
        <f t="shared" si="156"/>
        <v>0.98114509762858249</v>
      </c>
      <c r="S234" s="4">
        <f t="shared" si="156"/>
        <v>0.97311898315872036</v>
      </c>
      <c r="T234" s="4">
        <f t="shared" ref="T234:AI241" si="157">$N234+($M234-$N234)*((1/(1+EXP(-$P234*(T$9-$L234)))^$O234))</f>
        <v>0.96177484161592774</v>
      </c>
      <c r="U234" s="4">
        <f t="shared" si="157"/>
        <v>0.94584787155511363</v>
      </c>
      <c r="V234" s="4">
        <f t="shared" si="157"/>
        <v>0.92370360150141495</v>
      </c>
      <c r="W234" s="4">
        <f t="shared" si="157"/>
        <v>0.89334463567658451</v>
      </c>
      <c r="X234" s="4">
        <f t="shared" si="157"/>
        <v>0.85254543874327005</v>
      </c>
      <c r="Y234" s="4">
        <f t="shared" si="157"/>
        <v>0.79921300652623883</v>
      </c>
      <c r="Z234" s="4">
        <f t="shared" si="157"/>
        <v>0.73204982249993378</v>
      </c>
      <c r="AA234" s="4">
        <f t="shared" si="157"/>
        <v>0.65145592958786691</v>
      </c>
      <c r="AB234" s="4">
        <f t="shared" si="157"/>
        <v>0.56032247880849573</v>
      </c>
      <c r="AC234" s="4">
        <f t="shared" si="157"/>
        <v>0.46411326873185343</v>
      </c>
      <c r="AD234" s="4">
        <f t="shared" si="157"/>
        <v>0.36979727595523937</v>
      </c>
      <c r="AE234" s="4">
        <f t="shared" si="157"/>
        <v>0.28393948637231203</v>
      </c>
      <c r="AF234" s="4">
        <f t="shared" si="157"/>
        <v>0.21097259161117732</v>
      </c>
      <c r="AG234" s="4">
        <f t="shared" si="157"/>
        <v>0.15253917653798199</v>
      </c>
      <c r="AH234" s="4">
        <f t="shared" si="157"/>
        <v>0.10795188737709993</v>
      </c>
      <c r="AI234" s="4">
        <f t="shared" si="157"/>
        <v>7.5176653938091809E-2</v>
      </c>
      <c r="AJ234" s="4">
        <f t="shared" ref="AJ234:AR241" si="158">$N234+($M234-$N234)*((1/(1+EXP(-$P234*(AJ$9-$L234)))^$O234))</f>
        <v>5.1742836177502194E-2</v>
      </c>
      <c r="AK234" s="4">
        <f t="shared" si="158"/>
        <v>3.5319190625345942E-2</v>
      </c>
      <c r="AL234" s="4">
        <f t="shared" si="158"/>
        <v>2.3969442072658165E-2</v>
      </c>
      <c r="AM234" s="4">
        <f t="shared" si="158"/>
        <v>1.6202243558389728E-2</v>
      </c>
      <c r="AN234" s="4">
        <f t="shared" si="158"/>
        <v>1.0922240564108399E-2</v>
      </c>
      <c r="AO234" s="4">
        <f t="shared" si="158"/>
        <v>7.3493212906090566E-3</v>
      </c>
      <c r="AP234" s="4">
        <f t="shared" si="158"/>
        <v>4.9390262185057265E-3</v>
      </c>
      <c r="AQ234" s="4">
        <f t="shared" si="158"/>
        <v>3.3164275492956197E-3</v>
      </c>
      <c r="AR234" s="4">
        <f t="shared" si="158"/>
        <v>2.2256362146679809E-3</v>
      </c>
    </row>
    <row r="235" spans="1:44" x14ac:dyDescent="0.3">
      <c r="A235" s="24" t="s">
        <v>206</v>
      </c>
      <c r="B235" s="115">
        <f>'Parameter Input'!$L$40</f>
        <v>9.1245901639344252E-3</v>
      </c>
      <c r="C235" s="116">
        <f>'Parameter Input'!$M$40</f>
        <v>0</v>
      </c>
      <c r="D235" s="1" t="s">
        <v>76</v>
      </c>
      <c r="L235" s="54">
        <f>'Parameter Input'!$O$40</f>
        <v>17</v>
      </c>
      <c r="M235" s="37">
        <v>0</v>
      </c>
      <c r="N235" s="37">
        <v>1</v>
      </c>
      <c r="O235" s="37">
        <f>'Parameter Input'!$P$40</f>
        <v>0.9</v>
      </c>
      <c r="P235" s="55">
        <f>'Parameter Input'!$Q$40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3">
      <c r="A236" s="24" t="s">
        <v>41</v>
      </c>
      <c r="B236" s="43">
        <f>'Parameter Input'!$L$34</f>
        <v>8</v>
      </c>
      <c r="C236" s="44">
        <f>'Parameter Input'!$M$34</f>
        <v>8</v>
      </c>
      <c r="D236" s="1" t="s">
        <v>42</v>
      </c>
      <c r="L236" s="54">
        <f>'Parameter Input'!$O$34</f>
        <v>9</v>
      </c>
      <c r="M236" s="37">
        <v>0</v>
      </c>
      <c r="N236" s="37">
        <v>1</v>
      </c>
      <c r="O236" s="37">
        <f>'Parameter Input'!$P$34</f>
        <v>0.9</v>
      </c>
      <c r="P236" s="55">
        <f>'Parameter Input'!$Q$34</f>
        <v>0.4</v>
      </c>
      <c r="Q236" s="4">
        <f t="shared" ref="Q236:AF241" si="160">$N236+($M236-$N236)*((1/(1+EXP(-$P236*(Q$9-$L236)))^$O236))</f>
        <v>0.96177484161592774</v>
      </c>
      <c r="R236" s="4">
        <f t="shared" si="160"/>
        <v>0.94584787155511363</v>
      </c>
      <c r="S236" s="4">
        <f t="shared" si="160"/>
        <v>0.92370360150141495</v>
      </c>
      <c r="T236" s="4">
        <f t="shared" si="160"/>
        <v>0.89334463567658451</v>
      </c>
      <c r="U236" s="4">
        <f t="shared" si="160"/>
        <v>0.85254543874327005</v>
      </c>
      <c r="V236" s="4">
        <f t="shared" si="160"/>
        <v>0.79921300652623883</v>
      </c>
      <c r="W236" s="4">
        <f t="shared" si="160"/>
        <v>0.73204982249993378</v>
      </c>
      <c r="X236" s="4">
        <f t="shared" si="160"/>
        <v>0.65145592958786691</v>
      </c>
      <c r="Y236" s="4">
        <f t="shared" si="160"/>
        <v>0.56032247880849573</v>
      </c>
      <c r="Z236" s="4">
        <f t="shared" si="160"/>
        <v>0.46411326873185343</v>
      </c>
      <c r="AA236" s="4">
        <f t="shared" si="160"/>
        <v>0.36979727595523937</v>
      </c>
      <c r="AB236" s="4">
        <f t="shared" si="160"/>
        <v>0.28393948637231203</v>
      </c>
      <c r="AC236" s="4">
        <f t="shared" si="160"/>
        <v>0.21097259161117732</v>
      </c>
      <c r="AD236" s="4">
        <f t="shared" si="160"/>
        <v>0.15253917653798199</v>
      </c>
      <c r="AE236" s="4">
        <f t="shared" si="160"/>
        <v>0.10795188737709993</v>
      </c>
      <c r="AF236" s="4">
        <f t="shared" si="160"/>
        <v>7.5176653938091809E-2</v>
      </c>
      <c r="AG236" s="4">
        <f t="shared" si="157"/>
        <v>5.1742836177502194E-2</v>
      </c>
      <c r="AH236" s="4">
        <f t="shared" si="157"/>
        <v>3.5319190625345942E-2</v>
      </c>
      <c r="AI236" s="4">
        <f t="shared" si="157"/>
        <v>2.3969442072658165E-2</v>
      </c>
      <c r="AJ236" s="4">
        <f t="shared" si="158"/>
        <v>1.6202243558389728E-2</v>
      </c>
      <c r="AK236" s="4">
        <f t="shared" si="158"/>
        <v>1.0922240564108399E-2</v>
      </c>
      <c r="AL236" s="4">
        <f t="shared" si="158"/>
        <v>7.3493212906090566E-3</v>
      </c>
      <c r="AM236" s="4">
        <f t="shared" si="158"/>
        <v>4.9390262185057265E-3</v>
      </c>
      <c r="AN236" s="4">
        <f t="shared" si="158"/>
        <v>3.3164275492956197E-3</v>
      </c>
      <c r="AO236" s="4">
        <f t="shared" si="158"/>
        <v>2.2256362146679809E-3</v>
      </c>
      <c r="AP236" s="4">
        <f t="shared" si="158"/>
        <v>1.4930448704811861E-3</v>
      </c>
      <c r="AQ236" s="4">
        <f t="shared" si="158"/>
        <v>1.0013381504474506E-3</v>
      </c>
      <c r="AR236" s="4">
        <f t="shared" si="158"/>
        <v>6.7145100246257527E-4</v>
      </c>
    </row>
    <row r="237" spans="1:44" x14ac:dyDescent="0.3">
      <c r="A237" s="24" t="s">
        <v>70</v>
      </c>
      <c r="B237" s="60">
        <f>'Parameter Input'!B39</f>
        <v>10</v>
      </c>
      <c r="C237" s="61">
        <f>'Parameter Input'!C39</f>
        <v>10</v>
      </c>
      <c r="D237" s="1" t="s">
        <v>42</v>
      </c>
      <c r="L237" s="54">
        <f>'Parameter Input'!E39</f>
        <v>12</v>
      </c>
      <c r="M237" s="37">
        <v>0</v>
      </c>
      <c r="N237" s="37">
        <v>1</v>
      </c>
      <c r="O237" s="37">
        <f>'Parameter Input'!F39</f>
        <v>0.9</v>
      </c>
      <c r="P237" s="55">
        <f>'Parameter Input'!G39</f>
        <v>0.4</v>
      </c>
      <c r="Q237" s="4">
        <f t="shared" si="160"/>
        <v>0.9867978615748374</v>
      </c>
      <c r="R237" s="4">
        <f t="shared" si="160"/>
        <v>0.98114509762858249</v>
      </c>
      <c r="S237" s="4">
        <f t="shared" si="160"/>
        <v>0.97311898315872036</v>
      </c>
      <c r="T237" s="4">
        <f t="shared" si="160"/>
        <v>0.96177484161592774</v>
      </c>
      <c r="U237" s="4">
        <f t="shared" si="160"/>
        <v>0.94584787155511363</v>
      </c>
      <c r="V237" s="4">
        <f t="shared" si="160"/>
        <v>0.92370360150141495</v>
      </c>
      <c r="W237" s="4">
        <f t="shared" si="160"/>
        <v>0.89334463567658451</v>
      </c>
      <c r="X237" s="4">
        <f t="shared" si="160"/>
        <v>0.85254543874327005</v>
      </c>
      <c r="Y237" s="4">
        <f t="shared" si="160"/>
        <v>0.79921300652623883</v>
      </c>
      <c r="Z237" s="4">
        <f t="shared" si="160"/>
        <v>0.73204982249993378</v>
      </c>
      <c r="AA237" s="4">
        <f t="shared" si="160"/>
        <v>0.65145592958786691</v>
      </c>
      <c r="AB237" s="4">
        <f t="shared" si="160"/>
        <v>0.56032247880849573</v>
      </c>
      <c r="AC237" s="4">
        <f t="shared" si="160"/>
        <v>0.46411326873185343</v>
      </c>
      <c r="AD237" s="4">
        <f t="shared" si="160"/>
        <v>0.36979727595523937</v>
      </c>
      <c r="AE237" s="4">
        <f t="shared" si="160"/>
        <v>0.28393948637231203</v>
      </c>
      <c r="AF237" s="4">
        <f t="shared" si="160"/>
        <v>0.21097259161117732</v>
      </c>
      <c r="AG237" s="4">
        <f t="shared" si="157"/>
        <v>0.15253917653798199</v>
      </c>
      <c r="AH237" s="4">
        <f t="shared" si="157"/>
        <v>0.10795188737709993</v>
      </c>
      <c r="AI237" s="4">
        <f t="shared" si="157"/>
        <v>7.5176653938091809E-2</v>
      </c>
      <c r="AJ237" s="4">
        <f t="shared" si="158"/>
        <v>5.1742836177502194E-2</v>
      </c>
      <c r="AK237" s="4">
        <f t="shared" si="158"/>
        <v>3.5319190625345942E-2</v>
      </c>
      <c r="AL237" s="4">
        <f t="shared" si="158"/>
        <v>2.3969442072658165E-2</v>
      </c>
      <c r="AM237" s="4">
        <f t="shared" si="158"/>
        <v>1.6202243558389728E-2</v>
      </c>
      <c r="AN237" s="4">
        <f t="shared" si="158"/>
        <v>1.0922240564108399E-2</v>
      </c>
      <c r="AO237" s="4">
        <f t="shared" si="158"/>
        <v>7.3493212906090566E-3</v>
      </c>
      <c r="AP237" s="4">
        <f t="shared" si="158"/>
        <v>4.9390262185057265E-3</v>
      </c>
      <c r="AQ237" s="4">
        <f t="shared" si="158"/>
        <v>3.3164275492956197E-3</v>
      </c>
      <c r="AR237" s="4">
        <f t="shared" si="158"/>
        <v>2.2256362146679809E-3</v>
      </c>
    </row>
    <row r="238" spans="1:44" x14ac:dyDescent="0.3">
      <c r="A238" s="24" t="s">
        <v>207</v>
      </c>
      <c r="B238" s="43">
        <f>'Parameter Input'!B36</f>
        <v>25</v>
      </c>
      <c r="C238" s="44">
        <f>'Parameter Input'!C36</f>
        <v>25</v>
      </c>
      <c r="D238" s="1" t="s">
        <v>49</v>
      </c>
      <c r="L238" s="54">
        <f>'Parameter Input'!E36</f>
        <v>12</v>
      </c>
      <c r="M238" s="37">
        <v>0</v>
      </c>
      <c r="N238" s="37">
        <v>1</v>
      </c>
      <c r="O238" s="37">
        <f>'Parameter Input'!F36</f>
        <v>0.9</v>
      </c>
      <c r="P238" s="55">
        <f>'Parameter Input'!G36</f>
        <v>0.4</v>
      </c>
      <c r="Q238" s="4">
        <f t="shared" si="160"/>
        <v>0.9867978615748374</v>
      </c>
      <c r="R238" s="4">
        <f t="shared" si="160"/>
        <v>0.98114509762858249</v>
      </c>
      <c r="S238" s="4">
        <f t="shared" si="160"/>
        <v>0.97311898315872036</v>
      </c>
      <c r="T238" s="4">
        <f t="shared" si="160"/>
        <v>0.96177484161592774</v>
      </c>
      <c r="U238" s="4">
        <f t="shared" si="160"/>
        <v>0.94584787155511363</v>
      </c>
      <c r="V238" s="4">
        <f t="shared" si="160"/>
        <v>0.92370360150141495</v>
      </c>
      <c r="W238" s="4">
        <f t="shared" si="160"/>
        <v>0.89334463567658451</v>
      </c>
      <c r="X238" s="4">
        <f t="shared" si="160"/>
        <v>0.85254543874327005</v>
      </c>
      <c r="Y238" s="4">
        <f t="shared" si="160"/>
        <v>0.79921300652623883</v>
      </c>
      <c r="Z238" s="4">
        <f t="shared" si="160"/>
        <v>0.73204982249993378</v>
      </c>
      <c r="AA238" s="4">
        <f t="shared" si="160"/>
        <v>0.65145592958786691</v>
      </c>
      <c r="AB238" s="4">
        <f t="shared" si="160"/>
        <v>0.56032247880849573</v>
      </c>
      <c r="AC238" s="4">
        <f t="shared" si="160"/>
        <v>0.46411326873185343</v>
      </c>
      <c r="AD238" s="4">
        <f t="shared" si="160"/>
        <v>0.36979727595523937</v>
      </c>
      <c r="AE238" s="4">
        <f t="shared" si="160"/>
        <v>0.28393948637231203</v>
      </c>
      <c r="AF238" s="4">
        <f t="shared" si="160"/>
        <v>0.21097259161117732</v>
      </c>
      <c r="AG238" s="4">
        <f t="shared" si="157"/>
        <v>0.15253917653798199</v>
      </c>
      <c r="AH238" s="4">
        <f t="shared" si="157"/>
        <v>0.10795188737709993</v>
      </c>
      <c r="AI238" s="4">
        <f t="shared" si="157"/>
        <v>7.5176653938091809E-2</v>
      </c>
      <c r="AJ238" s="4">
        <f t="shared" si="158"/>
        <v>5.1742836177502194E-2</v>
      </c>
      <c r="AK238" s="4">
        <f t="shared" si="158"/>
        <v>3.5319190625345942E-2</v>
      </c>
      <c r="AL238" s="4">
        <f t="shared" si="158"/>
        <v>2.3969442072658165E-2</v>
      </c>
      <c r="AM238" s="4">
        <f t="shared" si="158"/>
        <v>1.6202243558389728E-2</v>
      </c>
      <c r="AN238" s="4">
        <f t="shared" si="158"/>
        <v>1.0922240564108399E-2</v>
      </c>
      <c r="AO238" s="4">
        <f t="shared" si="158"/>
        <v>7.3493212906090566E-3</v>
      </c>
      <c r="AP238" s="4">
        <f t="shared" si="158"/>
        <v>4.9390262185057265E-3</v>
      </c>
      <c r="AQ238" s="4">
        <f t="shared" si="158"/>
        <v>3.3164275492956197E-3</v>
      </c>
      <c r="AR238" s="4">
        <f t="shared" si="158"/>
        <v>2.2256362146679809E-3</v>
      </c>
    </row>
    <row r="239" spans="1:44" x14ac:dyDescent="0.3">
      <c r="A239" s="24" t="s">
        <v>56</v>
      </c>
      <c r="B239" s="45">
        <f>'Parameter Input'!B37</f>
        <v>0.46</v>
      </c>
      <c r="C239" s="46">
        <f>'Parameter Input'!C37</f>
        <v>0.46</v>
      </c>
      <c r="D239" s="1" t="s">
        <v>57</v>
      </c>
      <c r="L239" s="54">
        <f>'Parameter Input'!E37</f>
        <v>12</v>
      </c>
      <c r="M239" s="37">
        <v>0</v>
      </c>
      <c r="N239" s="37">
        <v>1</v>
      </c>
      <c r="O239" s="37">
        <f>'Parameter Input'!F37</f>
        <v>0.9</v>
      </c>
      <c r="P239" s="55">
        <f>'Parameter Input'!G37</f>
        <v>0.4</v>
      </c>
      <c r="Q239" s="4">
        <f t="shared" si="160"/>
        <v>0.9867978615748374</v>
      </c>
      <c r="R239" s="4">
        <f t="shared" si="160"/>
        <v>0.98114509762858249</v>
      </c>
      <c r="S239" s="4">
        <f t="shared" si="160"/>
        <v>0.97311898315872036</v>
      </c>
      <c r="T239" s="4">
        <f t="shared" si="160"/>
        <v>0.96177484161592774</v>
      </c>
      <c r="U239" s="4">
        <f t="shared" si="160"/>
        <v>0.94584787155511363</v>
      </c>
      <c r="V239" s="4">
        <f t="shared" si="160"/>
        <v>0.92370360150141495</v>
      </c>
      <c r="W239" s="4">
        <f t="shared" si="160"/>
        <v>0.89334463567658451</v>
      </c>
      <c r="X239" s="4">
        <f t="shared" si="160"/>
        <v>0.85254543874327005</v>
      </c>
      <c r="Y239" s="4">
        <f t="shared" si="160"/>
        <v>0.79921300652623883</v>
      </c>
      <c r="Z239" s="4">
        <f t="shared" si="160"/>
        <v>0.73204982249993378</v>
      </c>
      <c r="AA239" s="4">
        <f t="shared" si="160"/>
        <v>0.65145592958786691</v>
      </c>
      <c r="AB239" s="4">
        <f t="shared" si="160"/>
        <v>0.56032247880849573</v>
      </c>
      <c r="AC239" s="4">
        <f t="shared" si="160"/>
        <v>0.46411326873185343</v>
      </c>
      <c r="AD239" s="4">
        <f t="shared" si="160"/>
        <v>0.36979727595523937</v>
      </c>
      <c r="AE239" s="4">
        <f t="shared" si="160"/>
        <v>0.28393948637231203</v>
      </c>
      <c r="AF239" s="4">
        <f t="shared" si="160"/>
        <v>0.21097259161117732</v>
      </c>
      <c r="AG239" s="4">
        <f t="shared" si="157"/>
        <v>0.15253917653798199</v>
      </c>
      <c r="AH239" s="4">
        <f t="shared" si="157"/>
        <v>0.10795188737709993</v>
      </c>
      <c r="AI239" s="4">
        <f t="shared" si="157"/>
        <v>7.5176653938091809E-2</v>
      </c>
      <c r="AJ239" s="4">
        <f t="shared" si="158"/>
        <v>5.1742836177502194E-2</v>
      </c>
      <c r="AK239" s="4">
        <f t="shared" si="158"/>
        <v>3.5319190625345942E-2</v>
      </c>
      <c r="AL239" s="4">
        <f t="shared" si="158"/>
        <v>2.3969442072658165E-2</v>
      </c>
      <c r="AM239" s="4">
        <f t="shared" si="158"/>
        <v>1.6202243558389728E-2</v>
      </c>
      <c r="AN239" s="4">
        <f t="shared" si="158"/>
        <v>1.0922240564108399E-2</v>
      </c>
      <c r="AO239" s="4">
        <f t="shared" si="158"/>
        <v>7.3493212906090566E-3</v>
      </c>
      <c r="AP239" s="4">
        <f t="shared" si="158"/>
        <v>4.9390262185057265E-3</v>
      </c>
      <c r="AQ239" s="4">
        <f t="shared" si="158"/>
        <v>3.3164275492956197E-3</v>
      </c>
      <c r="AR239" s="4">
        <f t="shared" si="158"/>
        <v>2.2256362146679809E-3</v>
      </c>
    </row>
    <row r="240" spans="1:44" x14ac:dyDescent="0.3">
      <c r="A240" s="24" t="s">
        <v>73</v>
      </c>
      <c r="B240" s="72">
        <f>'Parameter Input'!$L$38</f>
        <v>0.05</v>
      </c>
      <c r="C240" s="73">
        <f>'Parameter Input'!$M$38</f>
        <v>0.02</v>
      </c>
      <c r="D240" s="1" t="s">
        <v>57</v>
      </c>
      <c r="L240" s="54">
        <f>'Parameter Input'!$O$38</f>
        <v>12</v>
      </c>
      <c r="M240" s="37">
        <v>0</v>
      </c>
      <c r="N240" s="37">
        <v>1</v>
      </c>
      <c r="O240" s="37">
        <f>'Parameter Input'!$P$38</f>
        <v>0.9</v>
      </c>
      <c r="P240" s="55">
        <f>'Parameter Input'!$Q$38</f>
        <v>0.4</v>
      </c>
      <c r="Q240" s="4">
        <f t="shared" si="160"/>
        <v>0.9867978615748374</v>
      </c>
      <c r="R240" s="4">
        <f t="shared" si="160"/>
        <v>0.98114509762858249</v>
      </c>
      <c r="S240" s="4">
        <f t="shared" si="160"/>
        <v>0.97311898315872036</v>
      </c>
      <c r="T240" s="4">
        <f t="shared" si="160"/>
        <v>0.96177484161592774</v>
      </c>
      <c r="U240" s="4">
        <f t="shared" si="160"/>
        <v>0.94584787155511363</v>
      </c>
      <c r="V240" s="4">
        <f t="shared" si="160"/>
        <v>0.92370360150141495</v>
      </c>
      <c r="W240" s="4">
        <f t="shared" si="160"/>
        <v>0.89334463567658451</v>
      </c>
      <c r="X240" s="4">
        <f t="shared" si="160"/>
        <v>0.85254543874327005</v>
      </c>
      <c r="Y240" s="4">
        <f t="shared" si="160"/>
        <v>0.79921300652623883</v>
      </c>
      <c r="Z240" s="4">
        <f t="shared" si="160"/>
        <v>0.73204982249993378</v>
      </c>
      <c r="AA240" s="4">
        <f t="shared" si="160"/>
        <v>0.65145592958786691</v>
      </c>
      <c r="AB240" s="4">
        <f t="shared" si="160"/>
        <v>0.56032247880849573</v>
      </c>
      <c r="AC240" s="4">
        <f t="shared" si="160"/>
        <v>0.46411326873185343</v>
      </c>
      <c r="AD240" s="4">
        <f t="shared" si="160"/>
        <v>0.36979727595523937</v>
      </c>
      <c r="AE240" s="4">
        <f t="shared" si="160"/>
        <v>0.28393948637231203</v>
      </c>
      <c r="AF240" s="4">
        <f t="shared" si="160"/>
        <v>0.21097259161117732</v>
      </c>
      <c r="AG240" s="4">
        <f t="shared" si="157"/>
        <v>0.15253917653798199</v>
      </c>
      <c r="AH240" s="4">
        <f t="shared" si="157"/>
        <v>0.10795188737709993</v>
      </c>
      <c r="AI240" s="4">
        <f t="shared" si="157"/>
        <v>7.5176653938091809E-2</v>
      </c>
      <c r="AJ240" s="4">
        <f t="shared" si="158"/>
        <v>5.1742836177502194E-2</v>
      </c>
      <c r="AK240" s="4">
        <f t="shared" si="158"/>
        <v>3.5319190625345942E-2</v>
      </c>
      <c r="AL240" s="4">
        <f t="shared" si="158"/>
        <v>2.3969442072658165E-2</v>
      </c>
      <c r="AM240" s="4">
        <f t="shared" si="158"/>
        <v>1.6202243558389728E-2</v>
      </c>
      <c r="AN240" s="4">
        <f t="shared" si="158"/>
        <v>1.0922240564108399E-2</v>
      </c>
      <c r="AO240" s="4">
        <f t="shared" si="158"/>
        <v>7.3493212906090566E-3</v>
      </c>
      <c r="AP240" s="4">
        <f t="shared" si="158"/>
        <v>4.9390262185057265E-3</v>
      </c>
      <c r="AQ240" s="4">
        <f t="shared" si="158"/>
        <v>3.3164275492956197E-3</v>
      </c>
      <c r="AR240" s="4">
        <f t="shared" si="158"/>
        <v>2.2256362146679809E-3</v>
      </c>
    </row>
    <row r="241" spans="1:44" ht="15" thickBot="1" x14ac:dyDescent="0.35">
      <c r="A241" s="24" t="s">
        <v>64</v>
      </c>
      <c r="B241" s="49">
        <f>'Parameter Input'!B38</f>
        <v>105000</v>
      </c>
      <c r="C241" s="50">
        <f>'Parameter Input'!C38</f>
        <v>105000</v>
      </c>
      <c r="D241" s="1" t="s">
        <v>65</v>
      </c>
      <c r="L241" s="56">
        <f>'Parameter Input'!E38</f>
        <v>12</v>
      </c>
      <c r="M241" s="57">
        <v>0</v>
      </c>
      <c r="N241" s="57">
        <v>1</v>
      </c>
      <c r="O241" s="57">
        <f>'Parameter Input'!F38</f>
        <v>0.9</v>
      </c>
      <c r="P241" s="58">
        <f>'Parameter Input'!G38</f>
        <v>0.4</v>
      </c>
      <c r="Q241" s="4">
        <f t="shared" si="160"/>
        <v>0.9867978615748374</v>
      </c>
      <c r="R241" s="4">
        <f t="shared" si="160"/>
        <v>0.98114509762858249</v>
      </c>
      <c r="S241" s="4">
        <f t="shared" si="160"/>
        <v>0.97311898315872036</v>
      </c>
      <c r="T241" s="4">
        <f t="shared" si="160"/>
        <v>0.96177484161592774</v>
      </c>
      <c r="U241" s="4">
        <f t="shared" si="160"/>
        <v>0.94584787155511363</v>
      </c>
      <c r="V241" s="4">
        <f t="shared" si="160"/>
        <v>0.92370360150141495</v>
      </c>
      <c r="W241" s="4">
        <f t="shared" si="160"/>
        <v>0.89334463567658451</v>
      </c>
      <c r="X241" s="4">
        <f t="shared" si="160"/>
        <v>0.85254543874327005</v>
      </c>
      <c r="Y241" s="4">
        <f t="shared" si="160"/>
        <v>0.79921300652623883</v>
      </c>
      <c r="Z241" s="4">
        <f t="shared" si="160"/>
        <v>0.73204982249993378</v>
      </c>
      <c r="AA241" s="4">
        <f t="shared" si="160"/>
        <v>0.65145592958786691</v>
      </c>
      <c r="AB241" s="4">
        <f t="shared" si="160"/>
        <v>0.56032247880849573</v>
      </c>
      <c r="AC241" s="4">
        <f t="shared" si="160"/>
        <v>0.46411326873185343</v>
      </c>
      <c r="AD241" s="4">
        <f t="shared" si="160"/>
        <v>0.36979727595523937</v>
      </c>
      <c r="AE241" s="4">
        <f t="shared" si="160"/>
        <v>0.28393948637231203</v>
      </c>
      <c r="AF241" s="4">
        <f t="shared" si="160"/>
        <v>0.21097259161117732</v>
      </c>
      <c r="AG241" s="4">
        <f t="shared" si="157"/>
        <v>0.15253917653798199</v>
      </c>
      <c r="AH241" s="4">
        <f t="shared" si="157"/>
        <v>0.10795188737709993</v>
      </c>
      <c r="AI241" s="4">
        <f t="shared" si="157"/>
        <v>7.5176653938091809E-2</v>
      </c>
      <c r="AJ241" s="4">
        <f t="shared" si="158"/>
        <v>5.1742836177502194E-2</v>
      </c>
      <c r="AK241" s="4">
        <f t="shared" si="158"/>
        <v>3.5319190625345942E-2</v>
      </c>
      <c r="AL241" s="4">
        <f t="shared" si="158"/>
        <v>2.3969442072658165E-2</v>
      </c>
      <c r="AM241" s="4">
        <f t="shared" si="158"/>
        <v>1.6202243558389728E-2</v>
      </c>
      <c r="AN241" s="4">
        <f t="shared" si="158"/>
        <v>1.0922240564108399E-2</v>
      </c>
      <c r="AO241" s="4">
        <f t="shared" si="158"/>
        <v>7.3493212906090566E-3</v>
      </c>
      <c r="AP241" s="4">
        <f t="shared" si="158"/>
        <v>4.9390262185057265E-3</v>
      </c>
      <c r="AQ241" s="4">
        <f t="shared" si="158"/>
        <v>3.3164275492956197E-3</v>
      </c>
      <c r="AR241" s="4">
        <f t="shared" si="158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61">A225</f>
        <v>Capex vehicle</v>
      </c>
      <c r="B245" s="62">
        <f t="shared" ref="B245:B254" si="162">$B225+($C225-$B225)*(1-Q225)</f>
        <v>381017.08777974301</v>
      </c>
      <c r="C245" s="62">
        <f t="shared" ref="C245:C254" si="163">$B225+($C225-$B225)*(1-R225)</f>
        <v>377274.24981545168</v>
      </c>
      <c r="D245" s="62">
        <f t="shared" ref="D245:D254" si="164">$B225+($C225-$B225)*(1-S225)</f>
        <v>372070.34635283251</v>
      </c>
      <c r="E245" s="62">
        <f t="shared" ref="E245:E254" si="165">$B225+($C225-$B225)*(1-T225)</f>
        <v>364935.98938399734</v>
      </c>
      <c r="F245" s="62">
        <f t="shared" ref="F245:F254" si="166">$B225+($C225-$B225)*(1-U225)</f>
        <v>355348.17810466845</v>
      </c>
      <c r="G245" s="62">
        <f t="shared" ref="G245:G254" si="167">$B225+($C225-$B225)*(1-V225)</f>
        <v>342815.05653366609</v>
      </c>
      <c r="H245" s="62">
        <f t="shared" ref="H245:H254" si="168">$B225+($C225-$B225)*(1-W225)</f>
        <v>327031.70828748442</v>
      </c>
      <c r="I245" s="62">
        <f t="shared" ref="I245:I254" si="169">$B225+($C225-$B225)*(1-X225)</f>
        <v>308092.14345314872</v>
      </c>
      <c r="J245" s="62">
        <f t="shared" ref="J245:J254" si="170">$B225+($C225-$B225)*(1-Y225)</f>
        <v>286675.78251999652</v>
      </c>
      <c r="K245" s="62">
        <f t="shared" ref="K245:K254" si="171">$B225+($C225-$B225)*(1-Z225)</f>
        <v>264066.61815198557</v>
      </c>
      <c r="L245" s="62">
        <f t="shared" ref="L245:L254" si="172">$B225+($C225-$B225)*(1-AA225)</f>
        <v>241902.35984948126</v>
      </c>
      <c r="M245" s="62">
        <f t="shared" ref="M245:M254" si="173">$B225+($C225-$B225)*(1-AB225)</f>
        <v>221725.77929749334</v>
      </c>
      <c r="N245" s="62">
        <f t="shared" ref="N245:N254" si="174">$B225+($C225-$B225)*(1-AC225)</f>
        <v>204578.55902862668</v>
      </c>
      <c r="O245" s="62">
        <f t="shared" ref="O245:O254" si="175">$B225+($C225-$B225)*(1-AD225)</f>
        <v>190846.70648642577</v>
      </c>
      <c r="P245" s="62">
        <f t="shared" ref="P245:P254" si="176">$B225+($C225-$B225)*(1-AE225)</f>
        <v>180368.6935336185</v>
      </c>
      <c r="Q245" s="62">
        <f t="shared" ref="Q245:Q254" si="177">$B225+($C225-$B225)*(1-AF225)</f>
        <v>172666.51367545157</v>
      </c>
      <c r="R245" s="62">
        <f t="shared" ref="R245:R254" si="178">$B225+($C225-$B225)*(1-AG225)</f>
        <v>167159.56650171301</v>
      </c>
      <c r="S245" s="62">
        <f t="shared" ref="S245:S254" si="179">$B225+($C225-$B225)*(1-AH225)</f>
        <v>163300.00979695629</v>
      </c>
      <c r="T245" s="62">
        <f t="shared" ref="T245:T254" si="180">$B225+($C225-$B225)*(1-AI225)</f>
        <v>160632.81888707468</v>
      </c>
      <c r="U245" s="62">
        <f t="shared" ref="U245:U254" si="181">$B225+($C225-$B225)*(1-AJ225)</f>
        <v>158807.52723622159</v>
      </c>
      <c r="V245" s="62">
        <f t="shared" ref="V245:V254" si="182">$B225+($C225-$B225)*(1-AK225)</f>
        <v>157566.72653256549</v>
      </c>
      <c r="W245" s="62">
        <f t="shared" ref="W245:W254" si="183">$B225+($C225-$B225)*(1-AL225)</f>
        <v>156727.09050329312</v>
      </c>
      <c r="X245" s="62">
        <f t="shared" ref="X245:X254" si="184">$B225+($C225-$B225)*(1-AM225)</f>
        <v>156160.67116134884</v>
      </c>
      <c r="Y245" s="62">
        <f t="shared" ref="Y245:Y254" si="185">$B225+($C225-$B225)*(1-AN225)</f>
        <v>155779.36047408447</v>
      </c>
      <c r="Z245" s="62">
        <f t="shared" ref="Z245:Z254" si="186">$B225+($C225-$B225)*(1-AO225)</f>
        <v>155523.02451044696</v>
      </c>
      <c r="AA245" s="62">
        <f t="shared" ref="AA245:AA254" si="187">$B225+($C225-$B225)*(1-AP225)</f>
        <v>155350.86554456307</v>
      </c>
      <c r="AB245" s="62">
        <f t="shared" ref="AB245:AB254" si="188">$B225+($C225-$B225)*(1-AQ225)</f>
        <v>155235.31446535516</v>
      </c>
      <c r="AC245" s="62">
        <f t="shared" ref="AC245:AC254" si="189">$B225+($C225-$B225)*(1-AR225)</f>
        <v>155157.7909855787</v>
      </c>
    </row>
    <row r="246" spans="1:44" x14ac:dyDescent="0.3">
      <c r="A246" s="30" t="str">
        <f t="shared" si="161"/>
        <v>Residual value (vehicle)</v>
      </c>
      <c r="B246" s="62">
        <f t="shared" si="162"/>
        <v>-57745.053121914571</v>
      </c>
      <c r="C246" s="62">
        <f t="shared" si="163"/>
        <v>-57430.49546321349</v>
      </c>
      <c r="D246" s="62">
        <f t="shared" si="164"/>
        <v>-56993.146129652945</v>
      </c>
      <c r="E246" s="62">
        <f t="shared" si="165"/>
        <v>-56393.556554612544</v>
      </c>
      <c r="F246" s="62">
        <f t="shared" si="166"/>
        <v>-55587.772415179585</v>
      </c>
      <c r="G246" s="62">
        <f t="shared" si="167"/>
        <v>-54534.456878893216</v>
      </c>
      <c r="H246" s="62">
        <f t="shared" si="168"/>
        <v>-53207.983994373695</v>
      </c>
      <c r="I246" s="62">
        <f t="shared" si="169"/>
        <v>-51616.254609360374</v>
      </c>
      <c r="J246" s="62">
        <f t="shared" si="170"/>
        <v>-49816.368956467792</v>
      </c>
      <c r="K246" s="62">
        <f t="shared" si="171"/>
        <v>-47916.237057454106</v>
      </c>
      <c r="L246" s="62">
        <f t="shared" si="172"/>
        <v>-46053.49620011598</v>
      </c>
      <c r="M246" s="62">
        <f t="shared" si="173"/>
        <v>-44357.804855853159</v>
      </c>
      <c r="N246" s="62">
        <f t="shared" si="174"/>
        <v>-42916.708684320751</v>
      </c>
      <c r="O246" s="62">
        <f t="shared" si="175"/>
        <v>-41762.648736625146</v>
      </c>
      <c r="P246" s="62">
        <f t="shared" si="176"/>
        <v>-40882.049775697727</v>
      </c>
      <c r="Q246" s="62">
        <f t="shared" si="177"/>
        <v>-40234.73891527731</v>
      </c>
      <c r="R246" s="62">
        <f t="shared" si="178"/>
        <v>-39771.921014505671</v>
      </c>
      <c r="S246" s="62">
        <f t="shared" si="179"/>
        <v>-39447.554014850582</v>
      </c>
      <c r="T246" s="62">
        <f t="shared" si="180"/>
        <v>-39223.396480935</v>
      </c>
      <c r="U246" s="62">
        <f t="shared" si="181"/>
        <v>-39069.994310278198</v>
      </c>
      <c r="V246" s="62">
        <f t="shared" si="182"/>
        <v>-38965.714251141137</v>
      </c>
      <c r="W246" s="62">
        <f t="shared" si="183"/>
        <v>-38895.149095489527</v>
      </c>
      <c r="X246" s="62">
        <f t="shared" si="184"/>
        <v>-38847.545767815493</v>
      </c>
      <c r="Y246" s="62">
        <f t="shared" si="185"/>
        <v>-38815.49944409859</v>
      </c>
      <c r="Z246" s="62">
        <f t="shared" si="186"/>
        <v>-38793.956315239688</v>
      </c>
      <c r="AA246" s="62">
        <f t="shared" si="187"/>
        <v>-38779.487636192003</v>
      </c>
      <c r="AB246" s="62">
        <f t="shared" si="188"/>
        <v>-38769.776428471334</v>
      </c>
      <c r="AC246" s="62">
        <f t="shared" si="189"/>
        <v>-38763.261157298635</v>
      </c>
    </row>
    <row r="247" spans="1:44" x14ac:dyDescent="0.3">
      <c r="A247" s="30" t="str">
        <f t="shared" si="161"/>
        <v>Capex costumization</v>
      </c>
      <c r="B247" s="62">
        <f t="shared" si="162"/>
        <v>30000</v>
      </c>
      <c r="C247" s="62">
        <f t="shared" si="163"/>
        <v>30000</v>
      </c>
      <c r="D247" s="62">
        <f t="shared" si="164"/>
        <v>30000</v>
      </c>
      <c r="E247" s="62">
        <f t="shared" si="165"/>
        <v>30000</v>
      </c>
      <c r="F247" s="62">
        <f t="shared" si="166"/>
        <v>30000</v>
      </c>
      <c r="G247" s="62">
        <f t="shared" si="167"/>
        <v>30000</v>
      </c>
      <c r="H247" s="62">
        <f t="shared" si="168"/>
        <v>30000</v>
      </c>
      <c r="I247" s="62">
        <f t="shared" si="169"/>
        <v>30000</v>
      </c>
      <c r="J247" s="62">
        <f t="shared" si="170"/>
        <v>30000</v>
      </c>
      <c r="K247" s="62">
        <f t="shared" si="171"/>
        <v>30000</v>
      </c>
      <c r="L247" s="62">
        <f t="shared" si="172"/>
        <v>30000</v>
      </c>
      <c r="M247" s="62">
        <f t="shared" si="173"/>
        <v>30000</v>
      </c>
      <c r="N247" s="62">
        <f t="shared" si="174"/>
        <v>30000</v>
      </c>
      <c r="O247" s="62">
        <f t="shared" si="175"/>
        <v>30000</v>
      </c>
      <c r="P247" s="62">
        <f t="shared" si="176"/>
        <v>30000</v>
      </c>
      <c r="Q247" s="62">
        <f t="shared" si="177"/>
        <v>30000</v>
      </c>
      <c r="R247" s="62">
        <f t="shared" si="178"/>
        <v>30000</v>
      </c>
      <c r="S247" s="62">
        <f t="shared" si="179"/>
        <v>30000</v>
      </c>
      <c r="T247" s="62">
        <f t="shared" si="180"/>
        <v>30000</v>
      </c>
      <c r="U247" s="62">
        <f t="shared" si="181"/>
        <v>30000</v>
      </c>
      <c r="V247" s="62">
        <f t="shared" si="182"/>
        <v>30000</v>
      </c>
      <c r="W247" s="62">
        <f t="shared" si="183"/>
        <v>30000</v>
      </c>
      <c r="X247" s="62">
        <f t="shared" si="184"/>
        <v>30000</v>
      </c>
      <c r="Y247" s="62">
        <f t="shared" si="185"/>
        <v>30000</v>
      </c>
      <c r="Z247" s="62">
        <f t="shared" si="186"/>
        <v>30000</v>
      </c>
      <c r="AA247" s="62">
        <f t="shared" si="187"/>
        <v>30000</v>
      </c>
      <c r="AB247" s="62">
        <f t="shared" si="188"/>
        <v>30000</v>
      </c>
      <c r="AC247" s="62">
        <f t="shared" si="189"/>
        <v>30000</v>
      </c>
    </row>
    <row r="248" spans="1:44" x14ac:dyDescent="0.3">
      <c r="A248" s="30" t="str">
        <f t="shared" si="161"/>
        <v>Residual value (costumization)</v>
      </c>
      <c r="B248" s="62">
        <f t="shared" si="162"/>
        <v>-7500</v>
      </c>
      <c r="C248" s="62">
        <f t="shared" si="163"/>
        <v>-7500</v>
      </c>
      <c r="D248" s="62">
        <f t="shared" si="164"/>
        <v>-7500</v>
      </c>
      <c r="E248" s="62">
        <f t="shared" si="165"/>
        <v>-7500</v>
      </c>
      <c r="F248" s="62">
        <f t="shared" si="166"/>
        <v>-7500</v>
      </c>
      <c r="G248" s="62">
        <f t="shared" si="167"/>
        <v>-7500</v>
      </c>
      <c r="H248" s="62">
        <f t="shared" si="168"/>
        <v>-7500</v>
      </c>
      <c r="I248" s="62">
        <f t="shared" si="169"/>
        <v>-7500</v>
      </c>
      <c r="J248" s="62">
        <f t="shared" si="170"/>
        <v>-7500</v>
      </c>
      <c r="K248" s="62">
        <f t="shared" si="171"/>
        <v>-7500</v>
      </c>
      <c r="L248" s="62">
        <f t="shared" si="172"/>
        <v>-7500</v>
      </c>
      <c r="M248" s="62">
        <f t="shared" si="173"/>
        <v>-7500</v>
      </c>
      <c r="N248" s="62">
        <f t="shared" si="174"/>
        <v>-7500</v>
      </c>
      <c r="O248" s="62">
        <f t="shared" si="175"/>
        <v>-7500</v>
      </c>
      <c r="P248" s="62">
        <f t="shared" si="176"/>
        <v>-7500</v>
      </c>
      <c r="Q248" s="62">
        <f t="shared" si="177"/>
        <v>-7500</v>
      </c>
      <c r="R248" s="62">
        <f t="shared" si="178"/>
        <v>-7500</v>
      </c>
      <c r="S248" s="62">
        <f t="shared" si="179"/>
        <v>-7500</v>
      </c>
      <c r="T248" s="62">
        <f t="shared" si="180"/>
        <v>-7500</v>
      </c>
      <c r="U248" s="62">
        <f t="shared" si="181"/>
        <v>-7500</v>
      </c>
      <c r="V248" s="62">
        <f t="shared" si="182"/>
        <v>-7500</v>
      </c>
      <c r="W248" s="62">
        <f t="shared" si="183"/>
        <v>-7500</v>
      </c>
      <c r="X248" s="62">
        <f t="shared" si="184"/>
        <v>-7500</v>
      </c>
      <c r="Y248" s="62">
        <f t="shared" si="185"/>
        <v>-7500</v>
      </c>
      <c r="Z248" s="62">
        <f t="shared" si="186"/>
        <v>-7500</v>
      </c>
      <c r="AA248" s="62">
        <f t="shared" si="187"/>
        <v>-7500</v>
      </c>
      <c r="AB248" s="62">
        <f t="shared" si="188"/>
        <v>-7500</v>
      </c>
      <c r="AC248" s="62">
        <f t="shared" si="189"/>
        <v>-7500</v>
      </c>
    </row>
    <row r="249" spans="1:44" x14ac:dyDescent="0.3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3">
      <c r="A250" s="30" t="str">
        <f t="shared" si="161"/>
        <v>Opex fix (admin, crew, insurance)</v>
      </c>
      <c r="B250" s="62">
        <f t="shared" si="162"/>
        <v>70000</v>
      </c>
      <c r="C250" s="62">
        <f t="shared" si="163"/>
        <v>70000</v>
      </c>
      <c r="D250" s="62">
        <f t="shared" si="164"/>
        <v>70000</v>
      </c>
      <c r="E250" s="62">
        <f t="shared" si="165"/>
        <v>70000</v>
      </c>
      <c r="F250" s="62">
        <f t="shared" si="166"/>
        <v>70000</v>
      </c>
      <c r="G250" s="62">
        <f t="shared" si="167"/>
        <v>70000</v>
      </c>
      <c r="H250" s="62">
        <f t="shared" si="168"/>
        <v>70000</v>
      </c>
      <c r="I250" s="62">
        <f t="shared" si="169"/>
        <v>70000</v>
      </c>
      <c r="J250" s="62">
        <f t="shared" si="170"/>
        <v>70000</v>
      </c>
      <c r="K250" s="62">
        <f t="shared" si="171"/>
        <v>70000</v>
      </c>
      <c r="L250" s="62">
        <f t="shared" si="172"/>
        <v>70000</v>
      </c>
      <c r="M250" s="62">
        <f t="shared" si="173"/>
        <v>70000</v>
      </c>
      <c r="N250" s="62">
        <f t="shared" si="174"/>
        <v>70000</v>
      </c>
      <c r="O250" s="62">
        <f t="shared" si="175"/>
        <v>70000</v>
      </c>
      <c r="P250" s="62">
        <f t="shared" si="176"/>
        <v>70000</v>
      </c>
      <c r="Q250" s="62">
        <f t="shared" si="177"/>
        <v>70000</v>
      </c>
      <c r="R250" s="62">
        <f t="shared" si="178"/>
        <v>70000</v>
      </c>
      <c r="S250" s="62">
        <f t="shared" si="179"/>
        <v>70000</v>
      </c>
      <c r="T250" s="62">
        <f t="shared" si="180"/>
        <v>70000</v>
      </c>
      <c r="U250" s="62">
        <f t="shared" si="181"/>
        <v>70000</v>
      </c>
      <c r="V250" s="62">
        <f t="shared" si="182"/>
        <v>70000</v>
      </c>
      <c r="W250" s="62">
        <f t="shared" si="183"/>
        <v>70000</v>
      </c>
      <c r="X250" s="62">
        <f t="shared" si="184"/>
        <v>70000</v>
      </c>
      <c r="Y250" s="62">
        <f t="shared" si="185"/>
        <v>70000</v>
      </c>
      <c r="Z250" s="62">
        <f t="shared" si="186"/>
        <v>70000</v>
      </c>
      <c r="AA250" s="62">
        <f t="shared" si="187"/>
        <v>70000</v>
      </c>
      <c r="AB250" s="62">
        <f t="shared" si="188"/>
        <v>70000</v>
      </c>
      <c r="AC250" s="62">
        <f t="shared" si="189"/>
        <v>70000</v>
      </c>
    </row>
    <row r="251" spans="1:44" x14ac:dyDescent="0.3">
      <c r="A251" s="30" t="str">
        <f t="shared" si="161"/>
        <v>Opex maintenance &amp; repair</v>
      </c>
      <c r="B251" s="62">
        <f t="shared" si="162"/>
        <v>25694.198732927423</v>
      </c>
      <c r="C251" s="62">
        <f t="shared" si="163"/>
        <v>25566.782972440909</v>
      </c>
      <c r="D251" s="62">
        <f t="shared" si="164"/>
        <v>25389.62881201132</v>
      </c>
      <c r="E251" s="62">
        <f t="shared" si="165"/>
        <v>25146.757085412675</v>
      </c>
      <c r="F251" s="62">
        <f t="shared" si="166"/>
        <v>24820.363509946161</v>
      </c>
      <c r="G251" s="62">
        <f t="shared" si="167"/>
        <v>24393.704052209912</v>
      </c>
      <c r="H251" s="62">
        <f t="shared" si="168"/>
        <v>23856.39857999947</v>
      </c>
      <c r="I251" s="62">
        <f t="shared" si="169"/>
        <v>23211.647436702937</v>
      </c>
      <c r="J251" s="62">
        <f t="shared" si="170"/>
        <v>22482.579830467967</v>
      </c>
      <c r="K251" s="62">
        <f t="shared" si="171"/>
        <v>21712.906149854825</v>
      </c>
      <c r="L251" s="62">
        <f t="shared" si="172"/>
        <v>20958.378207641916</v>
      </c>
      <c r="M251" s="62">
        <f t="shared" si="173"/>
        <v>20271.515890978495</v>
      </c>
      <c r="N251" s="62">
        <f t="shared" si="174"/>
        <v>19687.78073288942</v>
      </c>
      <c r="O251" s="62">
        <f t="shared" si="175"/>
        <v>19220.313412303854</v>
      </c>
      <c r="P251" s="62">
        <f t="shared" si="176"/>
        <v>18863.615099016799</v>
      </c>
      <c r="Q251" s="62">
        <f t="shared" si="177"/>
        <v>18601.413231504735</v>
      </c>
      <c r="R251" s="62">
        <f t="shared" si="178"/>
        <v>18413.942689420019</v>
      </c>
      <c r="S251" s="62">
        <f t="shared" si="179"/>
        <v>18282.553525002768</v>
      </c>
      <c r="T251" s="62">
        <f t="shared" si="180"/>
        <v>18191.755536581266</v>
      </c>
      <c r="U251" s="62">
        <f t="shared" si="181"/>
        <v>18129.617948467116</v>
      </c>
      <c r="V251" s="62">
        <f t="shared" si="182"/>
        <v>18087.377924512868</v>
      </c>
      <c r="W251" s="62">
        <f t="shared" si="183"/>
        <v>18058.794570324873</v>
      </c>
      <c r="X251" s="62">
        <f t="shared" si="184"/>
        <v>18039.512209748045</v>
      </c>
      <c r="Y251" s="62">
        <f t="shared" si="185"/>
        <v>18026.531420394364</v>
      </c>
      <c r="Z251" s="62">
        <f t="shared" si="186"/>
        <v>18017.805089717345</v>
      </c>
      <c r="AA251" s="62">
        <f t="shared" si="187"/>
        <v>18011.94435896385</v>
      </c>
      <c r="AB251" s="62">
        <f t="shared" si="188"/>
        <v>18008.010705203578</v>
      </c>
      <c r="AC251" s="62">
        <f t="shared" si="189"/>
        <v>18005.371608019701</v>
      </c>
    </row>
    <row r="252" spans="1:44" x14ac:dyDescent="0.3">
      <c r="A252" s="30" t="str">
        <f t="shared" si="161"/>
        <v>Opex var (mode-fees)</v>
      </c>
      <c r="B252" s="62">
        <f t="shared" si="162"/>
        <v>0.11</v>
      </c>
      <c r="C252" s="62">
        <f t="shared" si="163"/>
        <v>0.11</v>
      </c>
      <c r="D252" s="62">
        <f t="shared" si="164"/>
        <v>0.11</v>
      </c>
      <c r="E252" s="62">
        <f t="shared" si="165"/>
        <v>0.11</v>
      </c>
      <c r="F252" s="62">
        <f t="shared" si="166"/>
        <v>0.11</v>
      </c>
      <c r="G252" s="62">
        <f t="shared" si="167"/>
        <v>0.11</v>
      </c>
      <c r="H252" s="62">
        <f t="shared" si="168"/>
        <v>0.11</v>
      </c>
      <c r="I252" s="62">
        <f t="shared" si="169"/>
        <v>0.11</v>
      </c>
      <c r="J252" s="62">
        <f t="shared" si="170"/>
        <v>0.11</v>
      </c>
      <c r="K252" s="62">
        <f t="shared" si="171"/>
        <v>0.11</v>
      </c>
      <c r="L252" s="62">
        <f t="shared" si="172"/>
        <v>0.11</v>
      </c>
      <c r="M252" s="62">
        <f t="shared" si="173"/>
        <v>0.11</v>
      </c>
      <c r="N252" s="62">
        <f t="shared" si="174"/>
        <v>0.11</v>
      </c>
      <c r="O252" s="62">
        <f t="shared" si="175"/>
        <v>0.11</v>
      </c>
      <c r="P252" s="62">
        <f t="shared" si="176"/>
        <v>0.11</v>
      </c>
      <c r="Q252" s="62">
        <f t="shared" si="177"/>
        <v>0.11</v>
      </c>
      <c r="R252" s="62">
        <f t="shared" si="178"/>
        <v>0.11</v>
      </c>
      <c r="S252" s="62">
        <f t="shared" si="179"/>
        <v>0.11</v>
      </c>
      <c r="T252" s="62">
        <f t="shared" si="180"/>
        <v>0.11</v>
      </c>
      <c r="U252" s="62">
        <f t="shared" si="181"/>
        <v>0.11</v>
      </c>
      <c r="V252" s="62">
        <f t="shared" si="182"/>
        <v>0.11</v>
      </c>
      <c r="W252" s="62">
        <f t="shared" si="183"/>
        <v>0.11</v>
      </c>
      <c r="X252" s="62">
        <f t="shared" si="184"/>
        <v>0.11</v>
      </c>
      <c r="Y252" s="62">
        <f t="shared" si="185"/>
        <v>0.11</v>
      </c>
      <c r="Z252" s="62">
        <f t="shared" si="186"/>
        <v>0.11</v>
      </c>
      <c r="AA252" s="62">
        <f t="shared" si="187"/>
        <v>0.11</v>
      </c>
      <c r="AB252" s="62">
        <f t="shared" si="188"/>
        <v>0.11</v>
      </c>
      <c r="AC252" s="62">
        <f t="shared" si="189"/>
        <v>0.11</v>
      </c>
    </row>
    <row r="253" spans="1:44" x14ac:dyDescent="0.3">
      <c r="A253" s="30" t="str">
        <f t="shared" si="161"/>
        <v>Fuel Economy</v>
      </c>
      <c r="B253" s="62">
        <f t="shared" si="162"/>
        <v>2.5017133827957863</v>
      </c>
      <c r="C253" s="62">
        <f t="shared" si="163"/>
        <v>2.4899274249507841</v>
      </c>
      <c r="D253" s="62">
        <f t="shared" si="164"/>
        <v>2.473540665111047</v>
      </c>
      <c r="E253" s="62">
        <f t="shared" si="165"/>
        <v>2.4510750304006725</v>
      </c>
      <c r="F253" s="62">
        <f t="shared" si="166"/>
        <v>2.4208836246700196</v>
      </c>
      <c r="G253" s="62">
        <f t="shared" si="167"/>
        <v>2.3814176248294165</v>
      </c>
      <c r="H253" s="62">
        <f t="shared" si="168"/>
        <v>2.3317168686499508</v>
      </c>
      <c r="I253" s="62">
        <f t="shared" si="169"/>
        <v>2.2720773878950213</v>
      </c>
      <c r="J253" s="62">
        <f t="shared" si="170"/>
        <v>2.2046386343182869</v>
      </c>
      <c r="K253" s="62">
        <f t="shared" si="171"/>
        <v>2.1334438188615716</v>
      </c>
      <c r="L253" s="62">
        <f t="shared" si="172"/>
        <v>2.0636499842068772</v>
      </c>
      <c r="M253" s="62">
        <f t="shared" si="173"/>
        <v>2.0001152199155108</v>
      </c>
      <c r="N253" s="62">
        <f t="shared" si="174"/>
        <v>1.9461197177922713</v>
      </c>
      <c r="O253" s="62">
        <f t="shared" si="175"/>
        <v>1.9028789906381067</v>
      </c>
      <c r="P253" s="62">
        <f t="shared" si="176"/>
        <v>1.8698843966590539</v>
      </c>
      <c r="Q253" s="62">
        <f t="shared" si="177"/>
        <v>1.845630723914188</v>
      </c>
      <c r="R253" s="62">
        <f t="shared" si="178"/>
        <v>1.8282896987713517</v>
      </c>
      <c r="S253" s="62">
        <f t="shared" si="179"/>
        <v>1.816136201062756</v>
      </c>
      <c r="T253" s="62">
        <f t="shared" si="180"/>
        <v>1.8077373871337672</v>
      </c>
      <c r="U253" s="62">
        <f t="shared" si="181"/>
        <v>1.8019896602332084</v>
      </c>
      <c r="V253" s="62">
        <f t="shared" si="182"/>
        <v>1.7980824580174404</v>
      </c>
      <c r="W253" s="62">
        <f t="shared" si="183"/>
        <v>1.7954384977550508</v>
      </c>
      <c r="X253" s="62">
        <f t="shared" si="184"/>
        <v>1.7936548794016942</v>
      </c>
      <c r="Y253" s="62">
        <f t="shared" si="185"/>
        <v>1.7924541563864786</v>
      </c>
      <c r="Z253" s="62">
        <f t="shared" si="186"/>
        <v>1.7916469707988543</v>
      </c>
      <c r="AA253" s="62">
        <f t="shared" si="187"/>
        <v>1.791104853204156</v>
      </c>
      <c r="AB253" s="62">
        <f t="shared" si="188"/>
        <v>1.7907409902313312</v>
      </c>
      <c r="AC253" s="62">
        <f t="shared" si="189"/>
        <v>1.7904968737418223</v>
      </c>
    </row>
    <row r="254" spans="1:44" x14ac:dyDescent="0.3">
      <c r="A254" s="30" t="str">
        <f t="shared" si="161"/>
        <v>Fuel Cost</v>
      </c>
      <c r="B254" s="62">
        <f t="shared" si="162"/>
        <v>0.21482257834535914</v>
      </c>
      <c r="C254" s="62">
        <f t="shared" si="163"/>
        <v>0.21417522499855654</v>
      </c>
      <c r="D254" s="62">
        <f t="shared" si="164"/>
        <v>0.21325607604535665</v>
      </c>
      <c r="E254" s="62">
        <f t="shared" si="165"/>
        <v>0.21195694732458373</v>
      </c>
      <c r="F254" s="62">
        <f t="shared" si="166"/>
        <v>0.21013299403884214</v>
      </c>
      <c r="G254" s="62">
        <f t="shared" si="167"/>
        <v>0.20759703685611555</v>
      </c>
      <c r="H254" s="62">
        <f t="shared" si="168"/>
        <v>0.20412033442894431</v>
      </c>
      <c r="I254" s="62">
        <f t="shared" si="169"/>
        <v>0.19944801891519662</v>
      </c>
      <c r="J254" s="62">
        <f t="shared" si="170"/>
        <v>0.19334039991375346</v>
      </c>
      <c r="K254" s="62">
        <f t="shared" si="171"/>
        <v>0.18564888610303532</v>
      </c>
      <c r="L254" s="62">
        <f t="shared" si="172"/>
        <v>0.17641929031511205</v>
      </c>
      <c r="M254" s="62">
        <f t="shared" si="173"/>
        <v>0.16598270656093206</v>
      </c>
      <c r="N254" s="62">
        <f t="shared" si="174"/>
        <v>0.15496484791186993</v>
      </c>
      <c r="O254" s="62">
        <f t="shared" si="175"/>
        <v>0.14416380011269478</v>
      </c>
      <c r="P254" s="62">
        <f t="shared" si="176"/>
        <v>0.13433138397714983</v>
      </c>
      <c r="Q254" s="62">
        <f t="shared" si="177"/>
        <v>0.12597523042491984</v>
      </c>
      <c r="R254" s="62">
        <f t="shared" si="178"/>
        <v>0.11928344793189689</v>
      </c>
      <c r="S254" s="62">
        <f t="shared" si="179"/>
        <v>0.11417732088721881</v>
      </c>
      <c r="T254" s="62">
        <f t="shared" si="180"/>
        <v>0.11042390799739947</v>
      </c>
      <c r="U254" s="62">
        <f t="shared" si="181"/>
        <v>0.10774027208054308</v>
      </c>
      <c r="V254" s="62">
        <f t="shared" si="182"/>
        <v>0.10585943962124107</v>
      </c>
      <c r="W254" s="62">
        <f t="shared" si="183"/>
        <v>0.10455966878686571</v>
      </c>
      <c r="X254" s="62">
        <f t="shared" si="184"/>
        <v>0.10367017083483761</v>
      </c>
      <c r="Y254" s="62">
        <f t="shared" si="185"/>
        <v>0.10306550599442084</v>
      </c>
      <c r="Z254" s="62">
        <f t="shared" si="186"/>
        <v>0.10265633602526128</v>
      </c>
      <c r="AA254" s="62">
        <f t="shared" si="187"/>
        <v>0.10238030953688443</v>
      </c>
      <c r="AB254" s="62">
        <f t="shared" si="188"/>
        <v>0.10219448987609238</v>
      </c>
      <c r="AC254" s="62">
        <f t="shared" si="189"/>
        <v>0.10206957268021295</v>
      </c>
    </row>
    <row r="255" spans="1:44" x14ac:dyDescent="0.3">
      <c r="A255" s="30" t="str">
        <f t="shared" ref="A255" si="190">A235</f>
        <v>Emission Cost</v>
      </c>
      <c r="B255" s="66">
        <f>$B235+($C235-$B235)*(1-Q235)</f>
        <v>9.1045502411311718E-3</v>
      </c>
      <c r="C255" s="66">
        <f t="shared" ref="C255:AC255" si="191">$B235+($C235-$B235)*(1-R235)</f>
        <v>9.095880490962575E-3</v>
      </c>
      <c r="D255" s="66">
        <f t="shared" si="191"/>
        <v>9.0834699366993434E-3</v>
      </c>
      <c r="E255" s="66">
        <f t="shared" si="191"/>
        <v>9.0657157660766E-3</v>
      </c>
      <c r="F255" s="66">
        <f t="shared" si="191"/>
        <v>9.040341138604446E-3</v>
      </c>
      <c r="G255" s="66">
        <f t="shared" si="191"/>
        <v>9.0041260615172855E-3</v>
      </c>
      <c r="H255" s="66">
        <f t="shared" si="191"/>
        <v>8.9525469072142452E-3</v>
      </c>
      <c r="I255" s="66">
        <f t="shared" si="191"/>
        <v>8.8793119020679299E-3</v>
      </c>
      <c r="J255" s="66">
        <f t="shared" si="191"/>
        <v>8.7758012597282838E-3</v>
      </c>
      <c r="K255" s="66">
        <f t="shared" si="191"/>
        <v>8.630474185370102E-3</v>
      </c>
      <c r="L255" s="66">
        <f t="shared" si="191"/>
        <v>8.4284167966506146E-3</v>
      </c>
      <c r="M255" s="66">
        <f t="shared" si="191"/>
        <v>8.1514036756981448E-3</v>
      </c>
      <c r="N255" s="66">
        <f t="shared" si="191"/>
        <v>7.7791277246640009E-3</v>
      </c>
      <c r="O255" s="66">
        <f t="shared" si="191"/>
        <v>7.2924911382377788E-3</v>
      </c>
      <c r="P255" s="66">
        <f t="shared" si="191"/>
        <v>6.6796546098928378E-3</v>
      </c>
      <c r="Q255" s="66">
        <f t="shared" si="191"/>
        <v>5.9442683673542078E-3</v>
      </c>
      <c r="R255" s="66">
        <f t="shared" si="191"/>
        <v>5.1127129787673555E-3</v>
      </c>
      <c r="S255" s="66">
        <f t="shared" si="191"/>
        <v>4.2348433668221242E-3</v>
      </c>
      <c r="T255" s="66">
        <f t="shared" si="191"/>
        <v>3.3742485868309214E-3</v>
      </c>
      <c r="U255" s="66">
        <f t="shared" si="191"/>
        <v>2.5908314445053909E-3</v>
      </c>
      <c r="V255" s="66">
        <f t="shared" si="191"/>
        <v>1.9250384342751033E-3</v>
      </c>
      <c r="W255" s="66">
        <f t="shared" si="191"/>
        <v>1.3918574698531276E-3</v>
      </c>
      <c r="X255" s="66">
        <f t="shared" si="191"/>
        <v>9.8501672973924301E-4</v>
      </c>
      <c r="Y255" s="66">
        <f t="shared" si="191"/>
        <v>6.8595615708101458E-4</v>
      </c>
      <c r="Z255" s="66">
        <f t="shared" si="191"/>
        <v>4.7213217403930738E-4</v>
      </c>
      <c r="AA255" s="66">
        <f t="shared" si="191"/>
        <v>3.2227313937815624E-4</v>
      </c>
      <c r="AB255" s="66">
        <f t="shared" si="191"/>
        <v>2.1871133537117345E-4</v>
      </c>
      <c r="AC255" s="66">
        <f t="shared" si="191"/>
        <v>1.4783883220655276E-4</v>
      </c>
    </row>
    <row r="256" spans="1:44" x14ac:dyDescent="0.3">
      <c r="A256" s="30" t="str">
        <f>A236</f>
        <v>Lifetime vehicle</v>
      </c>
      <c r="B256" s="62">
        <f>$B236+($C236-$B236)*(1-Q236)</f>
        <v>8</v>
      </c>
      <c r="C256" s="62">
        <f t="shared" ref="C256:L258" si="192">$B236+($C236-$B236)*(1-R236)</f>
        <v>8</v>
      </c>
      <c r="D256" s="62">
        <f t="shared" si="192"/>
        <v>8</v>
      </c>
      <c r="E256" s="62">
        <f t="shared" si="192"/>
        <v>8</v>
      </c>
      <c r="F256" s="62">
        <f t="shared" si="192"/>
        <v>8</v>
      </c>
      <c r="G256" s="62">
        <f t="shared" si="192"/>
        <v>8</v>
      </c>
      <c r="H256" s="62">
        <f t="shared" si="192"/>
        <v>8</v>
      </c>
      <c r="I256" s="62">
        <f t="shared" si="192"/>
        <v>8</v>
      </c>
      <c r="J256" s="62">
        <f t="shared" si="192"/>
        <v>8</v>
      </c>
      <c r="K256" s="62">
        <f t="shared" si="192"/>
        <v>8</v>
      </c>
      <c r="L256" s="62">
        <f t="shared" si="192"/>
        <v>8</v>
      </c>
      <c r="M256" s="62">
        <f t="shared" ref="M256:V258" si="193">$B236+($C236-$B236)*(1-AB236)</f>
        <v>8</v>
      </c>
      <c r="N256" s="62">
        <f t="shared" si="193"/>
        <v>8</v>
      </c>
      <c r="O256" s="62">
        <f t="shared" si="193"/>
        <v>8</v>
      </c>
      <c r="P256" s="62">
        <f t="shared" si="193"/>
        <v>8</v>
      </c>
      <c r="Q256" s="62">
        <f t="shared" si="193"/>
        <v>8</v>
      </c>
      <c r="R256" s="62">
        <f t="shared" si="193"/>
        <v>8</v>
      </c>
      <c r="S256" s="62">
        <f t="shared" si="193"/>
        <v>8</v>
      </c>
      <c r="T256" s="62">
        <f t="shared" si="193"/>
        <v>8</v>
      </c>
      <c r="U256" s="62">
        <f t="shared" si="193"/>
        <v>8</v>
      </c>
      <c r="V256" s="62">
        <f t="shared" si="193"/>
        <v>8</v>
      </c>
      <c r="W256" s="62">
        <f t="shared" ref="W256:AC258" si="194">$B236+($C236-$B236)*(1-AL236)</f>
        <v>8</v>
      </c>
      <c r="X256" s="62">
        <f t="shared" si="194"/>
        <v>8</v>
      </c>
      <c r="Y256" s="62">
        <f t="shared" si="194"/>
        <v>8</v>
      </c>
      <c r="Z256" s="62">
        <f t="shared" si="194"/>
        <v>8</v>
      </c>
      <c r="AA256" s="62">
        <f t="shared" si="194"/>
        <v>8</v>
      </c>
      <c r="AB256" s="62">
        <f t="shared" si="194"/>
        <v>8</v>
      </c>
      <c r="AC256" s="62">
        <f t="shared" si="194"/>
        <v>8</v>
      </c>
    </row>
    <row r="257" spans="1:29" x14ac:dyDescent="0.3">
      <c r="A257" s="30" t="str">
        <f>A237</f>
        <v>Lifetime costumization</v>
      </c>
      <c r="B257" s="62">
        <f>$B237+($C237-$B237)*(1-Q237)</f>
        <v>10</v>
      </c>
      <c r="C257" s="62">
        <f t="shared" si="192"/>
        <v>10</v>
      </c>
      <c r="D257" s="62">
        <f t="shared" si="192"/>
        <v>10</v>
      </c>
      <c r="E257" s="62">
        <f t="shared" si="192"/>
        <v>10</v>
      </c>
      <c r="F257" s="62">
        <f t="shared" si="192"/>
        <v>10</v>
      </c>
      <c r="G257" s="62">
        <f t="shared" si="192"/>
        <v>10</v>
      </c>
      <c r="H257" s="62">
        <f t="shared" si="192"/>
        <v>10</v>
      </c>
      <c r="I257" s="62">
        <f t="shared" si="192"/>
        <v>10</v>
      </c>
      <c r="J257" s="62">
        <f t="shared" si="192"/>
        <v>10</v>
      </c>
      <c r="K257" s="62">
        <f t="shared" si="192"/>
        <v>10</v>
      </c>
      <c r="L257" s="62">
        <f t="shared" si="192"/>
        <v>10</v>
      </c>
      <c r="M257" s="62">
        <f t="shared" si="193"/>
        <v>10</v>
      </c>
      <c r="N257" s="62">
        <f t="shared" si="193"/>
        <v>10</v>
      </c>
      <c r="O257" s="62">
        <f t="shared" si="193"/>
        <v>10</v>
      </c>
      <c r="P257" s="62">
        <f t="shared" si="193"/>
        <v>10</v>
      </c>
      <c r="Q257" s="62">
        <f t="shared" si="193"/>
        <v>10</v>
      </c>
      <c r="R257" s="62">
        <f t="shared" si="193"/>
        <v>10</v>
      </c>
      <c r="S257" s="62">
        <f t="shared" si="193"/>
        <v>10</v>
      </c>
      <c r="T257" s="62">
        <f t="shared" si="193"/>
        <v>10</v>
      </c>
      <c r="U257" s="62">
        <f t="shared" si="193"/>
        <v>10</v>
      </c>
      <c r="V257" s="62">
        <f t="shared" si="193"/>
        <v>10</v>
      </c>
      <c r="W257" s="62">
        <f t="shared" si="194"/>
        <v>10</v>
      </c>
      <c r="X257" s="62">
        <f t="shared" si="194"/>
        <v>10</v>
      </c>
      <c r="Y257" s="62">
        <f t="shared" si="194"/>
        <v>10</v>
      </c>
      <c r="Z257" s="62">
        <f t="shared" si="194"/>
        <v>10</v>
      </c>
      <c r="AA257" s="62">
        <f t="shared" si="194"/>
        <v>10</v>
      </c>
      <c r="AB257" s="62">
        <f t="shared" si="194"/>
        <v>10</v>
      </c>
      <c r="AC257" s="62">
        <f t="shared" si="194"/>
        <v>10</v>
      </c>
    </row>
    <row r="258" spans="1:29" x14ac:dyDescent="0.3">
      <c r="A258" s="30" t="str">
        <f>A238</f>
        <v>Tonnage .</v>
      </c>
      <c r="B258" s="62">
        <f>$B238+($C238-$B238)*(1-Q238)</f>
        <v>25</v>
      </c>
      <c r="C258" s="62">
        <f t="shared" si="192"/>
        <v>25</v>
      </c>
      <c r="D258" s="62">
        <f t="shared" si="192"/>
        <v>25</v>
      </c>
      <c r="E258" s="62">
        <f t="shared" si="192"/>
        <v>25</v>
      </c>
      <c r="F258" s="62">
        <f t="shared" si="192"/>
        <v>25</v>
      </c>
      <c r="G258" s="62">
        <f t="shared" si="192"/>
        <v>25</v>
      </c>
      <c r="H258" s="62">
        <f t="shared" si="192"/>
        <v>25</v>
      </c>
      <c r="I258" s="62">
        <f t="shared" si="192"/>
        <v>25</v>
      </c>
      <c r="J258" s="62">
        <f t="shared" si="192"/>
        <v>25</v>
      </c>
      <c r="K258" s="62">
        <f t="shared" si="192"/>
        <v>25</v>
      </c>
      <c r="L258" s="62">
        <f t="shared" si="192"/>
        <v>25</v>
      </c>
      <c r="M258" s="62">
        <f t="shared" si="193"/>
        <v>25</v>
      </c>
      <c r="N258" s="62">
        <f t="shared" si="193"/>
        <v>25</v>
      </c>
      <c r="O258" s="62">
        <f t="shared" si="193"/>
        <v>25</v>
      </c>
      <c r="P258" s="62">
        <f t="shared" si="193"/>
        <v>25</v>
      </c>
      <c r="Q258" s="62">
        <f t="shared" si="193"/>
        <v>25</v>
      </c>
      <c r="R258" s="62">
        <f t="shared" si="193"/>
        <v>25</v>
      </c>
      <c r="S258" s="62">
        <f t="shared" si="193"/>
        <v>25</v>
      </c>
      <c r="T258" s="62">
        <f t="shared" si="193"/>
        <v>25</v>
      </c>
      <c r="U258" s="62">
        <f t="shared" si="193"/>
        <v>25</v>
      </c>
      <c r="V258" s="62">
        <f t="shared" si="193"/>
        <v>25</v>
      </c>
      <c r="W258" s="62">
        <f t="shared" si="194"/>
        <v>25</v>
      </c>
      <c r="X258" s="62">
        <f t="shared" si="194"/>
        <v>25</v>
      </c>
      <c r="Y258" s="62">
        <f t="shared" si="194"/>
        <v>25</v>
      </c>
      <c r="Z258" s="62">
        <f t="shared" si="194"/>
        <v>25</v>
      </c>
      <c r="AA258" s="62">
        <f t="shared" si="194"/>
        <v>25</v>
      </c>
      <c r="AB258" s="62">
        <f t="shared" si="194"/>
        <v>25</v>
      </c>
      <c r="AC258" s="62">
        <f t="shared" si="194"/>
        <v>25</v>
      </c>
    </row>
    <row r="259" spans="1:29" x14ac:dyDescent="0.3">
      <c r="A259" s="30" t="str">
        <f>A239</f>
        <v>Market failure (av. utilization)</v>
      </c>
      <c r="B259" s="62">
        <f t="shared" ref="B259:K260" si="195">($B239+($C239-$B239)*(1-Q239))*B$44</f>
        <v>11.5</v>
      </c>
      <c r="C259" s="62">
        <f t="shared" si="195"/>
        <v>11.5</v>
      </c>
      <c r="D259" s="62">
        <f t="shared" si="195"/>
        <v>11.5</v>
      </c>
      <c r="E259" s="62">
        <f t="shared" si="195"/>
        <v>11.5</v>
      </c>
      <c r="F259" s="62">
        <f t="shared" si="195"/>
        <v>11.5</v>
      </c>
      <c r="G259" s="62">
        <f t="shared" si="195"/>
        <v>11.5</v>
      </c>
      <c r="H259" s="62">
        <f t="shared" si="195"/>
        <v>11.5</v>
      </c>
      <c r="I259" s="62">
        <f t="shared" si="195"/>
        <v>11.5</v>
      </c>
      <c r="J259" s="62">
        <f t="shared" si="195"/>
        <v>11.5</v>
      </c>
      <c r="K259" s="62">
        <f t="shared" si="195"/>
        <v>11.5</v>
      </c>
      <c r="L259" s="62">
        <f t="shared" ref="L259:U260" si="196">($B239+($C239-$B239)*(1-AA239))*L$44</f>
        <v>11.5</v>
      </c>
      <c r="M259" s="62">
        <f t="shared" si="196"/>
        <v>11.5</v>
      </c>
      <c r="N259" s="62">
        <f t="shared" si="196"/>
        <v>11.5</v>
      </c>
      <c r="O259" s="62">
        <f t="shared" si="196"/>
        <v>11.5</v>
      </c>
      <c r="P259" s="62">
        <f t="shared" si="196"/>
        <v>11.5</v>
      </c>
      <c r="Q259" s="62">
        <f t="shared" si="196"/>
        <v>11.5</v>
      </c>
      <c r="R259" s="62">
        <f t="shared" si="196"/>
        <v>11.5</v>
      </c>
      <c r="S259" s="62">
        <f t="shared" si="196"/>
        <v>11.5</v>
      </c>
      <c r="T259" s="62">
        <f t="shared" si="196"/>
        <v>11.5</v>
      </c>
      <c r="U259" s="62">
        <f t="shared" si="196"/>
        <v>11.5</v>
      </c>
      <c r="V259" s="62">
        <f t="shared" ref="V259:AC260" si="197">($B239+($C239-$B239)*(1-AK239))*V$44</f>
        <v>11.5</v>
      </c>
      <c r="W259" s="62">
        <f t="shared" si="197"/>
        <v>11.5</v>
      </c>
      <c r="X259" s="62">
        <f t="shared" si="197"/>
        <v>11.5</v>
      </c>
      <c r="Y259" s="62">
        <f t="shared" si="197"/>
        <v>11.5</v>
      </c>
      <c r="Z259" s="62">
        <f t="shared" si="197"/>
        <v>11.5</v>
      </c>
      <c r="AA259" s="62">
        <f t="shared" si="197"/>
        <v>11.5</v>
      </c>
      <c r="AB259" s="62">
        <f t="shared" si="197"/>
        <v>11.5</v>
      </c>
      <c r="AC259" s="62">
        <f t="shared" si="197"/>
        <v>11.5</v>
      </c>
    </row>
    <row r="260" spans="1:29" x14ac:dyDescent="0.3">
      <c r="A260" s="30" t="s">
        <v>73</v>
      </c>
      <c r="B260" s="62">
        <f t="shared" si="195"/>
        <v>1.240098396181128</v>
      </c>
      <c r="C260" s="62">
        <f t="shared" si="195"/>
        <v>1.2358588232214369</v>
      </c>
      <c r="D260" s="62">
        <f t="shared" si="195"/>
        <v>1.2298392373690403</v>
      </c>
      <c r="E260" s="62">
        <f t="shared" si="195"/>
        <v>1.2213311312119457</v>
      </c>
      <c r="F260" s="62">
        <f t="shared" si="195"/>
        <v>1.2093859036663352</v>
      </c>
      <c r="G260" s="62">
        <f t="shared" si="195"/>
        <v>1.1927777011260612</v>
      </c>
      <c r="H260" s="62">
        <f t="shared" si="195"/>
        <v>1.1700084767574384</v>
      </c>
      <c r="I260" s="62">
        <f t="shared" si="195"/>
        <v>1.1394090790574525</v>
      </c>
      <c r="J260" s="62">
        <f t="shared" si="195"/>
        <v>1.0994097548946793</v>
      </c>
      <c r="K260" s="62">
        <f t="shared" si="195"/>
        <v>1.0490373668749504</v>
      </c>
      <c r="L260" s="62">
        <f t="shared" si="196"/>
        <v>0.98859194719090016</v>
      </c>
      <c r="M260" s="62">
        <f t="shared" si="196"/>
        <v>0.92024185910637191</v>
      </c>
      <c r="N260" s="62">
        <f t="shared" si="196"/>
        <v>0.84808495154888996</v>
      </c>
      <c r="O260" s="62">
        <f t="shared" si="196"/>
        <v>0.77734795696642955</v>
      </c>
      <c r="P260" s="62">
        <f t="shared" si="196"/>
        <v>0.71295461477923405</v>
      </c>
      <c r="Q260" s="62">
        <f t="shared" si="196"/>
        <v>0.65822944370838299</v>
      </c>
      <c r="R260" s="62">
        <f t="shared" si="196"/>
        <v>0.61440438240348649</v>
      </c>
      <c r="S260" s="62">
        <f t="shared" si="196"/>
        <v>0.580963915532825</v>
      </c>
      <c r="T260" s="62">
        <f t="shared" si="196"/>
        <v>0.55638249045356891</v>
      </c>
      <c r="U260" s="62">
        <f t="shared" si="196"/>
        <v>0.53880712713312673</v>
      </c>
      <c r="V260" s="62">
        <f t="shared" si="197"/>
        <v>0.52648939296900943</v>
      </c>
      <c r="W260" s="62">
        <f t="shared" si="197"/>
        <v>0.51797708155449362</v>
      </c>
      <c r="X260" s="62">
        <f t="shared" si="197"/>
        <v>0.5121516826687923</v>
      </c>
      <c r="Y260" s="62">
        <f t="shared" si="197"/>
        <v>0.50819168042308127</v>
      </c>
      <c r="Z260" s="62">
        <f t="shared" si="197"/>
        <v>0.50551199096795685</v>
      </c>
      <c r="AA260" s="62">
        <f t="shared" si="197"/>
        <v>0.50370426966387927</v>
      </c>
      <c r="AB260" s="62">
        <f t="shared" si="197"/>
        <v>0.50248732066197166</v>
      </c>
      <c r="AC260" s="62">
        <f t="shared" si="197"/>
        <v>0.50166922716100104</v>
      </c>
    </row>
    <row r="261" spans="1:29" x14ac:dyDescent="0.3">
      <c r="A261" s="30" t="str">
        <f>A241</f>
        <v>Annual Mileage</v>
      </c>
      <c r="B261" s="62">
        <f t="shared" ref="B261:AC261" si="198">$B241+($C241-$B241)*(1-Q241)</f>
        <v>105000</v>
      </c>
      <c r="C261" s="62">
        <f t="shared" si="198"/>
        <v>105000</v>
      </c>
      <c r="D261" s="62">
        <f t="shared" si="198"/>
        <v>105000</v>
      </c>
      <c r="E261" s="62">
        <f t="shared" si="198"/>
        <v>105000</v>
      </c>
      <c r="F261" s="62">
        <f t="shared" si="198"/>
        <v>105000</v>
      </c>
      <c r="G261" s="62">
        <f t="shared" si="198"/>
        <v>105000</v>
      </c>
      <c r="H261" s="62">
        <f t="shared" si="198"/>
        <v>105000</v>
      </c>
      <c r="I261" s="62">
        <f t="shared" si="198"/>
        <v>105000</v>
      </c>
      <c r="J261" s="62">
        <f t="shared" si="198"/>
        <v>105000</v>
      </c>
      <c r="K261" s="62">
        <f t="shared" si="198"/>
        <v>105000</v>
      </c>
      <c r="L261" s="62">
        <f t="shared" si="198"/>
        <v>105000</v>
      </c>
      <c r="M261" s="62">
        <f t="shared" si="198"/>
        <v>105000</v>
      </c>
      <c r="N261" s="62">
        <f t="shared" si="198"/>
        <v>105000</v>
      </c>
      <c r="O261" s="62">
        <f t="shared" si="198"/>
        <v>105000</v>
      </c>
      <c r="P261" s="62">
        <f t="shared" si="198"/>
        <v>105000</v>
      </c>
      <c r="Q261" s="62">
        <f t="shared" si="198"/>
        <v>105000</v>
      </c>
      <c r="R261" s="62">
        <f t="shared" si="198"/>
        <v>105000</v>
      </c>
      <c r="S261" s="62">
        <f t="shared" si="198"/>
        <v>105000</v>
      </c>
      <c r="T261" s="62">
        <f t="shared" si="198"/>
        <v>105000</v>
      </c>
      <c r="U261" s="62">
        <f t="shared" si="198"/>
        <v>105000</v>
      </c>
      <c r="V261" s="62">
        <f t="shared" si="198"/>
        <v>105000</v>
      </c>
      <c r="W261" s="62">
        <f t="shared" si="198"/>
        <v>105000</v>
      </c>
      <c r="X261" s="62">
        <f t="shared" si="198"/>
        <v>105000</v>
      </c>
      <c r="Y261" s="62">
        <f t="shared" si="198"/>
        <v>105000</v>
      </c>
      <c r="Z261" s="62">
        <f t="shared" si="198"/>
        <v>105000</v>
      </c>
      <c r="AA261" s="62">
        <f t="shared" si="198"/>
        <v>105000</v>
      </c>
      <c r="AB261" s="62">
        <f t="shared" si="198"/>
        <v>105000</v>
      </c>
      <c r="AC261" s="62">
        <f t="shared" si="198"/>
        <v>105000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61357.445895655808</v>
      </c>
      <c r="C264" s="63">
        <f t="shared" ref="C264:AC264" si="199">((1+C249)^C256)*C249/(((1+C249)^C256)-1)*(C245)</f>
        <v>60754.714455896952</v>
      </c>
      <c r="D264" s="63">
        <f t="shared" si="199"/>
        <v>59916.698956344211</v>
      </c>
      <c r="E264" s="63">
        <f t="shared" si="199"/>
        <v>58767.811056679595</v>
      </c>
      <c r="F264" s="63">
        <f t="shared" si="199"/>
        <v>57223.828829380502</v>
      </c>
      <c r="G264" s="63">
        <f t="shared" si="199"/>
        <v>55205.54578287054</v>
      </c>
      <c r="H264" s="63">
        <f t="shared" si="199"/>
        <v>52663.859419902983</v>
      </c>
      <c r="I264" s="63">
        <f t="shared" si="199"/>
        <v>49613.908743460379</v>
      </c>
      <c r="J264" s="63">
        <f t="shared" si="199"/>
        <v>46165.10487249765</v>
      </c>
      <c r="K264" s="63">
        <f t="shared" si="199"/>
        <v>42524.216776008514</v>
      </c>
      <c r="L264" s="63">
        <f t="shared" si="199"/>
        <v>38954.974547168116</v>
      </c>
      <c r="M264" s="63">
        <f t="shared" si="199"/>
        <v>35705.819878562834</v>
      </c>
      <c r="N264" s="63">
        <f t="shared" si="199"/>
        <v>32944.501098770794</v>
      </c>
      <c r="O264" s="63">
        <f t="shared" si="199"/>
        <v>30733.179280332359</v>
      </c>
      <c r="P264" s="63">
        <f t="shared" si="199"/>
        <v>29045.842587397736</v>
      </c>
      <c r="Q264" s="63">
        <f t="shared" si="199"/>
        <v>27805.514793492392</v>
      </c>
      <c r="R264" s="63">
        <f t="shared" si="199"/>
        <v>26918.698364255953</v>
      </c>
      <c r="S264" s="63">
        <f t="shared" si="199"/>
        <v>26297.171012101549</v>
      </c>
      <c r="T264" s="63">
        <f t="shared" si="199"/>
        <v>25867.657409706244</v>
      </c>
      <c r="U264" s="63">
        <f t="shared" si="199"/>
        <v>25573.719848103356</v>
      </c>
      <c r="V264" s="63">
        <f t="shared" si="199"/>
        <v>25373.906337151635</v>
      </c>
      <c r="W264" s="63">
        <f t="shared" si="199"/>
        <v>25238.694757696427</v>
      </c>
      <c r="X264" s="63">
        <f t="shared" si="199"/>
        <v>25147.480885032299</v>
      </c>
      <c r="Y264" s="63">
        <f t="shared" si="199"/>
        <v>25086.076159066874</v>
      </c>
      <c r="Z264" s="63">
        <f t="shared" si="199"/>
        <v>25044.796855527889</v>
      </c>
      <c r="AA264" s="63">
        <f t="shared" si="199"/>
        <v>25017.073074171451</v>
      </c>
      <c r="AB264" s="63">
        <f t="shared" si="199"/>
        <v>24998.465197207195</v>
      </c>
      <c r="AC264" s="63">
        <f t="shared" si="199"/>
        <v>24985.981130564032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-9299.0290627537943</v>
      </c>
      <c r="C265" s="62">
        <f t="shared" ref="C265:AC265" si="200">((1+C249)^C256)*C249/(((1+C249)^C256)-1)*(C246)</f>
        <v>-9248.373973667678</v>
      </c>
      <c r="D265" s="62">
        <f t="shared" si="200"/>
        <v>-9177.9450114712236</v>
      </c>
      <c r="E265" s="62">
        <f t="shared" si="200"/>
        <v>-9081.3895390526031</v>
      </c>
      <c r="F265" s="62">
        <f t="shared" si="200"/>
        <v>-8951.6293305881045</v>
      </c>
      <c r="G265" s="62">
        <f t="shared" si="200"/>
        <v>-8782.0076702963088</v>
      </c>
      <c r="H265" s="62">
        <f t="shared" si="200"/>
        <v>-8568.3978589405251</v>
      </c>
      <c r="I265" s="62">
        <f t="shared" si="200"/>
        <v>-8312.0722169841792</v>
      </c>
      <c r="J265" s="62">
        <f t="shared" si="200"/>
        <v>-8022.2259342117786</v>
      </c>
      <c r="K265" s="62">
        <f t="shared" si="200"/>
        <v>-7716.2364026983305</v>
      </c>
      <c r="L265" s="62">
        <f t="shared" si="200"/>
        <v>-7416.2681728277021</v>
      </c>
      <c r="M265" s="62">
        <f t="shared" si="200"/>
        <v>-7143.2009187640651</v>
      </c>
      <c r="N265" s="62">
        <f t="shared" si="200"/>
        <v>-6911.1326383347341</v>
      </c>
      <c r="O265" s="62">
        <f t="shared" si="200"/>
        <v>-6725.2875067851219</v>
      </c>
      <c r="P265" s="62">
        <f t="shared" si="200"/>
        <v>-6583.4794230172129</v>
      </c>
      <c r="Q265" s="62">
        <f t="shared" si="200"/>
        <v>-6479.2391084230394</v>
      </c>
      <c r="R265" s="62">
        <f t="shared" si="200"/>
        <v>-6404.7087914978501</v>
      </c>
      <c r="S265" s="62">
        <f t="shared" si="200"/>
        <v>-6352.4740459444474</v>
      </c>
      <c r="T265" s="62">
        <f t="shared" si="200"/>
        <v>-6316.3766261686715</v>
      </c>
      <c r="U265" s="62">
        <f t="shared" si="200"/>
        <v>-6291.6733630126846</v>
      </c>
      <c r="V265" s="62">
        <f t="shared" si="200"/>
        <v>-6274.8805253901455</v>
      </c>
      <c r="W265" s="62">
        <f t="shared" si="200"/>
        <v>-6263.5169990316763</v>
      </c>
      <c r="X265" s="62">
        <f t="shared" si="200"/>
        <v>-6255.8511522865001</v>
      </c>
      <c r="Y265" s="62">
        <f t="shared" si="200"/>
        <v>-6250.6905423383423</v>
      </c>
      <c r="Z265" s="62">
        <f t="shared" si="200"/>
        <v>-6247.2213242749585</v>
      </c>
      <c r="AA265" s="62">
        <f t="shared" si="200"/>
        <v>-6244.8913469056415</v>
      </c>
      <c r="AB265" s="62">
        <f t="shared" si="200"/>
        <v>-6243.3274934160918</v>
      </c>
      <c r="AC265" s="62">
        <f t="shared" si="200"/>
        <v>-6242.278300581188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4076.0387466115117</v>
      </c>
      <c r="C266" s="62">
        <f t="shared" ref="C266:AC266" si="201">((1+C249)^C257)*C249/(((1+C249)^C257)-1)*(C247)</f>
        <v>4076.0387466115117</v>
      </c>
      <c r="D266" s="62">
        <f t="shared" si="201"/>
        <v>4076.0387466115117</v>
      </c>
      <c r="E266" s="62">
        <f t="shared" si="201"/>
        <v>4076.0387466115117</v>
      </c>
      <c r="F266" s="62">
        <f t="shared" si="201"/>
        <v>4076.0387466115117</v>
      </c>
      <c r="G266" s="62">
        <f t="shared" si="201"/>
        <v>4076.0387466115117</v>
      </c>
      <c r="H266" s="62">
        <f t="shared" si="201"/>
        <v>4076.0387466115117</v>
      </c>
      <c r="I266" s="62">
        <f t="shared" si="201"/>
        <v>4076.0387466115117</v>
      </c>
      <c r="J266" s="62">
        <f t="shared" si="201"/>
        <v>4076.0387466115117</v>
      </c>
      <c r="K266" s="62">
        <f t="shared" si="201"/>
        <v>4076.0387466115117</v>
      </c>
      <c r="L266" s="62">
        <f t="shared" si="201"/>
        <v>4076.0387466115117</v>
      </c>
      <c r="M266" s="62">
        <f t="shared" si="201"/>
        <v>4076.0387466115117</v>
      </c>
      <c r="N266" s="62">
        <f t="shared" si="201"/>
        <v>4076.0387466115117</v>
      </c>
      <c r="O266" s="62">
        <f t="shared" si="201"/>
        <v>4076.0387466115117</v>
      </c>
      <c r="P266" s="62">
        <f t="shared" si="201"/>
        <v>4076.0387466115117</v>
      </c>
      <c r="Q266" s="62">
        <f t="shared" si="201"/>
        <v>4076.0387466115117</v>
      </c>
      <c r="R266" s="62">
        <f t="shared" si="201"/>
        <v>4076.0387466115117</v>
      </c>
      <c r="S266" s="62">
        <f t="shared" si="201"/>
        <v>4076.0387466115117</v>
      </c>
      <c r="T266" s="62">
        <f t="shared" si="201"/>
        <v>4076.0387466115117</v>
      </c>
      <c r="U266" s="62">
        <f t="shared" si="201"/>
        <v>4076.0387466115117</v>
      </c>
      <c r="V266" s="62">
        <f t="shared" si="201"/>
        <v>4076.0387466115117</v>
      </c>
      <c r="W266" s="62">
        <f t="shared" si="201"/>
        <v>4076.0387466115117</v>
      </c>
      <c r="X266" s="62">
        <f t="shared" si="201"/>
        <v>4076.0387466115117</v>
      </c>
      <c r="Y266" s="62">
        <f t="shared" si="201"/>
        <v>4076.0387466115117</v>
      </c>
      <c r="Z266" s="62">
        <f t="shared" si="201"/>
        <v>4076.0387466115117</v>
      </c>
      <c r="AA266" s="62">
        <f t="shared" si="201"/>
        <v>4076.0387466115117</v>
      </c>
      <c r="AB266" s="62">
        <f t="shared" si="201"/>
        <v>4076.0387466115117</v>
      </c>
      <c r="AC266" s="62">
        <f t="shared" si="201"/>
        <v>4076.0387466115117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-1019.0096866528779</v>
      </c>
      <c r="C267" s="62">
        <f t="shared" ref="C267:AC267" si="202">((1+C249)^C257)*C249/(((1+C249)^C257)-1)*(C248)</f>
        <v>-1019.0096866528779</v>
      </c>
      <c r="D267" s="62">
        <f t="shared" si="202"/>
        <v>-1019.0096866528779</v>
      </c>
      <c r="E267" s="62">
        <f t="shared" si="202"/>
        <v>-1019.0096866528779</v>
      </c>
      <c r="F267" s="62">
        <f t="shared" si="202"/>
        <v>-1019.0096866528779</v>
      </c>
      <c r="G267" s="62">
        <f t="shared" si="202"/>
        <v>-1019.0096866528779</v>
      </c>
      <c r="H267" s="62">
        <f t="shared" si="202"/>
        <v>-1019.0096866528779</v>
      </c>
      <c r="I267" s="62">
        <f t="shared" si="202"/>
        <v>-1019.0096866528779</v>
      </c>
      <c r="J267" s="62">
        <f t="shared" si="202"/>
        <v>-1019.0096866528779</v>
      </c>
      <c r="K267" s="62">
        <f t="shared" si="202"/>
        <v>-1019.0096866528779</v>
      </c>
      <c r="L267" s="62">
        <f t="shared" si="202"/>
        <v>-1019.0096866528779</v>
      </c>
      <c r="M267" s="62">
        <f t="shared" si="202"/>
        <v>-1019.0096866528779</v>
      </c>
      <c r="N267" s="62">
        <f t="shared" si="202"/>
        <v>-1019.0096866528779</v>
      </c>
      <c r="O267" s="62">
        <f t="shared" si="202"/>
        <v>-1019.0096866528779</v>
      </c>
      <c r="P267" s="62">
        <f t="shared" si="202"/>
        <v>-1019.0096866528779</v>
      </c>
      <c r="Q267" s="62">
        <f t="shared" si="202"/>
        <v>-1019.0096866528779</v>
      </c>
      <c r="R267" s="62">
        <f t="shared" si="202"/>
        <v>-1019.0096866528779</v>
      </c>
      <c r="S267" s="62">
        <f t="shared" si="202"/>
        <v>-1019.0096866528779</v>
      </c>
      <c r="T267" s="62">
        <f t="shared" si="202"/>
        <v>-1019.0096866528779</v>
      </c>
      <c r="U267" s="62">
        <f t="shared" si="202"/>
        <v>-1019.0096866528779</v>
      </c>
      <c r="V267" s="62">
        <f t="shared" si="202"/>
        <v>-1019.0096866528779</v>
      </c>
      <c r="W267" s="62">
        <f t="shared" si="202"/>
        <v>-1019.0096866528779</v>
      </c>
      <c r="X267" s="62">
        <f t="shared" si="202"/>
        <v>-1019.0096866528779</v>
      </c>
      <c r="Y267" s="62">
        <f t="shared" si="202"/>
        <v>-1019.0096866528779</v>
      </c>
      <c r="Z267" s="62">
        <f t="shared" si="202"/>
        <v>-1019.0096866528779</v>
      </c>
      <c r="AA267" s="62">
        <f t="shared" si="202"/>
        <v>-1019.0096866528779</v>
      </c>
      <c r="AB267" s="62">
        <f t="shared" si="202"/>
        <v>-1019.0096866528779</v>
      </c>
      <c r="AC267" s="62">
        <f t="shared" si="202"/>
        <v>-1019.0096866528779</v>
      </c>
    </row>
    <row r="268" spans="1:29" x14ac:dyDescent="0.3">
      <c r="A268" s="30" t="str">
        <f t="shared" ref="A268:AC268" si="203">A250</f>
        <v>Opex fix (admin, crew, insurance)</v>
      </c>
      <c r="B268" s="62">
        <f t="shared" si="203"/>
        <v>70000</v>
      </c>
      <c r="C268" s="62">
        <f t="shared" si="203"/>
        <v>70000</v>
      </c>
      <c r="D268" s="62">
        <f t="shared" si="203"/>
        <v>70000</v>
      </c>
      <c r="E268" s="62">
        <f t="shared" si="203"/>
        <v>70000</v>
      </c>
      <c r="F268" s="62">
        <f t="shared" si="203"/>
        <v>70000</v>
      </c>
      <c r="G268" s="62">
        <f t="shared" si="203"/>
        <v>70000</v>
      </c>
      <c r="H268" s="62">
        <f t="shared" si="203"/>
        <v>70000</v>
      </c>
      <c r="I268" s="62">
        <f t="shared" si="203"/>
        <v>70000</v>
      </c>
      <c r="J268" s="62">
        <f t="shared" si="203"/>
        <v>70000</v>
      </c>
      <c r="K268" s="62">
        <f t="shared" si="203"/>
        <v>70000</v>
      </c>
      <c r="L268" s="62">
        <f t="shared" si="203"/>
        <v>70000</v>
      </c>
      <c r="M268" s="62">
        <f t="shared" si="203"/>
        <v>70000</v>
      </c>
      <c r="N268" s="62">
        <f t="shared" si="203"/>
        <v>70000</v>
      </c>
      <c r="O268" s="62">
        <f t="shared" si="203"/>
        <v>70000</v>
      </c>
      <c r="P268" s="62">
        <f t="shared" si="203"/>
        <v>70000</v>
      </c>
      <c r="Q268" s="62">
        <f t="shared" si="203"/>
        <v>70000</v>
      </c>
      <c r="R268" s="62">
        <f t="shared" si="203"/>
        <v>70000</v>
      </c>
      <c r="S268" s="62">
        <f t="shared" si="203"/>
        <v>70000</v>
      </c>
      <c r="T268" s="62">
        <f t="shared" si="203"/>
        <v>70000</v>
      </c>
      <c r="U268" s="62">
        <f t="shared" si="203"/>
        <v>70000</v>
      </c>
      <c r="V268" s="62">
        <f t="shared" si="203"/>
        <v>70000</v>
      </c>
      <c r="W268" s="62">
        <f t="shared" si="203"/>
        <v>70000</v>
      </c>
      <c r="X268" s="62">
        <f t="shared" si="203"/>
        <v>70000</v>
      </c>
      <c r="Y268" s="62">
        <f t="shared" si="203"/>
        <v>70000</v>
      </c>
      <c r="Z268" s="62">
        <f t="shared" si="203"/>
        <v>70000</v>
      </c>
      <c r="AA268" s="62">
        <f t="shared" si="203"/>
        <v>70000</v>
      </c>
      <c r="AB268" s="62">
        <f t="shared" si="203"/>
        <v>70000</v>
      </c>
      <c r="AC268" s="62">
        <f t="shared" si="203"/>
        <v>70000</v>
      </c>
    </row>
    <row r="269" spans="1:29" x14ac:dyDescent="0.3">
      <c r="A269" s="30" t="str">
        <f t="shared" ref="A269:AC269" si="204">A251</f>
        <v>Opex maintenance &amp; repair</v>
      </c>
      <c r="B269" s="62">
        <f t="shared" si="204"/>
        <v>25694.198732927423</v>
      </c>
      <c r="C269" s="62">
        <f t="shared" si="204"/>
        <v>25566.782972440909</v>
      </c>
      <c r="D269" s="62">
        <f t="shared" si="204"/>
        <v>25389.62881201132</v>
      </c>
      <c r="E269" s="62">
        <f t="shared" si="204"/>
        <v>25146.757085412675</v>
      </c>
      <c r="F269" s="62">
        <f t="shared" si="204"/>
        <v>24820.363509946161</v>
      </c>
      <c r="G269" s="62">
        <f t="shared" si="204"/>
        <v>24393.704052209912</v>
      </c>
      <c r="H269" s="62">
        <f t="shared" si="204"/>
        <v>23856.39857999947</v>
      </c>
      <c r="I269" s="62">
        <f t="shared" si="204"/>
        <v>23211.647436702937</v>
      </c>
      <c r="J269" s="62">
        <f t="shared" si="204"/>
        <v>22482.579830467967</v>
      </c>
      <c r="K269" s="62">
        <f t="shared" si="204"/>
        <v>21712.906149854825</v>
      </c>
      <c r="L269" s="62">
        <f t="shared" si="204"/>
        <v>20958.378207641916</v>
      </c>
      <c r="M269" s="62">
        <f t="shared" si="204"/>
        <v>20271.515890978495</v>
      </c>
      <c r="N269" s="62">
        <f t="shared" si="204"/>
        <v>19687.78073288942</v>
      </c>
      <c r="O269" s="62">
        <f t="shared" si="204"/>
        <v>19220.313412303854</v>
      </c>
      <c r="P269" s="62">
        <f t="shared" si="204"/>
        <v>18863.615099016799</v>
      </c>
      <c r="Q269" s="62">
        <f t="shared" si="204"/>
        <v>18601.413231504735</v>
      </c>
      <c r="R269" s="62">
        <f t="shared" si="204"/>
        <v>18413.942689420019</v>
      </c>
      <c r="S269" s="62">
        <f t="shared" si="204"/>
        <v>18282.553525002768</v>
      </c>
      <c r="T269" s="62">
        <f t="shared" si="204"/>
        <v>18191.755536581266</v>
      </c>
      <c r="U269" s="62">
        <f t="shared" si="204"/>
        <v>18129.617948467116</v>
      </c>
      <c r="V269" s="62">
        <f t="shared" si="204"/>
        <v>18087.377924512868</v>
      </c>
      <c r="W269" s="62">
        <f t="shared" si="204"/>
        <v>18058.794570324873</v>
      </c>
      <c r="X269" s="62">
        <f t="shared" si="204"/>
        <v>18039.512209748045</v>
      </c>
      <c r="Y269" s="62">
        <f t="shared" si="204"/>
        <v>18026.531420394364</v>
      </c>
      <c r="Z269" s="62">
        <f t="shared" si="204"/>
        <v>18017.805089717345</v>
      </c>
      <c r="AA269" s="62">
        <f t="shared" si="204"/>
        <v>18011.94435896385</v>
      </c>
      <c r="AB269" s="62">
        <f t="shared" si="204"/>
        <v>18008.010705203578</v>
      </c>
      <c r="AC269" s="62">
        <f t="shared" si="204"/>
        <v>18005.371608019701</v>
      </c>
    </row>
    <row r="270" spans="1:29" x14ac:dyDescent="0.3">
      <c r="A270" s="30" t="str">
        <f>A252</f>
        <v>Opex var (mode-fees)</v>
      </c>
      <c r="B270" s="62">
        <f>B252*B261</f>
        <v>11550</v>
      </c>
      <c r="C270" s="62">
        <f t="shared" ref="C270:AC270" si="205">C252*C261</f>
        <v>11550</v>
      </c>
      <c r="D270" s="62">
        <f t="shared" si="205"/>
        <v>11550</v>
      </c>
      <c r="E270" s="62">
        <f t="shared" si="205"/>
        <v>11550</v>
      </c>
      <c r="F270" s="62">
        <f t="shared" si="205"/>
        <v>11550</v>
      </c>
      <c r="G270" s="62">
        <f t="shared" si="205"/>
        <v>11550</v>
      </c>
      <c r="H270" s="62">
        <f t="shared" si="205"/>
        <v>11550</v>
      </c>
      <c r="I270" s="62">
        <f t="shared" si="205"/>
        <v>11550</v>
      </c>
      <c r="J270" s="62">
        <f t="shared" si="205"/>
        <v>11550</v>
      </c>
      <c r="K270" s="62">
        <f t="shared" si="205"/>
        <v>11550</v>
      </c>
      <c r="L270" s="62">
        <f t="shared" si="205"/>
        <v>11550</v>
      </c>
      <c r="M270" s="62">
        <f t="shared" si="205"/>
        <v>11550</v>
      </c>
      <c r="N270" s="62">
        <f t="shared" si="205"/>
        <v>11550</v>
      </c>
      <c r="O270" s="62">
        <f t="shared" si="205"/>
        <v>11550</v>
      </c>
      <c r="P270" s="62">
        <f t="shared" si="205"/>
        <v>11550</v>
      </c>
      <c r="Q270" s="62">
        <f t="shared" si="205"/>
        <v>11550</v>
      </c>
      <c r="R270" s="62">
        <f t="shared" si="205"/>
        <v>11550</v>
      </c>
      <c r="S270" s="62">
        <f t="shared" si="205"/>
        <v>11550</v>
      </c>
      <c r="T270" s="62">
        <f t="shared" si="205"/>
        <v>11550</v>
      </c>
      <c r="U270" s="62">
        <f t="shared" si="205"/>
        <v>11550</v>
      </c>
      <c r="V270" s="62">
        <f t="shared" si="205"/>
        <v>11550</v>
      </c>
      <c r="W270" s="62">
        <f t="shared" si="205"/>
        <v>11550</v>
      </c>
      <c r="X270" s="62">
        <f t="shared" si="205"/>
        <v>11550</v>
      </c>
      <c r="Y270" s="62">
        <f t="shared" si="205"/>
        <v>11550</v>
      </c>
      <c r="Z270" s="62">
        <f t="shared" si="205"/>
        <v>11550</v>
      </c>
      <c r="AA270" s="62">
        <f t="shared" si="205"/>
        <v>11550</v>
      </c>
      <c r="AB270" s="62">
        <f t="shared" si="205"/>
        <v>11550</v>
      </c>
      <c r="AC270" s="62">
        <f t="shared" si="205"/>
        <v>11550</v>
      </c>
    </row>
    <row r="271" spans="1:29" x14ac:dyDescent="0.3">
      <c r="A271" s="30" t="str">
        <f>A254</f>
        <v>Fuel Cost</v>
      </c>
      <c r="B271" s="62">
        <f>B253*B254*B261</f>
        <v>56429.57451319453</v>
      </c>
      <c r="C271" s="62">
        <f t="shared" ref="C271:AC271" si="206">C253*C254*C261</f>
        <v>55994.480479235615</v>
      </c>
      <c r="D271" s="62">
        <f t="shared" si="206"/>
        <v>55387.245498921373</v>
      </c>
      <c r="E271" s="62">
        <f t="shared" si="206"/>
        <v>54549.850016259967</v>
      </c>
      <c r="F271" s="62">
        <f t="shared" si="206"/>
        <v>53414.29004850916</v>
      </c>
      <c r="G271" s="62">
        <f t="shared" si="206"/>
        <v>51909.400455309129</v>
      </c>
      <c r="H271" s="62">
        <f t="shared" si="206"/>
        <v>49974.836837356066</v>
      </c>
      <c r="I271" s="62">
        <f t="shared" si="206"/>
        <v>47581.940052956059</v>
      </c>
      <c r="J271" s="62">
        <f t="shared" si="206"/>
        <v>44755.800098562926</v>
      </c>
      <c r="K271" s="62">
        <f t="shared" si="206"/>
        <v>41587.50419618094</v>
      </c>
      <c r="L271" s="62">
        <f t="shared" si="206"/>
        <v>38227.104895619799</v>
      </c>
      <c r="M271" s="62">
        <f t="shared" si="206"/>
        <v>34858.376451705488</v>
      </c>
      <c r="N271" s="62">
        <f t="shared" si="206"/>
        <v>31665.915339026909</v>
      </c>
      <c r="O271" s="62">
        <f t="shared" si="206"/>
        <v>28804.257976724832</v>
      </c>
      <c r="P271" s="62">
        <f t="shared" si="206"/>
        <v>26374.336682451292</v>
      </c>
      <c r="Q271" s="62">
        <f t="shared" si="206"/>
        <v>24412.894351062154</v>
      </c>
      <c r="R271" s="62">
        <f t="shared" si="206"/>
        <v>22898.893404220678</v>
      </c>
      <c r="S271" s="62">
        <f t="shared" si="206"/>
        <v>21772.964409381868</v>
      </c>
      <c r="T271" s="62">
        <f t="shared" si="206"/>
        <v>20959.829826633435</v>
      </c>
      <c r="U271" s="62">
        <f t="shared" si="206"/>
        <v>20385.419909384382</v>
      </c>
      <c r="V271" s="62">
        <f t="shared" si="206"/>
        <v>19986.120146843547</v>
      </c>
      <c r="W271" s="62">
        <f t="shared" si="206"/>
        <v>19711.697738507861</v>
      </c>
      <c r="X271" s="62">
        <f t="shared" si="206"/>
        <v>19524.593315462938</v>
      </c>
      <c r="Y271" s="62">
        <f t="shared" si="206"/>
        <v>19397.720432976392</v>
      </c>
      <c r="Z271" s="62">
        <f t="shared" si="206"/>
        <v>19312.010914661711</v>
      </c>
      <c r="AA271" s="62">
        <f t="shared" si="206"/>
        <v>19254.256274826032</v>
      </c>
      <c r="AB271" s="62">
        <f t="shared" si="206"/>
        <v>19215.405509674438</v>
      </c>
      <c r="AC271" s="62">
        <f t="shared" si="206"/>
        <v>19189.301332748924</v>
      </c>
    </row>
    <row r="272" spans="1:29" ht="15" thickBot="1" x14ac:dyDescent="0.35">
      <c r="A272" s="59" t="str">
        <f>A235</f>
        <v>Emission Cost</v>
      </c>
      <c r="B272" s="62">
        <f>B255*B261</f>
        <v>955.97777531877307</v>
      </c>
      <c r="C272" s="62">
        <f t="shared" ref="C272:AC272" si="207">C255*C261</f>
        <v>955.06745155107035</v>
      </c>
      <c r="D272" s="62">
        <f t="shared" si="207"/>
        <v>953.76434335343106</v>
      </c>
      <c r="E272" s="62">
        <f t="shared" si="207"/>
        <v>951.90015543804304</v>
      </c>
      <c r="F272" s="62">
        <f t="shared" si="207"/>
        <v>949.23581955346685</v>
      </c>
      <c r="G272" s="62">
        <f t="shared" si="207"/>
        <v>945.43323645931503</v>
      </c>
      <c r="H272" s="62">
        <f t="shared" si="207"/>
        <v>940.01742525749569</v>
      </c>
      <c r="I272" s="62">
        <f t="shared" si="207"/>
        <v>932.32774971713263</v>
      </c>
      <c r="J272" s="62">
        <f t="shared" si="207"/>
        <v>921.4591322714698</v>
      </c>
      <c r="K272" s="62">
        <f t="shared" si="207"/>
        <v>906.19978946386072</v>
      </c>
      <c r="L272" s="62">
        <f t="shared" si="207"/>
        <v>884.98376364831449</v>
      </c>
      <c r="M272" s="62">
        <f t="shared" si="207"/>
        <v>855.89738594830521</v>
      </c>
      <c r="N272" s="62">
        <f t="shared" si="207"/>
        <v>816.80841108972015</v>
      </c>
      <c r="O272" s="62">
        <f t="shared" si="207"/>
        <v>765.71156951496675</v>
      </c>
      <c r="P272" s="62">
        <f t="shared" si="207"/>
        <v>701.36373403874802</v>
      </c>
      <c r="Q272" s="62">
        <f t="shared" si="207"/>
        <v>624.1481785721918</v>
      </c>
      <c r="R272" s="62">
        <f t="shared" si="207"/>
        <v>536.83486277057239</v>
      </c>
      <c r="S272" s="62">
        <f t="shared" si="207"/>
        <v>444.65855351632302</v>
      </c>
      <c r="T272" s="62">
        <f t="shared" si="207"/>
        <v>354.29610161724673</v>
      </c>
      <c r="U272" s="62">
        <f t="shared" si="207"/>
        <v>272.03730167306605</v>
      </c>
      <c r="V272" s="62">
        <f t="shared" si="207"/>
        <v>202.12903559888585</v>
      </c>
      <c r="W272" s="62">
        <f t="shared" si="207"/>
        <v>146.14503433457838</v>
      </c>
      <c r="X272" s="62">
        <f t="shared" si="207"/>
        <v>103.42675662262052</v>
      </c>
      <c r="Y272" s="62">
        <f t="shared" si="207"/>
        <v>72.025396493506534</v>
      </c>
      <c r="Z272" s="62">
        <f t="shared" si="207"/>
        <v>49.573878274127274</v>
      </c>
      <c r="AA272" s="62">
        <f t="shared" si="207"/>
        <v>33.838679634706402</v>
      </c>
      <c r="AB272" s="62">
        <f t="shared" si="207"/>
        <v>22.964690213973213</v>
      </c>
      <c r="AC272" s="62">
        <f t="shared" si="207"/>
        <v>15.52307738168804</v>
      </c>
    </row>
    <row r="273" spans="1:29" ht="15" thickBot="1" x14ac:dyDescent="0.35">
      <c r="A273" s="31" t="s">
        <v>209</v>
      </c>
      <c r="B273" s="64">
        <f>B264+B265+B266+B267+B268+B269+B270+B271+B272</f>
        <v>219745.19691430137</v>
      </c>
      <c r="C273" s="64">
        <f t="shared" ref="C273:AC273" si="208">C264+C265+C266+C267+C268+C269+C270+C271+C272</f>
        <v>218629.70044541551</v>
      </c>
      <c r="D273" s="64">
        <f t="shared" si="208"/>
        <v>217076.42165911774</v>
      </c>
      <c r="E273" s="64">
        <f t="shared" si="208"/>
        <v>214941.95783469634</v>
      </c>
      <c r="F273" s="64">
        <f t="shared" si="208"/>
        <v>212063.11793675981</v>
      </c>
      <c r="G273" s="64">
        <f t="shared" si="208"/>
        <v>208279.10491651125</v>
      </c>
      <c r="H273" s="64">
        <f t="shared" si="208"/>
        <v>203473.74346353416</v>
      </c>
      <c r="I273" s="64">
        <f t="shared" si="208"/>
        <v>197634.78082581097</v>
      </c>
      <c r="J273" s="64">
        <f t="shared" si="208"/>
        <v>190909.74705954688</v>
      </c>
      <c r="K273" s="64">
        <f t="shared" si="208"/>
        <v>183621.61956876845</v>
      </c>
      <c r="L273" s="64">
        <f t="shared" si="208"/>
        <v>176216.20230120906</v>
      </c>
      <c r="M273" s="64">
        <f t="shared" si="208"/>
        <v>169155.43774838973</v>
      </c>
      <c r="N273" s="64">
        <f t="shared" si="208"/>
        <v>162810.90200340078</v>
      </c>
      <c r="O273" s="64">
        <f t="shared" si="208"/>
        <v>157405.20379204952</v>
      </c>
      <c r="P273" s="64">
        <f t="shared" si="208"/>
        <v>153008.707739846</v>
      </c>
      <c r="Q273" s="64">
        <f t="shared" si="208"/>
        <v>149571.76050616705</v>
      </c>
      <c r="R273" s="64">
        <f t="shared" si="208"/>
        <v>146970.68958912799</v>
      </c>
      <c r="S273" s="64">
        <f t="shared" si="208"/>
        <v>145051.90251401669</v>
      </c>
      <c r="T273" s="64">
        <f t="shared" si="208"/>
        <v>143664.19130832818</v>
      </c>
      <c r="U273" s="64">
        <f t="shared" si="208"/>
        <v>142676.15070457387</v>
      </c>
      <c r="V273" s="64">
        <f t="shared" si="208"/>
        <v>141981.68197867542</v>
      </c>
      <c r="W273" s="64">
        <f t="shared" si="208"/>
        <v>141498.84416179068</v>
      </c>
      <c r="X273" s="64">
        <f t="shared" si="208"/>
        <v>141166.19107453804</v>
      </c>
      <c r="Y273" s="64">
        <f t="shared" si="208"/>
        <v>140938.6919265514</v>
      </c>
      <c r="Z273" s="64">
        <f t="shared" si="208"/>
        <v>140783.99447386476</v>
      </c>
      <c r="AA273" s="64">
        <f t="shared" si="208"/>
        <v>140679.25010064902</v>
      </c>
      <c r="AB273" s="64">
        <f t="shared" si="208"/>
        <v>140608.5476688417</v>
      </c>
      <c r="AC273" s="64">
        <f t="shared" si="208"/>
        <v>140560.92790809181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09">A264</f>
        <v>Capex vehicle</v>
      </c>
      <c r="B276" s="65">
        <f>((1+B249)^B256)*B249/(((1+B249)^B256)-1)*(B245)/B261</f>
        <v>0.58435662757767437</v>
      </c>
      <c r="C276" s="65">
        <f t="shared" ref="C276:AC276" si="210">((1+C249)^C256)*C249/(((1+C249)^C256)-1)*(C245)/C261</f>
        <v>0.57861632815139952</v>
      </c>
      <c r="D276" s="65">
        <f t="shared" si="210"/>
        <v>0.57063522815565915</v>
      </c>
      <c r="E276" s="65">
        <f t="shared" si="210"/>
        <v>0.55969343863504373</v>
      </c>
      <c r="F276" s="65">
        <f t="shared" si="210"/>
        <v>0.54498884599410002</v>
      </c>
      <c r="G276" s="65">
        <f t="shared" si="210"/>
        <v>0.52576710269400517</v>
      </c>
      <c r="H276" s="65">
        <f t="shared" si="210"/>
        <v>0.50156056590383791</v>
      </c>
      <c r="I276" s="65">
        <f t="shared" si="210"/>
        <v>0.47251341660438456</v>
      </c>
      <c r="J276" s="65">
        <f t="shared" si="210"/>
        <v>0.43966766545235858</v>
      </c>
      <c r="K276" s="65">
        <f t="shared" si="210"/>
        <v>0.40499254072389063</v>
      </c>
      <c r="L276" s="65">
        <f t="shared" si="210"/>
        <v>0.37099975759207732</v>
      </c>
      <c r="M276" s="65">
        <f t="shared" si="210"/>
        <v>0.34005542741488415</v>
      </c>
      <c r="N276" s="65">
        <f t="shared" si="210"/>
        <v>0.31375715332162663</v>
      </c>
      <c r="O276" s="65">
        <f t="shared" si="210"/>
        <v>0.29269694552697484</v>
      </c>
      <c r="P276" s="65">
        <f t="shared" si="210"/>
        <v>0.27662707226093081</v>
      </c>
      <c r="Q276" s="65">
        <f t="shared" si="210"/>
        <v>0.26481442660468946</v>
      </c>
      <c r="R276" s="65">
        <f t="shared" si="210"/>
        <v>0.25636855585005669</v>
      </c>
      <c r="S276" s="65">
        <f t="shared" si="210"/>
        <v>0.2504492477343005</v>
      </c>
      <c r="T276" s="65">
        <f t="shared" si="210"/>
        <v>0.24635864199720231</v>
      </c>
      <c r="U276" s="65">
        <f t="shared" si="210"/>
        <v>0.24355923664860338</v>
      </c>
      <c r="V276" s="65">
        <f t="shared" si="210"/>
        <v>0.24165625083001557</v>
      </c>
      <c r="W276" s="65">
        <f t="shared" si="210"/>
        <v>0.24036852150187074</v>
      </c>
      <c r="X276" s="65">
        <f t="shared" si="210"/>
        <v>0.23949981795268857</v>
      </c>
      <c r="Y276" s="65">
        <f t="shared" si="210"/>
        <v>0.23891501103873214</v>
      </c>
      <c r="Z276" s="65">
        <f t="shared" si="210"/>
        <v>0.23852187481455134</v>
      </c>
      <c r="AA276" s="65">
        <f t="shared" si="210"/>
        <v>0.23825783880163287</v>
      </c>
      <c r="AB276" s="65">
        <f t="shared" si="210"/>
        <v>0.2380806209257828</v>
      </c>
      <c r="AC276" s="65">
        <f t="shared" si="210"/>
        <v>0.23796172505299079</v>
      </c>
    </row>
    <row r="277" spans="1:29" x14ac:dyDescent="0.3">
      <c r="A277" s="30" t="str">
        <f t="shared" si="209"/>
        <v>Residual value (vehicle)</v>
      </c>
      <c r="B277" s="66">
        <f>((1+B249)^B256)*B249/(((1+B249)^B256)-1)*(B246)/B261</f>
        <v>-8.8562181550036131E-2</v>
      </c>
      <c r="C277" s="66">
        <f t="shared" ref="C277:AC277" si="211">((1+C249)^C256)*C249/(((1+C249)^C256)-1)*(C246)/C261</f>
        <v>-8.8079752130168359E-2</v>
      </c>
      <c r="D277" s="66">
        <f t="shared" si="211"/>
        <v>-8.7409000109249749E-2</v>
      </c>
      <c r="E277" s="66">
        <f t="shared" si="211"/>
        <v>-8.6489424181453362E-2</v>
      </c>
      <c r="F277" s="66">
        <f t="shared" si="211"/>
        <v>-8.5253612672267665E-2</v>
      </c>
      <c r="G277" s="66">
        <f t="shared" si="211"/>
        <v>-8.3638168288536277E-2</v>
      </c>
      <c r="H277" s="66">
        <f t="shared" si="211"/>
        <v>-8.1603789132766905E-2</v>
      </c>
      <c r="I277" s="66">
        <f t="shared" si="211"/>
        <v>-7.9162592542706467E-2</v>
      </c>
      <c r="J277" s="66">
        <f t="shared" si="211"/>
        <v>-7.6402151754397893E-2</v>
      </c>
      <c r="K277" s="66">
        <f t="shared" si="211"/>
        <v>-7.3487965739984104E-2</v>
      </c>
      <c r="L277" s="66">
        <f t="shared" si="211"/>
        <v>-7.0631125455501931E-2</v>
      </c>
      <c r="M277" s="66">
        <f t="shared" si="211"/>
        <v>-6.8030484940610148E-2</v>
      </c>
      <c r="N277" s="66">
        <f t="shared" si="211"/>
        <v>-6.5820310841283189E-2</v>
      </c>
      <c r="O277" s="66">
        <f t="shared" si="211"/>
        <v>-6.4050357207477357E-2</v>
      </c>
      <c r="P277" s="66">
        <f t="shared" si="211"/>
        <v>-6.2699804028735359E-2</v>
      </c>
      <c r="Q277" s="66">
        <f t="shared" si="211"/>
        <v>-6.1707039127838467E-2</v>
      </c>
      <c r="R277" s="66">
        <f t="shared" si="211"/>
        <v>-6.0997226585693808E-2</v>
      </c>
      <c r="S277" s="66">
        <f t="shared" si="211"/>
        <v>-6.0499752818518548E-2</v>
      </c>
      <c r="T277" s="66">
        <f t="shared" si="211"/>
        <v>-6.0155967868273062E-2</v>
      </c>
      <c r="U277" s="66">
        <f t="shared" si="211"/>
        <v>-5.9920698695358904E-2</v>
      </c>
      <c r="V277" s="66">
        <f t="shared" si="211"/>
        <v>-5.9760766908477578E-2</v>
      </c>
      <c r="W277" s="66">
        <f t="shared" si="211"/>
        <v>-5.965254284792073E-2</v>
      </c>
      <c r="X277" s="66">
        <f t="shared" si="211"/>
        <v>-5.957953478368095E-2</v>
      </c>
      <c r="Y277" s="66">
        <f t="shared" si="211"/>
        <v>-5.9530386117508022E-2</v>
      </c>
      <c r="Z277" s="66">
        <f t="shared" si="211"/>
        <v>-5.9497345945475795E-2</v>
      </c>
      <c r="AA277" s="66">
        <f t="shared" si="211"/>
        <v>-5.9475155684815637E-2</v>
      </c>
      <c r="AB277" s="66">
        <f t="shared" si="211"/>
        <v>-5.9460261842058014E-2</v>
      </c>
      <c r="AC277" s="66">
        <f t="shared" si="211"/>
        <v>-5.9450269529344645E-2</v>
      </c>
    </row>
    <row r="278" spans="1:29" x14ac:dyDescent="0.3">
      <c r="A278" s="30" t="str">
        <f t="shared" si="209"/>
        <v>Capex costumization</v>
      </c>
      <c r="B278" s="66">
        <f>((1+B249)^B257)*B249/(((1+B249)^B257)-1)*(B247)/B261</f>
        <v>3.8819416634395351E-2</v>
      </c>
      <c r="C278" s="66">
        <f t="shared" ref="C278:AC278" si="212">((1+C249)^C257)*C249/(((1+C249)^C257)-1)*(C247)/C261</f>
        <v>3.8819416634395351E-2</v>
      </c>
      <c r="D278" s="66">
        <f t="shared" si="212"/>
        <v>3.8819416634395351E-2</v>
      </c>
      <c r="E278" s="66">
        <f t="shared" si="212"/>
        <v>3.8819416634395351E-2</v>
      </c>
      <c r="F278" s="66">
        <f t="shared" si="212"/>
        <v>3.8819416634395351E-2</v>
      </c>
      <c r="G278" s="66">
        <f t="shared" si="212"/>
        <v>3.8819416634395351E-2</v>
      </c>
      <c r="H278" s="66">
        <f t="shared" si="212"/>
        <v>3.8819416634395351E-2</v>
      </c>
      <c r="I278" s="66">
        <f t="shared" si="212"/>
        <v>3.8819416634395351E-2</v>
      </c>
      <c r="J278" s="66">
        <f t="shared" si="212"/>
        <v>3.8819416634395351E-2</v>
      </c>
      <c r="K278" s="66">
        <f t="shared" si="212"/>
        <v>3.8819416634395351E-2</v>
      </c>
      <c r="L278" s="66">
        <f t="shared" si="212"/>
        <v>3.8819416634395351E-2</v>
      </c>
      <c r="M278" s="66">
        <f t="shared" si="212"/>
        <v>3.8819416634395351E-2</v>
      </c>
      <c r="N278" s="66">
        <f t="shared" si="212"/>
        <v>3.8819416634395351E-2</v>
      </c>
      <c r="O278" s="66">
        <f t="shared" si="212"/>
        <v>3.8819416634395351E-2</v>
      </c>
      <c r="P278" s="66">
        <f t="shared" si="212"/>
        <v>3.8819416634395351E-2</v>
      </c>
      <c r="Q278" s="66">
        <f t="shared" si="212"/>
        <v>3.8819416634395351E-2</v>
      </c>
      <c r="R278" s="66">
        <f t="shared" si="212"/>
        <v>3.8819416634395351E-2</v>
      </c>
      <c r="S278" s="66">
        <f t="shared" si="212"/>
        <v>3.8819416634395351E-2</v>
      </c>
      <c r="T278" s="66">
        <f t="shared" si="212"/>
        <v>3.8819416634395351E-2</v>
      </c>
      <c r="U278" s="66">
        <f t="shared" si="212"/>
        <v>3.8819416634395351E-2</v>
      </c>
      <c r="V278" s="66">
        <f t="shared" si="212"/>
        <v>3.8819416634395351E-2</v>
      </c>
      <c r="W278" s="66">
        <f t="shared" si="212"/>
        <v>3.8819416634395351E-2</v>
      </c>
      <c r="X278" s="66">
        <f t="shared" si="212"/>
        <v>3.8819416634395351E-2</v>
      </c>
      <c r="Y278" s="66">
        <f t="shared" si="212"/>
        <v>3.8819416634395351E-2</v>
      </c>
      <c r="Z278" s="66">
        <f t="shared" si="212"/>
        <v>3.8819416634395351E-2</v>
      </c>
      <c r="AA278" s="66">
        <f t="shared" si="212"/>
        <v>3.8819416634395351E-2</v>
      </c>
      <c r="AB278" s="66">
        <f t="shared" si="212"/>
        <v>3.8819416634395351E-2</v>
      </c>
      <c r="AC278" s="66">
        <f t="shared" si="212"/>
        <v>3.8819416634395351E-2</v>
      </c>
    </row>
    <row r="279" spans="1:29" x14ac:dyDescent="0.3">
      <c r="A279" s="30" t="str">
        <f t="shared" si="209"/>
        <v>Residual value (costumization)</v>
      </c>
      <c r="B279" s="66">
        <f>((1+B249)^B257)*B249/(((1+B249)^B257)-1)*(B248)/B261</f>
        <v>-9.7048541585988378E-3</v>
      </c>
      <c r="C279" s="66">
        <f t="shared" ref="C279:AC279" si="213">((1+C249)^C257)*C249/(((1+C249)^C257)-1)*(C248)/C261</f>
        <v>-9.7048541585988378E-3</v>
      </c>
      <c r="D279" s="66">
        <f t="shared" si="213"/>
        <v>-9.7048541585988378E-3</v>
      </c>
      <c r="E279" s="66">
        <f t="shared" si="213"/>
        <v>-9.7048541585988378E-3</v>
      </c>
      <c r="F279" s="66">
        <f t="shared" si="213"/>
        <v>-9.7048541585988378E-3</v>
      </c>
      <c r="G279" s="66">
        <f t="shared" si="213"/>
        <v>-9.7048541585988378E-3</v>
      </c>
      <c r="H279" s="66">
        <f t="shared" si="213"/>
        <v>-9.7048541585988378E-3</v>
      </c>
      <c r="I279" s="66">
        <f t="shared" si="213"/>
        <v>-9.7048541585988378E-3</v>
      </c>
      <c r="J279" s="66">
        <f t="shared" si="213"/>
        <v>-9.7048541585988378E-3</v>
      </c>
      <c r="K279" s="66">
        <f t="shared" si="213"/>
        <v>-9.7048541585988378E-3</v>
      </c>
      <c r="L279" s="66">
        <f t="shared" si="213"/>
        <v>-9.7048541585988378E-3</v>
      </c>
      <c r="M279" s="66">
        <f t="shared" si="213"/>
        <v>-9.7048541585988378E-3</v>
      </c>
      <c r="N279" s="66">
        <f t="shared" si="213"/>
        <v>-9.7048541585988378E-3</v>
      </c>
      <c r="O279" s="66">
        <f t="shared" si="213"/>
        <v>-9.7048541585988378E-3</v>
      </c>
      <c r="P279" s="66">
        <f t="shared" si="213"/>
        <v>-9.7048541585988378E-3</v>
      </c>
      <c r="Q279" s="66">
        <f t="shared" si="213"/>
        <v>-9.7048541585988378E-3</v>
      </c>
      <c r="R279" s="66">
        <f t="shared" si="213"/>
        <v>-9.7048541585988378E-3</v>
      </c>
      <c r="S279" s="66">
        <f t="shared" si="213"/>
        <v>-9.7048541585988378E-3</v>
      </c>
      <c r="T279" s="66">
        <f t="shared" si="213"/>
        <v>-9.7048541585988378E-3</v>
      </c>
      <c r="U279" s="66">
        <f t="shared" si="213"/>
        <v>-9.7048541585988378E-3</v>
      </c>
      <c r="V279" s="66">
        <f t="shared" si="213"/>
        <v>-9.7048541585988378E-3</v>
      </c>
      <c r="W279" s="66">
        <f t="shared" si="213"/>
        <v>-9.7048541585988378E-3</v>
      </c>
      <c r="X279" s="66">
        <f t="shared" si="213"/>
        <v>-9.7048541585988378E-3</v>
      </c>
      <c r="Y279" s="66">
        <f t="shared" si="213"/>
        <v>-9.7048541585988378E-3</v>
      </c>
      <c r="Z279" s="66">
        <f t="shared" si="213"/>
        <v>-9.7048541585988378E-3</v>
      </c>
      <c r="AA279" s="66">
        <f t="shared" si="213"/>
        <v>-9.7048541585988378E-3</v>
      </c>
      <c r="AB279" s="66">
        <f t="shared" si="213"/>
        <v>-9.7048541585988378E-3</v>
      </c>
      <c r="AC279" s="66">
        <f t="shared" si="213"/>
        <v>-9.7048541585988378E-3</v>
      </c>
    </row>
    <row r="280" spans="1:29" x14ac:dyDescent="0.3">
      <c r="A280" s="30" t="str">
        <f t="shared" si="209"/>
        <v>Opex fix (admin, crew, insurance)</v>
      </c>
      <c r="B280" s="66">
        <f>B250/B261</f>
        <v>0.66666666666666663</v>
      </c>
      <c r="C280" s="66">
        <f t="shared" ref="C280:AC280" si="214">C250/C261</f>
        <v>0.66666666666666663</v>
      </c>
      <c r="D280" s="66">
        <f t="shared" si="214"/>
        <v>0.66666666666666663</v>
      </c>
      <c r="E280" s="66">
        <f t="shared" si="214"/>
        <v>0.66666666666666663</v>
      </c>
      <c r="F280" s="66">
        <f t="shared" si="214"/>
        <v>0.66666666666666663</v>
      </c>
      <c r="G280" s="66">
        <f t="shared" si="214"/>
        <v>0.66666666666666663</v>
      </c>
      <c r="H280" s="66">
        <f t="shared" si="214"/>
        <v>0.66666666666666663</v>
      </c>
      <c r="I280" s="66">
        <f t="shared" si="214"/>
        <v>0.66666666666666663</v>
      </c>
      <c r="J280" s="66">
        <f t="shared" si="214"/>
        <v>0.66666666666666663</v>
      </c>
      <c r="K280" s="66">
        <f t="shared" si="214"/>
        <v>0.66666666666666663</v>
      </c>
      <c r="L280" s="66">
        <f t="shared" si="214"/>
        <v>0.66666666666666663</v>
      </c>
      <c r="M280" s="66">
        <f t="shared" si="214"/>
        <v>0.66666666666666663</v>
      </c>
      <c r="N280" s="66">
        <f t="shared" si="214"/>
        <v>0.66666666666666663</v>
      </c>
      <c r="O280" s="66">
        <f t="shared" si="214"/>
        <v>0.66666666666666663</v>
      </c>
      <c r="P280" s="66">
        <f t="shared" si="214"/>
        <v>0.66666666666666663</v>
      </c>
      <c r="Q280" s="66">
        <f t="shared" si="214"/>
        <v>0.66666666666666663</v>
      </c>
      <c r="R280" s="66">
        <f t="shared" si="214"/>
        <v>0.66666666666666663</v>
      </c>
      <c r="S280" s="66">
        <f t="shared" si="214"/>
        <v>0.66666666666666663</v>
      </c>
      <c r="T280" s="66">
        <f t="shared" si="214"/>
        <v>0.66666666666666663</v>
      </c>
      <c r="U280" s="66">
        <f t="shared" si="214"/>
        <v>0.66666666666666663</v>
      </c>
      <c r="V280" s="66">
        <f t="shared" si="214"/>
        <v>0.66666666666666663</v>
      </c>
      <c r="W280" s="66">
        <f t="shared" si="214"/>
        <v>0.66666666666666663</v>
      </c>
      <c r="X280" s="66">
        <f t="shared" si="214"/>
        <v>0.66666666666666663</v>
      </c>
      <c r="Y280" s="66">
        <f t="shared" si="214"/>
        <v>0.66666666666666663</v>
      </c>
      <c r="Z280" s="66">
        <f t="shared" si="214"/>
        <v>0.66666666666666663</v>
      </c>
      <c r="AA280" s="66">
        <f t="shared" si="214"/>
        <v>0.66666666666666663</v>
      </c>
      <c r="AB280" s="66">
        <f t="shared" si="214"/>
        <v>0.66666666666666663</v>
      </c>
      <c r="AC280" s="66">
        <f t="shared" si="214"/>
        <v>0.66666666666666663</v>
      </c>
    </row>
    <row r="281" spans="1:29" x14ac:dyDescent="0.3">
      <c r="A281" s="30" t="str">
        <f t="shared" si="209"/>
        <v>Opex maintenance &amp; repair</v>
      </c>
      <c r="B281" s="66">
        <f>B251/B261</f>
        <v>0.24470665459930879</v>
      </c>
      <c r="C281" s="66">
        <f t="shared" ref="C281:AC281" si="215">C251/C261</f>
        <v>0.24349317116610389</v>
      </c>
      <c r="D281" s="66">
        <f t="shared" si="215"/>
        <v>0.24180598868582209</v>
      </c>
      <c r="E281" s="66">
        <f t="shared" si="215"/>
        <v>0.23949292462297786</v>
      </c>
      <c r="F281" s="66">
        <f t="shared" si="215"/>
        <v>0.23638441438043964</v>
      </c>
      <c r="G281" s="66">
        <f t="shared" si="215"/>
        <v>0.23232099097342773</v>
      </c>
      <c r="H281" s="66">
        <f t="shared" si="215"/>
        <v>0.22720379599999496</v>
      </c>
      <c r="I281" s="66">
        <f t="shared" si="215"/>
        <v>0.22106330892098036</v>
      </c>
      <c r="J281" s="66">
        <f t="shared" si="215"/>
        <v>0.21411980790921872</v>
      </c>
      <c r="K281" s="66">
        <f t="shared" si="215"/>
        <v>0.20678958237956976</v>
      </c>
      <c r="L281" s="66">
        <f t="shared" si="215"/>
        <v>0.19960360197754207</v>
      </c>
      <c r="M281" s="66">
        <f t="shared" si="215"/>
        <v>0.19306205610455709</v>
      </c>
      <c r="N281" s="66">
        <f t="shared" si="215"/>
        <v>0.18750267364656589</v>
      </c>
      <c r="O281" s="66">
        <f t="shared" si="215"/>
        <v>0.18305060392670339</v>
      </c>
      <c r="P281" s="66">
        <f t="shared" si="215"/>
        <v>0.17965347713349333</v>
      </c>
      <c r="Q281" s="66">
        <f t="shared" si="215"/>
        <v>0.1771563164905213</v>
      </c>
      <c r="R281" s="66">
        <f t="shared" si="215"/>
        <v>0.17537088275638113</v>
      </c>
      <c r="S281" s="66">
        <f t="shared" si="215"/>
        <v>0.17411955738097873</v>
      </c>
      <c r="T281" s="66">
        <f t="shared" si="215"/>
        <v>0.1732548146341073</v>
      </c>
      <c r="U281" s="66">
        <f t="shared" si="215"/>
        <v>0.17266302808063919</v>
      </c>
      <c r="V281" s="66">
        <f t="shared" si="215"/>
        <v>0.17226074213821779</v>
      </c>
      <c r="W281" s="66">
        <f t="shared" si="215"/>
        <v>0.17198851971737975</v>
      </c>
      <c r="X281" s="66">
        <f t="shared" si="215"/>
        <v>0.17180487818807663</v>
      </c>
      <c r="Y281" s="66">
        <f t="shared" si="215"/>
        <v>0.17168125162280345</v>
      </c>
      <c r="Z281" s="66">
        <f t="shared" si="215"/>
        <v>0.17159814371159376</v>
      </c>
      <c r="AA281" s="66">
        <f t="shared" si="215"/>
        <v>0.17154232722822715</v>
      </c>
      <c r="AB281" s="66">
        <f t="shared" si="215"/>
        <v>0.1715048638590817</v>
      </c>
      <c r="AC281" s="66">
        <f t="shared" si="215"/>
        <v>0.17147972960018762</v>
      </c>
    </row>
    <row r="282" spans="1:29" x14ac:dyDescent="0.3">
      <c r="A282" s="30" t="str">
        <f t="shared" si="209"/>
        <v>Opex var (mode-fees)</v>
      </c>
      <c r="B282" s="66">
        <f>B252*B261/B261</f>
        <v>0.11</v>
      </c>
      <c r="C282" s="66">
        <f t="shared" ref="C282:AC282" si="216">C252*C261/C261</f>
        <v>0.11</v>
      </c>
      <c r="D282" s="66">
        <f t="shared" si="216"/>
        <v>0.11</v>
      </c>
      <c r="E282" s="66">
        <f t="shared" si="216"/>
        <v>0.11</v>
      </c>
      <c r="F282" s="66">
        <f t="shared" si="216"/>
        <v>0.11</v>
      </c>
      <c r="G282" s="66">
        <f t="shared" si="216"/>
        <v>0.11</v>
      </c>
      <c r="H282" s="66">
        <f t="shared" si="216"/>
        <v>0.11</v>
      </c>
      <c r="I282" s="66">
        <f t="shared" si="216"/>
        <v>0.11</v>
      </c>
      <c r="J282" s="66">
        <f t="shared" si="216"/>
        <v>0.11</v>
      </c>
      <c r="K282" s="66">
        <f t="shared" si="216"/>
        <v>0.11</v>
      </c>
      <c r="L282" s="66">
        <f t="shared" si="216"/>
        <v>0.11</v>
      </c>
      <c r="M282" s="66">
        <f t="shared" si="216"/>
        <v>0.11</v>
      </c>
      <c r="N282" s="66">
        <f t="shared" si="216"/>
        <v>0.11</v>
      </c>
      <c r="O282" s="66">
        <f t="shared" si="216"/>
        <v>0.11</v>
      </c>
      <c r="P282" s="66">
        <f t="shared" si="216"/>
        <v>0.11</v>
      </c>
      <c r="Q282" s="66">
        <f t="shared" si="216"/>
        <v>0.11</v>
      </c>
      <c r="R282" s="66">
        <f t="shared" si="216"/>
        <v>0.11</v>
      </c>
      <c r="S282" s="66">
        <f t="shared" si="216"/>
        <v>0.11</v>
      </c>
      <c r="T282" s="66">
        <f t="shared" si="216"/>
        <v>0.11</v>
      </c>
      <c r="U282" s="66">
        <f t="shared" si="216"/>
        <v>0.11</v>
      </c>
      <c r="V282" s="66">
        <f t="shared" si="216"/>
        <v>0.11</v>
      </c>
      <c r="W282" s="66">
        <f t="shared" si="216"/>
        <v>0.11</v>
      </c>
      <c r="X282" s="66">
        <f t="shared" si="216"/>
        <v>0.11</v>
      </c>
      <c r="Y282" s="66">
        <f t="shared" si="216"/>
        <v>0.11</v>
      </c>
      <c r="Z282" s="66">
        <f t="shared" si="216"/>
        <v>0.11</v>
      </c>
      <c r="AA282" s="66">
        <f t="shared" si="216"/>
        <v>0.11</v>
      </c>
      <c r="AB282" s="66">
        <f t="shared" si="216"/>
        <v>0.11</v>
      </c>
      <c r="AC282" s="66">
        <f t="shared" si="216"/>
        <v>0.11</v>
      </c>
    </row>
    <row r="283" spans="1:29" x14ac:dyDescent="0.3">
      <c r="A283" s="30" t="str">
        <f t="shared" si="209"/>
        <v>Fuel Cost</v>
      </c>
      <c r="B283" s="66">
        <f>B253*B254*B261/B261</f>
        <v>0.53742451917328127</v>
      </c>
      <c r="C283" s="66">
        <f t="shared" ref="C283:AC283" si="217">C253*C254*C261/C261</f>
        <v>0.53328076646891065</v>
      </c>
      <c r="D283" s="66">
        <f t="shared" si="217"/>
        <v>0.52749757618020354</v>
      </c>
      <c r="E283" s="66">
        <f t="shared" si="217"/>
        <v>0.51952238110723781</v>
      </c>
      <c r="F283" s="66">
        <f t="shared" si="217"/>
        <v>0.50870752427151578</v>
      </c>
      <c r="G283" s="66">
        <f t="shared" si="217"/>
        <v>0.49437524243151554</v>
      </c>
      <c r="H283" s="66">
        <f t="shared" si="217"/>
        <v>0.47595082702243874</v>
      </c>
      <c r="I283" s="66">
        <f t="shared" si="217"/>
        <v>0.45316133383767676</v>
      </c>
      <c r="J283" s="66">
        <f t="shared" si="217"/>
        <v>0.42624571522440879</v>
      </c>
      <c r="K283" s="66">
        <f t="shared" si="217"/>
        <v>0.39607146853505659</v>
      </c>
      <c r="L283" s="66">
        <f t="shared" si="217"/>
        <v>0.36406766567256954</v>
      </c>
      <c r="M283" s="66">
        <f t="shared" si="217"/>
        <v>0.33198453763529034</v>
      </c>
      <c r="N283" s="66">
        <f t="shared" si="217"/>
        <v>0.30158014608597056</v>
      </c>
      <c r="O283" s="66">
        <f t="shared" si="217"/>
        <v>0.27432626644499841</v>
      </c>
      <c r="P283" s="66">
        <f t="shared" si="217"/>
        <v>0.25118415888048851</v>
      </c>
      <c r="Q283" s="66">
        <f t="shared" si="217"/>
        <v>0.23250375572440146</v>
      </c>
      <c r="R283" s="66">
        <f t="shared" si="217"/>
        <v>0.218084699087816</v>
      </c>
      <c r="S283" s="66">
        <f t="shared" si="217"/>
        <v>0.20736156580363685</v>
      </c>
      <c r="T283" s="66">
        <f t="shared" si="217"/>
        <v>0.19961742692031842</v>
      </c>
      <c r="U283" s="66">
        <f t="shared" si="217"/>
        <v>0.19414685627985126</v>
      </c>
      <c r="V283" s="66">
        <f t="shared" si="217"/>
        <v>0.19034400139850996</v>
      </c>
      <c r="W283" s="66">
        <f t="shared" si="217"/>
        <v>0.18773045465245583</v>
      </c>
      <c r="X283" s="66">
        <f t="shared" si="217"/>
        <v>0.18594850776631369</v>
      </c>
      <c r="Y283" s="66">
        <f t="shared" si="217"/>
        <v>0.18474019459977517</v>
      </c>
      <c r="Z283" s="66">
        <f t="shared" si="217"/>
        <v>0.18392391347296866</v>
      </c>
      <c r="AA283" s="66">
        <f t="shared" si="217"/>
        <v>0.18337386928405744</v>
      </c>
      <c r="AB283" s="66">
        <f t="shared" si="217"/>
        <v>0.18300386199689941</v>
      </c>
      <c r="AC283" s="66">
        <f t="shared" si="217"/>
        <v>0.18275525078808499</v>
      </c>
    </row>
    <row r="284" spans="1:29" ht="15" thickBot="1" x14ac:dyDescent="0.35">
      <c r="A284" s="59" t="str">
        <f t="shared" ref="A284" si="218">A272</f>
        <v>Emission Cost</v>
      </c>
      <c r="B284" s="66">
        <f>B255</f>
        <v>9.1045502411311718E-3</v>
      </c>
      <c r="C284" s="66">
        <f t="shared" ref="C284:AC284" si="219">C255</f>
        <v>9.095880490962575E-3</v>
      </c>
      <c r="D284" s="66">
        <f t="shared" si="219"/>
        <v>9.0834699366993434E-3</v>
      </c>
      <c r="E284" s="66">
        <f t="shared" si="219"/>
        <v>9.0657157660766E-3</v>
      </c>
      <c r="F284" s="66">
        <f t="shared" si="219"/>
        <v>9.040341138604446E-3</v>
      </c>
      <c r="G284" s="66">
        <f t="shared" si="219"/>
        <v>9.0041260615172855E-3</v>
      </c>
      <c r="H284" s="66">
        <f t="shared" si="219"/>
        <v>8.9525469072142452E-3</v>
      </c>
      <c r="I284" s="66">
        <f t="shared" si="219"/>
        <v>8.8793119020679299E-3</v>
      </c>
      <c r="J284" s="66">
        <f t="shared" si="219"/>
        <v>8.7758012597282838E-3</v>
      </c>
      <c r="K284" s="66">
        <f t="shared" si="219"/>
        <v>8.630474185370102E-3</v>
      </c>
      <c r="L284" s="66">
        <f t="shared" si="219"/>
        <v>8.4284167966506146E-3</v>
      </c>
      <c r="M284" s="66">
        <f t="shared" si="219"/>
        <v>8.1514036756981448E-3</v>
      </c>
      <c r="N284" s="66">
        <f t="shared" si="219"/>
        <v>7.7791277246640009E-3</v>
      </c>
      <c r="O284" s="66">
        <f t="shared" si="219"/>
        <v>7.2924911382377788E-3</v>
      </c>
      <c r="P284" s="66">
        <f t="shared" si="219"/>
        <v>6.6796546098928378E-3</v>
      </c>
      <c r="Q284" s="66">
        <f t="shared" si="219"/>
        <v>5.9442683673542078E-3</v>
      </c>
      <c r="R284" s="66">
        <f t="shared" si="219"/>
        <v>5.1127129787673555E-3</v>
      </c>
      <c r="S284" s="66">
        <f t="shared" si="219"/>
        <v>4.2348433668221242E-3</v>
      </c>
      <c r="T284" s="66">
        <f t="shared" si="219"/>
        <v>3.3742485868309214E-3</v>
      </c>
      <c r="U284" s="66">
        <f t="shared" si="219"/>
        <v>2.5908314445053909E-3</v>
      </c>
      <c r="V284" s="66">
        <f t="shared" si="219"/>
        <v>1.9250384342751033E-3</v>
      </c>
      <c r="W284" s="66">
        <f t="shared" si="219"/>
        <v>1.3918574698531276E-3</v>
      </c>
      <c r="X284" s="66">
        <f t="shared" si="219"/>
        <v>9.8501672973924301E-4</v>
      </c>
      <c r="Y284" s="66">
        <f t="shared" si="219"/>
        <v>6.8595615708101458E-4</v>
      </c>
      <c r="Z284" s="66">
        <f t="shared" si="219"/>
        <v>4.7213217403930738E-4</v>
      </c>
      <c r="AA284" s="66">
        <f t="shared" si="219"/>
        <v>3.2227313937815624E-4</v>
      </c>
      <c r="AB284" s="66">
        <f t="shared" si="219"/>
        <v>2.1871133537117345E-4</v>
      </c>
      <c r="AC284" s="66">
        <f t="shared" si="219"/>
        <v>1.4783883220655276E-4</v>
      </c>
    </row>
    <row r="285" spans="1:29" ht="15" thickBot="1" x14ac:dyDescent="0.35">
      <c r="A285" s="31" t="s">
        <v>63</v>
      </c>
      <c r="B285" s="76">
        <f>B276+B277+B278-B279+B280+B281+B282+B283+B284</f>
        <v>2.1122211075010204</v>
      </c>
      <c r="C285" s="76">
        <f t="shared" ref="C285:AC285" si="220">C276+C277+C278-C279+C280+C281+C282+C283+C284</f>
        <v>2.1015973316068695</v>
      </c>
      <c r="D285" s="76">
        <f t="shared" si="220"/>
        <v>2.0868042003087952</v>
      </c>
      <c r="E285" s="76">
        <f t="shared" si="220"/>
        <v>2.0664759734095433</v>
      </c>
      <c r="F285" s="76">
        <f t="shared" si="220"/>
        <v>2.0390584505720533</v>
      </c>
      <c r="G285" s="76">
        <f t="shared" si="220"/>
        <v>2.0030202313315906</v>
      </c>
      <c r="H285" s="76">
        <f t="shared" si="220"/>
        <v>1.9572548841603801</v>
      </c>
      <c r="I285" s="76">
        <f t="shared" si="220"/>
        <v>1.9016457161820641</v>
      </c>
      <c r="J285" s="76">
        <f t="shared" si="220"/>
        <v>1.8375977755509776</v>
      </c>
      <c r="K285" s="76">
        <f t="shared" si="220"/>
        <v>1.7681870375435638</v>
      </c>
      <c r="L285" s="76">
        <f t="shared" si="220"/>
        <v>1.6976592540429987</v>
      </c>
      <c r="M285" s="76">
        <f t="shared" si="220"/>
        <v>1.6304138773494805</v>
      </c>
      <c r="N285" s="76">
        <f t="shared" si="220"/>
        <v>1.5699897273972048</v>
      </c>
      <c r="O285" s="76">
        <f t="shared" si="220"/>
        <v>1.5185068872890979</v>
      </c>
      <c r="P285" s="76">
        <f t="shared" si="220"/>
        <v>1.4766354963157309</v>
      </c>
      <c r="Q285" s="76">
        <f t="shared" si="220"/>
        <v>1.4439026655187888</v>
      </c>
      <c r="R285" s="76">
        <f t="shared" si="220"/>
        <v>1.4191305615469882</v>
      </c>
      <c r="S285" s="76">
        <f t="shared" si="220"/>
        <v>1.4008563989268807</v>
      </c>
      <c r="T285" s="76">
        <f t="shared" si="220"/>
        <v>1.3876401017298468</v>
      </c>
      <c r="U285" s="76">
        <f t="shared" si="220"/>
        <v>1.3782301912179011</v>
      </c>
      <c r="V285" s="76">
        <f t="shared" si="220"/>
        <v>1.3716162033522019</v>
      </c>
      <c r="W285" s="76">
        <f t="shared" si="220"/>
        <v>1.3670177479532997</v>
      </c>
      <c r="X285" s="76">
        <f t="shared" si="220"/>
        <v>1.3638496233127979</v>
      </c>
      <c r="Y285" s="76">
        <f t="shared" si="220"/>
        <v>1.3616829647605446</v>
      </c>
      <c r="Z285" s="76">
        <f t="shared" si="220"/>
        <v>1.3602096556873382</v>
      </c>
      <c r="AA285" s="76">
        <f t="shared" si="220"/>
        <v>1.359212090228141</v>
      </c>
      <c r="AB285" s="76">
        <f t="shared" si="220"/>
        <v>1.3585387337347379</v>
      </c>
      <c r="AC285" s="76">
        <f t="shared" si="220"/>
        <v>1.3580852122037861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21">A264</f>
        <v>Capex vehicle</v>
      </c>
      <c r="B288" s="65">
        <f>((1+B249)^B256)*B249/(((1+B249)^B256)-1)*(B245)/B261/(B258)</f>
        <v>2.3374265103106976E-2</v>
      </c>
      <c r="C288" s="65">
        <f t="shared" ref="C288:AC288" si="222">((1+C249)^C256)*C249/(((1+C249)^C256)-1)*(C245)/C261/(C258)</f>
        <v>2.3144653126055979E-2</v>
      </c>
      <c r="D288" s="65">
        <f t="shared" si="222"/>
        <v>2.2825409126226368E-2</v>
      </c>
      <c r="E288" s="65">
        <f t="shared" si="222"/>
        <v>2.2387737545401749E-2</v>
      </c>
      <c r="F288" s="65">
        <f t="shared" si="222"/>
        <v>2.1799553839764001E-2</v>
      </c>
      <c r="G288" s="65">
        <f t="shared" si="222"/>
        <v>2.1030684107760208E-2</v>
      </c>
      <c r="H288" s="65">
        <f t="shared" si="222"/>
        <v>2.0062422636153515E-2</v>
      </c>
      <c r="I288" s="65">
        <f t="shared" si="222"/>
        <v>1.8900536664175384E-2</v>
      </c>
      <c r="J288" s="65">
        <f t="shared" si="222"/>
        <v>1.7586706618094344E-2</v>
      </c>
      <c r="K288" s="65">
        <f t="shared" si="222"/>
        <v>1.6199701628955624E-2</v>
      </c>
      <c r="L288" s="65">
        <f t="shared" si="222"/>
        <v>1.4839990303683093E-2</v>
      </c>
      <c r="M288" s="65">
        <f t="shared" si="222"/>
        <v>1.3602217096595365E-2</v>
      </c>
      <c r="N288" s="65">
        <f t="shared" si="222"/>
        <v>1.2550286132865065E-2</v>
      </c>
      <c r="O288" s="65">
        <f t="shared" si="222"/>
        <v>1.1707877821078993E-2</v>
      </c>
      <c r="P288" s="65">
        <f t="shared" si="222"/>
        <v>1.1065082890437233E-2</v>
      </c>
      <c r="Q288" s="65">
        <f t="shared" si="222"/>
        <v>1.0592577064187578E-2</v>
      </c>
      <c r="R288" s="65">
        <f t="shared" si="222"/>
        <v>1.0254742234002268E-2</v>
      </c>
      <c r="S288" s="65">
        <f t="shared" si="222"/>
        <v>1.001796990937202E-2</v>
      </c>
      <c r="T288" s="65">
        <f t="shared" si="222"/>
        <v>9.8543456798880925E-3</v>
      </c>
      <c r="U288" s="65">
        <f t="shared" si="222"/>
        <v>9.7423694659441347E-3</v>
      </c>
      <c r="V288" s="65">
        <f t="shared" si="222"/>
        <v>9.6662500332006223E-3</v>
      </c>
      <c r="W288" s="65">
        <f t="shared" si="222"/>
        <v>9.6147408600748292E-3</v>
      </c>
      <c r="X288" s="65">
        <f t="shared" si="222"/>
        <v>9.5799927181075429E-3</v>
      </c>
      <c r="Y288" s="65">
        <f t="shared" si="222"/>
        <v>9.5566004415492851E-3</v>
      </c>
      <c r="Z288" s="65">
        <f t="shared" si="222"/>
        <v>9.5408749925820543E-3</v>
      </c>
      <c r="AA288" s="65">
        <f t="shared" si="222"/>
        <v>9.5303135520653157E-3</v>
      </c>
      <c r="AB288" s="65">
        <f t="shared" si="222"/>
        <v>9.5232248370313126E-3</v>
      </c>
      <c r="AC288" s="65">
        <f t="shared" si="222"/>
        <v>9.5184690021196325E-3</v>
      </c>
    </row>
    <row r="289" spans="1:29" x14ac:dyDescent="0.3">
      <c r="A289" s="30" t="str">
        <f t="shared" si="221"/>
        <v>Residual value (vehicle)</v>
      </c>
      <c r="B289" s="68">
        <f>((1+B249)^B256)*B249/(((1+B249)^B256)-1)*(B246)/B261/(B258)</f>
        <v>-3.5424872620014453E-3</v>
      </c>
      <c r="C289" s="68">
        <f t="shared" ref="C289:AC289" si="223">((1+C249)^C256)*C249/(((1+C249)^C256)-1)*(C246)/C261/(C258)</f>
        <v>-3.5231900852067343E-3</v>
      </c>
      <c r="D289" s="68">
        <f t="shared" si="223"/>
        <v>-3.4963600043699901E-3</v>
      </c>
      <c r="E289" s="68">
        <f t="shared" si="223"/>
        <v>-3.4595769672581345E-3</v>
      </c>
      <c r="F289" s="68">
        <f t="shared" si="223"/>
        <v>-3.4101445068907064E-3</v>
      </c>
      <c r="G289" s="68">
        <f t="shared" si="223"/>
        <v>-3.3455267315414513E-3</v>
      </c>
      <c r="H289" s="68">
        <f t="shared" si="223"/>
        <v>-3.2641515653106762E-3</v>
      </c>
      <c r="I289" s="68">
        <f t="shared" si="223"/>
        <v>-3.1665037017082585E-3</v>
      </c>
      <c r="J289" s="68">
        <f t="shared" si="223"/>
        <v>-3.0560860701759158E-3</v>
      </c>
      <c r="K289" s="68">
        <f t="shared" si="223"/>
        <v>-2.9395186295993643E-3</v>
      </c>
      <c r="L289" s="68">
        <f t="shared" si="223"/>
        <v>-2.825245018220077E-3</v>
      </c>
      <c r="M289" s="68">
        <f t="shared" si="223"/>
        <v>-2.721219397624406E-3</v>
      </c>
      <c r="N289" s="68">
        <f t="shared" si="223"/>
        <v>-2.6328124336513275E-3</v>
      </c>
      <c r="O289" s="68">
        <f t="shared" si="223"/>
        <v>-2.5620142882990943E-3</v>
      </c>
      <c r="P289" s="68">
        <f t="shared" si="223"/>
        <v>-2.5079921611494142E-3</v>
      </c>
      <c r="Q289" s="68">
        <f t="shared" si="223"/>
        <v>-2.4682815651135386E-3</v>
      </c>
      <c r="R289" s="68">
        <f t="shared" si="223"/>
        <v>-2.4398890634277524E-3</v>
      </c>
      <c r="S289" s="68">
        <f t="shared" si="223"/>
        <v>-2.419990112740742E-3</v>
      </c>
      <c r="T289" s="68">
        <f t="shared" si="223"/>
        <v>-2.4062387147309227E-3</v>
      </c>
      <c r="U289" s="68">
        <f t="shared" si="223"/>
        <v>-2.3968279478143563E-3</v>
      </c>
      <c r="V289" s="68">
        <f t="shared" si="223"/>
        <v>-2.390430676339103E-3</v>
      </c>
      <c r="W289" s="68">
        <f t="shared" si="223"/>
        <v>-2.3861017139168291E-3</v>
      </c>
      <c r="X289" s="68">
        <f t="shared" si="223"/>
        <v>-2.3831813913472379E-3</v>
      </c>
      <c r="Y289" s="68">
        <f t="shared" si="223"/>
        <v>-2.3812154447003207E-3</v>
      </c>
      <c r="Z289" s="68">
        <f t="shared" si="223"/>
        <v>-2.3798938378190317E-3</v>
      </c>
      <c r="AA289" s="68">
        <f t="shared" si="223"/>
        <v>-2.3790062273926255E-3</v>
      </c>
      <c r="AB289" s="68">
        <f t="shared" si="223"/>
        <v>-2.3784104736823204E-3</v>
      </c>
      <c r="AC289" s="68">
        <f t="shared" si="223"/>
        <v>-2.3780107811737857E-3</v>
      </c>
    </row>
    <row r="290" spans="1:29" x14ac:dyDescent="0.3">
      <c r="A290" s="30" t="str">
        <f t="shared" si="221"/>
        <v>Capex costumization</v>
      </c>
      <c r="B290" s="66">
        <f>((1+B249)^B257)*B249/(((1+B249)^B257)-1)*(B247)/B261/(B258)</f>
        <v>1.552776665375814E-3</v>
      </c>
      <c r="C290" s="66">
        <f t="shared" ref="C290:AC290" si="224">((1+C249)^C257)*C249/(((1+C249)^C257)-1)*(C247)/C261/(C258)</f>
        <v>1.552776665375814E-3</v>
      </c>
      <c r="D290" s="66">
        <f t="shared" si="224"/>
        <v>1.552776665375814E-3</v>
      </c>
      <c r="E290" s="66">
        <f t="shared" si="224"/>
        <v>1.552776665375814E-3</v>
      </c>
      <c r="F290" s="66">
        <f t="shared" si="224"/>
        <v>1.552776665375814E-3</v>
      </c>
      <c r="G290" s="66">
        <f t="shared" si="224"/>
        <v>1.552776665375814E-3</v>
      </c>
      <c r="H290" s="66">
        <f t="shared" si="224"/>
        <v>1.552776665375814E-3</v>
      </c>
      <c r="I290" s="66">
        <f t="shared" si="224"/>
        <v>1.552776665375814E-3</v>
      </c>
      <c r="J290" s="66">
        <f t="shared" si="224"/>
        <v>1.552776665375814E-3</v>
      </c>
      <c r="K290" s="66">
        <f t="shared" si="224"/>
        <v>1.552776665375814E-3</v>
      </c>
      <c r="L290" s="66">
        <f t="shared" si="224"/>
        <v>1.552776665375814E-3</v>
      </c>
      <c r="M290" s="66">
        <f t="shared" si="224"/>
        <v>1.552776665375814E-3</v>
      </c>
      <c r="N290" s="66">
        <f t="shared" si="224"/>
        <v>1.552776665375814E-3</v>
      </c>
      <c r="O290" s="66">
        <f t="shared" si="224"/>
        <v>1.552776665375814E-3</v>
      </c>
      <c r="P290" s="66">
        <f t="shared" si="224"/>
        <v>1.552776665375814E-3</v>
      </c>
      <c r="Q290" s="66">
        <f t="shared" si="224"/>
        <v>1.552776665375814E-3</v>
      </c>
      <c r="R290" s="66">
        <f t="shared" si="224"/>
        <v>1.552776665375814E-3</v>
      </c>
      <c r="S290" s="66">
        <f t="shared" si="224"/>
        <v>1.552776665375814E-3</v>
      </c>
      <c r="T290" s="66">
        <f t="shared" si="224"/>
        <v>1.552776665375814E-3</v>
      </c>
      <c r="U290" s="66">
        <f t="shared" si="224"/>
        <v>1.552776665375814E-3</v>
      </c>
      <c r="V290" s="66">
        <f t="shared" si="224"/>
        <v>1.552776665375814E-3</v>
      </c>
      <c r="W290" s="66">
        <f t="shared" si="224"/>
        <v>1.552776665375814E-3</v>
      </c>
      <c r="X290" s="66">
        <f t="shared" si="224"/>
        <v>1.552776665375814E-3</v>
      </c>
      <c r="Y290" s="66">
        <f t="shared" si="224"/>
        <v>1.552776665375814E-3</v>
      </c>
      <c r="Z290" s="66">
        <f t="shared" si="224"/>
        <v>1.552776665375814E-3</v>
      </c>
      <c r="AA290" s="66">
        <f t="shared" si="224"/>
        <v>1.552776665375814E-3</v>
      </c>
      <c r="AB290" s="66">
        <f t="shared" si="224"/>
        <v>1.552776665375814E-3</v>
      </c>
      <c r="AC290" s="66">
        <f t="shared" si="224"/>
        <v>1.552776665375814E-3</v>
      </c>
    </row>
    <row r="291" spans="1:29" x14ac:dyDescent="0.3">
      <c r="A291" s="30" t="str">
        <f t="shared" si="221"/>
        <v>Residual value (costumization)</v>
      </c>
      <c r="B291" s="69">
        <f>((1+B249)^B257)*B249/(((1+B249)^B257)-1)*(B248)/B261/(B258)</f>
        <v>-3.8819416634395349E-4</v>
      </c>
      <c r="C291" s="69">
        <f t="shared" ref="C291:AC291" si="225">((1+C249)^C257)*C249/(((1+C249)^C257)-1)*(C248)/C261/(C258)</f>
        <v>-3.8819416634395349E-4</v>
      </c>
      <c r="D291" s="69">
        <f t="shared" si="225"/>
        <v>-3.8819416634395349E-4</v>
      </c>
      <c r="E291" s="69">
        <f t="shared" si="225"/>
        <v>-3.8819416634395349E-4</v>
      </c>
      <c r="F291" s="69">
        <f t="shared" si="225"/>
        <v>-3.8819416634395349E-4</v>
      </c>
      <c r="G291" s="69">
        <f t="shared" si="225"/>
        <v>-3.8819416634395349E-4</v>
      </c>
      <c r="H291" s="69">
        <f t="shared" si="225"/>
        <v>-3.8819416634395349E-4</v>
      </c>
      <c r="I291" s="69">
        <f t="shared" si="225"/>
        <v>-3.8819416634395349E-4</v>
      </c>
      <c r="J291" s="69">
        <f t="shared" si="225"/>
        <v>-3.8819416634395349E-4</v>
      </c>
      <c r="K291" s="69">
        <f t="shared" si="225"/>
        <v>-3.8819416634395349E-4</v>
      </c>
      <c r="L291" s="69">
        <f t="shared" si="225"/>
        <v>-3.8819416634395349E-4</v>
      </c>
      <c r="M291" s="69">
        <f t="shared" si="225"/>
        <v>-3.8819416634395349E-4</v>
      </c>
      <c r="N291" s="69">
        <f t="shared" si="225"/>
        <v>-3.8819416634395349E-4</v>
      </c>
      <c r="O291" s="69">
        <f t="shared" si="225"/>
        <v>-3.8819416634395349E-4</v>
      </c>
      <c r="P291" s="69">
        <f t="shared" si="225"/>
        <v>-3.8819416634395349E-4</v>
      </c>
      <c r="Q291" s="69">
        <f t="shared" si="225"/>
        <v>-3.8819416634395349E-4</v>
      </c>
      <c r="R291" s="69">
        <f t="shared" si="225"/>
        <v>-3.8819416634395349E-4</v>
      </c>
      <c r="S291" s="69">
        <f t="shared" si="225"/>
        <v>-3.8819416634395349E-4</v>
      </c>
      <c r="T291" s="69">
        <f t="shared" si="225"/>
        <v>-3.8819416634395349E-4</v>
      </c>
      <c r="U291" s="69">
        <f t="shared" si="225"/>
        <v>-3.8819416634395349E-4</v>
      </c>
      <c r="V291" s="69">
        <f t="shared" si="225"/>
        <v>-3.8819416634395349E-4</v>
      </c>
      <c r="W291" s="69">
        <f t="shared" si="225"/>
        <v>-3.8819416634395349E-4</v>
      </c>
      <c r="X291" s="69">
        <f t="shared" si="225"/>
        <v>-3.8819416634395349E-4</v>
      </c>
      <c r="Y291" s="69">
        <f t="shared" si="225"/>
        <v>-3.8819416634395349E-4</v>
      </c>
      <c r="Z291" s="69">
        <f t="shared" si="225"/>
        <v>-3.8819416634395349E-4</v>
      </c>
      <c r="AA291" s="69">
        <f t="shared" si="225"/>
        <v>-3.8819416634395349E-4</v>
      </c>
      <c r="AB291" s="69">
        <f t="shared" si="225"/>
        <v>-3.8819416634395349E-4</v>
      </c>
      <c r="AC291" s="69">
        <f t="shared" si="225"/>
        <v>-3.8819416634395349E-4</v>
      </c>
    </row>
    <row r="292" spans="1:29" x14ac:dyDescent="0.3">
      <c r="A292" s="30" t="str">
        <f t="shared" si="221"/>
        <v>Opex fix (admin, crew, insurance)</v>
      </c>
      <c r="B292" s="66">
        <f>B250/B261/(B258)</f>
        <v>2.6666666666666665E-2</v>
      </c>
      <c r="C292" s="66">
        <f t="shared" ref="C292:AC292" si="226">C250/C261/(C258)</f>
        <v>2.6666666666666665E-2</v>
      </c>
      <c r="D292" s="66">
        <f t="shared" si="226"/>
        <v>2.6666666666666665E-2</v>
      </c>
      <c r="E292" s="66">
        <f t="shared" si="226"/>
        <v>2.6666666666666665E-2</v>
      </c>
      <c r="F292" s="66">
        <f t="shared" si="226"/>
        <v>2.6666666666666665E-2</v>
      </c>
      <c r="G292" s="66">
        <f t="shared" si="226"/>
        <v>2.6666666666666665E-2</v>
      </c>
      <c r="H292" s="66">
        <f t="shared" si="226"/>
        <v>2.6666666666666665E-2</v>
      </c>
      <c r="I292" s="66">
        <f t="shared" si="226"/>
        <v>2.6666666666666665E-2</v>
      </c>
      <c r="J292" s="66">
        <f t="shared" si="226"/>
        <v>2.6666666666666665E-2</v>
      </c>
      <c r="K292" s="66">
        <f t="shared" si="226"/>
        <v>2.6666666666666665E-2</v>
      </c>
      <c r="L292" s="66">
        <f t="shared" si="226"/>
        <v>2.6666666666666665E-2</v>
      </c>
      <c r="M292" s="66">
        <f t="shared" si="226"/>
        <v>2.6666666666666665E-2</v>
      </c>
      <c r="N292" s="66">
        <f t="shared" si="226"/>
        <v>2.6666666666666665E-2</v>
      </c>
      <c r="O292" s="66">
        <f t="shared" si="226"/>
        <v>2.6666666666666665E-2</v>
      </c>
      <c r="P292" s="66">
        <f t="shared" si="226"/>
        <v>2.6666666666666665E-2</v>
      </c>
      <c r="Q292" s="66">
        <f t="shared" si="226"/>
        <v>2.6666666666666665E-2</v>
      </c>
      <c r="R292" s="66">
        <f t="shared" si="226"/>
        <v>2.6666666666666665E-2</v>
      </c>
      <c r="S292" s="66">
        <f t="shared" si="226"/>
        <v>2.6666666666666665E-2</v>
      </c>
      <c r="T292" s="66">
        <f t="shared" si="226"/>
        <v>2.6666666666666665E-2</v>
      </c>
      <c r="U292" s="66">
        <f t="shared" si="226"/>
        <v>2.6666666666666665E-2</v>
      </c>
      <c r="V292" s="66">
        <f t="shared" si="226"/>
        <v>2.6666666666666665E-2</v>
      </c>
      <c r="W292" s="66">
        <f t="shared" si="226"/>
        <v>2.6666666666666665E-2</v>
      </c>
      <c r="X292" s="66">
        <f t="shared" si="226"/>
        <v>2.6666666666666665E-2</v>
      </c>
      <c r="Y292" s="66">
        <f t="shared" si="226"/>
        <v>2.6666666666666665E-2</v>
      </c>
      <c r="Z292" s="66">
        <f t="shared" si="226"/>
        <v>2.6666666666666665E-2</v>
      </c>
      <c r="AA292" s="66">
        <f t="shared" si="226"/>
        <v>2.6666666666666665E-2</v>
      </c>
      <c r="AB292" s="66">
        <f t="shared" si="226"/>
        <v>2.6666666666666665E-2</v>
      </c>
      <c r="AC292" s="66">
        <f t="shared" si="226"/>
        <v>2.6666666666666665E-2</v>
      </c>
    </row>
    <row r="293" spans="1:29" x14ac:dyDescent="0.3">
      <c r="A293" s="30" t="str">
        <f t="shared" si="221"/>
        <v>Opex maintenance &amp; repair</v>
      </c>
      <c r="B293" s="66">
        <f>B251/B261/(B258)</f>
        <v>9.7882661839723516E-3</v>
      </c>
      <c r="C293" s="66">
        <f t="shared" ref="C293:AC293" si="227">C251/C261/(C258)</f>
        <v>9.7397268466441547E-3</v>
      </c>
      <c r="D293" s="66">
        <f t="shared" si="227"/>
        <v>9.6722395474328829E-3</v>
      </c>
      <c r="E293" s="66">
        <f t="shared" si="227"/>
        <v>9.5797169849191136E-3</v>
      </c>
      <c r="F293" s="66">
        <f t="shared" si="227"/>
        <v>9.4553765752175851E-3</v>
      </c>
      <c r="G293" s="66">
        <f t="shared" si="227"/>
        <v>9.2928396389371087E-3</v>
      </c>
      <c r="H293" s="66">
        <f t="shared" si="227"/>
        <v>9.0881518399997981E-3</v>
      </c>
      <c r="I293" s="66">
        <f t="shared" si="227"/>
        <v>8.8425323568392146E-3</v>
      </c>
      <c r="J293" s="66">
        <f t="shared" si="227"/>
        <v>8.5647923163687488E-3</v>
      </c>
      <c r="K293" s="66">
        <f t="shared" si="227"/>
        <v>8.2715832951827904E-3</v>
      </c>
      <c r="L293" s="66">
        <f t="shared" si="227"/>
        <v>7.9841440791016821E-3</v>
      </c>
      <c r="M293" s="66">
        <f t="shared" si="227"/>
        <v>7.7224822441822839E-3</v>
      </c>
      <c r="N293" s="66">
        <f t="shared" si="227"/>
        <v>7.5001069458626359E-3</v>
      </c>
      <c r="O293" s="66">
        <f t="shared" si="227"/>
        <v>7.3220241570681353E-3</v>
      </c>
      <c r="P293" s="66">
        <f t="shared" si="227"/>
        <v>7.1861390853397329E-3</v>
      </c>
      <c r="Q293" s="66">
        <f t="shared" si="227"/>
        <v>7.0862526596208522E-3</v>
      </c>
      <c r="R293" s="66">
        <f t="shared" si="227"/>
        <v>7.0148353102552456E-3</v>
      </c>
      <c r="S293" s="66">
        <f t="shared" si="227"/>
        <v>6.9647822952391492E-3</v>
      </c>
      <c r="T293" s="66">
        <f t="shared" si="227"/>
        <v>6.9301925853642917E-3</v>
      </c>
      <c r="U293" s="66">
        <f t="shared" si="227"/>
        <v>6.9065211232255674E-3</v>
      </c>
      <c r="V293" s="66">
        <f t="shared" si="227"/>
        <v>6.8904296855287119E-3</v>
      </c>
      <c r="W293" s="66">
        <f t="shared" si="227"/>
        <v>6.8795407886951898E-3</v>
      </c>
      <c r="X293" s="66">
        <f t="shared" si="227"/>
        <v>6.8721951275230652E-3</v>
      </c>
      <c r="Y293" s="66">
        <f t="shared" si="227"/>
        <v>6.8672500649121383E-3</v>
      </c>
      <c r="Z293" s="66">
        <f t="shared" si="227"/>
        <v>6.8639257484637509E-3</v>
      </c>
      <c r="AA293" s="66">
        <f t="shared" si="227"/>
        <v>6.8616930891290864E-3</v>
      </c>
      <c r="AB293" s="66">
        <f t="shared" si="227"/>
        <v>6.860194554363268E-3</v>
      </c>
      <c r="AC293" s="66">
        <f t="shared" si="227"/>
        <v>6.8591891840075045E-3</v>
      </c>
    </row>
    <row r="294" spans="1:29" x14ac:dyDescent="0.3">
      <c r="A294" s="30" t="str">
        <f t="shared" si="221"/>
        <v>Opex var (mode-fees)</v>
      </c>
      <c r="B294" s="66">
        <f>B252*B261/B261/(B258)</f>
        <v>4.4000000000000003E-3</v>
      </c>
      <c r="C294" s="66">
        <f t="shared" ref="C294:AC294" si="228">C252*C261/C261/(C258)</f>
        <v>4.4000000000000003E-3</v>
      </c>
      <c r="D294" s="66">
        <f t="shared" si="228"/>
        <v>4.4000000000000003E-3</v>
      </c>
      <c r="E294" s="66">
        <f t="shared" si="228"/>
        <v>4.4000000000000003E-3</v>
      </c>
      <c r="F294" s="66">
        <f t="shared" si="228"/>
        <v>4.4000000000000003E-3</v>
      </c>
      <c r="G294" s="66">
        <f t="shared" si="228"/>
        <v>4.4000000000000003E-3</v>
      </c>
      <c r="H294" s="66">
        <f t="shared" si="228"/>
        <v>4.4000000000000003E-3</v>
      </c>
      <c r="I294" s="66">
        <f t="shared" si="228"/>
        <v>4.4000000000000003E-3</v>
      </c>
      <c r="J294" s="66">
        <f t="shared" si="228"/>
        <v>4.4000000000000003E-3</v>
      </c>
      <c r="K294" s="66">
        <f t="shared" si="228"/>
        <v>4.4000000000000003E-3</v>
      </c>
      <c r="L294" s="66">
        <f t="shared" si="228"/>
        <v>4.4000000000000003E-3</v>
      </c>
      <c r="M294" s="66">
        <f t="shared" si="228"/>
        <v>4.4000000000000003E-3</v>
      </c>
      <c r="N294" s="66">
        <f t="shared" si="228"/>
        <v>4.4000000000000003E-3</v>
      </c>
      <c r="O294" s="66">
        <f t="shared" si="228"/>
        <v>4.4000000000000003E-3</v>
      </c>
      <c r="P294" s="66">
        <f t="shared" si="228"/>
        <v>4.4000000000000003E-3</v>
      </c>
      <c r="Q294" s="66">
        <f t="shared" si="228"/>
        <v>4.4000000000000003E-3</v>
      </c>
      <c r="R294" s="66">
        <f t="shared" si="228"/>
        <v>4.4000000000000003E-3</v>
      </c>
      <c r="S294" s="66">
        <f t="shared" si="228"/>
        <v>4.4000000000000003E-3</v>
      </c>
      <c r="T294" s="66">
        <f t="shared" si="228"/>
        <v>4.4000000000000003E-3</v>
      </c>
      <c r="U294" s="66">
        <f t="shared" si="228"/>
        <v>4.4000000000000003E-3</v>
      </c>
      <c r="V294" s="66">
        <f t="shared" si="228"/>
        <v>4.4000000000000003E-3</v>
      </c>
      <c r="W294" s="66">
        <f t="shared" si="228"/>
        <v>4.4000000000000003E-3</v>
      </c>
      <c r="X294" s="66">
        <f t="shared" si="228"/>
        <v>4.4000000000000003E-3</v>
      </c>
      <c r="Y294" s="66">
        <f t="shared" si="228"/>
        <v>4.4000000000000003E-3</v>
      </c>
      <c r="Z294" s="66">
        <f t="shared" si="228"/>
        <v>4.4000000000000003E-3</v>
      </c>
      <c r="AA294" s="66">
        <f t="shared" si="228"/>
        <v>4.4000000000000003E-3</v>
      </c>
      <c r="AB294" s="66">
        <f t="shared" si="228"/>
        <v>4.4000000000000003E-3</v>
      </c>
      <c r="AC294" s="66">
        <f t="shared" si="228"/>
        <v>4.4000000000000003E-3</v>
      </c>
    </row>
    <row r="295" spans="1:29" x14ac:dyDescent="0.3">
      <c r="A295" s="30" t="str">
        <f t="shared" si="221"/>
        <v>Fuel Cost</v>
      </c>
      <c r="B295" s="66">
        <f>B253*B254*B261/B261/(B258)</f>
        <v>2.149698076693125E-2</v>
      </c>
      <c r="C295" s="66">
        <f t="shared" ref="C295:AC295" si="229">C253*C254*C261/C261/(C258)</f>
        <v>2.1331230658756428E-2</v>
      </c>
      <c r="D295" s="66">
        <f t="shared" si="229"/>
        <v>2.1099903047208143E-2</v>
      </c>
      <c r="E295" s="66">
        <f t="shared" si="229"/>
        <v>2.0780895244289513E-2</v>
      </c>
      <c r="F295" s="66">
        <f t="shared" si="229"/>
        <v>2.0348300970860631E-2</v>
      </c>
      <c r="G295" s="66">
        <f t="shared" si="229"/>
        <v>1.977500969726062E-2</v>
      </c>
      <c r="H295" s="66">
        <f t="shared" si="229"/>
        <v>1.9038033080897548E-2</v>
      </c>
      <c r="I295" s="66">
        <f t="shared" si="229"/>
        <v>1.8126453353507072E-2</v>
      </c>
      <c r="J295" s="66">
        <f t="shared" si="229"/>
        <v>1.7049828608976351E-2</v>
      </c>
      <c r="K295" s="66">
        <f t="shared" si="229"/>
        <v>1.5842858741402264E-2</v>
      </c>
      <c r="L295" s="66">
        <f t="shared" si="229"/>
        <v>1.4562706626902781E-2</v>
      </c>
      <c r="M295" s="66">
        <f t="shared" si="229"/>
        <v>1.3279381505411613E-2</v>
      </c>
      <c r="N295" s="66">
        <f t="shared" si="229"/>
        <v>1.2063205843438823E-2</v>
      </c>
      <c r="O295" s="66">
        <f t="shared" si="229"/>
        <v>1.0973050657799936E-2</v>
      </c>
      <c r="P295" s="66">
        <f t="shared" si="229"/>
        <v>1.004736635521954E-2</v>
      </c>
      <c r="Q295" s="66">
        <f t="shared" si="229"/>
        <v>9.3001502289760587E-3</v>
      </c>
      <c r="R295" s="66">
        <f t="shared" si="229"/>
        <v>8.7233879635126403E-3</v>
      </c>
      <c r="S295" s="66">
        <f t="shared" si="229"/>
        <v>8.2944626321454738E-3</v>
      </c>
      <c r="T295" s="66">
        <f t="shared" si="229"/>
        <v>7.9846970768127374E-3</v>
      </c>
      <c r="U295" s="66">
        <f t="shared" si="229"/>
        <v>7.7658742511940507E-3</v>
      </c>
      <c r="V295" s="66">
        <f t="shared" si="229"/>
        <v>7.6137600559403988E-3</v>
      </c>
      <c r="W295" s="66">
        <f t="shared" si="229"/>
        <v>7.509218186098233E-3</v>
      </c>
      <c r="X295" s="66">
        <f t="shared" si="229"/>
        <v>7.4379403106525476E-3</v>
      </c>
      <c r="Y295" s="66">
        <f t="shared" si="229"/>
        <v>7.389607783991007E-3</v>
      </c>
      <c r="Z295" s="66">
        <f t="shared" si="229"/>
        <v>7.356956538918746E-3</v>
      </c>
      <c r="AA295" s="66">
        <f t="shared" si="229"/>
        <v>7.3349547713622973E-3</v>
      </c>
      <c r="AB295" s="66">
        <f t="shared" si="229"/>
        <v>7.3201544798759764E-3</v>
      </c>
      <c r="AC295" s="66">
        <f t="shared" si="229"/>
        <v>7.3102100315233995E-3</v>
      </c>
    </row>
    <row r="296" spans="1:29" x14ac:dyDescent="0.3">
      <c r="A296" s="59" t="str">
        <f>A259</f>
        <v>Market failure (av. utilization)</v>
      </c>
      <c r="B296" s="66">
        <f t="shared" ref="B296:AC296" si="230">B285/B259-B285/B258</f>
        <v>9.9182556352221826E-2</v>
      </c>
      <c r="C296" s="66">
        <f t="shared" si="230"/>
        <v>9.8683700788496462E-2</v>
      </c>
      <c r="D296" s="66">
        <f t="shared" si="230"/>
        <v>9.7989066797108629E-2</v>
      </c>
      <c r="E296" s="66">
        <f t="shared" si="230"/>
        <v>9.7034523968795958E-2</v>
      </c>
      <c r="F296" s="66">
        <f t="shared" si="230"/>
        <v>9.5747092461644256E-2</v>
      </c>
      <c r="G296" s="66">
        <f t="shared" si="230"/>
        <v>9.4054863036439895E-2</v>
      </c>
      <c r="H296" s="66">
        <f t="shared" si="230"/>
        <v>9.1905881517096125E-2</v>
      </c>
      <c r="I296" s="66">
        <f t="shared" si="230"/>
        <v>8.929466841202735E-2</v>
      </c>
      <c r="J296" s="66">
        <f t="shared" si="230"/>
        <v>8.6287199895437205E-2</v>
      </c>
      <c r="K296" s="66">
        <f t="shared" si="230"/>
        <v>8.3027913067263009E-2</v>
      </c>
      <c r="L296" s="66">
        <f t="shared" si="230"/>
        <v>7.971617366810603E-2</v>
      </c>
      <c r="M296" s="66">
        <f t="shared" si="230"/>
        <v>7.6558564675540813E-2</v>
      </c>
      <c r="N296" s="66">
        <f t="shared" si="230"/>
        <v>7.3721256764738299E-2</v>
      </c>
      <c r="O296" s="66">
        <f t="shared" si="230"/>
        <v>7.1303801664009819E-2</v>
      </c>
      <c r="P296" s="66">
        <f t="shared" si="230"/>
        <v>6.9337666783521296E-2</v>
      </c>
      <c r="Q296" s="66">
        <f t="shared" si="230"/>
        <v>6.78006469026214E-2</v>
      </c>
      <c r="R296" s="66">
        <f t="shared" si="230"/>
        <v>6.6637435063945538E-2</v>
      </c>
      <c r="S296" s="66">
        <f t="shared" si="230"/>
        <v>6.5779343949610047E-2</v>
      </c>
      <c r="T296" s="66">
        <f t="shared" si="230"/>
        <v>6.5158752602966719E-2</v>
      </c>
      <c r="U296" s="66">
        <f t="shared" si="230"/>
        <v>6.471689593544927E-2</v>
      </c>
      <c r="V296" s="66">
        <f t="shared" si="230"/>
        <v>6.4406326070451214E-2</v>
      </c>
      <c r="W296" s="66">
        <f t="shared" si="230"/>
        <v>6.4190398599546256E-2</v>
      </c>
      <c r="X296" s="66">
        <f t="shared" si="230"/>
        <v>6.4041634485992247E-2</v>
      </c>
      <c r="Y296" s="66">
        <f t="shared" si="230"/>
        <v>6.3939895736582097E-2</v>
      </c>
      <c r="Z296" s="66">
        <f t="shared" si="230"/>
        <v>6.3870714267057621E-2</v>
      </c>
      <c r="AA296" s="66">
        <f t="shared" si="230"/>
        <v>6.3823872062886616E-2</v>
      </c>
      <c r="AB296" s="66">
        <f t="shared" si="230"/>
        <v>6.3792253584065955E-2</v>
      </c>
      <c r="AC296" s="66">
        <f t="shared" si="230"/>
        <v>6.3770957790438648E-2</v>
      </c>
    </row>
    <row r="297" spans="1:29" x14ac:dyDescent="0.3">
      <c r="A297" s="59" t="str">
        <f>A260</f>
        <v>Payload loss (fuel)</v>
      </c>
      <c r="B297" s="66">
        <f>B285/(B258-B260)-B285/B258</f>
        <v>4.409718611580335E-3</v>
      </c>
      <c r="C297" s="66">
        <f t="shared" ref="C297:AC297" si="231">C285/(C258-C260)-C285/C258</f>
        <v>4.3717592582944997E-3</v>
      </c>
      <c r="D297" s="66">
        <f t="shared" si="231"/>
        <v>4.3187485551733629E-3</v>
      </c>
      <c r="E297" s="66">
        <f t="shared" si="231"/>
        <v>4.2455722852331873E-3</v>
      </c>
      <c r="F297" s="66">
        <f t="shared" si="231"/>
        <v>4.1461872936749411E-3</v>
      </c>
      <c r="G297" s="66">
        <f t="shared" si="231"/>
        <v>4.0141732401090674E-3</v>
      </c>
      <c r="H297" s="66">
        <f t="shared" si="231"/>
        <v>3.8439036848317704E-3</v>
      </c>
      <c r="I297" s="66">
        <f t="shared" si="231"/>
        <v>3.6323532830308675E-3</v>
      </c>
      <c r="J297" s="66">
        <f t="shared" si="231"/>
        <v>3.3811264061602009E-3</v>
      </c>
      <c r="K297" s="66">
        <f t="shared" si="231"/>
        <v>3.0978199956635394E-3</v>
      </c>
      <c r="L297" s="66">
        <f t="shared" si="231"/>
        <v>2.7958248244832479E-3</v>
      </c>
      <c r="M297" s="66">
        <f t="shared" si="231"/>
        <v>2.4923424709268893E-3</v>
      </c>
      <c r="N297" s="66">
        <f t="shared" si="231"/>
        <v>2.2051827512987315E-3</v>
      </c>
      <c r="O297" s="66">
        <f t="shared" si="231"/>
        <v>1.9492633991959954E-3</v>
      </c>
      <c r="P297" s="66">
        <f t="shared" si="231"/>
        <v>1.7338858222511744E-3</v>
      </c>
      <c r="Q297" s="66">
        <f t="shared" si="231"/>
        <v>1.5617914828267576E-3</v>
      </c>
      <c r="R297" s="66">
        <f t="shared" si="231"/>
        <v>1.4302214305366642E-3</v>
      </c>
      <c r="S297" s="66">
        <f t="shared" si="231"/>
        <v>1.3331353716086389E-3</v>
      </c>
      <c r="T297" s="66">
        <f t="shared" si="231"/>
        <v>1.2634114493931467E-3</v>
      </c>
      <c r="U297" s="66">
        <f t="shared" si="231"/>
        <v>1.214332029869189E-3</v>
      </c>
      <c r="V297" s="66">
        <f t="shared" si="231"/>
        <v>1.1802824594880842E-3</v>
      </c>
      <c r="W297" s="66">
        <f t="shared" si="231"/>
        <v>1.1569041755688514E-3</v>
      </c>
      <c r="X297" s="66">
        <f t="shared" si="231"/>
        <v>1.1409706078463269E-3</v>
      </c>
      <c r="Y297" s="66">
        <f t="shared" si="231"/>
        <v>1.1301671890221604E-3</v>
      </c>
      <c r="Z297" s="66">
        <f t="shared" si="231"/>
        <v>1.1228686077076611E-3</v>
      </c>
      <c r="AA297" s="66">
        <f t="shared" si="231"/>
        <v>1.1179501435865241E-3</v>
      </c>
      <c r="AB297" s="66">
        <f t="shared" si="231"/>
        <v>1.1146413062672125E-3</v>
      </c>
      <c r="AC297" s="66">
        <f t="shared" si="231"/>
        <v>1.1124179278049692E-3</v>
      </c>
    </row>
    <row r="298" spans="1:29" ht="15" thickBot="1" x14ac:dyDescent="0.35">
      <c r="A298" s="59" t="str">
        <f>A235</f>
        <v>Emission Cost</v>
      </c>
      <c r="B298" s="68">
        <f>B255*B261/B261/(B258)</f>
        <v>3.6418200964524684E-4</v>
      </c>
      <c r="C298" s="68">
        <f t="shared" ref="C298:AC298" si="232">C255*C261/C261/(C258)</f>
        <v>3.6383521963850298E-4</v>
      </c>
      <c r="D298" s="68">
        <f t="shared" si="232"/>
        <v>3.6333879746797376E-4</v>
      </c>
      <c r="E298" s="68">
        <f t="shared" si="232"/>
        <v>3.6262863064306401E-4</v>
      </c>
      <c r="F298" s="68">
        <f t="shared" si="232"/>
        <v>3.6161364554417784E-4</v>
      </c>
      <c r="G298" s="68">
        <f t="shared" si="232"/>
        <v>3.6016504246069139E-4</v>
      </c>
      <c r="H298" s="68">
        <f t="shared" si="232"/>
        <v>3.581018762885698E-4</v>
      </c>
      <c r="I298" s="68">
        <f t="shared" si="232"/>
        <v>3.551724760827172E-4</v>
      </c>
      <c r="J298" s="68">
        <f t="shared" si="232"/>
        <v>3.5103205038913133E-4</v>
      </c>
      <c r="K298" s="68">
        <f t="shared" si="232"/>
        <v>3.4521896741480408E-4</v>
      </c>
      <c r="L298" s="68">
        <f t="shared" si="232"/>
        <v>3.371366718660246E-4</v>
      </c>
      <c r="M298" s="68">
        <f t="shared" si="232"/>
        <v>3.2605614702792577E-4</v>
      </c>
      <c r="N298" s="68">
        <f t="shared" si="232"/>
        <v>3.1116510898656009E-4</v>
      </c>
      <c r="O298" s="68">
        <f t="shared" si="232"/>
        <v>2.9169964552951117E-4</v>
      </c>
      <c r="P298" s="68">
        <f t="shared" si="232"/>
        <v>2.6718618439571353E-4</v>
      </c>
      <c r="Q298" s="68">
        <f t="shared" si="232"/>
        <v>2.3777073469416832E-4</v>
      </c>
      <c r="R298" s="68">
        <f t="shared" si="232"/>
        <v>2.0450851915069425E-4</v>
      </c>
      <c r="S298" s="68">
        <f t="shared" si="232"/>
        <v>1.6939373467288497E-4</v>
      </c>
      <c r="T298" s="68">
        <f t="shared" si="232"/>
        <v>1.3496994347323685E-4</v>
      </c>
      <c r="U298" s="68">
        <f t="shared" si="232"/>
        <v>1.0363325778021563E-4</v>
      </c>
      <c r="V298" s="68">
        <f t="shared" si="232"/>
        <v>7.700153737100413E-5</v>
      </c>
      <c r="W298" s="68">
        <f t="shared" si="232"/>
        <v>5.5674298794125092E-5</v>
      </c>
      <c r="X298" s="68">
        <f t="shared" si="232"/>
        <v>3.940066918956972E-5</v>
      </c>
      <c r="Y298" s="68">
        <f t="shared" si="232"/>
        <v>2.7438246283240584E-5</v>
      </c>
      <c r="Z298" s="68">
        <f t="shared" si="232"/>
        <v>1.8885286961572295E-5</v>
      </c>
      <c r="AA298" s="68">
        <f t="shared" si="232"/>
        <v>1.2890925575126248E-5</v>
      </c>
      <c r="AB298" s="68">
        <f t="shared" si="232"/>
        <v>8.7484534148469397E-6</v>
      </c>
      <c r="AC298" s="68">
        <f t="shared" si="232"/>
        <v>5.9135532882621105E-6</v>
      </c>
    </row>
    <row r="299" spans="1:29" ht="15" thickBot="1" x14ac:dyDescent="0.35">
      <c r="A299" s="31" t="s">
        <v>210</v>
      </c>
      <c r="B299" s="67">
        <f>B288+B289+B290+B291+B292+B293+B294+B295+B296+B297+B298</f>
        <v>0.1873047309311551</v>
      </c>
      <c r="C299" s="67">
        <f t="shared" ref="C299:AC299" si="233">C288+C289+C290+C291+C292+C293+C294+C295+C296+C297+C298</f>
        <v>0.18634296497837782</v>
      </c>
      <c r="D299" s="67">
        <f t="shared" si="233"/>
        <v>0.18500359503194588</v>
      </c>
      <c r="E299" s="67">
        <f t="shared" si="233"/>
        <v>0.18316274685772299</v>
      </c>
      <c r="F299" s="67">
        <f t="shared" si="233"/>
        <v>0.18067922944551343</v>
      </c>
      <c r="G299" s="67">
        <f t="shared" si="233"/>
        <v>0.17741345719712467</v>
      </c>
      <c r="H299" s="67">
        <f t="shared" si="233"/>
        <v>0.17326359223565516</v>
      </c>
      <c r="I299" s="67">
        <f t="shared" si="233"/>
        <v>0.16821646200965287</v>
      </c>
      <c r="J299" s="67">
        <f t="shared" si="233"/>
        <v>0.16239584899094861</v>
      </c>
      <c r="K299" s="67">
        <f t="shared" si="233"/>
        <v>0.15607682623198121</v>
      </c>
      <c r="L299" s="67">
        <f t="shared" si="233"/>
        <v>0.14964198032162129</v>
      </c>
      <c r="M299" s="67">
        <f t="shared" si="233"/>
        <v>0.14349107390775903</v>
      </c>
      <c r="N299" s="67">
        <f t="shared" si="233"/>
        <v>0.13794964027923731</v>
      </c>
      <c r="O299" s="67">
        <f t="shared" si="233"/>
        <v>0.1332169522220818</v>
      </c>
      <c r="P299" s="67">
        <f t="shared" si="233"/>
        <v>0.1293605841257138</v>
      </c>
      <c r="Q299" s="67">
        <f t="shared" si="233"/>
        <v>0.12634215667351179</v>
      </c>
      <c r="R299" s="67">
        <f t="shared" si="233"/>
        <v>0.12405649062367384</v>
      </c>
      <c r="S299" s="67">
        <f t="shared" si="233"/>
        <v>0.12237034694560599</v>
      </c>
      <c r="T299" s="67">
        <f t="shared" si="233"/>
        <v>0.12115137978886585</v>
      </c>
      <c r="U299" s="67">
        <f t="shared" si="233"/>
        <v>0.12028404728134659</v>
      </c>
      <c r="V299" s="67">
        <f t="shared" si="233"/>
        <v>0.11967486833133945</v>
      </c>
      <c r="W299" s="67">
        <f t="shared" si="233"/>
        <v>0.11925162436055918</v>
      </c>
      <c r="X299" s="67">
        <f t="shared" si="233"/>
        <v>0.1189602016936626</v>
      </c>
      <c r="Y299" s="67">
        <f t="shared" si="233"/>
        <v>0.11876099318333813</v>
      </c>
      <c r="Z299" s="67">
        <f t="shared" si="233"/>
        <v>0.1186255807695709</v>
      </c>
      <c r="AA299" s="67">
        <f t="shared" si="233"/>
        <v>0.11853391748291088</v>
      </c>
      <c r="AB299" s="67">
        <f t="shared" si="233"/>
        <v>0.11847205590703479</v>
      </c>
      <c r="AC299" s="67">
        <f t="shared" si="233"/>
        <v>0.11843039587370717</v>
      </c>
    </row>
    <row r="301" spans="1:29" x14ac:dyDescent="0.3">
      <c r="B301" s="40"/>
    </row>
    <row r="324" spans="1:44" s="3" customFormat="1" ht="21" x14ac:dyDescent="0.4">
      <c r="A324" s="2" t="str">
        <f>'Parameter Input'!A45</f>
        <v>Road long-haul: Break bulk</v>
      </c>
    </row>
    <row r="325" spans="1:44" s="3" customFormat="1" ht="21" x14ac:dyDescent="0.4">
      <c r="A325" s="2" t="s">
        <v>103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Input'!$L$32</f>
        <v>390000</v>
      </c>
      <c r="C334" s="42">
        <f>'Parameter Input'!$M$32</f>
        <v>155000</v>
      </c>
      <c r="D334" s="1" t="s">
        <v>15</v>
      </c>
      <c r="L334" s="51">
        <f>'Parameter Input'!$O$32</f>
        <v>9</v>
      </c>
      <c r="M334" s="52">
        <v>0</v>
      </c>
      <c r="N334" s="52">
        <v>1</v>
      </c>
      <c r="O334" s="52">
        <f>'Parameter Input'!$P$32</f>
        <v>0.9</v>
      </c>
      <c r="P334" s="53">
        <f>'Parameter Input'!$Q$32</f>
        <v>0.4</v>
      </c>
      <c r="Q334" s="4">
        <f t="shared" ref="Q334:AR343" si="234">$N334+($M334-$N334)*((1/(1+EXP(-$P334*(Q$9-$L334)))^$O334))</f>
        <v>0.96177484161592774</v>
      </c>
      <c r="R334" s="4">
        <f t="shared" si="234"/>
        <v>0.94584787155511363</v>
      </c>
      <c r="S334" s="4">
        <f t="shared" si="234"/>
        <v>0.92370360150141495</v>
      </c>
      <c r="T334" s="4">
        <f t="shared" si="234"/>
        <v>0.89334463567658451</v>
      </c>
      <c r="U334" s="4">
        <f t="shared" si="234"/>
        <v>0.85254543874327005</v>
      </c>
      <c r="V334" s="4">
        <f t="shared" si="234"/>
        <v>0.79921300652623883</v>
      </c>
      <c r="W334" s="4">
        <f t="shared" si="234"/>
        <v>0.73204982249993378</v>
      </c>
      <c r="X334" s="4">
        <f t="shared" si="234"/>
        <v>0.65145592958786691</v>
      </c>
      <c r="Y334" s="4">
        <f t="shared" si="234"/>
        <v>0.56032247880849573</v>
      </c>
      <c r="Z334" s="4">
        <f t="shared" si="234"/>
        <v>0.46411326873185343</v>
      </c>
      <c r="AA334" s="4">
        <f t="shared" si="234"/>
        <v>0.36979727595523937</v>
      </c>
      <c r="AB334" s="4">
        <f t="shared" si="234"/>
        <v>0.28393948637231203</v>
      </c>
      <c r="AC334" s="4">
        <f t="shared" si="234"/>
        <v>0.21097259161117732</v>
      </c>
      <c r="AD334" s="4">
        <f t="shared" si="234"/>
        <v>0.15253917653798199</v>
      </c>
      <c r="AE334" s="4">
        <f t="shared" si="234"/>
        <v>0.10795188737709993</v>
      </c>
      <c r="AF334" s="4">
        <f t="shared" si="234"/>
        <v>7.5176653938091809E-2</v>
      </c>
      <c r="AG334" s="4">
        <f t="shared" si="234"/>
        <v>5.1742836177502194E-2</v>
      </c>
      <c r="AH334" s="4">
        <f t="shared" si="234"/>
        <v>3.5319190625345942E-2</v>
      </c>
      <c r="AI334" s="4">
        <f t="shared" si="234"/>
        <v>2.3969442072658165E-2</v>
      </c>
      <c r="AJ334" s="4">
        <f t="shared" si="234"/>
        <v>1.6202243558389728E-2</v>
      </c>
      <c r="AK334" s="4">
        <f t="shared" si="234"/>
        <v>1.0922240564108399E-2</v>
      </c>
      <c r="AL334" s="4">
        <f t="shared" si="234"/>
        <v>7.3493212906090566E-3</v>
      </c>
      <c r="AM334" s="4">
        <f t="shared" si="234"/>
        <v>4.9390262185057265E-3</v>
      </c>
      <c r="AN334" s="4">
        <f t="shared" si="234"/>
        <v>3.3164275492956197E-3</v>
      </c>
      <c r="AO334" s="4">
        <f t="shared" si="234"/>
        <v>2.2256362146679809E-3</v>
      </c>
      <c r="AP334" s="4">
        <f t="shared" si="234"/>
        <v>1.4930448704811861E-3</v>
      </c>
      <c r="AQ334" s="4">
        <f t="shared" si="234"/>
        <v>1.0013381504474506E-3</v>
      </c>
      <c r="AR334" s="4">
        <f t="shared" si="234"/>
        <v>6.7145100246257527E-4</v>
      </c>
    </row>
    <row r="335" spans="1:44" x14ac:dyDescent="0.3">
      <c r="A335" s="24" t="s">
        <v>28</v>
      </c>
      <c r="B335" s="60">
        <f>'Parameter Input'!$L$33</f>
        <v>-58500</v>
      </c>
      <c r="C335" s="61">
        <f>'Parameter Input'!$M$33</f>
        <v>-38750</v>
      </c>
      <c r="D335" s="1" t="s">
        <v>15</v>
      </c>
      <c r="L335" s="54">
        <f>'Parameter Input'!$O$33</f>
        <v>9</v>
      </c>
      <c r="M335" s="37">
        <v>0</v>
      </c>
      <c r="N335" s="37">
        <v>1</v>
      </c>
      <c r="O335" s="37">
        <f>'Parameter Input'!$P$33</f>
        <v>0.9</v>
      </c>
      <c r="P335" s="55">
        <f>'Parameter Input'!$Q$33</f>
        <v>0.4</v>
      </c>
      <c r="Q335" s="4">
        <f t="shared" si="234"/>
        <v>0.96177484161592774</v>
      </c>
      <c r="R335" s="4">
        <f t="shared" si="234"/>
        <v>0.94584787155511363</v>
      </c>
      <c r="S335" s="4">
        <f t="shared" si="234"/>
        <v>0.92370360150141495</v>
      </c>
      <c r="T335" s="4">
        <f t="shared" si="234"/>
        <v>0.89334463567658451</v>
      </c>
      <c r="U335" s="4">
        <f t="shared" si="234"/>
        <v>0.85254543874327005</v>
      </c>
      <c r="V335" s="4">
        <f t="shared" si="234"/>
        <v>0.79921300652623883</v>
      </c>
      <c r="W335" s="4">
        <f t="shared" si="234"/>
        <v>0.73204982249993378</v>
      </c>
      <c r="X335" s="4">
        <f t="shared" si="234"/>
        <v>0.65145592958786691</v>
      </c>
      <c r="Y335" s="4">
        <f t="shared" si="234"/>
        <v>0.56032247880849573</v>
      </c>
      <c r="Z335" s="4">
        <f t="shared" si="234"/>
        <v>0.46411326873185343</v>
      </c>
      <c r="AA335" s="4">
        <f t="shared" si="234"/>
        <v>0.36979727595523937</v>
      </c>
      <c r="AB335" s="4">
        <f t="shared" si="234"/>
        <v>0.28393948637231203</v>
      </c>
      <c r="AC335" s="4">
        <f t="shared" si="234"/>
        <v>0.21097259161117732</v>
      </c>
      <c r="AD335" s="4">
        <f t="shared" si="234"/>
        <v>0.15253917653798199</v>
      </c>
      <c r="AE335" s="4">
        <f t="shared" si="234"/>
        <v>0.10795188737709993</v>
      </c>
      <c r="AF335" s="4">
        <f t="shared" si="234"/>
        <v>7.5176653938091809E-2</v>
      </c>
      <c r="AG335" s="4">
        <f t="shared" si="234"/>
        <v>5.1742836177502194E-2</v>
      </c>
      <c r="AH335" s="4">
        <f t="shared" si="234"/>
        <v>3.5319190625345942E-2</v>
      </c>
      <c r="AI335" s="4">
        <f t="shared" si="234"/>
        <v>2.3969442072658165E-2</v>
      </c>
      <c r="AJ335" s="4">
        <f t="shared" si="234"/>
        <v>1.6202243558389728E-2</v>
      </c>
      <c r="AK335" s="4">
        <f t="shared" si="234"/>
        <v>1.0922240564108399E-2</v>
      </c>
      <c r="AL335" s="4">
        <f t="shared" si="234"/>
        <v>7.3493212906090566E-3</v>
      </c>
      <c r="AM335" s="4">
        <f t="shared" si="234"/>
        <v>4.9390262185057265E-3</v>
      </c>
      <c r="AN335" s="4">
        <f t="shared" si="234"/>
        <v>3.3164275492956197E-3</v>
      </c>
      <c r="AO335" s="4">
        <f t="shared" si="234"/>
        <v>2.2256362146679809E-3</v>
      </c>
      <c r="AP335" s="4">
        <f t="shared" si="234"/>
        <v>1.4930448704811861E-3</v>
      </c>
      <c r="AQ335" s="4">
        <f t="shared" si="234"/>
        <v>1.0013381504474506E-3</v>
      </c>
      <c r="AR335" s="4">
        <f t="shared" si="234"/>
        <v>6.7145100246257527E-4</v>
      </c>
    </row>
    <row r="336" spans="1:44" x14ac:dyDescent="0.3">
      <c r="A336" s="24" t="s">
        <v>14</v>
      </c>
      <c r="B336" s="60">
        <f>'Parameter Input'!B46</f>
        <v>40000</v>
      </c>
      <c r="C336" s="61">
        <f>'Parameter Input'!C46</f>
        <v>40000</v>
      </c>
      <c r="D336" s="1" t="s">
        <v>15</v>
      </c>
      <c r="L336" s="54">
        <f>'Parameter Input'!E46</f>
        <v>12</v>
      </c>
      <c r="M336" s="37">
        <v>0</v>
      </c>
      <c r="N336" s="37">
        <v>1</v>
      </c>
      <c r="O336" s="37">
        <f>'Parameter Input'!F46</f>
        <v>0.9</v>
      </c>
      <c r="P336" s="55">
        <f>'Parameter Input'!G46</f>
        <v>0.4</v>
      </c>
      <c r="Q336" s="4">
        <f t="shared" si="234"/>
        <v>0.9867978615748374</v>
      </c>
      <c r="R336" s="4">
        <f t="shared" si="234"/>
        <v>0.98114509762858249</v>
      </c>
      <c r="S336" s="4">
        <f t="shared" si="234"/>
        <v>0.97311898315872036</v>
      </c>
      <c r="T336" s="4">
        <f t="shared" si="234"/>
        <v>0.96177484161592774</v>
      </c>
      <c r="U336" s="4">
        <f t="shared" si="234"/>
        <v>0.94584787155511363</v>
      </c>
      <c r="V336" s="4">
        <f t="shared" si="234"/>
        <v>0.92370360150141495</v>
      </c>
      <c r="W336" s="4">
        <f t="shared" si="234"/>
        <v>0.89334463567658451</v>
      </c>
      <c r="X336" s="4">
        <f t="shared" si="234"/>
        <v>0.85254543874327005</v>
      </c>
      <c r="Y336" s="4">
        <f t="shared" si="234"/>
        <v>0.79921300652623883</v>
      </c>
      <c r="Z336" s="4">
        <f t="shared" si="234"/>
        <v>0.73204982249993378</v>
      </c>
      <c r="AA336" s="4">
        <f t="shared" si="234"/>
        <v>0.65145592958786691</v>
      </c>
      <c r="AB336" s="4">
        <f t="shared" si="234"/>
        <v>0.56032247880849573</v>
      </c>
      <c r="AC336" s="4">
        <f t="shared" si="234"/>
        <v>0.46411326873185343</v>
      </c>
      <c r="AD336" s="4">
        <f t="shared" si="234"/>
        <v>0.36979727595523937</v>
      </c>
      <c r="AE336" s="4">
        <f t="shared" si="234"/>
        <v>0.28393948637231203</v>
      </c>
      <c r="AF336" s="4">
        <f t="shared" si="234"/>
        <v>0.21097259161117732</v>
      </c>
      <c r="AG336" s="4">
        <f t="shared" si="234"/>
        <v>0.15253917653798199</v>
      </c>
      <c r="AH336" s="4">
        <f t="shared" si="234"/>
        <v>0.10795188737709993</v>
      </c>
      <c r="AI336" s="4">
        <f t="shared" si="234"/>
        <v>7.5176653938091809E-2</v>
      </c>
      <c r="AJ336" s="4">
        <f t="shared" si="234"/>
        <v>5.1742836177502194E-2</v>
      </c>
      <c r="AK336" s="4">
        <f t="shared" si="234"/>
        <v>3.5319190625345942E-2</v>
      </c>
      <c r="AL336" s="4">
        <f t="shared" si="234"/>
        <v>2.3969442072658165E-2</v>
      </c>
      <c r="AM336" s="4">
        <f t="shared" si="234"/>
        <v>1.6202243558389728E-2</v>
      </c>
      <c r="AN336" s="4">
        <f t="shared" si="234"/>
        <v>1.0922240564108399E-2</v>
      </c>
      <c r="AO336" s="4">
        <f t="shared" si="234"/>
        <v>7.3493212906090566E-3</v>
      </c>
      <c r="AP336" s="4">
        <f t="shared" si="234"/>
        <v>4.9390262185057265E-3</v>
      </c>
      <c r="AQ336" s="4">
        <f t="shared" si="234"/>
        <v>3.3164275492956197E-3</v>
      </c>
      <c r="AR336" s="4">
        <f t="shared" si="234"/>
        <v>2.2256362146679809E-3</v>
      </c>
    </row>
    <row r="337" spans="1:44" x14ac:dyDescent="0.3">
      <c r="A337" s="24" t="s">
        <v>25</v>
      </c>
      <c r="B337" s="60">
        <f>'Parameter Input'!B47</f>
        <v>-10000</v>
      </c>
      <c r="C337" s="61">
        <f>'Parameter Input'!C47</f>
        <v>-10000</v>
      </c>
      <c r="D337" s="1" t="s">
        <v>15</v>
      </c>
      <c r="L337" s="54">
        <f>'Parameter Input'!E47</f>
        <v>12</v>
      </c>
      <c r="M337" s="37">
        <v>0</v>
      </c>
      <c r="N337" s="37">
        <v>1</v>
      </c>
      <c r="O337" s="37">
        <f>'Parameter Input'!F47</f>
        <v>0.9</v>
      </c>
      <c r="P337" s="55">
        <f>'Parameter Input'!G47</f>
        <v>0.4</v>
      </c>
      <c r="Q337" s="4">
        <f t="shared" si="234"/>
        <v>0.9867978615748374</v>
      </c>
      <c r="R337" s="4">
        <f t="shared" si="234"/>
        <v>0.98114509762858249</v>
      </c>
      <c r="S337" s="4">
        <f t="shared" si="234"/>
        <v>0.97311898315872036</v>
      </c>
      <c r="T337" s="4">
        <f t="shared" si="234"/>
        <v>0.96177484161592774</v>
      </c>
      <c r="U337" s="4">
        <f t="shared" si="234"/>
        <v>0.94584787155511363</v>
      </c>
      <c r="V337" s="4">
        <f t="shared" si="234"/>
        <v>0.92370360150141495</v>
      </c>
      <c r="W337" s="4">
        <f t="shared" si="234"/>
        <v>0.89334463567658451</v>
      </c>
      <c r="X337" s="4">
        <f t="shared" si="234"/>
        <v>0.85254543874327005</v>
      </c>
      <c r="Y337" s="4">
        <f t="shared" si="234"/>
        <v>0.79921300652623883</v>
      </c>
      <c r="Z337" s="4">
        <f t="shared" si="234"/>
        <v>0.73204982249993378</v>
      </c>
      <c r="AA337" s="4">
        <f t="shared" si="234"/>
        <v>0.65145592958786691</v>
      </c>
      <c r="AB337" s="4">
        <f t="shared" si="234"/>
        <v>0.56032247880849573</v>
      </c>
      <c r="AC337" s="4">
        <f t="shared" si="234"/>
        <v>0.46411326873185343</v>
      </c>
      <c r="AD337" s="4">
        <f t="shared" si="234"/>
        <v>0.36979727595523937</v>
      </c>
      <c r="AE337" s="4">
        <f t="shared" si="234"/>
        <v>0.28393948637231203</v>
      </c>
      <c r="AF337" s="4">
        <f t="shared" si="234"/>
        <v>0.21097259161117732</v>
      </c>
      <c r="AG337" s="4">
        <f t="shared" si="234"/>
        <v>0.15253917653798199</v>
      </c>
      <c r="AH337" s="4">
        <f t="shared" si="234"/>
        <v>0.10795188737709993</v>
      </c>
      <c r="AI337" s="4">
        <f t="shared" si="234"/>
        <v>7.5176653938091809E-2</v>
      </c>
      <c r="AJ337" s="4">
        <f t="shared" si="234"/>
        <v>5.1742836177502194E-2</v>
      </c>
      <c r="AK337" s="4">
        <f t="shared" si="234"/>
        <v>3.5319190625345942E-2</v>
      </c>
      <c r="AL337" s="4">
        <f t="shared" si="234"/>
        <v>2.3969442072658165E-2</v>
      </c>
      <c r="AM337" s="4">
        <f t="shared" si="234"/>
        <v>1.6202243558389728E-2</v>
      </c>
      <c r="AN337" s="4">
        <f t="shared" si="234"/>
        <v>1.0922240564108399E-2</v>
      </c>
      <c r="AO337" s="4">
        <f t="shared" si="234"/>
        <v>7.3493212906090566E-3</v>
      </c>
      <c r="AP337" s="4">
        <f t="shared" si="234"/>
        <v>4.9390262185057265E-3</v>
      </c>
      <c r="AQ337" s="4">
        <f t="shared" si="234"/>
        <v>3.3164275492956197E-3</v>
      </c>
      <c r="AR337" s="4">
        <f t="shared" si="234"/>
        <v>2.2256362146679809E-3</v>
      </c>
    </row>
    <row r="338" spans="1:44" x14ac:dyDescent="0.3">
      <c r="A338" s="24" t="s">
        <v>79</v>
      </c>
      <c r="B338" s="45">
        <f>'Parameter Input'!$L$39</f>
        <v>0.06</v>
      </c>
      <c r="C338" s="46">
        <f>'Parameter Input'!$M$39</f>
        <v>0.06</v>
      </c>
      <c r="D338" s="1" t="s">
        <v>57</v>
      </c>
      <c r="L338" s="54">
        <f>'Parameter Input'!$O$39</f>
        <v>12</v>
      </c>
      <c r="M338" s="37">
        <v>0</v>
      </c>
      <c r="N338" s="37">
        <v>1</v>
      </c>
      <c r="O338" s="37">
        <f>'Parameter Input'!$P$39</f>
        <v>0.9</v>
      </c>
      <c r="P338" s="55">
        <f>'Parameter Input'!$Q$39</f>
        <v>0.4</v>
      </c>
      <c r="Q338" s="4">
        <f t="shared" si="234"/>
        <v>0.9867978615748374</v>
      </c>
      <c r="R338" s="4">
        <f t="shared" si="234"/>
        <v>0.98114509762858249</v>
      </c>
      <c r="S338" s="4">
        <f t="shared" si="234"/>
        <v>0.97311898315872036</v>
      </c>
      <c r="T338" s="4">
        <f t="shared" si="234"/>
        <v>0.96177484161592774</v>
      </c>
      <c r="U338" s="4">
        <f t="shared" si="234"/>
        <v>0.94584787155511363</v>
      </c>
      <c r="V338" s="4">
        <f t="shared" si="234"/>
        <v>0.92370360150141495</v>
      </c>
      <c r="W338" s="4">
        <f t="shared" si="234"/>
        <v>0.89334463567658451</v>
      </c>
      <c r="X338" s="4">
        <f t="shared" si="234"/>
        <v>0.85254543874327005</v>
      </c>
      <c r="Y338" s="4">
        <f t="shared" si="234"/>
        <v>0.79921300652623883</v>
      </c>
      <c r="Z338" s="4">
        <f t="shared" si="234"/>
        <v>0.73204982249993378</v>
      </c>
      <c r="AA338" s="4">
        <f t="shared" si="234"/>
        <v>0.65145592958786691</v>
      </c>
      <c r="AB338" s="4">
        <f t="shared" si="234"/>
        <v>0.56032247880849573</v>
      </c>
      <c r="AC338" s="4">
        <f t="shared" si="234"/>
        <v>0.46411326873185343</v>
      </c>
      <c r="AD338" s="4">
        <f t="shared" si="234"/>
        <v>0.36979727595523937</v>
      </c>
      <c r="AE338" s="4">
        <f t="shared" si="234"/>
        <v>0.28393948637231203</v>
      </c>
      <c r="AF338" s="4">
        <f t="shared" si="234"/>
        <v>0.21097259161117732</v>
      </c>
      <c r="AG338" s="4">
        <f t="shared" si="234"/>
        <v>0.15253917653798199</v>
      </c>
      <c r="AH338" s="4">
        <f t="shared" si="234"/>
        <v>0.10795188737709993</v>
      </c>
      <c r="AI338" s="4">
        <f t="shared" si="234"/>
        <v>7.5176653938091809E-2</v>
      </c>
      <c r="AJ338" s="4">
        <f t="shared" si="234"/>
        <v>5.1742836177502194E-2</v>
      </c>
      <c r="AK338" s="4">
        <f t="shared" si="234"/>
        <v>3.5319190625345942E-2</v>
      </c>
      <c r="AL338" s="4">
        <f t="shared" si="234"/>
        <v>2.3969442072658165E-2</v>
      </c>
      <c r="AM338" s="4">
        <f t="shared" si="234"/>
        <v>1.6202243558389728E-2</v>
      </c>
      <c r="AN338" s="4">
        <f t="shared" si="234"/>
        <v>1.0922240564108399E-2</v>
      </c>
      <c r="AO338" s="4">
        <f t="shared" si="234"/>
        <v>7.3493212906090566E-3</v>
      </c>
      <c r="AP338" s="4">
        <f t="shared" si="234"/>
        <v>4.9390262185057265E-3</v>
      </c>
      <c r="AQ338" s="4">
        <f t="shared" si="234"/>
        <v>3.3164275492956197E-3</v>
      </c>
      <c r="AR338" s="4">
        <f t="shared" si="234"/>
        <v>2.2256362146679809E-3</v>
      </c>
    </row>
    <row r="339" spans="1:44" x14ac:dyDescent="0.3">
      <c r="A339" s="24" t="s">
        <v>37</v>
      </c>
      <c r="B339" s="60">
        <f>'Parameter Input'!B48</f>
        <v>70000</v>
      </c>
      <c r="C339" s="61">
        <f>'Parameter Input'!C48</f>
        <v>70000</v>
      </c>
      <c r="D339" s="1" t="s">
        <v>38</v>
      </c>
      <c r="L339" s="54">
        <f>'Parameter Input'!E48</f>
        <v>12</v>
      </c>
      <c r="M339" s="37">
        <v>0</v>
      </c>
      <c r="N339" s="37">
        <v>1</v>
      </c>
      <c r="O339" s="37">
        <f>'Parameter Input'!F48</f>
        <v>0.9</v>
      </c>
      <c r="P339" s="55">
        <f>'Parameter Input'!G48</f>
        <v>0.4</v>
      </c>
      <c r="Q339" s="4">
        <f t="shared" si="234"/>
        <v>0.9867978615748374</v>
      </c>
      <c r="R339" s="4">
        <f t="shared" si="234"/>
        <v>0.98114509762858249</v>
      </c>
      <c r="S339" s="4">
        <f t="shared" si="234"/>
        <v>0.97311898315872036</v>
      </c>
      <c r="T339" s="4">
        <f t="shared" si="234"/>
        <v>0.96177484161592774</v>
      </c>
      <c r="U339" s="4">
        <f t="shared" si="234"/>
        <v>0.94584787155511363</v>
      </c>
      <c r="V339" s="4">
        <f t="shared" si="234"/>
        <v>0.92370360150141495</v>
      </c>
      <c r="W339" s="4">
        <f t="shared" si="234"/>
        <v>0.89334463567658451</v>
      </c>
      <c r="X339" s="4">
        <f t="shared" si="234"/>
        <v>0.85254543874327005</v>
      </c>
      <c r="Y339" s="4">
        <f t="shared" si="234"/>
        <v>0.79921300652623883</v>
      </c>
      <c r="Z339" s="4">
        <f t="shared" si="234"/>
        <v>0.73204982249993378</v>
      </c>
      <c r="AA339" s="4">
        <f t="shared" si="234"/>
        <v>0.65145592958786691</v>
      </c>
      <c r="AB339" s="4">
        <f t="shared" si="234"/>
        <v>0.56032247880849573</v>
      </c>
      <c r="AC339" s="4">
        <f t="shared" si="234"/>
        <v>0.46411326873185343</v>
      </c>
      <c r="AD339" s="4">
        <f t="shared" si="234"/>
        <v>0.36979727595523937</v>
      </c>
      <c r="AE339" s="4">
        <f t="shared" si="234"/>
        <v>0.28393948637231203</v>
      </c>
      <c r="AF339" s="4">
        <f t="shared" si="234"/>
        <v>0.21097259161117732</v>
      </c>
      <c r="AG339" s="4">
        <f t="shared" si="234"/>
        <v>0.15253917653798199</v>
      </c>
      <c r="AH339" s="4">
        <f t="shared" si="234"/>
        <v>0.10795188737709993</v>
      </c>
      <c r="AI339" s="4">
        <f t="shared" si="234"/>
        <v>7.5176653938091809E-2</v>
      </c>
      <c r="AJ339" s="4">
        <f t="shared" si="234"/>
        <v>5.1742836177502194E-2</v>
      </c>
      <c r="AK339" s="4">
        <f t="shared" si="234"/>
        <v>3.5319190625345942E-2</v>
      </c>
      <c r="AL339" s="4">
        <f t="shared" si="234"/>
        <v>2.3969442072658165E-2</v>
      </c>
      <c r="AM339" s="4">
        <f t="shared" si="234"/>
        <v>1.6202243558389728E-2</v>
      </c>
      <c r="AN339" s="4">
        <f t="shared" si="234"/>
        <v>1.0922240564108399E-2</v>
      </c>
      <c r="AO339" s="4">
        <f t="shared" si="234"/>
        <v>7.3493212906090566E-3</v>
      </c>
      <c r="AP339" s="4">
        <f t="shared" si="234"/>
        <v>4.9390262185057265E-3</v>
      </c>
      <c r="AQ339" s="4">
        <f t="shared" si="234"/>
        <v>3.3164275492956197E-3</v>
      </c>
      <c r="AR339" s="4">
        <f t="shared" si="234"/>
        <v>2.2256362146679809E-3</v>
      </c>
    </row>
    <row r="340" spans="1:44" x14ac:dyDescent="0.3">
      <c r="A340" s="24" t="s">
        <v>52</v>
      </c>
      <c r="B340" s="43">
        <f>'Parameter Input'!$L$35</f>
        <v>26000</v>
      </c>
      <c r="C340" s="44">
        <f>'Parameter Input'!$M$35</f>
        <v>18000</v>
      </c>
      <c r="D340" s="1" t="s">
        <v>38</v>
      </c>
      <c r="L340" s="54">
        <f>'Parameter Input'!$O$35</f>
        <v>9</v>
      </c>
      <c r="M340" s="37">
        <v>0</v>
      </c>
      <c r="N340" s="37">
        <v>1</v>
      </c>
      <c r="O340" s="37">
        <f>'Parameter Input'!$P$35</f>
        <v>0.9</v>
      </c>
      <c r="P340" s="55">
        <f>'Parameter Input'!$Q$35</f>
        <v>0.4</v>
      </c>
      <c r="Q340" s="4">
        <f t="shared" si="234"/>
        <v>0.96177484161592774</v>
      </c>
      <c r="R340" s="4">
        <f t="shared" si="234"/>
        <v>0.94584787155511363</v>
      </c>
      <c r="S340" s="4">
        <f t="shared" si="234"/>
        <v>0.92370360150141495</v>
      </c>
      <c r="T340" s="4">
        <f t="shared" si="234"/>
        <v>0.89334463567658451</v>
      </c>
      <c r="U340" s="4">
        <f t="shared" si="234"/>
        <v>0.85254543874327005</v>
      </c>
      <c r="V340" s="4">
        <f t="shared" si="234"/>
        <v>0.79921300652623883</v>
      </c>
      <c r="W340" s="4">
        <f t="shared" si="234"/>
        <v>0.73204982249993378</v>
      </c>
      <c r="X340" s="4">
        <f t="shared" si="234"/>
        <v>0.65145592958786691</v>
      </c>
      <c r="Y340" s="4">
        <f t="shared" si="234"/>
        <v>0.56032247880849573</v>
      </c>
      <c r="Z340" s="4">
        <f t="shared" si="234"/>
        <v>0.46411326873185343</v>
      </c>
      <c r="AA340" s="4">
        <f t="shared" si="234"/>
        <v>0.36979727595523937</v>
      </c>
      <c r="AB340" s="4">
        <f t="shared" si="234"/>
        <v>0.28393948637231203</v>
      </c>
      <c r="AC340" s="4">
        <f t="shared" si="234"/>
        <v>0.21097259161117732</v>
      </c>
      <c r="AD340" s="4">
        <f t="shared" si="234"/>
        <v>0.15253917653798199</v>
      </c>
      <c r="AE340" s="4">
        <f t="shared" si="234"/>
        <v>0.10795188737709993</v>
      </c>
      <c r="AF340" s="4">
        <f t="shared" si="234"/>
        <v>7.5176653938091809E-2</v>
      </c>
      <c r="AG340" s="4">
        <f t="shared" si="234"/>
        <v>5.1742836177502194E-2</v>
      </c>
      <c r="AH340" s="4">
        <f t="shared" si="234"/>
        <v>3.5319190625345942E-2</v>
      </c>
      <c r="AI340" s="4">
        <f t="shared" si="234"/>
        <v>2.3969442072658165E-2</v>
      </c>
      <c r="AJ340" s="4">
        <f t="shared" si="234"/>
        <v>1.6202243558389728E-2</v>
      </c>
      <c r="AK340" s="4">
        <f t="shared" si="234"/>
        <v>1.0922240564108399E-2</v>
      </c>
      <c r="AL340" s="4">
        <f t="shared" si="234"/>
        <v>7.3493212906090566E-3</v>
      </c>
      <c r="AM340" s="4">
        <f t="shared" si="234"/>
        <v>4.9390262185057265E-3</v>
      </c>
      <c r="AN340" s="4">
        <f t="shared" si="234"/>
        <v>3.3164275492956197E-3</v>
      </c>
      <c r="AO340" s="4">
        <f t="shared" si="234"/>
        <v>2.2256362146679809E-3</v>
      </c>
      <c r="AP340" s="4">
        <f t="shared" si="234"/>
        <v>1.4930448704811861E-3</v>
      </c>
      <c r="AQ340" s="4">
        <f t="shared" si="234"/>
        <v>1.0013381504474506E-3</v>
      </c>
      <c r="AR340" s="4">
        <f t="shared" si="234"/>
        <v>6.7145100246257527E-4</v>
      </c>
    </row>
    <row r="341" spans="1:44" x14ac:dyDescent="0.3">
      <c r="A341" s="24" t="s">
        <v>273</v>
      </c>
      <c r="B341" s="60">
        <f>'Parameter Input'!B53</f>
        <v>0.11</v>
      </c>
      <c r="C341" s="61">
        <f>'Parameter Input'!C53</f>
        <v>0.11</v>
      </c>
      <c r="D341" s="1" t="s">
        <v>76</v>
      </c>
      <c r="L341" s="54">
        <f>'Parameter Input'!E53</f>
        <v>12</v>
      </c>
      <c r="M341" s="37">
        <v>0</v>
      </c>
      <c r="N341" s="37">
        <v>1</v>
      </c>
      <c r="O341" s="37">
        <f>'Parameter Input'!F53</f>
        <v>0.9</v>
      </c>
      <c r="P341" s="55">
        <f>'Parameter Input'!G53</f>
        <v>0.4</v>
      </c>
      <c r="Q341" s="4">
        <f t="shared" si="234"/>
        <v>0.9867978615748374</v>
      </c>
      <c r="R341" s="4">
        <f t="shared" si="234"/>
        <v>0.98114509762858249</v>
      </c>
      <c r="S341" s="4">
        <f t="shared" si="234"/>
        <v>0.97311898315872036</v>
      </c>
      <c r="T341" s="4">
        <f t="shared" si="234"/>
        <v>0.96177484161592774</v>
      </c>
      <c r="U341" s="4">
        <f t="shared" si="234"/>
        <v>0.94584787155511363</v>
      </c>
      <c r="V341" s="4">
        <f t="shared" si="234"/>
        <v>0.92370360150141495</v>
      </c>
      <c r="W341" s="4">
        <f t="shared" si="234"/>
        <v>0.89334463567658451</v>
      </c>
      <c r="X341" s="4">
        <f t="shared" si="234"/>
        <v>0.85254543874327005</v>
      </c>
      <c r="Y341" s="4">
        <f t="shared" si="234"/>
        <v>0.79921300652623883</v>
      </c>
      <c r="Z341" s="4">
        <f t="shared" si="234"/>
        <v>0.73204982249993378</v>
      </c>
      <c r="AA341" s="4">
        <f t="shared" si="234"/>
        <v>0.65145592958786691</v>
      </c>
      <c r="AB341" s="4">
        <f t="shared" si="234"/>
        <v>0.56032247880849573</v>
      </c>
      <c r="AC341" s="4">
        <f t="shared" si="234"/>
        <v>0.46411326873185343</v>
      </c>
      <c r="AD341" s="4">
        <f t="shared" si="234"/>
        <v>0.36979727595523937</v>
      </c>
      <c r="AE341" s="4">
        <f t="shared" si="234"/>
        <v>0.28393948637231203</v>
      </c>
      <c r="AF341" s="4">
        <f t="shared" si="234"/>
        <v>0.21097259161117732</v>
      </c>
      <c r="AG341" s="4">
        <f t="shared" si="234"/>
        <v>0.15253917653798199</v>
      </c>
      <c r="AH341" s="4">
        <f t="shared" si="234"/>
        <v>0.10795188737709993</v>
      </c>
      <c r="AI341" s="4">
        <f t="shared" si="234"/>
        <v>7.5176653938091809E-2</v>
      </c>
      <c r="AJ341" s="4">
        <f t="shared" si="234"/>
        <v>5.1742836177502194E-2</v>
      </c>
      <c r="AK341" s="4">
        <f t="shared" si="234"/>
        <v>3.5319190625345942E-2</v>
      </c>
      <c r="AL341" s="4">
        <f t="shared" si="234"/>
        <v>2.3969442072658165E-2</v>
      </c>
      <c r="AM341" s="4">
        <f t="shared" si="234"/>
        <v>1.6202243558389728E-2</v>
      </c>
      <c r="AN341" s="4">
        <f t="shared" si="234"/>
        <v>1.0922240564108399E-2</v>
      </c>
      <c r="AO341" s="4">
        <f t="shared" si="234"/>
        <v>7.3493212906090566E-3</v>
      </c>
      <c r="AP341" s="4">
        <f t="shared" si="234"/>
        <v>4.9390262185057265E-3</v>
      </c>
      <c r="AQ341" s="4">
        <f t="shared" si="234"/>
        <v>3.3164275492956197E-3</v>
      </c>
      <c r="AR341" s="4">
        <f t="shared" si="234"/>
        <v>2.2256362146679809E-3</v>
      </c>
    </row>
    <row r="342" spans="1:44" x14ac:dyDescent="0.3">
      <c r="A342" s="24" t="s">
        <v>59</v>
      </c>
      <c r="B342" s="47">
        <f>'Parameter Input'!$L$36</f>
        <v>2.5299999999999998</v>
      </c>
      <c r="C342" s="48">
        <f>'Parameter Input'!$M$36</f>
        <v>1.79</v>
      </c>
      <c r="D342" s="1" t="s">
        <v>60</v>
      </c>
      <c r="L342" s="54">
        <f>'Parameter Input'!$O$36</f>
        <v>9</v>
      </c>
      <c r="M342" s="37">
        <v>0</v>
      </c>
      <c r="N342" s="37">
        <v>1</v>
      </c>
      <c r="O342" s="37">
        <f>'Parameter Input'!$P$36</f>
        <v>0.9</v>
      </c>
      <c r="P342" s="55">
        <f>'Parameter Input'!$Q$36</f>
        <v>0.4</v>
      </c>
      <c r="Q342" s="4">
        <f t="shared" si="234"/>
        <v>0.96177484161592774</v>
      </c>
      <c r="R342" s="4">
        <f t="shared" si="234"/>
        <v>0.94584787155511363</v>
      </c>
      <c r="S342" s="4">
        <f t="shared" si="234"/>
        <v>0.92370360150141495</v>
      </c>
      <c r="T342" s="4">
        <f t="shared" si="234"/>
        <v>0.89334463567658451</v>
      </c>
      <c r="U342" s="4">
        <f t="shared" si="234"/>
        <v>0.85254543874327005</v>
      </c>
      <c r="V342" s="4">
        <f t="shared" si="234"/>
        <v>0.79921300652623883</v>
      </c>
      <c r="W342" s="4">
        <f t="shared" si="234"/>
        <v>0.73204982249993378</v>
      </c>
      <c r="X342" s="4">
        <f t="shared" si="234"/>
        <v>0.65145592958786691</v>
      </c>
      <c r="Y342" s="4">
        <f t="shared" si="234"/>
        <v>0.56032247880849573</v>
      </c>
      <c r="Z342" s="4">
        <f t="shared" si="234"/>
        <v>0.46411326873185343</v>
      </c>
      <c r="AA342" s="4">
        <f t="shared" si="234"/>
        <v>0.36979727595523937</v>
      </c>
      <c r="AB342" s="4">
        <f t="shared" si="234"/>
        <v>0.28393948637231203</v>
      </c>
      <c r="AC342" s="4">
        <f t="shared" si="234"/>
        <v>0.21097259161117732</v>
      </c>
      <c r="AD342" s="4">
        <f t="shared" si="234"/>
        <v>0.15253917653798199</v>
      </c>
      <c r="AE342" s="4">
        <f t="shared" si="234"/>
        <v>0.10795188737709993</v>
      </c>
      <c r="AF342" s="4">
        <f t="shared" si="234"/>
        <v>7.5176653938091809E-2</v>
      </c>
      <c r="AG342" s="4">
        <f t="shared" si="234"/>
        <v>5.1742836177502194E-2</v>
      </c>
      <c r="AH342" s="4">
        <f t="shared" si="234"/>
        <v>3.5319190625345942E-2</v>
      </c>
      <c r="AI342" s="4">
        <f t="shared" si="234"/>
        <v>2.3969442072658165E-2</v>
      </c>
      <c r="AJ342" s="4">
        <f t="shared" si="234"/>
        <v>1.6202243558389728E-2</v>
      </c>
      <c r="AK342" s="4">
        <f t="shared" si="234"/>
        <v>1.0922240564108399E-2</v>
      </c>
      <c r="AL342" s="4">
        <f t="shared" si="234"/>
        <v>7.3493212906090566E-3</v>
      </c>
      <c r="AM342" s="4">
        <f t="shared" si="234"/>
        <v>4.9390262185057265E-3</v>
      </c>
      <c r="AN342" s="4">
        <f t="shared" si="234"/>
        <v>3.3164275492956197E-3</v>
      </c>
      <c r="AO342" s="4">
        <f t="shared" si="234"/>
        <v>2.2256362146679809E-3</v>
      </c>
      <c r="AP342" s="4">
        <f t="shared" si="234"/>
        <v>1.4930448704811861E-3</v>
      </c>
      <c r="AQ342" s="4">
        <f t="shared" si="234"/>
        <v>1.0013381504474506E-3</v>
      </c>
      <c r="AR342" s="4">
        <f t="shared" si="234"/>
        <v>6.7145100246257527E-4</v>
      </c>
    </row>
    <row r="343" spans="1:44" x14ac:dyDescent="0.3">
      <c r="A343" s="24" t="s">
        <v>67</v>
      </c>
      <c r="B343" s="45">
        <f>'Parameter Input'!$L$37</f>
        <v>0.21633448448114301</v>
      </c>
      <c r="C343" s="46">
        <f>'Parameter Input'!$M$37</f>
        <v>0.101814693285632</v>
      </c>
      <c r="D343" s="1" t="s">
        <v>68</v>
      </c>
      <c r="L343" s="54">
        <f>'Parameter Input'!$O$37</f>
        <v>12</v>
      </c>
      <c r="M343" s="37">
        <v>0</v>
      </c>
      <c r="N343" s="37">
        <v>1</v>
      </c>
      <c r="O343" s="37">
        <f>'Parameter Input'!$P$37</f>
        <v>0.9</v>
      </c>
      <c r="P343" s="55">
        <f>'Parameter Input'!$Q$37</f>
        <v>0.4</v>
      </c>
      <c r="Q343" s="4">
        <f t="shared" si="234"/>
        <v>0.9867978615748374</v>
      </c>
      <c r="R343" s="4">
        <f t="shared" si="234"/>
        <v>0.98114509762858249</v>
      </c>
      <c r="S343" s="4">
        <f t="shared" si="234"/>
        <v>0.97311898315872036</v>
      </c>
      <c r="T343" s="4">
        <f t="shared" ref="T343:AI350" si="235">$N343+($M343-$N343)*((1/(1+EXP(-$P343*(T$9-$L343)))^$O343))</f>
        <v>0.96177484161592774</v>
      </c>
      <c r="U343" s="4">
        <f t="shared" si="235"/>
        <v>0.94584787155511363</v>
      </c>
      <c r="V343" s="4">
        <f t="shared" si="235"/>
        <v>0.92370360150141495</v>
      </c>
      <c r="W343" s="4">
        <f t="shared" si="235"/>
        <v>0.89334463567658451</v>
      </c>
      <c r="X343" s="4">
        <f t="shared" si="235"/>
        <v>0.85254543874327005</v>
      </c>
      <c r="Y343" s="4">
        <f t="shared" si="235"/>
        <v>0.79921300652623883</v>
      </c>
      <c r="Z343" s="4">
        <f t="shared" si="235"/>
        <v>0.73204982249993378</v>
      </c>
      <c r="AA343" s="4">
        <f t="shared" si="235"/>
        <v>0.65145592958786691</v>
      </c>
      <c r="AB343" s="4">
        <f t="shared" si="235"/>
        <v>0.56032247880849573</v>
      </c>
      <c r="AC343" s="4">
        <f t="shared" si="235"/>
        <v>0.46411326873185343</v>
      </c>
      <c r="AD343" s="4">
        <f t="shared" si="235"/>
        <v>0.36979727595523937</v>
      </c>
      <c r="AE343" s="4">
        <f t="shared" si="235"/>
        <v>0.28393948637231203</v>
      </c>
      <c r="AF343" s="4">
        <f t="shared" si="235"/>
        <v>0.21097259161117732</v>
      </c>
      <c r="AG343" s="4">
        <f t="shared" si="235"/>
        <v>0.15253917653798199</v>
      </c>
      <c r="AH343" s="4">
        <f t="shared" si="235"/>
        <v>0.10795188737709993</v>
      </c>
      <c r="AI343" s="4">
        <f t="shared" si="235"/>
        <v>7.5176653938091809E-2</v>
      </c>
      <c r="AJ343" s="4">
        <f t="shared" ref="AJ343:AR350" si="236">$N343+($M343-$N343)*((1/(1+EXP(-$P343*(AJ$9-$L343)))^$O343))</f>
        <v>5.1742836177502194E-2</v>
      </c>
      <c r="AK343" s="4">
        <f t="shared" si="236"/>
        <v>3.5319190625345942E-2</v>
      </c>
      <c r="AL343" s="4">
        <f t="shared" si="236"/>
        <v>2.3969442072658165E-2</v>
      </c>
      <c r="AM343" s="4">
        <f t="shared" si="236"/>
        <v>1.6202243558389728E-2</v>
      </c>
      <c r="AN343" s="4">
        <f t="shared" si="236"/>
        <v>1.0922240564108399E-2</v>
      </c>
      <c r="AO343" s="4">
        <f t="shared" si="236"/>
        <v>7.3493212906090566E-3</v>
      </c>
      <c r="AP343" s="4">
        <f t="shared" si="236"/>
        <v>4.9390262185057265E-3</v>
      </c>
      <c r="AQ343" s="4">
        <f t="shared" si="236"/>
        <v>3.3164275492956197E-3</v>
      </c>
      <c r="AR343" s="4">
        <f t="shared" si="236"/>
        <v>2.2256362146679809E-3</v>
      </c>
    </row>
    <row r="344" spans="1:44" x14ac:dyDescent="0.3">
      <c r="A344" s="24" t="s">
        <v>206</v>
      </c>
      <c r="B344" s="115">
        <f>'Parameter Input'!$L$40</f>
        <v>9.1245901639344252E-3</v>
      </c>
      <c r="C344" s="116">
        <f>'Parameter Input'!$M$40</f>
        <v>0</v>
      </c>
      <c r="D344" s="1" t="s">
        <v>76</v>
      </c>
      <c r="L344" s="54">
        <f>'Parameter Input'!$O$40</f>
        <v>17</v>
      </c>
      <c r="M344" s="37">
        <v>0</v>
      </c>
      <c r="N344" s="37">
        <v>1</v>
      </c>
      <c r="O344" s="37">
        <f>'Parameter Input'!$P$40</f>
        <v>0.9</v>
      </c>
      <c r="P344" s="55">
        <f>'Parameter Input'!$Q$40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3">
      <c r="A345" s="24" t="s">
        <v>41</v>
      </c>
      <c r="B345" s="43">
        <f>'Parameter Input'!$L$34</f>
        <v>8</v>
      </c>
      <c r="C345" s="44">
        <f>'Parameter Input'!$M$34</f>
        <v>8</v>
      </c>
      <c r="D345" s="1" t="s">
        <v>42</v>
      </c>
      <c r="L345" s="54">
        <f>'Parameter Input'!$O$34</f>
        <v>9</v>
      </c>
      <c r="M345" s="37">
        <v>0</v>
      </c>
      <c r="N345" s="37">
        <v>1</v>
      </c>
      <c r="O345" s="37">
        <f>'Parameter Input'!$P$34</f>
        <v>0.9</v>
      </c>
      <c r="P345" s="55">
        <f>'Parameter Input'!$Q$34</f>
        <v>0.4</v>
      </c>
      <c r="Q345" s="4">
        <f t="shared" ref="Q345:AF350" si="238">$N345+($M345-$N345)*((1/(1+EXP(-$P345*(Q$9-$L345)))^$O345))</f>
        <v>0.96177484161592774</v>
      </c>
      <c r="R345" s="4">
        <f t="shared" si="238"/>
        <v>0.94584787155511363</v>
      </c>
      <c r="S345" s="4">
        <f t="shared" si="238"/>
        <v>0.92370360150141495</v>
      </c>
      <c r="T345" s="4">
        <f t="shared" si="238"/>
        <v>0.89334463567658451</v>
      </c>
      <c r="U345" s="4">
        <f t="shared" si="238"/>
        <v>0.85254543874327005</v>
      </c>
      <c r="V345" s="4">
        <f t="shared" si="238"/>
        <v>0.79921300652623883</v>
      </c>
      <c r="W345" s="4">
        <f t="shared" si="238"/>
        <v>0.73204982249993378</v>
      </c>
      <c r="X345" s="4">
        <f t="shared" si="238"/>
        <v>0.65145592958786691</v>
      </c>
      <c r="Y345" s="4">
        <f t="shared" si="238"/>
        <v>0.56032247880849573</v>
      </c>
      <c r="Z345" s="4">
        <f t="shared" si="238"/>
        <v>0.46411326873185343</v>
      </c>
      <c r="AA345" s="4">
        <f t="shared" si="238"/>
        <v>0.36979727595523937</v>
      </c>
      <c r="AB345" s="4">
        <f t="shared" si="238"/>
        <v>0.28393948637231203</v>
      </c>
      <c r="AC345" s="4">
        <f t="shared" si="238"/>
        <v>0.21097259161117732</v>
      </c>
      <c r="AD345" s="4">
        <f t="shared" si="238"/>
        <v>0.15253917653798199</v>
      </c>
      <c r="AE345" s="4">
        <f t="shared" si="238"/>
        <v>0.10795188737709993</v>
      </c>
      <c r="AF345" s="4">
        <f t="shared" si="238"/>
        <v>7.5176653938091809E-2</v>
      </c>
      <c r="AG345" s="4">
        <f t="shared" si="235"/>
        <v>5.1742836177502194E-2</v>
      </c>
      <c r="AH345" s="4">
        <f t="shared" si="235"/>
        <v>3.5319190625345942E-2</v>
      </c>
      <c r="AI345" s="4">
        <f t="shared" si="235"/>
        <v>2.3969442072658165E-2</v>
      </c>
      <c r="AJ345" s="4">
        <f t="shared" si="236"/>
        <v>1.6202243558389728E-2</v>
      </c>
      <c r="AK345" s="4">
        <f t="shared" si="236"/>
        <v>1.0922240564108399E-2</v>
      </c>
      <c r="AL345" s="4">
        <f t="shared" si="236"/>
        <v>7.3493212906090566E-3</v>
      </c>
      <c r="AM345" s="4">
        <f t="shared" si="236"/>
        <v>4.9390262185057265E-3</v>
      </c>
      <c r="AN345" s="4">
        <f t="shared" si="236"/>
        <v>3.3164275492956197E-3</v>
      </c>
      <c r="AO345" s="4">
        <f t="shared" si="236"/>
        <v>2.2256362146679809E-3</v>
      </c>
      <c r="AP345" s="4">
        <f t="shared" si="236"/>
        <v>1.4930448704811861E-3</v>
      </c>
      <c r="AQ345" s="4">
        <f t="shared" si="236"/>
        <v>1.0013381504474506E-3</v>
      </c>
      <c r="AR345" s="4">
        <f t="shared" si="236"/>
        <v>6.7145100246257527E-4</v>
      </c>
    </row>
    <row r="346" spans="1:44" x14ac:dyDescent="0.3">
      <c r="A346" s="24" t="s">
        <v>70</v>
      </c>
      <c r="B346" s="60">
        <f>'Parameter Input'!B52</f>
        <v>10</v>
      </c>
      <c r="C346" s="61">
        <f>'Parameter Input'!C52</f>
        <v>10</v>
      </c>
      <c r="D346" s="1" t="s">
        <v>42</v>
      </c>
      <c r="L346" s="54">
        <f>'Parameter Input'!E52</f>
        <v>12</v>
      </c>
      <c r="M346" s="37">
        <v>0</v>
      </c>
      <c r="N346" s="37">
        <v>1</v>
      </c>
      <c r="O346" s="37">
        <f>'Parameter Input'!F52</f>
        <v>0.9</v>
      </c>
      <c r="P346" s="55">
        <f>'Parameter Input'!G52</f>
        <v>0.4</v>
      </c>
      <c r="Q346" s="4">
        <f t="shared" si="238"/>
        <v>0.9867978615748374</v>
      </c>
      <c r="R346" s="4">
        <f t="shared" si="238"/>
        <v>0.98114509762858249</v>
      </c>
      <c r="S346" s="4">
        <f t="shared" si="238"/>
        <v>0.97311898315872036</v>
      </c>
      <c r="T346" s="4">
        <f t="shared" si="238"/>
        <v>0.96177484161592774</v>
      </c>
      <c r="U346" s="4">
        <f t="shared" si="238"/>
        <v>0.94584787155511363</v>
      </c>
      <c r="V346" s="4">
        <f t="shared" si="238"/>
        <v>0.92370360150141495</v>
      </c>
      <c r="W346" s="4">
        <f t="shared" si="238"/>
        <v>0.89334463567658451</v>
      </c>
      <c r="X346" s="4">
        <f t="shared" si="238"/>
        <v>0.85254543874327005</v>
      </c>
      <c r="Y346" s="4">
        <f t="shared" si="238"/>
        <v>0.79921300652623883</v>
      </c>
      <c r="Z346" s="4">
        <f t="shared" si="238"/>
        <v>0.73204982249993378</v>
      </c>
      <c r="AA346" s="4">
        <f t="shared" si="238"/>
        <v>0.65145592958786691</v>
      </c>
      <c r="AB346" s="4">
        <f t="shared" si="238"/>
        <v>0.56032247880849573</v>
      </c>
      <c r="AC346" s="4">
        <f t="shared" si="238"/>
        <v>0.46411326873185343</v>
      </c>
      <c r="AD346" s="4">
        <f t="shared" si="238"/>
        <v>0.36979727595523937</v>
      </c>
      <c r="AE346" s="4">
        <f t="shared" si="238"/>
        <v>0.28393948637231203</v>
      </c>
      <c r="AF346" s="4">
        <f t="shared" si="238"/>
        <v>0.21097259161117732</v>
      </c>
      <c r="AG346" s="4">
        <f t="shared" si="235"/>
        <v>0.15253917653798199</v>
      </c>
      <c r="AH346" s="4">
        <f t="shared" si="235"/>
        <v>0.10795188737709993</v>
      </c>
      <c r="AI346" s="4">
        <f t="shared" si="235"/>
        <v>7.5176653938091809E-2</v>
      </c>
      <c r="AJ346" s="4">
        <f t="shared" si="236"/>
        <v>5.1742836177502194E-2</v>
      </c>
      <c r="AK346" s="4">
        <f t="shared" si="236"/>
        <v>3.5319190625345942E-2</v>
      </c>
      <c r="AL346" s="4">
        <f t="shared" si="236"/>
        <v>2.3969442072658165E-2</v>
      </c>
      <c r="AM346" s="4">
        <f t="shared" si="236"/>
        <v>1.6202243558389728E-2</v>
      </c>
      <c r="AN346" s="4">
        <f t="shared" si="236"/>
        <v>1.0922240564108399E-2</v>
      </c>
      <c r="AO346" s="4">
        <f t="shared" si="236"/>
        <v>7.3493212906090566E-3</v>
      </c>
      <c r="AP346" s="4">
        <f t="shared" si="236"/>
        <v>4.9390262185057265E-3</v>
      </c>
      <c r="AQ346" s="4">
        <f t="shared" si="236"/>
        <v>3.3164275492956197E-3</v>
      </c>
      <c r="AR346" s="4">
        <f t="shared" si="236"/>
        <v>2.2256362146679809E-3</v>
      </c>
    </row>
    <row r="347" spans="1:44" x14ac:dyDescent="0.3">
      <c r="A347" s="24" t="s">
        <v>207</v>
      </c>
      <c r="B347" s="43">
        <f>'Parameter Input'!B49</f>
        <v>25</v>
      </c>
      <c r="C347" s="44">
        <f>'Parameter Input'!C49</f>
        <v>25</v>
      </c>
      <c r="D347" s="1" t="s">
        <v>49</v>
      </c>
      <c r="L347" s="54">
        <f>'Parameter Input'!E49</f>
        <v>12</v>
      </c>
      <c r="M347" s="37">
        <v>0</v>
      </c>
      <c r="N347" s="37">
        <v>1</v>
      </c>
      <c r="O347" s="37">
        <f>'Parameter Input'!F49</f>
        <v>0.9</v>
      </c>
      <c r="P347" s="55">
        <f>'Parameter Input'!G49</f>
        <v>0.4</v>
      </c>
      <c r="Q347" s="4">
        <f t="shared" si="238"/>
        <v>0.9867978615748374</v>
      </c>
      <c r="R347" s="4">
        <f t="shared" si="238"/>
        <v>0.98114509762858249</v>
      </c>
      <c r="S347" s="4">
        <f t="shared" si="238"/>
        <v>0.97311898315872036</v>
      </c>
      <c r="T347" s="4">
        <f t="shared" si="238"/>
        <v>0.96177484161592774</v>
      </c>
      <c r="U347" s="4">
        <f t="shared" si="238"/>
        <v>0.94584787155511363</v>
      </c>
      <c r="V347" s="4">
        <f t="shared" si="238"/>
        <v>0.92370360150141495</v>
      </c>
      <c r="W347" s="4">
        <f t="shared" si="238"/>
        <v>0.89334463567658451</v>
      </c>
      <c r="X347" s="4">
        <f t="shared" si="238"/>
        <v>0.85254543874327005</v>
      </c>
      <c r="Y347" s="4">
        <f t="shared" si="238"/>
        <v>0.79921300652623883</v>
      </c>
      <c r="Z347" s="4">
        <f t="shared" si="238"/>
        <v>0.73204982249993378</v>
      </c>
      <c r="AA347" s="4">
        <f t="shared" si="238"/>
        <v>0.65145592958786691</v>
      </c>
      <c r="AB347" s="4">
        <f t="shared" si="238"/>
        <v>0.56032247880849573</v>
      </c>
      <c r="AC347" s="4">
        <f t="shared" si="238"/>
        <v>0.46411326873185343</v>
      </c>
      <c r="AD347" s="4">
        <f t="shared" si="238"/>
        <v>0.36979727595523937</v>
      </c>
      <c r="AE347" s="4">
        <f t="shared" si="238"/>
        <v>0.28393948637231203</v>
      </c>
      <c r="AF347" s="4">
        <f t="shared" si="238"/>
        <v>0.21097259161117732</v>
      </c>
      <c r="AG347" s="4">
        <f t="shared" si="235"/>
        <v>0.15253917653798199</v>
      </c>
      <c r="AH347" s="4">
        <f t="shared" si="235"/>
        <v>0.10795188737709993</v>
      </c>
      <c r="AI347" s="4">
        <f t="shared" si="235"/>
        <v>7.5176653938091809E-2</v>
      </c>
      <c r="AJ347" s="4">
        <f t="shared" si="236"/>
        <v>5.1742836177502194E-2</v>
      </c>
      <c r="AK347" s="4">
        <f t="shared" si="236"/>
        <v>3.5319190625345942E-2</v>
      </c>
      <c r="AL347" s="4">
        <f t="shared" si="236"/>
        <v>2.3969442072658165E-2</v>
      </c>
      <c r="AM347" s="4">
        <f t="shared" si="236"/>
        <v>1.6202243558389728E-2</v>
      </c>
      <c r="AN347" s="4">
        <f t="shared" si="236"/>
        <v>1.0922240564108399E-2</v>
      </c>
      <c r="AO347" s="4">
        <f t="shared" si="236"/>
        <v>7.3493212906090566E-3</v>
      </c>
      <c r="AP347" s="4">
        <f t="shared" si="236"/>
        <v>4.9390262185057265E-3</v>
      </c>
      <c r="AQ347" s="4">
        <f t="shared" si="236"/>
        <v>3.3164275492956197E-3</v>
      </c>
      <c r="AR347" s="4">
        <f t="shared" si="236"/>
        <v>2.2256362146679809E-3</v>
      </c>
    </row>
    <row r="348" spans="1:44" x14ac:dyDescent="0.3">
      <c r="A348" s="24" t="s">
        <v>56</v>
      </c>
      <c r="B348" s="45">
        <f>'Parameter Input'!B50</f>
        <v>0.46</v>
      </c>
      <c r="C348" s="46">
        <f>'Parameter Input'!C50</f>
        <v>0.46</v>
      </c>
      <c r="D348" s="1" t="s">
        <v>57</v>
      </c>
      <c r="L348" s="54">
        <f>'Parameter Input'!E50</f>
        <v>12</v>
      </c>
      <c r="M348" s="37">
        <v>0</v>
      </c>
      <c r="N348" s="37">
        <v>1</v>
      </c>
      <c r="O348" s="37">
        <f>'Parameter Input'!F50</f>
        <v>0.9</v>
      </c>
      <c r="P348" s="55">
        <f>'Parameter Input'!G50</f>
        <v>0.4</v>
      </c>
      <c r="Q348" s="4">
        <f t="shared" si="238"/>
        <v>0.9867978615748374</v>
      </c>
      <c r="R348" s="4">
        <f t="shared" si="238"/>
        <v>0.98114509762858249</v>
      </c>
      <c r="S348" s="4">
        <f t="shared" si="238"/>
        <v>0.97311898315872036</v>
      </c>
      <c r="T348" s="4">
        <f t="shared" si="238"/>
        <v>0.96177484161592774</v>
      </c>
      <c r="U348" s="4">
        <f t="shared" si="238"/>
        <v>0.94584787155511363</v>
      </c>
      <c r="V348" s="4">
        <f t="shared" si="238"/>
        <v>0.92370360150141495</v>
      </c>
      <c r="W348" s="4">
        <f t="shared" si="238"/>
        <v>0.89334463567658451</v>
      </c>
      <c r="X348" s="4">
        <f t="shared" si="238"/>
        <v>0.85254543874327005</v>
      </c>
      <c r="Y348" s="4">
        <f t="shared" si="238"/>
        <v>0.79921300652623883</v>
      </c>
      <c r="Z348" s="4">
        <f t="shared" si="238"/>
        <v>0.73204982249993378</v>
      </c>
      <c r="AA348" s="4">
        <f t="shared" si="238"/>
        <v>0.65145592958786691</v>
      </c>
      <c r="AB348" s="4">
        <f t="shared" si="238"/>
        <v>0.56032247880849573</v>
      </c>
      <c r="AC348" s="4">
        <f t="shared" si="238"/>
        <v>0.46411326873185343</v>
      </c>
      <c r="AD348" s="4">
        <f t="shared" si="238"/>
        <v>0.36979727595523937</v>
      </c>
      <c r="AE348" s="4">
        <f t="shared" si="238"/>
        <v>0.28393948637231203</v>
      </c>
      <c r="AF348" s="4">
        <f t="shared" si="238"/>
        <v>0.21097259161117732</v>
      </c>
      <c r="AG348" s="4">
        <f t="shared" si="235"/>
        <v>0.15253917653798199</v>
      </c>
      <c r="AH348" s="4">
        <f t="shared" si="235"/>
        <v>0.10795188737709993</v>
      </c>
      <c r="AI348" s="4">
        <f t="shared" si="235"/>
        <v>7.5176653938091809E-2</v>
      </c>
      <c r="AJ348" s="4">
        <f t="shared" si="236"/>
        <v>5.1742836177502194E-2</v>
      </c>
      <c r="AK348" s="4">
        <f t="shared" si="236"/>
        <v>3.5319190625345942E-2</v>
      </c>
      <c r="AL348" s="4">
        <f t="shared" si="236"/>
        <v>2.3969442072658165E-2</v>
      </c>
      <c r="AM348" s="4">
        <f t="shared" si="236"/>
        <v>1.6202243558389728E-2</v>
      </c>
      <c r="AN348" s="4">
        <f t="shared" si="236"/>
        <v>1.0922240564108399E-2</v>
      </c>
      <c r="AO348" s="4">
        <f t="shared" si="236"/>
        <v>7.3493212906090566E-3</v>
      </c>
      <c r="AP348" s="4">
        <f t="shared" si="236"/>
        <v>4.9390262185057265E-3</v>
      </c>
      <c r="AQ348" s="4">
        <f t="shared" si="236"/>
        <v>3.3164275492956197E-3</v>
      </c>
      <c r="AR348" s="4">
        <f t="shared" si="236"/>
        <v>2.2256362146679809E-3</v>
      </c>
    </row>
    <row r="349" spans="1:44" x14ac:dyDescent="0.3">
      <c r="A349" s="24" t="s">
        <v>73</v>
      </c>
      <c r="B349" s="72">
        <f>'Parameter Input'!$L$38</f>
        <v>0.05</v>
      </c>
      <c r="C349" s="73">
        <f>'Parameter Input'!$M$38</f>
        <v>0.02</v>
      </c>
      <c r="D349" s="1" t="s">
        <v>57</v>
      </c>
      <c r="L349" s="54">
        <f>'Parameter Input'!$O$38</f>
        <v>12</v>
      </c>
      <c r="M349" s="37">
        <v>0</v>
      </c>
      <c r="N349" s="37">
        <v>1</v>
      </c>
      <c r="O349" s="37">
        <f>'Parameter Input'!$P$38</f>
        <v>0.9</v>
      </c>
      <c r="P349" s="55">
        <f>'Parameter Input'!$Q$38</f>
        <v>0.4</v>
      </c>
      <c r="Q349" s="4">
        <f t="shared" si="238"/>
        <v>0.9867978615748374</v>
      </c>
      <c r="R349" s="4">
        <f t="shared" si="238"/>
        <v>0.98114509762858249</v>
      </c>
      <c r="S349" s="4">
        <f t="shared" si="238"/>
        <v>0.97311898315872036</v>
      </c>
      <c r="T349" s="4">
        <f t="shared" si="238"/>
        <v>0.96177484161592774</v>
      </c>
      <c r="U349" s="4">
        <f t="shared" si="238"/>
        <v>0.94584787155511363</v>
      </c>
      <c r="V349" s="4">
        <f t="shared" si="238"/>
        <v>0.92370360150141495</v>
      </c>
      <c r="W349" s="4">
        <f t="shared" si="238"/>
        <v>0.89334463567658451</v>
      </c>
      <c r="X349" s="4">
        <f t="shared" si="238"/>
        <v>0.85254543874327005</v>
      </c>
      <c r="Y349" s="4">
        <f t="shared" si="238"/>
        <v>0.79921300652623883</v>
      </c>
      <c r="Z349" s="4">
        <f t="shared" si="238"/>
        <v>0.73204982249993378</v>
      </c>
      <c r="AA349" s="4">
        <f t="shared" si="238"/>
        <v>0.65145592958786691</v>
      </c>
      <c r="AB349" s="4">
        <f t="shared" si="238"/>
        <v>0.56032247880849573</v>
      </c>
      <c r="AC349" s="4">
        <f t="shared" si="238"/>
        <v>0.46411326873185343</v>
      </c>
      <c r="AD349" s="4">
        <f t="shared" si="238"/>
        <v>0.36979727595523937</v>
      </c>
      <c r="AE349" s="4">
        <f t="shared" si="238"/>
        <v>0.28393948637231203</v>
      </c>
      <c r="AF349" s="4">
        <f t="shared" si="238"/>
        <v>0.21097259161117732</v>
      </c>
      <c r="AG349" s="4">
        <f t="shared" si="235"/>
        <v>0.15253917653798199</v>
      </c>
      <c r="AH349" s="4">
        <f t="shared" si="235"/>
        <v>0.10795188737709993</v>
      </c>
      <c r="AI349" s="4">
        <f t="shared" si="235"/>
        <v>7.5176653938091809E-2</v>
      </c>
      <c r="AJ349" s="4">
        <f t="shared" si="236"/>
        <v>5.1742836177502194E-2</v>
      </c>
      <c r="AK349" s="4">
        <f t="shared" si="236"/>
        <v>3.5319190625345942E-2</v>
      </c>
      <c r="AL349" s="4">
        <f t="shared" si="236"/>
        <v>2.3969442072658165E-2</v>
      </c>
      <c r="AM349" s="4">
        <f t="shared" si="236"/>
        <v>1.6202243558389728E-2</v>
      </c>
      <c r="AN349" s="4">
        <f t="shared" si="236"/>
        <v>1.0922240564108399E-2</v>
      </c>
      <c r="AO349" s="4">
        <f t="shared" si="236"/>
        <v>7.3493212906090566E-3</v>
      </c>
      <c r="AP349" s="4">
        <f t="shared" si="236"/>
        <v>4.9390262185057265E-3</v>
      </c>
      <c r="AQ349" s="4">
        <f t="shared" si="236"/>
        <v>3.3164275492956197E-3</v>
      </c>
      <c r="AR349" s="4">
        <f t="shared" si="236"/>
        <v>2.2256362146679809E-3</v>
      </c>
    </row>
    <row r="350" spans="1:44" ht="15" thickBot="1" x14ac:dyDescent="0.35">
      <c r="A350" s="24" t="s">
        <v>64</v>
      </c>
      <c r="B350" s="49">
        <f>'Parameter Input'!B51</f>
        <v>78000</v>
      </c>
      <c r="C350" s="50">
        <f>'Parameter Input'!C51</f>
        <v>78000</v>
      </c>
      <c r="D350" s="1" t="s">
        <v>65</v>
      </c>
      <c r="L350" s="56">
        <f>'Parameter Input'!E51</f>
        <v>12</v>
      </c>
      <c r="M350" s="57">
        <v>0</v>
      </c>
      <c r="N350" s="57">
        <v>1</v>
      </c>
      <c r="O350" s="57">
        <f>'Parameter Input'!F51</f>
        <v>0.9</v>
      </c>
      <c r="P350" s="58">
        <f>'Parameter Input'!G51</f>
        <v>0.4</v>
      </c>
      <c r="Q350" s="4">
        <f t="shared" si="238"/>
        <v>0.9867978615748374</v>
      </c>
      <c r="R350" s="4">
        <f t="shared" si="238"/>
        <v>0.98114509762858249</v>
      </c>
      <c r="S350" s="4">
        <f t="shared" si="238"/>
        <v>0.97311898315872036</v>
      </c>
      <c r="T350" s="4">
        <f t="shared" si="238"/>
        <v>0.96177484161592774</v>
      </c>
      <c r="U350" s="4">
        <f t="shared" si="238"/>
        <v>0.94584787155511363</v>
      </c>
      <c r="V350" s="4">
        <f t="shared" si="238"/>
        <v>0.92370360150141495</v>
      </c>
      <c r="W350" s="4">
        <f t="shared" si="238"/>
        <v>0.89334463567658451</v>
      </c>
      <c r="X350" s="4">
        <f t="shared" si="238"/>
        <v>0.85254543874327005</v>
      </c>
      <c r="Y350" s="4">
        <f t="shared" si="238"/>
        <v>0.79921300652623883</v>
      </c>
      <c r="Z350" s="4">
        <f t="shared" si="238"/>
        <v>0.73204982249993378</v>
      </c>
      <c r="AA350" s="4">
        <f t="shared" si="238"/>
        <v>0.65145592958786691</v>
      </c>
      <c r="AB350" s="4">
        <f t="shared" si="238"/>
        <v>0.56032247880849573</v>
      </c>
      <c r="AC350" s="4">
        <f t="shared" si="238"/>
        <v>0.46411326873185343</v>
      </c>
      <c r="AD350" s="4">
        <f t="shared" si="238"/>
        <v>0.36979727595523937</v>
      </c>
      <c r="AE350" s="4">
        <f t="shared" si="238"/>
        <v>0.28393948637231203</v>
      </c>
      <c r="AF350" s="4">
        <f t="shared" si="238"/>
        <v>0.21097259161117732</v>
      </c>
      <c r="AG350" s="4">
        <f t="shared" si="235"/>
        <v>0.15253917653798199</v>
      </c>
      <c r="AH350" s="4">
        <f t="shared" si="235"/>
        <v>0.10795188737709993</v>
      </c>
      <c r="AI350" s="4">
        <f t="shared" si="235"/>
        <v>7.5176653938091809E-2</v>
      </c>
      <c r="AJ350" s="4">
        <f t="shared" si="236"/>
        <v>5.1742836177502194E-2</v>
      </c>
      <c r="AK350" s="4">
        <f t="shared" si="236"/>
        <v>3.5319190625345942E-2</v>
      </c>
      <c r="AL350" s="4">
        <f t="shared" si="236"/>
        <v>2.3969442072658165E-2</v>
      </c>
      <c r="AM350" s="4">
        <f t="shared" si="236"/>
        <v>1.6202243558389728E-2</v>
      </c>
      <c r="AN350" s="4">
        <f t="shared" si="236"/>
        <v>1.0922240564108399E-2</v>
      </c>
      <c r="AO350" s="4">
        <f t="shared" si="236"/>
        <v>7.3493212906090566E-3</v>
      </c>
      <c r="AP350" s="4">
        <f t="shared" si="236"/>
        <v>4.9390262185057265E-3</v>
      </c>
      <c r="AQ350" s="4">
        <f t="shared" si="236"/>
        <v>3.3164275492956197E-3</v>
      </c>
      <c r="AR350" s="4">
        <f t="shared" si="236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39">A334</f>
        <v>Capex vehicle</v>
      </c>
      <c r="B354" s="62">
        <f t="shared" ref="B354:B363" si="240">$B334+($C334-$B334)*(1-Q334)</f>
        <v>381017.08777974301</v>
      </c>
      <c r="C354" s="62">
        <f t="shared" ref="C354:C363" si="241">$B334+($C334-$B334)*(1-R334)</f>
        <v>377274.24981545168</v>
      </c>
      <c r="D354" s="62">
        <f t="shared" ref="D354:D363" si="242">$B334+($C334-$B334)*(1-S334)</f>
        <v>372070.34635283251</v>
      </c>
      <c r="E354" s="62">
        <f t="shared" ref="E354:E363" si="243">$B334+($C334-$B334)*(1-T334)</f>
        <v>364935.98938399734</v>
      </c>
      <c r="F354" s="62">
        <f t="shared" ref="F354:F363" si="244">$B334+($C334-$B334)*(1-U334)</f>
        <v>355348.17810466845</v>
      </c>
      <c r="G354" s="62">
        <f t="shared" ref="G354:G363" si="245">$B334+($C334-$B334)*(1-V334)</f>
        <v>342815.05653366609</v>
      </c>
      <c r="H354" s="62">
        <f t="shared" ref="H354:H363" si="246">$B334+($C334-$B334)*(1-W334)</f>
        <v>327031.70828748442</v>
      </c>
      <c r="I354" s="62">
        <f t="shared" ref="I354:I363" si="247">$B334+($C334-$B334)*(1-X334)</f>
        <v>308092.14345314872</v>
      </c>
      <c r="J354" s="62">
        <f t="shared" ref="J354:J363" si="248">$B334+($C334-$B334)*(1-Y334)</f>
        <v>286675.78251999652</v>
      </c>
      <c r="K354" s="62">
        <f t="shared" ref="K354:K363" si="249">$B334+($C334-$B334)*(1-Z334)</f>
        <v>264066.61815198557</v>
      </c>
      <c r="L354" s="62">
        <f t="shared" ref="L354:L363" si="250">$B334+($C334-$B334)*(1-AA334)</f>
        <v>241902.35984948126</v>
      </c>
      <c r="M354" s="62">
        <f t="shared" ref="M354:M363" si="251">$B334+($C334-$B334)*(1-AB334)</f>
        <v>221725.77929749334</v>
      </c>
      <c r="N354" s="62">
        <f t="shared" ref="N354:N363" si="252">$B334+($C334-$B334)*(1-AC334)</f>
        <v>204578.55902862668</v>
      </c>
      <c r="O354" s="62">
        <f t="shared" ref="O354:O363" si="253">$B334+($C334-$B334)*(1-AD334)</f>
        <v>190846.70648642577</v>
      </c>
      <c r="P354" s="62">
        <f t="shared" ref="P354:P363" si="254">$B334+($C334-$B334)*(1-AE334)</f>
        <v>180368.6935336185</v>
      </c>
      <c r="Q354" s="62">
        <f t="shared" ref="Q354:Q363" si="255">$B334+($C334-$B334)*(1-AF334)</f>
        <v>172666.51367545157</v>
      </c>
      <c r="R354" s="62">
        <f t="shared" ref="R354:R363" si="256">$B334+($C334-$B334)*(1-AG334)</f>
        <v>167159.56650171301</v>
      </c>
      <c r="S354" s="62">
        <f t="shared" ref="S354:S363" si="257">$B334+($C334-$B334)*(1-AH334)</f>
        <v>163300.00979695629</v>
      </c>
      <c r="T354" s="62">
        <f t="shared" ref="T354:T363" si="258">$B334+($C334-$B334)*(1-AI334)</f>
        <v>160632.81888707468</v>
      </c>
      <c r="U354" s="62">
        <f t="shared" ref="U354:U363" si="259">$B334+($C334-$B334)*(1-AJ334)</f>
        <v>158807.52723622159</v>
      </c>
      <c r="V354" s="62">
        <f t="shared" ref="V354:V363" si="260">$B334+($C334-$B334)*(1-AK334)</f>
        <v>157566.72653256549</v>
      </c>
      <c r="W354" s="62">
        <f t="shared" ref="W354:W363" si="261">$B334+($C334-$B334)*(1-AL334)</f>
        <v>156727.09050329312</v>
      </c>
      <c r="X354" s="62">
        <f t="shared" ref="X354:X363" si="262">$B334+($C334-$B334)*(1-AM334)</f>
        <v>156160.67116134884</v>
      </c>
      <c r="Y354" s="62">
        <f t="shared" ref="Y354:Y363" si="263">$B334+($C334-$B334)*(1-AN334)</f>
        <v>155779.36047408447</v>
      </c>
      <c r="Z354" s="62">
        <f t="shared" ref="Z354:Z363" si="264">$B334+($C334-$B334)*(1-AO334)</f>
        <v>155523.02451044696</v>
      </c>
      <c r="AA354" s="62">
        <f t="shared" ref="AA354:AA363" si="265">$B334+($C334-$B334)*(1-AP334)</f>
        <v>155350.86554456307</v>
      </c>
      <c r="AB354" s="62">
        <f t="shared" ref="AB354:AB363" si="266">$B334+($C334-$B334)*(1-AQ334)</f>
        <v>155235.31446535516</v>
      </c>
      <c r="AC354" s="62">
        <f t="shared" ref="AC354:AC363" si="267">$B334+($C334-$B334)*(1-AR334)</f>
        <v>155157.7909855787</v>
      </c>
    </row>
    <row r="355" spans="1:29" x14ac:dyDescent="0.3">
      <c r="A355" s="30" t="str">
        <f t="shared" si="239"/>
        <v>Residual value (vehicle)</v>
      </c>
      <c r="B355" s="62">
        <f t="shared" si="240"/>
        <v>-57745.053121914571</v>
      </c>
      <c r="C355" s="62">
        <f t="shared" si="241"/>
        <v>-57430.49546321349</v>
      </c>
      <c r="D355" s="62">
        <f t="shared" si="242"/>
        <v>-56993.146129652945</v>
      </c>
      <c r="E355" s="62">
        <f t="shared" si="243"/>
        <v>-56393.556554612544</v>
      </c>
      <c r="F355" s="62">
        <f t="shared" si="244"/>
        <v>-55587.772415179585</v>
      </c>
      <c r="G355" s="62">
        <f t="shared" si="245"/>
        <v>-54534.456878893216</v>
      </c>
      <c r="H355" s="62">
        <f t="shared" si="246"/>
        <v>-53207.983994373695</v>
      </c>
      <c r="I355" s="62">
        <f t="shared" si="247"/>
        <v>-51616.254609360374</v>
      </c>
      <c r="J355" s="62">
        <f t="shared" si="248"/>
        <v>-49816.368956467792</v>
      </c>
      <c r="K355" s="62">
        <f t="shared" si="249"/>
        <v>-47916.237057454106</v>
      </c>
      <c r="L355" s="62">
        <f t="shared" si="250"/>
        <v>-46053.49620011598</v>
      </c>
      <c r="M355" s="62">
        <f t="shared" si="251"/>
        <v>-44357.804855853159</v>
      </c>
      <c r="N355" s="62">
        <f t="shared" si="252"/>
        <v>-42916.708684320751</v>
      </c>
      <c r="O355" s="62">
        <f t="shared" si="253"/>
        <v>-41762.648736625146</v>
      </c>
      <c r="P355" s="62">
        <f t="shared" si="254"/>
        <v>-40882.049775697727</v>
      </c>
      <c r="Q355" s="62">
        <f t="shared" si="255"/>
        <v>-40234.73891527731</v>
      </c>
      <c r="R355" s="62">
        <f t="shared" si="256"/>
        <v>-39771.921014505671</v>
      </c>
      <c r="S355" s="62">
        <f t="shared" si="257"/>
        <v>-39447.554014850582</v>
      </c>
      <c r="T355" s="62">
        <f t="shared" si="258"/>
        <v>-39223.396480935</v>
      </c>
      <c r="U355" s="62">
        <f t="shared" si="259"/>
        <v>-39069.994310278198</v>
      </c>
      <c r="V355" s="62">
        <f t="shared" si="260"/>
        <v>-38965.714251141137</v>
      </c>
      <c r="W355" s="62">
        <f t="shared" si="261"/>
        <v>-38895.149095489527</v>
      </c>
      <c r="X355" s="62">
        <f t="shared" si="262"/>
        <v>-38847.545767815493</v>
      </c>
      <c r="Y355" s="62">
        <f t="shared" si="263"/>
        <v>-38815.49944409859</v>
      </c>
      <c r="Z355" s="62">
        <f t="shared" si="264"/>
        <v>-38793.956315239688</v>
      </c>
      <c r="AA355" s="62">
        <f t="shared" si="265"/>
        <v>-38779.487636192003</v>
      </c>
      <c r="AB355" s="62">
        <f t="shared" si="266"/>
        <v>-38769.776428471334</v>
      </c>
      <c r="AC355" s="62">
        <f t="shared" si="267"/>
        <v>-38763.261157298635</v>
      </c>
    </row>
    <row r="356" spans="1:29" x14ac:dyDescent="0.3">
      <c r="A356" s="30" t="str">
        <f t="shared" si="239"/>
        <v>Capex costumization</v>
      </c>
      <c r="B356" s="62">
        <f t="shared" si="240"/>
        <v>40000</v>
      </c>
      <c r="C356" s="62">
        <f t="shared" si="241"/>
        <v>40000</v>
      </c>
      <c r="D356" s="62">
        <f t="shared" si="242"/>
        <v>40000</v>
      </c>
      <c r="E356" s="62">
        <f t="shared" si="243"/>
        <v>40000</v>
      </c>
      <c r="F356" s="62">
        <f t="shared" si="244"/>
        <v>40000</v>
      </c>
      <c r="G356" s="62">
        <f t="shared" si="245"/>
        <v>40000</v>
      </c>
      <c r="H356" s="62">
        <f t="shared" si="246"/>
        <v>40000</v>
      </c>
      <c r="I356" s="62">
        <f t="shared" si="247"/>
        <v>40000</v>
      </c>
      <c r="J356" s="62">
        <f t="shared" si="248"/>
        <v>40000</v>
      </c>
      <c r="K356" s="62">
        <f t="shared" si="249"/>
        <v>40000</v>
      </c>
      <c r="L356" s="62">
        <f t="shared" si="250"/>
        <v>40000</v>
      </c>
      <c r="M356" s="62">
        <f t="shared" si="251"/>
        <v>40000</v>
      </c>
      <c r="N356" s="62">
        <f t="shared" si="252"/>
        <v>40000</v>
      </c>
      <c r="O356" s="62">
        <f t="shared" si="253"/>
        <v>40000</v>
      </c>
      <c r="P356" s="62">
        <f t="shared" si="254"/>
        <v>40000</v>
      </c>
      <c r="Q356" s="62">
        <f t="shared" si="255"/>
        <v>40000</v>
      </c>
      <c r="R356" s="62">
        <f t="shared" si="256"/>
        <v>40000</v>
      </c>
      <c r="S356" s="62">
        <f t="shared" si="257"/>
        <v>40000</v>
      </c>
      <c r="T356" s="62">
        <f t="shared" si="258"/>
        <v>40000</v>
      </c>
      <c r="U356" s="62">
        <f t="shared" si="259"/>
        <v>40000</v>
      </c>
      <c r="V356" s="62">
        <f t="shared" si="260"/>
        <v>40000</v>
      </c>
      <c r="W356" s="62">
        <f t="shared" si="261"/>
        <v>40000</v>
      </c>
      <c r="X356" s="62">
        <f t="shared" si="262"/>
        <v>40000</v>
      </c>
      <c r="Y356" s="62">
        <f t="shared" si="263"/>
        <v>40000</v>
      </c>
      <c r="Z356" s="62">
        <f t="shared" si="264"/>
        <v>40000</v>
      </c>
      <c r="AA356" s="62">
        <f t="shared" si="265"/>
        <v>40000</v>
      </c>
      <c r="AB356" s="62">
        <f t="shared" si="266"/>
        <v>40000</v>
      </c>
      <c r="AC356" s="62">
        <f t="shared" si="267"/>
        <v>40000</v>
      </c>
    </row>
    <row r="357" spans="1:29" x14ac:dyDescent="0.3">
      <c r="A357" s="30" t="str">
        <f t="shared" si="239"/>
        <v>Residual value (costumization)</v>
      </c>
      <c r="B357" s="62">
        <f t="shared" si="240"/>
        <v>-10000</v>
      </c>
      <c r="C357" s="62">
        <f t="shared" si="241"/>
        <v>-10000</v>
      </c>
      <c r="D357" s="62">
        <f t="shared" si="242"/>
        <v>-10000</v>
      </c>
      <c r="E357" s="62">
        <f t="shared" si="243"/>
        <v>-10000</v>
      </c>
      <c r="F357" s="62">
        <f t="shared" si="244"/>
        <v>-10000</v>
      </c>
      <c r="G357" s="62">
        <f t="shared" si="245"/>
        <v>-10000</v>
      </c>
      <c r="H357" s="62">
        <f t="shared" si="246"/>
        <v>-10000</v>
      </c>
      <c r="I357" s="62">
        <f t="shared" si="247"/>
        <v>-10000</v>
      </c>
      <c r="J357" s="62">
        <f t="shared" si="248"/>
        <v>-10000</v>
      </c>
      <c r="K357" s="62">
        <f t="shared" si="249"/>
        <v>-10000</v>
      </c>
      <c r="L357" s="62">
        <f t="shared" si="250"/>
        <v>-10000</v>
      </c>
      <c r="M357" s="62">
        <f t="shared" si="251"/>
        <v>-10000</v>
      </c>
      <c r="N357" s="62">
        <f t="shared" si="252"/>
        <v>-10000</v>
      </c>
      <c r="O357" s="62">
        <f t="shared" si="253"/>
        <v>-10000</v>
      </c>
      <c r="P357" s="62">
        <f t="shared" si="254"/>
        <v>-10000</v>
      </c>
      <c r="Q357" s="62">
        <f t="shared" si="255"/>
        <v>-10000</v>
      </c>
      <c r="R357" s="62">
        <f t="shared" si="256"/>
        <v>-10000</v>
      </c>
      <c r="S357" s="62">
        <f t="shared" si="257"/>
        <v>-10000</v>
      </c>
      <c r="T357" s="62">
        <f t="shared" si="258"/>
        <v>-10000</v>
      </c>
      <c r="U357" s="62">
        <f t="shared" si="259"/>
        <v>-10000</v>
      </c>
      <c r="V357" s="62">
        <f t="shared" si="260"/>
        <v>-10000</v>
      </c>
      <c r="W357" s="62">
        <f t="shared" si="261"/>
        <v>-10000</v>
      </c>
      <c r="X357" s="62">
        <f t="shared" si="262"/>
        <v>-10000</v>
      </c>
      <c r="Y357" s="62">
        <f t="shared" si="263"/>
        <v>-10000</v>
      </c>
      <c r="Z357" s="62">
        <f t="shared" si="264"/>
        <v>-10000</v>
      </c>
      <c r="AA357" s="62">
        <f t="shared" si="265"/>
        <v>-10000</v>
      </c>
      <c r="AB357" s="62">
        <f t="shared" si="266"/>
        <v>-10000</v>
      </c>
      <c r="AC357" s="62">
        <f t="shared" si="267"/>
        <v>-10000</v>
      </c>
    </row>
    <row r="358" spans="1:29" x14ac:dyDescent="0.3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3">
      <c r="A359" s="30" t="str">
        <f t="shared" si="239"/>
        <v>Opex fix (admin, crew, insurance)</v>
      </c>
      <c r="B359" s="62">
        <f t="shared" si="240"/>
        <v>70000</v>
      </c>
      <c r="C359" s="62">
        <f t="shared" si="241"/>
        <v>70000</v>
      </c>
      <c r="D359" s="62">
        <f t="shared" si="242"/>
        <v>70000</v>
      </c>
      <c r="E359" s="62">
        <f t="shared" si="243"/>
        <v>70000</v>
      </c>
      <c r="F359" s="62">
        <f t="shared" si="244"/>
        <v>70000</v>
      </c>
      <c r="G359" s="62">
        <f t="shared" si="245"/>
        <v>70000</v>
      </c>
      <c r="H359" s="62">
        <f t="shared" si="246"/>
        <v>70000</v>
      </c>
      <c r="I359" s="62">
        <f t="shared" si="247"/>
        <v>70000</v>
      </c>
      <c r="J359" s="62">
        <f t="shared" si="248"/>
        <v>70000</v>
      </c>
      <c r="K359" s="62">
        <f t="shared" si="249"/>
        <v>70000</v>
      </c>
      <c r="L359" s="62">
        <f t="shared" si="250"/>
        <v>70000</v>
      </c>
      <c r="M359" s="62">
        <f t="shared" si="251"/>
        <v>70000</v>
      </c>
      <c r="N359" s="62">
        <f t="shared" si="252"/>
        <v>70000</v>
      </c>
      <c r="O359" s="62">
        <f t="shared" si="253"/>
        <v>70000</v>
      </c>
      <c r="P359" s="62">
        <f t="shared" si="254"/>
        <v>70000</v>
      </c>
      <c r="Q359" s="62">
        <f t="shared" si="255"/>
        <v>70000</v>
      </c>
      <c r="R359" s="62">
        <f t="shared" si="256"/>
        <v>70000</v>
      </c>
      <c r="S359" s="62">
        <f t="shared" si="257"/>
        <v>70000</v>
      </c>
      <c r="T359" s="62">
        <f t="shared" si="258"/>
        <v>70000</v>
      </c>
      <c r="U359" s="62">
        <f t="shared" si="259"/>
        <v>70000</v>
      </c>
      <c r="V359" s="62">
        <f t="shared" si="260"/>
        <v>70000</v>
      </c>
      <c r="W359" s="62">
        <f t="shared" si="261"/>
        <v>70000</v>
      </c>
      <c r="X359" s="62">
        <f t="shared" si="262"/>
        <v>70000</v>
      </c>
      <c r="Y359" s="62">
        <f t="shared" si="263"/>
        <v>70000</v>
      </c>
      <c r="Z359" s="62">
        <f t="shared" si="264"/>
        <v>70000</v>
      </c>
      <c r="AA359" s="62">
        <f t="shared" si="265"/>
        <v>70000</v>
      </c>
      <c r="AB359" s="62">
        <f t="shared" si="266"/>
        <v>70000</v>
      </c>
      <c r="AC359" s="62">
        <f t="shared" si="267"/>
        <v>70000</v>
      </c>
    </row>
    <row r="360" spans="1:29" x14ac:dyDescent="0.3">
      <c r="A360" s="30" t="str">
        <f t="shared" si="239"/>
        <v>Opex maintenance &amp; repair</v>
      </c>
      <c r="B360" s="62">
        <f t="shared" si="240"/>
        <v>25694.198732927423</v>
      </c>
      <c r="C360" s="62">
        <f t="shared" si="241"/>
        <v>25566.782972440909</v>
      </c>
      <c r="D360" s="62">
        <f t="shared" si="242"/>
        <v>25389.62881201132</v>
      </c>
      <c r="E360" s="62">
        <f t="shared" si="243"/>
        <v>25146.757085412675</v>
      </c>
      <c r="F360" s="62">
        <f t="shared" si="244"/>
        <v>24820.363509946161</v>
      </c>
      <c r="G360" s="62">
        <f t="shared" si="245"/>
        <v>24393.704052209912</v>
      </c>
      <c r="H360" s="62">
        <f t="shared" si="246"/>
        <v>23856.39857999947</v>
      </c>
      <c r="I360" s="62">
        <f t="shared" si="247"/>
        <v>23211.647436702937</v>
      </c>
      <c r="J360" s="62">
        <f t="shared" si="248"/>
        <v>22482.579830467967</v>
      </c>
      <c r="K360" s="62">
        <f t="shared" si="249"/>
        <v>21712.906149854825</v>
      </c>
      <c r="L360" s="62">
        <f t="shared" si="250"/>
        <v>20958.378207641916</v>
      </c>
      <c r="M360" s="62">
        <f t="shared" si="251"/>
        <v>20271.515890978495</v>
      </c>
      <c r="N360" s="62">
        <f t="shared" si="252"/>
        <v>19687.78073288942</v>
      </c>
      <c r="O360" s="62">
        <f t="shared" si="253"/>
        <v>19220.313412303854</v>
      </c>
      <c r="P360" s="62">
        <f t="shared" si="254"/>
        <v>18863.615099016799</v>
      </c>
      <c r="Q360" s="62">
        <f t="shared" si="255"/>
        <v>18601.413231504735</v>
      </c>
      <c r="R360" s="62">
        <f t="shared" si="256"/>
        <v>18413.942689420019</v>
      </c>
      <c r="S360" s="62">
        <f t="shared" si="257"/>
        <v>18282.553525002768</v>
      </c>
      <c r="T360" s="62">
        <f t="shared" si="258"/>
        <v>18191.755536581266</v>
      </c>
      <c r="U360" s="62">
        <f t="shared" si="259"/>
        <v>18129.617948467116</v>
      </c>
      <c r="V360" s="62">
        <f t="shared" si="260"/>
        <v>18087.377924512868</v>
      </c>
      <c r="W360" s="62">
        <f t="shared" si="261"/>
        <v>18058.794570324873</v>
      </c>
      <c r="X360" s="62">
        <f t="shared" si="262"/>
        <v>18039.512209748045</v>
      </c>
      <c r="Y360" s="62">
        <f t="shared" si="263"/>
        <v>18026.531420394364</v>
      </c>
      <c r="Z360" s="62">
        <f t="shared" si="264"/>
        <v>18017.805089717345</v>
      </c>
      <c r="AA360" s="62">
        <f t="shared" si="265"/>
        <v>18011.94435896385</v>
      </c>
      <c r="AB360" s="62">
        <f t="shared" si="266"/>
        <v>18008.010705203578</v>
      </c>
      <c r="AC360" s="62">
        <f t="shared" si="267"/>
        <v>18005.371608019701</v>
      </c>
    </row>
    <row r="361" spans="1:29" x14ac:dyDescent="0.3">
      <c r="A361" s="30" t="str">
        <f t="shared" si="239"/>
        <v>Opex var (mode-fees)</v>
      </c>
      <c r="B361" s="62">
        <f t="shared" si="240"/>
        <v>0.11</v>
      </c>
      <c r="C361" s="62">
        <f t="shared" si="241"/>
        <v>0.11</v>
      </c>
      <c r="D361" s="62">
        <f t="shared" si="242"/>
        <v>0.11</v>
      </c>
      <c r="E361" s="62">
        <f t="shared" si="243"/>
        <v>0.11</v>
      </c>
      <c r="F361" s="62">
        <f t="shared" si="244"/>
        <v>0.11</v>
      </c>
      <c r="G361" s="62">
        <f t="shared" si="245"/>
        <v>0.11</v>
      </c>
      <c r="H361" s="62">
        <f t="shared" si="246"/>
        <v>0.11</v>
      </c>
      <c r="I361" s="62">
        <f t="shared" si="247"/>
        <v>0.11</v>
      </c>
      <c r="J361" s="62">
        <f t="shared" si="248"/>
        <v>0.11</v>
      </c>
      <c r="K361" s="62">
        <f t="shared" si="249"/>
        <v>0.11</v>
      </c>
      <c r="L361" s="62">
        <f t="shared" si="250"/>
        <v>0.11</v>
      </c>
      <c r="M361" s="62">
        <f t="shared" si="251"/>
        <v>0.11</v>
      </c>
      <c r="N361" s="62">
        <f t="shared" si="252"/>
        <v>0.11</v>
      </c>
      <c r="O361" s="62">
        <f t="shared" si="253"/>
        <v>0.11</v>
      </c>
      <c r="P361" s="62">
        <f t="shared" si="254"/>
        <v>0.11</v>
      </c>
      <c r="Q361" s="62">
        <f t="shared" si="255"/>
        <v>0.11</v>
      </c>
      <c r="R361" s="62">
        <f t="shared" si="256"/>
        <v>0.11</v>
      </c>
      <c r="S361" s="62">
        <f t="shared" si="257"/>
        <v>0.11</v>
      </c>
      <c r="T361" s="62">
        <f t="shared" si="258"/>
        <v>0.11</v>
      </c>
      <c r="U361" s="62">
        <f t="shared" si="259"/>
        <v>0.11</v>
      </c>
      <c r="V361" s="62">
        <f t="shared" si="260"/>
        <v>0.11</v>
      </c>
      <c r="W361" s="62">
        <f t="shared" si="261"/>
        <v>0.11</v>
      </c>
      <c r="X361" s="62">
        <f t="shared" si="262"/>
        <v>0.11</v>
      </c>
      <c r="Y361" s="62">
        <f t="shared" si="263"/>
        <v>0.11</v>
      </c>
      <c r="Z361" s="62">
        <f t="shared" si="264"/>
        <v>0.11</v>
      </c>
      <c r="AA361" s="62">
        <f t="shared" si="265"/>
        <v>0.11</v>
      </c>
      <c r="AB361" s="62">
        <f t="shared" si="266"/>
        <v>0.11</v>
      </c>
      <c r="AC361" s="62">
        <f t="shared" si="267"/>
        <v>0.11</v>
      </c>
    </row>
    <row r="362" spans="1:29" x14ac:dyDescent="0.3">
      <c r="A362" s="30" t="str">
        <f t="shared" si="239"/>
        <v>Fuel Economy</v>
      </c>
      <c r="B362" s="62">
        <f t="shared" si="240"/>
        <v>2.5017133827957863</v>
      </c>
      <c r="C362" s="62">
        <f t="shared" si="241"/>
        <v>2.4899274249507841</v>
      </c>
      <c r="D362" s="62">
        <f t="shared" si="242"/>
        <v>2.473540665111047</v>
      </c>
      <c r="E362" s="62">
        <f t="shared" si="243"/>
        <v>2.4510750304006725</v>
      </c>
      <c r="F362" s="62">
        <f t="shared" si="244"/>
        <v>2.4208836246700196</v>
      </c>
      <c r="G362" s="62">
        <f t="shared" si="245"/>
        <v>2.3814176248294165</v>
      </c>
      <c r="H362" s="62">
        <f t="shared" si="246"/>
        <v>2.3317168686499508</v>
      </c>
      <c r="I362" s="62">
        <f t="shared" si="247"/>
        <v>2.2720773878950213</v>
      </c>
      <c r="J362" s="62">
        <f t="shared" si="248"/>
        <v>2.2046386343182869</v>
      </c>
      <c r="K362" s="62">
        <f t="shared" si="249"/>
        <v>2.1334438188615716</v>
      </c>
      <c r="L362" s="62">
        <f t="shared" si="250"/>
        <v>2.0636499842068772</v>
      </c>
      <c r="M362" s="62">
        <f t="shared" si="251"/>
        <v>2.0001152199155108</v>
      </c>
      <c r="N362" s="62">
        <f t="shared" si="252"/>
        <v>1.9461197177922713</v>
      </c>
      <c r="O362" s="62">
        <f t="shared" si="253"/>
        <v>1.9028789906381067</v>
      </c>
      <c r="P362" s="62">
        <f t="shared" si="254"/>
        <v>1.8698843966590539</v>
      </c>
      <c r="Q362" s="62">
        <f t="shared" si="255"/>
        <v>1.845630723914188</v>
      </c>
      <c r="R362" s="62">
        <f t="shared" si="256"/>
        <v>1.8282896987713517</v>
      </c>
      <c r="S362" s="62">
        <f t="shared" si="257"/>
        <v>1.816136201062756</v>
      </c>
      <c r="T362" s="62">
        <f t="shared" si="258"/>
        <v>1.8077373871337672</v>
      </c>
      <c r="U362" s="62">
        <f t="shared" si="259"/>
        <v>1.8019896602332084</v>
      </c>
      <c r="V362" s="62">
        <f t="shared" si="260"/>
        <v>1.7980824580174404</v>
      </c>
      <c r="W362" s="62">
        <f t="shared" si="261"/>
        <v>1.7954384977550508</v>
      </c>
      <c r="X362" s="62">
        <f t="shared" si="262"/>
        <v>1.7936548794016942</v>
      </c>
      <c r="Y362" s="62">
        <f t="shared" si="263"/>
        <v>1.7924541563864786</v>
      </c>
      <c r="Z362" s="62">
        <f t="shared" si="264"/>
        <v>1.7916469707988543</v>
      </c>
      <c r="AA362" s="62">
        <f t="shared" si="265"/>
        <v>1.791104853204156</v>
      </c>
      <c r="AB362" s="62">
        <f t="shared" si="266"/>
        <v>1.7907409902313312</v>
      </c>
      <c r="AC362" s="62">
        <f t="shared" si="267"/>
        <v>1.7904968737418223</v>
      </c>
    </row>
    <row r="363" spans="1:29" x14ac:dyDescent="0.3">
      <c r="A363" s="30" t="str">
        <f t="shared" si="239"/>
        <v>Fuel Cost</v>
      </c>
      <c r="B363" s="62">
        <f t="shared" si="240"/>
        <v>0.21482257834535914</v>
      </c>
      <c r="C363" s="62">
        <f t="shared" si="241"/>
        <v>0.21417522499855654</v>
      </c>
      <c r="D363" s="62">
        <f t="shared" si="242"/>
        <v>0.21325607604535665</v>
      </c>
      <c r="E363" s="62">
        <f t="shared" si="243"/>
        <v>0.21195694732458373</v>
      </c>
      <c r="F363" s="62">
        <f t="shared" si="244"/>
        <v>0.21013299403884214</v>
      </c>
      <c r="G363" s="62">
        <f t="shared" si="245"/>
        <v>0.20759703685611555</v>
      </c>
      <c r="H363" s="62">
        <f t="shared" si="246"/>
        <v>0.20412033442894431</v>
      </c>
      <c r="I363" s="62">
        <f t="shared" si="247"/>
        <v>0.19944801891519662</v>
      </c>
      <c r="J363" s="62">
        <f t="shared" si="248"/>
        <v>0.19334039991375346</v>
      </c>
      <c r="K363" s="62">
        <f t="shared" si="249"/>
        <v>0.18564888610303532</v>
      </c>
      <c r="L363" s="62">
        <f t="shared" si="250"/>
        <v>0.17641929031511205</v>
      </c>
      <c r="M363" s="62">
        <f t="shared" si="251"/>
        <v>0.16598270656093206</v>
      </c>
      <c r="N363" s="62">
        <f t="shared" si="252"/>
        <v>0.15496484791186993</v>
      </c>
      <c r="O363" s="62">
        <f t="shared" si="253"/>
        <v>0.14416380011269478</v>
      </c>
      <c r="P363" s="62">
        <f t="shared" si="254"/>
        <v>0.13433138397714983</v>
      </c>
      <c r="Q363" s="62">
        <f t="shared" si="255"/>
        <v>0.12597523042491984</v>
      </c>
      <c r="R363" s="62">
        <f t="shared" si="256"/>
        <v>0.11928344793189689</v>
      </c>
      <c r="S363" s="62">
        <f t="shared" si="257"/>
        <v>0.11417732088721881</v>
      </c>
      <c r="T363" s="62">
        <f t="shared" si="258"/>
        <v>0.11042390799739947</v>
      </c>
      <c r="U363" s="62">
        <f t="shared" si="259"/>
        <v>0.10774027208054308</v>
      </c>
      <c r="V363" s="62">
        <f t="shared" si="260"/>
        <v>0.10585943962124107</v>
      </c>
      <c r="W363" s="62">
        <f t="shared" si="261"/>
        <v>0.10455966878686571</v>
      </c>
      <c r="X363" s="62">
        <f t="shared" si="262"/>
        <v>0.10367017083483761</v>
      </c>
      <c r="Y363" s="62">
        <f t="shared" si="263"/>
        <v>0.10306550599442084</v>
      </c>
      <c r="Z363" s="62">
        <f t="shared" si="264"/>
        <v>0.10265633602526128</v>
      </c>
      <c r="AA363" s="62">
        <f t="shared" si="265"/>
        <v>0.10238030953688443</v>
      </c>
      <c r="AB363" s="62">
        <f t="shared" si="266"/>
        <v>0.10219448987609238</v>
      </c>
      <c r="AC363" s="62">
        <f t="shared" si="267"/>
        <v>0.10206957268021295</v>
      </c>
    </row>
    <row r="364" spans="1:29" x14ac:dyDescent="0.3">
      <c r="A364" s="30" t="str">
        <f t="shared" ref="A364" si="268">A344</f>
        <v>Emission Cost</v>
      </c>
      <c r="B364" s="66">
        <f>$B344+($C344-$B344)*(1-Q344)</f>
        <v>9.1045502411311718E-3</v>
      </c>
      <c r="C364" s="66">
        <f t="shared" ref="C364:AC364" si="269">$B344+($C344-$B344)*(1-R344)</f>
        <v>9.095880490962575E-3</v>
      </c>
      <c r="D364" s="66">
        <f t="shared" si="269"/>
        <v>9.0834699366993434E-3</v>
      </c>
      <c r="E364" s="66">
        <f t="shared" si="269"/>
        <v>9.0657157660766E-3</v>
      </c>
      <c r="F364" s="66">
        <f t="shared" si="269"/>
        <v>9.040341138604446E-3</v>
      </c>
      <c r="G364" s="66">
        <f t="shared" si="269"/>
        <v>9.0041260615172855E-3</v>
      </c>
      <c r="H364" s="66">
        <f t="shared" si="269"/>
        <v>8.9525469072142452E-3</v>
      </c>
      <c r="I364" s="66">
        <f t="shared" si="269"/>
        <v>8.8793119020679299E-3</v>
      </c>
      <c r="J364" s="66">
        <f t="shared" si="269"/>
        <v>8.7758012597282838E-3</v>
      </c>
      <c r="K364" s="66">
        <f t="shared" si="269"/>
        <v>8.630474185370102E-3</v>
      </c>
      <c r="L364" s="66">
        <f t="shared" si="269"/>
        <v>8.4284167966506146E-3</v>
      </c>
      <c r="M364" s="66">
        <f t="shared" si="269"/>
        <v>8.1514036756981448E-3</v>
      </c>
      <c r="N364" s="66">
        <f t="shared" si="269"/>
        <v>7.7791277246640009E-3</v>
      </c>
      <c r="O364" s="66">
        <f t="shared" si="269"/>
        <v>7.2924911382377788E-3</v>
      </c>
      <c r="P364" s="66">
        <f t="shared" si="269"/>
        <v>6.6796546098928378E-3</v>
      </c>
      <c r="Q364" s="66">
        <f t="shared" si="269"/>
        <v>5.9442683673542078E-3</v>
      </c>
      <c r="R364" s="66">
        <f t="shared" si="269"/>
        <v>5.1127129787673555E-3</v>
      </c>
      <c r="S364" s="66">
        <f t="shared" si="269"/>
        <v>4.2348433668221242E-3</v>
      </c>
      <c r="T364" s="66">
        <f t="shared" si="269"/>
        <v>3.3742485868309214E-3</v>
      </c>
      <c r="U364" s="66">
        <f t="shared" si="269"/>
        <v>2.5908314445053909E-3</v>
      </c>
      <c r="V364" s="66">
        <f t="shared" si="269"/>
        <v>1.9250384342751033E-3</v>
      </c>
      <c r="W364" s="66">
        <f t="shared" si="269"/>
        <v>1.3918574698531276E-3</v>
      </c>
      <c r="X364" s="66">
        <f t="shared" si="269"/>
        <v>9.8501672973924301E-4</v>
      </c>
      <c r="Y364" s="66">
        <f t="shared" si="269"/>
        <v>6.8595615708101458E-4</v>
      </c>
      <c r="Z364" s="66">
        <f t="shared" si="269"/>
        <v>4.7213217403930738E-4</v>
      </c>
      <c r="AA364" s="66">
        <f t="shared" si="269"/>
        <v>3.2227313937815624E-4</v>
      </c>
      <c r="AB364" s="66">
        <f t="shared" si="269"/>
        <v>2.1871133537117345E-4</v>
      </c>
      <c r="AC364" s="66">
        <f t="shared" si="269"/>
        <v>1.4783883220655276E-4</v>
      </c>
    </row>
    <row r="365" spans="1:29" x14ac:dyDescent="0.3">
      <c r="A365" s="30" t="str">
        <f>A345</f>
        <v>Lifetime vehicle</v>
      </c>
      <c r="B365" s="62">
        <f>$B345+($C345-$B345)*(1-Q345)</f>
        <v>8</v>
      </c>
      <c r="C365" s="62">
        <f t="shared" ref="C365:L367" si="270">$B345+($C345-$B345)*(1-R345)</f>
        <v>8</v>
      </c>
      <c r="D365" s="62">
        <f t="shared" si="270"/>
        <v>8</v>
      </c>
      <c r="E365" s="62">
        <f t="shared" si="270"/>
        <v>8</v>
      </c>
      <c r="F365" s="62">
        <f t="shared" si="270"/>
        <v>8</v>
      </c>
      <c r="G365" s="62">
        <f t="shared" si="270"/>
        <v>8</v>
      </c>
      <c r="H365" s="62">
        <f t="shared" si="270"/>
        <v>8</v>
      </c>
      <c r="I365" s="62">
        <f t="shared" si="270"/>
        <v>8</v>
      </c>
      <c r="J365" s="62">
        <f t="shared" si="270"/>
        <v>8</v>
      </c>
      <c r="K365" s="62">
        <f t="shared" si="270"/>
        <v>8</v>
      </c>
      <c r="L365" s="62">
        <f t="shared" si="270"/>
        <v>8</v>
      </c>
      <c r="M365" s="62">
        <f t="shared" ref="M365:V367" si="271">$B345+($C345-$B345)*(1-AB345)</f>
        <v>8</v>
      </c>
      <c r="N365" s="62">
        <f t="shared" si="271"/>
        <v>8</v>
      </c>
      <c r="O365" s="62">
        <f t="shared" si="271"/>
        <v>8</v>
      </c>
      <c r="P365" s="62">
        <f t="shared" si="271"/>
        <v>8</v>
      </c>
      <c r="Q365" s="62">
        <f t="shared" si="271"/>
        <v>8</v>
      </c>
      <c r="R365" s="62">
        <f t="shared" si="271"/>
        <v>8</v>
      </c>
      <c r="S365" s="62">
        <f t="shared" si="271"/>
        <v>8</v>
      </c>
      <c r="T365" s="62">
        <f t="shared" si="271"/>
        <v>8</v>
      </c>
      <c r="U365" s="62">
        <f t="shared" si="271"/>
        <v>8</v>
      </c>
      <c r="V365" s="62">
        <f t="shared" si="271"/>
        <v>8</v>
      </c>
      <c r="W365" s="62">
        <f t="shared" ref="W365:AC367" si="272">$B345+($C345-$B345)*(1-AL345)</f>
        <v>8</v>
      </c>
      <c r="X365" s="62">
        <f t="shared" si="272"/>
        <v>8</v>
      </c>
      <c r="Y365" s="62">
        <f t="shared" si="272"/>
        <v>8</v>
      </c>
      <c r="Z365" s="62">
        <f t="shared" si="272"/>
        <v>8</v>
      </c>
      <c r="AA365" s="62">
        <f t="shared" si="272"/>
        <v>8</v>
      </c>
      <c r="AB365" s="62">
        <f t="shared" si="272"/>
        <v>8</v>
      </c>
      <c r="AC365" s="62">
        <f t="shared" si="272"/>
        <v>8</v>
      </c>
    </row>
    <row r="366" spans="1:29" x14ac:dyDescent="0.3">
      <c r="A366" s="30" t="str">
        <f>A346</f>
        <v>Lifetime costumization</v>
      </c>
      <c r="B366" s="62">
        <f>$B346+($C346-$B346)*(1-Q346)</f>
        <v>10</v>
      </c>
      <c r="C366" s="62">
        <f t="shared" si="270"/>
        <v>10</v>
      </c>
      <c r="D366" s="62">
        <f t="shared" si="270"/>
        <v>10</v>
      </c>
      <c r="E366" s="62">
        <f t="shared" si="270"/>
        <v>10</v>
      </c>
      <c r="F366" s="62">
        <f t="shared" si="270"/>
        <v>10</v>
      </c>
      <c r="G366" s="62">
        <f t="shared" si="270"/>
        <v>10</v>
      </c>
      <c r="H366" s="62">
        <f t="shared" si="270"/>
        <v>10</v>
      </c>
      <c r="I366" s="62">
        <f t="shared" si="270"/>
        <v>10</v>
      </c>
      <c r="J366" s="62">
        <f t="shared" si="270"/>
        <v>10</v>
      </c>
      <c r="K366" s="62">
        <f t="shared" si="270"/>
        <v>10</v>
      </c>
      <c r="L366" s="62">
        <f t="shared" si="270"/>
        <v>10</v>
      </c>
      <c r="M366" s="62">
        <f t="shared" si="271"/>
        <v>10</v>
      </c>
      <c r="N366" s="62">
        <f t="shared" si="271"/>
        <v>10</v>
      </c>
      <c r="O366" s="62">
        <f t="shared" si="271"/>
        <v>10</v>
      </c>
      <c r="P366" s="62">
        <f t="shared" si="271"/>
        <v>10</v>
      </c>
      <c r="Q366" s="62">
        <f t="shared" si="271"/>
        <v>10</v>
      </c>
      <c r="R366" s="62">
        <f t="shared" si="271"/>
        <v>10</v>
      </c>
      <c r="S366" s="62">
        <f t="shared" si="271"/>
        <v>10</v>
      </c>
      <c r="T366" s="62">
        <f t="shared" si="271"/>
        <v>10</v>
      </c>
      <c r="U366" s="62">
        <f t="shared" si="271"/>
        <v>10</v>
      </c>
      <c r="V366" s="62">
        <f t="shared" si="271"/>
        <v>10</v>
      </c>
      <c r="W366" s="62">
        <f t="shared" si="272"/>
        <v>10</v>
      </c>
      <c r="X366" s="62">
        <f t="shared" si="272"/>
        <v>10</v>
      </c>
      <c r="Y366" s="62">
        <f t="shared" si="272"/>
        <v>10</v>
      </c>
      <c r="Z366" s="62">
        <f t="shared" si="272"/>
        <v>10</v>
      </c>
      <c r="AA366" s="62">
        <f t="shared" si="272"/>
        <v>10</v>
      </c>
      <c r="AB366" s="62">
        <f t="shared" si="272"/>
        <v>10</v>
      </c>
      <c r="AC366" s="62">
        <f t="shared" si="272"/>
        <v>10</v>
      </c>
    </row>
    <row r="367" spans="1:29" x14ac:dyDescent="0.3">
      <c r="A367" s="30" t="str">
        <f>A347</f>
        <v>Tonnage .</v>
      </c>
      <c r="B367" s="62">
        <f>$B347+($C347-$B347)*(1-Q347)</f>
        <v>25</v>
      </c>
      <c r="C367" s="62">
        <f t="shared" si="270"/>
        <v>25</v>
      </c>
      <c r="D367" s="62">
        <f t="shared" si="270"/>
        <v>25</v>
      </c>
      <c r="E367" s="62">
        <f t="shared" si="270"/>
        <v>25</v>
      </c>
      <c r="F367" s="62">
        <f t="shared" si="270"/>
        <v>25</v>
      </c>
      <c r="G367" s="62">
        <f t="shared" si="270"/>
        <v>25</v>
      </c>
      <c r="H367" s="62">
        <f t="shared" si="270"/>
        <v>25</v>
      </c>
      <c r="I367" s="62">
        <f t="shared" si="270"/>
        <v>25</v>
      </c>
      <c r="J367" s="62">
        <f t="shared" si="270"/>
        <v>25</v>
      </c>
      <c r="K367" s="62">
        <f t="shared" si="270"/>
        <v>25</v>
      </c>
      <c r="L367" s="62">
        <f t="shared" si="270"/>
        <v>25</v>
      </c>
      <c r="M367" s="62">
        <f t="shared" si="271"/>
        <v>25</v>
      </c>
      <c r="N367" s="62">
        <f t="shared" si="271"/>
        <v>25</v>
      </c>
      <c r="O367" s="62">
        <f t="shared" si="271"/>
        <v>25</v>
      </c>
      <c r="P367" s="62">
        <f t="shared" si="271"/>
        <v>25</v>
      </c>
      <c r="Q367" s="62">
        <f t="shared" si="271"/>
        <v>25</v>
      </c>
      <c r="R367" s="62">
        <f t="shared" si="271"/>
        <v>25</v>
      </c>
      <c r="S367" s="62">
        <f t="shared" si="271"/>
        <v>25</v>
      </c>
      <c r="T367" s="62">
        <f t="shared" si="271"/>
        <v>25</v>
      </c>
      <c r="U367" s="62">
        <f t="shared" si="271"/>
        <v>25</v>
      </c>
      <c r="V367" s="62">
        <f t="shared" si="271"/>
        <v>25</v>
      </c>
      <c r="W367" s="62">
        <f t="shared" si="272"/>
        <v>25</v>
      </c>
      <c r="X367" s="62">
        <f t="shared" si="272"/>
        <v>25</v>
      </c>
      <c r="Y367" s="62">
        <f t="shared" si="272"/>
        <v>25</v>
      </c>
      <c r="Z367" s="62">
        <f t="shared" si="272"/>
        <v>25</v>
      </c>
      <c r="AA367" s="62">
        <f t="shared" si="272"/>
        <v>25</v>
      </c>
      <c r="AB367" s="62">
        <f t="shared" si="272"/>
        <v>25</v>
      </c>
      <c r="AC367" s="62">
        <f t="shared" si="272"/>
        <v>25</v>
      </c>
    </row>
    <row r="368" spans="1:29" x14ac:dyDescent="0.3">
      <c r="A368" s="30" t="str">
        <f>A348</f>
        <v>Market failure (av. utilization)</v>
      </c>
      <c r="B368" s="62">
        <f t="shared" ref="B368:K369" si="273">($B348+($C348-$B348)*(1-Q348))*B$44</f>
        <v>11.5</v>
      </c>
      <c r="C368" s="62">
        <f t="shared" si="273"/>
        <v>11.5</v>
      </c>
      <c r="D368" s="62">
        <f t="shared" si="273"/>
        <v>11.5</v>
      </c>
      <c r="E368" s="62">
        <f t="shared" si="273"/>
        <v>11.5</v>
      </c>
      <c r="F368" s="62">
        <f t="shared" si="273"/>
        <v>11.5</v>
      </c>
      <c r="G368" s="62">
        <f t="shared" si="273"/>
        <v>11.5</v>
      </c>
      <c r="H368" s="62">
        <f t="shared" si="273"/>
        <v>11.5</v>
      </c>
      <c r="I368" s="62">
        <f t="shared" si="273"/>
        <v>11.5</v>
      </c>
      <c r="J368" s="62">
        <f t="shared" si="273"/>
        <v>11.5</v>
      </c>
      <c r="K368" s="62">
        <f t="shared" si="273"/>
        <v>11.5</v>
      </c>
      <c r="L368" s="62">
        <f t="shared" ref="L368:U369" si="274">($B348+($C348-$B348)*(1-AA348))*L$44</f>
        <v>11.5</v>
      </c>
      <c r="M368" s="62">
        <f t="shared" si="274"/>
        <v>11.5</v>
      </c>
      <c r="N368" s="62">
        <f t="shared" si="274"/>
        <v>11.5</v>
      </c>
      <c r="O368" s="62">
        <f t="shared" si="274"/>
        <v>11.5</v>
      </c>
      <c r="P368" s="62">
        <f t="shared" si="274"/>
        <v>11.5</v>
      </c>
      <c r="Q368" s="62">
        <f t="shared" si="274"/>
        <v>11.5</v>
      </c>
      <c r="R368" s="62">
        <f t="shared" si="274"/>
        <v>11.5</v>
      </c>
      <c r="S368" s="62">
        <f t="shared" si="274"/>
        <v>11.5</v>
      </c>
      <c r="T368" s="62">
        <f t="shared" si="274"/>
        <v>11.5</v>
      </c>
      <c r="U368" s="62">
        <f t="shared" si="274"/>
        <v>11.5</v>
      </c>
      <c r="V368" s="62">
        <f t="shared" ref="V368:AC369" si="275">($B348+($C348-$B348)*(1-AK348))*V$44</f>
        <v>11.5</v>
      </c>
      <c r="W368" s="62">
        <f t="shared" si="275"/>
        <v>11.5</v>
      </c>
      <c r="X368" s="62">
        <f t="shared" si="275"/>
        <v>11.5</v>
      </c>
      <c r="Y368" s="62">
        <f t="shared" si="275"/>
        <v>11.5</v>
      </c>
      <c r="Z368" s="62">
        <f t="shared" si="275"/>
        <v>11.5</v>
      </c>
      <c r="AA368" s="62">
        <f t="shared" si="275"/>
        <v>11.5</v>
      </c>
      <c r="AB368" s="62">
        <f t="shared" si="275"/>
        <v>11.5</v>
      </c>
      <c r="AC368" s="62">
        <f t="shared" si="275"/>
        <v>11.5</v>
      </c>
    </row>
    <row r="369" spans="1:29" x14ac:dyDescent="0.3">
      <c r="A369" s="30" t="s">
        <v>73</v>
      </c>
      <c r="B369" s="62">
        <f t="shared" si="273"/>
        <v>1.240098396181128</v>
      </c>
      <c r="C369" s="62">
        <f t="shared" si="273"/>
        <v>1.2358588232214369</v>
      </c>
      <c r="D369" s="62">
        <f t="shared" si="273"/>
        <v>1.2298392373690403</v>
      </c>
      <c r="E369" s="62">
        <f t="shared" si="273"/>
        <v>1.2213311312119457</v>
      </c>
      <c r="F369" s="62">
        <f t="shared" si="273"/>
        <v>1.2093859036663352</v>
      </c>
      <c r="G369" s="62">
        <f t="shared" si="273"/>
        <v>1.1927777011260612</v>
      </c>
      <c r="H369" s="62">
        <f t="shared" si="273"/>
        <v>1.1700084767574384</v>
      </c>
      <c r="I369" s="62">
        <f t="shared" si="273"/>
        <v>1.1394090790574525</v>
      </c>
      <c r="J369" s="62">
        <f t="shared" si="273"/>
        <v>1.0994097548946793</v>
      </c>
      <c r="K369" s="62">
        <f t="shared" si="273"/>
        <v>1.0490373668749504</v>
      </c>
      <c r="L369" s="62">
        <f t="shared" si="274"/>
        <v>0.98859194719090016</v>
      </c>
      <c r="M369" s="62">
        <f t="shared" si="274"/>
        <v>0.92024185910637191</v>
      </c>
      <c r="N369" s="62">
        <f t="shared" si="274"/>
        <v>0.84808495154888996</v>
      </c>
      <c r="O369" s="62">
        <f t="shared" si="274"/>
        <v>0.77734795696642955</v>
      </c>
      <c r="P369" s="62">
        <f t="shared" si="274"/>
        <v>0.71295461477923405</v>
      </c>
      <c r="Q369" s="62">
        <f t="shared" si="274"/>
        <v>0.65822944370838299</v>
      </c>
      <c r="R369" s="62">
        <f t="shared" si="274"/>
        <v>0.61440438240348649</v>
      </c>
      <c r="S369" s="62">
        <f t="shared" si="274"/>
        <v>0.580963915532825</v>
      </c>
      <c r="T369" s="62">
        <f t="shared" si="274"/>
        <v>0.55638249045356891</v>
      </c>
      <c r="U369" s="62">
        <f t="shared" si="274"/>
        <v>0.53880712713312673</v>
      </c>
      <c r="V369" s="62">
        <f t="shared" si="275"/>
        <v>0.52648939296900943</v>
      </c>
      <c r="W369" s="62">
        <f t="shared" si="275"/>
        <v>0.51797708155449362</v>
      </c>
      <c r="X369" s="62">
        <f t="shared" si="275"/>
        <v>0.5121516826687923</v>
      </c>
      <c r="Y369" s="62">
        <f t="shared" si="275"/>
        <v>0.50819168042308127</v>
      </c>
      <c r="Z369" s="62">
        <f t="shared" si="275"/>
        <v>0.50551199096795685</v>
      </c>
      <c r="AA369" s="62">
        <f t="shared" si="275"/>
        <v>0.50370426966387927</v>
      </c>
      <c r="AB369" s="62">
        <f t="shared" si="275"/>
        <v>0.50248732066197166</v>
      </c>
      <c r="AC369" s="62">
        <f t="shared" si="275"/>
        <v>0.50166922716100104</v>
      </c>
    </row>
    <row r="370" spans="1:29" x14ac:dyDescent="0.3">
      <c r="A370" s="30" t="str">
        <f>A350</f>
        <v>Annual Mileage</v>
      </c>
      <c r="B370" s="62">
        <f t="shared" ref="B370:AC370" si="276">$B350+($C350-$B350)*(1-Q350)</f>
        <v>78000</v>
      </c>
      <c r="C370" s="62">
        <f t="shared" si="276"/>
        <v>78000</v>
      </c>
      <c r="D370" s="62">
        <f t="shared" si="276"/>
        <v>78000</v>
      </c>
      <c r="E370" s="62">
        <f t="shared" si="276"/>
        <v>78000</v>
      </c>
      <c r="F370" s="62">
        <f t="shared" si="276"/>
        <v>78000</v>
      </c>
      <c r="G370" s="62">
        <f t="shared" si="276"/>
        <v>78000</v>
      </c>
      <c r="H370" s="62">
        <f t="shared" si="276"/>
        <v>78000</v>
      </c>
      <c r="I370" s="62">
        <f t="shared" si="276"/>
        <v>78000</v>
      </c>
      <c r="J370" s="62">
        <f t="shared" si="276"/>
        <v>78000</v>
      </c>
      <c r="K370" s="62">
        <f t="shared" si="276"/>
        <v>78000</v>
      </c>
      <c r="L370" s="62">
        <f t="shared" si="276"/>
        <v>78000</v>
      </c>
      <c r="M370" s="62">
        <f t="shared" si="276"/>
        <v>78000</v>
      </c>
      <c r="N370" s="62">
        <f t="shared" si="276"/>
        <v>78000</v>
      </c>
      <c r="O370" s="62">
        <f t="shared" si="276"/>
        <v>78000</v>
      </c>
      <c r="P370" s="62">
        <f t="shared" si="276"/>
        <v>78000</v>
      </c>
      <c r="Q370" s="62">
        <f t="shared" si="276"/>
        <v>78000</v>
      </c>
      <c r="R370" s="62">
        <f t="shared" si="276"/>
        <v>78000</v>
      </c>
      <c r="S370" s="62">
        <f t="shared" si="276"/>
        <v>78000</v>
      </c>
      <c r="T370" s="62">
        <f t="shared" si="276"/>
        <v>78000</v>
      </c>
      <c r="U370" s="62">
        <f t="shared" si="276"/>
        <v>78000</v>
      </c>
      <c r="V370" s="62">
        <f t="shared" si="276"/>
        <v>78000</v>
      </c>
      <c r="W370" s="62">
        <f t="shared" si="276"/>
        <v>78000</v>
      </c>
      <c r="X370" s="62">
        <f t="shared" si="276"/>
        <v>78000</v>
      </c>
      <c r="Y370" s="62">
        <f t="shared" si="276"/>
        <v>78000</v>
      </c>
      <c r="Z370" s="62">
        <f t="shared" si="276"/>
        <v>78000</v>
      </c>
      <c r="AA370" s="62">
        <f t="shared" si="276"/>
        <v>78000</v>
      </c>
      <c r="AB370" s="62">
        <f t="shared" si="276"/>
        <v>78000</v>
      </c>
      <c r="AC370" s="62">
        <f t="shared" si="276"/>
        <v>78000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61357.445895655808</v>
      </c>
      <c r="C373" s="63">
        <f t="shared" ref="C373:AC373" si="277">((1+C358)^C365)*C358/(((1+C358)^C365)-1)*(C354)</f>
        <v>60754.714455896952</v>
      </c>
      <c r="D373" s="63">
        <f t="shared" si="277"/>
        <v>59916.698956344211</v>
      </c>
      <c r="E373" s="63">
        <f t="shared" si="277"/>
        <v>58767.811056679595</v>
      </c>
      <c r="F373" s="63">
        <f t="shared" si="277"/>
        <v>57223.828829380502</v>
      </c>
      <c r="G373" s="63">
        <f t="shared" si="277"/>
        <v>55205.54578287054</v>
      </c>
      <c r="H373" s="63">
        <f t="shared" si="277"/>
        <v>52663.859419902983</v>
      </c>
      <c r="I373" s="63">
        <f t="shared" si="277"/>
        <v>49613.908743460379</v>
      </c>
      <c r="J373" s="63">
        <f t="shared" si="277"/>
        <v>46165.10487249765</v>
      </c>
      <c r="K373" s="63">
        <f t="shared" si="277"/>
        <v>42524.216776008514</v>
      </c>
      <c r="L373" s="63">
        <f t="shared" si="277"/>
        <v>38954.974547168116</v>
      </c>
      <c r="M373" s="63">
        <f t="shared" si="277"/>
        <v>35705.819878562834</v>
      </c>
      <c r="N373" s="63">
        <f t="shared" si="277"/>
        <v>32944.501098770794</v>
      </c>
      <c r="O373" s="63">
        <f t="shared" si="277"/>
        <v>30733.179280332359</v>
      </c>
      <c r="P373" s="63">
        <f t="shared" si="277"/>
        <v>29045.842587397736</v>
      </c>
      <c r="Q373" s="63">
        <f t="shared" si="277"/>
        <v>27805.514793492392</v>
      </c>
      <c r="R373" s="63">
        <f t="shared" si="277"/>
        <v>26918.698364255953</v>
      </c>
      <c r="S373" s="63">
        <f t="shared" si="277"/>
        <v>26297.171012101549</v>
      </c>
      <c r="T373" s="63">
        <f t="shared" si="277"/>
        <v>25867.657409706244</v>
      </c>
      <c r="U373" s="63">
        <f t="shared" si="277"/>
        <v>25573.719848103356</v>
      </c>
      <c r="V373" s="63">
        <f t="shared" si="277"/>
        <v>25373.906337151635</v>
      </c>
      <c r="W373" s="63">
        <f t="shared" si="277"/>
        <v>25238.694757696427</v>
      </c>
      <c r="X373" s="63">
        <f t="shared" si="277"/>
        <v>25147.480885032299</v>
      </c>
      <c r="Y373" s="63">
        <f t="shared" si="277"/>
        <v>25086.076159066874</v>
      </c>
      <c r="Z373" s="63">
        <f t="shared" si="277"/>
        <v>25044.796855527889</v>
      </c>
      <c r="AA373" s="63">
        <f t="shared" si="277"/>
        <v>25017.073074171451</v>
      </c>
      <c r="AB373" s="63">
        <f t="shared" si="277"/>
        <v>24998.465197207195</v>
      </c>
      <c r="AC373" s="63">
        <f t="shared" si="277"/>
        <v>24985.981130564032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-9299.0290627537943</v>
      </c>
      <c r="C374" s="62">
        <f t="shared" ref="C374:AC374" si="278">((1+C358)^C365)*C358/(((1+C358)^C365)-1)*(C355)</f>
        <v>-9248.373973667678</v>
      </c>
      <c r="D374" s="62">
        <f t="shared" si="278"/>
        <v>-9177.9450114712236</v>
      </c>
      <c r="E374" s="62">
        <f t="shared" si="278"/>
        <v>-9081.3895390526031</v>
      </c>
      <c r="F374" s="62">
        <f t="shared" si="278"/>
        <v>-8951.6293305881045</v>
      </c>
      <c r="G374" s="62">
        <f t="shared" si="278"/>
        <v>-8782.0076702963088</v>
      </c>
      <c r="H374" s="62">
        <f t="shared" si="278"/>
        <v>-8568.3978589405251</v>
      </c>
      <c r="I374" s="62">
        <f t="shared" si="278"/>
        <v>-8312.0722169841792</v>
      </c>
      <c r="J374" s="62">
        <f t="shared" si="278"/>
        <v>-8022.2259342117786</v>
      </c>
      <c r="K374" s="62">
        <f t="shared" si="278"/>
        <v>-7716.2364026983305</v>
      </c>
      <c r="L374" s="62">
        <f t="shared" si="278"/>
        <v>-7416.2681728277021</v>
      </c>
      <c r="M374" s="62">
        <f t="shared" si="278"/>
        <v>-7143.2009187640651</v>
      </c>
      <c r="N374" s="62">
        <f t="shared" si="278"/>
        <v>-6911.1326383347341</v>
      </c>
      <c r="O374" s="62">
        <f t="shared" si="278"/>
        <v>-6725.2875067851219</v>
      </c>
      <c r="P374" s="62">
        <f t="shared" si="278"/>
        <v>-6583.4794230172129</v>
      </c>
      <c r="Q374" s="62">
        <f t="shared" si="278"/>
        <v>-6479.2391084230394</v>
      </c>
      <c r="R374" s="62">
        <f t="shared" si="278"/>
        <v>-6404.7087914978501</v>
      </c>
      <c r="S374" s="62">
        <f t="shared" si="278"/>
        <v>-6352.4740459444474</v>
      </c>
      <c r="T374" s="62">
        <f t="shared" si="278"/>
        <v>-6316.3766261686715</v>
      </c>
      <c r="U374" s="62">
        <f t="shared" si="278"/>
        <v>-6291.6733630126846</v>
      </c>
      <c r="V374" s="62">
        <f t="shared" si="278"/>
        <v>-6274.8805253901455</v>
      </c>
      <c r="W374" s="62">
        <f t="shared" si="278"/>
        <v>-6263.5169990316763</v>
      </c>
      <c r="X374" s="62">
        <f t="shared" si="278"/>
        <v>-6255.8511522865001</v>
      </c>
      <c r="Y374" s="62">
        <f t="shared" si="278"/>
        <v>-6250.6905423383423</v>
      </c>
      <c r="Z374" s="62">
        <f t="shared" si="278"/>
        <v>-6247.2213242749585</v>
      </c>
      <c r="AA374" s="62">
        <f t="shared" si="278"/>
        <v>-6244.8913469056415</v>
      </c>
      <c r="AB374" s="62">
        <f t="shared" si="278"/>
        <v>-6243.3274934160918</v>
      </c>
      <c r="AC374" s="62">
        <f t="shared" si="278"/>
        <v>-6242.278300581188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5434.7183288153492</v>
      </c>
      <c r="C375" s="62">
        <f t="shared" ref="C375:AC375" si="279">((1+C358)^C366)*C358/(((1+C358)^C366)-1)*(C356)</f>
        <v>5434.7183288153492</v>
      </c>
      <c r="D375" s="62">
        <f t="shared" si="279"/>
        <v>5434.7183288153492</v>
      </c>
      <c r="E375" s="62">
        <f t="shared" si="279"/>
        <v>5434.7183288153492</v>
      </c>
      <c r="F375" s="62">
        <f t="shared" si="279"/>
        <v>5434.7183288153492</v>
      </c>
      <c r="G375" s="62">
        <f t="shared" si="279"/>
        <v>5434.7183288153492</v>
      </c>
      <c r="H375" s="62">
        <f t="shared" si="279"/>
        <v>5434.7183288153492</v>
      </c>
      <c r="I375" s="62">
        <f t="shared" si="279"/>
        <v>5434.7183288153492</v>
      </c>
      <c r="J375" s="62">
        <f t="shared" si="279"/>
        <v>5434.7183288153492</v>
      </c>
      <c r="K375" s="62">
        <f t="shared" si="279"/>
        <v>5434.7183288153492</v>
      </c>
      <c r="L375" s="62">
        <f t="shared" si="279"/>
        <v>5434.7183288153492</v>
      </c>
      <c r="M375" s="62">
        <f t="shared" si="279"/>
        <v>5434.7183288153492</v>
      </c>
      <c r="N375" s="62">
        <f t="shared" si="279"/>
        <v>5434.7183288153492</v>
      </c>
      <c r="O375" s="62">
        <f t="shared" si="279"/>
        <v>5434.7183288153492</v>
      </c>
      <c r="P375" s="62">
        <f t="shared" si="279"/>
        <v>5434.7183288153492</v>
      </c>
      <c r="Q375" s="62">
        <f t="shared" si="279"/>
        <v>5434.7183288153492</v>
      </c>
      <c r="R375" s="62">
        <f t="shared" si="279"/>
        <v>5434.7183288153492</v>
      </c>
      <c r="S375" s="62">
        <f t="shared" si="279"/>
        <v>5434.7183288153492</v>
      </c>
      <c r="T375" s="62">
        <f t="shared" si="279"/>
        <v>5434.7183288153492</v>
      </c>
      <c r="U375" s="62">
        <f t="shared" si="279"/>
        <v>5434.7183288153492</v>
      </c>
      <c r="V375" s="62">
        <f t="shared" si="279"/>
        <v>5434.7183288153492</v>
      </c>
      <c r="W375" s="62">
        <f t="shared" si="279"/>
        <v>5434.7183288153492</v>
      </c>
      <c r="X375" s="62">
        <f t="shared" si="279"/>
        <v>5434.7183288153492</v>
      </c>
      <c r="Y375" s="62">
        <f t="shared" si="279"/>
        <v>5434.7183288153492</v>
      </c>
      <c r="Z375" s="62">
        <f t="shared" si="279"/>
        <v>5434.7183288153492</v>
      </c>
      <c r="AA375" s="62">
        <f t="shared" si="279"/>
        <v>5434.7183288153492</v>
      </c>
      <c r="AB375" s="62">
        <f t="shared" si="279"/>
        <v>5434.7183288153492</v>
      </c>
      <c r="AC375" s="62">
        <f t="shared" si="279"/>
        <v>5434.7183288153492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-1358.6795822038373</v>
      </c>
      <c r="C376" s="62">
        <f t="shared" ref="C376:AC376" si="280">((1+C358)^C366)*C358/(((1+C358)^C366)-1)*(C357)</f>
        <v>-1358.6795822038373</v>
      </c>
      <c r="D376" s="62">
        <f t="shared" si="280"/>
        <v>-1358.6795822038373</v>
      </c>
      <c r="E376" s="62">
        <f t="shared" si="280"/>
        <v>-1358.6795822038373</v>
      </c>
      <c r="F376" s="62">
        <f t="shared" si="280"/>
        <v>-1358.6795822038373</v>
      </c>
      <c r="G376" s="62">
        <f t="shared" si="280"/>
        <v>-1358.6795822038373</v>
      </c>
      <c r="H376" s="62">
        <f t="shared" si="280"/>
        <v>-1358.6795822038373</v>
      </c>
      <c r="I376" s="62">
        <f t="shared" si="280"/>
        <v>-1358.6795822038373</v>
      </c>
      <c r="J376" s="62">
        <f t="shared" si="280"/>
        <v>-1358.6795822038373</v>
      </c>
      <c r="K376" s="62">
        <f t="shared" si="280"/>
        <v>-1358.6795822038373</v>
      </c>
      <c r="L376" s="62">
        <f t="shared" si="280"/>
        <v>-1358.6795822038373</v>
      </c>
      <c r="M376" s="62">
        <f t="shared" si="280"/>
        <v>-1358.6795822038373</v>
      </c>
      <c r="N376" s="62">
        <f t="shared" si="280"/>
        <v>-1358.6795822038373</v>
      </c>
      <c r="O376" s="62">
        <f t="shared" si="280"/>
        <v>-1358.6795822038373</v>
      </c>
      <c r="P376" s="62">
        <f t="shared" si="280"/>
        <v>-1358.6795822038373</v>
      </c>
      <c r="Q376" s="62">
        <f t="shared" si="280"/>
        <v>-1358.6795822038373</v>
      </c>
      <c r="R376" s="62">
        <f t="shared" si="280"/>
        <v>-1358.6795822038373</v>
      </c>
      <c r="S376" s="62">
        <f t="shared" si="280"/>
        <v>-1358.6795822038373</v>
      </c>
      <c r="T376" s="62">
        <f t="shared" si="280"/>
        <v>-1358.6795822038373</v>
      </c>
      <c r="U376" s="62">
        <f t="shared" si="280"/>
        <v>-1358.6795822038373</v>
      </c>
      <c r="V376" s="62">
        <f t="shared" si="280"/>
        <v>-1358.6795822038373</v>
      </c>
      <c r="W376" s="62">
        <f t="shared" si="280"/>
        <v>-1358.6795822038373</v>
      </c>
      <c r="X376" s="62">
        <f t="shared" si="280"/>
        <v>-1358.6795822038373</v>
      </c>
      <c r="Y376" s="62">
        <f t="shared" si="280"/>
        <v>-1358.6795822038373</v>
      </c>
      <c r="Z376" s="62">
        <f t="shared" si="280"/>
        <v>-1358.6795822038373</v>
      </c>
      <c r="AA376" s="62">
        <f t="shared" si="280"/>
        <v>-1358.6795822038373</v>
      </c>
      <c r="AB376" s="62">
        <f t="shared" si="280"/>
        <v>-1358.6795822038373</v>
      </c>
      <c r="AC376" s="62">
        <f t="shared" si="280"/>
        <v>-1358.6795822038373</v>
      </c>
    </row>
    <row r="377" spans="1:29" x14ac:dyDescent="0.3">
      <c r="A377" s="30" t="str">
        <f t="shared" ref="A377:AC377" si="281">A359</f>
        <v>Opex fix (admin, crew, insurance)</v>
      </c>
      <c r="B377" s="62">
        <f t="shared" si="281"/>
        <v>70000</v>
      </c>
      <c r="C377" s="62">
        <f t="shared" si="281"/>
        <v>70000</v>
      </c>
      <c r="D377" s="62">
        <f t="shared" si="281"/>
        <v>70000</v>
      </c>
      <c r="E377" s="62">
        <f t="shared" si="281"/>
        <v>70000</v>
      </c>
      <c r="F377" s="62">
        <f t="shared" si="281"/>
        <v>70000</v>
      </c>
      <c r="G377" s="62">
        <f t="shared" si="281"/>
        <v>70000</v>
      </c>
      <c r="H377" s="62">
        <f t="shared" si="281"/>
        <v>70000</v>
      </c>
      <c r="I377" s="62">
        <f t="shared" si="281"/>
        <v>70000</v>
      </c>
      <c r="J377" s="62">
        <f t="shared" si="281"/>
        <v>70000</v>
      </c>
      <c r="K377" s="62">
        <f t="shared" si="281"/>
        <v>70000</v>
      </c>
      <c r="L377" s="62">
        <f t="shared" si="281"/>
        <v>70000</v>
      </c>
      <c r="M377" s="62">
        <f t="shared" si="281"/>
        <v>70000</v>
      </c>
      <c r="N377" s="62">
        <f t="shared" si="281"/>
        <v>70000</v>
      </c>
      <c r="O377" s="62">
        <f t="shared" si="281"/>
        <v>70000</v>
      </c>
      <c r="P377" s="62">
        <f t="shared" si="281"/>
        <v>70000</v>
      </c>
      <c r="Q377" s="62">
        <f t="shared" si="281"/>
        <v>70000</v>
      </c>
      <c r="R377" s="62">
        <f t="shared" si="281"/>
        <v>70000</v>
      </c>
      <c r="S377" s="62">
        <f t="shared" si="281"/>
        <v>70000</v>
      </c>
      <c r="T377" s="62">
        <f t="shared" si="281"/>
        <v>70000</v>
      </c>
      <c r="U377" s="62">
        <f t="shared" si="281"/>
        <v>70000</v>
      </c>
      <c r="V377" s="62">
        <f t="shared" si="281"/>
        <v>70000</v>
      </c>
      <c r="W377" s="62">
        <f t="shared" si="281"/>
        <v>70000</v>
      </c>
      <c r="X377" s="62">
        <f t="shared" si="281"/>
        <v>70000</v>
      </c>
      <c r="Y377" s="62">
        <f t="shared" si="281"/>
        <v>70000</v>
      </c>
      <c r="Z377" s="62">
        <f t="shared" si="281"/>
        <v>70000</v>
      </c>
      <c r="AA377" s="62">
        <f t="shared" si="281"/>
        <v>70000</v>
      </c>
      <c r="AB377" s="62">
        <f t="shared" si="281"/>
        <v>70000</v>
      </c>
      <c r="AC377" s="62">
        <f t="shared" si="281"/>
        <v>70000</v>
      </c>
    </row>
    <row r="378" spans="1:29" x14ac:dyDescent="0.3">
      <c r="A378" s="30" t="str">
        <f t="shared" ref="A378:AC378" si="282">A360</f>
        <v>Opex maintenance &amp; repair</v>
      </c>
      <c r="B378" s="62">
        <f t="shared" si="282"/>
        <v>25694.198732927423</v>
      </c>
      <c r="C378" s="62">
        <f t="shared" si="282"/>
        <v>25566.782972440909</v>
      </c>
      <c r="D378" s="62">
        <f t="shared" si="282"/>
        <v>25389.62881201132</v>
      </c>
      <c r="E378" s="62">
        <f t="shared" si="282"/>
        <v>25146.757085412675</v>
      </c>
      <c r="F378" s="62">
        <f t="shared" si="282"/>
        <v>24820.363509946161</v>
      </c>
      <c r="G378" s="62">
        <f t="shared" si="282"/>
        <v>24393.704052209912</v>
      </c>
      <c r="H378" s="62">
        <f t="shared" si="282"/>
        <v>23856.39857999947</v>
      </c>
      <c r="I378" s="62">
        <f t="shared" si="282"/>
        <v>23211.647436702937</v>
      </c>
      <c r="J378" s="62">
        <f t="shared" si="282"/>
        <v>22482.579830467967</v>
      </c>
      <c r="K378" s="62">
        <f t="shared" si="282"/>
        <v>21712.906149854825</v>
      </c>
      <c r="L378" s="62">
        <f t="shared" si="282"/>
        <v>20958.378207641916</v>
      </c>
      <c r="M378" s="62">
        <f t="shared" si="282"/>
        <v>20271.515890978495</v>
      </c>
      <c r="N378" s="62">
        <f t="shared" si="282"/>
        <v>19687.78073288942</v>
      </c>
      <c r="O378" s="62">
        <f t="shared" si="282"/>
        <v>19220.313412303854</v>
      </c>
      <c r="P378" s="62">
        <f t="shared" si="282"/>
        <v>18863.615099016799</v>
      </c>
      <c r="Q378" s="62">
        <f t="shared" si="282"/>
        <v>18601.413231504735</v>
      </c>
      <c r="R378" s="62">
        <f t="shared" si="282"/>
        <v>18413.942689420019</v>
      </c>
      <c r="S378" s="62">
        <f t="shared" si="282"/>
        <v>18282.553525002768</v>
      </c>
      <c r="T378" s="62">
        <f t="shared" si="282"/>
        <v>18191.755536581266</v>
      </c>
      <c r="U378" s="62">
        <f t="shared" si="282"/>
        <v>18129.617948467116</v>
      </c>
      <c r="V378" s="62">
        <f t="shared" si="282"/>
        <v>18087.377924512868</v>
      </c>
      <c r="W378" s="62">
        <f t="shared" si="282"/>
        <v>18058.794570324873</v>
      </c>
      <c r="X378" s="62">
        <f t="shared" si="282"/>
        <v>18039.512209748045</v>
      </c>
      <c r="Y378" s="62">
        <f t="shared" si="282"/>
        <v>18026.531420394364</v>
      </c>
      <c r="Z378" s="62">
        <f t="shared" si="282"/>
        <v>18017.805089717345</v>
      </c>
      <c r="AA378" s="62">
        <f t="shared" si="282"/>
        <v>18011.94435896385</v>
      </c>
      <c r="AB378" s="62">
        <f t="shared" si="282"/>
        <v>18008.010705203578</v>
      </c>
      <c r="AC378" s="62">
        <f t="shared" si="282"/>
        <v>18005.371608019701</v>
      </c>
    </row>
    <row r="379" spans="1:29" x14ac:dyDescent="0.3">
      <c r="A379" s="30" t="str">
        <f>A361</f>
        <v>Opex var (mode-fees)</v>
      </c>
      <c r="B379" s="62">
        <f>B361*B370</f>
        <v>8580</v>
      </c>
      <c r="C379" s="62">
        <f t="shared" ref="C379:AC379" si="283">C361*C370</f>
        <v>8580</v>
      </c>
      <c r="D379" s="62">
        <f t="shared" si="283"/>
        <v>8580</v>
      </c>
      <c r="E379" s="62">
        <f t="shared" si="283"/>
        <v>8580</v>
      </c>
      <c r="F379" s="62">
        <f t="shared" si="283"/>
        <v>8580</v>
      </c>
      <c r="G379" s="62">
        <f t="shared" si="283"/>
        <v>8580</v>
      </c>
      <c r="H379" s="62">
        <f t="shared" si="283"/>
        <v>8580</v>
      </c>
      <c r="I379" s="62">
        <f t="shared" si="283"/>
        <v>8580</v>
      </c>
      <c r="J379" s="62">
        <f t="shared" si="283"/>
        <v>8580</v>
      </c>
      <c r="K379" s="62">
        <f t="shared" si="283"/>
        <v>8580</v>
      </c>
      <c r="L379" s="62">
        <f t="shared" si="283"/>
        <v>8580</v>
      </c>
      <c r="M379" s="62">
        <f t="shared" si="283"/>
        <v>8580</v>
      </c>
      <c r="N379" s="62">
        <f t="shared" si="283"/>
        <v>8580</v>
      </c>
      <c r="O379" s="62">
        <f t="shared" si="283"/>
        <v>8580</v>
      </c>
      <c r="P379" s="62">
        <f t="shared" si="283"/>
        <v>8580</v>
      </c>
      <c r="Q379" s="62">
        <f t="shared" si="283"/>
        <v>8580</v>
      </c>
      <c r="R379" s="62">
        <f t="shared" si="283"/>
        <v>8580</v>
      </c>
      <c r="S379" s="62">
        <f t="shared" si="283"/>
        <v>8580</v>
      </c>
      <c r="T379" s="62">
        <f t="shared" si="283"/>
        <v>8580</v>
      </c>
      <c r="U379" s="62">
        <f t="shared" si="283"/>
        <v>8580</v>
      </c>
      <c r="V379" s="62">
        <f t="shared" si="283"/>
        <v>8580</v>
      </c>
      <c r="W379" s="62">
        <f t="shared" si="283"/>
        <v>8580</v>
      </c>
      <c r="X379" s="62">
        <f t="shared" si="283"/>
        <v>8580</v>
      </c>
      <c r="Y379" s="62">
        <f t="shared" si="283"/>
        <v>8580</v>
      </c>
      <c r="Z379" s="62">
        <f t="shared" si="283"/>
        <v>8580</v>
      </c>
      <c r="AA379" s="62">
        <f t="shared" si="283"/>
        <v>8580</v>
      </c>
      <c r="AB379" s="62">
        <f t="shared" si="283"/>
        <v>8580</v>
      </c>
      <c r="AC379" s="62">
        <f t="shared" si="283"/>
        <v>8580</v>
      </c>
    </row>
    <row r="380" spans="1:29" x14ac:dyDescent="0.3">
      <c r="A380" s="30" t="str">
        <f>A363</f>
        <v>Fuel Cost</v>
      </c>
      <c r="B380" s="62">
        <f>B362*B363*B370</f>
        <v>41919.112495515939</v>
      </c>
      <c r="C380" s="62">
        <f t="shared" ref="C380:AC380" si="284">C362*C363*C370</f>
        <v>41595.899784575027</v>
      </c>
      <c r="D380" s="62">
        <f t="shared" si="284"/>
        <v>41144.810942055876</v>
      </c>
      <c r="E380" s="62">
        <f t="shared" si="284"/>
        <v>40522.745726364548</v>
      </c>
      <c r="F380" s="62">
        <f t="shared" si="284"/>
        <v>39679.18689317823</v>
      </c>
      <c r="G380" s="62">
        <f t="shared" si="284"/>
        <v>38561.268909658211</v>
      </c>
      <c r="H380" s="62">
        <f t="shared" si="284"/>
        <v>37124.164507750218</v>
      </c>
      <c r="I380" s="62">
        <f t="shared" si="284"/>
        <v>35346.584039338784</v>
      </c>
      <c r="J380" s="62">
        <f t="shared" si="284"/>
        <v>33247.165787503887</v>
      </c>
      <c r="K380" s="62">
        <f t="shared" si="284"/>
        <v>30893.574545734413</v>
      </c>
      <c r="L380" s="62">
        <f t="shared" si="284"/>
        <v>28397.27792246042</v>
      </c>
      <c r="M380" s="62">
        <f t="shared" si="284"/>
        <v>25894.793935552647</v>
      </c>
      <c r="N380" s="62">
        <f t="shared" si="284"/>
        <v>23523.251394705705</v>
      </c>
      <c r="O380" s="62">
        <f t="shared" si="284"/>
        <v>21397.448782709875</v>
      </c>
      <c r="P380" s="62">
        <f t="shared" si="284"/>
        <v>19592.364392678104</v>
      </c>
      <c r="Q380" s="62">
        <f t="shared" si="284"/>
        <v>18135.292946503316</v>
      </c>
      <c r="R380" s="62">
        <f t="shared" si="284"/>
        <v>17010.606528849647</v>
      </c>
      <c r="S380" s="62">
        <f t="shared" si="284"/>
        <v>16174.202132683673</v>
      </c>
      <c r="T380" s="62">
        <f t="shared" si="284"/>
        <v>15570.159299784837</v>
      </c>
      <c r="U380" s="62">
        <f t="shared" si="284"/>
        <v>15143.454789828398</v>
      </c>
      <c r="V380" s="62">
        <f t="shared" si="284"/>
        <v>14846.832109083776</v>
      </c>
      <c r="W380" s="62">
        <f t="shared" si="284"/>
        <v>14642.975462891554</v>
      </c>
      <c r="X380" s="62">
        <f t="shared" si="284"/>
        <v>14503.983605772468</v>
      </c>
      <c r="Y380" s="62">
        <f t="shared" si="284"/>
        <v>14409.735178782463</v>
      </c>
      <c r="Z380" s="62">
        <f t="shared" si="284"/>
        <v>14346.065250891555</v>
      </c>
      <c r="AA380" s="62">
        <f t="shared" si="284"/>
        <v>14303.16180415648</v>
      </c>
      <c r="AB380" s="62">
        <f t="shared" si="284"/>
        <v>14274.301235758154</v>
      </c>
      <c r="AC380" s="62">
        <f t="shared" si="284"/>
        <v>14254.909561470629</v>
      </c>
    </row>
    <row r="381" spans="1:29" ht="15" thickBot="1" x14ac:dyDescent="0.35">
      <c r="A381" s="59" t="str">
        <f>A344</f>
        <v>Emission Cost</v>
      </c>
      <c r="B381" s="62">
        <f>B364*B370</f>
        <v>710.1549188082314</v>
      </c>
      <c r="C381" s="62">
        <f t="shared" ref="C381:AC381" si="285">C364*C370</f>
        <v>709.47867829508084</v>
      </c>
      <c r="D381" s="62">
        <f t="shared" si="285"/>
        <v>708.51065506254884</v>
      </c>
      <c r="E381" s="62">
        <f t="shared" si="285"/>
        <v>707.12582975397481</v>
      </c>
      <c r="F381" s="62">
        <f t="shared" si="285"/>
        <v>705.14660881114673</v>
      </c>
      <c r="G381" s="62">
        <f t="shared" si="285"/>
        <v>702.32183279834828</v>
      </c>
      <c r="H381" s="62">
        <f t="shared" si="285"/>
        <v>698.29865876271117</v>
      </c>
      <c r="I381" s="62">
        <f t="shared" si="285"/>
        <v>692.58632836129857</v>
      </c>
      <c r="J381" s="62">
        <f t="shared" si="285"/>
        <v>684.51249825880609</v>
      </c>
      <c r="K381" s="62">
        <f t="shared" si="285"/>
        <v>673.17698645886799</v>
      </c>
      <c r="L381" s="62">
        <f t="shared" si="285"/>
        <v>657.41651013874798</v>
      </c>
      <c r="M381" s="62">
        <f t="shared" si="285"/>
        <v>635.80948670445525</v>
      </c>
      <c r="N381" s="62">
        <f t="shared" si="285"/>
        <v>606.77196252379213</v>
      </c>
      <c r="O381" s="62">
        <f t="shared" si="285"/>
        <v>568.81430878254673</v>
      </c>
      <c r="P381" s="62">
        <f t="shared" si="285"/>
        <v>521.01305957164129</v>
      </c>
      <c r="Q381" s="62">
        <f t="shared" si="285"/>
        <v>463.65293265362823</v>
      </c>
      <c r="R381" s="62">
        <f t="shared" si="285"/>
        <v>398.79161234385373</v>
      </c>
      <c r="S381" s="62">
        <f t="shared" si="285"/>
        <v>330.31778261212571</v>
      </c>
      <c r="T381" s="62">
        <f t="shared" si="285"/>
        <v>263.19138977281187</v>
      </c>
      <c r="U381" s="62">
        <f t="shared" si="285"/>
        <v>202.08485267142049</v>
      </c>
      <c r="V381" s="62">
        <f t="shared" si="285"/>
        <v>150.15299787345805</v>
      </c>
      <c r="W381" s="62">
        <f t="shared" si="285"/>
        <v>108.56488264854396</v>
      </c>
      <c r="X381" s="62">
        <f t="shared" si="285"/>
        <v>76.831304919660951</v>
      </c>
      <c r="Y381" s="62">
        <f t="shared" si="285"/>
        <v>53.504580252319137</v>
      </c>
      <c r="Z381" s="62">
        <f t="shared" si="285"/>
        <v>36.826309575065977</v>
      </c>
      <c r="AA381" s="62">
        <f t="shared" si="285"/>
        <v>25.137304871496188</v>
      </c>
      <c r="AB381" s="62">
        <f t="shared" si="285"/>
        <v>17.05948415895153</v>
      </c>
      <c r="AC381" s="62">
        <f t="shared" si="285"/>
        <v>11.531428912111116</v>
      </c>
    </row>
    <row r="382" spans="1:29" ht="15" thickBot="1" x14ac:dyDescent="0.35">
      <c r="A382" s="31" t="s">
        <v>209</v>
      </c>
      <c r="B382" s="64">
        <f>B373+B374+B375+B376+B377+B378+B379+B380+B381</f>
        <v>203037.92172676511</v>
      </c>
      <c r="C382" s="64">
        <f t="shared" ref="C382:AC382" si="286">C373+C374+C375+C376+C377+C378+C379+C380+C381</f>
        <v>202034.54066415181</v>
      </c>
      <c r="D382" s="64">
        <f t="shared" si="286"/>
        <v>200637.74310061426</v>
      </c>
      <c r="E382" s="64">
        <f t="shared" si="286"/>
        <v>198719.08890576969</v>
      </c>
      <c r="F382" s="64">
        <f t="shared" si="286"/>
        <v>196132.93525733944</v>
      </c>
      <c r="G382" s="64">
        <f t="shared" si="286"/>
        <v>192736.8716538522</v>
      </c>
      <c r="H382" s="64">
        <f t="shared" si="286"/>
        <v>188430.36205408638</v>
      </c>
      <c r="I382" s="64">
        <f t="shared" si="286"/>
        <v>183208.69307749072</v>
      </c>
      <c r="J382" s="64">
        <f t="shared" si="286"/>
        <v>177213.17580112803</v>
      </c>
      <c r="K382" s="64">
        <f t="shared" si="286"/>
        <v>170743.67680196979</v>
      </c>
      <c r="L382" s="64">
        <f t="shared" si="286"/>
        <v>164207.81776119303</v>
      </c>
      <c r="M382" s="64">
        <f t="shared" si="286"/>
        <v>158020.77701964587</v>
      </c>
      <c r="N382" s="64">
        <f t="shared" si="286"/>
        <v>152507.21129716648</v>
      </c>
      <c r="O382" s="64">
        <f t="shared" si="286"/>
        <v>147850.50702395503</v>
      </c>
      <c r="P382" s="64">
        <f t="shared" si="286"/>
        <v>144095.39446225858</v>
      </c>
      <c r="Q382" s="64">
        <f t="shared" si="286"/>
        <v>141182.67354234256</v>
      </c>
      <c r="R382" s="64">
        <f t="shared" si="286"/>
        <v>138993.36914998316</v>
      </c>
      <c r="S382" s="64">
        <f t="shared" si="286"/>
        <v>137387.80915306721</v>
      </c>
      <c r="T382" s="64">
        <f t="shared" si="286"/>
        <v>136232.42575628799</v>
      </c>
      <c r="U382" s="64">
        <f t="shared" si="286"/>
        <v>135413.24282266913</v>
      </c>
      <c r="V382" s="64">
        <f t="shared" si="286"/>
        <v>134839.42758984311</v>
      </c>
      <c r="W382" s="64">
        <f t="shared" si="286"/>
        <v>134441.55142114125</v>
      </c>
      <c r="X382" s="64">
        <f t="shared" si="286"/>
        <v>134167.99559979749</v>
      </c>
      <c r="Y382" s="64">
        <f t="shared" si="286"/>
        <v>133981.19554276919</v>
      </c>
      <c r="Z382" s="64">
        <f t="shared" si="286"/>
        <v>133854.31092804839</v>
      </c>
      <c r="AA382" s="64">
        <f t="shared" si="286"/>
        <v>133768.46394186915</v>
      </c>
      <c r="AB382" s="64">
        <f t="shared" si="286"/>
        <v>133710.54787552331</v>
      </c>
      <c r="AC382" s="64">
        <f t="shared" si="286"/>
        <v>133671.5541749968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87">A373</f>
        <v>Capex vehicle</v>
      </c>
      <c r="B385" s="65">
        <f>((1+B358)^B365)*B358/(((1+B358)^B365)-1)*(B354)/B370</f>
        <v>0.78663392173917701</v>
      </c>
      <c r="C385" s="65">
        <f t="shared" ref="C385:AC385" si="288">((1+C358)^C365)*C358/(((1+C358)^C365)-1)*(C354)/C370</f>
        <v>0.77890659558842246</v>
      </c>
      <c r="D385" s="65">
        <f t="shared" si="288"/>
        <v>0.76816280713261809</v>
      </c>
      <c r="E385" s="65">
        <f t="shared" si="288"/>
        <v>0.75343347508563585</v>
      </c>
      <c r="F385" s="65">
        <f t="shared" si="288"/>
        <v>0.73363883114590389</v>
      </c>
      <c r="G385" s="65">
        <f t="shared" si="288"/>
        <v>0.70776340747269928</v>
      </c>
      <c r="H385" s="65">
        <f t="shared" si="288"/>
        <v>0.67517768487055108</v>
      </c>
      <c r="I385" s="65">
        <f t="shared" si="288"/>
        <v>0.63607575312128695</v>
      </c>
      <c r="J385" s="65">
        <f t="shared" si="288"/>
        <v>0.59186031887817503</v>
      </c>
      <c r="K385" s="65">
        <f t="shared" si="288"/>
        <v>0.54518226635908351</v>
      </c>
      <c r="L385" s="65">
        <f t="shared" si="288"/>
        <v>0.49942275060471941</v>
      </c>
      <c r="M385" s="65">
        <f t="shared" si="288"/>
        <v>0.45776692152003634</v>
      </c>
      <c r="N385" s="65">
        <f t="shared" si="288"/>
        <v>0.42236539870218964</v>
      </c>
      <c r="O385" s="65">
        <f t="shared" si="288"/>
        <v>0.39401511897861996</v>
      </c>
      <c r="P385" s="65">
        <f t="shared" si="288"/>
        <v>0.37238259727432993</v>
      </c>
      <c r="Q385" s="65">
        <f t="shared" si="288"/>
        <v>0.35648095889092812</v>
      </c>
      <c r="R385" s="65">
        <f t="shared" si="288"/>
        <v>0.34511151749046093</v>
      </c>
      <c r="S385" s="65">
        <f t="shared" si="288"/>
        <v>0.33714321810386599</v>
      </c>
      <c r="T385" s="65">
        <f t="shared" si="288"/>
        <v>0.33163663345777233</v>
      </c>
      <c r="U385" s="65">
        <f t="shared" si="288"/>
        <v>0.32786820318081228</v>
      </c>
      <c r="V385" s="65">
        <f t="shared" si="288"/>
        <v>0.32530649150194402</v>
      </c>
      <c r="W385" s="65">
        <f t="shared" si="288"/>
        <v>0.32357300971405673</v>
      </c>
      <c r="X385" s="65">
        <f t="shared" si="288"/>
        <v>0.3224036010901577</v>
      </c>
      <c r="Y385" s="65">
        <f t="shared" si="288"/>
        <v>0.32161636101367785</v>
      </c>
      <c r="Z385" s="65">
        <f t="shared" si="288"/>
        <v>0.32108713917343445</v>
      </c>
      <c r="AA385" s="65">
        <f t="shared" si="288"/>
        <v>0.32073170607912116</v>
      </c>
      <c r="AB385" s="65">
        <f t="shared" si="288"/>
        <v>0.32049314355393838</v>
      </c>
      <c r="AC385" s="65">
        <f t="shared" si="288"/>
        <v>0.32033309141748761</v>
      </c>
    </row>
    <row r="386" spans="1:29" x14ac:dyDescent="0.3">
      <c r="A386" s="30" t="str">
        <f t="shared" si="287"/>
        <v>Residual value (vehicle)</v>
      </c>
      <c r="B386" s="66">
        <f>((1+B358)^B365)*B358/(((1+B358)^B365)-1)*(B355)/B370</f>
        <v>-0.11921832131735634</v>
      </c>
      <c r="C386" s="66">
        <f t="shared" ref="C386:AC386" si="289">((1+C358)^C365)*C358/(((1+C358)^C365)-1)*(C355)/C370</f>
        <v>-0.11856889709830357</v>
      </c>
      <c r="D386" s="66">
        <f t="shared" si="289"/>
        <v>-0.11766596168552851</v>
      </c>
      <c r="E386" s="66">
        <f t="shared" si="289"/>
        <v>-0.11642807101349491</v>
      </c>
      <c r="F386" s="66">
        <f t="shared" si="289"/>
        <v>-0.11476447859728339</v>
      </c>
      <c r="G386" s="66">
        <f t="shared" si="289"/>
        <v>-0.11258984192687575</v>
      </c>
      <c r="H386" s="66">
        <f t="shared" si="289"/>
        <v>-0.1098512546018016</v>
      </c>
      <c r="I386" s="66">
        <f t="shared" si="289"/>
        <v>-0.10656502842287409</v>
      </c>
      <c r="J386" s="66">
        <f t="shared" si="289"/>
        <v>-0.10284905043861255</v>
      </c>
      <c r="K386" s="66">
        <f t="shared" si="289"/>
        <v>-9.8926107726901677E-2</v>
      </c>
      <c r="L386" s="66">
        <f t="shared" si="289"/>
        <v>-9.5080361190098744E-2</v>
      </c>
      <c r="M386" s="66">
        <f t="shared" si="289"/>
        <v>-9.1579498958513653E-2</v>
      </c>
      <c r="N386" s="66">
        <f t="shared" si="289"/>
        <v>-8.8604264594035059E-2</v>
      </c>
      <c r="O386" s="66">
        <f t="shared" si="289"/>
        <v>-8.6221634702373359E-2</v>
      </c>
      <c r="P386" s="66">
        <f t="shared" si="289"/>
        <v>-8.4403582346374517E-2</v>
      </c>
      <c r="Q386" s="66">
        <f t="shared" si="289"/>
        <v>-8.3067168056705637E-2</v>
      </c>
      <c r="R386" s="66">
        <f t="shared" si="289"/>
        <v>-8.211165117304936E-2</v>
      </c>
      <c r="S386" s="66">
        <f t="shared" si="289"/>
        <v>-8.144197494800573E-2</v>
      </c>
      <c r="T386" s="66">
        <f t="shared" si="289"/>
        <v>-8.0979187514982967E-2</v>
      </c>
      <c r="U386" s="66">
        <f t="shared" si="289"/>
        <v>-8.0662479012983138E-2</v>
      </c>
      <c r="V386" s="66">
        <f t="shared" si="289"/>
        <v>-8.0447186222950579E-2</v>
      </c>
      <c r="W386" s="66">
        <f t="shared" si="289"/>
        <v>-8.0301499987585595E-2</v>
      </c>
      <c r="X386" s="66">
        <f t="shared" si="289"/>
        <v>-8.0203219901108971E-2</v>
      </c>
      <c r="Y386" s="66">
        <f t="shared" si="289"/>
        <v>-8.0137058235106959E-2</v>
      </c>
      <c r="Z386" s="66">
        <f t="shared" si="289"/>
        <v>-8.0092581080448186E-2</v>
      </c>
      <c r="AA386" s="66">
        <f t="shared" si="289"/>
        <v>-8.0062709575713348E-2</v>
      </c>
      <c r="AB386" s="66">
        <f t="shared" si="289"/>
        <v>-8.0042660172001179E-2</v>
      </c>
      <c r="AC386" s="66">
        <f t="shared" si="289"/>
        <v>-8.0029208981810096E-2</v>
      </c>
    </row>
    <row r="387" spans="1:29" x14ac:dyDescent="0.3">
      <c r="A387" s="30" t="str">
        <f t="shared" si="287"/>
        <v>Capex costumization</v>
      </c>
      <c r="B387" s="66">
        <f>((1+B358)^B366)*B358/(((1+B358)^B366)-1)*(B356)/B370</f>
        <v>6.9675876010453192E-2</v>
      </c>
      <c r="C387" s="66">
        <f t="shared" ref="C387:AC387" si="290">((1+C358)^C366)*C358/(((1+C358)^C366)-1)*(C356)/C370</f>
        <v>6.9675876010453192E-2</v>
      </c>
      <c r="D387" s="66">
        <f t="shared" si="290"/>
        <v>6.9675876010453192E-2</v>
      </c>
      <c r="E387" s="66">
        <f t="shared" si="290"/>
        <v>6.9675876010453192E-2</v>
      </c>
      <c r="F387" s="66">
        <f t="shared" si="290"/>
        <v>6.9675876010453192E-2</v>
      </c>
      <c r="G387" s="66">
        <f t="shared" si="290"/>
        <v>6.9675876010453192E-2</v>
      </c>
      <c r="H387" s="66">
        <f t="shared" si="290"/>
        <v>6.9675876010453192E-2</v>
      </c>
      <c r="I387" s="66">
        <f t="shared" si="290"/>
        <v>6.9675876010453192E-2</v>
      </c>
      <c r="J387" s="66">
        <f t="shared" si="290"/>
        <v>6.9675876010453192E-2</v>
      </c>
      <c r="K387" s="66">
        <f t="shared" si="290"/>
        <v>6.9675876010453192E-2</v>
      </c>
      <c r="L387" s="66">
        <f t="shared" si="290"/>
        <v>6.9675876010453192E-2</v>
      </c>
      <c r="M387" s="66">
        <f t="shared" si="290"/>
        <v>6.9675876010453192E-2</v>
      </c>
      <c r="N387" s="66">
        <f t="shared" si="290"/>
        <v>6.9675876010453192E-2</v>
      </c>
      <c r="O387" s="66">
        <f t="shared" si="290"/>
        <v>6.9675876010453192E-2</v>
      </c>
      <c r="P387" s="66">
        <f t="shared" si="290"/>
        <v>6.9675876010453192E-2</v>
      </c>
      <c r="Q387" s="66">
        <f t="shared" si="290"/>
        <v>6.9675876010453192E-2</v>
      </c>
      <c r="R387" s="66">
        <f t="shared" si="290"/>
        <v>6.9675876010453192E-2</v>
      </c>
      <c r="S387" s="66">
        <f t="shared" si="290"/>
        <v>6.9675876010453192E-2</v>
      </c>
      <c r="T387" s="66">
        <f t="shared" si="290"/>
        <v>6.9675876010453192E-2</v>
      </c>
      <c r="U387" s="66">
        <f t="shared" si="290"/>
        <v>6.9675876010453192E-2</v>
      </c>
      <c r="V387" s="66">
        <f t="shared" si="290"/>
        <v>6.9675876010453192E-2</v>
      </c>
      <c r="W387" s="66">
        <f t="shared" si="290"/>
        <v>6.9675876010453192E-2</v>
      </c>
      <c r="X387" s="66">
        <f t="shared" si="290"/>
        <v>6.9675876010453192E-2</v>
      </c>
      <c r="Y387" s="66">
        <f t="shared" si="290"/>
        <v>6.9675876010453192E-2</v>
      </c>
      <c r="Z387" s="66">
        <f t="shared" si="290"/>
        <v>6.9675876010453192E-2</v>
      </c>
      <c r="AA387" s="66">
        <f t="shared" si="290"/>
        <v>6.9675876010453192E-2</v>
      </c>
      <c r="AB387" s="66">
        <f t="shared" si="290"/>
        <v>6.9675876010453192E-2</v>
      </c>
      <c r="AC387" s="66">
        <f t="shared" si="290"/>
        <v>6.9675876010453192E-2</v>
      </c>
    </row>
    <row r="388" spans="1:29" x14ac:dyDescent="0.3">
      <c r="A388" s="30" t="str">
        <f t="shared" si="287"/>
        <v>Residual value (costumization)</v>
      </c>
      <c r="B388" s="66">
        <f>((1+B358)^B366)*B358/(((1+B358)^B366)-1)*(B357)/B370</f>
        <v>-1.7418969002613298E-2</v>
      </c>
      <c r="C388" s="66">
        <f t="shared" ref="C388:AC388" si="291">((1+C358)^C366)*C358/(((1+C358)^C366)-1)*(C357)/C370</f>
        <v>-1.7418969002613298E-2</v>
      </c>
      <c r="D388" s="66">
        <f t="shared" si="291"/>
        <v>-1.7418969002613298E-2</v>
      </c>
      <c r="E388" s="66">
        <f t="shared" si="291"/>
        <v>-1.7418969002613298E-2</v>
      </c>
      <c r="F388" s="66">
        <f t="shared" si="291"/>
        <v>-1.7418969002613298E-2</v>
      </c>
      <c r="G388" s="66">
        <f t="shared" si="291"/>
        <v>-1.7418969002613298E-2</v>
      </c>
      <c r="H388" s="66">
        <f t="shared" si="291"/>
        <v>-1.7418969002613298E-2</v>
      </c>
      <c r="I388" s="66">
        <f t="shared" si="291"/>
        <v>-1.7418969002613298E-2</v>
      </c>
      <c r="J388" s="66">
        <f t="shared" si="291"/>
        <v>-1.7418969002613298E-2</v>
      </c>
      <c r="K388" s="66">
        <f t="shared" si="291"/>
        <v>-1.7418969002613298E-2</v>
      </c>
      <c r="L388" s="66">
        <f t="shared" si="291"/>
        <v>-1.7418969002613298E-2</v>
      </c>
      <c r="M388" s="66">
        <f t="shared" si="291"/>
        <v>-1.7418969002613298E-2</v>
      </c>
      <c r="N388" s="66">
        <f t="shared" si="291"/>
        <v>-1.7418969002613298E-2</v>
      </c>
      <c r="O388" s="66">
        <f t="shared" si="291"/>
        <v>-1.7418969002613298E-2</v>
      </c>
      <c r="P388" s="66">
        <f t="shared" si="291"/>
        <v>-1.7418969002613298E-2</v>
      </c>
      <c r="Q388" s="66">
        <f t="shared" si="291"/>
        <v>-1.7418969002613298E-2</v>
      </c>
      <c r="R388" s="66">
        <f t="shared" si="291"/>
        <v>-1.7418969002613298E-2</v>
      </c>
      <c r="S388" s="66">
        <f t="shared" si="291"/>
        <v>-1.7418969002613298E-2</v>
      </c>
      <c r="T388" s="66">
        <f t="shared" si="291"/>
        <v>-1.7418969002613298E-2</v>
      </c>
      <c r="U388" s="66">
        <f t="shared" si="291"/>
        <v>-1.7418969002613298E-2</v>
      </c>
      <c r="V388" s="66">
        <f t="shared" si="291"/>
        <v>-1.7418969002613298E-2</v>
      </c>
      <c r="W388" s="66">
        <f t="shared" si="291"/>
        <v>-1.7418969002613298E-2</v>
      </c>
      <c r="X388" s="66">
        <f t="shared" si="291"/>
        <v>-1.7418969002613298E-2</v>
      </c>
      <c r="Y388" s="66">
        <f t="shared" si="291"/>
        <v>-1.7418969002613298E-2</v>
      </c>
      <c r="Z388" s="66">
        <f t="shared" si="291"/>
        <v>-1.7418969002613298E-2</v>
      </c>
      <c r="AA388" s="66">
        <f t="shared" si="291"/>
        <v>-1.7418969002613298E-2</v>
      </c>
      <c r="AB388" s="66">
        <f t="shared" si="291"/>
        <v>-1.7418969002613298E-2</v>
      </c>
      <c r="AC388" s="66">
        <f t="shared" si="291"/>
        <v>-1.7418969002613298E-2</v>
      </c>
    </row>
    <row r="389" spans="1:29" x14ac:dyDescent="0.3">
      <c r="A389" s="30" t="str">
        <f t="shared" si="287"/>
        <v>Opex fix (admin, crew, insurance)</v>
      </c>
      <c r="B389" s="66">
        <f>B359/B370</f>
        <v>0.89743589743589747</v>
      </c>
      <c r="C389" s="66">
        <f t="shared" ref="C389:AC389" si="292">C359/C370</f>
        <v>0.89743589743589747</v>
      </c>
      <c r="D389" s="66">
        <f t="shared" si="292"/>
        <v>0.89743589743589747</v>
      </c>
      <c r="E389" s="66">
        <f t="shared" si="292"/>
        <v>0.89743589743589747</v>
      </c>
      <c r="F389" s="66">
        <f t="shared" si="292"/>
        <v>0.89743589743589747</v>
      </c>
      <c r="G389" s="66">
        <f t="shared" si="292"/>
        <v>0.89743589743589747</v>
      </c>
      <c r="H389" s="66">
        <f t="shared" si="292"/>
        <v>0.89743589743589747</v>
      </c>
      <c r="I389" s="66">
        <f t="shared" si="292"/>
        <v>0.89743589743589747</v>
      </c>
      <c r="J389" s="66">
        <f t="shared" si="292"/>
        <v>0.89743589743589747</v>
      </c>
      <c r="K389" s="66">
        <f t="shared" si="292"/>
        <v>0.89743589743589747</v>
      </c>
      <c r="L389" s="66">
        <f t="shared" si="292"/>
        <v>0.89743589743589747</v>
      </c>
      <c r="M389" s="66">
        <f t="shared" si="292"/>
        <v>0.89743589743589747</v>
      </c>
      <c r="N389" s="66">
        <f t="shared" si="292"/>
        <v>0.89743589743589747</v>
      </c>
      <c r="O389" s="66">
        <f t="shared" si="292"/>
        <v>0.89743589743589747</v>
      </c>
      <c r="P389" s="66">
        <f t="shared" si="292"/>
        <v>0.89743589743589747</v>
      </c>
      <c r="Q389" s="66">
        <f t="shared" si="292"/>
        <v>0.89743589743589747</v>
      </c>
      <c r="R389" s="66">
        <f t="shared" si="292"/>
        <v>0.89743589743589747</v>
      </c>
      <c r="S389" s="66">
        <f t="shared" si="292"/>
        <v>0.89743589743589747</v>
      </c>
      <c r="T389" s="66">
        <f t="shared" si="292"/>
        <v>0.89743589743589747</v>
      </c>
      <c r="U389" s="66">
        <f t="shared" si="292"/>
        <v>0.89743589743589747</v>
      </c>
      <c r="V389" s="66">
        <f t="shared" si="292"/>
        <v>0.89743589743589747</v>
      </c>
      <c r="W389" s="66">
        <f t="shared" si="292"/>
        <v>0.89743589743589747</v>
      </c>
      <c r="X389" s="66">
        <f t="shared" si="292"/>
        <v>0.89743589743589747</v>
      </c>
      <c r="Y389" s="66">
        <f t="shared" si="292"/>
        <v>0.89743589743589747</v>
      </c>
      <c r="Z389" s="66">
        <f t="shared" si="292"/>
        <v>0.89743589743589747</v>
      </c>
      <c r="AA389" s="66">
        <f t="shared" si="292"/>
        <v>0.89743589743589747</v>
      </c>
      <c r="AB389" s="66">
        <f t="shared" si="292"/>
        <v>0.89743589743589747</v>
      </c>
      <c r="AC389" s="66">
        <f t="shared" si="292"/>
        <v>0.89743589743589747</v>
      </c>
    </row>
    <row r="390" spans="1:29" x14ac:dyDescent="0.3">
      <c r="A390" s="30" t="str">
        <f t="shared" si="287"/>
        <v>Opex maintenance &amp; repair</v>
      </c>
      <c r="B390" s="66">
        <f>B360/B370</f>
        <v>0.32941280426830027</v>
      </c>
      <c r="C390" s="66">
        <f t="shared" ref="C390:AC390" si="293">C360/C370</f>
        <v>0.32777926887744757</v>
      </c>
      <c r="D390" s="66">
        <f t="shared" si="293"/>
        <v>0.32550806169245283</v>
      </c>
      <c r="E390" s="66">
        <f t="shared" si="293"/>
        <v>0.32239432160785481</v>
      </c>
      <c r="F390" s="66">
        <f t="shared" si="293"/>
        <v>0.31820978858905336</v>
      </c>
      <c r="G390" s="66">
        <f t="shared" si="293"/>
        <v>0.31273979554115272</v>
      </c>
      <c r="H390" s="66">
        <f t="shared" si="293"/>
        <v>0.30585126384614703</v>
      </c>
      <c r="I390" s="66">
        <f t="shared" si="293"/>
        <v>0.29758522354747358</v>
      </c>
      <c r="J390" s="66">
        <f t="shared" si="293"/>
        <v>0.28823820295471753</v>
      </c>
      <c r="K390" s="66">
        <f t="shared" si="293"/>
        <v>0.27837059166480543</v>
      </c>
      <c r="L390" s="66">
        <f t="shared" si="293"/>
        <v>0.26869715650822967</v>
      </c>
      <c r="M390" s="66">
        <f t="shared" si="293"/>
        <v>0.25989122937151915</v>
      </c>
      <c r="N390" s="66">
        <f t="shared" si="293"/>
        <v>0.2524074452934541</v>
      </c>
      <c r="O390" s="66">
        <f t="shared" si="293"/>
        <v>0.24641427451671608</v>
      </c>
      <c r="P390" s="66">
        <f t="shared" si="293"/>
        <v>0.24184121921816409</v>
      </c>
      <c r="Q390" s="66">
        <f t="shared" si="293"/>
        <v>0.23847965681416328</v>
      </c>
      <c r="R390" s="66">
        <f t="shared" si="293"/>
        <v>0.23607618832589766</v>
      </c>
      <c r="S390" s="66">
        <f t="shared" si="293"/>
        <v>0.23439171185900984</v>
      </c>
      <c r="T390" s="66">
        <f t="shared" si="293"/>
        <v>0.23322763508437522</v>
      </c>
      <c r="U390" s="66">
        <f t="shared" si="293"/>
        <v>0.23243099933932199</v>
      </c>
      <c r="V390" s="66">
        <f t="shared" si="293"/>
        <v>0.2318894605706778</v>
      </c>
      <c r="W390" s="66">
        <f t="shared" si="293"/>
        <v>0.23152300731185735</v>
      </c>
      <c r="X390" s="66">
        <f t="shared" si="293"/>
        <v>0.23127579756087238</v>
      </c>
      <c r="Y390" s="66">
        <f t="shared" si="293"/>
        <v>0.23110937718454314</v>
      </c>
      <c r="Z390" s="66">
        <f t="shared" si="293"/>
        <v>0.23099750115022238</v>
      </c>
      <c r="AA390" s="66">
        <f t="shared" si="293"/>
        <v>0.23092236357645962</v>
      </c>
      <c r="AB390" s="66">
        <f t="shared" si="293"/>
        <v>0.23087193211799459</v>
      </c>
      <c r="AC390" s="66">
        <f t="shared" si="293"/>
        <v>0.23083809753871412</v>
      </c>
    </row>
    <row r="391" spans="1:29" x14ac:dyDescent="0.3">
      <c r="A391" s="30" t="str">
        <f t="shared" si="287"/>
        <v>Opex var (mode-fees)</v>
      </c>
      <c r="B391" s="66">
        <f>B361*B370/B370</f>
        <v>0.11</v>
      </c>
      <c r="C391" s="66">
        <f t="shared" ref="C391:AC391" si="294">C361*C370/C370</f>
        <v>0.11</v>
      </c>
      <c r="D391" s="66">
        <f t="shared" si="294"/>
        <v>0.11</v>
      </c>
      <c r="E391" s="66">
        <f t="shared" si="294"/>
        <v>0.11</v>
      </c>
      <c r="F391" s="66">
        <f t="shared" si="294"/>
        <v>0.11</v>
      </c>
      <c r="G391" s="66">
        <f t="shared" si="294"/>
        <v>0.11</v>
      </c>
      <c r="H391" s="66">
        <f t="shared" si="294"/>
        <v>0.11</v>
      </c>
      <c r="I391" s="66">
        <f t="shared" si="294"/>
        <v>0.11</v>
      </c>
      <c r="J391" s="66">
        <f t="shared" si="294"/>
        <v>0.11</v>
      </c>
      <c r="K391" s="66">
        <f t="shared" si="294"/>
        <v>0.11</v>
      </c>
      <c r="L391" s="66">
        <f t="shared" si="294"/>
        <v>0.11</v>
      </c>
      <c r="M391" s="66">
        <f t="shared" si="294"/>
        <v>0.11</v>
      </c>
      <c r="N391" s="66">
        <f t="shared" si="294"/>
        <v>0.11</v>
      </c>
      <c r="O391" s="66">
        <f t="shared" si="294"/>
        <v>0.11</v>
      </c>
      <c r="P391" s="66">
        <f t="shared" si="294"/>
        <v>0.11</v>
      </c>
      <c r="Q391" s="66">
        <f t="shared" si="294"/>
        <v>0.11</v>
      </c>
      <c r="R391" s="66">
        <f t="shared" si="294"/>
        <v>0.11</v>
      </c>
      <c r="S391" s="66">
        <f t="shared" si="294"/>
        <v>0.11</v>
      </c>
      <c r="T391" s="66">
        <f t="shared" si="294"/>
        <v>0.11</v>
      </c>
      <c r="U391" s="66">
        <f t="shared" si="294"/>
        <v>0.11</v>
      </c>
      <c r="V391" s="66">
        <f t="shared" si="294"/>
        <v>0.11</v>
      </c>
      <c r="W391" s="66">
        <f t="shared" si="294"/>
        <v>0.11</v>
      </c>
      <c r="X391" s="66">
        <f t="shared" si="294"/>
        <v>0.11</v>
      </c>
      <c r="Y391" s="66">
        <f t="shared" si="294"/>
        <v>0.11</v>
      </c>
      <c r="Z391" s="66">
        <f t="shared" si="294"/>
        <v>0.11</v>
      </c>
      <c r="AA391" s="66">
        <f t="shared" si="294"/>
        <v>0.11</v>
      </c>
      <c r="AB391" s="66">
        <f t="shared" si="294"/>
        <v>0.11</v>
      </c>
      <c r="AC391" s="66">
        <f t="shared" si="294"/>
        <v>0.11</v>
      </c>
    </row>
    <row r="392" spans="1:29" x14ac:dyDescent="0.3">
      <c r="A392" s="30" t="str">
        <f t="shared" si="287"/>
        <v>Fuel Cost</v>
      </c>
      <c r="B392" s="66">
        <f>B362*B363*B370/B370</f>
        <v>0.53742451917328127</v>
      </c>
      <c r="C392" s="66">
        <f t="shared" ref="C392:AC392" si="295">C362*C363*C370/C370</f>
        <v>0.53328076646891065</v>
      </c>
      <c r="D392" s="66">
        <f t="shared" si="295"/>
        <v>0.52749757618020354</v>
      </c>
      <c r="E392" s="66">
        <f t="shared" si="295"/>
        <v>0.51952238110723781</v>
      </c>
      <c r="F392" s="66">
        <f t="shared" si="295"/>
        <v>0.50870752427151578</v>
      </c>
      <c r="G392" s="66">
        <f t="shared" si="295"/>
        <v>0.49437524243151554</v>
      </c>
      <c r="H392" s="66">
        <f t="shared" si="295"/>
        <v>0.47595082702243868</v>
      </c>
      <c r="I392" s="66">
        <f t="shared" si="295"/>
        <v>0.45316133383767671</v>
      </c>
      <c r="J392" s="66">
        <f t="shared" si="295"/>
        <v>0.42624571522440879</v>
      </c>
      <c r="K392" s="66">
        <f t="shared" si="295"/>
        <v>0.39607146853505659</v>
      </c>
      <c r="L392" s="66">
        <f t="shared" si="295"/>
        <v>0.36406766567256948</v>
      </c>
      <c r="M392" s="66">
        <f t="shared" si="295"/>
        <v>0.33198453763529034</v>
      </c>
      <c r="N392" s="66">
        <f t="shared" si="295"/>
        <v>0.30158014608597056</v>
      </c>
      <c r="O392" s="66">
        <f t="shared" si="295"/>
        <v>0.27432626644499841</v>
      </c>
      <c r="P392" s="66">
        <f t="shared" si="295"/>
        <v>0.25118415888048851</v>
      </c>
      <c r="Q392" s="66">
        <f t="shared" si="295"/>
        <v>0.23250375572440149</v>
      </c>
      <c r="R392" s="66">
        <f t="shared" si="295"/>
        <v>0.21808469908781597</v>
      </c>
      <c r="S392" s="66">
        <f t="shared" si="295"/>
        <v>0.20736156580363682</v>
      </c>
      <c r="T392" s="66">
        <f t="shared" si="295"/>
        <v>0.19961742692031842</v>
      </c>
      <c r="U392" s="66">
        <f t="shared" si="295"/>
        <v>0.19414685627985126</v>
      </c>
      <c r="V392" s="66">
        <f t="shared" si="295"/>
        <v>0.19034400139850996</v>
      </c>
      <c r="W392" s="66">
        <f t="shared" si="295"/>
        <v>0.18773045465245583</v>
      </c>
      <c r="X392" s="66">
        <f t="shared" si="295"/>
        <v>0.18594850776631369</v>
      </c>
      <c r="Y392" s="66">
        <f t="shared" si="295"/>
        <v>0.18474019459977517</v>
      </c>
      <c r="Z392" s="66">
        <f t="shared" si="295"/>
        <v>0.18392391347296866</v>
      </c>
      <c r="AA392" s="66">
        <f t="shared" si="295"/>
        <v>0.18337386928405744</v>
      </c>
      <c r="AB392" s="66">
        <f t="shared" si="295"/>
        <v>0.18300386199689941</v>
      </c>
      <c r="AC392" s="66">
        <f t="shared" si="295"/>
        <v>0.18275525078808499</v>
      </c>
    </row>
    <row r="393" spans="1:29" ht="15" thickBot="1" x14ac:dyDescent="0.35">
      <c r="A393" s="59" t="str">
        <f t="shared" ref="A393" si="296">A381</f>
        <v>Emission Cost</v>
      </c>
      <c r="B393" s="66">
        <f>B364</f>
        <v>9.1045502411311718E-3</v>
      </c>
      <c r="C393" s="66">
        <f t="shared" ref="C393:AC393" si="297">C364</f>
        <v>9.095880490962575E-3</v>
      </c>
      <c r="D393" s="66">
        <f t="shared" si="297"/>
        <v>9.0834699366993434E-3</v>
      </c>
      <c r="E393" s="66">
        <f t="shared" si="297"/>
        <v>9.0657157660766E-3</v>
      </c>
      <c r="F393" s="66">
        <f t="shared" si="297"/>
        <v>9.040341138604446E-3</v>
      </c>
      <c r="G393" s="66">
        <f t="shared" si="297"/>
        <v>9.0041260615172855E-3</v>
      </c>
      <c r="H393" s="66">
        <f t="shared" si="297"/>
        <v>8.9525469072142452E-3</v>
      </c>
      <c r="I393" s="66">
        <f t="shared" si="297"/>
        <v>8.8793119020679299E-3</v>
      </c>
      <c r="J393" s="66">
        <f t="shared" si="297"/>
        <v>8.7758012597282838E-3</v>
      </c>
      <c r="K393" s="66">
        <f t="shared" si="297"/>
        <v>8.630474185370102E-3</v>
      </c>
      <c r="L393" s="66">
        <f t="shared" si="297"/>
        <v>8.4284167966506146E-3</v>
      </c>
      <c r="M393" s="66">
        <f t="shared" si="297"/>
        <v>8.1514036756981448E-3</v>
      </c>
      <c r="N393" s="66">
        <f t="shared" si="297"/>
        <v>7.7791277246640009E-3</v>
      </c>
      <c r="O393" s="66">
        <f t="shared" si="297"/>
        <v>7.2924911382377788E-3</v>
      </c>
      <c r="P393" s="66">
        <f t="shared" si="297"/>
        <v>6.6796546098928378E-3</v>
      </c>
      <c r="Q393" s="66">
        <f t="shared" si="297"/>
        <v>5.9442683673542078E-3</v>
      </c>
      <c r="R393" s="66">
        <f t="shared" si="297"/>
        <v>5.1127129787673555E-3</v>
      </c>
      <c r="S393" s="66">
        <f t="shared" si="297"/>
        <v>4.2348433668221242E-3</v>
      </c>
      <c r="T393" s="66">
        <f t="shared" si="297"/>
        <v>3.3742485868309214E-3</v>
      </c>
      <c r="U393" s="66">
        <f t="shared" si="297"/>
        <v>2.5908314445053909E-3</v>
      </c>
      <c r="V393" s="66">
        <f t="shared" si="297"/>
        <v>1.9250384342751033E-3</v>
      </c>
      <c r="W393" s="66">
        <f t="shared" si="297"/>
        <v>1.3918574698531276E-3</v>
      </c>
      <c r="X393" s="66">
        <f t="shared" si="297"/>
        <v>9.8501672973924301E-4</v>
      </c>
      <c r="Y393" s="66">
        <f t="shared" si="297"/>
        <v>6.8595615708101458E-4</v>
      </c>
      <c r="Z393" s="66">
        <f t="shared" si="297"/>
        <v>4.7213217403930738E-4</v>
      </c>
      <c r="AA393" s="66">
        <f t="shared" si="297"/>
        <v>3.2227313937815624E-4</v>
      </c>
      <c r="AB393" s="66">
        <f t="shared" si="297"/>
        <v>2.1871133537117345E-4</v>
      </c>
      <c r="AC393" s="66">
        <f t="shared" si="297"/>
        <v>1.4783883220655276E-4</v>
      </c>
    </row>
    <row r="394" spans="1:29" ht="15" thickBot="1" x14ac:dyDescent="0.35">
      <c r="A394" s="31" t="s">
        <v>63</v>
      </c>
      <c r="B394" s="76">
        <f>B385+B386+B387-B388+B389+B390+B391+B392+B393</f>
        <v>2.6378882165534976</v>
      </c>
      <c r="C394" s="76">
        <f t="shared" ref="C394:AC394" si="298">C385+C386+C387-C388+C389+C390+C391+C392+C393</f>
        <v>2.6250243567764033</v>
      </c>
      <c r="D394" s="76">
        <f t="shared" si="298"/>
        <v>2.6071166957054093</v>
      </c>
      <c r="E394" s="76">
        <f t="shared" si="298"/>
        <v>2.5825185650022742</v>
      </c>
      <c r="F394" s="76">
        <f t="shared" si="298"/>
        <v>2.5493627489967583</v>
      </c>
      <c r="G394" s="76">
        <f t="shared" si="298"/>
        <v>2.5058234720289727</v>
      </c>
      <c r="H394" s="76">
        <f t="shared" si="298"/>
        <v>2.4506118104935135</v>
      </c>
      <c r="I394" s="76">
        <f t="shared" si="298"/>
        <v>2.3836673364345953</v>
      </c>
      <c r="J394" s="76">
        <f t="shared" si="298"/>
        <v>2.3068017303273813</v>
      </c>
      <c r="K394" s="76">
        <f t="shared" si="298"/>
        <v>2.2238594354663781</v>
      </c>
      <c r="L394" s="76">
        <f t="shared" si="298"/>
        <v>2.1400663708410343</v>
      </c>
      <c r="M394" s="76">
        <f t="shared" si="298"/>
        <v>2.0607453356929941</v>
      </c>
      <c r="N394" s="76">
        <f t="shared" si="298"/>
        <v>1.9900585956612074</v>
      </c>
      <c r="O394" s="76">
        <f t="shared" si="298"/>
        <v>1.9303572588251627</v>
      </c>
      <c r="P394" s="76">
        <f t="shared" si="298"/>
        <v>1.8822147900854647</v>
      </c>
      <c r="Q394" s="76">
        <f t="shared" si="298"/>
        <v>1.8448722141891054</v>
      </c>
      <c r="R394" s="76">
        <f t="shared" si="298"/>
        <v>1.8168042091588568</v>
      </c>
      <c r="S394" s="76">
        <f t="shared" si="298"/>
        <v>1.7962201066342931</v>
      </c>
      <c r="T394" s="76">
        <f t="shared" si="298"/>
        <v>1.7814074989832778</v>
      </c>
      <c r="U394" s="76">
        <f t="shared" si="298"/>
        <v>1.7709051536804719</v>
      </c>
      <c r="V394" s="76">
        <f t="shared" si="298"/>
        <v>1.7635485481314204</v>
      </c>
      <c r="W394" s="76">
        <f t="shared" si="298"/>
        <v>1.7584475716096013</v>
      </c>
      <c r="X394" s="76">
        <f t="shared" si="298"/>
        <v>1.754940445694938</v>
      </c>
      <c r="Y394" s="76">
        <f t="shared" si="298"/>
        <v>1.7525455731689343</v>
      </c>
      <c r="Z394" s="76">
        <f t="shared" si="298"/>
        <v>1.7509188473391806</v>
      </c>
      <c r="AA394" s="76">
        <f t="shared" si="298"/>
        <v>1.749818244952267</v>
      </c>
      <c r="AB394" s="76">
        <f t="shared" si="298"/>
        <v>1.7490757312811664</v>
      </c>
      <c r="AC394" s="76">
        <f t="shared" si="298"/>
        <v>1.748575812043647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299">A373</f>
        <v>Capex vehicle</v>
      </c>
      <c r="B397" s="65">
        <f>((1+B358)^B365)*B358/(((1+B358)^B365)-1)*(B354)/B370/(B367)</f>
        <v>3.1465356869567078E-2</v>
      </c>
      <c r="C397" s="65">
        <f t="shared" ref="C397:AC397" si="300">((1+C358)^C365)*C358/(((1+C358)^C365)-1)*(C354)/C370/(C367)</f>
        <v>3.1156263823536898E-2</v>
      </c>
      <c r="D397" s="65">
        <f t="shared" si="300"/>
        <v>3.0726512285304722E-2</v>
      </c>
      <c r="E397" s="65">
        <f t="shared" si="300"/>
        <v>3.0137339003425433E-2</v>
      </c>
      <c r="F397" s="65">
        <f t="shared" si="300"/>
        <v>2.9345553245836157E-2</v>
      </c>
      <c r="G397" s="65">
        <f t="shared" si="300"/>
        <v>2.8310536298907972E-2</v>
      </c>
      <c r="H397" s="65">
        <f t="shared" si="300"/>
        <v>2.7007107394822042E-2</v>
      </c>
      <c r="I397" s="65">
        <f t="shared" si="300"/>
        <v>2.5443030124851478E-2</v>
      </c>
      <c r="J397" s="65">
        <f t="shared" si="300"/>
        <v>2.3674412755127001E-2</v>
      </c>
      <c r="K397" s="65">
        <f t="shared" si="300"/>
        <v>2.1807290654363341E-2</v>
      </c>
      <c r="L397" s="65">
        <f t="shared" si="300"/>
        <v>1.9976910024188776E-2</v>
      </c>
      <c r="M397" s="65">
        <f t="shared" si="300"/>
        <v>1.8310676860801452E-2</v>
      </c>
      <c r="N397" s="65">
        <f t="shared" si="300"/>
        <v>1.6894615948087586E-2</v>
      </c>
      <c r="O397" s="65">
        <f t="shared" si="300"/>
        <v>1.57606047591448E-2</v>
      </c>
      <c r="P397" s="65">
        <f t="shared" si="300"/>
        <v>1.4895303890973197E-2</v>
      </c>
      <c r="Q397" s="65">
        <f t="shared" si="300"/>
        <v>1.4259238355637124E-2</v>
      </c>
      <c r="R397" s="65">
        <f t="shared" si="300"/>
        <v>1.3804460699618437E-2</v>
      </c>
      <c r="S397" s="65">
        <f t="shared" si="300"/>
        <v>1.348572872415464E-2</v>
      </c>
      <c r="T397" s="65">
        <f t="shared" si="300"/>
        <v>1.3265465338310894E-2</v>
      </c>
      <c r="U397" s="65">
        <f t="shared" si="300"/>
        <v>1.3114728127232491E-2</v>
      </c>
      <c r="V397" s="65">
        <f t="shared" si="300"/>
        <v>1.3012259660077762E-2</v>
      </c>
      <c r="W397" s="65">
        <f t="shared" si="300"/>
        <v>1.2942920388562269E-2</v>
      </c>
      <c r="X397" s="65">
        <f t="shared" si="300"/>
        <v>1.2896144043606308E-2</v>
      </c>
      <c r="Y397" s="65">
        <f t="shared" si="300"/>
        <v>1.2864654440547114E-2</v>
      </c>
      <c r="Z397" s="65">
        <f t="shared" si="300"/>
        <v>1.2843485566937379E-2</v>
      </c>
      <c r="AA397" s="65">
        <f t="shared" si="300"/>
        <v>1.2829268243164847E-2</v>
      </c>
      <c r="AB397" s="65">
        <f t="shared" si="300"/>
        <v>1.2819725742157536E-2</v>
      </c>
      <c r="AC397" s="65">
        <f t="shared" si="300"/>
        <v>1.2813323656699505E-2</v>
      </c>
    </row>
    <row r="398" spans="1:29" x14ac:dyDescent="0.3">
      <c r="A398" s="30" t="str">
        <f t="shared" si="299"/>
        <v>Residual value (vehicle)</v>
      </c>
      <c r="B398" s="68">
        <f>((1+B358)^B365)*B358/(((1+B358)^B365)-1)*(B355)/B370/(B367)</f>
        <v>-4.7687328526942532E-3</v>
      </c>
      <c r="C398" s="68">
        <f t="shared" ref="C398:AC398" si="301">((1+C358)^C365)*C358/(((1+C358)^C365)-1)*(C355)/C370/(C367)</f>
        <v>-4.7427558839321423E-3</v>
      </c>
      <c r="D398" s="68">
        <f t="shared" si="301"/>
        <v>-4.70663846742114E-3</v>
      </c>
      <c r="E398" s="68">
        <f t="shared" si="301"/>
        <v>-4.6571228405397963E-3</v>
      </c>
      <c r="F398" s="68">
        <f t="shared" si="301"/>
        <v>-4.5905791438913355E-3</v>
      </c>
      <c r="G398" s="68">
        <f t="shared" si="301"/>
        <v>-4.5035936770750299E-3</v>
      </c>
      <c r="H398" s="68">
        <f t="shared" si="301"/>
        <v>-4.3940501840720641E-3</v>
      </c>
      <c r="I398" s="68">
        <f t="shared" si="301"/>
        <v>-4.2626011369149633E-3</v>
      </c>
      <c r="J398" s="68">
        <f t="shared" si="301"/>
        <v>-4.113962017544502E-3</v>
      </c>
      <c r="K398" s="68">
        <f t="shared" si="301"/>
        <v>-3.9570443090760667E-3</v>
      </c>
      <c r="L398" s="68">
        <f t="shared" si="301"/>
        <v>-3.8032144476039496E-3</v>
      </c>
      <c r="M398" s="68">
        <f t="shared" si="301"/>
        <v>-3.6631799583405462E-3</v>
      </c>
      <c r="N398" s="68">
        <f t="shared" si="301"/>
        <v>-3.5441705837614022E-3</v>
      </c>
      <c r="O398" s="68">
        <f t="shared" si="301"/>
        <v>-3.4488653880949344E-3</v>
      </c>
      <c r="P398" s="68">
        <f t="shared" si="301"/>
        <v>-3.3761432938549806E-3</v>
      </c>
      <c r="Q398" s="68">
        <f t="shared" si="301"/>
        <v>-3.3226867222682253E-3</v>
      </c>
      <c r="R398" s="68">
        <f t="shared" si="301"/>
        <v>-3.2844660469219743E-3</v>
      </c>
      <c r="S398" s="68">
        <f t="shared" si="301"/>
        <v>-3.2576789979202291E-3</v>
      </c>
      <c r="T398" s="68">
        <f t="shared" si="301"/>
        <v>-3.2391675005993188E-3</v>
      </c>
      <c r="U398" s="68">
        <f t="shared" si="301"/>
        <v>-3.2264991605193256E-3</v>
      </c>
      <c r="V398" s="68">
        <f t="shared" si="301"/>
        <v>-3.217887448918023E-3</v>
      </c>
      <c r="W398" s="68">
        <f t="shared" si="301"/>
        <v>-3.2120599995034238E-3</v>
      </c>
      <c r="X398" s="68">
        <f t="shared" si="301"/>
        <v>-3.2081287960443587E-3</v>
      </c>
      <c r="Y398" s="68">
        <f t="shared" si="301"/>
        <v>-3.2054823294042785E-3</v>
      </c>
      <c r="Z398" s="68">
        <f t="shared" si="301"/>
        <v>-3.2037032432179276E-3</v>
      </c>
      <c r="AA398" s="68">
        <f t="shared" si="301"/>
        <v>-3.202508383028534E-3</v>
      </c>
      <c r="AB398" s="68">
        <f t="shared" si="301"/>
        <v>-3.2017064068800474E-3</v>
      </c>
      <c r="AC398" s="68">
        <f t="shared" si="301"/>
        <v>-3.2011683592724038E-3</v>
      </c>
    </row>
    <row r="399" spans="1:29" x14ac:dyDescent="0.3">
      <c r="A399" s="30" t="str">
        <f t="shared" si="299"/>
        <v>Capex costumization</v>
      </c>
      <c r="B399" s="66">
        <f>((1+B358)^B366)*B358/(((1+B358)^B366)-1)*(B356)/B370/(B367)</f>
        <v>2.7870350404181278E-3</v>
      </c>
      <c r="C399" s="66">
        <f t="shared" ref="C399:AC399" si="302">((1+C358)^C366)*C358/(((1+C358)^C366)-1)*(C356)/C370/(C367)</f>
        <v>2.7870350404181278E-3</v>
      </c>
      <c r="D399" s="66">
        <f t="shared" si="302"/>
        <v>2.7870350404181278E-3</v>
      </c>
      <c r="E399" s="66">
        <f t="shared" si="302"/>
        <v>2.7870350404181278E-3</v>
      </c>
      <c r="F399" s="66">
        <f t="shared" si="302"/>
        <v>2.7870350404181278E-3</v>
      </c>
      <c r="G399" s="66">
        <f t="shared" si="302"/>
        <v>2.7870350404181278E-3</v>
      </c>
      <c r="H399" s="66">
        <f t="shared" si="302"/>
        <v>2.7870350404181278E-3</v>
      </c>
      <c r="I399" s="66">
        <f t="shared" si="302"/>
        <v>2.7870350404181278E-3</v>
      </c>
      <c r="J399" s="66">
        <f t="shared" si="302"/>
        <v>2.7870350404181278E-3</v>
      </c>
      <c r="K399" s="66">
        <f t="shared" si="302"/>
        <v>2.7870350404181278E-3</v>
      </c>
      <c r="L399" s="66">
        <f t="shared" si="302"/>
        <v>2.7870350404181278E-3</v>
      </c>
      <c r="M399" s="66">
        <f t="shared" si="302"/>
        <v>2.7870350404181278E-3</v>
      </c>
      <c r="N399" s="66">
        <f t="shared" si="302"/>
        <v>2.7870350404181278E-3</v>
      </c>
      <c r="O399" s="66">
        <f t="shared" si="302"/>
        <v>2.7870350404181278E-3</v>
      </c>
      <c r="P399" s="66">
        <f t="shared" si="302"/>
        <v>2.7870350404181278E-3</v>
      </c>
      <c r="Q399" s="66">
        <f t="shared" si="302"/>
        <v>2.7870350404181278E-3</v>
      </c>
      <c r="R399" s="66">
        <f t="shared" si="302"/>
        <v>2.7870350404181278E-3</v>
      </c>
      <c r="S399" s="66">
        <f t="shared" si="302"/>
        <v>2.7870350404181278E-3</v>
      </c>
      <c r="T399" s="66">
        <f t="shared" si="302"/>
        <v>2.7870350404181278E-3</v>
      </c>
      <c r="U399" s="66">
        <f t="shared" si="302"/>
        <v>2.7870350404181278E-3</v>
      </c>
      <c r="V399" s="66">
        <f t="shared" si="302"/>
        <v>2.7870350404181278E-3</v>
      </c>
      <c r="W399" s="66">
        <f t="shared" si="302"/>
        <v>2.7870350404181278E-3</v>
      </c>
      <c r="X399" s="66">
        <f t="shared" si="302"/>
        <v>2.7870350404181278E-3</v>
      </c>
      <c r="Y399" s="66">
        <f t="shared" si="302"/>
        <v>2.7870350404181278E-3</v>
      </c>
      <c r="Z399" s="66">
        <f t="shared" si="302"/>
        <v>2.7870350404181278E-3</v>
      </c>
      <c r="AA399" s="66">
        <f t="shared" si="302"/>
        <v>2.7870350404181278E-3</v>
      </c>
      <c r="AB399" s="66">
        <f t="shared" si="302"/>
        <v>2.7870350404181278E-3</v>
      </c>
      <c r="AC399" s="66">
        <f t="shared" si="302"/>
        <v>2.7870350404181278E-3</v>
      </c>
    </row>
    <row r="400" spans="1:29" x14ac:dyDescent="0.3">
      <c r="A400" s="30" t="str">
        <f t="shared" si="299"/>
        <v>Residual value (costumization)</v>
      </c>
      <c r="B400" s="69">
        <f>((1+B358)^B366)*B358/(((1+B358)^B366)-1)*(B357)/B370/(B367)</f>
        <v>-6.9675876010453195E-4</v>
      </c>
      <c r="C400" s="69">
        <f t="shared" ref="C400:AC400" si="303">((1+C358)^C366)*C358/(((1+C358)^C366)-1)*(C357)/C370/(C367)</f>
        <v>-6.9675876010453195E-4</v>
      </c>
      <c r="D400" s="69">
        <f t="shared" si="303"/>
        <v>-6.9675876010453195E-4</v>
      </c>
      <c r="E400" s="69">
        <f t="shared" si="303"/>
        <v>-6.9675876010453195E-4</v>
      </c>
      <c r="F400" s="69">
        <f t="shared" si="303"/>
        <v>-6.9675876010453195E-4</v>
      </c>
      <c r="G400" s="69">
        <f t="shared" si="303"/>
        <v>-6.9675876010453195E-4</v>
      </c>
      <c r="H400" s="69">
        <f t="shared" si="303"/>
        <v>-6.9675876010453195E-4</v>
      </c>
      <c r="I400" s="69">
        <f t="shared" si="303"/>
        <v>-6.9675876010453195E-4</v>
      </c>
      <c r="J400" s="69">
        <f t="shared" si="303"/>
        <v>-6.9675876010453195E-4</v>
      </c>
      <c r="K400" s="69">
        <f t="shared" si="303"/>
        <v>-6.9675876010453195E-4</v>
      </c>
      <c r="L400" s="69">
        <f t="shared" si="303"/>
        <v>-6.9675876010453195E-4</v>
      </c>
      <c r="M400" s="69">
        <f t="shared" si="303"/>
        <v>-6.9675876010453195E-4</v>
      </c>
      <c r="N400" s="69">
        <f t="shared" si="303"/>
        <v>-6.9675876010453195E-4</v>
      </c>
      <c r="O400" s="69">
        <f t="shared" si="303"/>
        <v>-6.9675876010453195E-4</v>
      </c>
      <c r="P400" s="69">
        <f t="shared" si="303"/>
        <v>-6.9675876010453195E-4</v>
      </c>
      <c r="Q400" s="69">
        <f t="shared" si="303"/>
        <v>-6.9675876010453195E-4</v>
      </c>
      <c r="R400" s="69">
        <f t="shared" si="303"/>
        <v>-6.9675876010453195E-4</v>
      </c>
      <c r="S400" s="69">
        <f t="shared" si="303"/>
        <v>-6.9675876010453195E-4</v>
      </c>
      <c r="T400" s="69">
        <f t="shared" si="303"/>
        <v>-6.9675876010453195E-4</v>
      </c>
      <c r="U400" s="69">
        <f t="shared" si="303"/>
        <v>-6.9675876010453195E-4</v>
      </c>
      <c r="V400" s="69">
        <f t="shared" si="303"/>
        <v>-6.9675876010453195E-4</v>
      </c>
      <c r="W400" s="69">
        <f t="shared" si="303"/>
        <v>-6.9675876010453195E-4</v>
      </c>
      <c r="X400" s="69">
        <f t="shared" si="303"/>
        <v>-6.9675876010453195E-4</v>
      </c>
      <c r="Y400" s="69">
        <f t="shared" si="303"/>
        <v>-6.9675876010453195E-4</v>
      </c>
      <c r="Z400" s="69">
        <f t="shared" si="303"/>
        <v>-6.9675876010453195E-4</v>
      </c>
      <c r="AA400" s="69">
        <f t="shared" si="303"/>
        <v>-6.9675876010453195E-4</v>
      </c>
      <c r="AB400" s="69">
        <f t="shared" si="303"/>
        <v>-6.9675876010453195E-4</v>
      </c>
      <c r="AC400" s="69">
        <f t="shared" si="303"/>
        <v>-6.9675876010453195E-4</v>
      </c>
    </row>
    <row r="401" spans="1:29" x14ac:dyDescent="0.3">
      <c r="A401" s="30" t="str">
        <f t="shared" si="299"/>
        <v>Opex fix (admin, crew, insurance)</v>
      </c>
      <c r="B401" s="66">
        <f>B359/B370/(B367)</f>
        <v>3.5897435897435902E-2</v>
      </c>
      <c r="C401" s="66">
        <f t="shared" ref="C401:AC401" si="304">C359/C370/(C367)</f>
        <v>3.5897435897435902E-2</v>
      </c>
      <c r="D401" s="66">
        <f t="shared" si="304"/>
        <v>3.5897435897435902E-2</v>
      </c>
      <c r="E401" s="66">
        <f t="shared" si="304"/>
        <v>3.5897435897435902E-2</v>
      </c>
      <c r="F401" s="66">
        <f t="shared" si="304"/>
        <v>3.5897435897435902E-2</v>
      </c>
      <c r="G401" s="66">
        <f t="shared" si="304"/>
        <v>3.5897435897435902E-2</v>
      </c>
      <c r="H401" s="66">
        <f t="shared" si="304"/>
        <v>3.5897435897435902E-2</v>
      </c>
      <c r="I401" s="66">
        <f t="shared" si="304"/>
        <v>3.5897435897435902E-2</v>
      </c>
      <c r="J401" s="66">
        <f t="shared" si="304"/>
        <v>3.5897435897435902E-2</v>
      </c>
      <c r="K401" s="66">
        <f t="shared" si="304"/>
        <v>3.5897435897435902E-2</v>
      </c>
      <c r="L401" s="66">
        <f t="shared" si="304"/>
        <v>3.5897435897435902E-2</v>
      </c>
      <c r="M401" s="66">
        <f t="shared" si="304"/>
        <v>3.5897435897435902E-2</v>
      </c>
      <c r="N401" s="66">
        <f t="shared" si="304"/>
        <v>3.5897435897435902E-2</v>
      </c>
      <c r="O401" s="66">
        <f t="shared" si="304"/>
        <v>3.5897435897435902E-2</v>
      </c>
      <c r="P401" s="66">
        <f t="shared" si="304"/>
        <v>3.5897435897435902E-2</v>
      </c>
      <c r="Q401" s="66">
        <f t="shared" si="304"/>
        <v>3.5897435897435902E-2</v>
      </c>
      <c r="R401" s="66">
        <f t="shared" si="304"/>
        <v>3.5897435897435902E-2</v>
      </c>
      <c r="S401" s="66">
        <f t="shared" si="304"/>
        <v>3.5897435897435902E-2</v>
      </c>
      <c r="T401" s="66">
        <f t="shared" si="304"/>
        <v>3.5897435897435902E-2</v>
      </c>
      <c r="U401" s="66">
        <f t="shared" si="304"/>
        <v>3.5897435897435902E-2</v>
      </c>
      <c r="V401" s="66">
        <f t="shared" si="304"/>
        <v>3.5897435897435902E-2</v>
      </c>
      <c r="W401" s="66">
        <f t="shared" si="304"/>
        <v>3.5897435897435902E-2</v>
      </c>
      <c r="X401" s="66">
        <f t="shared" si="304"/>
        <v>3.5897435897435902E-2</v>
      </c>
      <c r="Y401" s="66">
        <f t="shared" si="304"/>
        <v>3.5897435897435902E-2</v>
      </c>
      <c r="Z401" s="66">
        <f t="shared" si="304"/>
        <v>3.5897435897435902E-2</v>
      </c>
      <c r="AA401" s="66">
        <f t="shared" si="304"/>
        <v>3.5897435897435902E-2</v>
      </c>
      <c r="AB401" s="66">
        <f t="shared" si="304"/>
        <v>3.5897435897435902E-2</v>
      </c>
      <c r="AC401" s="66">
        <f t="shared" si="304"/>
        <v>3.5897435897435902E-2</v>
      </c>
    </row>
    <row r="402" spans="1:29" x14ac:dyDescent="0.3">
      <c r="A402" s="30" t="str">
        <f t="shared" si="299"/>
        <v>Opex maintenance &amp; repair</v>
      </c>
      <c r="B402" s="66">
        <f>B360/B370/(B367)</f>
        <v>1.3176512170732011E-2</v>
      </c>
      <c r="C402" s="66">
        <f t="shared" ref="C402:AC402" si="305">C360/C370/(C367)</f>
        <v>1.3111170755097903E-2</v>
      </c>
      <c r="D402" s="66">
        <f t="shared" si="305"/>
        <v>1.3020322467698114E-2</v>
      </c>
      <c r="E402" s="66">
        <f t="shared" si="305"/>
        <v>1.2895772864314193E-2</v>
      </c>
      <c r="F402" s="66">
        <f t="shared" si="305"/>
        <v>1.2728391543562135E-2</v>
      </c>
      <c r="G402" s="66">
        <f t="shared" si="305"/>
        <v>1.2509591821646109E-2</v>
      </c>
      <c r="H402" s="66">
        <f t="shared" si="305"/>
        <v>1.223405055384588E-2</v>
      </c>
      <c r="I402" s="66">
        <f t="shared" si="305"/>
        <v>1.1903408941898943E-2</v>
      </c>
      <c r="J402" s="66">
        <f t="shared" si="305"/>
        <v>1.1529528118188701E-2</v>
      </c>
      <c r="K402" s="66">
        <f t="shared" si="305"/>
        <v>1.1134823666592217E-2</v>
      </c>
      <c r="L402" s="66">
        <f t="shared" si="305"/>
        <v>1.0747886260329187E-2</v>
      </c>
      <c r="M402" s="66">
        <f t="shared" si="305"/>
        <v>1.0395649174860766E-2</v>
      </c>
      <c r="N402" s="66">
        <f t="shared" si="305"/>
        <v>1.0096297811738163E-2</v>
      </c>
      <c r="O402" s="66">
        <f t="shared" si="305"/>
        <v>9.8565709806686438E-3</v>
      </c>
      <c r="P402" s="66">
        <f t="shared" si="305"/>
        <v>9.6736487687265633E-3</v>
      </c>
      <c r="Q402" s="66">
        <f t="shared" si="305"/>
        <v>9.5391862725665317E-3</v>
      </c>
      <c r="R402" s="66">
        <f t="shared" si="305"/>
        <v>9.4430475330359066E-3</v>
      </c>
      <c r="S402" s="66">
        <f t="shared" si="305"/>
        <v>9.3756684743603932E-3</v>
      </c>
      <c r="T402" s="66">
        <f t="shared" si="305"/>
        <v>9.3291054033750095E-3</v>
      </c>
      <c r="U402" s="66">
        <f t="shared" si="305"/>
        <v>9.2972399735728791E-3</v>
      </c>
      <c r="V402" s="66">
        <f t="shared" si="305"/>
        <v>9.2755784228271115E-3</v>
      </c>
      <c r="W402" s="66">
        <f t="shared" si="305"/>
        <v>9.2609202924742937E-3</v>
      </c>
      <c r="X402" s="66">
        <f t="shared" si="305"/>
        <v>9.2510319024348957E-3</v>
      </c>
      <c r="Y402" s="66">
        <f t="shared" si="305"/>
        <v>9.244375087381726E-3</v>
      </c>
      <c r="Z402" s="66">
        <f t="shared" si="305"/>
        <v>9.2399000460088952E-3</v>
      </c>
      <c r="AA402" s="66">
        <f t="shared" si="305"/>
        <v>9.2368945430583854E-3</v>
      </c>
      <c r="AB402" s="66">
        <f t="shared" si="305"/>
        <v>9.2348772847197832E-3</v>
      </c>
      <c r="AC402" s="66">
        <f t="shared" si="305"/>
        <v>9.2335239015485654E-3</v>
      </c>
    </row>
    <row r="403" spans="1:29" x14ac:dyDescent="0.3">
      <c r="A403" s="30" t="str">
        <f t="shared" si="299"/>
        <v>Opex var (mode-fees)</v>
      </c>
      <c r="B403" s="66">
        <f>B361*B370/B370/(B367)</f>
        <v>4.4000000000000003E-3</v>
      </c>
      <c r="C403" s="66">
        <f t="shared" ref="C403:AC403" si="306">C361*C370/C370/(C367)</f>
        <v>4.4000000000000003E-3</v>
      </c>
      <c r="D403" s="66">
        <f t="shared" si="306"/>
        <v>4.4000000000000003E-3</v>
      </c>
      <c r="E403" s="66">
        <f t="shared" si="306"/>
        <v>4.4000000000000003E-3</v>
      </c>
      <c r="F403" s="66">
        <f t="shared" si="306"/>
        <v>4.4000000000000003E-3</v>
      </c>
      <c r="G403" s="66">
        <f t="shared" si="306"/>
        <v>4.4000000000000003E-3</v>
      </c>
      <c r="H403" s="66">
        <f t="shared" si="306"/>
        <v>4.4000000000000003E-3</v>
      </c>
      <c r="I403" s="66">
        <f t="shared" si="306"/>
        <v>4.4000000000000003E-3</v>
      </c>
      <c r="J403" s="66">
        <f t="shared" si="306"/>
        <v>4.4000000000000003E-3</v>
      </c>
      <c r="K403" s="66">
        <f t="shared" si="306"/>
        <v>4.4000000000000003E-3</v>
      </c>
      <c r="L403" s="66">
        <f t="shared" si="306"/>
        <v>4.4000000000000003E-3</v>
      </c>
      <c r="M403" s="66">
        <f t="shared" si="306"/>
        <v>4.4000000000000003E-3</v>
      </c>
      <c r="N403" s="66">
        <f t="shared" si="306"/>
        <v>4.4000000000000003E-3</v>
      </c>
      <c r="O403" s="66">
        <f t="shared" si="306"/>
        <v>4.4000000000000003E-3</v>
      </c>
      <c r="P403" s="66">
        <f t="shared" si="306"/>
        <v>4.4000000000000003E-3</v>
      </c>
      <c r="Q403" s="66">
        <f t="shared" si="306"/>
        <v>4.4000000000000003E-3</v>
      </c>
      <c r="R403" s="66">
        <f t="shared" si="306"/>
        <v>4.4000000000000003E-3</v>
      </c>
      <c r="S403" s="66">
        <f t="shared" si="306"/>
        <v>4.4000000000000003E-3</v>
      </c>
      <c r="T403" s="66">
        <f t="shared" si="306"/>
        <v>4.4000000000000003E-3</v>
      </c>
      <c r="U403" s="66">
        <f t="shared" si="306"/>
        <v>4.4000000000000003E-3</v>
      </c>
      <c r="V403" s="66">
        <f t="shared" si="306"/>
        <v>4.4000000000000003E-3</v>
      </c>
      <c r="W403" s="66">
        <f t="shared" si="306"/>
        <v>4.4000000000000003E-3</v>
      </c>
      <c r="X403" s="66">
        <f t="shared" si="306"/>
        <v>4.4000000000000003E-3</v>
      </c>
      <c r="Y403" s="66">
        <f t="shared" si="306"/>
        <v>4.4000000000000003E-3</v>
      </c>
      <c r="Z403" s="66">
        <f t="shared" si="306"/>
        <v>4.4000000000000003E-3</v>
      </c>
      <c r="AA403" s="66">
        <f t="shared" si="306"/>
        <v>4.4000000000000003E-3</v>
      </c>
      <c r="AB403" s="66">
        <f t="shared" si="306"/>
        <v>4.4000000000000003E-3</v>
      </c>
      <c r="AC403" s="66">
        <f t="shared" si="306"/>
        <v>4.4000000000000003E-3</v>
      </c>
    </row>
    <row r="404" spans="1:29" x14ac:dyDescent="0.3">
      <c r="A404" s="30" t="str">
        <f t="shared" si="299"/>
        <v>Fuel Cost</v>
      </c>
      <c r="B404" s="66">
        <f>B362*B363*B370/B370/(B367)</f>
        <v>2.149698076693125E-2</v>
      </c>
      <c r="C404" s="66">
        <f t="shared" ref="C404:AC404" si="307">C362*C363*C370/C370/(C367)</f>
        <v>2.1331230658756428E-2</v>
      </c>
      <c r="D404" s="66">
        <f t="shared" si="307"/>
        <v>2.1099903047208143E-2</v>
      </c>
      <c r="E404" s="66">
        <f t="shared" si="307"/>
        <v>2.0780895244289513E-2</v>
      </c>
      <c r="F404" s="66">
        <f t="shared" si="307"/>
        <v>2.0348300970860631E-2</v>
      </c>
      <c r="G404" s="66">
        <f t="shared" si="307"/>
        <v>1.977500969726062E-2</v>
      </c>
      <c r="H404" s="66">
        <f t="shared" si="307"/>
        <v>1.9038033080897548E-2</v>
      </c>
      <c r="I404" s="66">
        <f t="shared" si="307"/>
        <v>1.8126453353507068E-2</v>
      </c>
      <c r="J404" s="66">
        <f t="shared" si="307"/>
        <v>1.7049828608976351E-2</v>
      </c>
      <c r="K404" s="66">
        <f t="shared" si="307"/>
        <v>1.5842858741402264E-2</v>
      </c>
      <c r="L404" s="66">
        <f t="shared" si="307"/>
        <v>1.456270662690278E-2</v>
      </c>
      <c r="M404" s="66">
        <f t="shared" si="307"/>
        <v>1.3279381505411613E-2</v>
      </c>
      <c r="N404" s="66">
        <f t="shared" si="307"/>
        <v>1.2063205843438823E-2</v>
      </c>
      <c r="O404" s="66">
        <f t="shared" si="307"/>
        <v>1.0973050657799936E-2</v>
      </c>
      <c r="P404" s="66">
        <f t="shared" si="307"/>
        <v>1.004736635521954E-2</v>
      </c>
      <c r="Q404" s="66">
        <f t="shared" si="307"/>
        <v>9.3001502289760604E-3</v>
      </c>
      <c r="R404" s="66">
        <f t="shared" si="307"/>
        <v>8.7233879635126386E-3</v>
      </c>
      <c r="S404" s="66">
        <f t="shared" si="307"/>
        <v>8.2944626321454721E-3</v>
      </c>
      <c r="T404" s="66">
        <f t="shared" si="307"/>
        <v>7.9846970768127374E-3</v>
      </c>
      <c r="U404" s="66">
        <f t="shared" si="307"/>
        <v>7.7658742511940507E-3</v>
      </c>
      <c r="V404" s="66">
        <f t="shared" si="307"/>
        <v>7.6137600559403988E-3</v>
      </c>
      <c r="W404" s="66">
        <f t="shared" si="307"/>
        <v>7.509218186098233E-3</v>
      </c>
      <c r="X404" s="66">
        <f t="shared" si="307"/>
        <v>7.4379403106525476E-3</v>
      </c>
      <c r="Y404" s="66">
        <f t="shared" si="307"/>
        <v>7.389607783991007E-3</v>
      </c>
      <c r="Z404" s="66">
        <f t="shared" si="307"/>
        <v>7.356956538918746E-3</v>
      </c>
      <c r="AA404" s="66">
        <f t="shared" si="307"/>
        <v>7.3349547713622973E-3</v>
      </c>
      <c r="AB404" s="66">
        <f t="shared" si="307"/>
        <v>7.3201544798759764E-3</v>
      </c>
      <c r="AC404" s="66">
        <f t="shared" si="307"/>
        <v>7.3102100315233995E-3</v>
      </c>
    </row>
    <row r="405" spans="1:29" x14ac:dyDescent="0.3">
      <c r="A405" s="59" t="str">
        <f>A368</f>
        <v>Market failure (av. utilization)</v>
      </c>
      <c r="B405" s="66">
        <f t="shared" ref="B405:AC405" si="308">B394/B368-B394/B367</f>
        <v>0.12386605538599031</v>
      </c>
      <c r="C405" s="66">
        <f t="shared" si="308"/>
        <v>0.12326201327471807</v>
      </c>
      <c r="D405" s="66">
        <f t="shared" si="308"/>
        <v>0.12242113179834095</v>
      </c>
      <c r="E405" s="66">
        <f t="shared" si="308"/>
        <v>0.12126608913923721</v>
      </c>
      <c r="F405" s="66">
        <f t="shared" si="308"/>
        <v>0.11970920734419561</v>
      </c>
      <c r="G405" s="66">
        <f t="shared" si="308"/>
        <v>0.11766475433875177</v>
      </c>
      <c r="H405" s="66">
        <f t="shared" si="308"/>
        <v>0.11507220675360848</v>
      </c>
      <c r="I405" s="66">
        <f t="shared" si="308"/>
        <v>0.11192872710214621</v>
      </c>
      <c r="J405" s="66">
        <f t="shared" si="308"/>
        <v>0.10831938559798138</v>
      </c>
      <c r="K405" s="66">
        <f t="shared" si="308"/>
        <v>0.10442470392624732</v>
      </c>
      <c r="L405" s="66">
        <f t="shared" si="308"/>
        <v>0.100490073065579</v>
      </c>
      <c r="M405" s="66">
        <f t="shared" si="308"/>
        <v>9.6765433154279712E-2</v>
      </c>
      <c r="N405" s="66">
        <f t="shared" si="308"/>
        <v>9.3446229709308881E-2</v>
      </c>
      <c r="O405" s="66">
        <f t="shared" si="308"/>
        <v>9.0642862588312001E-2</v>
      </c>
      <c r="P405" s="66">
        <f t="shared" si="308"/>
        <v>8.8382259708360944E-2</v>
      </c>
      <c r="Q405" s="66">
        <f t="shared" si="308"/>
        <v>8.6628782231488427E-2</v>
      </c>
      <c r="R405" s="66">
        <f t="shared" si="308"/>
        <v>8.5310806343111542E-2</v>
      </c>
      <c r="S405" s="66">
        <f t="shared" si="308"/>
        <v>8.4344248485436382E-2</v>
      </c>
      <c r="T405" s="66">
        <f t="shared" si="308"/>
        <v>8.3648699952258265E-2</v>
      </c>
      <c r="U405" s="66">
        <f t="shared" si="308"/>
        <v>8.3155546346735207E-2</v>
      </c>
      <c r="V405" s="66">
        <f t="shared" si="308"/>
        <v>8.2810105738344963E-2</v>
      </c>
      <c r="W405" s="66">
        <f t="shared" si="308"/>
        <v>8.2570581623407371E-2</v>
      </c>
      <c r="X405" s="66">
        <f t="shared" si="308"/>
        <v>8.2405899189153614E-2</v>
      </c>
      <c r="Y405" s="66">
        <f t="shared" si="308"/>
        <v>8.2293444305323871E-2</v>
      </c>
      <c r="Z405" s="66">
        <f t="shared" si="308"/>
        <v>8.2217058918535424E-2</v>
      </c>
      <c r="AA405" s="66">
        <f t="shared" si="308"/>
        <v>8.2165378458628202E-2</v>
      </c>
      <c r="AB405" s="66">
        <f t="shared" si="308"/>
        <v>8.2130512599289565E-2</v>
      </c>
      <c r="AC405" s="66">
        <f t="shared" si="308"/>
        <v>8.2107038130745158E-2</v>
      </c>
    </row>
    <row r="406" spans="1:29" x14ac:dyDescent="0.3">
      <c r="A406" s="59" t="str">
        <f>A369</f>
        <v>Payload loss (fuel)</v>
      </c>
      <c r="B406" s="66">
        <f>B394/(B367-B369)-B394/B367</f>
        <v>5.5071624473854025E-3</v>
      </c>
      <c r="C406" s="66">
        <f t="shared" ref="C406:AC406" si="309">C394/(C367-C369)-C394/C367</f>
        <v>5.4605962628489491E-3</v>
      </c>
      <c r="D406" s="66">
        <f t="shared" si="309"/>
        <v>5.3955620086829359E-3</v>
      </c>
      <c r="E406" s="66">
        <f t="shared" si="309"/>
        <v>5.3057811398520699E-3</v>
      </c>
      <c r="F406" s="66">
        <f t="shared" si="309"/>
        <v>5.1838315051209727E-3</v>
      </c>
      <c r="G406" s="66">
        <f t="shared" si="309"/>
        <v>5.0218212320146532E-3</v>
      </c>
      <c r="H406" s="66">
        <f t="shared" si="309"/>
        <v>4.8128201618917871E-3</v>
      </c>
      <c r="I406" s="66">
        <f t="shared" si="309"/>
        <v>4.5530677988405571E-3</v>
      </c>
      <c r="J406" s="66">
        <f t="shared" si="309"/>
        <v>4.2444480222813413E-3</v>
      </c>
      <c r="K406" s="66">
        <f t="shared" si="309"/>
        <v>3.8961467765895319E-3</v>
      </c>
      <c r="L406" s="66">
        <f t="shared" si="309"/>
        <v>3.5244120228426074E-3</v>
      </c>
      <c r="M406" s="66">
        <f t="shared" si="309"/>
        <v>3.1501713725975572E-3</v>
      </c>
      <c r="N406" s="66">
        <f t="shared" si="309"/>
        <v>2.7952048428375453E-3</v>
      </c>
      <c r="O406" s="66">
        <f t="shared" si="309"/>
        <v>2.4779438167169959E-3</v>
      </c>
      <c r="P406" s="66">
        <f t="shared" si="309"/>
        <v>2.2101226383243189E-3</v>
      </c>
      <c r="Q406" s="66">
        <f t="shared" si="309"/>
        <v>1.9954985746833825E-3</v>
      </c>
      <c r="R406" s="66">
        <f t="shared" si="309"/>
        <v>1.8310029996082E-3</v>
      </c>
      <c r="S406" s="66">
        <f t="shared" si="309"/>
        <v>1.7093861734744503E-3</v>
      </c>
      <c r="T406" s="66">
        <f t="shared" si="309"/>
        <v>1.6219267715343461E-3</v>
      </c>
      <c r="U406" s="66">
        <f t="shared" si="309"/>
        <v>1.5603103630129622E-3</v>
      </c>
      <c r="V406" s="66">
        <f t="shared" si="309"/>
        <v>1.5175421613772833E-3</v>
      </c>
      <c r="W406" s="66">
        <f t="shared" si="309"/>
        <v>1.4881703921985484E-3</v>
      </c>
      <c r="X406" s="66">
        <f t="shared" si="309"/>
        <v>1.4681497379417652E-3</v>
      </c>
      <c r="Y406" s="66">
        <f t="shared" si="309"/>
        <v>1.4545746369162144E-3</v>
      </c>
      <c r="Z406" s="66">
        <f t="shared" si="309"/>
        <v>1.4454035082756139E-3</v>
      </c>
      <c r="AA406" s="66">
        <f t="shared" si="309"/>
        <v>1.4392231883887663E-3</v>
      </c>
      <c r="AB406" s="66">
        <f t="shared" si="309"/>
        <v>1.4350654931390289E-3</v>
      </c>
      <c r="AC406" s="66">
        <f t="shared" si="309"/>
        <v>1.4322717484619857E-3</v>
      </c>
    </row>
    <row r="407" spans="1:29" ht="15" thickBot="1" x14ac:dyDescent="0.35">
      <c r="A407" s="59" t="str">
        <f>A344</f>
        <v>Emission Cost</v>
      </c>
      <c r="B407" s="68">
        <f>B364*B370/B370/(B367)</f>
        <v>3.6418200964524684E-4</v>
      </c>
      <c r="C407" s="68">
        <f t="shared" ref="C407:AC407" si="310">C364*C370/C370/(C367)</f>
        <v>3.6383521963850298E-4</v>
      </c>
      <c r="D407" s="68">
        <f t="shared" si="310"/>
        <v>3.6333879746797376E-4</v>
      </c>
      <c r="E407" s="68">
        <f t="shared" si="310"/>
        <v>3.6262863064306401E-4</v>
      </c>
      <c r="F407" s="68">
        <f t="shared" si="310"/>
        <v>3.6161364554417784E-4</v>
      </c>
      <c r="G407" s="68">
        <f t="shared" si="310"/>
        <v>3.6016504246069139E-4</v>
      </c>
      <c r="H407" s="68">
        <f t="shared" si="310"/>
        <v>3.581018762885698E-4</v>
      </c>
      <c r="I407" s="68">
        <f t="shared" si="310"/>
        <v>3.551724760827172E-4</v>
      </c>
      <c r="J407" s="68">
        <f t="shared" si="310"/>
        <v>3.5103205038913133E-4</v>
      </c>
      <c r="K407" s="68">
        <f t="shared" si="310"/>
        <v>3.4521896741480408E-4</v>
      </c>
      <c r="L407" s="68">
        <f t="shared" si="310"/>
        <v>3.371366718660246E-4</v>
      </c>
      <c r="M407" s="68">
        <f t="shared" si="310"/>
        <v>3.2605614702792577E-4</v>
      </c>
      <c r="N407" s="68">
        <f t="shared" si="310"/>
        <v>3.1116510898656009E-4</v>
      </c>
      <c r="O407" s="68">
        <f t="shared" si="310"/>
        <v>2.9169964552951117E-4</v>
      </c>
      <c r="P407" s="68">
        <f t="shared" si="310"/>
        <v>2.6718618439571347E-4</v>
      </c>
      <c r="Q407" s="68">
        <f t="shared" si="310"/>
        <v>2.3777073469416832E-4</v>
      </c>
      <c r="R407" s="68">
        <f t="shared" si="310"/>
        <v>2.0450851915069422E-4</v>
      </c>
      <c r="S407" s="68">
        <f t="shared" si="310"/>
        <v>1.6939373467288497E-4</v>
      </c>
      <c r="T407" s="68">
        <f t="shared" si="310"/>
        <v>1.3496994347323685E-4</v>
      </c>
      <c r="U407" s="68">
        <f t="shared" si="310"/>
        <v>1.0363325778021563E-4</v>
      </c>
      <c r="V407" s="68">
        <f t="shared" si="310"/>
        <v>7.700153737100413E-5</v>
      </c>
      <c r="W407" s="68">
        <f t="shared" si="310"/>
        <v>5.5674298794125105E-5</v>
      </c>
      <c r="X407" s="68">
        <f t="shared" si="310"/>
        <v>3.940066918956972E-5</v>
      </c>
      <c r="Y407" s="68">
        <f t="shared" si="310"/>
        <v>2.7438246283240584E-5</v>
      </c>
      <c r="Z407" s="68">
        <f t="shared" si="310"/>
        <v>1.8885286961572295E-5</v>
      </c>
      <c r="AA407" s="68">
        <f t="shared" si="310"/>
        <v>1.2890925575126249E-5</v>
      </c>
      <c r="AB407" s="68">
        <f t="shared" si="310"/>
        <v>8.7484534148469397E-6</v>
      </c>
      <c r="AC407" s="68">
        <f t="shared" si="310"/>
        <v>5.9135532882621105E-6</v>
      </c>
    </row>
    <row r="408" spans="1:29" ht="15" thickBot="1" x14ac:dyDescent="0.35">
      <c r="A408" s="31" t="s">
        <v>210</v>
      </c>
      <c r="B408" s="67">
        <f>B397+B398+B399+B400+B401+B402+B403+B404+B405+B406+B407</f>
        <v>0.23349522897530658</v>
      </c>
      <c r="C408" s="67">
        <f t="shared" ref="C408:AC408" si="311">C397+C398+C399+C400+C401+C402+C403+C404+C405+C406+C407</f>
        <v>0.23233006628841413</v>
      </c>
      <c r="D408" s="67">
        <f t="shared" si="311"/>
        <v>0.2307078441150312</v>
      </c>
      <c r="E408" s="67">
        <f t="shared" si="311"/>
        <v>0.22847909535897121</v>
      </c>
      <c r="F408" s="67">
        <f t="shared" si="311"/>
        <v>0.22547403128897783</v>
      </c>
      <c r="G408" s="67">
        <f t="shared" si="311"/>
        <v>0.22152599693171629</v>
      </c>
      <c r="H408" s="67">
        <f t="shared" si="311"/>
        <v>0.21651598181503171</v>
      </c>
      <c r="I408" s="67">
        <f t="shared" si="311"/>
        <v>0.21043497083816151</v>
      </c>
      <c r="J408" s="67">
        <f t="shared" si="311"/>
        <v>0.20344238531314893</v>
      </c>
      <c r="K408" s="67">
        <f t="shared" si="311"/>
        <v>0.1958817106012829</v>
      </c>
      <c r="L408" s="67">
        <f t="shared" si="311"/>
        <v>0.18822362240185392</v>
      </c>
      <c r="M408" s="67">
        <f t="shared" si="311"/>
        <v>0.180951900434388</v>
      </c>
      <c r="N408" s="67">
        <f t="shared" si="311"/>
        <v>0.17445026085838566</v>
      </c>
      <c r="O408" s="67">
        <f t="shared" si="311"/>
        <v>0.16894157923782643</v>
      </c>
      <c r="P408" s="67">
        <f t="shared" si="311"/>
        <v>0.16448745642989479</v>
      </c>
      <c r="Q408" s="67">
        <f t="shared" si="311"/>
        <v>0.16102565185352696</v>
      </c>
      <c r="R408" s="67">
        <f t="shared" si="311"/>
        <v>0.15842046018886494</v>
      </c>
      <c r="S408" s="67">
        <f t="shared" si="311"/>
        <v>0.15650892140407352</v>
      </c>
      <c r="T408" s="67">
        <f t="shared" si="311"/>
        <v>0.15513340916291468</v>
      </c>
      <c r="U408" s="67">
        <f t="shared" si="311"/>
        <v>0.15415854533675796</v>
      </c>
      <c r="V408" s="67">
        <f t="shared" si="311"/>
        <v>0.15347607230477001</v>
      </c>
      <c r="W408" s="67">
        <f t="shared" si="311"/>
        <v>0.15300313735978091</v>
      </c>
      <c r="X408" s="67">
        <f t="shared" si="311"/>
        <v>0.15267814923468384</v>
      </c>
      <c r="Y408" s="67">
        <f t="shared" si="311"/>
        <v>0.15245632434878839</v>
      </c>
      <c r="Z408" s="67">
        <f t="shared" si="311"/>
        <v>0.15230569880016917</v>
      </c>
      <c r="AA408" s="67">
        <f t="shared" si="311"/>
        <v>0.1522038139248986</v>
      </c>
      <c r="AB408" s="67">
        <f t="shared" si="311"/>
        <v>0.15213508982346621</v>
      </c>
      <c r="AC408" s="67">
        <f t="shared" si="311"/>
        <v>0.15208882484074399</v>
      </c>
    </row>
    <row r="410" spans="1:29" x14ac:dyDescent="0.3">
      <c r="B410" s="40"/>
    </row>
    <row r="429" spans="1:1" s="3" customFormat="1" ht="21" x14ac:dyDescent="0.4">
      <c r="A429" s="2" t="str">
        <f>'Parameter Input'!A59</f>
        <v>Road long-haul:  Neo bulk</v>
      </c>
    </row>
    <row r="430" spans="1:1" s="3" customFormat="1" ht="21" x14ac:dyDescent="0.4">
      <c r="A430" s="2" t="s">
        <v>103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Input'!$L$32</f>
        <v>390000</v>
      </c>
      <c r="C439" s="42">
        <f>'Parameter Input'!$M$32</f>
        <v>155000</v>
      </c>
      <c r="D439" s="1" t="s">
        <v>15</v>
      </c>
      <c r="L439" s="51">
        <f>'Parameter Input'!$O$32</f>
        <v>9</v>
      </c>
      <c r="M439" s="52">
        <v>0</v>
      </c>
      <c r="N439" s="52">
        <v>1</v>
      </c>
      <c r="O439" s="52">
        <f>'Parameter Input'!$P$32</f>
        <v>0.9</v>
      </c>
      <c r="P439" s="53">
        <f>'Parameter Input'!$Q$32</f>
        <v>0.4</v>
      </c>
      <c r="Q439" s="4">
        <f t="shared" ref="Q439:AR448" si="312">$N439+($M439-$N439)*((1/(1+EXP(-$P439*(Q$9-$L439)))^$O439))</f>
        <v>0.96177484161592774</v>
      </c>
      <c r="R439" s="4">
        <f t="shared" si="312"/>
        <v>0.94584787155511363</v>
      </c>
      <c r="S439" s="4">
        <f t="shared" si="312"/>
        <v>0.92370360150141495</v>
      </c>
      <c r="T439" s="4">
        <f t="shared" si="312"/>
        <v>0.89334463567658451</v>
      </c>
      <c r="U439" s="4">
        <f t="shared" si="312"/>
        <v>0.85254543874327005</v>
      </c>
      <c r="V439" s="4">
        <f t="shared" si="312"/>
        <v>0.79921300652623883</v>
      </c>
      <c r="W439" s="4">
        <f t="shared" si="312"/>
        <v>0.73204982249993378</v>
      </c>
      <c r="X439" s="4">
        <f t="shared" si="312"/>
        <v>0.65145592958786691</v>
      </c>
      <c r="Y439" s="4">
        <f t="shared" si="312"/>
        <v>0.56032247880849573</v>
      </c>
      <c r="Z439" s="4">
        <f t="shared" si="312"/>
        <v>0.46411326873185343</v>
      </c>
      <c r="AA439" s="4">
        <f t="shared" si="312"/>
        <v>0.36979727595523937</v>
      </c>
      <c r="AB439" s="4">
        <f t="shared" si="312"/>
        <v>0.28393948637231203</v>
      </c>
      <c r="AC439" s="4">
        <f t="shared" si="312"/>
        <v>0.21097259161117732</v>
      </c>
      <c r="AD439" s="4">
        <f t="shared" si="312"/>
        <v>0.15253917653798199</v>
      </c>
      <c r="AE439" s="4">
        <f t="shared" si="312"/>
        <v>0.10795188737709993</v>
      </c>
      <c r="AF439" s="4">
        <f t="shared" si="312"/>
        <v>7.5176653938091809E-2</v>
      </c>
      <c r="AG439" s="4">
        <f t="shared" si="312"/>
        <v>5.1742836177502194E-2</v>
      </c>
      <c r="AH439" s="4">
        <f t="shared" si="312"/>
        <v>3.5319190625345942E-2</v>
      </c>
      <c r="AI439" s="4">
        <f t="shared" si="312"/>
        <v>2.3969442072658165E-2</v>
      </c>
      <c r="AJ439" s="4">
        <f t="shared" si="312"/>
        <v>1.6202243558389728E-2</v>
      </c>
      <c r="AK439" s="4">
        <f t="shared" si="312"/>
        <v>1.0922240564108399E-2</v>
      </c>
      <c r="AL439" s="4">
        <f t="shared" si="312"/>
        <v>7.3493212906090566E-3</v>
      </c>
      <c r="AM439" s="4">
        <f t="shared" si="312"/>
        <v>4.9390262185057265E-3</v>
      </c>
      <c r="AN439" s="4">
        <f t="shared" si="312"/>
        <v>3.3164275492956197E-3</v>
      </c>
      <c r="AO439" s="4">
        <f t="shared" si="312"/>
        <v>2.2256362146679809E-3</v>
      </c>
      <c r="AP439" s="4">
        <f t="shared" si="312"/>
        <v>1.4930448704811861E-3</v>
      </c>
      <c r="AQ439" s="4">
        <f t="shared" si="312"/>
        <v>1.0013381504474506E-3</v>
      </c>
      <c r="AR439" s="4">
        <f t="shared" si="312"/>
        <v>6.7145100246257527E-4</v>
      </c>
    </row>
    <row r="440" spans="1:44" x14ac:dyDescent="0.3">
      <c r="A440" s="24" t="s">
        <v>28</v>
      </c>
      <c r="B440" s="60">
        <f>'Parameter Input'!$L$33</f>
        <v>-58500</v>
      </c>
      <c r="C440" s="61">
        <f>'Parameter Input'!$M$33</f>
        <v>-38750</v>
      </c>
      <c r="D440" s="1" t="s">
        <v>15</v>
      </c>
      <c r="L440" s="54">
        <f>'Parameter Input'!$O$33</f>
        <v>9</v>
      </c>
      <c r="M440" s="37">
        <v>0</v>
      </c>
      <c r="N440" s="37">
        <v>1</v>
      </c>
      <c r="O440" s="37">
        <f>'Parameter Input'!$P$33</f>
        <v>0.9</v>
      </c>
      <c r="P440" s="55">
        <f>'Parameter Input'!$Q$33</f>
        <v>0.4</v>
      </c>
      <c r="Q440" s="4">
        <f t="shared" si="312"/>
        <v>0.96177484161592774</v>
      </c>
      <c r="R440" s="4">
        <f t="shared" si="312"/>
        <v>0.94584787155511363</v>
      </c>
      <c r="S440" s="4">
        <f t="shared" si="312"/>
        <v>0.92370360150141495</v>
      </c>
      <c r="T440" s="4">
        <f t="shared" si="312"/>
        <v>0.89334463567658451</v>
      </c>
      <c r="U440" s="4">
        <f t="shared" si="312"/>
        <v>0.85254543874327005</v>
      </c>
      <c r="V440" s="4">
        <f t="shared" si="312"/>
        <v>0.79921300652623883</v>
      </c>
      <c r="W440" s="4">
        <f t="shared" si="312"/>
        <v>0.73204982249993378</v>
      </c>
      <c r="X440" s="4">
        <f t="shared" si="312"/>
        <v>0.65145592958786691</v>
      </c>
      <c r="Y440" s="4">
        <f t="shared" si="312"/>
        <v>0.56032247880849573</v>
      </c>
      <c r="Z440" s="4">
        <f t="shared" si="312"/>
        <v>0.46411326873185343</v>
      </c>
      <c r="AA440" s="4">
        <f t="shared" si="312"/>
        <v>0.36979727595523937</v>
      </c>
      <c r="AB440" s="4">
        <f t="shared" si="312"/>
        <v>0.28393948637231203</v>
      </c>
      <c r="AC440" s="4">
        <f t="shared" si="312"/>
        <v>0.21097259161117732</v>
      </c>
      <c r="AD440" s="4">
        <f t="shared" si="312"/>
        <v>0.15253917653798199</v>
      </c>
      <c r="AE440" s="4">
        <f t="shared" si="312"/>
        <v>0.10795188737709993</v>
      </c>
      <c r="AF440" s="4">
        <f t="shared" si="312"/>
        <v>7.5176653938091809E-2</v>
      </c>
      <c r="AG440" s="4">
        <f t="shared" si="312"/>
        <v>5.1742836177502194E-2</v>
      </c>
      <c r="AH440" s="4">
        <f t="shared" si="312"/>
        <v>3.5319190625345942E-2</v>
      </c>
      <c r="AI440" s="4">
        <f t="shared" si="312"/>
        <v>2.3969442072658165E-2</v>
      </c>
      <c r="AJ440" s="4">
        <f t="shared" si="312"/>
        <v>1.6202243558389728E-2</v>
      </c>
      <c r="AK440" s="4">
        <f t="shared" si="312"/>
        <v>1.0922240564108399E-2</v>
      </c>
      <c r="AL440" s="4">
        <f t="shared" si="312"/>
        <v>7.3493212906090566E-3</v>
      </c>
      <c r="AM440" s="4">
        <f t="shared" si="312"/>
        <v>4.9390262185057265E-3</v>
      </c>
      <c r="AN440" s="4">
        <f t="shared" si="312"/>
        <v>3.3164275492956197E-3</v>
      </c>
      <c r="AO440" s="4">
        <f t="shared" si="312"/>
        <v>2.2256362146679809E-3</v>
      </c>
      <c r="AP440" s="4">
        <f t="shared" si="312"/>
        <v>1.4930448704811861E-3</v>
      </c>
      <c r="AQ440" s="4">
        <f t="shared" si="312"/>
        <v>1.0013381504474506E-3</v>
      </c>
      <c r="AR440" s="4">
        <f t="shared" si="312"/>
        <v>6.7145100246257527E-4</v>
      </c>
    </row>
    <row r="441" spans="1:44" x14ac:dyDescent="0.3">
      <c r="A441" s="24" t="s">
        <v>14</v>
      </c>
      <c r="B441" s="60">
        <f>'Parameter Input'!B60</f>
        <v>35000</v>
      </c>
      <c r="C441" s="61">
        <f>'Parameter Input'!C60</f>
        <v>35000</v>
      </c>
      <c r="D441" s="1" t="s">
        <v>15</v>
      </c>
      <c r="L441" s="54">
        <f>'Parameter Input'!E60</f>
        <v>12</v>
      </c>
      <c r="M441" s="37">
        <v>0</v>
      </c>
      <c r="N441" s="37">
        <v>1</v>
      </c>
      <c r="O441" s="37">
        <f>'Parameter Input'!F46</f>
        <v>0.9</v>
      </c>
      <c r="P441" s="55">
        <f>'Parameter Input'!G60</f>
        <v>0.4</v>
      </c>
      <c r="Q441" s="4">
        <f t="shared" si="312"/>
        <v>0.9867978615748374</v>
      </c>
      <c r="R441" s="4">
        <f t="shared" si="312"/>
        <v>0.98114509762858249</v>
      </c>
      <c r="S441" s="4">
        <f t="shared" si="312"/>
        <v>0.97311898315872036</v>
      </c>
      <c r="T441" s="4">
        <f t="shared" si="312"/>
        <v>0.96177484161592774</v>
      </c>
      <c r="U441" s="4">
        <f t="shared" si="312"/>
        <v>0.94584787155511363</v>
      </c>
      <c r="V441" s="4">
        <f t="shared" si="312"/>
        <v>0.92370360150141495</v>
      </c>
      <c r="W441" s="4">
        <f t="shared" si="312"/>
        <v>0.89334463567658451</v>
      </c>
      <c r="X441" s="4">
        <f t="shared" si="312"/>
        <v>0.85254543874327005</v>
      </c>
      <c r="Y441" s="4">
        <f t="shared" si="312"/>
        <v>0.79921300652623883</v>
      </c>
      <c r="Z441" s="4">
        <f t="shared" si="312"/>
        <v>0.73204982249993378</v>
      </c>
      <c r="AA441" s="4">
        <f t="shared" si="312"/>
        <v>0.65145592958786691</v>
      </c>
      <c r="AB441" s="4">
        <f t="shared" si="312"/>
        <v>0.56032247880849573</v>
      </c>
      <c r="AC441" s="4">
        <f t="shared" si="312"/>
        <v>0.46411326873185343</v>
      </c>
      <c r="AD441" s="4">
        <f t="shared" si="312"/>
        <v>0.36979727595523937</v>
      </c>
      <c r="AE441" s="4">
        <f t="shared" si="312"/>
        <v>0.28393948637231203</v>
      </c>
      <c r="AF441" s="4">
        <f t="shared" si="312"/>
        <v>0.21097259161117732</v>
      </c>
      <c r="AG441" s="4">
        <f t="shared" si="312"/>
        <v>0.15253917653798199</v>
      </c>
      <c r="AH441" s="4">
        <f t="shared" si="312"/>
        <v>0.10795188737709993</v>
      </c>
      <c r="AI441" s="4">
        <f t="shared" si="312"/>
        <v>7.5176653938091809E-2</v>
      </c>
      <c r="AJ441" s="4">
        <f t="shared" si="312"/>
        <v>5.1742836177502194E-2</v>
      </c>
      <c r="AK441" s="4">
        <f t="shared" si="312"/>
        <v>3.5319190625345942E-2</v>
      </c>
      <c r="AL441" s="4">
        <f t="shared" si="312"/>
        <v>2.3969442072658165E-2</v>
      </c>
      <c r="AM441" s="4">
        <f t="shared" si="312"/>
        <v>1.6202243558389728E-2</v>
      </c>
      <c r="AN441" s="4">
        <f t="shared" si="312"/>
        <v>1.0922240564108399E-2</v>
      </c>
      <c r="AO441" s="4">
        <f t="shared" si="312"/>
        <v>7.3493212906090566E-3</v>
      </c>
      <c r="AP441" s="4">
        <f t="shared" si="312"/>
        <v>4.9390262185057265E-3</v>
      </c>
      <c r="AQ441" s="4">
        <f t="shared" si="312"/>
        <v>3.3164275492956197E-3</v>
      </c>
      <c r="AR441" s="4">
        <f t="shared" si="312"/>
        <v>2.2256362146679809E-3</v>
      </c>
    </row>
    <row r="442" spans="1:44" x14ac:dyDescent="0.3">
      <c r="A442" s="24" t="s">
        <v>25</v>
      </c>
      <c r="B442" s="60">
        <f>'Parameter Input'!B61</f>
        <v>-8750</v>
      </c>
      <c r="C442" s="61">
        <f>'Parameter Input'!C61</f>
        <v>-8750</v>
      </c>
      <c r="D442" s="1" t="s">
        <v>15</v>
      </c>
      <c r="L442" s="54">
        <f>'Parameter Input'!E61</f>
        <v>12</v>
      </c>
      <c r="M442" s="37">
        <v>0</v>
      </c>
      <c r="N442" s="37">
        <v>1</v>
      </c>
      <c r="O442" s="37">
        <f>'Parameter Input'!F61</f>
        <v>0.9</v>
      </c>
      <c r="P442" s="55">
        <f>'Parameter Input'!G61</f>
        <v>0.4</v>
      </c>
      <c r="Q442" s="4">
        <f t="shared" si="312"/>
        <v>0.9867978615748374</v>
      </c>
      <c r="R442" s="4">
        <f t="shared" si="312"/>
        <v>0.98114509762858249</v>
      </c>
      <c r="S442" s="4">
        <f t="shared" si="312"/>
        <v>0.97311898315872036</v>
      </c>
      <c r="T442" s="4">
        <f t="shared" si="312"/>
        <v>0.96177484161592774</v>
      </c>
      <c r="U442" s="4">
        <f t="shared" si="312"/>
        <v>0.94584787155511363</v>
      </c>
      <c r="V442" s="4">
        <f t="shared" si="312"/>
        <v>0.92370360150141495</v>
      </c>
      <c r="W442" s="4">
        <f t="shared" si="312"/>
        <v>0.89334463567658451</v>
      </c>
      <c r="X442" s="4">
        <f t="shared" si="312"/>
        <v>0.85254543874327005</v>
      </c>
      <c r="Y442" s="4">
        <f t="shared" si="312"/>
        <v>0.79921300652623883</v>
      </c>
      <c r="Z442" s="4">
        <f t="shared" si="312"/>
        <v>0.73204982249993378</v>
      </c>
      <c r="AA442" s="4">
        <f t="shared" si="312"/>
        <v>0.65145592958786691</v>
      </c>
      <c r="AB442" s="4">
        <f t="shared" si="312"/>
        <v>0.56032247880849573</v>
      </c>
      <c r="AC442" s="4">
        <f t="shared" si="312"/>
        <v>0.46411326873185343</v>
      </c>
      <c r="AD442" s="4">
        <f t="shared" si="312"/>
        <v>0.36979727595523937</v>
      </c>
      <c r="AE442" s="4">
        <f t="shared" si="312"/>
        <v>0.28393948637231203</v>
      </c>
      <c r="AF442" s="4">
        <f t="shared" si="312"/>
        <v>0.21097259161117732</v>
      </c>
      <c r="AG442" s="4">
        <f t="shared" si="312"/>
        <v>0.15253917653798199</v>
      </c>
      <c r="AH442" s="4">
        <f t="shared" si="312"/>
        <v>0.10795188737709993</v>
      </c>
      <c r="AI442" s="4">
        <f t="shared" si="312"/>
        <v>7.5176653938091809E-2</v>
      </c>
      <c r="AJ442" s="4">
        <f t="shared" si="312"/>
        <v>5.1742836177502194E-2</v>
      </c>
      <c r="AK442" s="4">
        <f t="shared" si="312"/>
        <v>3.5319190625345942E-2</v>
      </c>
      <c r="AL442" s="4">
        <f t="shared" si="312"/>
        <v>2.3969442072658165E-2</v>
      </c>
      <c r="AM442" s="4">
        <f t="shared" si="312"/>
        <v>1.6202243558389728E-2</v>
      </c>
      <c r="AN442" s="4">
        <f t="shared" si="312"/>
        <v>1.0922240564108399E-2</v>
      </c>
      <c r="AO442" s="4">
        <f t="shared" si="312"/>
        <v>7.3493212906090566E-3</v>
      </c>
      <c r="AP442" s="4">
        <f t="shared" si="312"/>
        <v>4.9390262185057265E-3</v>
      </c>
      <c r="AQ442" s="4">
        <f t="shared" si="312"/>
        <v>3.3164275492956197E-3</v>
      </c>
      <c r="AR442" s="4">
        <f t="shared" si="312"/>
        <v>2.2256362146679809E-3</v>
      </c>
    </row>
    <row r="443" spans="1:44" x14ac:dyDescent="0.3">
      <c r="A443" s="24" t="s">
        <v>79</v>
      </c>
      <c r="B443" s="45">
        <f>'Parameter Input'!$L$39</f>
        <v>0.06</v>
      </c>
      <c r="C443" s="46">
        <f>'Parameter Input'!$M$39</f>
        <v>0.06</v>
      </c>
      <c r="D443" s="1" t="s">
        <v>57</v>
      </c>
      <c r="L443" s="54">
        <f>'Parameter Input'!$O$39</f>
        <v>12</v>
      </c>
      <c r="M443" s="37">
        <v>0</v>
      </c>
      <c r="N443" s="37">
        <v>1</v>
      </c>
      <c r="O443" s="37">
        <f>'Parameter Input'!$P$39</f>
        <v>0.9</v>
      </c>
      <c r="P443" s="55">
        <f>'Parameter Input'!$Q$39</f>
        <v>0.4</v>
      </c>
      <c r="Q443" s="4">
        <f t="shared" si="312"/>
        <v>0.9867978615748374</v>
      </c>
      <c r="R443" s="4">
        <f t="shared" si="312"/>
        <v>0.98114509762858249</v>
      </c>
      <c r="S443" s="4">
        <f t="shared" si="312"/>
        <v>0.97311898315872036</v>
      </c>
      <c r="T443" s="4">
        <f t="shared" si="312"/>
        <v>0.96177484161592774</v>
      </c>
      <c r="U443" s="4">
        <f t="shared" si="312"/>
        <v>0.94584787155511363</v>
      </c>
      <c r="V443" s="4">
        <f t="shared" si="312"/>
        <v>0.92370360150141495</v>
      </c>
      <c r="W443" s="4">
        <f t="shared" si="312"/>
        <v>0.89334463567658451</v>
      </c>
      <c r="X443" s="4">
        <f t="shared" si="312"/>
        <v>0.85254543874327005</v>
      </c>
      <c r="Y443" s="4">
        <f t="shared" si="312"/>
        <v>0.79921300652623883</v>
      </c>
      <c r="Z443" s="4">
        <f t="shared" si="312"/>
        <v>0.73204982249993378</v>
      </c>
      <c r="AA443" s="4">
        <f t="shared" si="312"/>
        <v>0.65145592958786691</v>
      </c>
      <c r="AB443" s="4">
        <f t="shared" si="312"/>
        <v>0.56032247880849573</v>
      </c>
      <c r="AC443" s="4">
        <f t="shared" si="312"/>
        <v>0.46411326873185343</v>
      </c>
      <c r="AD443" s="4">
        <f t="shared" si="312"/>
        <v>0.36979727595523937</v>
      </c>
      <c r="AE443" s="4">
        <f t="shared" si="312"/>
        <v>0.28393948637231203</v>
      </c>
      <c r="AF443" s="4">
        <f t="shared" si="312"/>
        <v>0.21097259161117732</v>
      </c>
      <c r="AG443" s="4">
        <f t="shared" si="312"/>
        <v>0.15253917653798199</v>
      </c>
      <c r="AH443" s="4">
        <f t="shared" si="312"/>
        <v>0.10795188737709993</v>
      </c>
      <c r="AI443" s="4">
        <f t="shared" si="312"/>
        <v>7.5176653938091809E-2</v>
      </c>
      <c r="AJ443" s="4">
        <f t="shared" si="312"/>
        <v>5.1742836177502194E-2</v>
      </c>
      <c r="AK443" s="4">
        <f t="shared" si="312"/>
        <v>3.5319190625345942E-2</v>
      </c>
      <c r="AL443" s="4">
        <f t="shared" si="312"/>
        <v>2.3969442072658165E-2</v>
      </c>
      <c r="AM443" s="4">
        <f t="shared" si="312"/>
        <v>1.6202243558389728E-2</v>
      </c>
      <c r="AN443" s="4">
        <f t="shared" si="312"/>
        <v>1.0922240564108399E-2</v>
      </c>
      <c r="AO443" s="4">
        <f t="shared" si="312"/>
        <v>7.3493212906090566E-3</v>
      </c>
      <c r="AP443" s="4">
        <f t="shared" si="312"/>
        <v>4.9390262185057265E-3</v>
      </c>
      <c r="AQ443" s="4">
        <f t="shared" si="312"/>
        <v>3.3164275492956197E-3</v>
      </c>
      <c r="AR443" s="4">
        <f t="shared" si="312"/>
        <v>2.2256362146679809E-3</v>
      </c>
    </row>
    <row r="444" spans="1:44" x14ac:dyDescent="0.3">
      <c r="A444" s="24" t="s">
        <v>37</v>
      </c>
      <c r="B444" s="60">
        <f>'Parameter Input'!B62</f>
        <v>70000</v>
      </c>
      <c r="C444" s="61">
        <f>'Parameter Input'!C62</f>
        <v>70000</v>
      </c>
      <c r="D444" s="1" t="s">
        <v>38</v>
      </c>
      <c r="L444" s="54">
        <f>'Parameter Input'!E62</f>
        <v>12</v>
      </c>
      <c r="M444" s="37">
        <v>0</v>
      </c>
      <c r="N444" s="37">
        <v>1</v>
      </c>
      <c r="O444" s="37">
        <f>'Parameter Input'!F62</f>
        <v>0.9</v>
      </c>
      <c r="P444" s="55">
        <f>'Parameter Input'!G62</f>
        <v>0.4</v>
      </c>
      <c r="Q444" s="4">
        <f t="shared" si="312"/>
        <v>0.9867978615748374</v>
      </c>
      <c r="R444" s="4">
        <f t="shared" si="312"/>
        <v>0.98114509762858249</v>
      </c>
      <c r="S444" s="4">
        <f t="shared" si="312"/>
        <v>0.97311898315872036</v>
      </c>
      <c r="T444" s="4">
        <f t="shared" si="312"/>
        <v>0.96177484161592774</v>
      </c>
      <c r="U444" s="4">
        <f t="shared" si="312"/>
        <v>0.94584787155511363</v>
      </c>
      <c r="V444" s="4">
        <f t="shared" si="312"/>
        <v>0.92370360150141495</v>
      </c>
      <c r="W444" s="4">
        <f t="shared" si="312"/>
        <v>0.89334463567658451</v>
      </c>
      <c r="X444" s="4">
        <f t="shared" si="312"/>
        <v>0.85254543874327005</v>
      </c>
      <c r="Y444" s="4">
        <f t="shared" si="312"/>
        <v>0.79921300652623883</v>
      </c>
      <c r="Z444" s="4">
        <f t="shared" si="312"/>
        <v>0.73204982249993378</v>
      </c>
      <c r="AA444" s="4">
        <f t="shared" si="312"/>
        <v>0.65145592958786691</v>
      </c>
      <c r="AB444" s="4">
        <f t="shared" si="312"/>
        <v>0.56032247880849573</v>
      </c>
      <c r="AC444" s="4">
        <f t="shared" si="312"/>
        <v>0.46411326873185343</v>
      </c>
      <c r="AD444" s="4">
        <f t="shared" si="312"/>
        <v>0.36979727595523937</v>
      </c>
      <c r="AE444" s="4">
        <f t="shared" si="312"/>
        <v>0.28393948637231203</v>
      </c>
      <c r="AF444" s="4">
        <f t="shared" si="312"/>
        <v>0.21097259161117732</v>
      </c>
      <c r="AG444" s="4">
        <f t="shared" si="312"/>
        <v>0.15253917653798199</v>
      </c>
      <c r="AH444" s="4">
        <f t="shared" si="312"/>
        <v>0.10795188737709993</v>
      </c>
      <c r="AI444" s="4">
        <f t="shared" si="312"/>
        <v>7.5176653938091809E-2</v>
      </c>
      <c r="AJ444" s="4">
        <f t="shared" si="312"/>
        <v>5.1742836177502194E-2</v>
      </c>
      <c r="AK444" s="4">
        <f t="shared" si="312"/>
        <v>3.5319190625345942E-2</v>
      </c>
      <c r="AL444" s="4">
        <f t="shared" si="312"/>
        <v>2.3969442072658165E-2</v>
      </c>
      <c r="AM444" s="4">
        <f t="shared" si="312"/>
        <v>1.6202243558389728E-2</v>
      </c>
      <c r="AN444" s="4">
        <f t="shared" si="312"/>
        <v>1.0922240564108399E-2</v>
      </c>
      <c r="AO444" s="4">
        <f t="shared" si="312"/>
        <v>7.3493212906090566E-3</v>
      </c>
      <c r="AP444" s="4">
        <f t="shared" si="312"/>
        <v>4.9390262185057265E-3</v>
      </c>
      <c r="AQ444" s="4">
        <f t="shared" si="312"/>
        <v>3.3164275492956197E-3</v>
      </c>
      <c r="AR444" s="4">
        <f t="shared" si="312"/>
        <v>2.2256362146679809E-3</v>
      </c>
    </row>
    <row r="445" spans="1:44" x14ac:dyDescent="0.3">
      <c r="A445" s="24" t="s">
        <v>52</v>
      </c>
      <c r="B445" s="43">
        <f>'Parameter Input'!$L$35</f>
        <v>26000</v>
      </c>
      <c r="C445" s="44">
        <f>'Parameter Input'!$M$35</f>
        <v>18000</v>
      </c>
      <c r="D445" s="1" t="s">
        <v>38</v>
      </c>
      <c r="L445" s="54">
        <f>'Parameter Input'!$O$35</f>
        <v>9</v>
      </c>
      <c r="M445" s="37">
        <v>0</v>
      </c>
      <c r="N445" s="37">
        <v>1</v>
      </c>
      <c r="O445" s="37">
        <f>'Parameter Input'!$P$35</f>
        <v>0.9</v>
      </c>
      <c r="P445" s="55">
        <f>'Parameter Input'!$Q$35</f>
        <v>0.4</v>
      </c>
      <c r="Q445" s="4">
        <f t="shared" si="312"/>
        <v>0.96177484161592774</v>
      </c>
      <c r="R445" s="4">
        <f t="shared" si="312"/>
        <v>0.94584787155511363</v>
      </c>
      <c r="S445" s="4">
        <f t="shared" si="312"/>
        <v>0.92370360150141495</v>
      </c>
      <c r="T445" s="4">
        <f t="shared" si="312"/>
        <v>0.89334463567658451</v>
      </c>
      <c r="U445" s="4">
        <f t="shared" si="312"/>
        <v>0.85254543874327005</v>
      </c>
      <c r="V445" s="4">
        <f t="shared" si="312"/>
        <v>0.79921300652623883</v>
      </c>
      <c r="W445" s="4">
        <f t="shared" si="312"/>
        <v>0.73204982249993378</v>
      </c>
      <c r="X445" s="4">
        <f t="shared" si="312"/>
        <v>0.65145592958786691</v>
      </c>
      <c r="Y445" s="4">
        <f t="shared" si="312"/>
        <v>0.56032247880849573</v>
      </c>
      <c r="Z445" s="4">
        <f t="shared" si="312"/>
        <v>0.46411326873185343</v>
      </c>
      <c r="AA445" s="4">
        <f t="shared" si="312"/>
        <v>0.36979727595523937</v>
      </c>
      <c r="AB445" s="4">
        <f t="shared" si="312"/>
        <v>0.28393948637231203</v>
      </c>
      <c r="AC445" s="4">
        <f t="shared" si="312"/>
        <v>0.21097259161117732</v>
      </c>
      <c r="AD445" s="4">
        <f t="shared" si="312"/>
        <v>0.15253917653798199</v>
      </c>
      <c r="AE445" s="4">
        <f t="shared" si="312"/>
        <v>0.10795188737709993</v>
      </c>
      <c r="AF445" s="4">
        <f t="shared" si="312"/>
        <v>7.5176653938091809E-2</v>
      </c>
      <c r="AG445" s="4">
        <f t="shared" si="312"/>
        <v>5.1742836177502194E-2</v>
      </c>
      <c r="AH445" s="4">
        <f t="shared" si="312"/>
        <v>3.5319190625345942E-2</v>
      </c>
      <c r="AI445" s="4">
        <f t="shared" si="312"/>
        <v>2.3969442072658165E-2</v>
      </c>
      <c r="AJ445" s="4">
        <f t="shared" si="312"/>
        <v>1.6202243558389728E-2</v>
      </c>
      <c r="AK445" s="4">
        <f t="shared" si="312"/>
        <v>1.0922240564108399E-2</v>
      </c>
      <c r="AL445" s="4">
        <f t="shared" si="312"/>
        <v>7.3493212906090566E-3</v>
      </c>
      <c r="AM445" s="4">
        <f t="shared" si="312"/>
        <v>4.9390262185057265E-3</v>
      </c>
      <c r="AN445" s="4">
        <f t="shared" si="312"/>
        <v>3.3164275492956197E-3</v>
      </c>
      <c r="AO445" s="4">
        <f t="shared" si="312"/>
        <v>2.2256362146679809E-3</v>
      </c>
      <c r="AP445" s="4">
        <f t="shared" si="312"/>
        <v>1.4930448704811861E-3</v>
      </c>
      <c r="AQ445" s="4">
        <f t="shared" si="312"/>
        <v>1.0013381504474506E-3</v>
      </c>
      <c r="AR445" s="4">
        <f t="shared" si="312"/>
        <v>6.7145100246257527E-4</v>
      </c>
    </row>
    <row r="446" spans="1:44" x14ac:dyDescent="0.3">
      <c r="A446" s="24" t="s">
        <v>273</v>
      </c>
      <c r="B446" s="60">
        <f>'Parameter Input'!B67</f>
        <v>0.11</v>
      </c>
      <c r="C446" s="61">
        <f>'Parameter Input'!C67</f>
        <v>0.11</v>
      </c>
      <c r="D446" s="1" t="s">
        <v>76</v>
      </c>
      <c r="L446" s="54">
        <f>'Parameter Input'!E67</f>
        <v>12</v>
      </c>
      <c r="M446" s="37">
        <v>0</v>
      </c>
      <c r="N446" s="37">
        <v>1</v>
      </c>
      <c r="O446" s="37">
        <f>'Parameter Input'!F67</f>
        <v>0.9</v>
      </c>
      <c r="P446" s="55">
        <f>'Parameter Input'!G67</f>
        <v>0.4</v>
      </c>
      <c r="Q446" s="4">
        <f t="shared" si="312"/>
        <v>0.9867978615748374</v>
      </c>
      <c r="R446" s="4">
        <f t="shared" si="312"/>
        <v>0.98114509762858249</v>
      </c>
      <c r="S446" s="4">
        <f t="shared" si="312"/>
        <v>0.97311898315872036</v>
      </c>
      <c r="T446" s="4">
        <f t="shared" si="312"/>
        <v>0.96177484161592774</v>
      </c>
      <c r="U446" s="4">
        <f t="shared" si="312"/>
        <v>0.94584787155511363</v>
      </c>
      <c r="V446" s="4">
        <f t="shared" si="312"/>
        <v>0.92370360150141495</v>
      </c>
      <c r="W446" s="4">
        <f t="shared" si="312"/>
        <v>0.89334463567658451</v>
      </c>
      <c r="X446" s="4">
        <f t="shared" si="312"/>
        <v>0.85254543874327005</v>
      </c>
      <c r="Y446" s="4">
        <f t="shared" si="312"/>
        <v>0.79921300652623883</v>
      </c>
      <c r="Z446" s="4">
        <f t="shared" si="312"/>
        <v>0.73204982249993378</v>
      </c>
      <c r="AA446" s="4">
        <f t="shared" si="312"/>
        <v>0.65145592958786691</v>
      </c>
      <c r="AB446" s="4">
        <f t="shared" si="312"/>
        <v>0.56032247880849573</v>
      </c>
      <c r="AC446" s="4">
        <f t="shared" si="312"/>
        <v>0.46411326873185343</v>
      </c>
      <c r="AD446" s="4">
        <f t="shared" si="312"/>
        <v>0.36979727595523937</v>
      </c>
      <c r="AE446" s="4">
        <f t="shared" si="312"/>
        <v>0.28393948637231203</v>
      </c>
      <c r="AF446" s="4">
        <f t="shared" si="312"/>
        <v>0.21097259161117732</v>
      </c>
      <c r="AG446" s="4">
        <f t="shared" si="312"/>
        <v>0.15253917653798199</v>
      </c>
      <c r="AH446" s="4">
        <f t="shared" si="312"/>
        <v>0.10795188737709993</v>
      </c>
      <c r="AI446" s="4">
        <f t="shared" si="312"/>
        <v>7.5176653938091809E-2</v>
      </c>
      <c r="AJ446" s="4">
        <f t="shared" si="312"/>
        <v>5.1742836177502194E-2</v>
      </c>
      <c r="AK446" s="4">
        <f t="shared" si="312"/>
        <v>3.5319190625345942E-2</v>
      </c>
      <c r="AL446" s="4">
        <f t="shared" si="312"/>
        <v>2.3969442072658165E-2</v>
      </c>
      <c r="AM446" s="4">
        <f t="shared" si="312"/>
        <v>1.6202243558389728E-2</v>
      </c>
      <c r="AN446" s="4">
        <f t="shared" si="312"/>
        <v>1.0922240564108399E-2</v>
      </c>
      <c r="AO446" s="4">
        <f t="shared" si="312"/>
        <v>7.3493212906090566E-3</v>
      </c>
      <c r="AP446" s="4">
        <f t="shared" si="312"/>
        <v>4.9390262185057265E-3</v>
      </c>
      <c r="AQ446" s="4">
        <f t="shared" si="312"/>
        <v>3.3164275492956197E-3</v>
      </c>
      <c r="AR446" s="4">
        <f t="shared" si="312"/>
        <v>2.2256362146679809E-3</v>
      </c>
    </row>
    <row r="447" spans="1:44" x14ac:dyDescent="0.3">
      <c r="A447" s="24" t="s">
        <v>59</v>
      </c>
      <c r="B447" s="47">
        <f>'Parameter Input'!$L$36</f>
        <v>2.5299999999999998</v>
      </c>
      <c r="C447" s="48">
        <f>'Parameter Input'!$M$36</f>
        <v>1.79</v>
      </c>
      <c r="D447" s="1" t="s">
        <v>60</v>
      </c>
      <c r="L447" s="54">
        <f>'Parameter Input'!$O$36</f>
        <v>9</v>
      </c>
      <c r="M447" s="37">
        <v>0</v>
      </c>
      <c r="N447" s="37">
        <v>1</v>
      </c>
      <c r="O447" s="37">
        <f>'Parameter Input'!$P$36</f>
        <v>0.9</v>
      </c>
      <c r="P447" s="55">
        <f>'Parameter Input'!$Q$36</f>
        <v>0.4</v>
      </c>
      <c r="Q447" s="4">
        <f t="shared" si="312"/>
        <v>0.96177484161592774</v>
      </c>
      <c r="R447" s="4">
        <f t="shared" si="312"/>
        <v>0.94584787155511363</v>
      </c>
      <c r="S447" s="4">
        <f t="shared" si="312"/>
        <v>0.92370360150141495</v>
      </c>
      <c r="T447" s="4">
        <f t="shared" si="312"/>
        <v>0.89334463567658451</v>
      </c>
      <c r="U447" s="4">
        <f t="shared" si="312"/>
        <v>0.85254543874327005</v>
      </c>
      <c r="V447" s="4">
        <f t="shared" si="312"/>
        <v>0.79921300652623883</v>
      </c>
      <c r="W447" s="4">
        <f t="shared" si="312"/>
        <v>0.73204982249993378</v>
      </c>
      <c r="X447" s="4">
        <f t="shared" si="312"/>
        <v>0.65145592958786691</v>
      </c>
      <c r="Y447" s="4">
        <f t="shared" si="312"/>
        <v>0.56032247880849573</v>
      </c>
      <c r="Z447" s="4">
        <f t="shared" si="312"/>
        <v>0.46411326873185343</v>
      </c>
      <c r="AA447" s="4">
        <f t="shared" si="312"/>
        <v>0.36979727595523937</v>
      </c>
      <c r="AB447" s="4">
        <f t="shared" si="312"/>
        <v>0.28393948637231203</v>
      </c>
      <c r="AC447" s="4">
        <f t="shared" si="312"/>
        <v>0.21097259161117732</v>
      </c>
      <c r="AD447" s="4">
        <f t="shared" si="312"/>
        <v>0.15253917653798199</v>
      </c>
      <c r="AE447" s="4">
        <f t="shared" si="312"/>
        <v>0.10795188737709993</v>
      </c>
      <c r="AF447" s="4">
        <f t="shared" si="312"/>
        <v>7.5176653938091809E-2</v>
      </c>
      <c r="AG447" s="4">
        <f t="shared" si="312"/>
        <v>5.1742836177502194E-2</v>
      </c>
      <c r="AH447" s="4">
        <f t="shared" si="312"/>
        <v>3.5319190625345942E-2</v>
      </c>
      <c r="AI447" s="4">
        <f t="shared" si="312"/>
        <v>2.3969442072658165E-2</v>
      </c>
      <c r="AJ447" s="4">
        <f t="shared" si="312"/>
        <v>1.6202243558389728E-2</v>
      </c>
      <c r="AK447" s="4">
        <f t="shared" si="312"/>
        <v>1.0922240564108399E-2</v>
      </c>
      <c r="AL447" s="4">
        <f t="shared" si="312"/>
        <v>7.3493212906090566E-3</v>
      </c>
      <c r="AM447" s="4">
        <f t="shared" si="312"/>
        <v>4.9390262185057265E-3</v>
      </c>
      <c r="AN447" s="4">
        <f t="shared" si="312"/>
        <v>3.3164275492956197E-3</v>
      </c>
      <c r="AO447" s="4">
        <f t="shared" si="312"/>
        <v>2.2256362146679809E-3</v>
      </c>
      <c r="AP447" s="4">
        <f t="shared" si="312"/>
        <v>1.4930448704811861E-3</v>
      </c>
      <c r="AQ447" s="4">
        <f t="shared" si="312"/>
        <v>1.0013381504474506E-3</v>
      </c>
      <c r="AR447" s="4">
        <f t="shared" si="312"/>
        <v>6.7145100246257527E-4</v>
      </c>
    </row>
    <row r="448" spans="1:44" x14ac:dyDescent="0.3">
      <c r="A448" s="24" t="s">
        <v>67</v>
      </c>
      <c r="B448" s="45">
        <f>'Parameter Input'!$L$37</f>
        <v>0.21633448448114301</v>
      </c>
      <c r="C448" s="46">
        <f>'Parameter Input'!$M$37</f>
        <v>0.101814693285632</v>
      </c>
      <c r="D448" s="1" t="s">
        <v>68</v>
      </c>
      <c r="L448" s="54">
        <f>'Parameter Input'!$O$37</f>
        <v>12</v>
      </c>
      <c r="M448" s="37">
        <v>0</v>
      </c>
      <c r="N448" s="37">
        <v>1</v>
      </c>
      <c r="O448" s="37">
        <f>'Parameter Input'!$P$37</f>
        <v>0.9</v>
      </c>
      <c r="P448" s="55">
        <f>'Parameter Input'!$Q$37</f>
        <v>0.4</v>
      </c>
      <c r="Q448" s="4">
        <f t="shared" si="312"/>
        <v>0.9867978615748374</v>
      </c>
      <c r="R448" s="4">
        <f t="shared" si="312"/>
        <v>0.98114509762858249</v>
      </c>
      <c r="S448" s="4">
        <f t="shared" si="312"/>
        <v>0.97311898315872036</v>
      </c>
      <c r="T448" s="4">
        <f t="shared" ref="T448:AI455" si="313">$N448+($M448-$N448)*((1/(1+EXP(-$P448*(T$9-$L448)))^$O448))</f>
        <v>0.96177484161592774</v>
      </c>
      <c r="U448" s="4">
        <f t="shared" si="313"/>
        <v>0.94584787155511363</v>
      </c>
      <c r="V448" s="4">
        <f t="shared" si="313"/>
        <v>0.92370360150141495</v>
      </c>
      <c r="W448" s="4">
        <f t="shared" si="313"/>
        <v>0.89334463567658451</v>
      </c>
      <c r="X448" s="4">
        <f t="shared" si="313"/>
        <v>0.85254543874327005</v>
      </c>
      <c r="Y448" s="4">
        <f t="shared" si="313"/>
        <v>0.79921300652623883</v>
      </c>
      <c r="Z448" s="4">
        <f t="shared" si="313"/>
        <v>0.73204982249993378</v>
      </c>
      <c r="AA448" s="4">
        <f t="shared" si="313"/>
        <v>0.65145592958786691</v>
      </c>
      <c r="AB448" s="4">
        <f t="shared" si="313"/>
        <v>0.56032247880849573</v>
      </c>
      <c r="AC448" s="4">
        <f t="shared" si="313"/>
        <v>0.46411326873185343</v>
      </c>
      <c r="AD448" s="4">
        <f t="shared" si="313"/>
        <v>0.36979727595523937</v>
      </c>
      <c r="AE448" s="4">
        <f t="shared" si="313"/>
        <v>0.28393948637231203</v>
      </c>
      <c r="AF448" s="4">
        <f t="shared" si="313"/>
        <v>0.21097259161117732</v>
      </c>
      <c r="AG448" s="4">
        <f t="shared" si="313"/>
        <v>0.15253917653798199</v>
      </c>
      <c r="AH448" s="4">
        <f t="shared" si="313"/>
        <v>0.10795188737709993</v>
      </c>
      <c r="AI448" s="4">
        <f t="shared" si="313"/>
        <v>7.5176653938091809E-2</v>
      </c>
      <c r="AJ448" s="4">
        <f t="shared" ref="AJ448:AR455" si="314">$N448+($M448-$N448)*((1/(1+EXP(-$P448*(AJ$9-$L448)))^$O448))</f>
        <v>5.1742836177502194E-2</v>
      </c>
      <c r="AK448" s="4">
        <f t="shared" si="314"/>
        <v>3.5319190625345942E-2</v>
      </c>
      <c r="AL448" s="4">
        <f t="shared" si="314"/>
        <v>2.3969442072658165E-2</v>
      </c>
      <c r="AM448" s="4">
        <f t="shared" si="314"/>
        <v>1.6202243558389728E-2</v>
      </c>
      <c r="AN448" s="4">
        <f t="shared" si="314"/>
        <v>1.0922240564108399E-2</v>
      </c>
      <c r="AO448" s="4">
        <f t="shared" si="314"/>
        <v>7.3493212906090566E-3</v>
      </c>
      <c r="AP448" s="4">
        <f t="shared" si="314"/>
        <v>4.9390262185057265E-3</v>
      </c>
      <c r="AQ448" s="4">
        <f t="shared" si="314"/>
        <v>3.3164275492956197E-3</v>
      </c>
      <c r="AR448" s="4">
        <f t="shared" si="314"/>
        <v>2.2256362146679809E-3</v>
      </c>
    </row>
    <row r="449" spans="1:44" x14ac:dyDescent="0.3">
      <c r="A449" s="24" t="s">
        <v>206</v>
      </c>
      <c r="B449" s="115">
        <f>'Parameter Input'!$L$40</f>
        <v>9.1245901639344252E-3</v>
      </c>
      <c r="C449" s="116">
        <f>'Parameter Input'!$M$40</f>
        <v>0</v>
      </c>
      <c r="D449" s="1" t="s">
        <v>76</v>
      </c>
      <c r="L449" s="54">
        <f>'Parameter Input'!$O$40</f>
        <v>17</v>
      </c>
      <c r="M449" s="37">
        <v>0</v>
      </c>
      <c r="N449" s="37">
        <v>1</v>
      </c>
      <c r="O449" s="37">
        <f>'Parameter Input'!$P$40</f>
        <v>0.9</v>
      </c>
      <c r="P449" s="55">
        <f>'Parameter Input'!$Q$40</f>
        <v>0.4</v>
      </c>
      <c r="Q449" s="4">
        <f t="shared" ref="Q449:AR449" si="315">$N449+($M449-$N449)*((1/(1+EXP(-$P449*(Q$9-$L449)))^$O449))</f>
        <v>0.99780374543478534</v>
      </c>
      <c r="R449" s="4">
        <f t="shared" si="315"/>
        <v>0.99685359315256394</v>
      </c>
      <c r="S449" s="4">
        <f t="shared" si="315"/>
        <v>0.99549347132349975</v>
      </c>
      <c r="T449" s="4">
        <f t="shared" si="315"/>
        <v>0.99354772139898062</v>
      </c>
      <c r="U449" s="4">
        <f t="shared" si="315"/>
        <v>0.99076681540580536</v>
      </c>
      <c r="V449" s="4">
        <f t="shared" si="315"/>
        <v>0.9867978615748374</v>
      </c>
      <c r="W449" s="4">
        <f t="shared" si="315"/>
        <v>0.98114509762858249</v>
      </c>
      <c r="X449" s="4">
        <f t="shared" si="315"/>
        <v>0.97311898315872036</v>
      </c>
      <c r="Y449" s="4">
        <f t="shared" si="315"/>
        <v>0.96177484161592774</v>
      </c>
      <c r="Z449" s="4">
        <f t="shared" si="315"/>
        <v>0.94584787155511363</v>
      </c>
      <c r="AA449" s="4">
        <f t="shared" si="315"/>
        <v>0.92370360150141495</v>
      </c>
      <c r="AB449" s="4">
        <f t="shared" si="315"/>
        <v>0.89334463567658451</v>
      </c>
      <c r="AC449" s="4">
        <f t="shared" si="315"/>
        <v>0.85254543874327005</v>
      </c>
      <c r="AD449" s="4">
        <f t="shared" si="315"/>
        <v>0.79921300652623883</v>
      </c>
      <c r="AE449" s="4">
        <f t="shared" si="315"/>
        <v>0.73204982249993378</v>
      </c>
      <c r="AF449" s="4">
        <f t="shared" si="315"/>
        <v>0.65145592958786691</v>
      </c>
      <c r="AG449" s="4">
        <f t="shared" si="315"/>
        <v>0.56032247880849573</v>
      </c>
      <c r="AH449" s="4">
        <f t="shared" si="315"/>
        <v>0.46411326873185343</v>
      </c>
      <c r="AI449" s="4">
        <f t="shared" si="315"/>
        <v>0.36979727595523937</v>
      </c>
      <c r="AJ449" s="4">
        <f t="shared" si="315"/>
        <v>0.28393948637231203</v>
      </c>
      <c r="AK449" s="4">
        <f t="shared" si="315"/>
        <v>0.21097259161117732</v>
      </c>
      <c r="AL449" s="4">
        <f t="shared" si="315"/>
        <v>0.15253917653798199</v>
      </c>
      <c r="AM449" s="4">
        <f t="shared" si="315"/>
        <v>0.10795188737709993</v>
      </c>
      <c r="AN449" s="4">
        <f t="shared" si="315"/>
        <v>7.5176653938091809E-2</v>
      </c>
      <c r="AO449" s="4">
        <f t="shared" si="315"/>
        <v>5.1742836177502194E-2</v>
      </c>
      <c r="AP449" s="4">
        <f t="shared" si="315"/>
        <v>3.5319190625345942E-2</v>
      </c>
      <c r="AQ449" s="4">
        <f t="shared" si="315"/>
        <v>2.3969442072658165E-2</v>
      </c>
      <c r="AR449" s="4">
        <f t="shared" si="315"/>
        <v>1.6202243558389728E-2</v>
      </c>
    </row>
    <row r="450" spans="1:44" x14ac:dyDescent="0.3">
      <c r="A450" s="24" t="s">
        <v>41</v>
      </c>
      <c r="B450" s="43">
        <f>'Parameter Input'!$L$34</f>
        <v>8</v>
      </c>
      <c r="C450" s="44">
        <f>'Parameter Input'!$M$34</f>
        <v>8</v>
      </c>
      <c r="D450" s="1" t="s">
        <v>42</v>
      </c>
      <c r="L450" s="54">
        <f>'Parameter Input'!$O$34</f>
        <v>9</v>
      </c>
      <c r="M450" s="37">
        <v>0</v>
      </c>
      <c r="N450" s="37">
        <v>1</v>
      </c>
      <c r="O450" s="37">
        <f>'Parameter Input'!$P$34</f>
        <v>0.9</v>
      </c>
      <c r="P450" s="55">
        <f>'Parameter Input'!$Q$34</f>
        <v>0.4</v>
      </c>
      <c r="Q450" s="4">
        <f t="shared" ref="Q450:AF455" si="316">$N450+($M450-$N450)*((1/(1+EXP(-$P450*(Q$9-$L450)))^$O450))</f>
        <v>0.96177484161592774</v>
      </c>
      <c r="R450" s="4">
        <f t="shared" si="316"/>
        <v>0.94584787155511363</v>
      </c>
      <c r="S450" s="4">
        <f t="shared" si="316"/>
        <v>0.92370360150141495</v>
      </c>
      <c r="T450" s="4">
        <f t="shared" si="316"/>
        <v>0.89334463567658451</v>
      </c>
      <c r="U450" s="4">
        <f t="shared" si="316"/>
        <v>0.85254543874327005</v>
      </c>
      <c r="V450" s="4">
        <f t="shared" si="316"/>
        <v>0.79921300652623883</v>
      </c>
      <c r="W450" s="4">
        <f t="shared" si="316"/>
        <v>0.73204982249993378</v>
      </c>
      <c r="X450" s="4">
        <f t="shared" si="316"/>
        <v>0.65145592958786691</v>
      </c>
      <c r="Y450" s="4">
        <f t="shared" si="316"/>
        <v>0.56032247880849573</v>
      </c>
      <c r="Z450" s="4">
        <f t="shared" si="316"/>
        <v>0.46411326873185343</v>
      </c>
      <c r="AA450" s="4">
        <f t="shared" si="316"/>
        <v>0.36979727595523937</v>
      </c>
      <c r="AB450" s="4">
        <f t="shared" si="316"/>
        <v>0.28393948637231203</v>
      </c>
      <c r="AC450" s="4">
        <f t="shared" si="316"/>
        <v>0.21097259161117732</v>
      </c>
      <c r="AD450" s="4">
        <f t="shared" si="316"/>
        <v>0.15253917653798199</v>
      </c>
      <c r="AE450" s="4">
        <f t="shared" si="316"/>
        <v>0.10795188737709993</v>
      </c>
      <c r="AF450" s="4">
        <f t="shared" si="316"/>
        <v>7.5176653938091809E-2</v>
      </c>
      <c r="AG450" s="4">
        <f t="shared" si="313"/>
        <v>5.1742836177502194E-2</v>
      </c>
      <c r="AH450" s="4">
        <f t="shared" si="313"/>
        <v>3.5319190625345942E-2</v>
      </c>
      <c r="AI450" s="4">
        <f t="shared" si="313"/>
        <v>2.3969442072658165E-2</v>
      </c>
      <c r="AJ450" s="4">
        <f t="shared" si="314"/>
        <v>1.6202243558389728E-2</v>
      </c>
      <c r="AK450" s="4">
        <f t="shared" si="314"/>
        <v>1.0922240564108399E-2</v>
      </c>
      <c r="AL450" s="4">
        <f t="shared" si="314"/>
        <v>7.3493212906090566E-3</v>
      </c>
      <c r="AM450" s="4">
        <f t="shared" si="314"/>
        <v>4.9390262185057265E-3</v>
      </c>
      <c r="AN450" s="4">
        <f t="shared" si="314"/>
        <v>3.3164275492956197E-3</v>
      </c>
      <c r="AO450" s="4">
        <f t="shared" si="314"/>
        <v>2.2256362146679809E-3</v>
      </c>
      <c r="AP450" s="4">
        <f t="shared" si="314"/>
        <v>1.4930448704811861E-3</v>
      </c>
      <c r="AQ450" s="4">
        <f t="shared" si="314"/>
        <v>1.0013381504474506E-3</v>
      </c>
      <c r="AR450" s="4">
        <f t="shared" si="314"/>
        <v>6.7145100246257527E-4</v>
      </c>
    </row>
    <row r="451" spans="1:44" x14ac:dyDescent="0.3">
      <c r="A451" s="24" t="s">
        <v>70</v>
      </c>
      <c r="B451" s="60">
        <f>'Parameter Input'!B66</f>
        <v>10</v>
      </c>
      <c r="C451" s="61">
        <f>'Parameter Input'!C66</f>
        <v>10</v>
      </c>
      <c r="D451" s="1" t="s">
        <v>42</v>
      </c>
      <c r="L451" s="54">
        <f>'Parameter Input'!E66</f>
        <v>12</v>
      </c>
      <c r="M451" s="37">
        <v>0</v>
      </c>
      <c r="N451" s="37">
        <v>1</v>
      </c>
      <c r="O451" s="37">
        <f>'Parameter Input'!F66</f>
        <v>0.9</v>
      </c>
      <c r="P451" s="55">
        <f>'Parameter Input'!G66</f>
        <v>0.4</v>
      </c>
      <c r="Q451" s="4">
        <f t="shared" si="316"/>
        <v>0.9867978615748374</v>
      </c>
      <c r="R451" s="4">
        <f t="shared" si="316"/>
        <v>0.98114509762858249</v>
      </c>
      <c r="S451" s="4">
        <f t="shared" si="316"/>
        <v>0.97311898315872036</v>
      </c>
      <c r="T451" s="4">
        <f t="shared" si="316"/>
        <v>0.96177484161592774</v>
      </c>
      <c r="U451" s="4">
        <f t="shared" si="316"/>
        <v>0.94584787155511363</v>
      </c>
      <c r="V451" s="4">
        <f t="shared" si="316"/>
        <v>0.92370360150141495</v>
      </c>
      <c r="W451" s="4">
        <f t="shared" si="316"/>
        <v>0.89334463567658451</v>
      </c>
      <c r="X451" s="4">
        <f t="shared" si="316"/>
        <v>0.85254543874327005</v>
      </c>
      <c r="Y451" s="4">
        <f t="shared" si="316"/>
        <v>0.79921300652623883</v>
      </c>
      <c r="Z451" s="4">
        <f t="shared" si="316"/>
        <v>0.73204982249993378</v>
      </c>
      <c r="AA451" s="4">
        <f t="shared" si="316"/>
        <v>0.65145592958786691</v>
      </c>
      <c r="AB451" s="4">
        <f t="shared" si="316"/>
        <v>0.56032247880849573</v>
      </c>
      <c r="AC451" s="4">
        <f t="shared" si="316"/>
        <v>0.46411326873185343</v>
      </c>
      <c r="AD451" s="4">
        <f t="shared" si="316"/>
        <v>0.36979727595523937</v>
      </c>
      <c r="AE451" s="4">
        <f t="shared" si="316"/>
        <v>0.28393948637231203</v>
      </c>
      <c r="AF451" s="4">
        <f t="shared" si="316"/>
        <v>0.21097259161117732</v>
      </c>
      <c r="AG451" s="4">
        <f t="shared" si="313"/>
        <v>0.15253917653798199</v>
      </c>
      <c r="AH451" s="4">
        <f t="shared" si="313"/>
        <v>0.10795188737709993</v>
      </c>
      <c r="AI451" s="4">
        <f t="shared" si="313"/>
        <v>7.5176653938091809E-2</v>
      </c>
      <c r="AJ451" s="4">
        <f t="shared" si="314"/>
        <v>5.1742836177502194E-2</v>
      </c>
      <c r="AK451" s="4">
        <f t="shared" si="314"/>
        <v>3.5319190625345942E-2</v>
      </c>
      <c r="AL451" s="4">
        <f t="shared" si="314"/>
        <v>2.3969442072658165E-2</v>
      </c>
      <c r="AM451" s="4">
        <f t="shared" si="314"/>
        <v>1.6202243558389728E-2</v>
      </c>
      <c r="AN451" s="4">
        <f t="shared" si="314"/>
        <v>1.0922240564108399E-2</v>
      </c>
      <c r="AO451" s="4">
        <f t="shared" si="314"/>
        <v>7.3493212906090566E-3</v>
      </c>
      <c r="AP451" s="4">
        <f t="shared" si="314"/>
        <v>4.9390262185057265E-3</v>
      </c>
      <c r="AQ451" s="4">
        <f t="shared" si="314"/>
        <v>3.3164275492956197E-3</v>
      </c>
      <c r="AR451" s="4">
        <f t="shared" si="314"/>
        <v>2.2256362146679809E-3</v>
      </c>
    </row>
    <row r="452" spans="1:44" x14ac:dyDescent="0.3">
      <c r="A452" s="24" t="s">
        <v>207</v>
      </c>
      <c r="B452" s="43">
        <f>'Parameter Input'!B63</f>
        <v>25</v>
      </c>
      <c r="C452" s="44">
        <f>'Parameter Input'!C63</f>
        <v>25</v>
      </c>
      <c r="D452" s="1" t="s">
        <v>49</v>
      </c>
      <c r="L452" s="54">
        <f>'Parameter Input'!E63</f>
        <v>12</v>
      </c>
      <c r="M452" s="37">
        <v>0</v>
      </c>
      <c r="N452" s="37">
        <v>1</v>
      </c>
      <c r="O452" s="37">
        <f>'Parameter Input'!F63</f>
        <v>0.9</v>
      </c>
      <c r="P452" s="55">
        <f>'Parameter Input'!G63</f>
        <v>0.4</v>
      </c>
      <c r="Q452" s="4">
        <f t="shared" si="316"/>
        <v>0.9867978615748374</v>
      </c>
      <c r="R452" s="4">
        <f t="shared" si="316"/>
        <v>0.98114509762858249</v>
      </c>
      <c r="S452" s="4">
        <f t="shared" si="316"/>
        <v>0.97311898315872036</v>
      </c>
      <c r="T452" s="4">
        <f t="shared" si="316"/>
        <v>0.96177484161592774</v>
      </c>
      <c r="U452" s="4">
        <f t="shared" si="316"/>
        <v>0.94584787155511363</v>
      </c>
      <c r="V452" s="4">
        <f t="shared" si="316"/>
        <v>0.92370360150141495</v>
      </c>
      <c r="W452" s="4">
        <f t="shared" si="316"/>
        <v>0.89334463567658451</v>
      </c>
      <c r="X452" s="4">
        <f t="shared" si="316"/>
        <v>0.85254543874327005</v>
      </c>
      <c r="Y452" s="4">
        <f t="shared" si="316"/>
        <v>0.79921300652623883</v>
      </c>
      <c r="Z452" s="4">
        <f t="shared" si="316"/>
        <v>0.73204982249993378</v>
      </c>
      <c r="AA452" s="4">
        <f t="shared" si="316"/>
        <v>0.65145592958786691</v>
      </c>
      <c r="AB452" s="4">
        <f t="shared" si="316"/>
        <v>0.56032247880849573</v>
      </c>
      <c r="AC452" s="4">
        <f t="shared" si="316"/>
        <v>0.46411326873185343</v>
      </c>
      <c r="AD452" s="4">
        <f t="shared" si="316"/>
        <v>0.36979727595523937</v>
      </c>
      <c r="AE452" s="4">
        <f t="shared" si="316"/>
        <v>0.28393948637231203</v>
      </c>
      <c r="AF452" s="4">
        <f t="shared" si="316"/>
        <v>0.21097259161117732</v>
      </c>
      <c r="AG452" s="4">
        <f t="shared" si="313"/>
        <v>0.15253917653798199</v>
      </c>
      <c r="AH452" s="4">
        <f t="shared" si="313"/>
        <v>0.10795188737709993</v>
      </c>
      <c r="AI452" s="4">
        <f t="shared" si="313"/>
        <v>7.5176653938091809E-2</v>
      </c>
      <c r="AJ452" s="4">
        <f t="shared" si="314"/>
        <v>5.1742836177502194E-2</v>
      </c>
      <c r="AK452" s="4">
        <f t="shared" si="314"/>
        <v>3.5319190625345942E-2</v>
      </c>
      <c r="AL452" s="4">
        <f t="shared" si="314"/>
        <v>2.3969442072658165E-2</v>
      </c>
      <c r="AM452" s="4">
        <f t="shared" si="314"/>
        <v>1.6202243558389728E-2</v>
      </c>
      <c r="AN452" s="4">
        <f t="shared" si="314"/>
        <v>1.0922240564108399E-2</v>
      </c>
      <c r="AO452" s="4">
        <f t="shared" si="314"/>
        <v>7.3493212906090566E-3</v>
      </c>
      <c r="AP452" s="4">
        <f t="shared" si="314"/>
        <v>4.9390262185057265E-3</v>
      </c>
      <c r="AQ452" s="4">
        <f t="shared" si="314"/>
        <v>3.3164275492956197E-3</v>
      </c>
      <c r="AR452" s="4">
        <f t="shared" si="314"/>
        <v>2.2256362146679809E-3</v>
      </c>
    </row>
    <row r="453" spans="1:44" x14ac:dyDescent="0.3">
      <c r="A453" s="24" t="s">
        <v>56</v>
      </c>
      <c r="B453" s="45">
        <f>'Parameter Input'!B64</f>
        <v>0.48</v>
      </c>
      <c r="C453" s="46">
        <f>'Parameter Input'!C64</f>
        <v>0.48</v>
      </c>
      <c r="D453" s="1" t="s">
        <v>57</v>
      </c>
      <c r="L453" s="54">
        <f>'Parameter Input'!E64</f>
        <v>12</v>
      </c>
      <c r="M453" s="37">
        <v>0</v>
      </c>
      <c r="N453" s="37">
        <v>1</v>
      </c>
      <c r="O453" s="37">
        <f>'Parameter Input'!F64</f>
        <v>0.9</v>
      </c>
      <c r="P453" s="55">
        <f>'Parameter Input'!G64</f>
        <v>0.4</v>
      </c>
      <c r="Q453" s="4">
        <f t="shared" si="316"/>
        <v>0.9867978615748374</v>
      </c>
      <c r="R453" s="4">
        <f t="shared" si="316"/>
        <v>0.98114509762858249</v>
      </c>
      <c r="S453" s="4">
        <f t="shared" si="316"/>
        <v>0.97311898315872036</v>
      </c>
      <c r="T453" s="4">
        <f t="shared" si="316"/>
        <v>0.96177484161592774</v>
      </c>
      <c r="U453" s="4">
        <f t="shared" si="316"/>
        <v>0.94584787155511363</v>
      </c>
      <c r="V453" s="4">
        <f t="shared" si="316"/>
        <v>0.92370360150141495</v>
      </c>
      <c r="W453" s="4">
        <f t="shared" si="316"/>
        <v>0.89334463567658451</v>
      </c>
      <c r="X453" s="4">
        <f t="shared" si="316"/>
        <v>0.85254543874327005</v>
      </c>
      <c r="Y453" s="4">
        <f t="shared" si="316"/>
        <v>0.79921300652623883</v>
      </c>
      <c r="Z453" s="4">
        <f t="shared" si="316"/>
        <v>0.73204982249993378</v>
      </c>
      <c r="AA453" s="4">
        <f t="shared" si="316"/>
        <v>0.65145592958786691</v>
      </c>
      <c r="AB453" s="4">
        <f t="shared" si="316"/>
        <v>0.56032247880849573</v>
      </c>
      <c r="AC453" s="4">
        <f t="shared" si="316"/>
        <v>0.46411326873185343</v>
      </c>
      <c r="AD453" s="4">
        <f t="shared" si="316"/>
        <v>0.36979727595523937</v>
      </c>
      <c r="AE453" s="4">
        <f t="shared" si="316"/>
        <v>0.28393948637231203</v>
      </c>
      <c r="AF453" s="4">
        <f t="shared" si="316"/>
        <v>0.21097259161117732</v>
      </c>
      <c r="AG453" s="4">
        <f t="shared" si="313"/>
        <v>0.15253917653798199</v>
      </c>
      <c r="AH453" s="4">
        <f t="shared" si="313"/>
        <v>0.10795188737709993</v>
      </c>
      <c r="AI453" s="4">
        <f t="shared" si="313"/>
        <v>7.5176653938091809E-2</v>
      </c>
      <c r="AJ453" s="4">
        <f t="shared" si="314"/>
        <v>5.1742836177502194E-2</v>
      </c>
      <c r="AK453" s="4">
        <f t="shared" si="314"/>
        <v>3.5319190625345942E-2</v>
      </c>
      <c r="AL453" s="4">
        <f t="shared" si="314"/>
        <v>2.3969442072658165E-2</v>
      </c>
      <c r="AM453" s="4">
        <f t="shared" si="314"/>
        <v>1.6202243558389728E-2</v>
      </c>
      <c r="AN453" s="4">
        <f t="shared" si="314"/>
        <v>1.0922240564108399E-2</v>
      </c>
      <c r="AO453" s="4">
        <f t="shared" si="314"/>
        <v>7.3493212906090566E-3</v>
      </c>
      <c r="AP453" s="4">
        <f t="shared" si="314"/>
        <v>4.9390262185057265E-3</v>
      </c>
      <c r="AQ453" s="4">
        <f t="shared" si="314"/>
        <v>3.3164275492956197E-3</v>
      </c>
      <c r="AR453" s="4">
        <f t="shared" si="314"/>
        <v>2.2256362146679809E-3</v>
      </c>
    </row>
    <row r="454" spans="1:44" x14ac:dyDescent="0.3">
      <c r="A454" s="24" t="s">
        <v>73</v>
      </c>
      <c r="B454" s="72">
        <f>'Parameter Input'!$L$38</f>
        <v>0.05</v>
      </c>
      <c r="C454" s="73">
        <f>'Parameter Input'!$M$38</f>
        <v>0.02</v>
      </c>
      <c r="D454" s="1" t="s">
        <v>57</v>
      </c>
      <c r="L454" s="54">
        <f>'Parameter Input'!$O$38</f>
        <v>12</v>
      </c>
      <c r="M454" s="37">
        <v>0</v>
      </c>
      <c r="N454" s="37">
        <v>1</v>
      </c>
      <c r="O454" s="37">
        <f>'Parameter Input'!$P$38</f>
        <v>0.9</v>
      </c>
      <c r="P454" s="55">
        <f>'Parameter Input'!$Q$38</f>
        <v>0.4</v>
      </c>
      <c r="Q454" s="4">
        <f t="shared" si="316"/>
        <v>0.9867978615748374</v>
      </c>
      <c r="R454" s="4">
        <f t="shared" si="316"/>
        <v>0.98114509762858249</v>
      </c>
      <c r="S454" s="4">
        <f t="shared" si="316"/>
        <v>0.97311898315872036</v>
      </c>
      <c r="T454" s="4">
        <f t="shared" si="316"/>
        <v>0.96177484161592774</v>
      </c>
      <c r="U454" s="4">
        <f t="shared" si="316"/>
        <v>0.94584787155511363</v>
      </c>
      <c r="V454" s="4">
        <f t="shared" si="316"/>
        <v>0.92370360150141495</v>
      </c>
      <c r="W454" s="4">
        <f t="shared" si="316"/>
        <v>0.89334463567658451</v>
      </c>
      <c r="X454" s="4">
        <f t="shared" si="316"/>
        <v>0.85254543874327005</v>
      </c>
      <c r="Y454" s="4">
        <f t="shared" si="316"/>
        <v>0.79921300652623883</v>
      </c>
      <c r="Z454" s="4">
        <f t="shared" si="316"/>
        <v>0.73204982249993378</v>
      </c>
      <c r="AA454" s="4">
        <f t="shared" si="316"/>
        <v>0.65145592958786691</v>
      </c>
      <c r="AB454" s="4">
        <f t="shared" si="316"/>
        <v>0.56032247880849573</v>
      </c>
      <c r="AC454" s="4">
        <f t="shared" si="316"/>
        <v>0.46411326873185343</v>
      </c>
      <c r="AD454" s="4">
        <f t="shared" si="316"/>
        <v>0.36979727595523937</v>
      </c>
      <c r="AE454" s="4">
        <f t="shared" si="316"/>
        <v>0.28393948637231203</v>
      </c>
      <c r="AF454" s="4">
        <f t="shared" si="316"/>
        <v>0.21097259161117732</v>
      </c>
      <c r="AG454" s="4">
        <f t="shared" si="313"/>
        <v>0.15253917653798199</v>
      </c>
      <c r="AH454" s="4">
        <f t="shared" si="313"/>
        <v>0.10795188737709993</v>
      </c>
      <c r="AI454" s="4">
        <f t="shared" si="313"/>
        <v>7.5176653938091809E-2</v>
      </c>
      <c r="AJ454" s="4">
        <f t="shared" si="314"/>
        <v>5.1742836177502194E-2</v>
      </c>
      <c r="AK454" s="4">
        <f t="shared" si="314"/>
        <v>3.5319190625345942E-2</v>
      </c>
      <c r="AL454" s="4">
        <f t="shared" si="314"/>
        <v>2.3969442072658165E-2</v>
      </c>
      <c r="AM454" s="4">
        <f t="shared" si="314"/>
        <v>1.6202243558389728E-2</v>
      </c>
      <c r="AN454" s="4">
        <f t="shared" si="314"/>
        <v>1.0922240564108399E-2</v>
      </c>
      <c r="AO454" s="4">
        <f t="shared" si="314"/>
        <v>7.3493212906090566E-3</v>
      </c>
      <c r="AP454" s="4">
        <f t="shared" si="314"/>
        <v>4.9390262185057265E-3</v>
      </c>
      <c r="AQ454" s="4">
        <f t="shared" si="314"/>
        <v>3.3164275492956197E-3</v>
      </c>
      <c r="AR454" s="4">
        <f t="shared" si="314"/>
        <v>2.2256362146679809E-3</v>
      </c>
    </row>
    <row r="455" spans="1:44" ht="15" thickBot="1" x14ac:dyDescent="0.35">
      <c r="A455" s="24" t="s">
        <v>64</v>
      </c>
      <c r="B455" s="49">
        <f>'Parameter Input'!B65</f>
        <v>90000</v>
      </c>
      <c r="C455" s="50">
        <f>'Parameter Input'!C65</f>
        <v>90000</v>
      </c>
      <c r="D455" s="1" t="s">
        <v>65</v>
      </c>
      <c r="L455" s="56">
        <f>'Parameter Input'!E65</f>
        <v>12</v>
      </c>
      <c r="M455" s="57">
        <v>0</v>
      </c>
      <c r="N455" s="57">
        <v>1</v>
      </c>
      <c r="O455" s="57">
        <f>'Parameter Input'!F65</f>
        <v>0.9</v>
      </c>
      <c r="P455" s="58">
        <f>'Parameter Input'!G65</f>
        <v>0.4</v>
      </c>
      <c r="Q455" s="4">
        <f t="shared" si="316"/>
        <v>0.9867978615748374</v>
      </c>
      <c r="R455" s="4">
        <f t="shared" si="316"/>
        <v>0.98114509762858249</v>
      </c>
      <c r="S455" s="4">
        <f t="shared" si="316"/>
        <v>0.97311898315872036</v>
      </c>
      <c r="T455" s="4">
        <f t="shared" si="316"/>
        <v>0.96177484161592774</v>
      </c>
      <c r="U455" s="4">
        <f t="shared" si="316"/>
        <v>0.94584787155511363</v>
      </c>
      <c r="V455" s="4">
        <f t="shared" si="316"/>
        <v>0.92370360150141495</v>
      </c>
      <c r="W455" s="4">
        <f t="shared" si="316"/>
        <v>0.89334463567658451</v>
      </c>
      <c r="X455" s="4">
        <f t="shared" si="316"/>
        <v>0.85254543874327005</v>
      </c>
      <c r="Y455" s="4">
        <f t="shared" si="316"/>
        <v>0.79921300652623883</v>
      </c>
      <c r="Z455" s="4">
        <f t="shared" si="316"/>
        <v>0.73204982249993378</v>
      </c>
      <c r="AA455" s="4">
        <f t="shared" si="316"/>
        <v>0.65145592958786691</v>
      </c>
      <c r="AB455" s="4">
        <f t="shared" si="316"/>
        <v>0.56032247880849573</v>
      </c>
      <c r="AC455" s="4">
        <f t="shared" si="316"/>
        <v>0.46411326873185343</v>
      </c>
      <c r="AD455" s="4">
        <f t="shared" si="316"/>
        <v>0.36979727595523937</v>
      </c>
      <c r="AE455" s="4">
        <f t="shared" si="316"/>
        <v>0.28393948637231203</v>
      </c>
      <c r="AF455" s="4">
        <f t="shared" si="316"/>
        <v>0.21097259161117732</v>
      </c>
      <c r="AG455" s="4">
        <f t="shared" si="313"/>
        <v>0.15253917653798199</v>
      </c>
      <c r="AH455" s="4">
        <f t="shared" si="313"/>
        <v>0.10795188737709993</v>
      </c>
      <c r="AI455" s="4">
        <f t="shared" si="313"/>
        <v>7.5176653938091809E-2</v>
      </c>
      <c r="AJ455" s="4">
        <f t="shared" si="314"/>
        <v>5.1742836177502194E-2</v>
      </c>
      <c r="AK455" s="4">
        <f t="shared" si="314"/>
        <v>3.5319190625345942E-2</v>
      </c>
      <c r="AL455" s="4">
        <f t="shared" si="314"/>
        <v>2.3969442072658165E-2</v>
      </c>
      <c r="AM455" s="4">
        <f t="shared" si="314"/>
        <v>1.6202243558389728E-2</v>
      </c>
      <c r="AN455" s="4">
        <f t="shared" si="314"/>
        <v>1.0922240564108399E-2</v>
      </c>
      <c r="AO455" s="4">
        <f t="shared" si="314"/>
        <v>7.3493212906090566E-3</v>
      </c>
      <c r="AP455" s="4">
        <f t="shared" si="314"/>
        <v>4.9390262185057265E-3</v>
      </c>
      <c r="AQ455" s="4">
        <f t="shared" si="314"/>
        <v>3.3164275492956197E-3</v>
      </c>
      <c r="AR455" s="4">
        <f t="shared" si="314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68" si="317">A439</f>
        <v>Capex vehicle</v>
      </c>
      <c r="B459" s="62">
        <f t="shared" ref="B459:B468" si="318">$B439+($C439-$B439)*(1-Q439)</f>
        <v>381017.08777974301</v>
      </c>
      <c r="C459" s="62">
        <f t="shared" ref="C459:C468" si="319">$B439+($C439-$B439)*(1-R439)</f>
        <v>377274.24981545168</v>
      </c>
      <c r="D459" s="62">
        <f t="shared" ref="D459:D468" si="320">$B439+($C439-$B439)*(1-S439)</f>
        <v>372070.34635283251</v>
      </c>
      <c r="E459" s="62">
        <f t="shared" ref="E459:E468" si="321">$B439+($C439-$B439)*(1-T439)</f>
        <v>364935.98938399734</v>
      </c>
      <c r="F459" s="62">
        <f t="shared" ref="F459:F468" si="322">$B439+($C439-$B439)*(1-U439)</f>
        <v>355348.17810466845</v>
      </c>
      <c r="G459" s="62">
        <f t="shared" ref="G459:G468" si="323">$B439+($C439-$B439)*(1-V439)</f>
        <v>342815.05653366609</v>
      </c>
      <c r="H459" s="62">
        <f t="shared" ref="H459:H468" si="324">$B439+($C439-$B439)*(1-W439)</f>
        <v>327031.70828748442</v>
      </c>
      <c r="I459" s="62">
        <f t="shared" ref="I459:I468" si="325">$B439+($C439-$B439)*(1-X439)</f>
        <v>308092.14345314872</v>
      </c>
      <c r="J459" s="62">
        <f t="shared" ref="J459:J468" si="326">$B439+($C439-$B439)*(1-Y439)</f>
        <v>286675.78251999652</v>
      </c>
      <c r="K459" s="62">
        <f t="shared" ref="K459:K468" si="327">$B439+($C439-$B439)*(1-Z439)</f>
        <v>264066.61815198557</v>
      </c>
      <c r="L459" s="62">
        <f t="shared" ref="L459:L468" si="328">$B439+($C439-$B439)*(1-AA439)</f>
        <v>241902.35984948126</v>
      </c>
      <c r="M459" s="62">
        <f t="shared" ref="M459:M468" si="329">$B439+($C439-$B439)*(1-AB439)</f>
        <v>221725.77929749334</v>
      </c>
      <c r="N459" s="62">
        <f t="shared" ref="N459:N468" si="330">$B439+($C439-$B439)*(1-AC439)</f>
        <v>204578.55902862668</v>
      </c>
      <c r="O459" s="62">
        <f t="shared" ref="O459:O468" si="331">$B439+($C439-$B439)*(1-AD439)</f>
        <v>190846.70648642577</v>
      </c>
      <c r="P459" s="62">
        <f t="shared" ref="P459:P468" si="332">$B439+($C439-$B439)*(1-AE439)</f>
        <v>180368.6935336185</v>
      </c>
      <c r="Q459" s="62">
        <f t="shared" ref="Q459:Q468" si="333">$B439+($C439-$B439)*(1-AF439)</f>
        <v>172666.51367545157</v>
      </c>
      <c r="R459" s="62">
        <f t="shared" ref="R459:R468" si="334">$B439+($C439-$B439)*(1-AG439)</f>
        <v>167159.56650171301</v>
      </c>
      <c r="S459" s="62">
        <f t="shared" ref="S459:S468" si="335">$B439+($C439-$B439)*(1-AH439)</f>
        <v>163300.00979695629</v>
      </c>
      <c r="T459" s="62">
        <f t="shared" ref="T459:T468" si="336">$B439+($C439-$B439)*(1-AI439)</f>
        <v>160632.81888707468</v>
      </c>
      <c r="U459" s="62">
        <f t="shared" ref="U459:U468" si="337">$B439+($C439-$B439)*(1-AJ439)</f>
        <v>158807.52723622159</v>
      </c>
      <c r="V459" s="62">
        <f t="shared" ref="V459:V468" si="338">$B439+($C439-$B439)*(1-AK439)</f>
        <v>157566.72653256549</v>
      </c>
      <c r="W459" s="62">
        <f t="shared" ref="W459:W468" si="339">$B439+($C439-$B439)*(1-AL439)</f>
        <v>156727.09050329312</v>
      </c>
      <c r="X459" s="62">
        <f t="shared" ref="X459:X468" si="340">$B439+($C439-$B439)*(1-AM439)</f>
        <v>156160.67116134884</v>
      </c>
      <c r="Y459" s="62">
        <f t="shared" ref="Y459:Y468" si="341">$B439+($C439-$B439)*(1-AN439)</f>
        <v>155779.36047408447</v>
      </c>
      <c r="Z459" s="62">
        <f t="shared" ref="Z459:Z468" si="342">$B439+($C439-$B439)*(1-AO439)</f>
        <v>155523.02451044696</v>
      </c>
      <c r="AA459" s="62">
        <f t="shared" ref="AA459:AA468" si="343">$B439+($C439-$B439)*(1-AP439)</f>
        <v>155350.86554456307</v>
      </c>
      <c r="AB459" s="62">
        <f t="shared" ref="AB459:AB468" si="344">$B439+($C439-$B439)*(1-AQ439)</f>
        <v>155235.31446535516</v>
      </c>
      <c r="AC459" s="62">
        <f t="shared" ref="AC459:AC468" si="345">$B439+($C439-$B439)*(1-AR439)</f>
        <v>155157.7909855787</v>
      </c>
    </row>
    <row r="460" spans="1:44" x14ac:dyDescent="0.3">
      <c r="A460" s="30" t="str">
        <f t="shared" si="317"/>
        <v>Residual value (vehicle)</v>
      </c>
      <c r="B460" s="62">
        <f t="shared" si="318"/>
        <v>-57745.053121914571</v>
      </c>
      <c r="C460" s="62">
        <f t="shared" si="319"/>
        <v>-57430.49546321349</v>
      </c>
      <c r="D460" s="62">
        <f t="shared" si="320"/>
        <v>-56993.146129652945</v>
      </c>
      <c r="E460" s="62">
        <f t="shared" si="321"/>
        <v>-56393.556554612544</v>
      </c>
      <c r="F460" s="62">
        <f t="shared" si="322"/>
        <v>-55587.772415179585</v>
      </c>
      <c r="G460" s="62">
        <f t="shared" si="323"/>
        <v>-54534.456878893216</v>
      </c>
      <c r="H460" s="62">
        <f t="shared" si="324"/>
        <v>-53207.983994373695</v>
      </c>
      <c r="I460" s="62">
        <f t="shared" si="325"/>
        <v>-51616.254609360374</v>
      </c>
      <c r="J460" s="62">
        <f t="shared" si="326"/>
        <v>-49816.368956467792</v>
      </c>
      <c r="K460" s="62">
        <f t="shared" si="327"/>
        <v>-47916.237057454106</v>
      </c>
      <c r="L460" s="62">
        <f t="shared" si="328"/>
        <v>-46053.49620011598</v>
      </c>
      <c r="M460" s="62">
        <f t="shared" si="329"/>
        <v>-44357.804855853159</v>
      </c>
      <c r="N460" s="62">
        <f t="shared" si="330"/>
        <v>-42916.708684320751</v>
      </c>
      <c r="O460" s="62">
        <f t="shared" si="331"/>
        <v>-41762.648736625146</v>
      </c>
      <c r="P460" s="62">
        <f t="shared" si="332"/>
        <v>-40882.049775697727</v>
      </c>
      <c r="Q460" s="62">
        <f t="shared" si="333"/>
        <v>-40234.73891527731</v>
      </c>
      <c r="R460" s="62">
        <f t="shared" si="334"/>
        <v>-39771.921014505671</v>
      </c>
      <c r="S460" s="62">
        <f t="shared" si="335"/>
        <v>-39447.554014850582</v>
      </c>
      <c r="T460" s="62">
        <f t="shared" si="336"/>
        <v>-39223.396480935</v>
      </c>
      <c r="U460" s="62">
        <f t="shared" si="337"/>
        <v>-39069.994310278198</v>
      </c>
      <c r="V460" s="62">
        <f t="shared" si="338"/>
        <v>-38965.714251141137</v>
      </c>
      <c r="W460" s="62">
        <f t="shared" si="339"/>
        <v>-38895.149095489527</v>
      </c>
      <c r="X460" s="62">
        <f t="shared" si="340"/>
        <v>-38847.545767815493</v>
      </c>
      <c r="Y460" s="62">
        <f t="shared" si="341"/>
        <v>-38815.49944409859</v>
      </c>
      <c r="Z460" s="62">
        <f t="shared" si="342"/>
        <v>-38793.956315239688</v>
      </c>
      <c r="AA460" s="62">
        <f t="shared" si="343"/>
        <v>-38779.487636192003</v>
      </c>
      <c r="AB460" s="62">
        <f t="shared" si="344"/>
        <v>-38769.776428471334</v>
      </c>
      <c r="AC460" s="62">
        <f t="shared" si="345"/>
        <v>-38763.261157298635</v>
      </c>
    </row>
    <row r="461" spans="1:44" x14ac:dyDescent="0.3">
      <c r="A461" s="30" t="str">
        <f t="shared" si="317"/>
        <v>Capex costumization</v>
      </c>
      <c r="B461" s="62">
        <f t="shared" si="318"/>
        <v>35000</v>
      </c>
      <c r="C461" s="62">
        <f t="shared" si="319"/>
        <v>35000</v>
      </c>
      <c r="D461" s="62">
        <f t="shared" si="320"/>
        <v>35000</v>
      </c>
      <c r="E461" s="62">
        <f t="shared" si="321"/>
        <v>35000</v>
      </c>
      <c r="F461" s="62">
        <f t="shared" si="322"/>
        <v>35000</v>
      </c>
      <c r="G461" s="62">
        <f t="shared" si="323"/>
        <v>35000</v>
      </c>
      <c r="H461" s="62">
        <f t="shared" si="324"/>
        <v>35000</v>
      </c>
      <c r="I461" s="62">
        <f t="shared" si="325"/>
        <v>35000</v>
      </c>
      <c r="J461" s="62">
        <f t="shared" si="326"/>
        <v>35000</v>
      </c>
      <c r="K461" s="62">
        <f t="shared" si="327"/>
        <v>35000</v>
      </c>
      <c r="L461" s="62">
        <f t="shared" si="328"/>
        <v>35000</v>
      </c>
      <c r="M461" s="62">
        <f t="shared" si="329"/>
        <v>35000</v>
      </c>
      <c r="N461" s="62">
        <f t="shared" si="330"/>
        <v>35000</v>
      </c>
      <c r="O461" s="62">
        <f t="shared" si="331"/>
        <v>35000</v>
      </c>
      <c r="P461" s="62">
        <f t="shared" si="332"/>
        <v>35000</v>
      </c>
      <c r="Q461" s="62">
        <f t="shared" si="333"/>
        <v>35000</v>
      </c>
      <c r="R461" s="62">
        <f t="shared" si="334"/>
        <v>35000</v>
      </c>
      <c r="S461" s="62">
        <f t="shared" si="335"/>
        <v>35000</v>
      </c>
      <c r="T461" s="62">
        <f t="shared" si="336"/>
        <v>35000</v>
      </c>
      <c r="U461" s="62">
        <f t="shared" si="337"/>
        <v>35000</v>
      </c>
      <c r="V461" s="62">
        <f t="shared" si="338"/>
        <v>35000</v>
      </c>
      <c r="W461" s="62">
        <f t="shared" si="339"/>
        <v>35000</v>
      </c>
      <c r="X461" s="62">
        <f t="shared" si="340"/>
        <v>35000</v>
      </c>
      <c r="Y461" s="62">
        <f t="shared" si="341"/>
        <v>35000</v>
      </c>
      <c r="Z461" s="62">
        <f t="shared" si="342"/>
        <v>35000</v>
      </c>
      <c r="AA461" s="62">
        <f t="shared" si="343"/>
        <v>35000</v>
      </c>
      <c r="AB461" s="62">
        <f t="shared" si="344"/>
        <v>35000</v>
      </c>
      <c r="AC461" s="62">
        <f t="shared" si="345"/>
        <v>35000</v>
      </c>
    </row>
    <row r="462" spans="1:44" x14ac:dyDescent="0.3">
      <c r="A462" s="30" t="str">
        <f t="shared" si="317"/>
        <v>Residual value (costumization)</v>
      </c>
      <c r="B462" s="62">
        <f t="shared" si="318"/>
        <v>-8750</v>
      </c>
      <c r="C462" s="62">
        <f t="shared" si="319"/>
        <v>-8750</v>
      </c>
      <c r="D462" s="62">
        <f t="shared" si="320"/>
        <v>-8750</v>
      </c>
      <c r="E462" s="62">
        <f t="shared" si="321"/>
        <v>-8750</v>
      </c>
      <c r="F462" s="62">
        <f t="shared" si="322"/>
        <v>-8750</v>
      </c>
      <c r="G462" s="62">
        <f t="shared" si="323"/>
        <v>-8750</v>
      </c>
      <c r="H462" s="62">
        <f t="shared" si="324"/>
        <v>-8750</v>
      </c>
      <c r="I462" s="62">
        <f t="shared" si="325"/>
        <v>-8750</v>
      </c>
      <c r="J462" s="62">
        <f t="shared" si="326"/>
        <v>-8750</v>
      </c>
      <c r="K462" s="62">
        <f t="shared" si="327"/>
        <v>-8750</v>
      </c>
      <c r="L462" s="62">
        <f t="shared" si="328"/>
        <v>-8750</v>
      </c>
      <c r="M462" s="62">
        <f t="shared" si="329"/>
        <v>-8750</v>
      </c>
      <c r="N462" s="62">
        <f t="shared" si="330"/>
        <v>-8750</v>
      </c>
      <c r="O462" s="62">
        <f t="shared" si="331"/>
        <v>-8750</v>
      </c>
      <c r="P462" s="62">
        <f t="shared" si="332"/>
        <v>-8750</v>
      </c>
      <c r="Q462" s="62">
        <f t="shared" si="333"/>
        <v>-8750</v>
      </c>
      <c r="R462" s="62">
        <f t="shared" si="334"/>
        <v>-8750</v>
      </c>
      <c r="S462" s="62">
        <f t="shared" si="335"/>
        <v>-8750</v>
      </c>
      <c r="T462" s="62">
        <f t="shared" si="336"/>
        <v>-8750</v>
      </c>
      <c r="U462" s="62">
        <f t="shared" si="337"/>
        <v>-8750</v>
      </c>
      <c r="V462" s="62">
        <f t="shared" si="338"/>
        <v>-8750</v>
      </c>
      <c r="W462" s="62">
        <f t="shared" si="339"/>
        <v>-8750</v>
      </c>
      <c r="X462" s="62">
        <f t="shared" si="340"/>
        <v>-8750</v>
      </c>
      <c r="Y462" s="62">
        <f t="shared" si="341"/>
        <v>-8750</v>
      </c>
      <c r="Z462" s="62">
        <f t="shared" si="342"/>
        <v>-8750</v>
      </c>
      <c r="AA462" s="62">
        <f t="shared" si="343"/>
        <v>-8750</v>
      </c>
      <c r="AB462" s="62">
        <f t="shared" si="344"/>
        <v>-8750</v>
      </c>
      <c r="AC462" s="62">
        <f t="shared" si="345"/>
        <v>-8750</v>
      </c>
    </row>
    <row r="463" spans="1:44" x14ac:dyDescent="0.3">
      <c r="A463" s="30" t="str">
        <f t="shared" si="317"/>
        <v>WACC</v>
      </c>
      <c r="B463" s="62">
        <f t="shared" si="318"/>
        <v>0.06</v>
      </c>
      <c r="C463" s="62">
        <f t="shared" si="319"/>
        <v>0.06</v>
      </c>
      <c r="D463" s="62">
        <f t="shared" si="320"/>
        <v>0.06</v>
      </c>
      <c r="E463" s="62">
        <f t="shared" si="321"/>
        <v>0.06</v>
      </c>
      <c r="F463" s="62">
        <f t="shared" si="322"/>
        <v>0.06</v>
      </c>
      <c r="G463" s="62">
        <f t="shared" si="323"/>
        <v>0.06</v>
      </c>
      <c r="H463" s="62">
        <f t="shared" si="324"/>
        <v>0.06</v>
      </c>
      <c r="I463" s="62">
        <f t="shared" si="325"/>
        <v>0.06</v>
      </c>
      <c r="J463" s="62">
        <f t="shared" si="326"/>
        <v>0.06</v>
      </c>
      <c r="K463" s="62">
        <f t="shared" si="327"/>
        <v>0.06</v>
      </c>
      <c r="L463" s="62">
        <f t="shared" si="328"/>
        <v>0.06</v>
      </c>
      <c r="M463" s="62">
        <f t="shared" si="329"/>
        <v>0.06</v>
      </c>
      <c r="N463" s="62">
        <f t="shared" si="330"/>
        <v>0.06</v>
      </c>
      <c r="O463" s="62">
        <f t="shared" si="331"/>
        <v>0.06</v>
      </c>
      <c r="P463" s="62">
        <f t="shared" si="332"/>
        <v>0.06</v>
      </c>
      <c r="Q463" s="62">
        <f t="shared" si="333"/>
        <v>0.06</v>
      </c>
      <c r="R463" s="62">
        <f t="shared" si="334"/>
        <v>0.06</v>
      </c>
      <c r="S463" s="62">
        <f t="shared" si="335"/>
        <v>0.06</v>
      </c>
      <c r="T463" s="62">
        <f t="shared" si="336"/>
        <v>0.06</v>
      </c>
      <c r="U463" s="62">
        <f t="shared" si="337"/>
        <v>0.06</v>
      </c>
      <c r="V463" s="62">
        <f t="shared" si="338"/>
        <v>0.06</v>
      </c>
      <c r="W463" s="62">
        <f t="shared" si="339"/>
        <v>0.06</v>
      </c>
      <c r="X463" s="62">
        <f t="shared" si="340"/>
        <v>0.06</v>
      </c>
      <c r="Y463" s="62">
        <f t="shared" si="341"/>
        <v>0.06</v>
      </c>
      <c r="Z463" s="62">
        <f t="shared" si="342"/>
        <v>0.06</v>
      </c>
      <c r="AA463" s="62">
        <f t="shared" si="343"/>
        <v>0.06</v>
      </c>
      <c r="AB463" s="62">
        <f t="shared" si="344"/>
        <v>0.06</v>
      </c>
      <c r="AC463" s="62">
        <f t="shared" si="345"/>
        <v>0.06</v>
      </c>
    </row>
    <row r="464" spans="1:44" x14ac:dyDescent="0.3">
      <c r="A464" s="30" t="str">
        <f t="shared" si="317"/>
        <v>Opex fix (admin, crew, insurance)</v>
      </c>
      <c r="B464" s="62">
        <f t="shared" si="318"/>
        <v>70000</v>
      </c>
      <c r="C464" s="62">
        <f t="shared" si="319"/>
        <v>70000</v>
      </c>
      <c r="D464" s="62">
        <f t="shared" si="320"/>
        <v>70000</v>
      </c>
      <c r="E464" s="62">
        <f t="shared" si="321"/>
        <v>70000</v>
      </c>
      <c r="F464" s="62">
        <f t="shared" si="322"/>
        <v>70000</v>
      </c>
      <c r="G464" s="62">
        <f t="shared" si="323"/>
        <v>70000</v>
      </c>
      <c r="H464" s="62">
        <f t="shared" si="324"/>
        <v>70000</v>
      </c>
      <c r="I464" s="62">
        <f t="shared" si="325"/>
        <v>70000</v>
      </c>
      <c r="J464" s="62">
        <f t="shared" si="326"/>
        <v>70000</v>
      </c>
      <c r="K464" s="62">
        <f t="shared" si="327"/>
        <v>70000</v>
      </c>
      <c r="L464" s="62">
        <f t="shared" si="328"/>
        <v>70000</v>
      </c>
      <c r="M464" s="62">
        <f t="shared" si="329"/>
        <v>70000</v>
      </c>
      <c r="N464" s="62">
        <f t="shared" si="330"/>
        <v>70000</v>
      </c>
      <c r="O464" s="62">
        <f t="shared" si="331"/>
        <v>70000</v>
      </c>
      <c r="P464" s="62">
        <f t="shared" si="332"/>
        <v>70000</v>
      </c>
      <c r="Q464" s="62">
        <f t="shared" si="333"/>
        <v>70000</v>
      </c>
      <c r="R464" s="62">
        <f t="shared" si="334"/>
        <v>70000</v>
      </c>
      <c r="S464" s="62">
        <f t="shared" si="335"/>
        <v>70000</v>
      </c>
      <c r="T464" s="62">
        <f t="shared" si="336"/>
        <v>70000</v>
      </c>
      <c r="U464" s="62">
        <f t="shared" si="337"/>
        <v>70000</v>
      </c>
      <c r="V464" s="62">
        <f t="shared" si="338"/>
        <v>70000</v>
      </c>
      <c r="W464" s="62">
        <f t="shared" si="339"/>
        <v>70000</v>
      </c>
      <c r="X464" s="62">
        <f t="shared" si="340"/>
        <v>70000</v>
      </c>
      <c r="Y464" s="62">
        <f t="shared" si="341"/>
        <v>70000</v>
      </c>
      <c r="Z464" s="62">
        <f t="shared" si="342"/>
        <v>70000</v>
      </c>
      <c r="AA464" s="62">
        <f t="shared" si="343"/>
        <v>70000</v>
      </c>
      <c r="AB464" s="62">
        <f t="shared" si="344"/>
        <v>70000</v>
      </c>
      <c r="AC464" s="62">
        <f t="shared" si="345"/>
        <v>70000</v>
      </c>
    </row>
    <row r="465" spans="1:29" x14ac:dyDescent="0.3">
      <c r="A465" s="30" t="str">
        <f t="shared" si="317"/>
        <v>Opex maintenance &amp; repair</v>
      </c>
      <c r="B465" s="62">
        <f t="shared" si="318"/>
        <v>25694.198732927423</v>
      </c>
      <c r="C465" s="62">
        <f t="shared" si="319"/>
        <v>25566.782972440909</v>
      </c>
      <c r="D465" s="62">
        <f t="shared" si="320"/>
        <v>25389.62881201132</v>
      </c>
      <c r="E465" s="62">
        <f t="shared" si="321"/>
        <v>25146.757085412675</v>
      </c>
      <c r="F465" s="62">
        <f t="shared" si="322"/>
        <v>24820.363509946161</v>
      </c>
      <c r="G465" s="62">
        <f t="shared" si="323"/>
        <v>24393.704052209912</v>
      </c>
      <c r="H465" s="62">
        <f t="shared" si="324"/>
        <v>23856.39857999947</v>
      </c>
      <c r="I465" s="62">
        <f t="shared" si="325"/>
        <v>23211.647436702937</v>
      </c>
      <c r="J465" s="62">
        <f t="shared" si="326"/>
        <v>22482.579830467967</v>
      </c>
      <c r="K465" s="62">
        <f t="shared" si="327"/>
        <v>21712.906149854825</v>
      </c>
      <c r="L465" s="62">
        <f t="shared" si="328"/>
        <v>20958.378207641916</v>
      </c>
      <c r="M465" s="62">
        <f t="shared" si="329"/>
        <v>20271.515890978495</v>
      </c>
      <c r="N465" s="62">
        <f t="shared" si="330"/>
        <v>19687.78073288942</v>
      </c>
      <c r="O465" s="62">
        <f t="shared" si="331"/>
        <v>19220.313412303854</v>
      </c>
      <c r="P465" s="62">
        <f t="shared" si="332"/>
        <v>18863.615099016799</v>
      </c>
      <c r="Q465" s="62">
        <f t="shared" si="333"/>
        <v>18601.413231504735</v>
      </c>
      <c r="R465" s="62">
        <f t="shared" si="334"/>
        <v>18413.942689420019</v>
      </c>
      <c r="S465" s="62">
        <f t="shared" si="335"/>
        <v>18282.553525002768</v>
      </c>
      <c r="T465" s="62">
        <f t="shared" si="336"/>
        <v>18191.755536581266</v>
      </c>
      <c r="U465" s="62">
        <f t="shared" si="337"/>
        <v>18129.617948467116</v>
      </c>
      <c r="V465" s="62">
        <f t="shared" si="338"/>
        <v>18087.377924512868</v>
      </c>
      <c r="W465" s="62">
        <f t="shared" si="339"/>
        <v>18058.794570324873</v>
      </c>
      <c r="X465" s="62">
        <f t="shared" si="340"/>
        <v>18039.512209748045</v>
      </c>
      <c r="Y465" s="62">
        <f t="shared" si="341"/>
        <v>18026.531420394364</v>
      </c>
      <c r="Z465" s="62">
        <f t="shared" si="342"/>
        <v>18017.805089717345</v>
      </c>
      <c r="AA465" s="62">
        <f t="shared" si="343"/>
        <v>18011.94435896385</v>
      </c>
      <c r="AB465" s="62">
        <f t="shared" si="344"/>
        <v>18008.010705203578</v>
      </c>
      <c r="AC465" s="62">
        <f t="shared" si="345"/>
        <v>18005.371608019701</v>
      </c>
    </row>
    <row r="466" spans="1:29" x14ac:dyDescent="0.3">
      <c r="A466" s="30" t="str">
        <f t="shared" si="317"/>
        <v>Opex var (mode-fees)</v>
      </c>
      <c r="B466" s="62">
        <f t="shared" si="318"/>
        <v>0.11</v>
      </c>
      <c r="C466" s="62">
        <f t="shared" si="319"/>
        <v>0.11</v>
      </c>
      <c r="D466" s="62">
        <f t="shared" si="320"/>
        <v>0.11</v>
      </c>
      <c r="E466" s="62">
        <f t="shared" si="321"/>
        <v>0.11</v>
      </c>
      <c r="F466" s="62">
        <f t="shared" si="322"/>
        <v>0.11</v>
      </c>
      <c r="G466" s="62">
        <f t="shared" si="323"/>
        <v>0.11</v>
      </c>
      <c r="H466" s="62">
        <f t="shared" si="324"/>
        <v>0.11</v>
      </c>
      <c r="I466" s="62">
        <f t="shared" si="325"/>
        <v>0.11</v>
      </c>
      <c r="J466" s="62">
        <f t="shared" si="326"/>
        <v>0.11</v>
      </c>
      <c r="K466" s="62">
        <f t="shared" si="327"/>
        <v>0.11</v>
      </c>
      <c r="L466" s="62">
        <f t="shared" si="328"/>
        <v>0.11</v>
      </c>
      <c r="M466" s="62">
        <f t="shared" si="329"/>
        <v>0.11</v>
      </c>
      <c r="N466" s="62">
        <f t="shared" si="330"/>
        <v>0.11</v>
      </c>
      <c r="O466" s="62">
        <f t="shared" si="331"/>
        <v>0.11</v>
      </c>
      <c r="P466" s="62">
        <f t="shared" si="332"/>
        <v>0.11</v>
      </c>
      <c r="Q466" s="62">
        <f t="shared" si="333"/>
        <v>0.11</v>
      </c>
      <c r="R466" s="62">
        <f t="shared" si="334"/>
        <v>0.11</v>
      </c>
      <c r="S466" s="62">
        <f t="shared" si="335"/>
        <v>0.11</v>
      </c>
      <c r="T466" s="62">
        <f t="shared" si="336"/>
        <v>0.11</v>
      </c>
      <c r="U466" s="62">
        <f t="shared" si="337"/>
        <v>0.11</v>
      </c>
      <c r="V466" s="62">
        <f t="shared" si="338"/>
        <v>0.11</v>
      </c>
      <c r="W466" s="62">
        <f t="shared" si="339"/>
        <v>0.11</v>
      </c>
      <c r="X466" s="62">
        <f t="shared" si="340"/>
        <v>0.11</v>
      </c>
      <c r="Y466" s="62">
        <f t="shared" si="341"/>
        <v>0.11</v>
      </c>
      <c r="Z466" s="62">
        <f t="shared" si="342"/>
        <v>0.11</v>
      </c>
      <c r="AA466" s="62">
        <f t="shared" si="343"/>
        <v>0.11</v>
      </c>
      <c r="AB466" s="62">
        <f t="shared" si="344"/>
        <v>0.11</v>
      </c>
      <c r="AC466" s="62">
        <f t="shared" si="345"/>
        <v>0.11</v>
      </c>
    </row>
    <row r="467" spans="1:29" x14ac:dyDescent="0.3">
      <c r="A467" s="30" t="str">
        <f t="shared" si="317"/>
        <v>Fuel Economy</v>
      </c>
      <c r="B467" s="62">
        <f t="shared" si="318"/>
        <v>2.5017133827957863</v>
      </c>
      <c r="C467" s="62">
        <f t="shared" si="319"/>
        <v>2.4899274249507841</v>
      </c>
      <c r="D467" s="62">
        <f t="shared" si="320"/>
        <v>2.473540665111047</v>
      </c>
      <c r="E467" s="62">
        <f t="shared" si="321"/>
        <v>2.4510750304006725</v>
      </c>
      <c r="F467" s="62">
        <f t="shared" si="322"/>
        <v>2.4208836246700196</v>
      </c>
      <c r="G467" s="62">
        <f t="shared" si="323"/>
        <v>2.3814176248294165</v>
      </c>
      <c r="H467" s="62">
        <f t="shared" si="324"/>
        <v>2.3317168686499508</v>
      </c>
      <c r="I467" s="62">
        <f t="shared" si="325"/>
        <v>2.2720773878950213</v>
      </c>
      <c r="J467" s="62">
        <f t="shared" si="326"/>
        <v>2.2046386343182869</v>
      </c>
      <c r="K467" s="62">
        <f t="shared" si="327"/>
        <v>2.1334438188615716</v>
      </c>
      <c r="L467" s="62">
        <f t="shared" si="328"/>
        <v>2.0636499842068772</v>
      </c>
      <c r="M467" s="62">
        <f t="shared" si="329"/>
        <v>2.0001152199155108</v>
      </c>
      <c r="N467" s="62">
        <f t="shared" si="330"/>
        <v>1.9461197177922713</v>
      </c>
      <c r="O467" s="62">
        <f t="shared" si="331"/>
        <v>1.9028789906381067</v>
      </c>
      <c r="P467" s="62">
        <f t="shared" si="332"/>
        <v>1.8698843966590539</v>
      </c>
      <c r="Q467" s="62">
        <f t="shared" si="333"/>
        <v>1.845630723914188</v>
      </c>
      <c r="R467" s="62">
        <f t="shared" si="334"/>
        <v>1.8282896987713517</v>
      </c>
      <c r="S467" s="62">
        <f t="shared" si="335"/>
        <v>1.816136201062756</v>
      </c>
      <c r="T467" s="62">
        <f t="shared" si="336"/>
        <v>1.8077373871337672</v>
      </c>
      <c r="U467" s="62">
        <f t="shared" si="337"/>
        <v>1.8019896602332084</v>
      </c>
      <c r="V467" s="62">
        <f t="shared" si="338"/>
        <v>1.7980824580174404</v>
      </c>
      <c r="W467" s="62">
        <f t="shared" si="339"/>
        <v>1.7954384977550508</v>
      </c>
      <c r="X467" s="62">
        <f t="shared" si="340"/>
        <v>1.7936548794016942</v>
      </c>
      <c r="Y467" s="62">
        <f t="shared" si="341"/>
        <v>1.7924541563864786</v>
      </c>
      <c r="Z467" s="62">
        <f t="shared" si="342"/>
        <v>1.7916469707988543</v>
      </c>
      <c r="AA467" s="62">
        <f t="shared" si="343"/>
        <v>1.791104853204156</v>
      </c>
      <c r="AB467" s="62">
        <f t="shared" si="344"/>
        <v>1.7907409902313312</v>
      </c>
      <c r="AC467" s="62">
        <f t="shared" si="345"/>
        <v>1.7904968737418223</v>
      </c>
    </row>
    <row r="468" spans="1:29" x14ac:dyDescent="0.3">
      <c r="A468" s="30" t="str">
        <f t="shared" si="317"/>
        <v>Fuel Cost</v>
      </c>
      <c r="B468" s="62">
        <f t="shared" si="318"/>
        <v>0.21482257834535914</v>
      </c>
      <c r="C468" s="62">
        <f t="shared" si="319"/>
        <v>0.21417522499855654</v>
      </c>
      <c r="D468" s="62">
        <f t="shared" si="320"/>
        <v>0.21325607604535665</v>
      </c>
      <c r="E468" s="62">
        <f t="shared" si="321"/>
        <v>0.21195694732458373</v>
      </c>
      <c r="F468" s="62">
        <f t="shared" si="322"/>
        <v>0.21013299403884214</v>
      </c>
      <c r="G468" s="62">
        <f t="shared" si="323"/>
        <v>0.20759703685611555</v>
      </c>
      <c r="H468" s="62">
        <f t="shared" si="324"/>
        <v>0.20412033442894431</v>
      </c>
      <c r="I468" s="62">
        <f t="shared" si="325"/>
        <v>0.19944801891519662</v>
      </c>
      <c r="J468" s="62">
        <f t="shared" si="326"/>
        <v>0.19334039991375346</v>
      </c>
      <c r="K468" s="62">
        <f t="shared" si="327"/>
        <v>0.18564888610303532</v>
      </c>
      <c r="L468" s="62">
        <f t="shared" si="328"/>
        <v>0.17641929031511205</v>
      </c>
      <c r="M468" s="62">
        <f t="shared" si="329"/>
        <v>0.16598270656093206</v>
      </c>
      <c r="N468" s="62">
        <f t="shared" si="330"/>
        <v>0.15496484791186993</v>
      </c>
      <c r="O468" s="62">
        <f t="shared" si="331"/>
        <v>0.14416380011269478</v>
      </c>
      <c r="P468" s="62">
        <f t="shared" si="332"/>
        <v>0.13433138397714983</v>
      </c>
      <c r="Q468" s="62">
        <f t="shared" si="333"/>
        <v>0.12597523042491984</v>
      </c>
      <c r="R468" s="62">
        <f t="shared" si="334"/>
        <v>0.11928344793189689</v>
      </c>
      <c r="S468" s="62">
        <f t="shared" si="335"/>
        <v>0.11417732088721881</v>
      </c>
      <c r="T468" s="62">
        <f t="shared" si="336"/>
        <v>0.11042390799739947</v>
      </c>
      <c r="U468" s="62">
        <f t="shared" si="337"/>
        <v>0.10774027208054308</v>
      </c>
      <c r="V468" s="62">
        <f t="shared" si="338"/>
        <v>0.10585943962124107</v>
      </c>
      <c r="W468" s="62">
        <f t="shared" si="339"/>
        <v>0.10455966878686571</v>
      </c>
      <c r="X468" s="62">
        <f t="shared" si="340"/>
        <v>0.10367017083483761</v>
      </c>
      <c r="Y468" s="62">
        <f t="shared" si="341"/>
        <v>0.10306550599442084</v>
      </c>
      <c r="Z468" s="62">
        <f t="shared" si="342"/>
        <v>0.10265633602526128</v>
      </c>
      <c r="AA468" s="62">
        <f t="shared" si="343"/>
        <v>0.10238030953688443</v>
      </c>
      <c r="AB468" s="62">
        <f t="shared" si="344"/>
        <v>0.10219448987609238</v>
      </c>
      <c r="AC468" s="62">
        <f t="shared" si="345"/>
        <v>0.10206957268021295</v>
      </c>
    </row>
    <row r="469" spans="1:29" x14ac:dyDescent="0.3">
      <c r="A469" s="30" t="str">
        <f t="shared" ref="A469" si="346">A449</f>
        <v>Emission Cost</v>
      </c>
      <c r="B469" s="66">
        <f>$B449+($C449-$B449)*(1-Q449)</f>
        <v>9.1045502411311718E-3</v>
      </c>
      <c r="C469" s="66">
        <f t="shared" ref="C469:AC469" si="347">$B449+($C449-$B449)*(1-R449)</f>
        <v>9.095880490962575E-3</v>
      </c>
      <c r="D469" s="66">
        <f t="shared" si="347"/>
        <v>9.0834699366993434E-3</v>
      </c>
      <c r="E469" s="66">
        <f t="shared" si="347"/>
        <v>9.0657157660766E-3</v>
      </c>
      <c r="F469" s="66">
        <f t="shared" si="347"/>
        <v>9.040341138604446E-3</v>
      </c>
      <c r="G469" s="66">
        <f t="shared" si="347"/>
        <v>9.0041260615172855E-3</v>
      </c>
      <c r="H469" s="66">
        <f t="shared" si="347"/>
        <v>8.9525469072142452E-3</v>
      </c>
      <c r="I469" s="66">
        <f t="shared" si="347"/>
        <v>8.8793119020679299E-3</v>
      </c>
      <c r="J469" s="66">
        <f t="shared" si="347"/>
        <v>8.7758012597282838E-3</v>
      </c>
      <c r="K469" s="66">
        <f t="shared" si="347"/>
        <v>8.630474185370102E-3</v>
      </c>
      <c r="L469" s="66">
        <f t="shared" si="347"/>
        <v>8.4284167966506146E-3</v>
      </c>
      <c r="M469" s="66">
        <f t="shared" si="347"/>
        <v>8.1514036756981448E-3</v>
      </c>
      <c r="N469" s="66">
        <f t="shared" si="347"/>
        <v>7.7791277246640009E-3</v>
      </c>
      <c r="O469" s="66">
        <f t="shared" si="347"/>
        <v>7.2924911382377788E-3</v>
      </c>
      <c r="P469" s="66">
        <f t="shared" si="347"/>
        <v>6.6796546098928378E-3</v>
      </c>
      <c r="Q469" s="66">
        <f t="shared" si="347"/>
        <v>5.9442683673542078E-3</v>
      </c>
      <c r="R469" s="66">
        <f t="shared" si="347"/>
        <v>5.1127129787673555E-3</v>
      </c>
      <c r="S469" s="66">
        <f t="shared" si="347"/>
        <v>4.2348433668221242E-3</v>
      </c>
      <c r="T469" s="66">
        <f t="shared" si="347"/>
        <v>3.3742485868309214E-3</v>
      </c>
      <c r="U469" s="66">
        <f t="shared" si="347"/>
        <v>2.5908314445053909E-3</v>
      </c>
      <c r="V469" s="66">
        <f t="shared" si="347"/>
        <v>1.9250384342751033E-3</v>
      </c>
      <c r="W469" s="66">
        <f t="shared" si="347"/>
        <v>1.3918574698531276E-3</v>
      </c>
      <c r="X469" s="66">
        <f t="shared" si="347"/>
        <v>9.8501672973924301E-4</v>
      </c>
      <c r="Y469" s="66">
        <f t="shared" si="347"/>
        <v>6.8595615708101458E-4</v>
      </c>
      <c r="Z469" s="66">
        <f t="shared" si="347"/>
        <v>4.7213217403930738E-4</v>
      </c>
      <c r="AA469" s="66">
        <f t="shared" si="347"/>
        <v>3.2227313937815624E-4</v>
      </c>
      <c r="AB469" s="66">
        <f t="shared" si="347"/>
        <v>2.1871133537117345E-4</v>
      </c>
      <c r="AC469" s="66">
        <f t="shared" si="347"/>
        <v>1.4783883220655276E-4</v>
      </c>
    </row>
    <row r="470" spans="1:29" x14ac:dyDescent="0.3">
      <c r="A470" s="30" t="str">
        <f>A450</f>
        <v>Lifetime vehicle</v>
      </c>
      <c r="B470" s="62">
        <f>$B450+($C450-$B450)*(1-Q450)</f>
        <v>8</v>
      </c>
      <c r="C470" s="62">
        <f t="shared" ref="C470:L472" si="348">$B450+($C450-$B450)*(1-R450)</f>
        <v>8</v>
      </c>
      <c r="D470" s="62">
        <f t="shared" si="348"/>
        <v>8</v>
      </c>
      <c r="E470" s="62">
        <f t="shared" si="348"/>
        <v>8</v>
      </c>
      <c r="F470" s="62">
        <f t="shared" si="348"/>
        <v>8</v>
      </c>
      <c r="G470" s="62">
        <f t="shared" si="348"/>
        <v>8</v>
      </c>
      <c r="H470" s="62">
        <f t="shared" si="348"/>
        <v>8</v>
      </c>
      <c r="I470" s="62">
        <f t="shared" si="348"/>
        <v>8</v>
      </c>
      <c r="J470" s="62">
        <f t="shared" si="348"/>
        <v>8</v>
      </c>
      <c r="K470" s="62">
        <f t="shared" si="348"/>
        <v>8</v>
      </c>
      <c r="L470" s="62">
        <f t="shared" si="348"/>
        <v>8</v>
      </c>
      <c r="M470" s="62">
        <f t="shared" ref="M470:V472" si="349">$B450+($C450-$B450)*(1-AB450)</f>
        <v>8</v>
      </c>
      <c r="N470" s="62">
        <f t="shared" si="349"/>
        <v>8</v>
      </c>
      <c r="O470" s="62">
        <f t="shared" si="349"/>
        <v>8</v>
      </c>
      <c r="P470" s="62">
        <f t="shared" si="349"/>
        <v>8</v>
      </c>
      <c r="Q470" s="62">
        <f t="shared" si="349"/>
        <v>8</v>
      </c>
      <c r="R470" s="62">
        <f t="shared" si="349"/>
        <v>8</v>
      </c>
      <c r="S470" s="62">
        <f t="shared" si="349"/>
        <v>8</v>
      </c>
      <c r="T470" s="62">
        <f t="shared" si="349"/>
        <v>8</v>
      </c>
      <c r="U470" s="62">
        <f t="shared" si="349"/>
        <v>8</v>
      </c>
      <c r="V470" s="62">
        <f t="shared" si="349"/>
        <v>8</v>
      </c>
      <c r="W470" s="62">
        <f t="shared" ref="W470:AC472" si="350">$B450+($C450-$B450)*(1-AL450)</f>
        <v>8</v>
      </c>
      <c r="X470" s="62">
        <f t="shared" si="350"/>
        <v>8</v>
      </c>
      <c r="Y470" s="62">
        <f t="shared" si="350"/>
        <v>8</v>
      </c>
      <c r="Z470" s="62">
        <f t="shared" si="350"/>
        <v>8</v>
      </c>
      <c r="AA470" s="62">
        <f t="shared" si="350"/>
        <v>8</v>
      </c>
      <c r="AB470" s="62">
        <f t="shared" si="350"/>
        <v>8</v>
      </c>
      <c r="AC470" s="62">
        <f t="shared" si="350"/>
        <v>8</v>
      </c>
    </row>
    <row r="471" spans="1:29" x14ac:dyDescent="0.3">
      <c r="A471" s="30" t="str">
        <f>A451</f>
        <v>Lifetime costumization</v>
      </c>
      <c r="B471" s="62">
        <f>$B451+($C451-$B451)*(1-Q451)</f>
        <v>10</v>
      </c>
      <c r="C471" s="62">
        <f t="shared" si="348"/>
        <v>10</v>
      </c>
      <c r="D471" s="62">
        <f t="shared" si="348"/>
        <v>10</v>
      </c>
      <c r="E471" s="62">
        <f t="shared" si="348"/>
        <v>10</v>
      </c>
      <c r="F471" s="62">
        <f t="shared" si="348"/>
        <v>10</v>
      </c>
      <c r="G471" s="62">
        <f t="shared" si="348"/>
        <v>10</v>
      </c>
      <c r="H471" s="62">
        <f t="shared" si="348"/>
        <v>10</v>
      </c>
      <c r="I471" s="62">
        <f t="shared" si="348"/>
        <v>10</v>
      </c>
      <c r="J471" s="62">
        <f t="shared" si="348"/>
        <v>10</v>
      </c>
      <c r="K471" s="62">
        <f t="shared" si="348"/>
        <v>10</v>
      </c>
      <c r="L471" s="62">
        <f t="shared" si="348"/>
        <v>10</v>
      </c>
      <c r="M471" s="62">
        <f t="shared" si="349"/>
        <v>10</v>
      </c>
      <c r="N471" s="62">
        <f t="shared" si="349"/>
        <v>10</v>
      </c>
      <c r="O471" s="62">
        <f t="shared" si="349"/>
        <v>10</v>
      </c>
      <c r="P471" s="62">
        <f t="shared" si="349"/>
        <v>10</v>
      </c>
      <c r="Q471" s="62">
        <f t="shared" si="349"/>
        <v>10</v>
      </c>
      <c r="R471" s="62">
        <f t="shared" si="349"/>
        <v>10</v>
      </c>
      <c r="S471" s="62">
        <f t="shared" si="349"/>
        <v>10</v>
      </c>
      <c r="T471" s="62">
        <f t="shared" si="349"/>
        <v>10</v>
      </c>
      <c r="U471" s="62">
        <f t="shared" si="349"/>
        <v>10</v>
      </c>
      <c r="V471" s="62">
        <f t="shared" si="349"/>
        <v>10</v>
      </c>
      <c r="W471" s="62">
        <f t="shared" si="350"/>
        <v>10</v>
      </c>
      <c r="X471" s="62">
        <f t="shared" si="350"/>
        <v>10</v>
      </c>
      <c r="Y471" s="62">
        <f t="shared" si="350"/>
        <v>10</v>
      </c>
      <c r="Z471" s="62">
        <f t="shared" si="350"/>
        <v>10</v>
      </c>
      <c r="AA471" s="62">
        <f t="shared" si="350"/>
        <v>10</v>
      </c>
      <c r="AB471" s="62">
        <f t="shared" si="350"/>
        <v>10</v>
      </c>
      <c r="AC471" s="62">
        <f t="shared" si="350"/>
        <v>10</v>
      </c>
    </row>
    <row r="472" spans="1:29" x14ac:dyDescent="0.3">
      <c r="A472" s="30" t="str">
        <f>A452</f>
        <v>Tonnage .</v>
      </c>
      <c r="B472" s="62">
        <f>$B452+($C452-$B452)*(1-Q452)</f>
        <v>25</v>
      </c>
      <c r="C472" s="62">
        <f t="shared" si="348"/>
        <v>25</v>
      </c>
      <c r="D472" s="62">
        <f t="shared" si="348"/>
        <v>25</v>
      </c>
      <c r="E472" s="62">
        <f t="shared" si="348"/>
        <v>25</v>
      </c>
      <c r="F472" s="62">
        <f t="shared" si="348"/>
        <v>25</v>
      </c>
      <c r="G472" s="62">
        <f t="shared" si="348"/>
        <v>25</v>
      </c>
      <c r="H472" s="62">
        <f t="shared" si="348"/>
        <v>25</v>
      </c>
      <c r="I472" s="62">
        <f t="shared" si="348"/>
        <v>25</v>
      </c>
      <c r="J472" s="62">
        <f t="shared" si="348"/>
        <v>25</v>
      </c>
      <c r="K472" s="62">
        <f t="shared" si="348"/>
        <v>25</v>
      </c>
      <c r="L472" s="62">
        <f t="shared" si="348"/>
        <v>25</v>
      </c>
      <c r="M472" s="62">
        <f t="shared" si="349"/>
        <v>25</v>
      </c>
      <c r="N472" s="62">
        <f t="shared" si="349"/>
        <v>25</v>
      </c>
      <c r="O472" s="62">
        <f t="shared" si="349"/>
        <v>25</v>
      </c>
      <c r="P472" s="62">
        <f t="shared" si="349"/>
        <v>25</v>
      </c>
      <c r="Q472" s="62">
        <f t="shared" si="349"/>
        <v>25</v>
      </c>
      <c r="R472" s="62">
        <f t="shared" si="349"/>
        <v>25</v>
      </c>
      <c r="S472" s="62">
        <f t="shared" si="349"/>
        <v>25</v>
      </c>
      <c r="T472" s="62">
        <f t="shared" si="349"/>
        <v>25</v>
      </c>
      <c r="U472" s="62">
        <f t="shared" si="349"/>
        <v>25</v>
      </c>
      <c r="V472" s="62">
        <f t="shared" si="349"/>
        <v>25</v>
      </c>
      <c r="W472" s="62">
        <f t="shared" si="350"/>
        <v>25</v>
      </c>
      <c r="X472" s="62">
        <f t="shared" si="350"/>
        <v>25</v>
      </c>
      <c r="Y472" s="62">
        <f t="shared" si="350"/>
        <v>25</v>
      </c>
      <c r="Z472" s="62">
        <f t="shared" si="350"/>
        <v>25</v>
      </c>
      <c r="AA472" s="62">
        <f t="shared" si="350"/>
        <v>25</v>
      </c>
      <c r="AB472" s="62">
        <f t="shared" si="350"/>
        <v>25</v>
      </c>
      <c r="AC472" s="62">
        <f t="shared" si="350"/>
        <v>25</v>
      </c>
    </row>
    <row r="473" spans="1:29" x14ac:dyDescent="0.3">
      <c r="A473" s="30" t="str">
        <f>A453</f>
        <v>Market failure (av. utilization)</v>
      </c>
      <c r="B473" s="62">
        <f t="shared" ref="B473:K474" si="351">($B453+($C453-$B453)*(1-Q453))*B$44</f>
        <v>12</v>
      </c>
      <c r="C473" s="62">
        <f t="shared" si="351"/>
        <v>12</v>
      </c>
      <c r="D473" s="62">
        <f t="shared" si="351"/>
        <v>12</v>
      </c>
      <c r="E473" s="62">
        <f t="shared" si="351"/>
        <v>12</v>
      </c>
      <c r="F473" s="62">
        <f t="shared" si="351"/>
        <v>12</v>
      </c>
      <c r="G473" s="62">
        <f t="shared" si="351"/>
        <v>12</v>
      </c>
      <c r="H473" s="62">
        <f t="shared" si="351"/>
        <v>12</v>
      </c>
      <c r="I473" s="62">
        <f t="shared" si="351"/>
        <v>12</v>
      </c>
      <c r="J473" s="62">
        <f t="shared" si="351"/>
        <v>12</v>
      </c>
      <c r="K473" s="62">
        <f t="shared" si="351"/>
        <v>12</v>
      </c>
      <c r="L473" s="62">
        <f t="shared" ref="L473:U474" si="352">($B453+($C453-$B453)*(1-AA453))*L$44</f>
        <v>12</v>
      </c>
      <c r="M473" s="62">
        <f t="shared" si="352"/>
        <v>12</v>
      </c>
      <c r="N473" s="62">
        <f t="shared" si="352"/>
        <v>12</v>
      </c>
      <c r="O473" s="62">
        <f t="shared" si="352"/>
        <v>12</v>
      </c>
      <c r="P473" s="62">
        <f t="shared" si="352"/>
        <v>12</v>
      </c>
      <c r="Q473" s="62">
        <f t="shared" si="352"/>
        <v>12</v>
      </c>
      <c r="R473" s="62">
        <f t="shared" si="352"/>
        <v>12</v>
      </c>
      <c r="S473" s="62">
        <f t="shared" si="352"/>
        <v>12</v>
      </c>
      <c r="T473" s="62">
        <f t="shared" si="352"/>
        <v>12</v>
      </c>
      <c r="U473" s="62">
        <f t="shared" si="352"/>
        <v>12</v>
      </c>
      <c r="V473" s="62">
        <f t="shared" ref="V473:AC474" si="353">($B453+($C453-$B453)*(1-AK453))*V$44</f>
        <v>12</v>
      </c>
      <c r="W473" s="62">
        <f t="shared" si="353"/>
        <v>12</v>
      </c>
      <c r="X473" s="62">
        <f t="shared" si="353"/>
        <v>12</v>
      </c>
      <c r="Y473" s="62">
        <f t="shared" si="353"/>
        <v>12</v>
      </c>
      <c r="Z473" s="62">
        <f t="shared" si="353"/>
        <v>12</v>
      </c>
      <c r="AA473" s="62">
        <f t="shared" si="353"/>
        <v>12</v>
      </c>
      <c r="AB473" s="62">
        <f t="shared" si="353"/>
        <v>12</v>
      </c>
      <c r="AC473" s="62">
        <f t="shared" si="353"/>
        <v>12</v>
      </c>
    </row>
    <row r="474" spans="1:29" x14ac:dyDescent="0.3">
      <c r="A474" s="30" t="s">
        <v>73</v>
      </c>
      <c r="B474" s="62">
        <f t="shared" si="351"/>
        <v>1.240098396181128</v>
      </c>
      <c r="C474" s="62">
        <f t="shared" si="351"/>
        <v>1.2358588232214369</v>
      </c>
      <c r="D474" s="62">
        <f t="shared" si="351"/>
        <v>1.2298392373690403</v>
      </c>
      <c r="E474" s="62">
        <f t="shared" si="351"/>
        <v>1.2213311312119457</v>
      </c>
      <c r="F474" s="62">
        <f t="shared" si="351"/>
        <v>1.2093859036663352</v>
      </c>
      <c r="G474" s="62">
        <f t="shared" si="351"/>
        <v>1.1927777011260612</v>
      </c>
      <c r="H474" s="62">
        <f t="shared" si="351"/>
        <v>1.1700084767574384</v>
      </c>
      <c r="I474" s="62">
        <f t="shared" si="351"/>
        <v>1.1394090790574525</v>
      </c>
      <c r="J474" s="62">
        <f t="shared" si="351"/>
        <v>1.0994097548946793</v>
      </c>
      <c r="K474" s="62">
        <f t="shared" si="351"/>
        <v>1.0490373668749504</v>
      </c>
      <c r="L474" s="62">
        <f t="shared" si="352"/>
        <v>0.98859194719090016</v>
      </c>
      <c r="M474" s="62">
        <f t="shared" si="352"/>
        <v>0.92024185910637191</v>
      </c>
      <c r="N474" s="62">
        <f t="shared" si="352"/>
        <v>0.84808495154888996</v>
      </c>
      <c r="O474" s="62">
        <f t="shared" si="352"/>
        <v>0.77734795696642955</v>
      </c>
      <c r="P474" s="62">
        <f t="shared" si="352"/>
        <v>0.71295461477923405</v>
      </c>
      <c r="Q474" s="62">
        <f t="shared" si="352"/>
        <v>0.65822944370838299</v>
      </c>
      <c r="R474" s="62">
        <f t="shared" si="352"/>
        <v>0.61440438240348649</v>
      </c>
      <c r="S474" s="62">
        <f t="shared" si="352"/>
        <v>0.580963915532825</v>
      </c>
      <c r="T474" s="62">
        <f t="shared" si="352"/>
        <v>0.55638249045356891</v>
      </c>
      <c r="U474" s="62">
        <f t="shared" si="352"/>
        <v>0.53880712713312673</v>
      </c>
      <c r="V474" s="62">
        <f t="shared" si="353"/>
        <v>0.52648939296900943</v>
      </c>
      <c r="W474" s="62">
        <f t="shared" si="353"/>
        <v>0.51797708155449362</v>
      </c>
      <c r="X474" s="62">
        <f t="shared" si="353"/>
        <v>0.5121516826687923</v>
      </c>
      <c r="Y474" s="62">
        <f t="shared" si="353"/>
        <v>0.50819168042308127</v>
      </c>
      <c r="Z474" s="62">
        <f t="shared" si="353"/>
        <v>0.50551199096795685</v>
      </c>
      <c r="AA474" s="62">
        <f t="shared" si="353"/>
        <v>0.50370426966387927</v>
      </c>
      <c r="AB474" s="62">
        <f t="shared" si="353"/>
        <v>0.50248732066197166</v>
      </c>
      <c r="AC474" s="62">
        <f t="shared" si="353"/>
        <v>0.50166922716100104</v>
      </c>
    </row>
    <row r="475" spans="1:29" x14ac:dyDescent="0.3">
      <c r="A475" s="30" t="str">
        <f>A455</f>
        <v>Annual Mileage</v>
      </c>
      <c r="B475" s="62">
        <f t="shared" ref="B475:AC475" si="354">$B455+($C455-$B455)*(1-Q455)</f>
        <v>90000</v>
      </c>
      <c r="C475" s="62">
        <f t="shared" si="354"/>
        <v>90000</v>
      </c>
      <c r="D475" s="62">
        <f t="shared" si="354"/>
        <v>90000</v>
      </c>
      <c r="E475" s="62">
        <f t="shared" si="354"/>
        <v>90000</v>
      </c>
      <c r="F475" s="62">
        <f t="shared" si="354"/>
        <v>90000</v>
      </c>
      <c r="G475" s="62">
        <f t="shared" si="354"/>
        <v>90000</v>
      </c>
      <c r="H475" s="62">
        <f t="shared" si="354"/>
        <v>90000</v>
      </c>
      <c r="I475" s="62">
        <f t="shared" si="354"/>
        <v>90000</v>
      </c>
      <c r="J475" s="62">
        <f t="shared" si="354"/>
        <v>90000</v>
      </c>
      <c r="K475" s="62">
        <f t="shared" si="354"/>
        <v>90000</v>
      </c>
      <c r="L475" s="62">
        <f t="shared" si="354"/>
        <v>90000</v>
      </c>
      <c r="M475" s="62">
        <f t="shared" si="354"/>
        <v>90000</v>
      </c>
      <c r="N475" s="62">
        <f t="shared" si="354"/>
        <v>90000</v>
      </c>
      <c r="O475" s="62">
        <f t="shared" si="354"/>
        <v>90000</v>
      </c>
      <c r="P475" s="62">
        <f t="shared" si="354"/>
        <v>90000</v>
      </c>
      <c r="Q475" s="62">
        <f t="shared" si="354"/>
        <v>90000</v>
      </c>
      <c r="R475" s="62">
        <f t="shared" si="354"/>
        <v>90000</v>
      </c>
      <c r="S475" s="62">
        <f t="shared" si="354"/>
        <v>90000</v>
      </c>
      <c r="T475" s="62">
        <f t="shared" si="354"/>
        <v>90000</v>
      </c>
      <c r="U475" s="62">
        <f t="shared" si="354"/>
        <v>90000</v>
      </c>
      <c r="V475" s="62">
        <f t="shared" si="354"/>
        <v>90000</v>
      </c>
      <c r="W475" s="62">
        <f t="shared" si="354"/>
        <v>90000</v>
      </c>
      <c r="X475" s="62">
        <f t="shared" si="354"/>
        <v>90000</v>
      </c>
      <c r="Y475" s="62">
        <f t="shared" si="354"/>
        <v>90000</v>
      </c>
      <c r="Z475" s="62">
        <f t="shared" si="354"/>
        <v>90000</v>
      </c>
      <c r="AA475" s="62">
        <f t="shared" si="354"/>
        <v>90000</v>
      </c>
      <c r="AB475" s="62">
        <f t="shared" si="354"/>
        <v>90000</v>
      </c>
      <c r="AC475" s="62">
        <f t="shared" si="354"/>
        <v>90000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61357.445895655808</v>
      </c>
      <c r="C478" s="63">
        <f t="shared" ref="C478:AC478" si="355">((1+C463)^C470)*C463/(((1+C463)^C470)-1)*(C459)</f>
        <v>60754.714455896952</v>
      </c>
      <c r="D478" s="63">
        <f t="shared" si="355"/>
        <v>59916.698956344211</v>
      </c>
      <c r="E478" s="63">
        <f t="shared" si="355"/>
        <v>58767.811056679595</v>
      </c>
      <c r="F478" s="63">
        <f t="shared" si="355"/>
        <v>57223.828829380502</v>
      </c>
      <c r="G478" s="63">
        <f t="shared" si="355"/>
        <v>55205.54578287054</v>
      </c>
      <c r="H478" s="63">
        <f t="shared" si="355"/>
        <v>52663.859419902983</v>
      </c>
      <c r="I478" s="63">
        <f t="shared" si="355"/>
        <v>49613.908743460379</v>
      </c>
      <c r="J478" s="63">
        <f t="shared" si="355"/>
        <v>46165.10487249765</v>
      </c>
      <c r="K478" s="63">
        <f t="shared" si="355"/>
        <v>42524.216776008514</v>
      </c>
      <c r="L478" s="63">
        <f t="shared" si="355"/>
        <v>38954.974547168116</v>
      </c>
      <c r="M478" s="63">
        <f t="shared" si="355"/>
        <v>35705.819878562834</v>
      </c>
      <c r="N478" s="63">
        <f t="shared" si="355"/>
        <v>32944.501098770794</v>
      </c>
      <c r="O478" s="63">
        <f t="shared" si="355"/>
        <v>30733.179280332359</v>
      </c>
      <c r="P478" s="63">
        <f t="shared" si="355"/>
        <v>29045.842587397736</v>
      </c>
      <c r="Q478" s="63">
        <f t="shared" si="355"/>
        <v>27805.514793492392</v>
      </c>
      <c r="R478" s="63">
        <f t="shared" si="355"/>
        <v>26918.698364255953</v>
      </c>
      <c r="S478" s="63">
        <f t="shared" si="355"/>
        <v>26297.171012101549</v>
      </c>
      <c r="T478" s="63">
        <f t="shared" si="355"/>
        <v>25867.657409706244</v>
      </c>
      <c r="U478" s="63">
        <f t="shared" si="355"/>
        <v>25573.719848103356</v>
      </c>
      <c r="V478" s="63">
        <f t="shared" si="355"/>
        <v>25373.906337151635</v>
      </c>
      <c r="W478" s="63">
        <f t="shared" si="355"/>
        <v>25238.694757696427</v>
      </c>
      <c r="X478" s="63">
        <f t="shared" si="355"/>
        <v>25147.480885032299</v>
      </c>
      <c r="Y478" s="63">
        <f t="shared" si="355"/>
        <v>25086.076159066874</v>
      </c>
      <c r="Z478" s="63">
        <f t="shared" si="355"/>
        <v>25044.796855527889</v>
      </c>
      <c r="AA478" s="63">
        <f t="shared" si="355"/>
        <v>25017.073074171451</v>
      </c>
      <c r="AB478" s="63">
        <f t="shared" si="355"/>
        <v>24998.465197207195</v>
      </c>
      <c r="AC478" s="63">
        <f t="shared" si="355"/>
        <v>24985.981130564032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-9299.0290627537943</v>
      </c>
      <c r="C479" s="62">
        <f t="shared" ref="C479:AC479" si="356">((1+C463)^C470)*C463/(((1+C463)^C470)-1)*(C460)</f>
        <v>-9248.373973667678</v>
      </c>
      <c r="D479" s="62">
        <f t="shared" si="356"/>
        <v>-9177.9450114712236</v>
      </c>
      <c r="E479" s="62">
        <f t="shared" si="356"/>
        <v>-9081.3895390526031</v>
      </c>
      <c r="F479" s="62">
        <f t="shared" si="356"/>
        <v>-8951.6293305881045</v>
      </c>
      <c r="G479" s="62">
        <f t="shared" si="356"/>
        <v>-8782.0076702963088</v>
      </c>
      <c r="H479" s="62">
        <f t="shared" si="356"/>
        <v>-8568.3978589405251</v>
      </c>
      <c r="I479" s="62">
        <f t="shared" si="356"/>
        <v>-8312.0722169841792</v>
      </c>
      <c r="J479" s="62">
        <f t="shared" si="356"/>
        <v>-8022.2259342117786</v>
      </c>
      <c r="K479" s="62">
        <f t="shared" si="356"/>
        <v>-7716.2364026983305</v>
      </c>
      <c r="L479" s="62">
        <f t="shared" si="356"/>
        <v>-7416.2681728277021</v>
      </c>
      <c r="M479" s="62">
        <f t="shared" si="356"/>
        <v>-7143.2009187640651</v>
      </c>
      <c r="N479" s="62">
        <f t="shared" si="356"/>
        <v>-6911.1326383347341</v>
      </c>
      <c r="O479" s="62">
        <f t="shared" si="356"/>
        <v>-6725.2875067851219</v>
      </c>
      <c r="P479" s="62">
        <f t="shared" si="356"/>
        <v>-6583.4794230172129</v>
      </c>
      <c r="Q479" s="62">
        <f t="shared" si="356"/>
        <v>-6479.2391084230394</v>
      </c>
      <c r="R479" s="62">
        <f t="shared" si="356"/>
        <v>-6404.7087914978501</v>
      </c>
      <c r="S479" s="62">
        <f t="shared" si="356"/>
        <v>-6352.4740459444474</v>
      </c>
      <c r="T479" s="62">
        <f t="shared" si="356"/>
        <v>-6316.3766261686715</v>
      </c>
      <c r="U479" s="62">
        <f t="shared" si="356"/>
        <v>-6291.6733630126846</v>
      </c>
      <c r="V479" s="62">
        <f t="shared" si="356"/>
        <v>-6274.8805253901455</v>
      </c>
      <c r="W479" s="62">
        <f t="shared" si="356"/>
        <v>-6263.5169990316763</v>
      </c>
      <c r="X479" s="62">
        <f t="shared" si="356"/>
        <v>-6255.8511522865001</v>
      </c>
      <c r="Y479" s="62">
        <f t="shared" si="356"/>
        <v>-6250.6905423383423</v>
      </c>
      <c r="Z479" s="62">
        <f t="shared" si="356"/>
        <v>-6247.2213242749585</v>
      </c>
      <c r="AA479" s="62">
        <f t="shared" si="356"/>
        <v>-6244.8913469056415</v>
      </c>
      <c r="AB479" s="62">
        <f t="shared" si="356"/>
        <v>-6243.3274934160918</v>
      </c>
      <c r="AC479" s="62">
        <f t="shared" si="356"/>
        <v>-6242.278300581188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4755.37853771343</v>
      </c>
      <c r="C480" s="62">
        <f t="shared" ref="C480:AC480" si="357">((1+C463)^C471)*C463/(((1+C463)^C471)-1)*(C461)</f>
        <v>4755.37853771343</v>
      </c>
      <c r="D480" s="62">
        <f t="shared" si="357"/>
        <v>4755.37853771343</v>
      </c>
      <c r="E480" s="62">
        <f t="shared" si="357"/>
        <v>4755.37853771343</v>
      </c>
      <c r="F480" s="62">
        <f t="shared" si="357"/>
        <v>4755.37853771343</v>
      </c>
      <c r="G480" s="62">
        <f t="shared" si="357"/>
        <v>4755.37853771343</v>
      </c>
      <c r="H480" s="62">
        <f t="shared" si="357"/>
        <v>4755.37853771343</v>
      </c>
      <c r="I480" s="62">
        <f t="shared" si="357"/>
        <v>4755.37853771343</v>
      </c>
      <c r="J480" s="62">
        <f t="shared" si="357"/>
        <v>4755.37853771343</v>
      </c>
      <c r="K480" s="62">
        <f t="shared" si="357"/>
        <v>4755.37853771343</v>
      </c>
      <c r="L480" s="62">
        <f t="shared" si="357"/>
        <v>4755.37853771343</v>
      </c>
      <c r="M480" s="62">
        <f t="shared" si="357"/>
        <v>4755.37853771343</v>
      </c>
      <c r="N480" s="62">
        <f t="shared" si="357"/>
        <v>4755.37853771343</v>
      </c>
      <c r="O480" s="62">
        <f t="shared" si="357"/>
        <v>4755.37853771343</v>
      </c>
      <c r="P480" s="62">
        <f t="shared" si="357"/>
        <v>4755.37853771343</v>
      </c>
      <c r="Q480" s="62">
        <f t="shared" si="357"/>
        <v>4755.37853771343</v>
      </c>
      <c r="R480" s="62">
        <f t="shared" si="357"/>
        <v>4755.37853771343</v>
      </c>
      <c r="S480" s="62">
        <f t="shared" si="357"/>
        <v>4755.37853771343</v>
      </c>
      <c r="T480" s="62">
        <f t="shared" si="357"/>
        <v>4755.37853771343</v>
      </c>
      <c r="U480" s="62">
        <f t="shared" si="357"/>
        <v>4755.37853771343</v>
      </c>
      <c r="V480" s="62">
        <f t="shared" si="357"/>
        <v>4755.37853771343</v>
      </c>
      <c r="W480" s="62">
        <f t="shared" si="357"/>
        <v>4755.37853771343</v>
      </c>
      <c r="X480" s="62">
        <f t="shared" si="357"/>
        <v>4755.37853771343</v>
      </c>
      <c r="Y480" s="62">
        <f t="shared" si="357"/>
        <v>4755.37853771343</v>
      </c>
      <c r="Z480" s="62">
        <f t="shared" si="357"/>
        <v>4755.37853771343</v>
      </c>
      <c r="AA480" s="62">
        <f t="shared" si="357"/>
        <v>4755.37853771343</v>
      </c>
      <c r="AB480" s="62">
        <f t="shared" si="357"/>
        <v>4755.37853771343</v>
      </c>
      <c r="AC480" s="62">
        <f t="shared" si="357"/>
        <v>4755.37853771343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-1188.8446344283575</v>
      </c>
      <c r="C481" s="62">
        <f t="shared" ref="C481:AC481" si="358">((1+C463)^C471)*C463/(((1+C463)^C471)-1)*(C462)</f>
        <v>-1188.8446344283575</v>
      </c>
      <c r="D481" s="62">
        <f t="shared" si="358"/>
        <v>-1188.8446344283575</v>
      </c>
      <c r="E481" s="62">
        <f t="shared" si="358"/>
        <v>-1188.8446344283575</v>
      </c>
      <c r="F481" s="62">
        <f t="shared" si="358"/>
        <v>-1188.8446344283575</v>
      </c>
      <c r="G481" s="62">
        <f t="shared" si="358"/>
        <v>-1188.8446344283575</v>
      </c>
      <c r="H481" s="62">
        <f t="shared" si="358"/>
        <v>-1188.8446344283575</v>
      </c>
      <c r="I481" s="62">
        <f t="shared" si="358"/>
        <v>-1188.8446344283575</v>
      </c>
      <c r="J481" s="62">
        <f t="shared" si="358"/>
        <v>-1188.8446344283575</v>
      </c>
      <c r="K481" s="62">
        <f t="shared" si="358"/>
        <v>-1188.8446344283575</v>
      </c>
      <c r="L481" s="62">
        <f t="shared" si="358"/>
        <v>-1188.8446344283575</v>
      </c>
      <c r="M481" s="62">
        <f t="shared" si="358"/>
        <v>-1188.8446344283575</v>
      </c>
      <c r="N481" s="62">
        <f t="shared" si="358"/>
        <v>-1188.8446344283575</v>
      </c>
      <c r="O481" s="62">
        <f t="shared" si="358"/>
        <v>-1188.8446344283575</v>
      </c>
      <c r="P481" s="62">
        <f t="shared" si="358"/>
        <v>-1188.8446344283575</v>
      </c>
      <c r="Q481" s="62">
        <f t="shared" si="358"/>
        <v>-1188.8446344283575</v>
      </c>
      <c r="R481" s="62">
        <f t="shared" si="358"/>
        <v>-1188.8446344283575</v>
      </c>
      <c r="S481" s="62">
        <f t="shared" si="358"/>
        <v>-1188.8446344283575</v>
      </c>
      <c r="T481" s="62">
        <f t="shared" si="358"/>
        <v>-1188.8446344283575</v>
      </c>
      <c r="U481" s="62">
        <f t="shared" si="358"/>
        <v>-1188.8446344283575</v>
      </c>
      <c r="V481" s="62">
        <f t="shared" si="358"/>
        <v>-1188.8446344283575</v>
      </c>
      <c r="W481" s="62">
        <f t="shared" si="358"/>
        <v>-1188.8446344283575</v>
      </c>
      <c r="X481" s="62">
        <f t="shared" si="358"/>
        <v>-1188.8446344283575</v>
      </c>
      <c r="Y481" s="62">
        <f t="shared" si="358"/>
        <v>-1188.8446344283575</v>
      </c>
      <c r="Z481" s="62">
        <f t="shared" si="358"/>
        <v>-1188.8446344283575</v>
      </c>
      <c r="AA481" s="62">
        <f t="shared" si="358"/>
        <v>-1188.8446344283575</v>
      </c>
      <c r="AB481" s="62">
        <f t="shared" si="358"/>
        <v>-1188.8446344283575</v>
      </c>
      <c r="AC481" s="62">
        <f t="shared" si="358"/>
        <v>-1188.8446344283575</v>
      </c>
    </row>
    <row r="482" spans="1:29" x14ac:dyDescent="0.3">
      <c r="A482" s="30" t="str">
        <f t="shared" ref="A482:AC482" si="359">A464</f>
        <v>Opex fix (admin, crew, insurance)</v>
      </c>
      <c r="B482" s="62">
        <f t="shared" si="359"/>
        <v>70000</v>
      </c>
      <c r="C482" s="62">
        <f t="shared" si="359"/>
        <v>70000</v>
      </c>
      <c r="D482" s="62">
        <f t="shared" si="359"/>
        <v>70000</v>
      </c>
      <c r="E482" s="62">
        <f t="shared" si="359"/>
        <v>70000</v>
      </c>
      <c r="F482" s="62">
        <f t="shared" si="359"/>
        <v>70000</v>
      </c>
      <c r="G482" s="62">
        <f t="shared" si="359"/>
        <v>70000</v>
      </c>
      <c r="H482" s="62">
        <f t="shared" si="359"/>
        <v>70000</v>
      </c>
      <c r="I482" s="62">
        <f t="shared" si="359"/>
        <v>70000</v>
      </c>
      <c r="J482" s="62">
        <f t="shared" si="359"/>
        <v>70000</v>
      </c>
      <c r="K482" s="62">
        <f t="shared" si="359"/>
        <v>70000</v>
      </c>
      <c r="L482" s="62">
        <f t="shared" si="359"/>
        <v>70000</v>
      </c>
      <c r="M482" s="62">
        <f t="shared" si="359"/>
        <v>70000</v>
      </c>
      <c r="N482" s="62">
        <f t="shared" si="359"/>
        <v>70000</v>
      </c>
      <c r="O482" s="62">
        <f t="shared" si="359"/>
        <v>70000</v>
      </c>
      <c r="P482" s="62">
        <f t="shared" si="359"/>
        <v>70000</v>
      </c>
      <c r="Q482" s="62">
        <f t="shared" si="359"/>
        <v>70000</v>
      </c>
      <c r="R482" s="62">
        <f t="shared" si="359"/>
        <v>70000</v>
      </c>
      <c r="S482" s="62">
        <f t="shared" si="359"/>
        <v>70000</v>
      </c>
      <c r="T482" s="62">
        <f t="shared" si="359"/>
        <v>70000</v>
      </c>
      <c r="U482" s="62">
        <f t="shared" si="359"/>
        <v>70000</v>
      </c>
      <c r="V482" s="62">
        <f t="shared" si="359"/>
        <v>70000</v>
      </c>
      <c r="W482" s="62">
        <f t="shared" si="359"/>
        <v>70000</v>
      </c>
      <c r="X482" s="62">
        <f t="shared" si="359"/>
        <v>70000</v>
      </c>
      <c r="Y482" s="62">
        <f t="shared" si="359"/>
        <v>70000</v>
      </c>
      <c r="Z482" s="62">
        <f t="shared" si="359"/>
        <v>70000</v>
      </c>
      <c r="AA482" s="62">
        <f t="shared" si="359"/>
        <v>70000</v>
      </c>
      <c r="AB482" s="62">
        <f t="shared" si="359"/>
        <v>70000</v>
      </c>
      <c r="AC482" s="62">
        <f t="shared" si="359"/>
        <v>70000</v>
      </c>
    </row>
    <row r="483" spans="1:29" x14ac:dyDescent="0.3">
      <c r="A483" s="30" t="str">
        <f t="shared" ref="A483:AC483" si="360">A465</f>
        <v>Opex maintenance &amp; repair</v>
      </c>
      <c r="B483" s="62">
        <f t="shared" si="360"/>
        <v>25694.198732927423</v>
      </c>
      <c r="C483" s="62">
        <f t="shared" si="360"/>
        <v>25566.782972440909</v>
      </c>
      <c r="D483" s="62">
        <f t="shared" si="360"/>
        <v>25389.62881201132</v>
      </c>
      <c r="E483" s="62">
        <f t="shared" si="360"/>
        <v>25146.757085412675</v>
      </c>
      <c r="F483" s="62">
        <f t="shared" si="360"/>
        <v>24820.363509946161</v>
      </c>
      <c r="G483" s="62">
        <f t="shared" si="360"/>
        <v>24393.704052209912</v>
      </c>
      <c r="H483" s="62">
        <f t="shared" si="360"/>
        <v>23856.39857999947</v>
      </c>
      <c r="I483" s="62">
        <f t="shared" si="360"/>
        <v>23211.647436702937</v>
      </c>
      <c r="J483" s="62">
        <f t="shared" si="360"/>
        <v>22482.579830467967</v>
      </c>
      <c r="K483" s="62">
        <f t="shared" si="360"/>
        <v>21712.906149854825</v>
      </c>
      <c r="L483" s="62">
        <f t="shared" si="360"/>
        <v>20958.378207641916</v>
      </c>
      <c r="M483" s="62">
        <f t="shared" si="360"/>
        <v>20271.515890978495</v>
      </c>
      <c r="N483" s="62">
        <f t="shared" si="360"/>
        <v>19687.78073288942</v>
      </c>
      <c r="O483" s="62">
        <f t="shared" si="360"/>
        <v>19220.313412303854</v>
      </c>
      <c r="P483" s="62">
        <f t="shared" si="360"/>
        <v>18863.615099016799</v>
      </c>
      <c r="Q483" s="62">
        <f t="shared" si="360"/>
        <v>18601.413231504735</v>
      </c>
      <c r="R483" s="62">
        <f t="shared" si="360"/>
        <v>18413.942689420019</v>
      </c>
      <c r="S483" s="62">
        <f t="shared" si="360"/>
        <v>18282.553525002768</v>
      </c>
      <c r="T483" s="62">
        <f t="shared" si="360"/>
        <v>18191.755536581266</v>
      </c>
      <c r="U483" s="62">
        <f t="shared" si="360"/>
        <v>18129.617948467116</v>
      </c>
      <c r="V483" s="62">
        <f t="shared" si="360"/>
        <v>18087.377924512868</v>
      </c>
      <c r="W483" s="62">
        <f t="shared" si="360"/>
        <v>18058.794570324873</v>
      </c>
      <c r="X483" s="62">
        <f t="shared" si="360"/>
        <v>18039.512209748045</v>
      </c>
      <c r="Y483" s="62">
        <f t="shared" si="360"/>
        <v>18026.531420394364</v>
      </c>
      <c r="Z483" s="62">
        <f t="shared" si="360"/>
        <v>18017.805089717345</v>
      </c>
      <c r="AA483" s="62">
        <f t="shared" si="360"/>
        <v>18011.94435896385</v>
      </c>
      <c r="AB483" s="62">
        <f t="shared" si="360"/>
        <v>18008.010705203578</v>
      </c>
      <c r="AC483" s="62">
        <f t="shared" si="360"/>
        <v>18005.371608019701</v>
      </c>
    </row>
    <row r="484" spans="1:29" x14ac:dyDescent="0.3">
      <c r="A484" s="30" t="str">
        <f>A466</f>
        <v>Opex var (mode-fees)</v>
      </c>
      <c r="B484" s="62">
        <f>B466*B475</f>
        <v>9900</v>
      </c>
      <c r="C484" s="62">
        <f t="shared" ref="C484:AC484" si="361">C466*C475</f>
        <v>9900</v>
      </c>
      <c r="D484" s="62">
        <f t="shared" si="361"/>
        <v>9900</v>
      </c>
      <c r="E484" s="62">
        <f t="shared" si="361"/>
        <v>9900</v>
      </c>
      <c r="F484" s="62">
        <f t="shared" si="361"/>
        <v>9900</v>
      </c>
      <c r="G484" s="62">
        <f t="shared" si="361"/>
        <v>9900</v>
      </c>
      <c r="H484" s="62">
        <f t="shared" si="361"/>
        <v>9900</v>
      </c>
      <c r="I484" s="62">
        <f t="shared" si="361"/>
        <v>9900</v>
      </c>
      <c r="J484" s="62">
        <f t="shared" si="361"/>
        <v>9900</v>
      </c>
      <c r="K484" s="62">
        <f t="shared" si="361"/>
        <v>9900</v>
      </c>
      <c r="L484" s="62">
        <f t="shared" si="361"/>
        <v>9900</v>
      </c>
      <c r="M484" s="62">
        <f t="shared" si="361"/>
        <v>9900</v>
      </c>
      <c r="N484" s="62">
        <f t="shared" si="361"/>
        <v>9900</v>
      </c>
      <c r="O484" s="62">
        <f t="shared" si="361"/>
        <v>9900</v>
      </c>
      <c r="P484" s="62">
        <f t="shared" si="361"/>
        <v>9900</v>
      </c>
      <c r="Q484" s="62">
        <f t="shared" si="361"/>
        <v>9900</v>
      </c>
      <c r="R484" s="62">
        <f t="shared" si="361"/>
        <v>9900</v>
      </c>
      <c r="S484" s="62">
        <f t="shared" si="361"/>
        <v>9900</v>
      </c>
      <c r="T484" s="62">
        <f t="shared" si="361"/>
        <v>9900</v>
      </c>
      <c r="U484" s="62">
        <f t="shared" si="361"/>
        <v>9900</v>
      </c>
      <c r="V484" s="62">
        <f t="shared" si="361"/>
        <v>9900</v>
      </c>
      <c r="W484" s="62">
        <f t="shared" si="361"/>
        <v>9900</v>
      </c>
      <c r="X484" s="62">
        <f t="shared" si="361"/>
        <v>9900</v>
      </c>
      <c r="Y484" s="62">
        <f t="shared" si="361"/>
        <v>9900</v>
      </c>
      <c r="Z484" s="62">
        <f t="shared" si="361"/>
        <v>9900</v>
      </c>
      <c r="AA484" s="62">
        <f t="shared" si="361"/>
        <v>9900</v>
      </c>
      <c r="AB484" s="62">
        <f t="shared" si="361"/>
        <v>9900</v>
      </c>
      <c r="AC484" s="62">
        <f t="shared" si="361"/>
        <v>9900</v>
      </c>
    </row>
    <row r="485" spans="1:29" x14ac:dyDescent="0.3">
      <c r="A485" s="30" t="str">
        <f>A468</f>
        <v>Fuel Cost</v>
      </c>
      <c r="B485" s="62">
        <f>B467*B468*B475</f>
        <v>48368.206725595315</v>
      </c>
      <c r="C485" s="62">
        <f t="shared" ref="C485:AC485" si="362">C467*C468*C475</f>
        <v>47995.26898220196</v>
      </c>
      <c r="D485" s="62">
        <f t="shared" si="362"/>
        <v>47474.781856218317</v>
      </c>
      <c r="E485" s="62">
        <f t="shared" si="362"/>
        <v>46757.014299651404</v>
      </c>
      <c r="F485" s="62">
        <f t="shared" si="362"/>
        <v>45783.677184436419</v>
      </c>
      <c r="G485" s="62">
        <f t="shared" si="362"/>
        <v>44493.771818836402</v>
      </c>
      <c r="H485" s="62">
        <f t="shared" si="362"/>
        <v>42835.574432019486</v>
      </c>
      <c r="I485" s="62">
        <f t="shared" si="362"/>
        <v>40784.520045390906</v>
      </c>
      <c r="J485" s="62">
        <f t="shared" si="362"/>
        <v>38362.114370196796</v>
      </c>
      <c r="K485" s="62">
        <f t="shared" si="362"/>
        <v>35646.432168155094</v>
      </c>
      <c r="L485" s="62">
        <f t="shared" si="362"/>
        <v>32766.089910531253</v>
      </c>
      <c r="M485" s="62">
        <f t="shared" si="362"/>
        <v>29878.608387176129</v>
      </c>
      <c r="N485" s="62">
        <f t="shared" si="362"/>
        <v>27142.213147737351</v>
      </c>
      <c r="O485" s="62">
        <f t="shared" si="362"/>
        <v>24689.363980049857</v>
      </c>
      <c r="P485" s="62">
        <f t="shared" si="362"/>
        <v>22606.574299243966</v>
      </c>
      <c r="Q485" s="62">
        <f t="shared" si="362"/>
        <v>20925.338015196132</v>
      </c>
      <c r="R485" s="62">
        <f t="shared" si="362"/>
        <v>19627.622917903438</v>
      </c>
      <c r="S485" s="62">
        <f t="shared" si="362"/>
        <v>18662.540922327313</v>
      </c>
      <c r="T485" s="62">
        <f t="shared" si="362"/>
        <v>17965.568422828659</v>
      </c>
      <c r="U485" s="62">
        <f t="shared" si="362"/>
        <v>17473.217065186614</v>
      </c>
      <c r="V485" s="62">
        <f t="shared" si="362"/>
        <v>17130.960125865895</v>
      </c>
      <c r="W485" s="62">
        <f t="shared" si="362"/>
        <v>16895.740918721025</v>
      </c>
      <c r="X485" s="62">
        <f t="shared" si="362"/>
        <v>16735.365698968231</v>
      </c>
      <c r="Y485" s="62">
        <f t="shared" si="362"/>
        <v>16626.617513979767</v>
      </c>
      <c r="Z485" s="62">
        <f t="shared" si="362"/>
        <v>16553.15221256718</v>
      </c>
      <c r="AA485" s="62">
        <f t="shared" si="362"/>
        <v>16503.648235565168</v>
      </c>
      <c r="AB485" s="62">
        <f t="shared" si="362"/>
        <v>16470.347579720947</v>
      </c>
      <c r="AC485" s="62">
        <f t="shared" si="362"/>
        <v>16447.97257092765</v>
      </c>
    </row>
    <row r="486" spans="1:29" ht="15" thickBot="1" x14ac:dyDescent="0.35">
      <c r="A486" s="59" t="str">
        <f>A449</f>
        <v>Emission Cost</v>
      </c>
      <c r="B486" s="62">
        <f>B469*B475</f>
        <v>819.40952170180549</v>
      </c>
      <c r="C486" s="62">
        <f t="shared" ref="C486:AC486" si="363">C469*C475</f>
        <v>818.62924418663181</v>
      </c>
      <c r="D486" s="62">
        <f t="shared" si="363"/>
        <v>817.51229430294086</v>
      </c>
      <c r="E486" s="62">
        <f t="shared" si="363"/>
        <v>815.91441894689399</v>
      </c>
      <c r="F486" s="62">
        <f t="shared" si="363"/>
        <v>813.6307024744001</v>
      </c>
      <c r="G486" s="62">
        <f t="shared" si="363"/>
        <v>810.37134553655574</v>
      </c>
      <c r="H486" s="62">
        <f t="shared" si="363"/>
        <v>805.72922164928207</v>
      </c>
      <c r="I486" s="62">
        <f t="shared" si="363"/>
        <v>799.13807118611373</v>
      </c>
      <c r="J486" s="62">
        <f t="shared" si="363"/>
        <v>789.82211337554554</v>
      </c>
      <c r="K486" s="62">
        <f t="shared" si="363"/>
        <v>776.74267668330913</v>
      </c>
      <c r="L486" s="62">
        <f t="shared" si="363"/>
        <v>758.55751169855534</v>
      </c>
      <c r="M486" s="62">
        <f t="shared" si="363"/>
        <v>733.62633081283298</v>
      </c>
      <c r="N486" s="62">
        <f t="shared" si="363"/>
        <v>700.12149521976005</v>
      </c>
      <c r="O486" s="62">
        <f t="shared" si="363"/>
        <v>656.32420244140008</v>
      </c>
      <c r="P486" s="62">
        <f t="shared" si="363"/>
        <v>601.16891489035538</v>
      </c>
      <c r="Q486" s="62">
        <f t="shared" si="363"/>
        <v>534.98415306187871</v>
      </c>
      <c r="R486" s="62">
        <f t="shared" si="363"/>
        <v>460.14416808906202</v>
      </c>
      <c r="S486" s="62">
        <f t="shared" si="363"/>
        <v>381.1359030139912</v>
      </c>
      <c r="T486" s="62">
        <f t="shared" si="363"/>
        <v>303.68237281478292</v>
      </c>
      <c r="U486" s="62">
        <f t="shared" si="363"/>
        <v>233.17483000548518</v>
      </c>
      <c r="V486" s="62">
        <f t="shared" si="363"/>
        <v>173.2534590847593</v>
      </c>
      <c r="W486" s="62">
        <f t="shared" si="363"/>
        <v>125.26717228678149</v>
      </c>
      <c r="X486" s="62">
        <f t="shared" si="363"/>
        <v>88.651505676531869</v>
      </c>
      <c r="Y486" s="62">
        <f t="shared" si="363"/>
        <v>61.736054137291312</v>
      </c>
      <c r="Z486" s="62">
        <f t="shared" si="363"/>
        <v>42.491895663537662</v>
      </c>
      <c r="AA486" s="62">
        <f t="shared" si="363"/>
        <v>29.004582544034061</v>
      </c>
      <c r="AB486" s="62">
        <f t="shared" si="363"/>
        <v>19.684020183405611</v>
      </c>
      <c r="AC486" s="62">
        <f t="shared" si="363"/>
        <v>13.30549489858975</v>
      </c>
    </row>
    <row r="487" spans="1:29" ht="15" thickBot="1" x14ac:dyDescent="0.35">
      <c r="A487" s="31" t="s">
        <v>209</v>
      </c>
      <c r="B487" s="64">
        <f>B478+B479+B480+B481+B482+B483+B484+B485+B486</f>
        <v>210406.76571641164</v>
      </c>
      <c r="C487" s="64">
        <f t="shared" ref="C487:AC487" si="364">C478+C479+C480+C481+C482+C483+C484+C485+C486</f>
        <v>209353.55558434382</v>
      </c>
      <c r="D487" s="64">
        <f t="shared" si="364"/>
        <v>207887.21081069062</v>
      </c>
      <c r="E487" s="64">
        <f t="shared" si="364"/>
        <v>205872.64122492305</v>
      </c>
      <c r="F487" s="64">
        <f t="shared" si="364"/>
        <v>203156.40479893444</v>
      </c>
      <c r="G487" s="64">
        <f t="shared" si="364"/>
        <v>199587.91923244216</v>
      </c>
      <c r="H487" s="64">
        <f t="shared" si="364"/>
        <v>195059.69769791578</v>
      </c>
      <c r="I487" s="64">
        <f t="shared" si="364"/>
        <v>189563.67598304123</v>
      </c>
      <c r="J487" s="64">
        <f t="shared" si="364"/>
        <v>183243.92915561126</v>
      </c>
      <c r="K487" s="64">
        <f t="shared" si="364"/>
        <v>176410.5952712885</v>
      </c>
      <c r="L487" s="64">
        <f t="shared" si="364"/>
        <v>169488.26590749717</v>
      </c>
      <c r="M487" s="64">
        <f t="shared" si="364"/>
        <v>162912.90347205129</v>
      </c>
      <c r="N487" s="64">
        <f t="shared" si="364"/>
        <v>157030.01773956767</v>
      </c>
      <c r="O487" s="64">
        <f t="shared" si="364"/>
        <v>152040.42727162741</v>
      </c>
      <c r="P487" s="64">
        <f t="shared" si="364"/>
        <v>148000.2553808167</v>
      </c>
      <c r="Q487" s="64">
        <f t="shared" si="364"/>
        <v>144854.54498811718</v>
      </c>
      <c r="R487" s="64">
        <f t="shared" si="364"/>
        <v>142482.23325145568</v>
      </c>
      <c r="S487" s="64">
        <f t="shared" si="364"/>
        <v>140737.46121978623</v>
      </c>
      <c r="T487" s="64">
        <f t="shared" si="364"/>
        <v>139478.82101904735</v>
      </c>
      <c r="U487" s="64">
        <f t="shared" si="364"/>
        <v>138584.59023203494</v>
      </c>
      <c r="V487" s="64">
        <f t="shared" si="364"/>
        <v>137957.15122451007</v>
      </c>
      <c r="W487" s="64">
        <f t="shared" si="364"/>
        <v>137521.51432328249</v>
      </c>
      <c r="X487" s="64">
        <f t="shared" si="364"/>
        <v>137221.69305042367</v>
      </c>
      <c r="Y487" s="64">
        <f t="shared" si="364"/>
        <v>137016.80450852501</v>
      </c>
      <c r="Z487" s="64">
        <f t="shared" si="364"/>
        <v>136877.55863248609</v>
      </c>
      <c r="AA487" s="64">
        <f t="shared" si="364"/>
        <v>136783.31280762394</v>
      </c>
      <c r="AB487" s="64">
        <f t="shared" si="364"/>
        <v>136719.71391218409</v>
      </c>
      <c r="AC487" s="64">
        <f t="shared" si="364"/>
        <v>136676.88640711384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365">A478</f>
        <v>Capex vehicle</v>
      </c>
      <c r="B490" s="65">
        <f>((1+B463)^B470)*B463/(((1+B463)^B470)-1)*(B459)/B475</f>
        <v>0.68174939884062014</v>
      </c>
      <c r="C490" s="65">
        <f t="shared" ref="C490:AC490" si="366">((1+C463)^C470)*C463/(((1+C463)^C470)-1)*(C459)/C475</f>
        <v>0.67505238284329949</v>
      </c>
      <c r="D490" s="65">
        <f t="shared" si="366"/>
        <v>0.66574109951493565</v>
      </c>
      <c r="E490" s="65">
        <f t="shared" si="366"/>
        <v>0.65297567840755111</v>
      </c>
      <c r="F490" s="65">
        <f t="shared" si="366"/>
        <v>0.63582032032644997</v>
      </c>
      <c r="G490" s="65">
        <f t="shared" si="366"/>
        <v>0.61339495314300596</v>
      </c>
      <c r="H490" s="65">
        <f t="shared" si="366"/>
        <v>0.58515399355447761</v>
      </c>
      <c r="I490" s="65">
        <f t="shared" si="366"/>
        <v>0.55126565270511529</v>
      </c>
      <c r="J490" s="65">
        <f t="shared" si="366"/>
        <v>0.51294560969441838</v>
      </c>
      <c r="K490" s="65">
        <f t="shared" si="366"/>
        <v>0.47249129751120572</v>
      </c>
      <c r="L490" s="65">
        <f t="shared" si="366"/>
        <v>0.43283305052409016</v>
      </c>
      <c r="M490" s="65">
        <f t="shared" si="366"/>
        <v>0.39673133198403149</v>
      </c>
      <c r="N490" s="65">
        <f t="shared" si="366"/>
        <v>0.36605001220856437</v>
      </c>
      <c r="O490" s="65">
        <f t="shared" si="366"/>
        <v>0.34147976978147065</v>
      </c>
      <c r="P490" s="65">
        <f t="shared" si="366"/>
        <v>0.32273158430441928</v>
      </c>
      <c r="Q490" s="65">
        <f t="shared" si="366"/>
        <v>0.30895016437213768</v>
      </c>
      <c r="R490" s="65">
        <f t="shared" si="366"/>
        <v>0.29909664849173284</v>
      </c>
      <c r="S490" s="65">
        <f t="shared" si="366"/>
        <v>0.29219078902335055</v>
      </c>
      <c r="T490" s="65">
        <f t="shared" si="366"/>
        <v>0.2874184156634027</v>
      </c>
      <c r="U490" s="65">
        <f t="shared" si="366"/>
        <v>0.28415244275670393</v>
      </c>
      <c r="V490" s="65">
        <f t="shared" si="366"/>
        <v>0.28193229263501818</v>
      </c>
      <c r="W490" s="65">
        <f t="shared" si="366"/>
        <v>0.2804299417521825</v>
      </c>
      <c r="X490" s="65">
        <f t="shared" si="366"/>
        <v>0.27941645427813666</v>
      </c>
      <c r="Y490" s="65">
        <f t="shared" si="366"/>
        <v>0.27873417954518748</v>
      </c>
      <c r="Z490" s="65">
        <f t="shared" si="366"/>
        <v>0.27827552061697652</v>
      </c>
      <c r="AA490" s="65">
        <f t="shared" si="366"/>
        <v>0.27796747860190502</v>
      </c>
      <c r="AB490" s="65">
        <f t="shared" si="366"/>
        <v>0.27776072441341326</v>
      </c>
      <c r="AC490" s="65">
        <f t="shared" si="366"/>
        <v>0.27762201256182256</v>
      </c>
    </row>
    <row r="491" spans="1:29" x14ac:dyDescent="0.3">
      <c r="A491" s="30" t="str">
        <f t="shared" si="365"/>
        <v>Residual value (vehicle)</v>
      </c>
      <c r="B491" s="66">
        <f>((1+B463)^B470)*B463/(((1+B463)^B470)-1)*(B460)/B475</f>
        <v>-0.10332254514170883</v>
      </c>
      <c r="C491" s="66">
        <f t="shared" ref="C491:AC491" si="367">((1+C463)^C470)*C463/(((1+C463)^C470)-1)*(C460)/C475</f>
        <v>-0.10275971081852976</v>
      </c>
      <c r="D491" s="66">
        <f t="shared" si="367"/>
        <v>-0.1019771667941247</v>
      </c>
      <c r="E491" s="66">
        <f t="shared" si="367"/>
        <v>-0.10090432821169559</v>
      </c>
      <c r="F491" s="66">
        <f t="shared" si="367"/>
        <v>-9.9462548117645599E-2</v>
      </c>
      <c r="G491" s="66">
        <f t="shared" si="367"/>
        <v>-9.7577863003292326E-2</v>
      </c>
      <c r="H491" s="66">
        <f t="shared" si="367"/>
        <v>-9.520442065489472E-2</v>
      </c>
      <c r="I491" s="66">
        <f t="shared" si="367"/>
        <v>-9.2356357966490887E-2</v>
      </c>
      <c r="J491" s="66">
        <f t="shared" si="367"/>
        <v>-8.9135843713464211E-2</v>
      </c>
      <c r="K491" s="66">
        <f t="shared" si="367"/>
        <v>-8.5735960029981448E-2</v>
      </c>
      <c r="L491" s="66">
        <f t="shared" si="367"/>
        <v>-8.2402979698085577E-2</v>
      </c>
      <c r="M491" s="66">
        <f t="shared" si="367"/>
        <v>-7.9368899097378501E-2</v>
      </c>
      <c r="N491" s="66">
        <f t="shared" si="367"/>
        <v>-7.6790362648163718E-2</v>
      </c>
      <c r="O491" s="66">
        <f t="shared" si="367"/>
        <v>-7.4725416742056905E-2</v>
      </c>
      <c r="P491" s="66">
        <f t="shared" si="367"/>
        <v>-7.3149771366857921E-2</v>
      </c>
      <c r="Q491" s="66">
        <f t="shared" si="367"/>
        <v>-7.1991545649144881E-2</v>
      </c>
      <c r="R491" s="66">
        <f t="shared" si="367"/>
        <v>-7.1163431016642784E-2</v>
      </c>
      <c r="S491" s="66">
        <f t="shared" si="367"/>
        <v>-7.0583044954938307E-2</v>
      </c>
      <c r="T491" s="66">
        <f t="shared" si="367"/>
        <v>-7.0181962512985238E-2</v>
      </c>
      <c r="U491" s="66">
        <f t="shared" si="367"/>
        <v>-6.9907481811252045E-2</v>
      </c>
      <c r="V491" s="66">
        <f t="shared" si="367"/>
        <v>-6.9720894726557167E-2</v>
      </c>
      <c r="W491" s="66">
        <f t="shared" si="367"/>
        <v>-6.9594633322574179E-2</v>
      </c>
      <c r="X491" s="66">
        <f t="shared" si="367"/>
        <v>-6.9509457247627776E-2</v>
      </c>
      <c r="Y491" s="66">
        <f t="shared" si="367"/>
        <v>-6.9452117137092692E-2</v>
      </c>
      <c r="Z491" s="66">
        <f t="shared" si="367"/>
        <v>-6.9413570269721767E-2</v>
      </c>
      <c r="AA491" s="66">
        <f t="shared" si="367"/>
        <v>-6.9387681632284912E-2</v>
      </c>
      <c r="AB491" s="66">
        <f t="shared" si="367"/>
        <v>-6.9370305482401015E-2</v>
      </c>
      <c r="AC491" s="66">
        <f t="shared" si="367"/>
        <v>-6.9358647784235422E-2</v>
      </c>
    </row>
    <row r="492" spans="1:29" x14ac:dyDescent="0.3">
      <c r="A492" s="30" t="str">
        <f t="shared" si="365"/>
        <v>Capex costumization</v>
      </c>
      <c r="B492" s="66">
        <f>((1+B463)^B471)*B463/(((1+B463)^B471)-1)*(B461)/B475</f>
        <v>5.2837539307926999E-2</v>
      </c>
      <c r="C492" s="66">
        <f t="shared" ref="C492:AC492" si="368">((1+C463)^C471)*C463/(((1+C463)^C471)-1)*(C461)/C475</f>
        <v>5.2837539307926999E-2</v>
      </c>
      <c r="D492" s="66">
        <f t="shared" si="368"/>
        <v>5.2837539307926999E-2</v>
      </c>
      <c r="E492" s="66">
        <f t="shared" si="368"/>
        <v>5.2837539307926999E-2</v>
      </c>
      <c r="F492" s="66">
        <f t="shared" si="368"/>
        <v>5.2837539307926999E-2</v>
      </c>
      <c r="G492" s="66">
        <f t="shared" si="368"/>
        <v>5.2837539307926999E-2</v>
      </c>
      <c r="H492" s="66">
        <f t="shared" si="368"/>
        <v>5.2837539307926999E-2</v>
      </c>
      <c r="I492" s="66">
        <f t="shared" si="368"/>
        <v>5.2837539307926999E-2</v>
      </c>
      <c r="J492" s="66">
        <f t="shared" si="368"/>
        <v>5.2837539307926999E-2</v>
      </c>
      <c r="K492" s="66">
        <f t="shared" si="368"/>
        <v>5.2837539307926999E-2</v>
      </c>
      <c r="L492" s="66">
        <f t="shared" si="368"/>
        <v>5.2837539307926999E-2</v>
      </c>
      <c r="M492" s="66">
        <f t="shared" si="368"/>
        <v>5.2837539307926999E-2</v>
      </c>
      <c r="N492" s="66">
        <f t="shared" si="368"/>
        <v>5.2837539307926999E-2</v>
      </c>
      <c r="O492" s="66">
        <f t="shared" si="368"/>
        <v>5.2837539307926999E-2</v>
      </c>
      <c r="P492" s="66">
        <f t="shared" si="368"/>
        <v>5.2837539307926999E-2</v>
      </c>
      <c r="Q492" s="66">
        <f t="shared" si="368"/>
        <v>5.2837539307926999E-2</v>
      </c>
      <c r="R492" s="66">
        <f t="shared" si="368"/>
        <v>5.2837539307926999E-2</v>
      </c>
      <c r="S492" s="66">
        <f t="shared" si="368"/>
        <v>5.2837539307926999E-2</v>
      </c>
      <c r="T492" s="66">
        <f t="shared" si="368"/>
        <v>5.2837539307926999E-2</v>
      </c>
      <c r="U492" s="66">
        <f t="shared" si="368"/>
        <v>5.2837539307926999E-2</v>
      </c>
      <c r="V492" s="66">
        <f t="shared" si="368"/>
        <v>5.2837539307926999E-2</v>
      </c>
      <c r="W492" s="66">
        <f t="shared" si="368"/>
        <v>5.2837539307926999E-2</v>
      </c>
      <c r="X492" s="66">
        <f t="shared" si="368"/>
        <v>5.2837539307926999E-2</v>
      </c>
      <c r="Y492" s="66">
        <f t="shared" si="368"/>
        <v>5.2837539307926999E-2</v>
      </c>
      <c r="Z492" s="66">
        <f t="shared" si="368"/>
        <v>5.2837539307926999E-2</v>
      </c>
      <c r="AA492" s="66">
        <f t="shared" si="368"/>
        <v>5.2837539307926999E-2</v>
      </c>
      <c r="AB492" s="66">
        <f t="shared" si="368"/>
        <v>5.2837539307926999E-2</v>
      </c>
      <c r="AC492" s="66">
        <f t="shared" si="368"/>
        <v>5.2837539307926999E-2</v>
      </c>
    </row>
    <row r="493" spans="1:29" x14ac:dyDescent="0.3">
      <c r="A493" s="30" t="str">
        <f t="shared" si="365"/>
        <v>Residual value (costumization)</v>
      </c>
      <c r="B493" s="66">
        <f>((1+B463)^B471)*B463/(((1+B463)^B471)-1)*(B462)/B475</f>
        <v>-1.320938482698175E-2</v>
      </c>
      <c r="C493" s="66">
        <f t="shared" ref="C493:AC493" si="369">((1+C463)^C471)*C463/(((1+C463)^C471)-1)*(C462)/C475</f>
        <v>-1.320938482698175E-2</v>
      </c>
      <c r="D493" s="66">
        <f t="shared" si="369"/>
        <v>-1.320938482698175E-2</v>
      </c>
      <c r="E493" s="66">
        <f t="shared" si="369"/>
        <v>-1.320938482698175E-2</v>
      </c>
      <c r="F493" s="66">
        <f t="shared" si="369"/>
        <v>-1.320938482698175E-2</v>
      </c>
      <c r="G493" s="66">
        <f t="shared" si="369"/>
        <v>-1.320938482698175E-2</v>
      </c>
      <c r="H493" s="66">
        <f t="shared" si="369"/>
        <v>-1.320938482698175E-2</v>
      </c>
      <c r="I493" s="66">
        <f t="shared" si="369"/>
        <v>-1.320938482698175E-2</v>
      </c>
      <c r="J493" s="66">
        <f t="shared" si="369"/>
        <v>-1.320938482698175E-2</v>
      </c>
      <c r="K493" s="66">
        <f t="shared" si="369"/>
        <v>-1.320938482698175E-2</v>
      </c>
      <c r="L493" s="66">
        <f t="shared" si="369"/>
        <v>-1.320938482698175E-2</v>
      </c>
      <c r="M493" s="66">
        <f t="shared" si="369"/>
        <v>-1.320938482698175E-2</v>
      </c>
      <c r="N493" s="66">
        <f t="shared" si="369"/>
        <v>-1.320938482698175E-2</v>
      </c>
      <c r="O493" s="66">
        <f t="shared" si="369"/>
        <v>-1.320938482698175E-2</v>
      </c>
      <c r="P493" s="66">
        <f t="shared" si="369"/>
        <v>-1.320938482698175E-2</v>
      </c>
      <c r="Q493" s="66">
        <f t="shared" si="369"/>
        <v>-1.320938482698175E-2</v>
      </c>
      <c r="R493" s="66">
        <f t="shared" si="369"/>
        <v>-1.320938482698175E-2</v>
      </c>
      <c r="S493" s="66">
        <f t="shared" si="369"/>
        <v>-1.320938482698175E-2</v>
      </c>
      <c r="T493" s="66">
        <f t="shared" si="369"/>
        <v>-1.320938482698175E-2</v>
      </c>
      <c r="U493" s="66">
        <f t="shared" si="369"/>
        <v>-1.320938482698175E-2</v>
      </c>
      <c r="V493" s="66">
        <f t="shared" si="369"/>
        <v>-1.320938482698175E-2</v>
      </c>
      <c r="W493" s="66">
        <f t="shared" si="369"/>
        <v>-1.320938482698175E-2</v>
      </c>
      <c r="X493" s="66">
        <f t="shared" si="369"/>
        <v>-1.320938482698175E-2</v>
      </c>
      <c r="Y493" s="66">
        <f t="shared" si="369"/>
        <v>-1.320938482698175E-2</v>
      </c>
      <c r="Z493" s="66">
        <f t="shared" si="369"/>
        <v>-1.320938482698175E-2</v>
      </c>
      <c r="AA493" s="66">
        <f t="shared" si="369"/>
        <v>-1.320938482698175E-2</v>
      </c>
      <c r="AB493" s="66">
        <f t="shared" si="369"/>
        <v>-1.320938482698175E-2</v>
      </c>
      <c r="AC493" s="66">
        <f t="shared" si="369"/>
        <v>-1.320938482698175E-2</v>
      </c>
    </row>
    <row r="494" spans="1:29" x14ac:dyDescent="0.3">
      <c r="A494" s="30" t="str">
        <f t="shared" si="365"/>
        <v>Opex fix (admin, crew, insurance)</v>
      </c>
      <c r="B494" s="66">
        <f>B464/B475</f>
        <v>0.77777777777777779</v>
      </c>
      <c r="C494" s="66">
        <f t="shared" ref="C494:AC494" si="370">C464/C475</f>
        <v>0.77777777777777779</v>
      </c>
      <c r="D494" s="66">
        <f t="shared" si="370"/>
        <v>0.77777777777777779</v>
      </c>
      <c r="E494" s="66">
        <f t="shared" si="370"/>
        <v>0.77777777777777779</v>
      </c>
      <c r="F494" s="66">
        <f t="shared" si="370"/>
        <v>0.77777777777777779</v>
      </c>
      <c r="G494" s="66">
        <f t="shared" si="370"/>
        <v>0.77777777777777779</v>
      </c>
      <c r="H494" s="66">
        <f t="shared" si="370"/>
        <v>0.77777777777777779</v>
      </c>
      <c r="I494" s="66">
        <f t="shared" si="370"/>
        <v>0.77777777777777779</v>
      </c>
      <c r="J494" s="66">
        <f t="shared" si="370"/>
        <v>0.77777777777777779</v>
      </c>
      <c r="K494" s="66">
        <f t="shared" si="370"/>
        <v>0.77777777777777779</v>
      </c>
      <c r="L494" s="66">
        <f t="shared" si="370"/>
        <v>0.77777777777777779</v>
      </c>
      <c r="M494" s="66">
        <f t="shared" si="370"/>
        <v>0.77777777777777779</v>
      </c>
      <c r="N494" s="66">
        <f t="shared" si="370"/>
        <v>0.77777777777777779</v>
      </c>
      <c r="O494" s="66">
        <f t="shared" si="370"/>
        <v>0.77777777777777779</v>
      </c>
      <c r="P494" s="66">
        <f t="shared" si="370"/>
        <v>0.77777777777777779</v>
      </c>
      <c r="Q494" s="66">
        <f t="shared" si="370"/>
        <v>0.77777777777777779</v>
      </c>
      <c r="R494" s="66">
        <f t="shared" si="370"/>
        <v>0.77777777777777779</v>
      </c>
      <c r="S494" s="66">
        <f t="shared" si="370"/>
        <v>0.77777777777777779</v>
      </c>
      <c r="T494" s="66">
        <f t="shared" si="370"/>
        <v>0.77777777777777779</v>
      </c>
      <c r="U494" s="66">
        <f t="shared" si="370"/>
        <v>0.77777777777777779</v>
      </c>
      <c r="V494" s="66">
        <f t="shared" si="370"/>
        <v>0.77777777777777779</v>
      </c>
      <c r="W494" s="66">
        <f t="shared" si="370"/>
        <v>0.77777777777777779</v>
      </c>
      <c r="X494" s="66">
        <f t="shared" si="370"/>
        <v>0.77777777777777779</v>
      </c>
      <c r="Y494" s="66">
        <f t="shared" si="370"/>
        <v>0.77777777777777779</v>
      </c>
      <c r="Z494" s="66">
        <f t="shared" si="370"/>
        <v>0.77777777777777779</v>
      </c>
      <c r="AA494" s="66">
        <f t="shared" si="370"/>
        <v>0.77777777777777779</v>
      </c>
      <c r="AB494" s="66">
        <f t="shared" si="370"/>
        <v>0.77777777777777779</v>
      </c>
      <c r="AC494" s="66">
        <f t="shared" si="370"/>
        <v>0.77777777777777779</v>
      </c>
    </row>
    <row r="495" spans="1:29" x14ac:dyDescent="0.3">
      <c r="A495" s="30" t="str">
        <f t="shared" si="365"/>
        <v>Opex maintenance &amp; repair</v>
      </c>
      <c r="B495" s="66">
        <f>B465/B475</f>
        <v>0.28549109703252695</v>
      </c>
      <c r="C495" s="66">
        <f t="shared" ref="C495:AC495" si="371">C465/C475</f>
        <v>0.28407536636045455</v>
      </c>
      <c r="D495" s="66">
        <f t="shared" si="371"/>
        <v>0.2821069868001258</v>
      </c>
      <c r="E495" s="66">
        <f t="shared" si="371"/>
        <v>0.27940841206014083</v>
      </c>
      <c r="F495" s="66">
        <f t="shared" si="371"/>
        <v>0.27578181677717956</v>
      </c>
      <c r="G495" s="66">
        <f t="shared" si="371"/>
        <v>0.27104115613566571</v>
      </c>
      <c r="H495" s="66">
        <f t="shared" si="371"/>
        <v>0.26507109533332746</v>
      </c>
      <c r="I495" s="66">
        <f t="shared" si="371"/>
        <v>0.25790719374114374</v>
      </c>
      <c r="J495" s="66">
        <f t="shared" si="371"/>
        <v>0.24980644256075518</v>
      </c>
      <c r="K495" s="66">
        <f t="shared" si="371"/>
        <v>0.24125451277616472</v>
      </c>
      <c r="L495" s="66">
        <f t="shared" si="371"/>
        <v>0.23287086897379905</v>
      </c>
      <c r="M495" s="66">
        <f t="shared" si="371"/>
        <v>0.22523906545531661</v>
      </c>
      <c r="N495" s="66">
        <f t="shared" si="371"/>
        <v>0.21875311925432689</v>
      </c>
      <c r="O495" s="66">
        <f t="shared" si="371"/>
        <v>0.21355903791448727</v>
      </c>
      <c r="P495" s="66">
        <f t="shared" si="371"/>
        <v>0.20959572332240889</v>
      </c>
      <c r="Q495" s="66">
        <f t="shared" si="371"/>
        <v>0.20668236923894151</v>
      </c>
      <c r="R495" s="66">
        <f t="shared" si="371"/>
        <v>0.20459936321577799</v>
      </c>
      <c r="S495" s="66">
        <f t="shared" si="371"/>
        <v>0.20313948361114187</v>
      </c>
      <c r="T495" s="66">
        <f t="shared" si="371"/>
        <v>0.20213061707312519</v>
      </c>
      <c r="U495" s="66">
        <f t="shared" si="371"/>
        <v>0.2014401994274124</v>
      </c>
      <c r="V495" s="66">
        <f t="shared" si="371"/>
        <v>0.20097086582792076</v>
      </c>
      <c r="W495" s="66">
        <f t="shared" si="371"/>
        <v>0.20065327300360972</v>
      </c>
      <c r="X495" s="66">
        <f t="shared" si="371"/>
        <v>0.20043902455275606</v>
      </c>
      <c r="Y495" s="66">
        <f t="shared" si="371"/>
        <v>0.20029479355993737</v>
      </c>
      <c r="Z495" s="66">
        <f t="shared" si="371"/>
        <v>0.20019783433019273</v>
      </c>
      <c r="AA495" s="66">
        <f t="shared" si="371"/>
        <v>0.20013271509959835</v>
      </c>
      <c r="AB495" s="66">
        <f t="shared" si="371"/>
        <v>0.2000890078355953</v>
      </c>
      <c r="AC495" s="66">
        <f t="shared" si="371"/>
        <v>0.20005968453355225</v>
      </c>
    </row>
    <row r="496" spans="1:29" x14ac:dyDescent="0.3">
      <c r="A496" s="30" t="str">
        <f t="shared" si="365"/>
        <v>Opex var (mode-fees)</v>
      </c>
      <c r="B496" s="66">
        <f>B466*B475/B475</f>
        <v>0.11</v>
      </c>
      <c r="C496" s="66">
        <f t="shared" ref="C496:AC496" si="372">C466*C475/C475</f>
        <v>0.11</v>
      </c>
      <c r="D496" s="66">
        <f t="shared" si="372"/>
        <v>0.11</v>
      </c>
      <c r="E496" s="66">
        <f t="shared" si="372"/>
        <v>0.11</v>
      </c>
      <c r="F496" s="66">
        <f t="shared" si="372"/>
        <v>0.11</v>
      </c>
      <c r="G496" s="66">
        <f t="shared" si="372"/>
        <v>0.11</v>
      </c>
      <c r="H496" s="66">
        <f t="shared" si="372"/>
        <v>0.11</v>
      </c>
      <c r="I496" s="66">
        <f t="shared" si="372"/>
        <v>0.11</v>
      </c>
      <c r="J496" s="66">
        <f t="shared" si="372"/>
        <v>0.11</v>
      </c>
      <c r="K496" s="66">
        <f t="shared" si="372"/>
        <v>0.11</v>
      </c>
      <c r="L496" s="66">
        <f t="shared" si="372"/>
        <v>0.11</v>
      </c>
      <c r="M496" s="66">
        <f t="shared" si="372"/>
        <v>0.11</v>
      </c>
      <c r="N496" s="66">
        <f t="shared" si="372"/>
        <v>0.11</v>
      </c>
      <c r="O496" s="66">
        <f t="shared" si="372"/>
        <v>0.11</v>
      </c>
      <c r="P496" s="66">
        <f t="shared" si="372"/>
        <v>0.11</v>
      </c>
      <c r="Q496" s="66">
        <f t="shared" si="372"/>
        <v>0.11</v>
      </c>
      <c r="R496" s="66">
        <f t="shared" si="372"/>
        <v>0.11</v>
      </c>
      <c r="S496" s="66">
        <f t="shared" si="372"/>
        <v>0.11</v>
      </c>
      <c r="T496" s="66">
        <f t="shared" si="372"/>
        <v>0.11</v>
      </c>
      <c r="U496" s="66">
        <f t="shared" si="372"/>
        <v>0.11</v>
      </c>
      <c r="V496" s="66">
        <f t="shared" si="372"/>
        <v>0.11</v>
      </c>
      <c r="W496" s="66">
        <f t="shared" si="372"/>
        <v>0.11</v>
      </c>
      <c r="X496" s="66">
        <f t="shared" si="372"/>
        <v>0.11</v>
      </c>
      <c r="Y496" s="66">
        <f t="shared" si="372"/>
        <v>0.11</v>
      </c>
      <c r="Z496" s="66">
        <f t="shared" si="372"/>
        <v>0.11</v>
      </c>
      <c r="AA496" s="66">
        <f t="shared" si="372"/>
        <v>0.11</v>
      </c>
      <c r="AB496" s="66">
        <f t="shared" si="372"/>
        <v>0.11</v>
      </c>
      <c r="AC496" s="66">
        <f t="shared" si="372"/>
        <v>0.11</v>
      </c>
    </row>
    <row r="497" spans="1:29" x14ac:dyDescent="0.3">
      <c r="A497" s="30" t="str">
        <f t="shared" si="365"/>
        <v>Fuel Cost</v>
      </c>
      <c r="B497" s="66">
        <f>B467*B468*B475/B475</f>
        <v>0.53742451917328127</v>
      </c>
      <c r="C497" s="66">
        <f t="shared" ref="C497:AC497" si="373">C467*C468*C475/C475</f>
        <v>0.53328076646891065</v>
      </c>
      <c r="D497" s="66">
        <f t="shared" si="373"/>
        <v>0.52749757618020354</v>
      </c>
      <c r="E497" s="66">
        <f t="shared" si="373"/>
        <v>0.51952238110723781</v>
      </c>
      <c r="F497" s="66">
        <f t="shared" si="373"/>
        <v>0.50870752427151578</v>
      </c>
      <c r="G497" s="66">
        <f t="shared" si="373"/>
        <v>0.49437524243151559</v>
      </c>
      <c r="H497" s="66">
        <f t="shared" si="373"/>
        <v>0.47595082702243874</v>
      </c>
      <c r="I497" s="66">
        <f t="shared" si="373"/>
        <v>0.45316133383767671</v>
      </c>
      <c r="J497" s="66">
        <f t="shared" si="373"/>
        <v>0.42624571522440885</v>
      </c>
      <c r="K497" s="66">
        <f t="shared" si="373"/>
        <v>0.39607146853505659</v>
      </c>
      <c r="L497" s="66">
        <f t="shared" si="373"/>
        <v>0.36406766567256948</v>
      </c>
      <c r="M497" s="66">
        <f t="shared" si="373"/>
        <v>0.33198453763529034</v>
      </c>
      <c r="N497" s="66">
        <f t="shared" si="373"/>
        <v>0.30158014608597056</v>
      </c>
      <c r="O497" s="66">
        <f t="shared" si="373"/>
        <v>0.27432626644499841</v>
      </c>
      <c r="P497" s="66">
        <f t="shared" si="373"/>
        <v>0.25118415888048851</v>
      </c>
      <c r="Q497" s="66">
        <f t="shared" si="373"/>
        <v>0.23250375572440146</v>
      </c>
      <c r="R497" s="66">
        <f t="shared" si="373"/>
        <v>0.21808469908781597</v>
      </c>
      <c r="S497" s="66">
        <f t="shared" si="373"/>
        <v>0.20736156580363682</v>
      </c>
      <c r="T497" s="66">
        <f t="shared" si="373"/>
        <v>0.19961742692031845</v>
      </c>
      <c r="U497" s="66">
        <f t="shared" si="373"/>
        <v>0.19414685627985126</v>
      </c>
      <c r="V497" s="66">
        <f t="shared" si="373"/>
        <v>0.19034400139850993</v>
      </c>
      <c r="W497" s="66">
        <f t="shared" si="373"/>
        <v>0.18773045465245583</v>
      </c>
      <c r="X497" s="66">
        <f t="shared" si="373"/>
        <v>0.18594850776631369</v>
      </c>
      <c r="Y497" s="66">
        <f t="shared" si="373"/>
        <v>0.1847401945997752</v>
      </c>
      <c r="Z497" s="66">
        <f t="shared" si="373"/>
        <v>0.18392391347296866</v>
      </c>
      <c r="AA497" s="66">
        <f t="shared" si="373"/>
        <v>0.18337386928405741</v>
      </c>
      <c r="AB497" s="66">
        <f t="shared" si="373"/>
        <v>0.18300386199689941</v>
      </c>
      <c r="AC497" s="66">
        <f t="shared" si="373"/>
        <v>0.18275525078808499</v>
      </c>
    </row>
    <row r="498" spans="1:29" ht="15" thickBot="1" x14ac:dyDescent="0.35">
      <c r="A498" s="59" t="str">
        <f t="shared" ref="A498" si="374">A486</f>
        <v>Emission Cost</v>
      </c>
      <c r="B498" s="66">
        <f>B469</f>
        <v>9.1045502411311718E-3</v>
      </c>
      <c r="C498" s="66">
        <f t="shared" ref="C498:AC498" si="375">C469</f>
        <v>9.095880490962575E-3</v>
      </c>
      <c r="D498" s="66">
        <f t="shared" si="375"/>
        <v>9.0834699366993434E-3</v>
      </c>
      <c r="E498" s="66">
        <f t="shared" si="375"/>
        <v>9.0657157660766E-3</v>
      </c>
      <c r="F498" s="66">
        <f t="shared" si="375"/>
        <v>9.040341138604446E-3</v>
      </c>
      <c r="G498" s="66">
        <f t="shared" si="375"/>
        <v>9.0041260615172855E-3</v>
      </c>
      <c r="H498" s="66">
        <f t="shared" si="375"/>
        <v>8.9525469072142452E-3</v>
      </c>
      <c r="I498" s="66">
        <f t="shared" si="375"/>
        <v>8.8793119020679299E-3</v>
      </c>
      <c r="J498" s="66">
        <f t="shared" si="375"/>
        <v>8.7758012597282838E-3</v>
      </c>
      <c r="K498" s="66">
        <f t="shared" si="375"/>
        <v>8.630474185370102E-3</v>
      </c>
      <c r="L498" s="66">
        <f t="shared" si="375"/>
        <v>8.4284167966506146E-3</v>
      </c>
      <c r="M498" s="66">
        <f t="shared" si="375"/>
        <v>8.1514036756981448E-3</v>
      </c>
      <c r="N498" s="66">
        <f t="shared" si="375"/>
        <v>7.7791277246640009E-3</v>
      </c>
      <c r="O498" s="66">
        <f t="shared" si="375"/>
        <v>7.2924911382377788E-3</v>
      </c>
      <c r="P498" s="66">
        <f t="shared" si="375"/>
        <v>6.6796546098928378E-3</v>
      </c>
      <c r="Q498" s="66">
        <f t="shared" si="375"/>
        <v>5.9442683673542078E-3</v>
      </c>
      <c r="R498" s="66">
        <f t="shared" si="375"/>
        <v>5.1127129787673555E-3</v>
      </c>
      <c r="S498" s="66">
        <f t="shared" si="375"/>
        <v>4.2348433668221242E-3</v>
      </c>
      <c r="T498" s="66">
        <f t="shared" si="375"/>
        <v>3.3742485868309214E-3</v>
      </c>
      <c r="U498" s="66">
        <f t="shared" si="375"/>
        <v>2.5908314445053909E-3</v>
      </c>
      <c r="V498" s="66">
        <f t="shared" si="375"/>
        <v>1.9250384342751033E-3</v>
      </c>
      <c r="W498" s="66">
        <f t="shared" si="375"/>
        <v>1.3918574698531276E-3</v>
      </c>
      <c r="X498" s="66">
        <f t="shared" si="375"/>
        <v>9.8501672973924301E-4</v>
      </c>
      <c r="Y498" s="66">
        <f t="shared" si="375"/>
        <v>6.8595615708101458E-4</v>
      </c>
      <c r="Z498" s="66">
        <f t="shared" si="375"/>
        <v>4.7213217403930738E-4</v>
      </c>
      <c r="AA498" s="66">
        <f t="shared" si="375"/>
        <v>3.2227313937815624E-4</v>
      </c>
      <c r="AB498" s="66">
        <f t="shared" si="375"/>
        <v>2.1871133537117345E-4</v>
      </c>
      <c r="AC498" s="66">
        <f t="shared" si="375"/>
        <v>1.4783883220655276E-4</v>
      </c>
    </row>
    <row r="499" spans="1:29" ht="15" thickBot="1" x14ac:dyDescent="0.35">
      <c r="A499" s="31" t="s">
        <v>63</v>
      </c>
      <c r="B499" s="76">
        <f>B490+B491+B492-B493+B494+B495+B496+B497+B498</f>
        <v>2.364271722058537</v>
      </c>
      <c r="C499" s="76">
        <f t="shared" ref="C499:AC499" si="376">C490+C491+C492-C493+C494+C495+C496+C497+C498</f>
        <v>2.3525693872577844</v>
      </c>
      <c r="D499" s="76">
        <f t="shared" si="376"/>
        <v>2.3362766675505262</v>
      </c>
      <c r="E499" s="76">
        <f t="shared" si="376"/>
        <v>2.3138925610419974</v>
      </c>
      <c r="F499" s="76">
        <f t="shared" si="376"/>
        <v>2.2837121563087908</v>
      </c>
      <c r="G499" s="76">
        <f t="shared" si="376"/>
        <v>2.2440623166810991</v>
      </c>
      <c r="H499" s="76">
        <f t="shared" si="376"/>
        <v>2.1937487440752497</v>
      </c>
      <c r="I499" s="76">
        <f t="shared" si="376"/>
        <v>2.1326818361321993</v>
      </c>
      <c r="J499" s="76">
        <f t="shared" si="376"/>
        <v>2.062462426938533</v>
      </c>
      <c r="K499" s="76">
        <f t="shared" si="376"/>
        <v>1.9865364948905022</v>
      </c>
      <c r="L499" s="76">
        <f t="shared" si="376"/>
        <v>1.9096217241817104</v>
      </c>
      <c r="M499" s="76">
        <f t="shared" si="376"/>
        <v>1.836562141565645</v>
      </c>
      <c r="N499" s="76">
        <f t="shared" si="376"/>
        <v>1.7711967445380488</v>
      </c>
      <c r="O499" s="76">
        <f t="shared" si="376"/>
        <v>1.7157568504498235</v>
      </c>
      <c r="P499" s="76">
        <f t="shared" si="376"/>
        <v>1.6708660516630383</v>
      </c>
      <c r="Q499" s="76">
        <f t="shared" si="376"/>
        <v>1.6359137139663766</v>
      </c>
      <c r="R499" s="76">
        <f t="shared" si="376"/>
        <v>1.6095546946701382</v>
      </c>
      <c r="S499" s="76">
        <f t="shared" si="376"/>
        <v>1.5901683387626997</v>
      </c>
      <c r="T499" s="76">
        <f t="shared" si="376"/>
        <v>1.5761834476433785</v>
      </c>
      <c r="U499" s="76">
        <f t="shared" si="376"/>
        <v>1.5662475500099073</v>
      </c>
      <c r="V499" s="76">
        <f t="shared" si="376"/>
        <v>1.5592760054818535</v>
      </c>
      <c r="W499" s="76">
        <f t="shared" si="376"/>
        <v>1.5544355954682134</v>
      </c>
      <c r="X499" s="76">
        <f t="shared" si="376"/>
        <v>1.5511042479920043</v>
      </c>
      <c r="Y499" s="76">
        <f t="shared" si="376"/>
        <v>1.5488277086375752</v>
      </c>
      <c r="Z499" s="76">
        <f t="shared" si="376"/>
        <v>1.5472805322371419</v>
      </c>
      <c r="AA499" s="76">
        <f t="shared" si="376"/>
        <v>1.5462333564053408</v>
      </c>
      <c r="AB499" s="76">
        <f t="shared" si="376"/>
        <v>1.5455267020115646</v>
      </c>
      <c r="AC499" s="76">
        <f t="shared" si="376"/>
        <v>1.5450508408441175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377">A478</f>
        <v>Capex vehicle</v>
      </c>
      <c r="B502" s="65">
        <f>((1+B463)^B470)*B463/(((1+B463)^B470)-1)*(B459)/B475/(B472)</f>
        <v>2.7269975953624806E-2</v>
      </c>
      <c r="C502" s="65">
        <f t="shared" ref="C502:AC502" si="378">((1+C463)^C470)*C463/(((1+C463)^C470)-1)*(C459)/C475/(C472)</f>
        <v>2.7002095313731978E-2</v>
      </c>
      <c r="D502" s="65">
        <f t="shared" si="378"/>
        <v>2.6629643980597428E-2</v>
      </c>
      <c r="E502" s="65">
        <f t="shared" si="378"/>
        <v>2.6119027136302046E-2</v>
      </c>
      <c r="F502" s="65">
        <f t="shared" si="378"/>
        <v>2.5432812813057998E-2</v>
      </c>
      <c r="G502" s="65">
        <f t="shared" si="378"/>
        <v>2.4535798125720237E-2</v>
      </c>
      <c r="H502" s="65">
        <f t="shared" si="378"/>
        <v>2.3406159742179106E-2</v>
      </c>
      <c r="I502" s="65">
        <f t="shared" si="378"/>
        <v>2.2050626108204612E-2</v>
      </c>
      <c r="J502" s="65">
        <f t="shared" si="378"/>
        <v>2.0517824387776735E-2</v>
      </c>
      <c r="K502" s="65">
        <f t="shared" si="378"/>
        <v>1.889965190044823E-2</v>
      </c>
      <c r="L502" s="65">
        <f t="shared" si="378"/>
        <v>1.7313322020963605E-2</v>
      </c>
      <c r="M502" s="65">
        <f t="shared" si="378"/>
        <v>1.586925327936126E-2</v>
      </c>
      <c r="N502" s="65">
        <f t="shared" si="378"/>
        <v>1.4642000488342575E-2</v>
      </c>
      <c r="O502" s="65">
        <f t="shared" si="378"/>
        <v>1.3659190791258826E-2</v>
      </c>
      <c r="P502" s="65">
        <f t="shared" si="378"/>
        <v>1.2909263372176771E-2</v>
      </c>
      <c r="Q502" s="65">
        <f t="shared" si="378"/>
        <v>1.2358006574885507E-2</v>
      </c>
      <c r="R502" s="65">
        <f t="shared" si="378"/>
        <v>1.1963865939669313E-2</v>
      </c>
      <c r="S502" s="65">
        <f t="shared" si="378"/>
        <v>1.1687631560934022E-2</v>
      </c>
      <c r="T502" s="65">
        <f t="shared" si="378"/>
        <v>1.1496736626536108E-2</v>
      </c>
      <c r="U502" s="65">
        <f t="shared" si="378"/>
        <v>1.1366097710268157E-2</v>
      </c>
      <c r="V502" s="65">
        <f t="shared" si="378"/>
        <v>1.1277291705400727E-2</v>
      </c>
      <c r="W502" s="65">
        <f t="shared" si="378"/>
        <v>1.12171976700873E-2</v>
      </c>
      <c r="X502" s="65">
        <f t="shared" si="378"/>
        <v>1.1176658171125467E-2</v>
      </c>
      <c r="Y502" s="65">
        <f t="shared" si="378"/>
        <v>1.11493671818075E-2</v>
      </c>
      <c r="Z502" s="65">
        <f t="shared" si="378"/>
        <v>1.1131020824679061E-2</v>
      </c>
      <c r="AA502" s="65">
        <f t="shared" si="378"/>
        <v>1.11186991440762E-2</v>
      </c>
      <c r="AB502" s="65">
        <f t="shared" si="378"/>
        <v>1.1110428976536531E-2</v>
      </c>
      <c r="AC502" s="65">
        <f t="shared" si="378"/>
        <v>1.1104880502472903E-2</v>
      </c>
    </row>
    <row r="503" spans="1:29" x14ac:dyDescent="0.3">
      <c r="A503" s="30" t="str">
        <f t="shared" si="377"/>
        <v>Residual value (vehicle)</v>
      </c>
      <c r="B503" s="68">
        <f>((1+B463)^B470)*B463/(((1+B463)^B470)-1)*(B460)/B475/(B472)</f>
        <v>-4.1329018056683528E-3</v>
      </c>
      <c r="C503" s="68">
        <f t="shared" ref="C503:AC503" si="379">((1+C463)^C470)*C463/(((1+C463)^C470)-1)*(C460)/C475/(C472)</f>
        <v>-4.1103884327411905E-3</v>
      </c>
      <c r="D503" s="68">
        <f t="shared" si="379"/>
        <v>-4.0790866717649883E-3</v>
      </c>
      <c r="E503" s="68">
        <f t="shared" si="379"/>
        <v>-4.0361731284678237E-3</v>
      </c>
      <c r="F503" s="68">
        <f t="shared" si="379"/>
        <v>-3.9785019247058238E-3</v>
      </c>
      <c r="G503" s="68">
        <f t="shared" si="379"/>
        <v>-3.903114520131693E-3</v>
      </c>
      <c r="H503" s="68">
        <f t="shared" si="379"/>
        <v>-3.8081768261957888E-3</v>
      </c>
      <c r="I503" s="68">
        <f t="shared" si="379"/>
        <v>-3.6942543186596357E-3</v>
      </c>
      <c r="J503" s="68">
        <f t="shared" si="379"/>
        <v>-3.5654337485385686E-3</v>
      </c>
      <c r="K503" s="68">
        <f t="shared" si="379"/>
        <v>-3.4294384011992578E-3</v>
      </c>
      <c r="L503" s="68">
        <f t="shared" si="379"/>
        <v>-3.296119187923423E-3</v>
      </c>
      <c r="M503" s="68">
        <f t="shared" si="379"/>
        <v>-3.1747559638951399E-3</v>
      </c>
      <c r="N503" s="68">
        <f t="shared" si="379"/>
        <v>-3.0716145059265488E-3</v>
      </c>
      <c r="O503" s="68">
        <f t="shared" si="379"/>
        <v>-2.9890166696822764E-3</v>
      </c>
      <c r="P503" s="68">
        <f t="shared" si="379"/>
        <v>-2.9259908546743168E-3</v>
      </c>
      <c r="Q503" s="68">
        <f t="shared" si="379"/>
        <v>-2.8796618259657953E-3</v>
      </c>
      <c r="R503" s="68">
        <f t="shared" si="379"/>
        <v>-2.8465372406657114E-3</v>
      </c>
      <c r="S503" s="68">
        <f t="shared" si="379"/>
        <v>-2.8233217981975321E-3</v>
      </c>
      <c r="T503" s="68">
        <f t="shared" si="379"/>
        <v>-2.8072785005194096E-3</v>
      </c>
      <c r="U503" s="68">
        <f t="shared" si="379"/>
        <v>-2.7962992724500819E-3</v>
      </c>
      <c r="V503" s="68">
        <f t="shared" si="379"/>
        <v>-2.7888357890622868E-3</v>
      </c>
      <c r="W503" s="68">
        <f t="shared" si="379"/>
        <v>-2.7837853329029673E-3</v>
      </c>
      <c r="X503" s="68">
        <f t="shared" si="379"/>
        <v>-2.7803782899051112E-3</v>
      </c>
      <c r="Y503" s="68">
        <f t="shared" si="379"/>
        <v>-2.7780846854837077E-3</v>
      </c>
      <c r="Z503" s="68">
        <f t="shared" si="379"/>
        <v>-2.7765428107888708E-3</v>
      </c>
      <c r="AA503" s="68">
        <f t="shared" si="379"/>
        <v>-2.7755072652913965E-3</v>
      </c>
      <c r="AB503" s="68">
        <f t="shared" si="379"/>
        <v>-2.7748122192960407E-3</v>
      </c>
      <c r="AC503" s="68">
        <f t="shared" si="379"/>
        <v>-2.7743459113694167E-3</v>
      </c>
    </row>
    <row r="504" spans="1:29" x14ac:dyDescent="0.3">
      <c r="A504" s="30" t="str">
        <f t="shared" si="377"/>
        <v>Capex costumization</v>
      </c>
      <c r="B504" s="66">
        <f>((1+B463)^B471)*B463/(((1+B463)^B471)-1)*(B461)/B475/(B472)</f>
        <v>2.1135015723170798E-3</v>
      </c>
      <c r="C504" s="66">
        <f t="shared" ref="C504:AC504" si="380">((1+C463)^C471)*C463/(((1+C463)^C471)-1)*(C461)/C475/(C472)</f>
        <v>2.1135015723170798E-3</v>
      </c>
      <c r="D504" s="66">
        <f t="shared" si="380"/>
        <v>2.1135015723170798E-3</v>
      </c>
      <c r="E504" s="66">
        <f t="shared" si="380"/>
        <v>2.1135015723170798E-3</v>
      </c>
      <c r="F504" s="66">
        <f t="shared" si="380"/>
        <v>2.1135015723170798E-3</v>
      </c>
      <c r="G504" s="66">
        <f t="shared" si="380"/>
        <v>2.1135015723170798E-3</v>
      </c>
      <c r="H504" s="66">
        <f t="shared" si="380"/>
        <v>2.1135015723170798E-3</v>
      </c>
      <c r="I504" s="66">
        <f t="shared" si="380"/>
        <v>2.1135015723170798E-3</v>
      </c>
      <c r="J504" s="66">
        <f t="shared" si="380"/>
        <v>2.1135015723170798E-3</v>
      </c>
      <c r="K504" s="66">
        <f t="shared" si="380"/>
        <v>2.1135015723170798E-3</v>
      </c>
      <c r="L504" s="66">
        <f t="shared" si="380"/>
        <v>2.1135015723170798E-3</v>
      </c>
      <c r="M504" s="66">
        <f t="shared" si="380"/>
        <v>2.1135015723170798E-3</v>
      </c>
      <c r="N504" s="66">
        <f t="shared" si="380"/>
        <v>2.1135015723170798E-3</v>
      </c>
      <c r="O504" s="66">
        <f t="shared" si="380"/>
        <v>2.1135015723170798E-3</v>
      </c>
      <c r="P504" s="66">
        <f t="shared" si="380"/>
        <v>2.1135015723170798E-3</v>
      </c>
      <c r="Q504" s="66">
        <f t="shared" si="380"/>
        <v>2.1135015723170798E-3</v>
      </c>
      <c r="R504" s="66">
        <f t="shared" si="380"/>
        <v>2.1135015723170798E-3</v>
      </c>
      <c r="S504" s="66">
        <f t="shared" si="380"/>
        <v>2.1135015723170798E-3</v>
      </c>
      <c r="T504" s="66">
        <f t="shared" si="380"/>
        <v>2.1135015723170798E-3</v>
      </c>
      <c r="U504" s="66">
        <f t="shared" si="380"/>
        <v>2.1135015723170798E-3</v>
      </c>
      <c r="V504" s="66">
        <f t="shared" si="380"/>
        <v>2.1135015723170798E-3</v>
      </c>
      <c r="W504" s="66">
        <f t="shared" si="380"/>
        <v>2.1135015723170798E-3</v>
      </c>
      <c r="X504" s="66">
        <f t="shared" si="380"/>
        <v>2.1135015723170798E-3</v>
      </c>
      <c r="Y504" s="66">
        <f t="shared" si="380"/>
        <v>2.1135015723170798E-3</v>
      </c>
      <c r="Z504" s="66">
        <f t="shared" si="380"/>
        <v>2.1135015723170798E-3</v>
      </c>
      <c r="AA504" s="66">
        <f t="shared" si="380"/>
        <v>2.1135015723170798E-3</v>
      </c>
      <c r="AB504" s="66">
        <f t="shared" si="380"/>
        <v>2.1135015723170798E-3</v>
      </c>
      <c r="AC504" s="66">
        <f t="shared" si="380"/>
        <v>2.1135015723170798E-3</v>
      </c>
    </row>
    <row r="505" spans="1:29" x14ac:dyDescent="0.3">
      <c r="A505" s="30" t="str">
        <f t="shared" si="377"/>
        <v>Residual value (costumization)</v>
      </c>
      <c r="B505" s="69">
        <f>((1+B463)^B471)*B463/(((1+B463)^B471)-1)*(B462)/B475/(B472)</f>
        <v>-5.2837539307926996E-4</v>
      </c>
      <c r="C505" s="69">
        <f t="shared" ref="C505:AC505" si="381">((1+C463)^C471)*C463/(((1+C463)^C471)-1)*(C462)/C475/(C472)</f>
        <v>-5.2837539307926996E-4</v>
      </c>
      <c r="D505" s="69">
        <f t="shared" si="381"/>
        <v>-5.2837539307926996E-4</v>
      </c>
      <c r="E505" s="69">
        <f t="shared" si="381"/>
        <v>-5.2837539307926996E-4</v>
      </c>
      <c r="F505" s="69">
        <f t="shared" si="381"/>
        <v>-5.2837539307926996E-4</v>
      </c>
      <c r="G505" s="69">
        <f t="shared" si="381"/>
        <v>-5.2837539307926996E-4</v>
      </c>
      <c r="H505" s="69">
        <f t="shared" si="381"/>
        <v>-5.2837539307926996E-4</v>
      </c>
      <c r="I505" s="69">
        <f t="shared" si="381"/>
        <v>-5.2837539307926996E-4</v>
      </c>
      <c r="J505" s="69">
        <f t="shared" si="381"/>
        <v>-5.2837539307926996E-4</v>
      </c>
      <c r="K505" s="69">
        <f t="shared" si="381"/>
        <v>-5.2837539307926996E-4</v>
      </c>
      <c r="L505" s="69">
        <f t="shared" si="381"/>
        <v>-5.2837539307926996E-4</v>
      </c>
      <c r="M505" s="69">
        <f t="shared" si="381"/>
        <v>-5.2837539307926996E-4</v>
      </c>
      <c r="N505" s="69">
        <f t="shared" si="381"/>
        <v>-5.2837539307926996E-4</v>
      </c>
      <c r="O505" s="69">
        <f t="shared" si="381"/>
        <v>-5.2837539307926996E-4</v>
      </c>
      <c r="P505" s="69">
        <f t="shared" si="381"/>
        <v>-5.2837539307926996E-4</v>
      </c>
      <c r="Q505" s="69">
        <f t="shared" si="381"/>
        <v>-5.2837539307926996E-4</v>
      </c>
      <c r="R505" s="69">
        <f t="shared" si="381"/>
        <v>-5.2837539307926996E-4</v>
      </c>
      <c r="S505" s="69">
        <f t="shared" si="381"/>
        <v>-5.2837539307926996E-4</v>
      </c>
      <c r="T505" s="69">
        <f t="shared" si="381"/>
        <v>-5.2837539307926996E-4</v>
      </c>
      <c r="U505" s="69">
        <f t="shared" si="381"/>
        <v>-5.2837539307926996E-4</v>
      </c>
      <c r="V505" s="69">
        <f t="shared" si="381"/>
        <v>-5.2837539307926996E-4</v>
      </c>
      <c r="W505" s="69">
        <f t="shared" si="381"/>
        <v>-5.2837539307926996E-4</v>
      </c>
      <c r="X505" s="69">
        <f t="shared" si="381"/>
        <v>-5.2837539307926996E-4</v>
      </c>
      <c r="Y505" s="69">
        <f t="shared" si="381"/>
        <v>-5.2837539307926996E-4</v>
      </c>
      <c r="Z505" s="69">
        <f t="shared" si="381"/>
        <v>-5.2837539307926996E-4</v>
      </c>
      <c r="AA505" s="69">
        <f t="shared" si="381"/>
        <v>-5.2837539307926996E-4</v>
      </c>
      <c r="AB505" s="69">
        <f t="shared" si="381"/>
        <v>-5.2837539307926996E-4</v>
      </c>
      <c r="AC505" s="69">
        <f t="shared" si="381"/>
        <v>-5.2837539307926996E-4</v>
      </c>
    </row>
    <row r="506" spans="1:29" x14ac:dyDescent="0.3">
      <c r="A506" s="30" t="str">
        <f t="shared" si="377"/>
        <v>Opex fix (admin, crew, insurance)</v>
      </c>
      <c r="B506" s="66">
        <f>B464/B475/(B472)</f>
        <v>3.111111111111111E-2</v>
      </c>
      <c r="C506" s="66">
        <f t="shared" ref="C506:AC506" si="382">C464/C475/(C472)</f>
        <v>3.111111111111111E-2</v>
      </c>
      <c r="D506" s="66">
        <f t="shared" si="382"/>
        <v>3.111111111111111E-2</v>
      </c>
      <c r="E506" s="66">
        <f t="shared" si="382"/>
        <v>3.111111111111111E-2</v>
      </c>
      <c r="F506" s="66">
        <f t="shared" si="382"/>
        <v>3.111111111111111E-2</v>
      </c>
      <c r="G506" s="66">
        <f t="shared" si="382"/>
        <v>3.111111111111111E-2</v>
      </c>
      <c r="H506" s="66">
        <f t="shared" si="382"/>
        <v>3.111111111111111E-2</v>
      </c>
      <c r="I506" s="66">
        <f t="shared" si="382"/>
        <v>3.111111111111111E-2</v>
      </c>
      <c r="J506" s="66">
        <f t="shared" si="382"/>
        <v>3.111111111111111E-2</v>
      </c>
      <c r="K506" s="66">
        <f t="shared" si="382"/>
        <v>3.111111111111111E-2</v>
      </c>
      <c r="L506" s="66">
        <f t="shared" si="382"/>
        <v>3.111111111111111E-2</v>
      </c>
      <c r="M506" s="66">
        <f t="shared" si="382"/>
        <v>3.111111111111111E-2</v>
      </c>
      <c r="N506" s="66">
        <f t="shared" si="382"/>
        <v>3.111111111111111E-2</v>
      </c>
      <c r="O506" s="66">
        <f t="shared" si="382"/>
        <v>3.111111111111111E-2</v>
      </c>
      <c r="P506" s="66">
        <f t="shared" si="382"/>
        <v>3.111111111111111E-2</v>
      </c>
      <c r="Q506" s="66">
        <f t="shared" si="382"/>
        <v>3.111111111111111E-2</v>
      </c>
      <c r="R506" s="66">
        <f t="shared" si="382"/>
        <v>3.111111111111111E-2</v>
      </c>
      <c r="S506" s="66">
        <f t="shared" si="382"/>
        <v>3.111111111111111E-2</v>
      </c>
      <c r="T506" s="66">
        <f t="shared" si="382"/>
        <v>3.111111111111111E-2</v>
      </c>
      <c r="U506" s="66">
        <f t="shared" si="382"/>
        <v>3.111111111111111E-2</v>
      </c>
      <c r="V506" s="66">
        <f t="shared" si="382"/>
        <v>3.111111111111111E-2</v>
      </c>
      <c r="W506" s="66">
        <f t="shared" si="382"/>
        <v>3.111111111111111E-2</v>
      </c>
      <c r="X506" s="66">
        <f t="shared" si="382"/>
        <v>3.111111111111111E-2</v>
      </c>
      <c r="Y506" s="66">
        <f t="shared" si="382"/>
        <v>3.111111111111111E-2</v>
      </c>
      <c r="Z506" s="66">
        <f t="shared" si="382"/>
        <v>3.111111111111111E-2</v>
      </c>
      <c r="AA506" s="66">
        <f t="shared" si="382"/>
        <v>3.111111111111111E-2</v>
      </c>
      <c r="AB506" s="66">
        <f t="shared" si="382"/>
        <v>3.111111111111111E-2</v>
      </c>
      <c r="AC506" s="66">
        <f t="shared" si="382"/>
        <v>3.111111111111111E-2</v>
      </c>
    </row>
    <row r="507" spans="1:29" x14ac:dyDescent="0.3">
      <c r="A507" s="30" t="str">
        <f t="shared" si="377"/>
        <v>Opex maintenance &amp; repair</v>
      </c>
      <c r="B507" s="66">
        <f>B465/B475/(B472)</f>
        <v>1.1419643881301077E-2</v>
      </c>
      <c r="C507" s="66">
        <f t="shared" ref="C507:AC507" si="383">C465/C475/(C472)</f>
        <v>1.1363014654418182E-2</v>
      </c>
      <c r="D507" s="66">
        <f t="shared" si="383"/>
        <v>1.1284279472005032E-2</v>
      </c>
      <c r="E507" s="66">
        <f t="shared" si="383"/>
        <v>1.1176336482405633E-2</v>
      </c>
      <c r="F507" s="66">
        <f t="shared" si="383"/>
        <v>1.1031272671087182E-2</v>
      </c>
      <c r="G507" s="66">
        <f t="shared" si="383"/>
        <v>1.0841646245426629E-2</v>
      </c>
      <c r="H507" s="66">
        <f t="shared" si="383"/>
        <v>1.0602843813333098E-2</v>
      </c>
      <c r="I507" s="66">
        <f t="shared" si="383"/>
        <v>1.0316287749645749E-2</v>
      </c>
      <c r="J507" s="66">
        <f t="shared" si="383"/>
        <v>9.9922577024302069E-3</v>
      </c>
      <c r="K507" s="66">
        <f t="shared" si="383"/>
        <v>9.6501805110465882E-3</v>
      </c>
      <c r="L507" s="66">
        <f t="shared" si="383"/>
        <v>9.3148347589519613E-3</v>
      </c>
      <c r="M507" s="66">
        <f t="shared" si="383"/>
        <v>9.0095626182126638E-3</v>
      </c>
      <c r="N507" s="66">
        <f t="shared" si="383"/>
        <v>8.7501247701730761E-3</v>
      </c>
      <c r="O507" s="66">
        <f t="shared" si="383"/>
        <v>8.542361516579491E-3</v>
      </c>
      <c r="P507" s="66">
        <f t="shared" si="383"/>
        <v>8.3838289328963551E-3</v>
      </c>
      <c r="Q507" s="66">
        <f t="shared" si="383"/>
        <v>8.2672947695576603E-3</v>
      </c>
      <c r="R507" s="66">
        <f t="shared" si="383"/>
        <v>8.1839745286311199E-3</v>
      </c>
      <c r="S507" s="66">
        <f t="shared" si="383"/>
        <v>8.1255793444456742E-3</v>
      </c>
      <c r="T507" s="66">
        <f t="shared" si="383"/>
        <v>8.0852246829250067E-3</v>
      </c>
      <c r="U507" s="66">
        <f t="shared" si="383"/>
        <v>8.0576079770964953E-3</v>
      </c>
      <c r="V507" s="66">
        <f t="shared" si="383"/>
        <v>8.0388346331168297E-3</v>
      </c>
      <c r="W507" s="66">
        <f t="shared" si="383"/>
        <v>8.0261309201443889E-3</v>
      </c>
      <c r="X507" s="66">
        <f t="shared" si="383"/>
        <v>8.0175609821102421E-3</v>
      </c>
      <c r="Y507" s="66">
        <f t="shared" si="383"/>
        <v>8.0117917423974949E-3</v>
      </c>
      <c r="Z507" s="66">
        <f t="shared" si="383"/>
        <v>8.0079133732077097E-3</v>
      </c>
      <c r="AA507" s="66">
        <f t="shared" si="383"/>
        <v>8.0053086039839332E-3</v>
      </c>
      <c r="AB507" s="66">
        <f t="shared" si="383"/>
        <v>8.0035603134238128E-3</v>
      </c>
      <c r="AC507" s="66">
        <f t="shared" si="383"/>
        <v>8.0023873813420895E-3</v>
      </c>
    </row>
    <row r="508" spans="1:29" x14ac:dyDescent="0.3">
      <c r="A508" s="30" t="str">
        <f t="shared" si="377"/>
        <v>Opex var (mode-fees)</v>
      </c>
      <c r="B508" s="66">
        <f>B466*B475/B475/(B472)</f>
        <v>4.4000000000000003E-3</v>
      </c>
      <c r="C508" s="66">
        <f t="shared" ref="C508:AC508" si="384">C466*C475/C475/(C472)</f>
        <v>4.4000000000000003E-3</v>
      </c>
      <c r="D508" s="66">
        <f t="shared" si="384"/>
        <v>4.4000000000000003E-3</v>
      </c>
      <c r="E508" s="66">
        <f t="shared" si="384"/>
        <v>4.4000000000000003E-3</v>
      </c>
      <c r="F508" s="66">
        <f t="shared" si="384"/>
        <v>4.4000000000000003E-3</v>
      </c>
      <c r="G508" s="66">
        <f t="shared" si="384"/>
        <v>4.4000000000000003E-3</v>
      </c>
      <c r="H508" s="66">
        <f t="shared" si="384"/>
        <v>4.4000000000000003E-3</v>
      </c>
      <c r="I508" s="66">
        <f t="shared" si="384"/>
        <v>4.4000000000000003E-3</v>
      </c>
      <c r="J508" s="66">
        <f t="shared" si="384"/>
        <v>4.4000000000000003E-3</v>
      </c>
      <c r="K508" s="66">
        <f t="shared" si="384"/>
        <v>4.4000000000000003E-3</v>
      </c>
      <c r="L508" s="66">
        <f t="shared" si="384"/>
        <v>4.4000000000000003E-3</v>
      </c>
      <c r="M508" s="66">
        <f t="shared" si="384"/>
        <v>4.4000000000000003E-3</v>
      </c>
      <c r="N508" s="66">
        <f t="shared" si="384"/>
        <v>4.4000000000000003E-3</v>
      </c>
      <c r="O508" s="66">
        <f t="shared" si="384"/>
        <v>4.4000000000000003E-3</v>
      </c>
      <c r="P508" s="66">
        <f t="shared" si="384"/>
        <v>4.4000000000000003E-3</v>
      </c>
      <c r="Q508" s="66">
        <f t="shared" si="384"/>
        <v>4.4000000000000003E-3</v>
      </c>
      <c r="R508" s="66">
        <f t="shared" si="384"/>
        <v>4.4000000000000003E-3</v>
      </c>
      <c r="S508" s="66">
        <f t="shared" si="384"/>
        <v>4.4000000000000003E-3</v>
      </c>
      <c r="T508" s="66">
        <f t="shared" si="384"/>
        <v>4.4000000000000003E-3</v>
      </c>
      <c r="U508" s="66">
        <f t="shared" si="384"/>
        <v>4.4000000000000003E-3</v>
      </c>
      <c r="V508" s="66">
        <f t="shared" si="384"/>
        <v>4.4000000000000003E-3</v>
      </c>
      <c r="W508" s="66">
        <f t="shared" si="384"/>
        <v>4.4000000000000003E-3</v>
      </c>
      <c r="X508" s="66">
        <f t="shared" si="384"/>
        <v>4.4000000000000003E-3</v>
      </c>
      <c r="Y508" s="66">
        <f t="shared" si="384"/>
        <v>4.4000000000000003E-3</v>
      </c>
      <c r="Z508" s="66">
        <f t="shared" si="384"/>
        <v>4.4000000000000003E-3</v>
      </c>
      <c r="AA508" s="66">
        <f t="shared" si="384"/>
        <v>4.4000000000000003E-3</v>
      </c>
      <c r="AB508" s="66">
        <f t="shared" si="384"/>
        <v>4.4000000000000003E-3</v>
      </c>
      <c r="AC508" s="66">
        <f t="shared" si="384"/>
        <v>4.4000000000000003E-3</v>
      </c>
    </row>
    <row r="509" spans="1:29" x14ac:dyDescent="0.3">
      <c r="A509" s="30" t="str">
        <f t="shared" si="377"/>
        <v>Fuel Cost</v>
      </c>
      <c r="B509" s="66">
        <f>B467*B468*B475/B475/(B472)</f>
        <v>2.149698076693125E-2</v>
      </c>
      <c r="C509" s="66">
        <f t="shared" ref="C509:AC509" si="385">C467*C468*C475/C475/(C472)</f>
        <v>2.1331230658756428E-2</v>
      </c>
      <c r="D509" s="66">
        <f t="shared" si="385"/>
        <v>2.1099903047208143E-2</v>
      </c>
      <c r="E509" s="66">
        <f t="shared" si="385"/>
        <v>2.0780895244289513E-2</v>
      </c>
      <c r="F509" s="66">
        <f t="shared" si="385"/>
        <v>2.0348300970860631E-2</v>
      </c>
      <c r="G509" s="66">
        <f t="shared" si="385"/>
        <v>1.9775009697260624E-2</v>
      </c>
      <c r="H509" s="66">
        <f t="shared" si="385"/>
        <v>1.9038033080897548E-2</v>
      </c>
      <c r="I509" s="66">
        <f t="shared" si="385"/>
        <v>1.8126453353507068E-2</v>
      </c>
      <c r="J509" s="66">
        <f t="shared" si="385"/>
        <v>1.7049828608976355E-2</v>
      </c>
      <c r="K509" s="66">
        <f t="shared" si="385"/>
        <v>1.5842858741402264E-2</v>
      </c>
      <c r="L509" s="66">
        <f t="shared" si="385"/>
        <v>1.456270662690278E-2</v>
      </c>
      <c r="M509" s="66">
        <f t="shared" si="385"/>
        <v>1.3279381505411613E-2</v>
      </c>
      <c r="N509" s="66">
        <f t="shared" si="385"/>
        <v>1.2063205843438823E-2</v>
      </c>
      <c r="O509" s="66">
        <f t="shared" si="385"/>
        <v>1.0973050657799936E-2</v>
      </c>
      <c r="P509" s="66">
        <f t="shared" si="385"/>
        <v>1.004736635521954E-2</v>
      </c>
      <c r="Q509" s="66">
        <f t="shared" si="385"/>
        <v>9.3001502289760587E-3</v>
      </c>
      <c r="R509" s="66">
        <f t="shared" si="385"/>
        <v>8.7233879635126386E-3</v>
      </c>
      <c r="S509" s="66">
        <f t="shared" si="385"/>
        <v>8.2944626321454721E-3</v>
      </c>
      <c r="T509" s="66">
        <f t="shared" si="385"/>
        <v>7.9846970768127374E-3</v>
      </c>
      <c r="U509" s="66">
        <f t="shared" si="385"/>
        <v>7.7658742511940507E-3</v>
      </c>
      <c r="V509" s="66">
        <f t="shared" si="385"/>
        <v>7.6137600559403971E-3</v>
      </c>
      <c r="W509" s="66">
        <f t="shared" si="385"/>
        <v>7.509218186098233E-3</v>
      </c>
      <c r="X509" s="66">
        <f t="shared" si="385"/>
        <v>7.4379403106525476E-3</v>
      </c>
      <c r="Y509" s="66">
        <f t="shared" si="385"/>
        <v>7.3896077839910078E-3</v>
      </c>
      <c r="Z509" s="66">
        <f t="shared" si="385"/>
        <v>7.356956538918746E-3</v>
      </c>
      <c r="AA509" s="66">
        <f t="shared" si="385"/>
        <v>7.3349547713622964E-3</v>
      </c>
      <c r="AB509" s="66">
        <f t="shared" si="385"/>
        <v>7.3201544798759764E-3</v>
      </c>
      <c r="AC509" s="66">
        <f t="shared" si="385"/>
        <v>7.3102100315233995E-3</v>
      </c>
    </row>
    <row r="510" spans="1:29" x14ac:dyDescent="0.3">
      <c r="A510" s="59" t="str">
        <f>A473</f>
        <v>Market failure (av. utilization)</v>
      </c>
      <c r="B510" s="66">
        <f t="shared" ref="B510:AC510" si="386">B499/B473-B499/B472</f>
        <v>0.1024517746225366</v>
      </c>
      <c r="C510" s="66">
        <f t="shared" si="386"/>
        <v>0.10194467344783734</v>
      </c>
      <c r="D510" s="66">
        <f t="shared" si="386"/>
        <v>0.10123865559385614</v>
      </c>
      <c r="E510" s="66">
        <f t="shared" si="386"/>
        <v>0.10026867764515322</v>
      </c>
      <c r="F510" s="66">
        <f t="shared" si="386"/>
        <v>9.8960860106714274E-2</v>
      </c>
      <c r="G510" s="66">
        <f t="shared" si="386"/>
        <v>9.7242700389514283E-2</v>
      </c>
      <c r="H510" s="66">
        <f t="shared" si="386"/>
        <v>9.5062445576594157E-2</v>
      </c>
      <c r="I510" s="66">
        <f t="shared" si="386"/>
        <v>9.2416212899061975E-2</v>
      </c>
      <c r="J510" s="66">
        <f t="shared" si="386"/>
        <v>8.9373371834003082E-2</v>
      </c>
      <c r="K510" s="66">
        <f t="shared" si="386"/>
        <v>8.6083248111921779E-2</v>
      </c>
      <c r="L510" s="66">
        <f t="shared" si="386"/>
        <v>8.2750274714540786E-2</v>
      </c>
      <c r="M510" s="66">
        <f t="shared" si="386"/>
        <v>7.9584359467844631E-2</v>
      </c>
      <c r="N510" s="66">
        <f t="shared" si="386"/>
        <v>7.6751858929982111E-2</v>
      </c>
      <c r="O510" s="66">
        <f t="shared" si="386"/>
        <v>7.4349463519492356E-2</v>
      </c>
      <c r="P510" s="66">
        <f t="shared" si="386"/>
        <v>7.2404195572064997E-2</v>
      </c>
      <c r="Q510" s="66">
        <f t="shared" si="386"/>
        <v>7.0889594271876313E-2</v>
      </c>
      <c r="R510" s="66">
        <f t="shared" si="386"/>
        <v>6.9747370102372655E-2</v>
      </c>
      <c r="S510" s="66">
        <f t="shared" si="386"/>
        <v>6.8907294679716999E-2</v>
      </c>
      <c r="T510" s="66">
        <f t="shared" si="386"/>
        <v>6.8301282731213081E-2</v>
      </c>
      <c r="U510" s="66">
        <f t="shared" si="386"/>
        <v>6.7870727167095982E-2</v>
      </c>
      <c r="V510" s="66">
        <f t="shared" si="386"/>
        <v>6.7568626904213641E-2</v>
      </c>
      <c r="W510" s="66">
        <f t="shared" si="386"/>
        <v>6.735887580362257E-2</v>
      </c>
      <c r="X510" s="66">
        <f t="shared" si="386"/>
        <v>6.7214517412986841E-2</v>
      </c>
      <c r="Y510" s="66">
        <f t="shared" si="386"/>
        <v>6.7115867374294938E-2</v>
      </c>
      <c r="Z510" s="66">
        <f t="shared" si="386"/>
        <v>6.7048823063609486E-2</v>
      </c>
      <c r="AA510" s="66">
        <f t="shared" si="386"/>
        <v>6.7003445444231424E-2</v>
      </c>
      <c r="AB510" s="66">
        <f t="shared" si="386"/>
        <v>6.6972823753834454E-2</v>
      </c>
      <c r="AC510" s="66">
        <f t="shared" si="386"/>
        <v>6.6952203103245081E-2</v>
      </c>
    </row>
    <row r="511" spans="1:29" x14ac:dyDescent="0.3">
      <c r="A511" s="59" t="str">
        <f>A474</f>
        <v>Payload loss (fuel)</v>
      </c>
      <c r="B511" s="66">
        <f>B499/(B472-B474)-B499/B472</f>
        <v>4.9359288090485148E-3</v>
      </c>
      <c r="C511" s="66">
        <f t="shared" ref="C511:AC511" si="387">C499/(C472-C474)-C499/C472</f>
        <v>4.8938332975806964E-3</v>
      </c>
      <c r="D511" s="66">
        <f t="shared" si="387"/>
        <v>4.8350446491223498E-3</v>
      </c>
      <c r="E511" s="66">
        <f t="shared" si="387"/>
        <v>4.753889352973481E-3</v>
      </c>
      <c r="F511" s="66">
        <f t="shared" si="387"/>
        <v>4.6436620403118162E-3</v>
      </c>
      <c r="G511" s="66">
        <f t="shared" si="387"/>
        <v>4.4972361036862418E-3</v>
      </c>
      <c r="H511" s="66">
        <f t="shared" si="387"/>
        <v>4.3083601166044871E-3</v>
      </c>
      <c r="I511" s="66">
        <f t="shared" si="387"/>
        <v>4.0736577813705738E-3</v>
      </c>
      <c r="J511" s="66">
        <f t="shared" si="387"/>
        <v>3.7948708178775492E-3</v>
      </c>
      <c r="K511" s="66">
        <f t="shared" si="387"/>
        <v>3.4803628492472427E-3</v>
      </c>
      <c r="L511" s="66">
        <f t="shared" si="387"/>
        <v>3.1448995486726278E-3</v>
      </c>
      <c r="M511" s="66">
        <f t="shared" si="387"/>
        <v>2.8074723170056493E-3</v>
      </c>
      <c r="N511" s="66">
        <f t="shared" si="387"/>
        <v>2.4877949467140698E-3</v>
      </c>
      <c r="O511" s="66">
        <f t="shared" si="387"/>
        <v>2.2024674754503731E-3</v>
      </c>
      <c r="P511" s="66">
        <f t="shared" si="387"/>
        <v>1.9619540266285901E-3</v>
      </c>
      <c r="Q511" s="66">
        <f t="shared" si="387"/>
        <v>1.7694794573941686E-3</v>
      </c>
      <c r="R511" s="66">
        <f t="shared" si="387"/>
        <v>1.6221337770562227E-3</v>
      </c>
      <c r="S511" s="66">
        <f t="shared" si="387"/>
        <v>1.5132954818500022E-3</v>
      </c>
      <c r="T511" s="66">
        <f t="shared" si="387"/>
        <v>1.4350754288623979E-3</v>
      </c>
      <c r="U511" s="66">
        <f t="shared" si="387"/>
        <v>1.3799904970885069E-3</v>
      </c>
      <c r="V511" s="66">
        <f t="shared" si="387"/>
        <v>1.3417646381495146E-3</v>
      </c>
      <c r="W511" s="66">
        <f t="shared" si="387"/>
        <v>1.3155154962270904E-3</v>
      </c>
      <c r="X511" s="66">
        <f t="shared" si="387"/>
        <v>1.2976242588722403E-3</v>
      </c>
      <c r="Y511" s="66">
        <f t="shared" si="387"/>
        <v>1.2854932484657883E-3</v>
      </c>
      <c r="Z511" s="66">
        <f t="shared" si="387"/>
        <v>1.2772977531087734E-3</v>
      </c>
      <c r="AA511" s="66">
        <f t="shared" si="387"/>
        <v>1.2717748872594845E-3</v>
      </c>
      <c r="AB511" s="66">
        <f t="shared" si="387"/>
        <v>1.2680594665601813E-3</v>
      </c>
      <c r="AC511" s="66">
        <f t="shared" si="387"/>
        <v>1.2655628964077376E-3</v>
      </c>
    </row>
    <row r="512" spans="1:29" ht="15" thickBot="1" x14ac:dyDescent="0.35">
      <c r="A512" s="59" t="str">
        <f>A449</f>
        <v>Emission Cost</v>
      </c>
      <c r="B512" s="68">
        <f>B469*B475/B475/(B472)</f>
        <v>3.6418200964524684E-4</v>
      </c>
      <c r="C512" s="68">
        <f t="shared" ref="C512:AC512" si="388">C469*C475/C475/(C472)</f>
        <v>3.6383521963850298E-4</v>
      </c>
      <c r="D512" s="68">
        <f t="shared" si="388"/>
        <v>3.6333879746797376E-4</v>
      </c>
      <c r="E512" s="68">
        <f t="shared" si="388"/>
        <v>3.6262863064306401E-4</v>
      </c>
      <c r="F512" s="68">
        <f t="shared" si="388"/>
        <v>3.6161364554417784E-4</v>
      </c>
      <c r="G512" s="68">
        <f t="shared" si="388"/>
        <v>3.6016504246069139E-4</v>
      </c>
      <c r="H512" s="68">
        <f t="shared" si="388"/>
        <v>3.581018762885698E-4</v>
      </c>
      <c r="I512" s="68">
        <f t="shared" si="388"/>
        <v>3.551724760827172E-4</v>
      </c>
      <c r="J512" s="68">
        <f t="shared" si="388"/>
        <v>3.5103205038913133E-4</v>
      </c>
      <c r="K512" s="68">
        <f t="shared" si="388"/>
        <v>3.4521896741480408E-4</v>
      </c>
      <c r="L512" s="68">
        <f t="shared" si="388"/>
        <v>3.371366718660246E-4</v>
      </c>
      <c r="M512" s="68">
        <f t="shared" si="388"/>
        <v>3.2605614702792577E-4</v>
      </c>
      <c r="N512" s="68">
        <f t="shared" si="388"/>
        <v>3.1116510898656003E-4</v>
      </c>
      <c r="O512" s="68">
        <f t="shared" si="388"/>
        <v>2.9169964552951117E-4</v>
      </c>
      <c r="P512" s="68">
        <f t="shared" si="388"/>
        <v>2.6718618439571353E-4</v>
      </c>
      <c r="Q512" s="68">
        <f t="shared" si="388"/>
        <v>2.3777073469416832E-4</v>
      </c>
      <c r="R512" s="68">
        <f t="shared" si="388"/>
        <v>2.0450851915069422E-4</v>
      </c>
      <c r="S512" s="68">
        <f t="shared" si="388"/>
        <v>1.6939373467288497E-4</v>
      </c>
      <c r="T512" s="68">
        <f t="shared" si="388"/>
        <v>1.3496994347323685E-4</v>
      </c>
      <c r="U512" s="68">
        <f t="shared" si="388"/>
        <v>1.0363325778021563E-4</v>
      </c>
      <c r="V512" s="68">
        <f t="shared" si="388"/>
        <v>7.700153737100413E-5</v>
      </c>
      <c r="W512" s="68">
        <f t="shared" si="388"/>
        <v>5.5674298794125105E-5</v>
      </c>
      <c r="X512" s="68">
        <f t="shared" si="388"/>
        <v>3.940066918956972E-5</v>
      </c>
      <c r="Y512" s="68">
        <f t="shared" si="388"/>
        <v>2.7438246283240584E-5</v>
      </c>
      <c r="Z512" s="68">
        <f t="shared" si="388"/>
        <v>1.8885286961572295E-5</v>
      </c>
      <c r="AA512" s="68">
        <f t="shared" si="388"/>
        <v>1.2890925575126249E-5</v>
      </c>
      <c r="AB512" s="68">
        <f t="shared" si="388"/>
        <v>8.748453414846938E-6</v>
      </c>
      <c r="AC512" s="68">
        <f t="shared" si="388"/>
        <v>5.9135532882621105E-6</v>
      </c>
    </row>
    <row r="513" spans="1:29" ht="15" thickBot="1" x14ac:dyDescent="0.35">
      <c r="A513" s="31" t="s">
        <v>210</v>
      </c>
      <c r="B513" s="67">
        <f>B502+B503+B504+B505+B506+B507+B508+B509+B510+B511+B512</f>
        <v>0.20090182152776806</v>
      </c>
      <c r="C513" s="67">
        <f t="shared" ref="C513:AC513" si="389">C502+C503+C504+C505+C506+C507+C508+C509+C510+C511+C512</f>
        <v>0.19988453144957086</v>
      </c>
      <c r="D513" s="67">
        <f t="shared" si="389"/>
        <v>0.19846801615884099</v>
      </c>
      <c r="E513" s="67">
        <f t="shared" si="389"/>
        <v>0.19652151865364809</v>
      </c>
      <c r="F513" s="67">
        <f t="shared" si="389"/>
        <v>0.19389625761321919</v>
      </c>
      <c r="G513" s="67">
        <f t="shared" si="389"/>
        <v>0.19044567837428594</v>
      </c>
      <c r="H513" s="67">
        <f t="shared" si="389"/>
        <v>0.18606400467005008</v>
      </c>
      <c r="I513" s="67">
        <f t="shared" si="389"/>
        <v>0.18074039333956196</v>
      </c>
      <c r="J513" s="67">
        <f t="shared" si="389"/>
        <v>0.17460998894326343</v>
      </c>
      <c r="K513" s="67">
        <f t="shared" si="389"/>
        <v>0.16796831997063055</v>
      </c>
      <c r="L513" s="67">
        <f t="shared" si="389"/>
        <v>0.16122329244432326</v>
      </c>
      <c r="M513" s="67">
        <f t="shared" si="389"/>
        <v>0.15479756666131753</v>
      </c>
      <c r="N513" s="67">
        <f t="shared" si="389"/>
        <v>0.1490307728720596</v>
      </c>
      <c r="O513" s="67">
        <f t="shared" si="389"/>
        <v>0.14412545422677714</v>
      </c>
      <c r="P513" s="67">
        <f t="shared" si="389"/>
        <v>0.14014404087905655</v>
      </c>
      <c r="Q513" s="67">
        <f t="shared" si="389"/>
        <v>0.137038871501767</v>
      </c>
      <c r="R513" s="67">
        <f t="shared" si="389"/>
        <v>0.13469494088007586</v>
      </c>
      <c r="S513" s="67">
        <f t="shared" si="389"/>
        <v>0.13297057292591644</v>
      </c>
      <c r="T513" s="67">
        <f t="shared" si="389"/>
        <v>0.13172694527965206</v>
      </c>
      <c r="U513" s="67">
        <f t="shared" si="389"/>
        <v>0.13084386887842223</v>
      </c>
      <c r="V513" s="67">
        <f t="shared" si="389"/>
        <v>0.13022468097547873</v>
      </c>
      <c r="W513" s="67">
        <f t="shared" si="389"/>
        <v>0.12979506433241969</v>
      </c>
      <c r="X513" s="67">
        <f t="shared" si="389"/>
        <v>0.12949956080538072</v>
      </c>
      <c r="Y513" s="67">
        <f t="shared" si="389"/>
        <v>0.1292977181821052</v>
      </c>
      <c r="Z513" s="67">
        <f t="shared" si="389"/>
        <v>0.1291605913200454</v>
      </c>
      <c r="AA513" s="67">
        <f t="shared" si="389"/>
        <v>0.129067803801546</v>
      </c>
      <c r="AB513" s="67">
        <f t="shared" si="389"/>
        <v>0.12900520051469869</v>
      </c>
      <c r="AC513" s="67">
        <f t="shared" si="389"/>
        <v>0.12896304884725901</v>
      </c>
    </row>
    <row r="515" spans="1:29" x14ac:dyDescent="0.3">
      <c r="B515" s="40"/>
    </row>
  </sheetData>
  <conditionalFormatting sqref="Q11:AR20 Q22:AR27"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F730-5EA7-42C3-9E51-B4EA98C0E228}">
  <sheetPr codeName="Sheet8">
    <tabColor rgb="FFC00000"/>
  </sheetPr>
  <dimension ref="A1:BA515"/>
  <sheetViews>
    <sheetView topLeftCell="A16" zoomScale="80" zoomScaleNormal="80" workbookViewId="0">
      <selection activeCell="A446" sqref="A446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45" width="9.109375" style="4"/>
    <col min="46" max="46" width="35.109375" style="4" bestFit="1" customWidth="1"/>
    <col min="47" max="48" width="11.33203125" style="4" bestFit="1" customWidth="1"/>
    <col min="49" max="49" width="8.5546875" style="4" bestFit="1" customWidth="1"/>
    <col min="50" max="50" width="21.33203125" style="4" bestFit="1" customWidth="1"/>
    <col min="51" max="52" width="4.44140625" style="4" bestFit="1" customWidth="1"/>
    <col min="53" max="53" width="7" style="4" bestFit="1" customWidth="1"/>
    <col min="54" max="54" width="9.109375" style="4"/>
    <col min="55" max="55" width="31.5546875" style="4" bestFit="1" customWidth="1"/>
    <col min="56" max="57" width="9.5546875" style="4" bestFit="1" customWidth="1"/>
    <col min="58" max="58" width="11.44140625" style="4" bestFit="1" customWidth="1"/>
    <col min="59" max="59" width="8" style="4" bestFit="1" customWidth="1"/>
    <col min="60" max="61" width="4.44140625" style="4" bestFit="1" customWidth="1"/>
    <col min="62" max="62" width="7" style="4" bestFit="1" customWidth="1"/>
    <col min="63" max="63" width="9.109375" style="4"/>
    <col min="64" max="64" width="31.5546875" style="4" bestFit="1" customWidth="1"/>
    <col min="65" max="66" width="9.5546875" style="4" bestFit="1" customWidth="1"/>
    <col min="67" max="67" width="8.5546875" style="4" bestFit="1" customWidth="1"/>
    <col min="68" max="68" width="3.44140625" style="4" bestFit="1" customWidth="1"/>
    <col min="69" max="70" width="4.44140625" style="4" bestFit="1" customWidth="1"/>
    <col min="71" max="16384" width="9.109375" style="4"/>
  </cols>
  <sheetData>
    <row r="1" spans="1:53" s="3" customFormat="1" ht="21" x14ac:dyDescent="0.4">
      <c r="A1" s="2" t="str">
        <f>'Parameter Input'!A76</f>
        <v>Railway long-haul: Dry bulk</v>
      </c>
    </row>
    <row r="2" spans="1:53" s="3" customFormat="1" ht="21" x14ac:dyDescent="0.4">
      <c r="A2" s="2" t="s">
        <v>11</v>
      </c>
    </row>
    <row r="3" spans="1:53" x14ac:dyDescent="0.3">
      <c r="A3" s="33" t="s">
        <v>195</v>
      </c>
    </row>
    <row r="4" spans="1:53" x14ac:dyDescent="0.3">
      <c r="A4" s="33" t="s">
        <v>196</v>
      </c>
    </row>
    <row r="5" spans="1:53" ht="15" thickBot="1" x14ac:dyDescent="0.35">
      <c r="A5" s="34" t="s">
        <v>197</v>
      </c>
      <c r="B5" s="34"/>
    </row>
    <row r="6" spans="1:53" ht="15" thickBot="1" x14ac:dyDescent="0.35">
      <c r="A6" s="39" t="s">
        <v>198</v>
      </c>
      <c r="B6" s="35"/>
    </row>
    <row r="7" spans="1:53" ht="15" thickBot="1" x14ac:dyDescent="0.35">
      <c r="A7" s="38" t="s">
        <v>199</v>
      </c>
      <c r="B7" s="36"/>
    </row>
    <row r="8" spans="1:53" ht="15" thickBot="1" x14ac:dyDescent="0.35"/>
    <row r="9" spans="1:53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3">
      <c r="A11" s="24" t="s">
        <v>18</v>
      </c>
      <c r="B11" s="41">
        <f>'Parameter Input'!$L$77</f>
        <v>3500000</v>
      </c>
      <c r="C11" s="42">
        <f>'Parameter Input'!$M$77</f>
        <v>3500000</v>
      </c>
      <c r="D11" s="1" t="s">
        <v>15</v>
      </c>
      <c r="L11" s="51">
        <f>'Parameter Input'!$O$77</f>
        <v>12</v>
      </c>
      <c r="M11" s="52">
        <v>0</v>
      </c>
      <c r="N11" s="52">
        <v>1</v>
      </c>
      <c r="O11" s="52">
        <f>'Parameter Input'!$P$77</f>
        <v>0.9</v>
      </c>
      <c r="P11" s="53">
        <f>'Parameter Input'!$Q$77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3500000</v>
      </c>
      <c r="AV11" s="81">
        <f t="shared" si="2"/>
        <v>3500000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3">
      <c r="A12" s="24" t="s">
        <v>28</v>
      </c>
      <c r="B12" s="60">
        <f>'Parameter Input'!$L$78</f>
        <v>-525000</v>
      </c>
      <c r="C12" s="61">
        <f>'Parameter Input'!$M$78</f>
        <v>-175000</v>
      </c>
      <c r="D12" s="1" t="s">
        <v>15</v>
      </c>
      <c r="L12" s="54">
        <f>'Parameter Input'!$O$78</f>
        <v>12</v>
      </c>
      <c r="M12" s="37">
        <v>0</v>
      </c>
      <c r="N12" s="37">
        <v>1</v>
      </c>
      <c r="O12" s="37">
        <f>'Parameter Input'!$P$78</f>
        <v>0.9</v>
      </c>
      <c r="P12" s="55">
        <f>'Parameter Input'!$Q$78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-525000</v>
      </c>
      <c r="AV12" s="81">
        <f t="shared" si="2"/>
        <v>-175000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3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3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3">
      <c r="A15" s="24" t="s">
        <v>79</v>
      </c>
      <c r="B15" s="45">
        <f>'Parameter Input'!$L$84</f>
        <v>0.06</v>
      </c>
      <c r="C15" s="46">
        <f>'Parameter Input'!$M$84</f>
        <v>0.06</v>
      </c>
      <c r="D15" s="1" t="s">
        <v>57</v>
      </c>
      <c r="L15" s="54">
        <f>'Parameter Input'!$O$84</f>
        <v>12</v>
      </c>
      <c r="M15" s="37">
        <v>0</v>
      </c>
      <c r="N15" s="37">
        <v>1</v>
      </c>
      <c r="O15" s="37">
        <f>'Parameter Input'!$P$84</f>
        <v>0.9</v>
      </c>
      <c r="P15" s="55">
        <f>'Parameter Input'!$Q$84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3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3">
      <c r="A17" s="24" t="s">
        <v>52</v>
      </c>
      <c r="B17" s="43">
        <f>'Parameter Input'!$L$80</f>
        <v>1050000</v>
      </c>
      <c r="C17" s="44">
        <f>'Parameter Input'!$M$80</f>
        <v>1050000</v>
      </c>
      <c r="D17" s="1" t="s">
        <v>38</v>
      </c>
      <c r="L17" s="54">
        <f>'Parameter Input'!$O$80</f>
        <v>12</v>
      </c>
      <c r="M17" s="37">
        <v>0</v>
      </c>
      <c r="N17" s="37">
        <v>1</v>
      </c>
      <c r="O17" s="37">
        <f>'Parameter Input'!$P$80</f>
        <v>0.9</v>
      </c>
      <c r="P17" s="55">
        <f>'Parameter Input'!$Q$80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" thickBot="1" x14ac:dyDescent="0.35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3">
      <c r="A19" s="24" t="s">
        <v>59</v>
      </c>
      <c r="B19" s="47">
        <f>'Parameter Input'!$L$81</f>
        <v>62.083200000000005</v>
      </c>
      <c r="C19" s="48">
        <f>'Parameter Input'!$M$81</f>
        <v>62.083200000000005</v>
      </c>
      <c r="D19" s="1" t="s">
        <v>60</v>
      </c>
      <c r="L19" s="54">
        <f>'Parameter Input'!$O$81</f>
        <v>12</v>
      </c>
      <c r="M19" s="37">
        <v>0</v>
      </c>
      <c r="N19" s="37">
        <v>1</v>
      </c>
      <c r="O19" s="37">
        <f>'Parameter Input'!$P$81</f>
        <v>0.9</v>
      </c>
      <c r="P19" s="55">
        <f>'Parameter Input'!$Q$81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3">
      <c r="A20" s="24" t="s">
        <v>67</v>
      </c>
      <c r="B20" s="45">
        <f>'Parameter Input'!$L$82</f>
        <v>0.1</v>
      </c>
      <c r="C20" s="46">
        <f>'Parameter Input'!$M$82</f>
        <v>0.1</v>
      </c>
      <c r="D20" s="1" t="s">
        <v>68</v>
      </c>
      <c r="L20" s="54">
        <f>'Parameter Input'!$O$82</f>
        <v>12</v>
      </c>
      <c r="M20" s="37">
        <v>0</v>
      </c>
      <c r="N20" s="37">
        <v>1</v>
      </c>
      <c r="O20" s="37">
        <f>'Parameter Input'!$P$82</f>
        <v>0.9</v>
      </c>
      <c r="P20" s="55">
        <f>'Parameter Input'!$Q$82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Diesel</v>
      </c>
      <c r="AU20" s="80"/>
      <c r="AV20" s="80"/>
      <c r="AW20" s="80"/>
      <c r="AX20" s="80"/>
      <c r="AY20" s="80"/>
      <c r="AZ20" s="80"/>
      <c r="BA20" s="86"/>
    </row>
    <row r="21" spans="1:53" x14ac:dyDescent="0.3">
      <c r="A21" s="24" t="s">
        <v>206</v>
      </c>
      <c r="B21" s="45">
        <f>'Parameter Input'!L85</f>
        <v>1.6552039024390244</v>
      </c>
      <c r="C21" s="46">
        <f>'Parameter Input'!M85</f>
        <v>5.7932136585365859</v>
      </c>
      <c r="D21" s="1"/>
      <c r="L21" s="54">
        <f>'Parameter Input'!O85</f>
        <v>17</v>
      </c>
      <c r="M21" s="37">
        <v>0</v>
      </c>
      <c r="N21" s="37">
        <v>1</v>
      </c>
      <c r="O21" s="37">
        <f>'Parameter Input'!P85</f>
        <v>0.9</v>
      </c>
      <c r="P21" s="55">
        <f>'Parameter Input'!Q85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  <c r="AT21" s="85"/>
      <c r="AU21" s="80"/>
      <c r="AV21" s="80"/>
      <c r="AW21" s="80"/>
      <c r="AX21" s="80"/>
      <c r="AY21" s="80"/>
      <c r="AZ21" s="80"/>
      <c r="BA21" s="86"/>
    </row>
    <row r="22" spans="1:53" x14ac:dyDescent="0.3">
      <c r="A22" s="24" t="s">
        <v>41</v>
      </c>
      <c r="B22" s="43">
        <f>'Parameter Input'!$L$79</f>
        <v>20</v>
      </c>
      <c r="C22" s="44">
        <f>'Parameter Input'!$M$79</f>
        <v>20</v>
      </c>
      <c r="D22" s="1" t="s">
        <v>42</v>
      </c>
      <c r="L22" s="54">
        <f>'Parameter Input'!$O$79</f>
        <v>12</v>
      </c>
      <c r="M22" s="37">
        <v>0</v>
      </c>
      <c r="N22" s="37">
        <v>1</v>
      </c>
      <c r="O22" s="37">
        <f>'Parameter Input'!$P$79</f>
        <v>0.9</v>
      </c>
      <c r="P22" s="55">
        <f>'Parameter Input'!$Q$79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3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3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3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3">
      <c r="A26" s="24" t="s">
        <v>73</v>
      </c>
      <c r="B26" s="72">
        <f>'Parameter Input'!$L$83</f>
        <v>0</v>
      </c>
      <c r="C26" s="73">
        <f>'Parameter Input'!$M$83</f>
        <v>0</v>
      </c>
      <c r="D26" s="1" t="s">
        <v>57</v>
      </c>
      <c r="L26" s="54">
        <f>'Parameter Input'!$O$83</f>
        <v>12</v>
      </c>
      <c r="M26" s="37">
        <v>0</v>
      </c>
      <c r="N26" s="37">
        <v>1</v>
      </c>
      <c r="O26" s="37">
        <f>'Parameter Input'!$P$83</f>
        <v>0.9</v>
      </c>
      <c r="P26" s="55">
        <f>'Parameter Input'!$Q$83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0</v>
      </c>
      <c r="AV26" s="81">
        <f t="shared" si="9"/>
        <v>0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" thickBot="1" x14ac:dyDescent="0.35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" thickBot="1" x14ac:dyDescent="0.35">
      <c r="A28" s="25"/>
      <c r="B28" s="40"/>
    </row>
    <row r="29" spans="1:53" ht="15" thickBot="1" x14ac:dyDescent="0.35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Diesel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3">
      <c r="A31" s="29" t="str">
        <f t="shared" ref="A31:A45" si="11">A11</f>
        <v>Capex vehicle</v>
      </c>
      <c r="B31" s="62">
        <f t="shared" ref="B31:B39" si="12">$B11+($C11-$B11)*(1-Q11)</f>
        <v>3500000</v>
      </c>
      <c r="C31" s="62">
        <f t="shared" ref="C31:C39" si="13">$B11+($C11-$B11)*(1-R11)</f>
        <v>3500000</v>
      </c>
      <c r="D31" s="62">
        <f t="shared" ref="D31:D39" si="14">$B11+($C11-$B11)*(1-S11)</f>
        <v>3500000</v>
      </c>
      <c r="E31" s="62">
        <f t="shared" ref="E31:E39" si="15">$B11+($C11-$B11)*(1-T11)</f>
        <v>3500000</v>
      </c>
      <c r="F31" s="62">
        <f t="shared" ref="F31:F39" si="16">$B11+($C11-$B11)*(1-U11)</f>
        <v>3500000</v>
      </c>
      <c r="G31" s="62">
        <f t="shared" ref="G31:G39" si="17">$B11+($C11-$B11)*(1-V11)</f>
        <v>3500000</v>
      </c>
      <c r="H31" s="62">
        <f t="shared" ref="H31:H39" si="18">$B11+($C11-$B11)*(1-W11)</f>
        <v>3500000</v>
      </c>
      <c r="I31" s="62">
        <f t="shared" ref="I31:I39" si="19">$B11+($C11-$B11)*(1-X11)</f>
        <v>3500000</v>
      </c>
      <c r="J31" s="62">
        <f t="shared" ref="J31:J39" si="20">$B11+($C11-$B11)*(1-Y11)</f>
        <v>3500000</v>
      </c>
      <c r="K31" s="62">
        <f t="shared" ref="K31:K39" si="21">$B11+($C11-$B11)*(1-Z11)</f>
        <v>3500000</v>
      </c>
      <c r="L31" s="62">
        <f t="shared" ref="L31:L39" si="22">$B11+($C11-$B11)*(1-AA11)</f>
        <v>3500000</v>
      </c>
      <c r="M31" s="62">
        <f t="shared" ref="M31:M39" si="23">$B11+($C11-$B11)*(1-AB11)</f>
        <v>3500000</v>
      </c>
      <c r="N31" s="62">
        <f t="shared" ref="N31:N39" si="24">$B11+($C11-$B11)*(1-AC11)</f>
        <v>3500000</v>
      </c>
      <c r="O31" s="62">
        <f t="shared" ref="O31:O39" si="25">$B11+($C11-$B11)*(1-AD11)</f>
        <v>3500000</v>
      </c>
      <c r="P31" s="62">
        <f t="shared" ref="P31:P39" si="26">$B11+($C11-$B11)*(1-AE11)</f>
        <v>3500000</v>
      </c>
      <c r="Q31" s="62">
        <f t="shared" ref="Q31:Q39" si="27">$B11+($C11-$B11)*(1-AF11)</f>
        <v>3500000</v>
      </c>
      <c r="R31" s="62">
        <f t="shared" ref="R31:R39" si="28">$B11+($C11-$B11)*(1-AG11)</f>
        <v>3500000</v>
      </c>
      <c r="S31" s="62">
        <f t="shared" ref="S31:S39" si="29">$B11+($C11-$B11)*(1-AH11)</f>
        <v>3500000</v>
      </c>
      <c r="T31" s="62">
        <f t="shared" ref="T31:T39" si="30">$B11+($C11-$B11)*(1-AI11)</f>
        <v>3500000</v>
      </c>
      <c r="U31" s="62">
        <f t="shared" ref="U31:U39" si="31">$B11+($C11-$B11)*(1-AJ11)</f>
        <v>3500000</v>
      </c>
      <c r="V31" s="62">
        <f t="shared" ref="V31:V39" si="32">$B11+($C11-$B11)*(1-AK11)</f>
        <v>3500000</v>
      </c>
      <c r="W31" s="62">
        <f t="shared" ref="W31:W39" si="33">$B11+($C11-$B11)*(1-AL11)</f>
        <v>3500000</v>
      </c>
      <c r="X31" s="62">
        <f t="shared" ref="X31:X39" si="34">$B11+($C11-$B11)*(1-AM11)</f>
        <v>3500000</v>
      </c>
      <c r="Y31" s="62">
        <f t="shared" ref="Y31:Y39" si="35">$B11+($C11-$B11)*(1-AN11)</f>
        <v>3500000</v>
      </c>
      <c r="Z31" s="62">
        <f t="shared" ref="Z31:Z39" si="36">$B11+($C11-$B11)*(1-AO11)</f>
        <v>3500000</v>
      </c>
      <c r="AA31" s="62">
        <f t="shared" ref="AA31:AA39" si="37">$B11+($C11-$B11)*(1-AP11)</f>
        <v>3500000</v>
      </c>
      <c r="AB31" s="62">
        <f t="shared" ref="AB31:AB39" si="38">$B11+($C11-$B11)*(1-AQ11)</f>
        <v>3500000</v>
      </c>
      <c r="AC31" s="62">
        <f t="shared" ref="AC31:AC39" si="39">$B11+($C11-$B11)*(1-AR11)</f>
        <v>3500000</v>
      </c>
      <c r="AT31" s="85" t="str">
        <f>A17</f>
        <v>Opex maintenance &amp; repair</v>
      </c>
      <c r="AU31" s="81">
        <f>B17</f>
        <v>1050000</v>
      </c>
      <c r="AV31" s="81">
        <f>C17</f>
        <v>1050000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3">
      <c r="A32" s="30" t="str">
        <f t="shared" si="11"/>
        <v>Residual value (vehicle)</v>
      </c>
      <c r="B32" s="62">
        <f t="shared" si="12"/>
        <v>-520379.25155119307</v>
      </c>
      <c r="C32" s="62">
        <f t="shared" si="13"/>
        <v>-518400.78417000384</v>
      </c>
      <c r="D32" s="62">
        <f t="shared" si="14"/>
        <v>-515591.64410555211</v>
      </c>
      <c r="E32" s="62">
        <f t="shared" si="15"/>
        <v>-511621.1945655747</v>
      </c>
      <c r="F32" s="62">
        <f t="shared" si="16"/>
        <v>-506046.75504428975</v>
      </c>
      <c r="G32" s="62">
        <f t="shared" si="17"/>
        <v>-498296.26052549522</v>
      </c>
      <c r="H32" s="62">
        <f t="shared" si="18"/>
        <v>-487670.62248680455</v>
      </c>
      <c r="I32" s="62">
        <f t="shared" si="19"/>
        <v>-473390.90356014454</v>
      </c>
      <c r="J32" s="62">
        <f t="shared" si="20"/>
        <v>-454724.55228418356</v>
      </c>
      <c r="K32" s="62">
        <f t="shared" si="21"/>
        <v>-431217.43787497684</v>
      </c>
      <c r="L32" s="62">
        <f t="shared" si="22"/>
        <v>-403009.57535575342</v>
      </c>
      <c r="M32" s="62">
        <f t="shared" si="23"/>
        <v>-371112.8675829735</v>
      </c>
      <c r="N32" s="62">
        <f t="shared" si="24"/>
        <v>-337439.64405614871</v>
      </c>
      <c r="O32" s="62">
        <f t="shared" si="25"/>
        <v>-304429.04658433376</v>
      </c>
      <c r="P32" s="62">
        <f t="shared" si="26"/>
        <v>-274378.82023030921</v>
      </c>
      <c r="Q32" s="62">
        <f t="shared" si="27"/>
        <v>-248840.40706391208</v>
      </c>
      <c r="R32" s="62">
        <f t="shared" si="28"/>
        <v>-228388.71178829367</v>
      </c>
      <c r="S32" s="62">
        <f t="shared" si="29"/>
        <v>-212783.16058198496</v>
      </c>
      <c r="T32" s="62">
        <f t="shared" si="30"/>
        <v>-201311.8288783321</v>
      </c>
      <c r="U32" s="62">
        <f t="shared" si="31"/>
        <v>-193109.99266212579</v>
      </c>
      <c r="V32" s="62">
        <f t="shared" si="32"/>
        <v>-187361.71671887109</v>
      </c>
      <c r="W32" s="62">
        <f t="shared" si="33"/>
        <v>-183389.30472543038</v>
      </c>
      <c r="X32" s="62">
        <f t="shared" si="34"/>
        <v>-180670.78524543642</v>
      </c>
      <c r="Y32" s="62">
        <f t="shared" si="35"/>
        <v>-178822.78419743793</v>
      </c>
      <c r="Z32" s="62">
        <f t="shared" si="36"/>
        <v>-177572.26245171315</v>
      </c>
      <c r="AA32" s="62">
        <f t="shared" si="37"/>
        <v>-176728.659176477</v>
      </c>
      <c r="AB32" s="62">
        <f t="shared" si="38"/>
        <v>-176160.74964225345</v>
      </c>
      <c r="AC32" s="62">
        <f t="shared" si="39"/>
        <v>-175778.97267513379</v>
      </c>
      <c r="AT32" s="85" t="str">
        <f t="shared" ref="AT32:AW33" si="40">A19</f>
        <v>Fuel Economy</v>
      </c>
      <c r="AU32" s="81">
        <f t="shared" si="40"/>
        <v>62.083200000000005</v>
      </c>
      <c r="AV32" s="81">
        <f t="shared" si="40"/>
        <v>62.083200000000005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3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0.1</v>
      </c>
      <c r="AV33" s="81">
        <f t="shared" si="40"/>
        <v>0.1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3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3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3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3">
      <c r="A37" s="30" t="str">
        <f t="shared" si="11"/>
        <v>Opex maintenance &amp; repair</v>
      </c>
      <c r="B37" s="62">
        <f t="shared" si="12"/>
        <v>1050000</v>
      </c>
      <c r="C37" s="62">
        <f t="shared" si="13"/>
        <v>1050000</v>
      </c>
      <c r="D37" s="62">
        <f t="shared" si="14"/>
        <v>1050000</v>
      </c>
      <c r="E37" s="62">
        <f t="shared" si="15"/>
        <v>1050000</v>
      </c>
      <c r="F37" s="62">
        <f t="shared" si="16"/>
        <v>1050000</v>
      </c>
      <c r="G37" s="62">
        <f t="shared" si="17"/>
        <v>1050000</v>
      </c>
      <c r="H37" s="62">
        <f t="shared" si="18"/>
        <v>1050000</v>
      </c>
      <c r="I37" s="62">
        <f t="shared" si="19"/>
        <v>1050000</v>
      </c>
      <c r="J37" s="62">
        <f t="shared" si="20"/>
        <v>1050000</v>
      </c>
      <c r="K37" s="62">
        <f t="shared" si="21"/>
        <v>1050000</v>
      </c>
      <c r="L37" s="62">
        <f t="shared" si="22"/>
        <v>1050000</v>
      </c>
      <c r="M37" s="62">
        <f t="shared" si="23"/>
        <v>1050000</v>
      </c>
      <c r="N37" s="62">
        <f t="shared" si="24"/>
        <v>1050000</v>
      </c>
      <c r="O37" s="62">
        <f t="shared" si="25"/>
        <v>1050000</v>
      </c>
      <c r="P37" s="62">
        <f t="shared" si="26"/>
        <v>1050000</v>
      </c>
      <c r="Q37" s="62">
        <f t="shared" si="27"/>
        <v>1050000</v>
      </c>
      <c r="R37" s="62">
        <f t="shared" si="28"/>
        <v>1050000</v>
      </c>
      <c r="S37" s="62">
        <f t="shared" si="29"/>
        <v>1050000</v>
      </c>
      <c r="T37" s="62">
        <f t="shared" si="30"/>
        <v>1050000</v>
      </c>
      <c r="U37" s="62">
        <f t="shared" si="31"/>
        <v>1050000</v>
      </c>
      <c r="V37" s="62">
        <f t="shared" si="32"/>
        <v>1050000</v>
      </c>
      <c r="W37" s="62">
        <f t="shared" si="33"/>
        <v>1050000</v>
      </c>
      <c r="X37" s="62">
        <f t="shared" si="34"/>
        <v>1050000</v>
      </c>
      <c r="Y37" s="62">
        <f t="shared" si="35"/>
        <v>1050000</v>
      </c>
      <c r="Z37" s="62">
        <f t="shared" si="36"/>
        <v>1050000</v>
      </c>
      <c r="AA37" s="62">
        <f t="shared" si="37"/>
        <v>1050000</v>
      </c>
      <c r="AB37" s="62">
        <f t="shared" si="38"/>
        <v>1050000</v>
      </c>
      <c r="AC37" s="62">
        <f t="shared" si="39"/>
        <v>1050000</v>
      </c>
    </row>
    <row r="38" spans="1:53" x14ac:dyDescent="0.3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3">
      <c r="A39" s="30" t="str">
        <f t="shared" si="11"/>
        <v>Fuel Economy</v>
      </c>
      <c r="B39" s="62">
        <f t="shared" si="12"/>
        <v>62.083200000000005</v>
      </c>
      <c r="C39" s="62">
        <f t="shared" si="13"/>
        <v>62.083200000000005</v>
      </c>
      <c r="D39" s="62">
        <f t="shared" si="14"/>
        <v>62.083200000000005</v>
      </c>
      <c r="E39" s="62">
        <f t="shared" si="15"/>
        <v>62.083200000000005</v>
      </c>
      <c r="F39" s="62">
        <f t="shared" si="16"/>
        <v>62.083200000000005</v>
      </c>
      <c r="G39" s="62">
        <f t="shared" si="17"/>
        <v>62.083200000000005</v>
      </c>
      <c r="H39" s="62">
        <f t="shared" si="18"/>
        <v>62.083200000000005</v>
      </c>
      <c r="I39" s="62">
        <f t="shared" si="19"/>
        <v>62.083200000000005</v>
      </c>
      <c r="J39" s="62">
        <f t="shared" si="20"/>
        <v>62.083200000000005</v>
      </c>
      <c r="K39" s="62">
        <f t="shared" si="21"/>
        <v>62.083200000000005</v>
      </c>
      <c r="L39" s="62">
        <f t="shared" si="22"/>
        <v>62.083200000000005</v>
      </c>
      <c r="M39" s="62">
        <f t="shared" si="23"/>
        <v>62.083200000000005</v>
      </c>
      <c r="N39" s="62">
        <f t="shared" si="24"/>
        <v>62.083200000000005</v>
      </c>
      <c r="O39" s="62">
        <f t="shared" si="25"/>
        <v>62.083200000000005</v>
      </c>
      <c r="P39" s="62">
        <f t="shared" si="26"/>
        <v>62.083200000000005</v>
      </c>
      <c r="Q39" s="62">
        <f t="shared" si="27"/>
        <v>62.083200000000005</v>
      </c>
      <c r="R39" s="62">
        <f t="shared" si="28"/>
        <v>62.083200000000005</v>
      </c>
      <c r="S39" s="62">
        <f t="shared" si="29"/>
        <v>62.083200000000005</v>
      </c>
      <c r="T39" s="62">
        <f t="shared" si="30"/>
        <v>62.083200000000005</v>
      </c>
      <c r="U39" s="62">
        <f t="shared" si="31"/>
        <v>62.083200000000005</v>
      </c>
      <c r="V39" s="62">
        <f t="shared" si="32"/>
        <v>62.083200000000005</v>
      </c>
      <c r="W39" s="62">
        <f t="shared" si="33"/>
        <v>62.083200000000005</v>
      </c>
      <c r="X39" s="62">
        <f t="shared" si="34"/>
        <v>62.083200000000005</v>
      </c>
      <c r="Y39" s="62">
        <f t="shared" si="35"/>
        <v>62.083200000000005</v>
      </c>
      <c r="Z39" s="62">
        <f t="shared" si="36"/>
        <v>62.083200000000005</v>
      </c>
      <c r="AA39" s="62">
        <f t="shared" si="37"/>
        <v>62.083200000000005</v>
      </c>
      <c r="AB39" s="62">
        <f t="shared" si="38"/>
        <v>62.083200000000005</v>
      </c>
      <c r="AC39" s="62">
        <f t="shared" si="39"/>
        <v>62.083200000000005</v>
      </c>
    </row>
    <row r="40" spans="1:53" x14ac:dyDescent="0.3">
      <c r="A40" s="30" t="str">
        <f t="shared" si="11"/>
        <v>Fuel Cost</v>
      </c>
      <c r="B40" s="62">
        <f>$B20+($C20-$B20)*(1-Q20)</f>
        <v>0.1</v>
      </c>
      <c r="C40" s="62">
        <f>$B20+($C20-$B20)*(1-R20)</f>
        <v>0.1</v>
      </c>
      <c r="D40" s="62">
        <f>$B20+($C20-$B20)*(1-S20)</f>
        <v>0.1</v>
      </c>
      <c r="E40" s="62">
        <f t="shared" ref="E40:AC40" si="41">$B20+($C20-$B20)*(1-T20)</f>
        <v>0.1</v>
      </c>
      <c r="F40" s="62">
        <f t="shared" si="41"/>
        <v>0.1</v>
      </c>
      <c r="G40" s="62">
        <f t="shared" si="41"/>
        <v>0.1</v>
      </c>
      <c r="H40" s="62">
        <f t="shared" si="41"/>
        <v>0.1</v>
      </c>
      <c r="I40" s="62">
        <f t="shared" si="41"/>
        <v>0.1</v>
      </c>
      <c r="J40" s="62">
        <f t="shared" si="41"/>
        <v>0.1</v>
      </c>
      <c r="K40" s="62">
        <f t="shared" si="41"/>
        <v>0.1</v>
      </c>
      <c r="L40" s="62">
        <f t="shared" si="41"/>
        <v>0.1</v>
      </c>
      <c r="M40" s="62">
        <f t="shared" si="41"/>
        <v>0.1</v>
      </c>
      <c r="N40" s="62">
        <f t="shared" si="41"/>
        <v>0.1</v>
      </c>
      <c r="O40" s="62">
        <f t="shared" si="41"/>
        <v>0.1</v>
      </c>
      <c r="P40" s="62">
        <f t="shared" si="41"/>
        <v>0.1</v>
      </c>
      <c r="Q40" s="62">
        <f t="shared" si="41"/>
        <v>0.1</v>
      </c>
      <c r="R40" s="62">
        <f t="shared" si="41"/>
        <v>0.1</v>
      </c>
      <c r="S40" s="62">
        <f t="shared" si="41"/>
        <v>0.1</v>
      </c>
      <c r="T40" s="62">
        <f t="shared" si="41"/>
        <v>0.1</v>
      </c>
      <c r="U40" s="62">
        <f t="shared" si="41"/>
        <v>0.1</v>
      </c>
      <c r="V40" s="62">
        <f t="shared" si="41"/>
        <v>0.1</v>
      </c>
      <c r="W40" s="62">
        <f t="shared" si="41"/>
        <v>0.1</v>
      </c>
      <c r="X40" s="62">
        <f t="shared" si="41"/>
        <v>0.1</v>
      </c>
      <c r="Y40" s="62">
        <f t="shared" si="41"/>
        <v>0.1</v>
      </c>
      <c r="Z40" s="62">
        <f t="shared" si="41"/>
        <v>0.1</v>
      </c>
      <c r="AA40" s="62">
        <f t="shared" si="41"/>
        <v>0.1</v>
      </c>
      <c r="AB40" s="62">
        <f t="shared" si="41"/>
        <v>0.1</v>
      </c>
      <c r="AC40" s="62">
        <f t="shared" si="41"/>
        <v>0.1</v>
      </c>
    </row>
    <row r="41" spans="1:53" x14ac:dyDescent="0.3">
      <c r="A41" s="30" t="str">
        <f t="shared" si="11"/>
        <v>Emission Cost</v>
      </c>
      <c r="B41" s="98">
        <f>$B21+($C21-$B21)*(1-Q21)</f>
        <v>1.6642920252567563</v>
      </c>
      <c r="C41" s="98">
        <f t="shared" ref="C41:AC41" si="42">$B21+($C21-$B21)*(1-R21)</f>
        <v>1.668223764670367</v>
      </c>
      <c r="D41" s="98">
        <f t="shared" si="42"/>
        <v>1.6738519620685159</v>
      </c>
      <c r="E41" s="98">
        <f t="shared" si="42"/>
        <v>1.681903494239102</v>
      </c>
      <c r="F41" s="98">
        <f t="shared" si="42"/>
        <v>1.6934109103696515</v>
      </c>
      <c r="G41" s="98">
        <f t="shared" si="42"/>
        <v>1.7098344800436978</v>
      </c>
      <c r="H41" s="98">
        <f t="shared" si="42"/>
        <v>1.733225672402217</v>
      </c>
      <c r="I41" s="98">
        <f t="shared" si="42"/>
        <v>1.7664378123820623</v>
      </c>
      <c r="J41" s="98">
        <f t="shared" si="42"/>
        <v>1.8133799807606898</v>
      </c>
      <c r="K41" s="98">
        <f t="shared" si="42"/>
        <v>1.8792859382574125</v>
      </c>
      <c r="L41" s="98">
        <f t="shared" si="42"/>
        <v>1.9709191437812768</v>
      </c>
      <c r="M41" s="98">
        <f t="shared" si="42"/>
        <v>2.0965448405494573</v>
      </c>
      <c r="N41" s="98">
        <f t="shared" si="42"/>
        <v>2.2653723155004584</v>
      </c>
      <c r="O41" s="98">
        <f t="shared" si="42"/>
        <v>2.4860624403309455</v>
      </c>
      <c r="P41" s="98">
        <f t="shared" si="42"/>
        <v>2.7639843510823718</v>
      </c>
      <c r="Q41" s="98">
        <f t="shared" si="42"/>
        <v>3.0974826662343866</v>
      </c>
      <c r="R41" s="98">
        <f t="shared" si="42"/>
        <v>3.4745937746662614</v>
      </c>
      <c r="S41" s="98">
        <f t="shared" si="42"/>
        <v>3.8727084245898471</v>
      </c>
      <c r="T41" s="98">
        <f t="shared" si="42"/>
        <v>4.2629889228555031</v>
      </c>
      <c r="U41" s="98">
        <f t="shared" si="42"/>
        <v>4.6182692937866285</v>
      </c>
      <c r="V41" s="98">
        <f t="shared" si="42"/>
        <v>4.9202070161803482</v>
      </c>
      <c r="W41" s="98">
        <f t="shared" si="42"/>
        <v>5.1620050578353283</v>
      </c>
      <c r="X41" s="98">
        <f t="shared" si="42"/>
        <v>5.3465076953810016</v>
      </c>
      <c r="Y41" s="98">
        <f t="shared" si="42"/>
        <v>5.4821319311099916</v>
      </c>
      <c r="Z41" s="98">
        <f t="shared" si="42"/>
        <v>5.5791012976259244</v>
      </c>
      <c r="AA41" s="98">
        <f t="shared" si="42"/>
        <v>5.6470625031514352</v>
      </c>
      <c r="AB41" s="98">
        <f t="shared" si="42"/>
        <v>5.6940278733917111</v>
      </c>
      <c r="AC41" s="98">
        <f t="shared" si="42"/>
        <v>5.7261686166213002</v>
      </c>
    </row>
    <row r="42" spans="1:53" x14ac:dyDescent="0.3">
      <c r="A42" s="30" t="str">
        <f t="shared" si="11"/>
        <v>Lifetime vehicle</v>
      </c>
      <c r="B42" s="62">
        <f>$B22+($C22-$B22)*(1-Q22)</f>
        <v>20</v>
      </c>
      <c r="C42" s="62">
        <f t="shared" ref="C42:L44" si="43">$B22+($C22-$B22)*(1-R22)</f>
        <v>20</v>
      </c>
      <c r="D42" s="62">
        <f t="shared" si="43"/>
        <v>20</v>
      </c>
      <c r="E42" s="62">
        <f t="shared" si="43"/>
        <v>20</v>
      </c>
      <c r="F42" s="62">
        <f t="shared" si="43"/>
        <v>20</v>
      </c>
      <c r="G42" s="62">
        <f t="shared" si="43"/>
        <v>20</v>
      </c>
      <c r="H42" s="62">
        <f t="shared" si="43"/>
        <v>20</v>
      </c>
      <c r="I42" s="62">
        <f t="shared" si="43"/>
        <v>20</v>
      </c>
      <c r="J42" s="62">
        <f t="shared" si="43"/>
        <v>20</v>
      </c>
      <c r="K42" s="62">
        <f t="shared" si="43"/>
        <v>20</v>
      </c>
      <c r="L42" s="62">
        <f t="shared" si="43"/>
        <v>20</v>
      </c>
      <c r="M42" s="62">
        <f t="shared" ref="M42:V44" si="44">$B22+($C22-$B22)*(1-AB22)</f>
        <v>20</v>
      </c>
      <c r="N42" s="62">
        <f t="shared" si="44"/>
        <v>20</v>
      </c>
      <c r="O42" s="62">
        <f t="shared" si="44"/>
        <v>20</v>
      </c>
      <c r="P42" s="62">
        <f t="shared" si="44"/>
        <v>20</v>
      </c>
      <c r="Q42" s="62">
        <f t="shared" si="44"/>
        <v>20</v>
      </c>
      <c r="R42" s="62">
        <f t="shared" si="44"/>
        <v>20</v>
      </c>
      <c r="S42" s="62">
        <f t="shared" si="44"/>
        <v>20</v>
      </c>
      <c r="T42" s="62">
        <f t="shared" si="44"/>
        <v>20</v>
      </c>
      <c r="U42" s="62">
        <f t="shared" si="44"/>
        <v>20</v>
      </c>
      <c r="V42" s="62">
        <f t="shared" si="44"/>
        <v>20</v>
      </c>
      <c r="W42" s="62">
        <f t="shared" ref="W42:AC44" si="45">$B22+($C22-$B22)*(1-AL22)</f>
        <v>20</v>
      </c>
      <c r="X42" s="62">
        <f t="shared" si="45"/>
        <v>20</v>
      </c>
      <c r="Y42" s="62">
        <f t="shared" si="45"/>
        <v>20</v>
      </c>
      <c r="Z42" s="62">
        <f t="shared" si="45"/>
        <v>20</v>
      </c>
      <c r="AA42" s="62">
        <f t="shared" si="45"/>
        <v>20</v>
      </c>
      <c r="AB42" s="62">
        <f t="shared" si="45"/>
        <v>20</v>
      </c>
      <c r="AC42" s="62">
        <f t="shared" si="45"/>
        <v>20</v>
      </c>
    </row>
    <row r="43" spans="1:53" x14ac:dyDescent="0.3">
      <c r="A43" s="30" t="str">
        <f t="shared" si="11"/>
        <v>Lifetime costumization</v>
      </c>
      <c r="B43" s="62">
        <f>$B23+($C23-$B23)*(1-Q23)</f>
        <v>30</v>
      </c>
      <c r="C43" s="62">
        <f t="shared" si="43"/>
        <v>30</v>
      </c>
      <c r="D43" s="62">
        <f t="shared" si="43"/>
        <v>30</v>
      </c>
      <c r="E43" s="62">
        <f t="shared" si="43"/>
        <v>30</v>
      </c>
      <c r="F43" s="62">
        <f t="shared" si="43"/>
        <v>30</v>
      </c>
      <c r="G43" s="62">
        <f t="shared" si="43"/>
        <v>30</v>
      </c>
      <c r="H43" s="62">
        <f t="shared" si="43"/>
        <v>30</v>
      </c>
      <c r="I43" s="62">
        <f t="shared" si="43"/>
        <v>30</v>
      </c>
      <c r="J43" s="62">
        <f t="shared" si="43"/>
        <v>30</v>
      </c>
      <c r="K43" s="62">
        <f t="shared" si="43"/>
        <v>30</v>
      </c>
      <c r="L43" s="62">
        <f t="shared" si="43"/>
        <v>30</v>
      </c>
      <c r="M43" s="62">
        <f t="shared" si="44"/>
        <v>30</v>
      </c>
      <c r="N43" s="62">
        <f t="shared" si="44"/>
        <v>30</v>
      </c>
      <c r="O43" s="62">
        <f t="shared" si="44"/>
        <v>30</v>
      </c>
      <c r="P43" s="62">
        <f t="shared" si="44"/>
        <v>30</v>
      </c>
      <c r="Q43" s="62">
        <f t="shared" si="44"/>
        <v>30</v>
      </c>
      <c r="R43" s="62">
        <f t="shared" si="44"/>
        <v>30</v>
      </c>
      <c r="S43" s="62">
        <f t="shared" si="44"/>
        <v>30</v>
      </c>
      <c r="T43" s="62">
        <f t="shared" si="44"/>
        <v>30</v>
      </c>
      <c r="U43" s="62">
        <f t="shared" si="44"/>
        <v>30</v>
      </c>
      <c r="V43" s="62">
        <f t="shared" si="44"/>
        <v>30</v>
      </c>
      <c r="W43" s="62">
        <f t="shared" si="45"/>
        <v>30</v>
      </c>
      <c r="X43" s="62">
        <f t="shared" si="45"/>
        <v>30</v>
      </c>
      <c r="Y43" s="62">
        <f t="shared" si="45"/>
        <v>30</v>
      </c>
      <c r="Z43" s="62">
        <f t="shared" si="45"/>
        <v>30</v>
      </c>
      <c r="AA43" s="62">
        <f t="shared" si="45"/>
        <v>30</v>
      </c>
      <c r="AB43" s="62">
        <f t="shared" si="45"/>
        <v>30</v>
      </c>
      <c r="AC43" s="62">
        <f t="shared" si="45"/>
        <v>30</v>
      </c>
    </row>
    <row r="44" spans="1:53" x14ac:dyDescent="0.3">
      <c r="A44" s="30" t="str">
        <f t="shared" si="11"/>
        <v xml:space="preserve">Tonnage </v>
      </c>
      <c r="B44" s="62">
        <f>$B24+($C24-$B24)*(1-Q24)</f>
        <v>2240</v>
      </c>
      <c r="C44" s="62">
        <f t="shared" si="43"/>
        <v>2240</v>
      </c>
      <c r="D44" s="62">
        <f t="shared" si="43"/>
        <v>2240</v>
      </c>
      <c r="E44" s="62">
        <f t="shared" si="43"/>
        <v>2240</v>
      </c>
      <c r="F44" s="62">
        <f t="shared" si="43"/>
        <v>2240</v>
      </c>
      <c r="G44" s="62">
        <f t="shared" si="43"/>
        <v>2240</v>
      </c>
      <c r="H44" s="62">
        <f t="shared" si="43"/>
        <v>2240</v>
      </c>
      <c r="I44" s="62">
        <f t="shared" si="43"/>
        <v>2240</v>
      </c>
      <c r="J44" s="62">
        <f t="shared" si="43"/>
        <v>2240</v>
      </c>
      <c r="K44" s="62">
        <f t="shared" si="43"/>
        <v>2240</v>
      </c>
      <c r="L44" s="62">
        <f t="shared" si="43"/>
        <v>2240</v>
      </c>
      <c r="M44" s="62">
        <f t="shared" si="44"/>
        <v>2240</v>
      </c>
      <c r="N44" s="62">
        <f t="shared" si="44"/>
        <v>2240</v>
      </c>
      <c r="O44" s="62">
        <f t="shared" si="44"/>
        <v>2240</v>
      </c>
      <c r="P44" s="62">
        <f t="shared" si="44"/>
        <v>2240</v>
      </c>
      <c r="Q44" s="62">
        <f t="shared" si="44"/>
        <v>2240</v>
      </c>
      <c r="R44" s="62">
        <f t="shared" si="44"/>
        <v>2240</v>
      </c>
      <c r="S44" s="62">
        <f t="shared" si="44"/>
        <v>2240</v>
      </c>
      <c r="T44" s="62">
        <f t="shared" si="44"/>
        <v>2240</v>
      </c>
      <c r="U44" s="62">
        <f t="shared" si="44"/>
        <v>2240</v>
      </c>
      <c r="V44" s="62">
        <f t="shared" si="44"/>
        <v>2240</v>
      </c>
      <c r="W44" s="62">
        <f t="shared" si="45"/>
        <v>2240</v>
      </c>
      <c r="X44" s="62">
        <f t="shared" si="45"/>
        <v>2240</v>
      </c>
      <c r="Y44" s="62">
        <f t="shared" si="45"/>
        <v>2240</v>
      </c>
      <c r="Z44" s="62">
        <f t="shared" si="45"/>
        <v>2240</v>
      </c>
      <c r="AA44" s="62">
        <f t="shared" si="45"/>
        <v>2240</v>
      </c>
      <c r="AB44" s="62">
        <f t="shared" si="45"/>
        <v>2240</v>
      </c>
      <c r="AC44" s="62">
        <f t="shared" si="45"/>
        <v>2240</v>
      </c>
    </row>
    <row r="45" spans="1:53" x14ac:dyDescent="0.3">
      <c r="A45" s="30" t="str">
        <f t="shared" si="11"/>
        <v>Market failure (av. utilization)</v>
      </c>
      <c r="B45" s="62">
        <f t="shared" ref="B45:K46" si="46">($B25+($C25-$B25)*(1-Q25))*B$44</f>
        <v>1075.2</v>
      </c>
      <c r="C45" s="62">
        <f t="shared" si="46"/>
        <v>1075.2</v>
      </c>
      <c r="D45" s="62">
        <f t="shared" si="46"/>
        <v>1075.2</v>
      </c>
      <c r="E45" s="62">
        <f t="shared" si="46"/>
        <v>1075.2</v>
      </c>
      <c r="F45" s="62">
        <f t="shared" si="46"/>
        <v>1075.2</v>
      </c>
      <c r="G45" s="62">
        <f t="shared" si="46"/>
        <v>1075.2</v>
      </c>
      <c r="H45" s="62">
        <f t="shared" si="46"/>
        <v>1075.2</v>
      </c>
      <c r="I45" s="62">
        <f t="shared" si="46"/>
        <v>1075.2</v>
      </c>
      <c r="J45" s="62">
        <f t="shared" si="46"/>
        <v>1075.2</v>
      </c>
      <c r="K45" s="62">
        <f t="shared" si="46"/>
        <v>1075.2</v>
      </c>
      <c r="L45" s="62">
        <f t="shared" ref="L45:U46" si="47">($B25+($C25-$B25)*(1-AA25))*L$44</f>
        <v>1075.2</v>
      </c>
      <c r="M45" s="62">
        <f t="shared" si="47"/>
        <v>1075.2</v>
      </c>
      <c r="N45" s="62">
        <f t="shared" si="47"/>
        <v>1075.2</v>
      </c>
      <c r="O45" s="62">
        <f t="shared" si="47"/>
        <v>1075.2</v>
      </c>
      <c r="P45" s="62">
        <f t="shared" si="47"/>
        <v>1075.2</v>
      </c>
      <c r="Q45" s="62">
        <f t="shared" si="47"/>
        <v>1075.2</v>
      </c>
      <c r="R45" s="62">
        <f t="shared" si="47"/>
        <v>1075.2</v>
      </c>
      <c r="S45" s="62">
        <f t="shared" si="47"/>
        <v>1075.2</v>
      </c>
      <c r="T45" s="62">
        <f t="shared" si="47"/>
        <v>1075.2</v>
      </c>
      <c r="U45" s="62">
        <f t="shared" si="47"/>
        <v>1075.2</v>
      </c>
      <c r="V45" s="62">
        <f t="shared" ref="V45:AC46" si="48">($B25+($C25-$B25)*(1-AK25))*V$44</f>
        <v>1075.2</v>
      </c>
      <c r="W45" s="62">
        <f t="shared" si="48"/>
        <v>1075.2</v>
      </c>
      <c r="X45" s="62">
        <f t="shared" si="48"/>
        <v>1075.2</v>
      </c>
      <c r="Y45" s="62">
        <f t="shared" si="48"/>
        <v>1075.2</v>
      </c>
      <c r="Z45" s="62">
        <f t="shared" si="48"/>
        <v>1075.2</v>
      </c>
      <c r="AA45" s="62">
        <f t="shared" si="48"/>
        <v>1075.2</v>
      </c>
      <c r="AB45" s="62">
        <f t="shared" si="48"/>
        <v>1075.2</v>
      </c>
      <c r="AC45" s="62">
        <f t="shared" si="48"/>
        <v>1075.2</v>
      </c>
    </row>
    <row r="46" spans="1:53" x14ac:dyDescent="0.3">
      <c r="A46" s="30" t="s">
        <v>73</v>
      </c>
      <c r="B46" s="62">
        <f t="shared" si="46"/>
        <v>0</v>
      </c>
      <c r="C46" s="62">
        <f t="shared" si="46"/>
        <v>0</v>
      </c>
      <c r="D46" s="62">
        <f t="shared" si="46"/>
        <v>0</v>
      </c>
      <c r="E46" s="62">
        <f t="shared" si="46"/>
        <v>0</v>
      </c>
      <c r="F46" s="62">
        <f t="shared" si="46"/>
        <v>0</v>
      </c>
      <c r="G46" s="62">
        <f t="shared" si="46"/>
        <v>0</v>
      </c>
      <c r="H46" s="62">
        <f t="shared" si="46"/>
        <v>0</v>
      </c>
      <c r="I46" s="62">
        <f t="shared" si="46"/>
        <v>0</v>
      </c>
      <c r="J46" s="62">
        <f t="shared" si="46"/>
        <v>0</v>
      </c>
      <c r="K46" s="62">
        <f t="shared" si="46"/>
        <v>0</v>
      </c>
      <c r="L46" s="62">
        <f t="shared" si="47"/>
        <v>0</v>
      </c>
      <c r="M46" s="62">
        <f t="shared" si="47"/>
        <v>0</v>
      </c>
      <c r="N46" s="62">
        <f t="shared" si="47"/>
        <v>0</v>
      </c>
      <c r="O46" s="62">
        <f t="shared" si="47"/>
        <v>0</v>
      </c>
      <c r="P46" s="62">
        <f t="shared" si="47"/>
        <v>0</v>
      </c>
      <c r="Q46" s="62">
        <f t="shared" si="47"/>
        <v>0</v>
      </c>
      <c r="R46" s="62">
        <f t="shared" si="47"/>
        <v>0</v>
      </c>
      <c r="S46" s="62">
        <f t="shared" si="47"/>
        <v>0</v>
      </c>
      <c r="T46" s="62">
        <f t="shared" si="47"/>
        <v>0</v>
      </c>
      <c r="U46" s="62">
        <f t="shared" si="47"/>
        <v>0</v>
      </c>
      <c r="V46" s="62">
        <f t="shared" si="48"/>
        <v>0</v>
      </c>
      <c r="W46" s="62">
        <f t="shared" si="48"/>
        <v>0</v>
      </c>
      <c r="X46" s="62">
        <f t="shared" si="48"/>
        <v>0</v>
      </c>
      <c r="Y46" s="62">
        <f t="shared" si="48"/>
        <v>0</v>
      </c>
      <c r="Z46" s="62">
        <f t="shared" si="48"/>
        <v>0</v>
      </c>
      <c r="AA46" s="62">
        <f t="shared" si="48"/>
        <v>0</v>
      </c>
      <c r="AB46" s="62">
        <f t="shared" si="48"/>
        <v>0</v>
      </c>
      <c r="AC46" s="62">
        <f t="shared" si="48"/>
        <v>0</v>
      </c>
    </row>
    <row r="47" spans="1:53" x14ac:dyDescent="0.3">
      <c r="A47" s="30" t="str">
        <f>A27</f>
        <v>Annual Mileage</v>
      </c>
      <c r="B47" s="62">
        <f t="shared" ref="B47:AC47" si="49">$B27+($C27-$B27)*(1-Q27)</f>
        <v>178500</v>
      </c>
      <c r="C47" s="62">
        <f t="shared" si="49"/>
        <v>178500</v>
      </c>
      <c r="D47" s="62">
        <f t="shared" si="49"/>
        <v>178500</v>
      </c>
      <c r="E47" s="62">
        <f t="shared" si="49"/>
        <v>178500</v>
      </c>
      <c r="F47" s="62">
        <f t="shared" si="49"/>
        <v>178500</v>
      </c>
      <c r="G47" s="62">
        <f t="shared" si="49"/>
        <v>178500</v>
      </c>
      <c r="H47" s="62">
        <f t="shared" si="49"/>
        <v>178500</v>
      </c>
      <c r="I47" s="62">
        <f t="shared" si="49"/>
        <v>178500</v>
      </c>
      <c r="J47" s="62">
        <f t="shared" si="49"/>
        <v>178500</v>
      </c>
      <c r="K47" s="62">
        <f t="shared" si="49"/>
        <v>178500</v>
      </c>
      <c r="L47" s="62">
        <f t="shared" si="49"/>
        <v>178500</v>
      </c>
      <c r="M47" s="62">
        <f t="shared" si="49"/>
        <v>178500</v>
      </c>
      <c r="N47" s="62">
        <f t="shared" si="49"/>
        <v>178500</v>
      </c>
      <c r="O47" s="62">
        <f t="shared" si="49"/>
        <v>178500</v>
      </c>
      <c r="P47" s="62">
        <f t="shared" si="49"/>
        <v>178500</v>
      </c>
      <c r="Q47" s="62">
        <f t="shared" si="49"/>
        <v>178500</v>
      </c>
      <c r="R47" s="62">
        <f t="shared" si="49"/>
        <v>178500</v>
      </c>
      <c r="S47" s="62">
        <f t="shared" si="49"/>
        <v>178500</v>
      </c>
      <c r="T47" s="62">
        <f t="shared" si="49"/>
        <v>178500</v>
      </c>
      <c r="U47" s="62">
        <f t="shared" si="49"/>
        <v>178500</v>
      </c>
      <c r="V47" s="62">
        <f t="shared" si="49"/>
        <v>178500</v>
      </c>
      <c r="W47" s="62">
        <f t="shared" si="49"/>
        <v>178500</v>
      </c>
      <c r="X47" s="62">
        <f t="shared" si="49"/>
        <v>178500</v>
      </c>
      <c r="Y47" s="62">
        <f t="shared" si="49"/>
        <v>178500</v>
      </c>
      <c r="Z47" s="62">
        <f t="shared" si="49"/>
        <v>178500</v>
      </c>
      <c r="AA47" s="62">
        <f t="shared" si="49"/>
        <v>178500</v>
      </c>
      <c r="AB47" s="62">
        <f t="shared" si="49"/>
        <v>178500</v>
      </c>
      <c r="AC47" s="62">
        <f t="shared" si="49"/>
        <v>178500</v>
      </c>
    </row>
    <row r="48" spans="1:53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305145.94941897993</v>
      </c>
      <c r="C50" s="63">
        <f t="shared" ref="C50:AC50" si="50">((1+C35)^C42)*C35/(((1+C35)^C42)-1)*(C31)</f>
        <v>305145.94941897993</v>
      </c>
      <c r="D50" s="63">
        <f t="shared" si="50"/>
        <v>305145.94941897993</v>
      </c>
      <c r="E50" s="63">
        <f t="shared" si="50"/>
        <v>305145.94941897993</v>
      </c>
      <c r="F50" s="63">
        <f t="shared" si="50"/>
        <v>305145.94941897993</v>
      </c>
      <c r="G50" s="63">
        <f t="shared" si="50"/>
        <v>305145.94941897993</v>
      </c>
      <c r="H50" s="63">
        <f t="shared" si="50"/>
        <v>305145.94941897993</v>
      </c>
      <c r="I50" s="63">
        <f t="shared" si="50"/>
        <v>305145.94941897993</v>
      </c>
      <c r="J50" s="63">
        <f t="shared" si="50"/>
        <v>305145.94941897993</v>
      </c>
      <c r="K50" s="63">
        <f t="shared" si="50"/>
        <v>305145.94941897993</v>
      </c>
      <c r="L50" s="63">
        <f t="shared" si="50"/>
        <v>305145.94941897993</v>
      </c>
      <c r="M50" s="63">
        <f t="shared" si="50"/>
        <v>305145.94941897993</v>
      </c>
      <c r="N50" s="63">
        <f t="shared" si="50"/>
        <v>305145.94941897993</v>
      </c>
      <c r="O50" s="63">
        <f t="shared" si="50"/>
        <v>305145.94941897993</v>
      </c>
      <c r="P50" s="63">
        <f t="shared" si="50"/>
        <v>305145.94941897993</v>
      </c>
      <c r="Q50" s="63">
        <f t="shared" si="50"/>
        <v>305145.94941897993</v>
      </c>
      <c r="R50" s="63">
        <f t="shared" si="50"/>
        <v>305145.94941897993</v>
      </c>
      <c r="S50" s="63">
        <f t="shared" si="50"/>
        <v>305145.94941897993</v>
      </c>
      <c r="T50" s="63">
        <f t="shared" si="50"/>
        <v>305145.94941897993</v>
      </c>
      <c r="U50" s="63">
        <f t="shared" si="50"/>
        <v>305145.94941897993</v>
      </c>
      <c r="V50" s="63">
        <f t="shared" si="50"/>
        <v>305145.94941897993</v>
      </c>
      <c r="W50" s="63">
        <f t="shared" si="50"/>
        <v>305145.94941897993</v>
      </c>
      <c r="X50" s="63">
        <f t="shared" si="50"/>
        <v>305145.94941897993</v>
      </c>
      <c r="Y50" s="63">
        <f t="shared" si="50"/>
        <v>305145.94941897993</v>
      </c>
      <c r="Z50" s="63">
        <f t="shared" si="50"/>
        <v>305145.94941897993</v>
      </c>
      <c r="AA50" s="63">
        <f t="shared" si="50"/>
        <v>305145.94941897993</v>
      </c>
      <c r="AB50" s="63">
        <f t="shared" si="50"/>
        <v>305145.94941897993</v>
      </c>
      <c r="AC50" s="63">
        <f t="shared" si="50"/>
        <v>305145.94941897993</v>
      </c>
    </row>
    <row r="51" spans="1:29" x14ac:dyDescent="0.3">
      <c r="A51" s="30" t="str">
        <f>A32</f>
        <v>Residual value (vehicle)</v>
      </c>
      <c r="B51" s="62">
        <f>((1+B35)^B42)*B35/(((1+B35)^B42)-1)*(B32)</f>
        <v>-45369.034506436277</v>
      </c>
      <c r="C51" s="62">
        <f t="shared" ref="C51:AC51" si="51">((1+C35)^C42)*C35/(((1+C35)^C42)-1)*(C32)</f>
        <v>-45196.542704314146</v>
      </c>
      <c r="D51" s="62">
        <f t="shared" si="51"/>
        <v>-44951.629072308999</v>
      </c>
      <c r="E51" s="62">
        <f t="shared" si="51"/>
        <v>-44605.467188167124</v>
      </c>
      <c r="F51" s="62">
        <f t="shared" si="51"/>
        <v>-44119.462148109647</v>
      </c>
      <c r="G51" s="62">
        <f t="shared" si="51"/>
        <v>-43443.738717137028</v>
      </c>
      <c r="H51" s="62">
        <f t="shared" si="51"/>
        <v>-42517.347172137401</v>
      </c>
      <c r="I51" s="62">
        <f t="shared" si="51"/>
        <v>-41272.376203762586</v>
      </c>
      <c r="J51" s="62">
        <f t="shared" si="51"/>
        <v>-39644.958637393647</v>
      </c>
      <c r="K51" s="62">
        <f t="shared" si="51"/>
        <v>-37595.501281822799</v>
      </c>
      <c r="L51" s="62">
        <f t="shared" si="51"/>
        <v>-35136.211284820376</v>
      </c>
      <c r="M51" s="62">
        <f t="shared" si="51"/>
        <v>-32355.310948630464</v>
      </c>
      <c r="N51" s="62">
        <f t="shared" si="51"/>
        <v>-29419.525873461753</v>
      </c>
      <c r="O51" s="62">
        <f t="shared" si="51"/>
        <v>-26541.511557340396</v>
      </c>
      <c r="P51" s="62">
        <f t="shared" si="51"/>
        <v>-23921.595885610663</v>
      </c>
      <c r="Q51" s="62">
        <f t="shared" si="51"/>
        <v>-21695.040647806538</v>
      </c>
      <c r="R51" s="62">
        <f t="shared" si="51"/>
        <v>-19911.968655776182</v>
      </c>
      <c r="S51" s="62">
        <f t="shared" si="51"/>
        <v>-18551.40558747459</v>
      </c>
      <c r="T51" s="62">
        <f t="shared" si="51"/>
        <v>-17551.282614957105</v>
      </c>
      <c r="U51" s="62">
        <f t="shared" si="51"/>
        <v>-16836.209158050464</v>
      </c>
      <c r="V51" s="62">
        <f t="shared" si="51"/>
        <v>-16335.048266557109</v>
      </c>
      <c r="W51" s="62">
        <f t="shared" si="51"/>
        <v>-15988.715286779448</v>
      </c>
      <c r="X51" s="62">
        <f t="shared" si="51"/>
        <v>-15751.702370283236</v>
      </c>
      <c r="Y51" s="62">
        <f t="shared" si="51"/>
        <v>-15590.58521762073</v>
      </c>
      <c r="Z51" s="62">
        <f t="shared" si="51"/>
        <v>-15481.559033229796</v>
      </c>
      <c r="AA51" s="62">
        <f t="shared" si="51"/>
        <v>-15408.009855414111</v>
      </c>
      <c r="AB51" s="62">
        <f t="shared" si="51"/>
        <v>-15358.496914269901</v>
      </c>
      <c r="AC51" s="62">
        <f t="shared" si="51"/>
        <v>-15325.211858527608</v>
      </c>
    </row>
    <row r="52" spans="1:29" x14ac:dyDescent="0.3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2">((1+C35)^C43)*C35/(((1+C35)^C43)-1)*(C33)</f>
        <v>305125.4282581982</v>
      </c>
      <c r="D52" s="62">
        <f t="shared" si="52"/>
        <v>305125.4282581982</v>
      </c>
      <c r="E52" s="62">
        <f t="shared" si="52"/>
        <v>305125.4282581982</v>
      </c>
      <c r="F52" s="62">
        <f t="shared" si="52"/>
        <v>305125.4282581982</v>
      </c>
      <c r="G52" s="62">
        <f t="shared" si="52"/>
        <v>305125.4282581982</v>
      </c>
      <c r="H52" s="62">
        <f t="shared" si="52"/>
        <v>305125.4282581982</v>
      </c>
      <c r="I52" s="62">
        <f t="shared" si="52"/>
        <v>305125.4282581982</v>
      </c>
      <c r="J52" s="62">
        <f t="shared" si="52"/>
        <v>305125.4282581982</v>
      </c>
      <c r="K52" s="62">
        <f t="shared" si="52"/>
        <v>305125.4282581982</v>
      </c>
      <c r="L52" s="62">
        <f t="shared" si="52"/>
        <v>305125.4282581982</v>
      </c>
      <c r="M52" s="62">
        <f t="shared" si="52"/>
        <v>305125.4282581982</v>
      </c>
      <c r="N52" s="62">
        <f t="shared" si="52"/>
        <v>305125.4282581982</v>
      </c>
      <c r="O52" s="62">
        <f t="shared" si="52"/>
        <v>305125.4282581982</v>
      </c>
      <c r="P52" s="62">
        <f t="shared" si="52"/>
        <v>305125.4282581982</v>
      </c>
      <c r="Q52" s="62">
        <f t="shared" si="52"/>
        <v>305125.4282581982</v>
      </c>
      <c r="R52" s="62">
        <f t="shared" si="52"/>
        <v>305125.4282581982</v>
      </c>
      <c r="S52" s="62">
        <f t="shared" si="52"/>
        <v>305125.4282581982</v>
      </c>
      <c r="T52" s="62">
        <f t="shared" si="52"/>
        <v>305125.4282581982</v>
      </c>
      <c r="U52" s="62">
        <f t="shared" si="52"/>
        <v>305125.4282581982</v>
      </c>
      <c r="V52" s="62">
        <f t="shared" si="52"/>
        <v>305125.4282581982</v>
      </c>
      <c r="W52" s="62">
        <f t="shared" si="52"/>
        <v>305125.4282581982</v>
      </c>
      <c r="X52" s="62">
        <f t="shared" si="52"/>
        <v>305125.4282581982</v>
      </c>
      <c r="Y52" s="62">
        <f t="shared" si="52"/>
        <v>305125.4282581982</v>
      </c>
      <c r="Z52" s="62">
        <f t="shared" si="52"/>
        <v>305125.4282581982</v>
      </c>
      <c r="AA52" s="62">
        <f t="shared" si="52"/>
        <v>305125.4282581982</v>
      </c>
      <c r="AB52" s="62">
        <f t="shared" si="52"/>
        <v>305125.4282581982</v>
      </c>
      <c r="AC52" s="62">
        <f t="shared" si="52"/>
        <v>305125.4282581982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3">((1+C35)^C43)*C35/(((1+C35)^C43)-1)*(C34)</f>
        <v>-15256.271412909911</v>
      </c>
      <c r="D53" s="62">
        <f t="shared" si="53"/>
        <v>-15256.271412909911</v>
      </c>
      <c r="E53" s="62">
        <f t="shared" si="53"/>
        <v>-15256.271412909911</v>
      </c>
      <c r="F53" s="62">
        <f t="shared" si="53"/>
        <v>-15256.271412909911</v>
      </c>
      <c r="G53" s="62">
        <f t="shared" si="53"/>
        <v>-15256.271412909911</v>
      </c>
      <c r="H53" s="62">
        <f t="shared" si="53"/>
        <v>-15256.271412909911</v>
      </c>
      <c r="I53" s="62">
        <f t="shared" si="53"/>
        <v>-15256.271412909911</v>
      </c>
      <c r="J53" s="62">
        <f t="shared" si="53"/>
        <v>-15256.271412909911</v>
      </c>
      <c r="K53" s="62">
        <f t="shared" si="53"/>
        <v>-15256.271412909911</v>
      </c>
      <c r="L53" s="62">
        <f t="shared" si="53"/>
        <v>-15256.271412909911</v>
      </c>
      <c r="M53" s="62">
        <f t="shared" si="53"/>
        <v>-15256.271412909911</v>
      </c>
      <c r="N53" s="62">
        <f t="shared" si="53"/>
        <v>-15256.271412909911</v>
      </c>
      <c r="O53" s="62">
        <f t="shared" si="53"/>
        <v>-15256.271412909911</v>
      </c>
      <c r="P53" s="62">
        <f t="shared" si="53"/>
        <v>-15256.271412909911</v>
      </c>
      <c r="Q53" s="62">
        <f t="shared" si="53"/>
        <v>-15256.271412909911</v>
      </c>
      <c r="R53" s="62">
        <f t="shared" si="53"/>
        <v>-15256.271412909911</v>
      </c>
      <c r="S53" s="62">
        <f t="shared" si="53"/>
        <v>-15256.271412909911</v>
      </c>
      <c r="T53" s="62">
        <f t="shared" si="53"/>
        <v>-15256.271412909911</v>
      </c>
      <c r="U53" s="62">
        <f t="shared" si="53"/>
        <v>-15256.271412909911</v>
      </c>
      <c r="V53" s="62">
        <f t="shared" si="53"/>
        <v>-15256.271412909911</v>
      </c>
      <c r="W53" s="62">
        <f t="shared" si="53"/>
        <v>-15256.271412909911</v>
      </c>
      <c r="X53" s="62">
        <f t="shared" si="53"/>
        <v>-15256.271412909911</v>
      </c>
      <c r="Y53" s="62">
        <f t="shared" si="53"/>
        <v>-15256.271412909911</v>
      </c>
      <c r="Z53" s="62">
        <f t="shared" si="53"/>
        <v>-15256.271412909911</v>
      </c>
      <c r="AA53" s="62">
        <f t="shared" si="53"/>
        <v>-15256.271412909911</v>
      </c>
      <c r="AB53" s="62">
        <f t="shared" si="53"/>
        <v>-15256.271412909911</v>
      </c>
      <c r="AC53" s="62">
        <f t="shared" si="53"/>
        <v>-15256.271412909911</v>
      </c>
    </row>
    <row r="54" spans="1:29" x14ac:dyDescent="0.3">
      <c r="A54" s="30" t="str">
        <f t="shared" ref="A54:AC54" si="54">A36</f>
        <v>Opex fix (admin, crew, insurance)</v>
      </c>
      <c r="B54" s="62">
        <f t="shared" si="54"/>
        <v>650000</v>
      </c>
      <c r="C54" s="62">
        <f t="shared" si="54"/>
        <v>650000</v>
      </c>
      <c r="D54" s="62">
        <f t="shared" si="54"/>
        <v>650000</v>
      </c>
      <c r="E54" s="62">
        <f t="shared" si="54"/>
        <v>650000</v>
      </c>
      <c r="F54" s="62">
        <f t="shared" si="54"/>
        <v>650000</v>
      </c>
      <c r="G54" s="62">
        <f t="shared" si="54"/>
        <v>650000</v>
      </c>
      <c r="H54" s="62">
        <f t="shared" si="54"/>
        <v>650000</v>
      </c>
      <c r="I54" s="62">
        <f t="shared" si="54"/>
        <v>650000</v>
      </c>
      <c r="J54" s="62">
        <f t="shared" si="54"/>
        <v>650000</v>
      </c>
      <c r="K54" s="62">
        <f t="shared" si="54"/>
        <v>650000</v>
      </c>
      <c r="L54" s="62">
        <f t="shared" si="54"/>
        <v>650000</v>
      </c>
      <c r="M54" s="62">
        <f t="shared" si="54"/>
        <v>650000</v>
      </c>
      <c r="N54" s="62">
        <f t="shared" si="54"/>
        <v>650000</v>
      </c>
      <c r="O54" s="62">
        <f t="shared" si="54"/>
        <v>650000</v>
      </c>
      <c r="P54" s="62">
        <f t="shared" si="54"/>
        <v>650000</v>
      </c>
      <c r="Q54" s="62">
        <f t="shared" si="54"/>
        <v>650000</v>
      </c>
      <c r="R54" s="62">
        <f t="shared" si="54"/>
        <v>650000</v>
      </c>
      <c r="S54" s="62">
        <f t="shared" si="54"/>
        <v>650000</v>
      </c>
      <c r="T54" s="62">
        <f t="shared" si="54"/>
        <v>650000</v>
      </c>
      <c r="U54" s="62">
        <f t="shared" si="54"/>
        <v>650000</v>
      </c>
      <c r="V54" s="62">
        <f t="shared" si="54"/>
        <v>650000</v>
      </c>
      <c r="W54" s="62">
        <f t="shared" si="54"/>
        <v>650000</v>
      </c>
      <c r="X54" s="62">
        <f t="shared" si="54"/>
        <v>650000</v>
      </c>
      <c r="Y54" s="62">
        <f t="shared" si="54"/>
        <v>650000</v>
      </c>
      <c r="Z54" s="62">
        <f t="shared" si="54"/>
        <v>650000</v>
      </c>
      <c r="AA54" s="62">
        <f t="shared" si="54"/>
        <v>650000</v>
      </c>
      <c r="AB54" s="62">
        <f t="shared" si="54"/>
        <v>650000</v>
      </c>
      <c r="AC54" s="62">
        <f t="shared" si="54"/>
        <v>650000</v>
      </c>
    </row>
    <row r="55" spans="1:29" x14ac:dyDescent="0.3">
      <c r="A55" s="30" t="str">
        <f t="shared" ref="A55:AC55" si="55">A37</f>
        <v>Opex maintenance &amp; repair</v>
      </c>
      <c r="B55" s="62">
        <f t="shared" si="55"/>
        <v>1050000</v>
      </c>
      <c r="C55" s="62">
        <f t="shared" si="55"/>
        <v>1050000</v>
      </c>
      <c r="D55" s="62">
        <f t="shared" si="55"/>
        <v>1050000</v>
      </c>
      <c r="E55" s="62">
        <f t="shared" si="55"/>
        <v>1050000</v>
      </c>
      <c r="F55" s="62">
        <f t="shared" si="55"/>
        <v>1050000</v>
      </c>
      <c r="G55" s="62">
        <f t="shared" si="55"/>
        <v>1050000</v>
      </c>
      <c r="H55" s="62">
        <f t="shared" si="55"/>
        <v>1050000</v>
      </c>
      <c r="I55" s="62">
        <f t="shared" si="55"/>
        <v>1050000</v>
      </c>
      <c r="J55" s="62">
        <f t="shared" si="55"/>
        <v>1050000</v>
      </c>
      <c r="K55" s="62">
        <f t="shared" si="55"/>
        <v>1050000</v>
      </c>
      <c r="L55" s="62">
        <f t="shared" si="55"/>
        <v>1050000</v>
      </c>
      <c r="M55" s="62">
        <f t="shared" si="55"/>
        <v>1050000</v>
      </c>
      <c r="N55" s="62">
        <f t="shared" si="55"/>
        <v>1050000</v>
      </c>
      <c r="O55" s="62">
        <f t="shared" si="55"/>
        <v>1050000</v>
      </c>
      <c r="P55" s="62">
        <f t="shared" si="55"/>
        <v>1050000</v>
      </c>
      <c r="Q55" s="62">
        <f t="shared" si="55"/>
        <v>1050000</v>
      </c>
      <c r="R55" s="62">
        <f t="shared" si="55"/>
        <v>1050000</v>
      </c>
      <c r="S55" s="62">
        <f t="shared" si="55"/>
        <v>1050000</v>
      </c>
      <c r="T55" s="62">
        <f t="shared" si="55"/>
        <v>1050000</v>
      </c>
      <c r="U55" s="62">
        <f t="shared" si="55"/>
        <v>1050000</v>
      </c>
      <c r="V55" s="62">
        <f t="shared" si="55"/>
        <v>1050000</v>
      </c>
      <c r="W55" s="62">
        <f t="shared" si="55"/>
        <v>1050000</v>
      </c>
      <c r="X55" s="62">
        <f t="shared" si="55"/>
        <v>1050000</v>
      </c>
      <c r="Y55" s="62">
        <f t="shared" si="55"/>
        <v>1050000</v>
      </c>
      <c r="Z55" s="62">
        <f t="shared" si="55"/>
        <v>1050000</v>
      </c>
      <c r="AA55" s="62">
        <f t="shared" si="55"/>
        <v>1050000</v>
      </c>
      <c r="AB55" s="62">
        <f t="shared" si="55"/>
        <v>1050000</v>
      </c>
      <c r="AC55" s="62">
        <f t="shared" si="55"/>
        <v>1050000</v>
      </c>
    </row>
    <row r="56" spans="1:29" x14ac:dyDescent="0.3">
      <c r="A56" s="30" t="str">
        <f>A38</f>
        <v>Opex var (mode-fees, shunting)</v>
      </c>
      <c r="B56" s="62">
        <f>B38*B47</f>
        <v>700000</v>
      </c>
      <c r="C56" s="62">
        <f t="shared" ref="C56:AC56" si="56">C38*C47</f>
        <v>700000</v>
      </c>
      <c r="D56" s="62">
        <f t="shared" si="56"/>
        <v>700000</v>
      </c>
      <c r="E56" s="62">
        <f t="shared" si="56"/>
        <v>700000</v>
      </c>
      <c r="F56" s="62">
        <f t="shared" si="56"/>
        <v>700000</v>
      </c>
      <c r="G56" s="62">
        <f t="shared" si="56"/>
        <v>700000</v>
      </c>
      <c r="H56" s="62">
        <f t="shared" si="56"/>
        <v>700000</v>
      </c>
      <c r="I56" s="62">
        <f t="shared" si="56"/>
        <v>700000</v>
      </c>
      <c r="J56" s="62">
        <f t="shared" si="56"/>
        <v>700000</v>
      </c>
      <c r="K56" s="62">
        <f t="shared" si="56"/>
        <v>700000</v>
      </c>
      <c r="L56" s="62">
        <f t="shared" si="56"/>
        <v>700000</v>
      </c>
      <c r="M56" s="62">
        <f t="shared" si="56"/>
        <v>700000</v>
      </c>
      <c r="N56" s="62">
        <f t="shared" si="56"/>
        <v>700000</v>
      </c>
      <c r="O56" s="62">
        <f t="shared" si="56"/>
        <v>700000</v>
      </c>
      <c r="P56" s="62">
        <f t="shared" si="56"/>
        <v>700000</v>
      </c>
      <c r="Q56" s="62">
        <f t="shared" si="56"/>
        <v>700000</v>
      </c>
      <c r="R56" s="62">
        <f t="shared" si="56"/>
        <v>700000</v>
      </c>
      <c r="S56" s="62">
        <f t="shared" si="56"/>
        <v>700000</v>
      </c>
      <c r="T56" s="62">
        <f t="shared" si="56"/>
        <v>700000</v>
      </c>
      <c r="U56" s="62">
        <f t="shared" si="56"/>
        <v>700000</v>
      </c>
      <c r="V56" s="62">
        <f t="shared" si="56"/>
        <v>700000</v>
      </c>
      <c r="W56" s="62">
        <f t="shared" si="56"/>
        <v>700000</v>
      </c>
      <c r="X56" s="62">
        <f t="shared" si="56"/>
        <v>700000</v>
      </c>
      <c r="Y56" s="62">
        <f t="shared" si="56"/>
        <v>700000</v>
      </c>
      <c r="Z56" s="62">
        <f t="shared" si="56"/>
        <v>700000</v>
      </c>
      <c r="AA56" s="62">
        <f t="shared" si="56"/>
        <v>700000</v>
      </c>
      <c r="AB56" s="62">
        <f t="shared" si="56"/>
        <v>700000</v>
      </c>
      <c r="AC56" s="62">
        <f t="shared" si="56"/>
        <v>700000</v>
      </c>
    </row>
    <row r="57" spans="1:29" x14ac:dyDescent="0.3">
      <c r="A57" s="30" t="str">
        <f>A40</f>
        <v>Fuel Cost</v>
      </c>
      <c r="B57" s="62">
        <f>B39*B40*B47</f>
        <v>1108185.1200000001</v>
      </c>
      <c r="C57" s="62">
        <f t="shared" ref="C57:AC57" si="57">C39*C40*C47</f>
        <v>1108185.1200000001</v>
      </c>
      <c r="D57" s="62">
        <f t="shared" si="57"/>
        <v>1108185.1200000001</v>
      </c>
      <c r="E57" s="62">
        <f t="shared" si="57"/>
        <v>1108185.1200000001</v>
      </c>
      <c r="F57" s="62">
        <f t="shared" si="57"/>
        <v>1108185.1200000001</v>
      </c>
      <c r="G57" s="62">
        <f t="shared" si="57"/>
        <v>1108185.1200000001</v>
      </c>
      <c r="H57" s="62">
        <f t="shared" si="57"/>
        <v>1108185.1200000001</v>
      </c>
      <c r="I57" s="62">
        <f t="shared" si="57"/>
        <v>1108185.1200000001</v>
      </c>
      <c r="J57" s="62">
        <f t="shared" si="57"/>
        <v>1108185.1200000001</v>
      </c>
      <c r="K57" s="62">
        <f t="shared" si="57"/>
        <v>1108185.1200000001</v>
      </c>
      <c r="L57" s="62">
        <f t="shared" si="57"/>
        <v>1108185.1200000001</v>
      </c>
      <c r="M57" s="62">
        <f t="shared" si="57"/>
        <v>1108185.1200000001</v>
      </c>
      <c r="N57" s="62">
        <f t="shared" si="57"/>
        <v>1108185.1200000001</v>
      </c>
      <c r="O57" s="62">
        <f t="shared" si="57"/>
        <v>1108185.1200000001</v>
      </c>
      <c r="P57" s="62">
        <f t="shared" si="57"/>
        <v>1108185.1200000001</v>
      </c>
      <c r="Q57" s="62">
        <f t="shared" si="57"/>
        <v>1108185.1200000001</v>
      </c>
      <c r="R57" s="62">
        <f t="shared" si="57"/>
        <v>1108185.1200000001</v>
      </c>
      <c r="S57" s="62">
        <f t="shared" si="57"/>
        <v>1108185.1200000001</v>
      </c>
      <c r="T57" s="62">
        <f t="shared" si="57"/>
        <v>1108185.1200000001</v>
      </c>
      <c r="U57" s="62">
        <f t="shared" si="57"/>
        <v>1108185.1200000001</v>
      </c>
      <c r="V57" s="62">
        <f t="shared" si="57"/>
        <v>1108185.1200000001</v>
      </c>
      <c r="W57" s="62">
        <f t="shared" si="57"/>
        <v>1108185.1200000001</v>
      </c>
      <c r="X57" s="62">
        <f t="shared" si="57"/>
        <v>1108185.1200000001</v>
      </c>
      <c r="Y57" s="62">
        <f t="shared" si="57"/>
        <v>1108185.1200000001</v>
      </c>
      <c r="Z57" s="62">
        <f t="shared" si="57"/>
        <v>1108185.1200000001</v>
      </c>
      <c r="AA57" s="62">
        <f t="shared" si="57"/>
        <v>1108185.1200000001</v>
      </c>
      <c r="AB57" s="62">
        <f t="shared" si="57"/>
        <v>1108185.1200000001</v>
      </c>
      <c r="AC57" s="62">
        <f t="shared" si="57"/>
        <v>1108185.1200000001</v>
      </c>
    </row>
    <row r="58" spans="1:29" ht="15" thickBot="1" x14ac:dyDescent="0.35">
      <c r="A58" s="59" t="str">
        <f>A21</f>
        <v>Emission Cost</v>
      </c>
      <c r="B58" s="62">
        <f>B41*B47</f>
        <v>297076.12650833098</v>
      </c>
      <c r="C58" s="62">
        <f t="shared" ref="C58:AC58" si="58">C41*C47</f>
        <v>297777.94199366053</v>
      </c>
      <c r="D58" s="62">
        <f t="shared" si="58"/>
        <v>298782.5752292301</v>
      </c>
      <c r="E58" s="62">
        <f t="shared" si="58"/>
        <v>300219.7737216797</v>
      </c>
      <c r="F58" s="62">
        <f t="shared" si="58"/>
        <v>302273.84750098281</v>
      </c>
      <c r="G58" s="62">
        <f t="shared" si="58"/>
        <v>305205.45468780003</v>
      </c>
      <c r="H58" s="62">
        <f t="shared" si="58"/>
        <v>309380.78252379573</v>
      </c>
      <c r="I58" s="62">
        <f t="shared" si="58"/>
        <v>315309.1495101981</v>
      </c>
      <c r="J58" s="62">
        <f t="shared" si="58"/>
        <v>323688.32656578312</v>
      </c>
      <c r="K58" s="62">
        <f t="shared" si="58"/>
        <v>335452.53997894813</v>
      </c>
      <c r="L58" s="62">
        <f t="shared" si="58"/>
        <v>351809.06716495787</v>
      </c>
      <c r="M58" s="62">
        <f t="shared" si="58"/>
        <v>374233.25403807813</v>
      </c>
      <c r="N58" s="62">
        <f t="shared" si="58"/>
        <v>404368.95831683179</v>
      </c>
      <c r="O58" s="62">
        <f t="shared" si="58"/>
        <v>443762.14559907379</v>
      </c>
      <c r="P58" s="62">
        <f t="shared" si="58"/>
        <v>493371.20666820335</v>
      </c>
      <c r="Q58" s="62">
        <f t="shared" si="58"/>
        <v>552900.65592283802</v>
      </c>
      <c r="R58" s="62">
        <f t="shared" si="58"/>
        <v>620214.98877792771</v>
      </c>
      <c r="S58" s="62">
        <f t="shared" si="58"/>
        <v>691278.45378928771</v>
      </c>
      <c r="T58" s="62">
        <f t="shared" si="58"/>
        <v>760943.5227297073</v>
      </c>
      <c r="U58" s="62">
        <f t="shared" si="58"/>
        <v>824361.06894091319</v>
      </c>
      <c r="V58" s="62">
        <f t="shared" si="58"/>
        <v>878256.95238819218</v>
      </c>
      <c r="W58" s="62">
        <f t="shared" si="58"/>
        <v>921417.90282360604</v>
      </c>
      <c r="X58" s="62">
        <f t="shared" si="58"/>
        <v>954351.62362550874</v>
      </c>
      <c r="Y58" s="62">
        <f t="shared" si="58"/>
        <v>978560.54970313353</v>
      </c>
      <c r="Z58" s="62">
        <f t="shared" si="58"/>
        <v>995869.58162622747</v>
      </c>
      <c r="AA58" s="62">
        <f t="shared" si="58"/>
        <v>1008000.6568125312</v>
      </c>
      <c r="AB58" s="62">
        <f t="shared" si="58"/>
        <v>1016383.9754004205</v>
      </c>
      <c r="AC58" s="62">
        <f t="shared" si="58"/>
        <v>1022121.0980669021</v>
      </c>
    </row>
    <row r="59" spans="1:29" ht="15" thickBot="1" x14ac:dyDescent="0.35">
      <c r="A59" s="31" t="s">
        <v>209</v>
      </c>
      <c r="B59" s="64">
        <f>B50+B51+B52+B53+B54+B55+B56+B57+B58</f>
        <v>4354907.3182661626</v>
      </c>
      <c r="C59" s="64">
        <f t="shared" ref="C59:AC59" si="59">C50+C51+C52+C53+C54+C55+C56+C57+C58</f>
        <v>4355781.6255536145</v>
      </c>
      <c r="D59" s="64">
        <f t="shared" si="59"/>
        <v>4357031.172421189</v>
      </c>
      <c r="E59" s="64">
        <f t="shared" si="59"/>
        <v>4358814.5327977808</v>
      </c>
      <c r="F59" s="64">
        <f t="shared" si="59"/>
        <v>4361354.6116171414</v>
      </c>
      <c r="G59" s="64">
        <f t="shared" si="59"/>
        <v>4364961.9422349315</v>
      </c>
      <c r="H59" s="64">
        <f t="shared" si="59"/>
        <v>4370063.6616159268</v>
      </c>
      <c r="I59" s="64">
        <f t="shared" si="59"/>
        <v>4377236.9995707041</v>
      </c>
      <c r="J59" s="64">
        <f t="shared" si="59"/>
        <v>4387243.5941926576</v>
      </c>
      <c r="K59" s="64">
        <f t="shared" si="59"/>
        <v>4401057.2649613936</v>
      </c>
      <c r="L59" s="64">
        <f t="shared" si="59"/>
        <v>4419873.0821444057</v>
      </c>
      <c r="M59" s="64">
        <f t="shared" si="59"/>
        <v>4445078.1693537161</v>
      </c>
      <c r="N59" s="64">
        <f t="shared" si="59"/>
        <v>4478149.6587076383</v>
      </c>
      <c r="O59" s="64">
        <f t="shared" si="59"/>
        <v>4520420.8603060022</v>
      </c>
      <c r="P59" s="64">
        <f t="shared" si="59"/>
        <v>4572649.8370468607</v>
      </c>
      <c r="Q59" s="64">
        <f t="shared" si="59"/>
        <v>4634405.8415392991</v>
      </c>
      <c r="R59" s="64">
        <f t="shared" si="59"/>
        <v>4703503.24638642</v>
      </c>
      <c r="S59" s="64">
        <f t="shared" si="59"/>
        <v>4775927.2744660815</v>
      </c>
      <c r="T59" s="64">
        <f t="shared" si="59"/>
        <v>4846592.4663790185</v>
      </c>
      <c r="U59" s="64">
        <f t="shared" si="59"/>
        <v>4910725.0860471306</v>
      </c>
      <c r="V59" s="64">
        <f t="shared" si="59"/>
        <v>4965122.1303859036</v>
      </c>
      <c r="W59" s="64">
        <f t="shared" si="59"/>
        <v>5008629.4138010945</v>
      </c>
      <c r="X59" s="64">
        <f t="shared" si="59"/>
        <v>5041800.1475194935</v>
      </c>
      <c r="Y59" s="64">
        <f t="shared" si="59"/>
        <v>5066170.1907497812</v>
      </c>
      <c r="Z59" s="64">
        <f t="shared" si="59"/>
        <v>5083588.2488572653</v>
      </c>
      <c r="AA59" s="64">
        <f t="shared" si="59"/>
        <v>5095792.8732213853</v>
      </c>
      <c r="AB59" s="64">
        <f t="shared" si="59"/>
        <v>5104225.7047504187</v>
      </c>
      <c r="AC59" s="64">
        <f t="shared" si="59"/>
        <v>5109996.1124726422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60">A50</f>
        <v>Capex vehicle</v>
      </c>
      <c r="B62" s="65">
        <f>((1+B35)^B42)*B35/(((1+B35)^B42)-1)*(B31)/B47</f>
        <v>1.7095011171931649</v>
      </c>
      <c r="C62" s="65">
        <f t="shared" ref="C62:AC62" si="61">((1+C35)^C42)*C35/(((1+C35)^C42)-1)*(C31)/C47</f>
        <v>1.7095011171931649</v>
      </c>
      <c r="D62" s="65">
        <f t="shared" si="61"/>
        <v>1.7095011171931649</v>
      </c>
      <c r="E62" s="65">
        <f t="shared" si="61"/>
        <v>1.7095011171931649</v>
      </c>
      <c r="F62" s="65">
        <f t="shared" si="61"/>
        <v>1.7095011171931649</v>
      </c>
      <c r="G62" s="65">
        <f t="shared" si="61"/>
        <v>1.7095011171931649</v>
      </c>
      <c r="H62" s="65">
        <f t="shared" si="61"/>
        <v>1.7095011171931649</v>
      </c>
      <c r="I62" s="65">
        <f t="shared" si="61"/>
        <v>1.7095011171931649</v>
      </c>
      <c r="J62" s="65">
        <f t="shared" si="61"/>
        <v>1.7095011171931649</v>
      </c>
      <c r="K62" s="65">
        <f t="shared" si="61"/>
        <v>1.7095011171931649</v>
      </c>
      <c r="L62" s="65">
        <f t="shared" si="61"/>
        <v>1.7095011171931649</v>
      </c>
      <c r="M62" s="65">
        <f t="shared" si="61"/>
        <v>1.7095011171931649</v>
      </c>
      <c r="N62" s="65">
        <f t="shared" si="61"/>
        <v>1.7095011171931649</v>
      </c>
      <c r="O62" s="65">
        <f t="shared" si="61"/>
        <v>1.7095011171931649</v>
      </c>
      <c r="P62" s="65">
        <f t="shared" si="61"/>
        <v>1.7095011171931649</v>
      </c>
      <c r="Q62" s="65">
        <f t="shared" si="61"/>
        <v>1.7095011171931649</v>
      </c>
      <c r="R62" s="65">
        <f t="shared" si="61"/>
        <v>1.7095011171931649</v>
      </c>
      <c r="S62" s="65">
        <f t="shared" si="61"/>
        <v>1.7095011171931649</v>
      </c>
      <c r="T62" s="65">
        <f t="shared" si="61"/>
        <v>1.7095011171931649</v>
      </c>
      <c r="U62" s="65">
        <f t="shared" si="61"/>
        <v>1.7095011171931649</v>
      </c>
      <c r="V62" s="65">
        <f t="shared" si="61"/>
        <v>1.7095011171931649</v>
      </c>
      <c r="W62" s="65">
        <f t="shared" si="61"/>
        <v>1.7095011171931649</v>
      </c>
      <c r="X62" s="65">
        <f t="shared" si="61"/>
        <v>1.7095011171931649</v>
      </c>
      <c r="Y62" s="65">
        <f t="shared" si="61"/>
        <v>1.7095011171931649</v>
      </c>
      <c r="Z62" s="65">
        <f t="shared" si="61"/>
        <v>1.7095011171931649</v>
      </c>
      <c r="AA62" s="65">
        <f t="shared" si="61"/>
        <v>1.7095011171931649</v>
      </c>
      <c r="AB62" s="65">
        <f t="shared" si="61"/>
        <v>1.7095011171931649</v>
      </c>
      <c r="AC62" s="65">
        <f t="shared" si="61"/>
        <v>1.7095011171931649</v>
      </c>
    </row>
    <row r="63" spans="1:29" x14ac:dyDescent="0.3">
      <c r="A63" s="30" t="str">
        <f t="shared" si="60"/>
        <v>Residual value (vehicle)</v>
      </c>
      <c r="B63" s="66">
        <f>((1+B35)^B42)*B35/(((1+B35)^B42)-1)*(B32)/B47</f>
        <v>-0.25416826054025926</v>
      </c>
      <c r="C63" s="66">
        <f t="shared" ref="C63:AC63" si="62">((1+C35)^C42)*C35/(((1+C35)^C42)-1)*(C32)/C47</f>
        <v>-0.2532019199121241</v>
      </c>
      <c r="D63" s="66">
        <f t="shared" si="62"/>
        <v>-0.25182985474682912</v>
      </c>
      <c r="E63" s="66">
        <f t="shared" si="62"/>
        <v>-0.24989057248272897</v>
      </c>
      <c r="F63" s="66">
        <f t="shared" si="62"/>
        <v>-0.24716785517148263</v>
      </c>
      <c r="G63" s="66">
        <f t="shared" si="62"/>
        <v>-0.2433822897318601</v>
      </c>
      <c r="H63" s="66">
        <f t="shared" si="62"/>
        <v>-0.23819242113242242</v>
      </c>
      <c r="I63" s="66">
        <f t="shared" si="62"/>
        <v>-0.23121779385861393</v>
      </c>
      <c r="J63" s="66">
        <f t="shared" si="62"/>
        <v>-0.22210060861284955</v>
      </c>
      <c r="K63" s="66">
        <f t="shared" si="62"/>
        <v>-0.21061905480012771</v>
      </c>
      <c r="L63" s="66">
        <f t="shared" si="62"/>
        <v>-0.19684151980291528</v>
      </c>
      <c r="M63" s="66">
        <f t="shared" si="62"/>
        <v>-0.18126224621081494</v>
      </c>
      <c r="N63" s="66">
        <f t="shared" si="62"/>
        <v>-0.16481527099978574</v>
      </c>
      <c r="O63" s="66">
        <f t="shared" si="62"/>
        <v>-0.14869194149770532</v>
      </c>
      <c r="P63" s="66">
        <f t="shared" si="62"/>
        <v>-0.13401454277653033</v>
      </c>
      <c r="Q63" s="66">
        <f t="shared" si="62"/>
        <v>-0.12154084396530274</v>
      </c>
      <c r="R63" s="66">
        <f t="shared" si="62"/>
        <v>-0.11155164513039878</v>
      </c>
      <c r="S63" s="66">
        <f t="shared" si="62"/>
        <v>-0.10392944306708454</v>
      </c>
      <c r="T63" s="66">
        <f t="shared" si="62"/>
        <v>-9.8326513249059416E-2</v>
      </c>
      <c r="U63" s="66">
        <f t="shared" si="62"/>
        <v>-9.4320499484876544E-2</v>
      </c>
      <c r="V63" s="66">
        <f t="shared" si="62"/>
        <v>-9.1512875442896963E-2</v>
      </c>
      <c r="W63" s="66">
        <f t="shared" si="62"/>
        <v>-8.9572634659828843E-2</v>
      </c>
      <c r="X63" s="66">
        <f t="shared" si="62"/>
        <v>-8.8244831206068547E-2</v>
      </c>
      <c r="Y63" s="66">
        <f t="shared" si="62"/>
        <v>-8.734221410431782E-2</v>
      </c>
      <c r="Z63" s="66">
        <f t="shared" si="62"/>
        <v>-8.6731423155348999E-2</v>
      </c>
      <c r="AA63" s="66">
        <f t="shared" si="62"/>
        <v>-8.631938294349642E-2</v>
      </c>
      <c r="AB63" s="66">
        <f t="shared" si="62"/>
        <v>-8.6041999519719331E-2</v>
      </c>
      <c r="AC63" s="66">
        <f t="shared" si="62"/>
        <v>-8.5855528619202287E-2</v>
      </c>
    </row>
    <row r="64" spans="1:29" x14ac:dyDescent="0.3">
      <c r="A64" s="30" t="str">
        <f t="shared" si="60"/>
        <v>Capex costumization</v>
      </c>
      <c r="B64" s="66">
        <f>((1+B35)^B43)*B35/(((1+B35)^B43)-1)*(B33)/B47</f>
        <v>1.7093861527069927</v>
      </c>
      <c r="C64" s="66">
        <f t="shared" ref="C64:AC64" si="63">((1+C35)^C43)*C35/(((1+C35)^C43)-1)*(C33)/C47</f>
        <v>1.7093861527069927</v>
      </c>
      <c r="D64" s="66">
        <f t="shared" si="63"/>
        <v>1.7093861527069927</v>
      </c>
      <c r="E64" s="66">
        <f t="shared" si="63"/>
        <v>1.7093861527069927</v>
      </c>
      <c r="F64" s="66">
        <f t="shared" si="63"/>
        <v>1.7093861527069927</v>
      </c>
      <c r="G64" s="66">
        <f t="shared" si="63"/>
        <v>1.7093861527069927</v>
      </c>
      <c r="H64" s="66">
        <f t="shared" si="63"/>
        <v>1.7093861527069927</v>
      </c>
      <c r="I64" s="66">
        <f t="shared" si="63"/>
        <v>1.7093861527069927</v>
      </c>
      <c r="J64" s="66">
        <f t="shared" si="63"/>
        <v>1.7093861527069927</v>
      </c>
      <c r="K64" s="66">
        <f t="shared" si="63"/>
        <v>1.7093861527069927</v>
      </c>
      <c r="L64" s="66">
        <f t="shared" si="63"/>
        <v>1.7093861527069927</v>
      </c>
      <c r="M64" s="66">
        <f t="shared" si="63"/>
        <v>1.7093861527069927</v>
      </c>
      <c r="N64" s="66">
        <f t="shared" si="63"/>
        <v>1.7093861527069927</v>
      </c>
      <c r="O64" s="66">
        <f t="shared" si="63"/>
        <v>1.7093861527069927</v>
      </c>
      <c r="P64" s="66">
        <f t="shared" si="63"/>
        <v>1.7093861527069927</v>
      </c>
      <c r="Q64" s="66">
        <f t="shared" si="63"/>
        <v>1.7093861527069927</v>
      </c>
      <c r="R64" s="66">
        <f t="shared" si="63"/>
        <v>1.7093861527069927</v>
      </c>
      <c r="S64" s="66">
        <f t="shared" si="63"/>
        <v>1.7093861527069927</v>
      </c>
      <c r="T64" s="66">
        <f t="shared" si="63"/>
        <v>1.7093861527069927</v>
      </c>
      <c r="U64" s="66">
        <f t="shared" si="63"/>
        <v>1.7093861527069927</v>
      </c>
      <c r="V64" s="66">
        <f t="shared" si="63"/>
        <v>1.7093861527069927</v>
      </c>
      <c r="W64" s="66">
        <f t="shared" si="63"/>
        <v>1.7093861527069927</v>
      </c>
      <c r="X64" s="66">
        <f t="shared" si="63"/>
        <v>1.7093861527069927</v>
      </c>
      <c r="Y64" s="66">
        <f t="shared" si="63"/>
        <v>1.7093861527069927</v>
      </c>
      <c r="Z64" s="66">
        <f t="shared" si="63"/>
        <v>1.7093861527069927</v>
      </c>
      <c r="AA64" s="66">
        <f t="shared" si="63"/>
        <v>1.7093861527069927</v>
      </c>
      <c r="AB64" s="66">
        <f t="shared" si="63"/>
        <v>1.7093861527069927</v>
      </c>
      <c r="AC64" s="66">
        <f t="shared" si="63"/>
        <v>1.7093861527069927</v>
      </c>
    </row>
    <row r="65" spans="1:29" x14ac:dyDescent="0.3">
      <c r="A65" s="30" t="str">
        <f t="shared" si="60"/>
        <v>Residual value (costumization)</v>
      </c>
      <c r="B65" s="66">
        <f>((1+B35)^B43)*B35/(((1+B35)^B43)-1)*(B34)/B47</f>
        <v>-8.5469307635349642E-2</v>
      </c>
      <c r="C65" s="66">
        <f t="shared" ref="C65:AC65" si="64">((1+C35)^C43)*C35/(((1+C35)^C43)-1)*(C34)/C47</f>
        <v>-8.5469307635349642E-2</v>
      </c>
      <c r="D65" s="66">
        <f t="shared" si="64"/>
        <v>-8.5469307635349642E-2</v>
      </c>
      <c r="E65" s="66">
        <f t="shared" si="64"/>
        <v>-8.5469307635349642E-2</v>
      </c>
      <c r="F65" s="66">
        <f t="shared" si="64"/>
        <v>-8.5469307635349642E-2</v>
      </c>
      <c r="G65" s="66">
        <f t="shared" si="64"/>
        <v>-8.5469307635349642E-2</v>
      </c>
      <c r="H65" s="66">
        <f t="shared" si="64"/>
        <v>-8.5469307635349642E-2</v>
      </c>
      <c r="I65" s="66">
        <f t="shared" si="64"/>
        <v>-8.5469307635349642E-2</v>
      </c>
      <c r="J65" s="66">
        <f t="shared" si="64"/>
        <v>-8.5469307635349642E-2</v>
      </c>
      <c r="K65" s="66">
        <f t="shared" si="64"/>
        <v>-8.5469307635349642E-2</v>
      </c>
      <c r="L65" s="66">
        <f t="shared" si="64"/>
        <v>-8.5469307635349642E-2</v>
      </c>
      <c r="M65" s="66">
        <f t="shared" si="64"/>
        <v>-8.5469307635349642E-2</v>
      </c>
      <c r="N65" s="66">
        <f t="shared" si="64"/>
        <v>-8.5469307635349642E-2</v>
      </c>
      <c r="O65" s="66">
        <f t="shared" si="64"/>
        <v>-8.5469307635349642E-2</v>
      </c>
      <c r="P65" s="66">
        <f t="shared" si="64"/>
        <v>-8.5469307635349642E-2</v>
      </c>
      <c r="Q65" s="66">
        <f t="shared" si="64"/>
        <v>-8.5469307635349642E-2</v>
      </c>
      <c r="R65" s="66">
        <f t="shared" si="64"/>
        <v>-8.5469307635349642E-2</v>
      </c>
      <c r="S65" s="66">
        <f t="shared" si="64"/>
        <v>-8.5469307635349642E-2</v>
      </c>
      <c r="T65" s="66">
        <f t="shared" si="64"/>
        <v>-8.5469307635349642E-2</v>
      </c>
      <c r="U65" s="66">
        <f t="shared" si="64"/>
        <v>-8.5469307635349642E-2</v>
      </c>
      <c r="V65" s="66">
        <f t="shared" si="64"/>
        <v>-8.5469307635349642E-2</v>
      </c>
      <c r="W65" s="66">
        <f t="shared" si="64"/>
        <v>-8.5469307635349642E-2</v>
      </c>
      <c r="X65" s="66">
        <f t="shared" si="64"/>
        <v>-8.5469307635349642E-2</v>
      </c>
      <c r="Y65" s="66">
        <f t="shared" si="64"/>
        <v>-8.5469307635349642E-2</v>
      </c>
      <c r="Z65" s="66">
        <f t="shared" si="64"/>
        <v>-8.5469307635349642E-2</v>
      </c>
      <c r="AA65" s="66">
        <f t="shared" si="64"/>
        <v>-8.5469307635349642E-2</v>
      </c>
      <c r="AB65" s="66">
        <f t="shared" si="64"/>
        <v>-8.5469307635349642E-2</v>
      </c>
      <c r="AC65" s="66">
        <f t="shared" si="64"/>
        <v>-8.5469307635349642E-2</v>
      </c>
    </row>
    <row r="66" spans="1:29" x14ac:dyDescent="0.3">
      <c r="A66" s="30" t="str">
        <f t="shared" si="60"/>
        <v>Opex fix (admin, crew, insurance)</v>
      </c>
      <c r="B66" s="66">
        <f>B36/B47</f>
        <v>3.6414565826330532</v>
      </c>
      <c r="C66" s="66">
        <f t="shared" ref="C66:AC66" si="65">C36/C47</f>
        <v>3.6414565826330532</v>
      </c>
      <c r="D66" s="66">
        <f t="shared" si="65"/>
        <v>3.6414565826330532</v>
      </c>
      <c r="E66" s="66">
        <f t="shared" si="65"/>
        <v>3.6414565826330532</v>
      </c>
      <c r="F66" s="66">
        <f t="shared" si="65"/>
        <v>3.6414565826330532</v>
      </c>
      <c r="G66" s="66">
        <f t="shared" si="65"/>
        <v>3.6414565826330532</v>
      </c>
      <c r="H66" s="66">
        <f t="shared" si="65"/>
        <v>3.6414565826330532</v>
      </c>
      <c r="I66" s="66">
        <f t="shared" si="65"/>
        <v>3.6414565826330532</v>
      </c>
      <c r="J66" s="66">
        <f t="shared" si="65"/>
        <v>3.6414565826330532</v>
      </c>
      <c r="K66" s="66">
        <f t="shared" si="65"/>
        <v>3.6414565826330532</v>
      </c>
      <c r="L66" s="66">
        <f t="shared" si="65"/>
        <v>3.6414565826330532</v>
      </c>
      <c r="M66" s="66">
        <f t="shared" si="65"/>
        <v>3.6414565826330532</v>
      </c>
      <c r="N66" s="66">
        <f t="shared" si="65"/>
        <v>3.6414565826330532</v>
      </c>
      <c r="O66" s="66">
        <f t="shared" si="65"/>
        <v>3.6414565826330532</v>
      </c>
      <c r="P66" s="66">
        <f t="shared" si="65"/>
        <v>3.6414565826330532</v>
      </c>
      <c r="Q66" s="66">
        <f t="shared" si="65"/>
        <v>3.6414565826330532</v>
      </c>
      <c r="R66" s="66">
        <f t="shared" si="65"/>
        <v>3.6414565826330532</v>
      </c>
      <c r="S66" s="66">
        <f t="shared" si="65"/>
        <v>3.6414565826330532</v>
      </c>
      <c r="T66" s="66">
        <f t="shared" si="65"/>
        <v>3.6414565826330532</v>
      </c>
      <c r="U66" s="66">
        <f t="shared" si="65"/>
        <v>3.6414565826330532</v>
      </c>
      <c r="V66" s="66">
        <f t="shared" si="65"/>
        <v>3.6414565826330532</v>
      </c>
      <c r="W66" s="66">
        <f t="shared" si="65"/>
        <v>3.6414565826330532</v>
      </c>
      <c r="X66" s="66">
        <f t="shared" si="65"/>
        <v>3.6414565826330532</v>
      </c>
      <c r="Y66" s="66">
        <f t="shared" si="65"/>
        <v>3.6414565826330532</v>
      </c>
      <c r="Z66" s="66">
        <f t="shared" si="65"/>
        <v>3.6414565826330532</v>
      </c>
      <c r="AA66" s="66">
        <f t="shared" si="65"/>
        <v>3.6414565826330532</v>
      </c>
      <c r="AB66" s="66">
        <f t="shared" si="65"/>
        <v>3.6414565826330532</v>
      </c>
      <c r="AC66" s="66">
        <f t="shared" si="65"/>
        <v>3.6414565826330532</v>
      </c>
    </row>
    <row r="67" spans="1:29" x14ac:dyDescent="0.3">
      <c r="A67" s="30" t="str">
        <f t="shared" si="60"/>
        <v>Opex maintenance &amp; repair</v>
      </c>
      <c r="B67" s="66">
        <f>B37/B47</f>
        <v>5.882352941176471</v>
      </c>
      <c r="C67" s="66">
        <f t="shared" ref="C67:AC67" si="66">C37/C47</f>
        <v>5.882352941176471</v>
      </c>
      <c r="D67" s="66">
        <f t="shared" si="66"/>
        <v>5.882352941176471</v>
      </c>
      <c r="E67" s="66">
        <f t="shared" si="66"/>
        <v>5.882352941176471</v>
      </c>
      <c r="F67" s="66">
        <f t="shared" si="66"/>
        <v>5.882352941176471</v>
      </c>
      <c r="G67" s="66">
        <f t="shared" si="66"/>
        <v>5.882352941176471</v>
      </c>
      <c r="H67" s="66">
        <f t="shared" si="66"/>
        <v>5.882352941176471</v>
      </c>
      <c r="I67" s="66">
        <f t="shared" si="66"/>
        <v>5.882352941176471</v>
      </c>
      <c r="J67" s="66">
        <f t="shared" si="66"/>
        <v>5.882352941176471</v>
      </c>
      <c r="K67" s="66">
        <f t="shared" si="66"/>
        <v>5.882352941176471</v>
      </c>
      <c r="L67" s="66">
        <f t="shared" si="66"/>
        <v>5.882352941176471</v>
      </c>
      <c r="M67" s="66">
        <f t="shared" si="66"/>
        <v>5.882352941176471</v>
      </c>
      <c r="N67" s="66">
        <f t="shared" si="66"/>
        <v>5.882352941176471</v>
      </c>
      <c r="O67" s="66">
        <f t="shared" si="66"/>
        <v>5.882352941176471</v>
      </c>
      <c r="P67" s="66">
        <f t="shared" si="66"/>
        <v>5.882352941176471</v>
      </c>
      <c r="Q67" s="66">
        <f t="shared" si="66"/>
        <v>5.882352941176471</v>
      </c>
      <c r="R67" s="66">
        <f t="shared" si="66"/>
        <v>5.882352941176471</v>
      </c>
      <c r="S67" s="66">
        <f t="shared" si="66"/>
        <v>5.882352941176471</v>
      </c>
      <c r="T67" s="66">
        <f t="shared" si="66"/>
        <v>5.882352941176471</v>
      </c>
      <c r="U67" s="66">
        <f t="shared" si="66"/>
        <v>5.882352941176471</v>
      </c>
      <c r="V67" s="66">
        <f t="shared" si="66"/>
        <v>5.882352941176471</v>
      </c>
      <c r="W67" s="66">
        <f t="shared" si="66"/>
        <v>5.882352941176471</v>
      </c>
      <c r="X67" s="66">
        <f t="shared" si="66"/>
        <v>5.882352941176471</v>
      </c>
      <c r="Y67" s="66">
        <f t="shared" si="66"/>
        <v>5.882352941176471</v>
      </c>
      <c r="Z67" s="66">
        <f t="shared" si="66"/>
        <v>5.882352941176471</v>
      </c>
      <c r="AA67" s="66">
        <f t="shared" si="66"/>
        <v>5.882352941176471</v>
      </c>
      <c r="AB67" s="66">
        <f t="shared" si="66"/>
        <v>5.882352941176471</v>
      </c>
      <c r="AC67" s="66">
        <f t="shared" si="66"/>
        <v>5.882352941176471</v>
      </c>
    </row>
    <row r="68" spans="1:29" x14ac:dyDescent="0.3">
      <c r="A68" s="30" t="str">
        <f t="shared" si="60"/>
        <v>Opex var (mode-fees, shunting)</v>
      </c>
      <c r="B68" s="66">
        <f>B38*B47/B47</f>
        <v>3.9215686274509802</v>
      </c>
      <c r="C68" s="66">
        <f t="shared" ref="C68:AC68" si="67">C38*C47/C47</f>
        <v>3.9215686274509802</v>
      </c>
      <c r="D68" s="66">
        <f t="shared" si="67"/>
        <v>3.9215686274509802</v>
      </c>
      <c r="E68" s="66">
        <f t="shared" si="67"/>
        <v>3.9215686274509802</v>
      </c>
      <c r="F68" s="66">
        <f t="shared" si="67"/>
        <v>3.9215686274509802</v>
      </c>
      <c r="G68" s="66">
        <f t="shared" si="67"/>
        <v>3.9215686274509802</v>
      </c>
      <c r="H68" s="66">
        <f t="shared" si="67"/>
        <v>3.9215686274509802</v>
      </c>
      <c r="I68" s="66">
        <f t="shared" si="67"/>
        <v>3.9215686274509802</v>
      </c>
      <c r="J68" s="66">
        <f t="shared" si="67"/>
        <v>3.9215686274509802</v>
      </c>
      <c r="K68" s="66">
        <f t="shared" si="67"/>
        <v>3.9215686274509802</v>
      </c>
      <c r="L68" s="66">
        <f t="shared" si="67"/>
        <v>3.9215686274509802</v>
      </c>
      <c r="M68" s="66">
        <f t="shared" si="67"/>
        <v>3.9215686274509802</v>
      </c>
      <c r="N68" s="66">
        <f t="shared" si="67"/>
        <v>3.9215686274509802</v>
      </c>
      <c r="O68" s="66">
        <f t="shared" si="67"/>
        <v>3.9215686274509802</v>
      </c>
      <c r="P68" s="66">
        <f t="shared" si="67"/>
        <v>3.9215686274509802</v>
      </c>
      <c r="Q68" s="66">
        <f t="shared" si="67"/>
        <v>3.9215686274509802</v>
      </c>
      <c r="R68" s="66">
        <f t="shared" si="67"/>
        <v>3.9215686274509802</v>
      </c>
      <c r="S68" s="66">
        <f t="shared" si="67"/>
        <v>3.9215686274509802</v>
      </c>
      <c r="T68" s="66">
        <f t="shared" si="67"/>
        <v>3.9215686274509802</v>
      </c>
      <c r="U68" s="66">
        <f t="shared" si="67"/>
        <v>3.9215686274509802</v>
      </c>
      <c r="V68" s="66">
        <f t="shared" si="67"/>
        <v>3.9215686274509802</v>
      </c>
      <c r="W68" s="66">
        <f t="shared" si="67"/>
        <v>3.9215686274509802</v>
      </c>
      <c r="X68" s="66">
        <f t="shared" si="67"/>
        <v>3.9215686274509802</v>
      </c>
      <c r="Y68" s="66">
        <f t="shared" si="67"/>
        <v>3.9215686274509802</v>
      </c>
      <c r="Z68" s="66">
        <f t="shared" si="67"/>
        <v>3.9215686274509802</v>
      </c>
      <c r="AA68" s="66">
        <f t="shared" si="67"/>
        <v>3.9215686274509802</v>
      </c>
      <c r="AB68" s="66">
        <f t="shared" si="67"/>
        <v>3.9215686274509802</v>
      </c>
      <c r="AC68" s="66">
        <f t="shared" si="67"/>
        <v>3.9215686274509802</v>
      </c>
    </row>
    <row r="69" spans="1:29" x14ac:dyDescent="0.3">
      <c r="A69" s="30" t="str">
        <f t="shared" si="60"/>
        <v>Fuel Cost</v>
      </c>
      <c r="B69" s="66">
        <f>B39*B40*B47/B47</f>
        <v>6.2083200000000005</v>
      </c>
      <c r="C69" s="66">
        <f t="shared" ref="C69:AC69" si="68">C39*C40*C47/C47</f>
        <v>6.2083200000000005</v>
      </c>
      <c r="D69" s="66">
        <f t="shared" si="68"/>
        <v>6.2083200000000005</v>
      </c>
      <c r="E69" s="66">
        <f t="shared" si="68"/>
        <v>6.2083200000000005</v>
      </c>
      <c r="F69" s="66">
        <f t="shared" si="68"/>
        <v>6.2083200000000005</v>
      </c>
      <c r="G69" s="66">
        <f t="shared" si="68"/>
        <v>6.2083200000000005</v>
      </c>
      <c r="H69" s="66">
        <f t="shared" si="68"/>
        <v>6.2083200000000005</v>
      </c>
      <c r="I69" s="66">
        <f t="shared" si="68"/>
        <v>6.2083200000000005</v>
      </c>
      <c r="J69" s="66">
        <f t="shared" si="68"/>
        <v>6.2083200000000005</v>
      </c>
      <c r="K69" s="66">
        <f t="shared" si="68"/>
        <v>6.2083200000000005</v>
      </c>
      <c r="L69" s="66">
        <f t="shared" si="68"/>
        <v>6.2083200000000005</v>
      </c>
      <c r="M69" s="66">
        <f t="shared" si="68"/>
        <v>6.2083200000000005</v>
      </c>
      <c r="N69" s="66">
        <f t="shared" si="68"/>
        <v>6.2083200000000005</v>
      </c>
      <c r="O69" s="66">
        <f t="shared" si="68"/>
        <v>6.2083200000000005</v>
      </c>
      <c r="P69" s="66">
        <f t="shared" si="68"/>
        <v>6.2083200000000005</v>
      </c>
      <c r="Q69" s="66">
        <f t="shared" si="68"/>
        <v>6.2083200000000005</v>
      </c>
      <c r="R69" s="66">
        <f t="shared" si="68"/>
        <v>6.2083200000000005</v>
      </c>
      <c r="S69" s="66">
        <f t="shared" si="68"/>
        <v>6.2083200000000005</v>
      </c>
      <c r="T69" s="66">
        <f t="shared" si="68"/>
        <v>6.2083200000000005</v>
      </c>
      <c r="U69" s="66">
        <f t="shared" si="68"/>
        <v>6.2083200000000005</v>
      </c>
      <c r="V69" s="66">
        <f t="shared" si="68"/>
        <v>6.2083200000000005</v>
      </c>
      <c r="W69" s="66">
        <f t="shared" si="68"/>
        <v>6.2083200000000005</v>
      </c>
      <c r="X69" s="66">
        <f t="shared" si="68"/>
        <v>6.2083200000000005</v>
      </c>
      <c r="Y69" s="66">
        <f t="shared" si="68"/>
        <v>6.2083200000000005</v>
      </c>
      <c r="Z69" s="66">
        <f t="shared" si="68"/>
        <v>6.2083200000000005</v>
      </c>
      <c r="AA69" s="66">
        <f t="shared" si="68"/>
        <v>6.2083200000000005</v>
      </c>
      <c r="AB69" s="66">
        <f t="shared" si="68"/>
        <v>6.2083200000000005</v>
      </c>
      <c r="AC69" s="66">
        <f t="shared" si="68"/>
        <v>6.2083200000000005</v>
      </c>
    </row>
    <row r="70" spans="1:29" ht="15" thickBot="1" x14ac:dyDescent="0.35">
      <c r="A70" s="59" t="str">
        <f>A21</f>
        <v>Emission Cost</v>
      </c>
      <c r="B70" s="66">
        <f>B41</f>
        <v>1.6642920252567563</v>
      </c>
      <c r="C70" s="66">
        <f t="shared" ref="C70:AC70" si="69">C41</f>
        <v>1.668223764670367</v>
      </c>
      <c r="D70" s="66">
        <f t="shared" si="69"/>
        <v>1.6738519620685159</v>
      </c>
      <c r="E70" s="66">
        <f t="shared" si="69"/>
        <v>1.681903494239102</v>
      </c>
      <c r="F70" s="66">
        <f t="shared" si="69"/>
        <v>1.6934109103696515</v>
      </c>
      <c r="G70" s="66">
        <f t="shared" si="69"/>
        <v>1.7098344800436978</v>
      </c>
      <c r="H70" s="66">
        <f t="shared" si="69"/>
        <v>1.733225672402217</v>
      </c>
      <c r="I70" s="66">
        <f t="shared" si="69"/>
        <v>1.7664378123820623</v>
      </c>
      <c r="J70" s="66">
        <f t="shared" si="69"/>
        <v>1.8133799807606898</v>
      </c>
      <c r="K70" s="66">
        <f t="shared" si="69"/>
        <v>1.8792859382574125</v>
      </c>
      <c r="L70" s="66">
        <f t="shared" si="69"/>
        <v>1.9709191437812768</v>
      </c>
      <c r="M70" s="66">
        <f t="shared" si="69"/>
        <v>2.0965448405494573</v>
      </c>
      <c r="N70" s="66">
        <f t="shared" si="69"/>
        <v>2.2653723155004584</v>
      </c>
      <c r="O70" s="66">
        <f t="shared" si="69"/>
        <v>2.4860624403309455</v>
      </c>
      <c r="P70" s="66">
        <f t="shared" si="69"/>
        <v>2.7639843510823718</v>
      </c>
      <c r="Q70" s="66">
        <f t="shared" si="69"/>
        <v>3.0974826662343866</v>
      </c>
      <c r="R70" s="66">
        <f t="shared" si="69"/>
        <v>3.4745937746662614</v>
      </c>
      <c r="S70" s="66">
        <f t="shared" si="69"/>
        <v>3.8727084245898471</v>
      </c>
      <c r="T70" s="66">
        <f t="shared" si="69"/>
        <v>4.2629889228555031</v>
      </c>
      <c r="U70" s="66">
        <f t="shared" si="69"/>
        <v>4.6182692937866285</v>
      </c>
      <c r="V70" s="66">
        <f t="shared" si="69"/>
        <v>4.9202070161803482</v>
      </c>
      <c r="W70" s="66">
        <f t="shared" si="69"/>
        <v>5.1620050578353283</v>
      </c>
      <c r="X70" s="66">
        <f t="shared" si="69"/>
        <v>5.3465076953810016</v>
      </c>
      <c r="Y70" s="66">
        <f t="shared" si="69"/>
        <v>5.4821319311099916</v>
      </c>
      <c r="Z70" s="66">
        <f t="shared" si="69"/>
        <v>5.5791012976259244</v>
      </c>
      <c r="AA70" s="66">
        <f t="shared" si="69"/>
        <v>5.6470625031514352</v>
      </c>
      <c r="AB70" s="66">
        <f t="shared" si="69"/>
        <v>5.6940278733917111</v>
      </c>
      <c r="AC70" s="66">
        <f t="shared" si="69"/>
        <v>5.7261686166213002</v>
      </c>
    </row>
    <row r="71" spans="1:29" ht="15" thickBot="1" x14ac:dyDescent="0.35">
      <c r="A71" s="31" t="s">
        <v>63</v>
      </c>
      <c r="B71" s="76">
        <f>B62+B63+B64-B65+B66+B67+B68+B69+B70</f>
        <v>24.568178493512509</v>
      </c>
      <c r="C71" s="76">
        <f t="shared" ref="C71:AC71" si="70">C62+C63+C64-C65+C66+C67+C68+C69+C70</f>
        <v>24.573076573554253</v>
      </c>
      <c r="D71" s="76">
        <f t="shared" si="70"/>
        <v>24.580076836117698</v>
      </c>
      <c r="E71" s="76">
        <f t="shared" si="70"/>
        <v>24.590067650552385</v>
      </c>
      <c r="F71" s="76">
        <f t="shared" si="70"/>
        <v>24.604297783994181</v>
      </c>
      <c r="G71" s="76">
        <f t="shared" si="70"/>
        <v>24.624506919107848</v>
      </c>
      <c r="H71" s="76">
        <f t="shared" si="70"/>
        <v>24.653087980065806</v>
      </c>
      <c r="I71" s="76">
        <f t="shared" si="70"/>
        <v>24.69327474731946</v>
      </c>
      <c r="J71" s="76">
        <f t="shared" si="70"/>
        <v>24.749334100943852</v>
      </c>
      <c r="K71" s="76">
        <f t="shared" si="70"/>
        <v>24.826721612253294</v>
      </c>
      <c r="L71" s="76">
        <f t="shared" si="70"/>
        <v>24.932132352774374</v>
      </c>
      <c r="M71" s="76">
        <f t="shared" si="70"/>
        <v>25.073337323134652</v>
      </c>
      <c r="N71" s="76">
        <f t="shared" si="70"/>
        <v>25.258611773296682</v>
      </c>
      <c r="O71" s="76">
        <f t="shared" si="70"/>
        <v>25.495425227629255</v>
      </c>
      <c r="P71" s="76">
        <f t="shared" si="70"/>
        <v>25.788024537101851</v>
      </c>
      <c r="Q71" s="76">
        <f t="shared" si="70"/>
        <v>26.133996551065096</v>
      </c>
      <c r="R71" s="76">
        <f t="shared" si="70"/>
        <v>26.521096858331873</v>
      </c>
      <c r="S71" s="76">
        <f t="shared" si="70"/>
        <v>26.926833710318775</v>
      </c>
      <c r="T71" s="76">
        <f t="shared" si="70"/>
        <v>27.322717138402453</v>
      </c>
      <c r="U71" s="76">
        <f t="shared" si="70"/>
        <v>27.682003523097762</v>
      </c>
      <c r="V71" s="76">
        <f t="shared" si="70"/>
        <v>27.986748869533464</v>
      </c>
      <c r="W71" s="76">
        <f t="shared" si="70"/>
        <v>28.230487151971509</v>
      </c>
      <c r="X71" s="76">
        <f t="shared" si="70"/>
        <v>28.416317592970948</v>
      </c>
      <c r="Y71" s="76">
        <f t="shared" si="70"/>
        <v>28.552844445801682</v>
      </c>
      <c r="Z71" s="76">
        <f t="shared" si="70"/>
        <v>28.65042460326659</v>
      </c>
      <c r="AA71" s="76">
        <f t="shared" si="70"/>
        <v>28.718797849003952</v>
      </c>
      <c r="AB71" s="76">
        <f t="shared" si="70"/>
        <v>28.766040602668003</v>
      </c>
      <c r="AC71" s="76">
        <f t="shared" si="70"/>
        <v>28.798367816798109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71">A50</f>
        <v>Capex vehicle</v>
      </c>
      <c r="B74" s="65">
        <f>((1+B35)^B42)*B35/(((1+B35)^B42)-1)*(B31)/B47/(B44)</f>
        <v>7.6317014160409149E-4</v>
      </c>
      <c r="C74" s="65">
        <f t="shared" ref="C74:AC74" si="72">((1+C35)^C42)*C35/(((1+C35)^C42)-1)*(C31)/C47/(C44)</f>
        <v>7.6317014160409149E-4</v>
      </c>
      <c r="D74" s="65">
        <f t="shared" si="72"/>
        <v>7.6317014160409149E-4</v>
      </c>
      <c r="E74" s="65">
        <f t="shared" si="72"/>
        <v>7.6317014160409149E-4</v>
      </c>
      <c r="F74" s="65">
        <f t="shared" si="72"/>
        <v>7.6317014160409149E-4</v>
      </c>
      <c r="G74" s="65">
        <f t="shared" si="72"/>
        <v>7.6317014160409149E-4</v>
      </c>
      <c r="H74" s="65">
        <f t="shared" si="72"/>
        <v>7.6317014160409149E-4</v>
      </c>
      <c r="I74" s="65">
        <f t="shared" si="72"/>
        <v>7.6317014160409149E-4</v>
      </c>
      <c r="J74" s="65">
        <f t="shared" si="72"/>
        <v>7.6317014160409149E-4</v>
      </c>
      <c r="K74" s="65">
        <f t="shared" si="72"/>
        <v>7.6317014160409149E-4</v>
      </c>
      <c r="L74" s="65">
        <f t="shared" si="72"/>
        <v>7.6317014160409149E-4</v>
      </c>
      <c r="M74" s="65">
        <f t="shared" si="72"/>
        <v>7.6317014160409149E-4</v>
      </c>
      <c r="N74" s="65">
        <f t="shared" si="72"/>
        <v>7.6317014160409149E-4</v>
      </c>
      <c r="O74" s="65">
        <f t="shared" si="72"/>
        <v>7.6317014160409149E-4</v>
      </c>
      <c r="P74" s="65">
        <f t="shared" si="72"/>
        <v>7.6317014160409149E-4</v>
      </c>
      <c r="Q74" s="65">
        <f t="shared" si="72"/>
        <v>7.6317014160409149E-4</v>
      </c>
      <c r="R74" s="65">
        <f t="shared" si="72"/>
        <v>7.6317014160409149E-4</v>
      </c>
      <c r="S74" s="65">
        <f t="shared" si="72"/>
        <v>7.6317014160409149E-4</v>
      </c>
      <c r="T74" s="65">
        <f t="shared" si="72"/>
        <v>7.6317014160409149E-4</v>
      </c>
      <c r="U74" s="65">
        <f t="shared" si="72"/>
        <v>7.6317014160409149E-4</v>
      </c>
      <c r="V74" s="65">
        <f t="shared" si="72"/>
        <v>7.6317014160409149E-4</v>
      </c>
      <c r="W74" s="65">
        <f t="shared" si="72"/>
        <v>7.6317014160409149E-4</v>
      </c>
      <c r="X74" s="65">
        <f t="shared" si="72"/>
        <v>7.6317014160409149E-4</v>
      </c>
      <c r="Y74" s="65">
        <f t="shared" si="72"/>
        <v>7.6317014160409149E-4</v>
      </c>
      <c r="Z74" s="65">
        <f t="shared" si="72"/>
        <v>7.6317014160409149E-4</v>
      </c>
      <c r="AA74" s="65">
        <f t="shared" si="72"/>
        <v>7.6317014160409149E-4</v>
      </c>
      <c r="AB74" s="65">
        <f t="shared" si="72"/>
        <v>7.6317014160409149E-4</v>
      </c>
      <c r="AC74" s="65">
        <f t="shared" si="72"/>
        <v>7.6317014160409149E-4</v>
      </c>
    </row>
    <row r="75" spans="1:29" x14ac:dyDescent="0.3">
      <c r="A75" s="30" t="str">
        <f t="shared" si="71"/>
        <v>Residual value (vehicle)</v>
      </c>
      <c r="B75" s="68">
        <f>((1+B35)^B42)*B35/(((1+B35)^B42)-1)*(B32)/B47/(B44)</f>
        <v>-1.1346797345547289E-4</v>
      </c>
      <c r="C75" s="68">
        <f t="shared" ref="C75:AC75" si="73">((1+C35)^C42)*C35/(((1+C35)^C42)-1)*(C32)/C47/(C44)</f>
        <v>-1.1303657138934111E-4</v>
      </c>
      <c r="D75" s="68">
        <f t="shared" si="73"/>
        <v>-1.1242404229769157E-4</v>
      </c>
      <c r="E75" s="68">
        <f t="shared" si="73"/>
        <v>-1.1155829128693258E-4</v>
      </c>
      <c r="F75" s="68">
        <f t="shared" si="73"/>
        <v>-1.1034279248726903E-4</v>
      </c>
      <c r="G75" s="68">
        <f t="shared" si="73"/>
        <v>-1.0865280791600897E-4</v>
      </c>
      <c r="H75" s="68">
        <f t="shared" si="73"/>
        <v>-1.0633590229126001E-4</v>
      </c>
      <c r="I75" s="68">
        <f t="shared" si="73"/>
        <v>-1.0322222940116694E-4</v>
      </c>
      <c r="J75" s="68">
        <f t="shared" si="73"/>
        <v>-9.9152057416450692E-5</v>
      </c>
      <c r="K75" s="68">
        <f t="shared" si="73"/>
        <v>-9.4026363750057009E-5</v>
      </c>
      <c r="L75" s="68">
        <f t="shared" si="73"/>
        <v>-8.7875678483444322E-5</v>
      </c>
      <c r="M75" s="68">
        <f t="shared" si="73"/>
        <v>-8.0920645629828101E-5</v>
      </c>
      <c r="N75" s="68">
        <f t="shared" si="73"/>
        <v>-7.357824598204721E-5</v>
      </c>
      <c r="O75" s="68">
        <f t="shared" si="73"/>
        <v>-6.6380331025761298E-5</v>
      </c>
      <c r="P75" s="68">
        <f t="shared" si="73"/>
        <v>-5.982792088237961E-5</v>
      </c>
      <c r="Q75" s="68">
        <f t="shared" si="73"/>
        <v>-5.4259305341653007E-5</v>
      </c>
      <c r="R75" s="68">
        <f t="shared" si="73"/>
        <v>-4.9799841576070884E-5</v>
      </c>
      <c r="S75" s="68">
        <f t="shared" si="73"/>
        <v>-4.6397072797805602E-5</v>
      </c>
      <c r="T75" s="68">
        <f t="shared" si="73"/>
        <v>-4.3895764843330094E-5</v>
      </c>
      <c r="U75" s="68">
        <f t="shared" si="73"/>
        <v>-4.2107365841462744E-5</v>
      </c>
      <c r="V75" s="68">
        <f t="shared" si="73"/>
        <v>-4.0853962251293284E-5</v>
      </c>
      <c r="W75" s="68">
        <f t="shared" si="73"/>
        <v>-3.9987783330280735E-5</v>
      </c>
      <c r="X75" s="68">
        <f t="shared" si="73"/>
        <v>-3.93950139312806E-5</v>
      </c>
      <c r="Y75" s="68">
        <f t="shared" si="73"/>
        <v>-3.8992059867999029E-5</v>
      </c>
      <c r="Z75" s="68">
        <f t="shared" si="73"/>
        <v>-3.8719385337209372E-5</v>
      </c>
      <c r="AA75" s="68">
        <f t="shared" si="73"/>
        <v>-3.8535438814060903E-5</v>
      </c>
      <c r="AB75" s="68">
        <f t="shared" si="73"/>
        <v>-3.8411606928446129E-5</v>
      </c>
      <c r="AC75" s="68">
        <f t="shared" si="73"/>
        <v>-3.832836099071531E-5</v>
      </c>
    </row>
    <row r="76" spans="1:29" x14ac:dyDescent="0.3">
      <c r="A76" s="30" t="str">
        <f t="shared" si="71"/>
        <v>Capex costumization</v>
      </c>
      <c r="B76" s="66">
        <f>((1+B35)^B43)*B35/(((1+B35)^B43)-1)*(B33)/B47/(B44)</f>
        <v>7.6311881817276459E-4</v>
      </c>
      <c r="C76" s="66">
        <f t="shared" ref="C76:AC76" si="74">((1+C35)^C43)*C35/(((1+C35)^C43)-1)*(C33)/C47/(C44)</f>
        <v>7.6311881817276459E-4</v>
      </c>
      <c r="D76" s="66">
        <f t="shared" si="74"/>
        <v>7.6311881817276459E-4</v>
      </c>
      <c r="E76" s="66">
        <f t="shared" si="74"/>
        <v>7.6311881817276459E-4</v>
      </c>
      <c r="F76" s="66">
        <f t="shared" si="74"/>
        <v>7.6311881817276459E-4</v>
      </c>
      <c r="G76" s="66">
        <f t="shared" si="74"/>
        <v>7.6311881817276459E-4</v>
      </c>
      <c r="H76" s="66">
        <f t="shared" si="74"/>
        <v>7.6311881817276459E-4</v>
      </c>
      <c r="I76" s="66">
        <f t="shared" si="74"/>
        <v>7.6311881817276459E-4</v>
      </c>
      <c r="J76" s="66">
        <f t="shared" si="74"/>
        <v>7.6311881817276459E-4</v>
      </c>
      <c r="K76" s="66">
        <f t="shared" si="74"/>
        <v>7.6311881817276459E-4</v>
      </c>
      <c r="L76" s="66">
        <f t="shared" si="74"/>
        <v>7.6311881817276459E-4</v>
      </c>
      <c r="M76" s="66">
        <f t="shared" si="74"/>
        <v>7.6311881817276459E-4</v>
      </c>
      <c r="N76" s="66">
        <f t="shared" si="74"/>
        <v>7.6311881817276459E-4</v>
      </c>
      <c r="O76" s="66">
        <f t="shared" si="74"/>
        <v>7.6311881817276459E-4</v>
      </c>
      <c r="P76" s="66">
        <f t="shared" si="74"/>
        <v>7.6311881817276459E-4</v>
      </c>
      <c r="Q76" s="66">
        <f t="shared" si="74"/>
        <v>7.6311881817276459E-4</v>
      </c>
      <c r="R76" s="66">
        <f t="shared" si="74"/>
        <v>7.6311881817276459E-4</v>
      </c>
      <c r="S76" s="66">
        <f t="shared" si="74"/>
        <v>7.6311881817276459E-4</v>
      </c>
      <c r="T76" s="66">
        <f t="shared" si="74"/>
        <v>7.6311881817276459E-4</v>
      </c>
      <c r="U76" s="66">
        <f t="shared" si="74"/>
        <v>7.6311881817276459E-4</v>
      </c>
      <c r="V76" s="66">
        <f t="shared" si="74"/>
        <v>7.6311881817276459E-4</v>
      </c>
      <c r="W76" s="66">
        <f t="shared" si="74"/>
        <v>7.6311881817276459E-4</v>
      </c>
      <c r="X76" s="66">
        <f t="shared" si="74"/>
        <v>7.6311881817276459E-4</v>
      </c>
      <c r="Y76" s="66">
        <f t="shared" si="74"/>
        <v>7.6311881817276459E-4</v>
      </c>
      <c r="Z76" s="66">
        <f t="shared" si="74"/>
        <v>7.6311881817276459E-4</v>
      </c>
      <c r="AA76" s="66">
        <f t="shared" si="74"/>
        <v>7.6311881817276459E-4</v>
      </c>
      <c r="AB76" s="66">
        <f t="shared" si="74"/>
        <v>7.6311881817276459E-4</v>
      </c>
      <c r="AC76" s="66">
        <f t="shared" si="74"/>
        <v>7.6311881817276459E-4</v>
      </c>
    </row>
    <row r="77" spans="1:29" x14ac:dyDescent="0.3">
      <c r="A77" s="30" t="str">
        <f t="shared" si="71"/>
        <v>Residual value (costumization)</v>
      </c>
      <c r="B77" s="69">
        <f>((1+B35)^B43)*B35/(((1+B35)^B43)-1)*(B34)/B47/(B44)</f>
        <v>-3.8155940908638231E-5</v>
      </c>
      <c r="C77" s="69">
        <f t="shared" ref="C77:AC77" si="75">((1+C35)^C43)*C35/(((1+C35)^C43)-1)*(C34)/C47/(C44)</f>
        <v>-3.8155940908638231E-5</v>
      </c>
      <c r="D77" s="69">
        <f t="shared" si="75"/>
        <v>-3.8155940908638231E-5</v>
      </c>
      <c r="E77" s="69">
        <f t="shared" si="75"/>
        <v>-3.8155940908638231E-5</v>
      </c>
      <c r="F77" s="69">
        <f t="shared" si="75"/>
        <v>-3.8155940908638231E-5</v>
      </c>
      <c r="G77" s="69">
        <f t="shared" si="75"/>
        <v>-3.8155940908638231E-5</v>
      </c>
      <c r="H77" s="69">
        <f t="shared" si="75"/>
        <v>-3.8155940908638231E-5</v>
      </c>
      <c r="I77" s="69">
        <f t="shared" si="75"/>
        <v>-3.8155940908638231E-5</v>
      </c>
      <c r="J77" s="69">
        <f t="shared" si="75"/>
        <v>-3.8155940908638231E-5</v>
      </c>
      <c r="K77" s="69">
        <f t="shared" si="75"/>
        <v>-3.8155940908638231E-5</v>
      </c>
      <c r="L77" s="69">
        <f t="shared" si="75"/>
        <v>-3.8155940908638231E-5</v>
      </c>
      <c r="M77" s="69">
        <f t="shared" si="75"/>
        <v>-3.8155940908638231E-5</v>
      </c>
      <c r="N77" s="69">
        <f t="shared" si="75"/>
        <v>-3.8155940908638231E-5</v>
      </c>
      <c r="O77" s="69">
        <f t="shared" si="75"/>
        <v>-3.8155940908638231E-5</v>
      </c>
      <c r="P77" s="69">
        <f t="shared" si="75"/>
        <v>-3.8155940908638231E-5</v>
      </c>
      <c r="Q77" s="69">
        <f t="shared" si="75"/>
        <v>-3.8155940908638231E-5</v>
      </c>
      <c r="R77" s="69">
        <f t="shared" si="75"/>
        <v>-3.8155940908638231E-5</v>
      </c>
      <c r="S77" s="69">
        <f t="shared" si="75"/>
        <v>-3.8155940908638231E-5</v>
      </c>
      <c r="T77" s="69">
        <f t="shared" si="75"/>
        <v>-3.8155940908638231E-5</v>
      </c>
      <c r="U77" s="69">
        <f t="shared" si="75"/>
        <v>-3.8155940908638231E-5</v>
      </c>
      <c r="V77" s="69">
        <f t="shared" si="75"/>
        <v>-3.8155940908638231E-5</v>
      </c>
      <c r="W77" s="69">
        <f t="shared" si="75"/>
        <v>-3.8155940908638231E-5</v>
      </c>
      <c r="X77" s="69">
        <f t="shared" si="75"/>
        <v>-3.8155940908638231E-5</v>
      </c>
      <c r="Y77" s="69">
        <f t="shared" si="75"/>
        <v>-3.8155940908638231E-5</v>
      </c>
      <c r="Z77" s="69">
        <f t="shared" si="75"/>
        <v>-3.8155940908638231E-5</v>
      </c>
      <c r="AA77" s="69">
        <f t="shared" si="75"/>
        <v>-3.8155940908638231E-5</v>
      </c>
      <c r="AB77" s="69">
        <f t="shared" si="75"/>
        <v>-3.8155940908638231E-5</v>
      </c>
      <c r="AC77" s="69">
        <f t="shared" si="75"/>
        <v>-3.8155940908638231E-5</v>
      </c>
    </row>
    <row r="78" spans="1:29" x14ac:dyDescent="0.3">
      <c r="A78" s="30" t="str">
        <f t="shared" si="71"/>
        <v>Opex fix (admin, crew, insurance)</v>
      </c>
      <c r="B78" s="66">
        <f>B36/B47/(B44)</f>
        <v>1.6256502601040416E-3</v>
      </c>
      <c r="C78" s="66">
        <f t="shared" ref="C78:AC78" si="76">C36/C47/(C44)</f>
        <v>1.6256502601040416E-3</v>
      </c>
      <c r="D78" s="66">
        <f t="shared" si="76"/>
        <v>1.6256502601040416E-3</v>
      </c>
      <c r="E78" s="66">
        <f t="shared" si="76"/>
        <v>1.6256502601040416E-3</v>
      </c>
      <c r="F78" s="66">
        <f t="shared" si="76"/>
        <v>1.6256502601040416E-3</v>
      </c>
      <c r="G78" s="66">
        <f t="shared" si="76"/>
        <v>1.6256502601040416E-3</v>
      </c>
      <c r="H78" s="66">
        <f t="shared" si="76"/>
        <v>1.6256502601040416E-3</v>
      </c>
      <c r="I78" s="66">
        <f t="shared" si="76"/>
        <v>1.6256502601040416E-3</v>
      </c>
      <c r="J78" s="66">
        <f t="shared" si="76"/>
        <v>1.6256502601040416E-3</v>
      </c>
      <c r="K78" s="66">
        <f t="shared" si="76"/>
        <v>1.6256502601040416E-3</v>
      </c>
      <c r="L78" s="66">
        <f t="shared" si="76"/>
        <v>1.6256502601040416E-3</v>
      </c>
      <c r="M78" s="66">
        <f t="shared" si="76"/>
        <v>1.6256502601040416E-3</v>
      </c>
      <c r="N78" s="66">
        <f t="shared" si="76"/>
        <v>1.6256502601040416E-3</v>
      </c>
      <c r="O78" s="66">
        <f t="shared" si="76"/>
        <v>1.6256502601040416E-3</v>
      </c>
      <c r="P78" s="66">
        <f t="shared" si="76"/>
        <v>1.6256502601040416E-3</v>
      </c>
      <c r="Q78" s="66">
        <f t="shared" si="76"/>
        <v>1.6256502601040416E-3</v>
      </c>
      <c r="R78" s="66">
        <f t="shared" si="76"/>
        <v>1.6256502601040416E-3</v>
      </c>
      <c r="S78" s="66">
        <f t="shared" si="76"/>
        <v>1.6256502601040416E-3</v>
      </c>
      <c r="T78" s="66">
        <f t="shared" si="76"/>
        <v>1.6256502601040416E-3</v>
      </c>
      <c r="U78" s="66">
        <f t="shared" si="76"/>
        <v>1.6256502601040416E-3</v>
      </c>
      <c r="V78" s="66">
        <f t="shared" si="76"/>
        <v>1.6256502601040416E-3</v>
      </c>
      <c r="W78" s="66">
        <f t="shared" si="76"/>
        <v>1.6256502601040416E-3</v>
      </c>
      <c r="X78" s="66">
        <f t="shared" si="76"/>
        <v>1.6256502601040416E-3</v>
      </c>
      <c r="Y78" s="66">
        <f t="shared" si="76"/>
        <v>1.6256502601040416E-3</v>
      </c>
      <c r="Z78" s="66">
        <f t="shared" si="76"/>
        <v>1.6256502601040416E-3</v>
      </c>
      <c r="AA78" s="66">
        <f t="shared" si="76"/>
        <v>1.6256502601040416E-3</v>
      </c>
      <c r="AB78" s="66">
        <f t="shared" si="76"/>
        <v>1.6256502601040416E-3</v>
      </c>
      <c r="AC78" s="66">
        <f t="shared" si="76"/>
        <v>1.6256502601040416E-3</v>
      </c>
    </row>
    <row r="79" spans="1:29" x14ac:dyDescent="0.3">
      <c r="A79" s="30" t="str">
        <f t="shared" si="71"/>
        <v>Opex maintenance &amp; repair</v>
      </c>
      <c r="B79" s="66">
        <f>B37/B47/(B44)</f>
        <v>2.6260504201680674E-3</v>
      </c>
      <c r="C79" s="66">
        <f t="shared" ref="C79:AC79" si="77">C37/C47/(C44)</f>
        <v>2.6260504201680674E-3</v>
      </c>
      <c r="D79" s="66">
        <f t="shared" si="77"/>
        <v>2.6260504201680674E-3</v>
      </c>
      <c r="E79" s="66">
        <f t="shared" si="77"/>
        <v>2.6260504201680674E-3</v>
      </c>
      <c r="F79" s="66">
        <f t="shared" si="77"/>
        <v>2.6260504201680674E-3</v>
      </c>
      <c r="G79" s="66">
        <f t="shared" si="77"/>
        <v>2.6260504201680674E-3</v>
      </c>
      <c r="H79" s="66">
        <f t="shared" si="77"/>
        <v>2.6260504201680674E-3</v>
      </c>
      <c r="I79" s="66">
        <f t="shared" si="77"/>
        <v>2.6260504201680674E-3</v>
      </c>
      <c r="J79" s="66">
        <f t="shared" si="77"/>
        <v>2.6260504201680674E-3</v>
      </c>
      <c r="K79" s="66">
        <f t="shared" si="77"/>
        <v>2.6260504201680674E-3</v>
      </c>
      <c r="L79" s="66">
        <f t="shared" si="77"/>
        <v>2.6260504201680674E-3</v>
      </c>
      <c r="M79" s="66">
        <f t="shared" si="77"/>
        <v>2.6260504201680674E-3</v>
      </c>
      <c r="N79" s="66">
        <f t="shared" si="77"/>
        <v>2.6260504201680674E-3</v>
      </c>
      <c r="O79" s="66">
        <f t="shared" si="77"/>
        <v>2.6260504201680674E-3</v>
      </c>
      <c r="P79" s="66">
        <f t="shared" si="77"/>
        <v>2.6260504201680674E-3</v>
      </c>
      <c r="Q79" s="66">
        <f t="shared" si="77"/>
        <v>2.6260504201680674E-3</v>
      </c>
      <c r="R79" s="66">
        <f t="shared" si="77"/>
        <v>2.6260504201680674E-3</v>
      </c>
      <c r="S79" s="66">
        <f t="shared" si="77"/>
        <v>2.6260504201680674E-3</v>
      </c>
      <c r="T79" s="66">
        <f t="shared" si="77"/>
        <v>2.6260504201680674E-3</v>
      </c>
      <c r="U79" s="66">
        <f t="shared" si="77"/>
        <v>2.6260504201680674E-3</v>
      </c>
      <c r="V79" s="66">
        <f t="shared" si="77"/>
        <v>2.6260504201680674E-3</v>
      </c>
      <c r="W79" s="66">
        <f t="shared" si="77"/>
        <v>2.6260504201680674E-3</v>
      </c>
      <c r="X79" s="66">
        <f t="shared" si="77"/>
        <v>2.6260504201680674E-3</v>
      </c>
      <c r="Y79" s="66">
        <f t="shared" si="77"/>
        <v>2.6260504201680674E-3</v>
      </c>
      <c r="Z79" s="66">
        <f t="shared" si="77"/>
        <v>2.6260504201680674E-3</v>
      </c>
      <c r="AA79" s="66">
        <f t="shared" si="77"/>
        <v>2.6260504201680674E-3</v>
      </c>
      <c r="AB79" s="66">
        <f t="shared" si="77"/>
        <v>2.6260504201680674E-3</v>
      </c>
      <c r="AC79" s="66">
        <f t="shared" si="77"/>
        <v>2.6260504201680674E-3</v>
      </c>
    </row>
    <row r="80" spans="1:29" x14ac:dyDescent="0.3">
      <c r="A80" s="30" t="str">
        <f t="shared" si="71"/>
        <v>Opex var (mode-fees, shunting)</v>
      </c>
      <c r="B80" s="66">
        <f>B38*B47/B47/(B44)</f>
        <v>1.7507002801120447E-3</v>
      </c>
      <c r="C80" s="66">
        <f t="shared" ref="C80:AC80" si="78">C38*C47/C47/(C44)</f>
        <v>1.7507002801120447E-3</v>
      </c>
      <c r="D80" s="66">
        <f t="shared" si="78"/>
        <v>1.7507002801120447E-3</v>
      </c>
      <c r="E80" s="66">
        <f t="shared" si="78"/>
        <v>1.7507002801120447E-3</v>
      </c>
      <c r="F80" s="66">
        <f t="shared" si="78"/>
        <v>1.7507002801120447E-3</v>
      </c>
      <c r="G80" s="66">
        <f t="shared" si="78"/>
        <v>1.7507002801120447E-3</v>
      </c>
      <c r="H80" s="66">
        <f t="shared" si="78"/>
        <v>1.7507002801120447E-3</v>
      </c>
      <c r="I80" s="66">
        <f t="shared" si="78"/>
        <v>1.7507002801120447E-3</v>
      </c>
      <c r="J80" s="66">
        <f t="shared" si="78"/>
        <v>1.7507002801120447E-3</v>
      </c>
      <c r="K80" s="66">
        <f t="shared" si="78"/>
        <v>1.7507002801120447E-3</v>
      </c>
      <c r="L80" s="66">
        <f t="shared" si="78"/>
        <v>1.7507002801120447E-3</v>
      </c>
      <c r="M80" s="66">
        <f t="shared" si="78"/>
        <v>1.7507002801120447E-3</v>
      </c>
      <c r="N80" s="66">
        <f t="shared" si="78"/>
        <v>1.7507002801120447E-3</v>
      </c>
      <c r="O80" s="66">
        <f t="shared" si="78"/>
        <v>1.7507002801120447E-3</v>
      </c>
      <c r="P80" s="66">
        <f t="shared" si="78"/>
        <v>1.7507002801120447E-3</v>
      </c>
      <c r="Q80" s="66">
        <f t="shared" si="78"/>
        <v>1.7507002801120447E-3</v>
      </c>
      <c r="R80" s="66">
        <f t="shared" si="78"/>
        <v>1.7507002801120447E-3</v>
      </c>
      <c r="S80" s="66">
        <f t="shared" si="78"/>
        <v>1.7507002801120447E-3</v>
      </c>
      <c r="T80" s="66">
        <f t="shared" si="78"/>
        <v>1.7507002801120447E-3</v>
      </c>
      <c r="U80" s="66">
        <f t="shared" si="78"/>
        <v>1.7507002801120447E-3</v>
      </c>
      <c r="V80" s="66">
        <f t="shared" si="78"/>
        <v>1.7507002801120447E-3</v>
      </c>
      <c r="W80" s="66">
        <f t="shared" si="78"/>
        <v>1.7507002801120447E-3</v>
      </c>
      <c r="X80" s="66">
        <f t="shared" si="78"/>
        <v>1.7507002801120447E-3</v>
      </c>
      <c r="Y80" s="66">
        <f t="shared" si="78"/>
        <v>1.7507002801120447E-3</v>
      </c>
      <c r="Z80" s="66">
        <f t="shared" si="78"/>
        <v>1.7507002801120447E-3</v>
      </c>
      <c r="AA80" s="66">
        <f t="shared" si="78"/>
        <v>1.7507002801120447E-3</v>
      </c>
      <c r="AB80" s="66">
        <f t="shared" si="78"/>
        <v>1.7507002801120447E-3</v>
      </c>
      <c r="AC80" s="66">
        <f t="shared" si="78"/>
        <v>1.7507002801120447E-3</v>
      </c>
    </row>
    <row r="81" spans="1:29" x14ac:dyDescent="0.3">
      <c r="A81" s="30" t="str">
        <f t="shared" si="71"/>
        <v>Fuel Cost</v>
      </c>
      <c r="B81" s="66">
        <f>B39*B40*B47/B47/(B44)</f>
        <v>2.7715714285714288E-3</v>
      </c>
      <c r="C81" s="66">
        <f t="shared" ref="C81:AC81" si="79">C39*C40*C47/C47/(C44)</f>
        <v>2.7715714285714288E-3</v>
      </c>
      <c r="D81" s="66">
        <f t="shared" si="79"/>
        <v>2.7715714285714288E-3</v>
      </c>
      <c r="E81" s="66">
        <f t="shared" si="79"/>
        <v>2.7715714285714288E-3</v>
      </c>
      <c r="F81" s="66">
        <f t="shared" si="79"/>
        <v>2.7715714285714288E-3</v>
      </c>
      <c r="G81" s="66">
        <f t="shared" si="79"/>
        <v>2.7715714285714288E-3</v>
      </c>
      <c r="H81" s="66">
        <f t="shared" si="79"/>
        <v>2.7715714285714288E-3</v>
      </c>
      <c r="I81" s="66">
        <f t="shared" si="79"/>
        <v>2.7715714285714288E-3</v>
      </c>
      <c r="J81" s="66">
        <f t="shared" si="79"/>
        <v>2.7715714285714288E-3</v>
      </c>
      <c r="K81" s="66">
        <f t="shared" si="79"/>
        <v>2.7715714285714288E-3</v>
      </c>
      <c r="L81" s="66">
        <f t="shared" si="79"/>
        <v>2.7715714285714288E-3</v>
      </c>
      <c r="M81" s="66">
        <f t="shared" si="79"/>
        <v>2.7715714285714288E-3</v>
      </c>
      <c r="N81" s="66">
        <f t="shared" si="79"/>
        <v>2.7715714285714288E-3</v>
      </c>
      <c r="O81" s="66">
        <f t="shared" si="79"/>
        <v>2.7715714285714288E-3</v>
      </c>
      <c r="P81" s="66">
        <f t="shared" si="79"/>
        <v>2.7715714285714288E-3</v>
      </c>
      <c r="Q81" s="66">
        <f t="shared" si="79"/>
        <v>2.7715714285714288E-3</v>
      </c>
      <c r="R81" s="66">
        <f t="shared" si="79"/>
        <v>2.7715714285714288E-3</v>
      </c>
      <c r="S81" s="66">
        <f t="shared" si="79"/>
        <v>2.7715714285714288E-3</v>
      </c>
      <c r="T81" s="66">
        <f t="shared" si="79"/>
        <v>2.7715714285714288E-3</v>
      </c>
      <c r="U81" s="66">
        <f t="shared" si="79"/>
        <v>2.7715714285714288E-3</v>
      </c>
      <c r="V81" s="66">
        <f t="shared" si="79"/>
        <v>2.7715714285714288E-3</v>
      </c>
      <c r="W81" s="66">
        <f t="shared" si="79"/>
        <v>2.7715714285714288E-3</v>
      </c>
      <c r="X81" s="66">
        <f t="shared" si="79"/>
        <v>2.7715714285714288E-3</v>
      </c>
      <c r="Y81" s="66">
        <f t="shared" si="79"/>
        <v>2.7715714285714288E-3</v>
      </c>
      <c r="Z81" s="66">
        <f t="shared" si="79"/>
        <v>2.7715714285714288E-3</v>
      </c>
      <c r="AA81" s="66">
        <f t="shared" si="79"/>
        <v>2.7715714285714288E-3</v>
      </c>
      <c r="AB81" s="66">
        <f t="shared" si="79"/>
        <v>2.7715714285714288E-3</v>
      </c>
      <c r="AC81" s="66">
        <f t="shared" si="79"/>
        <v>2.7715714285714288E-3</v>
      </c>
    </row>
    <row r="82" spans="1:29" x14ac:dyDescent="0.3">
      <c r="A82" s="59" t="str">
        <f>A45</f>
        <v>Market failure (av. utilization)</v>
      </c>
      <c r="B82" s="66">
        <f t="shared" ref="B82:AC82" si="80">B71/B45-B71/B44</f>
        <v>1.1881931563082686E-2</v>
      </c>
      <c r="C82" s="66">
        <f t="shared" si="80"/>
        <v>1.188430042619811E-2</v>
      </c>
      <c r="D82" s="66">
        <f t="shared" si="80"/>
        <v>1.1887685969848587E-2</v>
      </c>
      <c r="E82" s="66">
        <f t="shared" si="80"/>
        <v>1.1892517836948696E-2</v>
      </c>
      <c r="F82" s="66">
        <f t="shared" si="80"/>
        <v>1.1899399969937659E-2</v>
      </c>
      <c r="G82" s="66">
        <f t="shared" si="80"/>
        <v>1.1909173733199479E-2</v>
      </c>
      <c r="H82" s="66">
        <f t="shared" si="80"/>
        <v>1.1922996418930633E-2</v>
      </c>
      <c r="I82" s="66">
        <f t="shared" si="80"/>
        <v>1.194243198345063E-2</v>
      </c>
      <c r="J82" s="66">
        <f t="shared" si="80"/>
        <v>1.1969544022033856E-2</v>
      </c>
      <c r="K82" s="66">
        <f t="shared" si="80"/>
        <v>1.2006971017830834E-2</v>
      </c>
      <c r="L82" s="66">
        <f t="shared" si="80"/>
        <v>1.2057950914660226E-2</v>
      </c>
      <c r="M82" s="66">
        <f t="shared" si="80"/>
        <v>1.2126242008956489E-2</v>
      </c>
      <c r="N82" s="66">
        <f t="shared" si="80"/>
        <v>1.2215846467740212E-2</v>
      </c>
      <c r="O82" s="66">
        <f t="shared" si="80"/>
        <v>1.2330376784195695E-2</v>
      </c>
      <c r="P82" s="66">
        <f t="shared" si="80"/>
        <v>1.2471886866901935E-2</v>
      </c>
      <c r="Q82" s="66">
        <f t="shared" si="80"/>
        <v>1.2639209641512137E-2</v>
      </c>
      <c r="R82" s="66">
        <f t="shared" si="80"/>
        <v>1.2826423331782527E-2</v>
      </c>
      <c r="S82" s="66">
        <f t="shared" si="80"/>
        <v>1.3022650231925002E-2</v>
      </c>
      <c r="T82" s="66">
        <f t="shared" si="80"/>
        <v>1.3214111711280948E-2</v>
      </c>
      <c r="U82" s="66">
        <f t="shared" si="80"/>
        <v>1.3387873727688649E-2</v>
      </c>
      <c r="V82" s="66">
        <f t="shared" si="80"/>
        <v>1.353525800981901E-2</v>
      </c>
      <c r="W82" s="66">
        <f t="shared" si="80"/>
        <v>1.3653137387486219E-2</v>
      </c>
      <c r="X82" s="66">
        <f t="shared" si="80"/>
        <v>1.374301074064815E-2</v>
      </c>
      <c r="Y82" s="66">
        <f t="shared" si="80"/>
        <v>1.3809039352508252E-2</v>
      </c>
      <c r="Z82" s="66">
        <f t="shared" si="80"/>
        <v>1.385623213699649E-2</v>
      </c>
      <c r="AA82" s="66">
        <f t="shared" si="80"/>
        <v>1.3889299554949826E-2</v>
      </c>
      <c r="AB82" s="66">
        <f t="shared" si="80"/>
        <v>1.3912147612897469E-2</v>
      </c>
      <c r="AC82" s="66">
        <f t="shared" si="80"/>
        <v>1.3927782054255036E-2</v>
      </c>
    </row>
    <row r="83" spans="1:29" x14ac:dyDescent="0.3">
      <c r="A83" s="59" t="str">
        <f>A46</f>
        <v>Payload loss (fuel)</v>
      </c>
      <c r="B83" s="66">
        <f>B71/(B44-B46)-B71/B44</f>
        <v>0</v>
      </c>
      <c r="C83" s="66">
        <f t="shared" ref="C83:AC83" si="81">C71/(C44-C46)-C71/C44</f>
        <v>0</v>
      </c>
      <c r="D83" s="66">
        <f t="shared" si="81"/>
        <v>0</v>
      </c>
      <c r="E83" s="66">
        <f t="shared" si="81"/>
        <v>0</v>
      </c>
      <c r="F83" s="66">
        <f t="shared" si="81"/>
        <v>0</v>
      </c>
      <c r="G83" s="66">
        <f t="shared" si="81"/>
        <v>0</v>
      </c>
      <c r="H83" s="66">
        <f t="shared" si="81"/>
        <v>0</v>
      </c>
      <c r="I83" s="66">
        <f t="shared" si="81"/>
        <v>0</v>
      </c>
      <c r="J83" s="66">
        <f t="shared" si="81"/>
        <v>0</v>
      </c>
      <c r="K83" s="66">
        <f t="shared" si="81"/>
        <v>0</v>
      </c>
      <c r="L83" s="66">
        <f t="shared" si="81"/>
        <v>0</v>
      </c>
      <c r="M83" s="66">
        <f t="shared" si="81"/>
        <v>0</v>
      </c>
      <c r="N83" s="66">
        <f t="shared" si="81"/>
        <v>0</v>
      </c>
      <c r="O83" s="66">
        <f t="shared" si="81"/>
        <v>0</v>
      </c>
      <c r="P83" s="66">
        <f t="shared" si="81"/>
        <v>0</v>
      </c>
      <c r="Q83" s="66">
        <f t="shared" si="81"/>
        <v>0</v>
      </c>
      <c r="R83" s="66">
        <f t="shared" si="81"/>
        <v>0</v>
      </c>
      <c r="S83" s="66">
        <f t="shared" si="81"/>
        <v>0</v>
      </c>
      <c r="T83" s="66">
        <f t="shared" si="81"/>
        <v>0</v>
      </c>
      <c r="U83" s="66">
        <f t="shared" si="81"/>
        <v>0</v>
      </c>
      <c r="V83" s="66">
        <f t="shared" si="81"/>
        <v>0</v>
      </c>
      <c r="W83" s="66">
        <f t="shared" si="81"/>
        <v>0</v>
      </c>
      <c r="X83" s="66">
        <f t="shared" si="81"/>
        <v>0</v>
      </c>
      <c r="Y83" s="66">
        <f t="shared" si="81"/>
        <v>0</v>
      </c>
      <c r="Z83" s="66">
        <f t="shared" si="81"/>
        <v>0</v>
      </c>
      <c r="AA83" s="66">
        <f t="shared" si="81"/>
        <v>0</v>
      </c>
      <c r="AB83" s="66">
        <f t="shared" si="81"/>
        <v>0</v>
      </c>
      <c r="AC83" s="66">
        <f t="shared" si="81"/>
        <v>0</v>
      </c>
    </row>
    <row r="84" spans="1:29" ht="15" thickBot="1" x14ac:dyDescent="0.35">
      <c r="A84" s="59" t="str">
        <f>A21</f>
        <v>Emission Cost</v>
      </c>
      <c r="B84" s="69">
        <f>B41*B47/B47/(B44)</f>
        <v>7.4298751127533757E-4</v>
      </c>
      <c r="C84" s="69">
        <f t="shared" ref="C84:AC84" si="82">C41*C47/C47/(C44)</f>
        <v>7.4474275208498528E-4</v>
      </c>
      <c r="D84" s="69">
        <f t="shared" si="82"/>
        <v>7.4725534020915886E-4</v>
      </c>
      <c r="E84" s="69">
        <f t="shared" si="82"/>
        <v>7.5084977421388478E-4</v>
      </c>
      <c r="F84" s="69">
        <f t="shared" si="82"/>
        <v>7.5598701355788014E-4</v>
      </c>
      <c r="G84" s="69">
        <f t="shared" si="82"/>
        <v>7.6331896430522207E-4</v>
      </c>
      <c r="H84" s="69">
        <f t="shared" si="82"/>
        <v>7.7376146089384694E-4</v>
      </c>
      <c r="I84" s="69">
        <f t="shared" si="82"/>
        <v>7.8858830909913486E-4</v>
      </c>
      <c r="J84" s="69">
        <f t="shared" si="82"/>
        <v>8.0954463426816516E-4</v>
      </c>
      <c r="K84" s="69">
        <f t="shared" si="82"/>
        <v>8.389669367220592E-4</v>
      </c>
      <c r="L84" s="69">
        <f t="shared" si="82"/>
        <v>8.798746177594985E-4</v>
      </c>
      <c r="M84" s="69">
        <f t="shared" si="82"/>
        <v>9.3595751810243634E-4</v>
      </c>
      <c r="N84" s="69">
        <f t="shared" si="82"/>
        <v>1.0113269265627047E-3</v>
      </c>
      <c r="O84" s="69">
        <f t="shared" si="82"/>
        <v>1.109849303719172E-3</v>
      </c>
      <c r="P84" s="69">
        <f t="shared" si="82"/>
        <v>1.2339215853046303E-3</v>
      </c>
      <c r="Q84" s="69">
        <f t="shared" si="82"/>
        <v>1.3828047617117797E-3</v>
      </c>
      <c r="R84" s="69">
        <f t="shared" si="82"/>
        <v>1.5511579351188669E-3</v>
      </c>
      <c r="S84" s="69">
        <f t="shared" si="82"/>
        <v>1.7288876895490389E-3</v>
      </c>
      <c r="T84" s="69">
        <f t="shared" si="82"/>
        <v>1.9031200548462067E-3</v>
      </c>
      <c r="U84" s="69">
        <f t="shared" si="82"/>
        <v>2.0617273632976018E-3</v>
      </c>
      <c r="V84" s="69">
        <f t="shared" si="82"/>
        <v>2.1965209893662269E-3</v>
      </c>
      <c r="W84" s="69">
        <f t="shared" si="82"/>
        <v>2.304466543676486E-3</v>
      </c>
      <c r="X84" s="69">
        <f t="shared" si="82"/>
        <v>2.3868337925808045E-3</v>
      </c>
      <c r="Y84" s="69">
        <f t="shared" si="82"/>
        <v>2.4473803263883893E-3</v>
      </c>
      <c r="Z84" s="69">
        <f t="shared" si="82"/>
        <v>2.4906702221544307E-3</v>
      </c>
      <c r="AA84" s="69">
        <f t="shared" si="82"/>
        <v>2.521010046049748E-3</v>
      </c>
      <c r="AB84" s="69">
        <f t="shared" si="82"/>
        <v>2.5419767291927284E-3</v>
      </c>
      <c r="AC84" s="69">
        <f t="shared" si="82"/>
        <v>2.5563252752773664E-3</v>
      </c>
    </row>
    <row r="85" spans="1:29" ht="15" thickBot="1" x14ac:dyDescent="0.35">
      <c r="A85" s="31" t="s">
        <v>210</v>
      </c>
      <c r="B85" s="97">
        <f>B74+B75+B76+B77+B78+B79+B80+B81+B82+B83+B84</f>
        <v>2.2773556508726353E-2</v>
      </c>
      <c r="C85" s="97">
        <f t="shared" ref="C85:AC85" si="83">C74+C75+C76+C77+C78+C79+C80+C81+C82+C83+C84</f>
        <v>2.2778112014717557E-2</v>
      </c>
      <c r="D85" s="97">
        <f t="shared" si="83"/>
        <v>2.2784622675583854E-2</v>
      </c>
      <c r="E85" s="97">
        <f t="shared" si="83"/>
        <v>2.2793914727699448E-2</v>
      </c>
      <c r="F85" s="97">
        <f t="shared" si="83"/>
        <v>2.280714959883207E-2</v>
      </c>
      <c r="G85" s="97">
        <f t="shared" si="83"/>
        <v>2.2825945297412491E-2</v>
      </c>
      <c r="H85" s="97">
        <f t="shared" si="83"/>
        <v>2.2852527385357022E-2</v>
      </c>
      <c r="I85" s="97">
        <f t="shared" si="83"/>
        <v>2.2889903470972396E-2</v>
      </c>
      <c r="J85" s="97">
        <f t="shared" si="83"/>
        <v>2.2942042006709368E-2</v>
      </c>
      <c r="K85" s="97">
        <f t="shared" si="83"/>
        <v>2.3014016998626638E-2</v>
      </c>
      <c r="L85" s="97">
        <f t="shared" si="83"/>
        <v>2.3112055261760078E-2</v>
      </c>
      <c r="M85" s="97">
        <f t="shared" si="83"/>
        <v>2.3243384289252898E-2</v>
      </c>
      <c r="N85" s="97">
        <f t="shared" si="83"/>
        <v>2.341570055614467E-2</v>
      </c>
      <c r="O85" s="97">
        <f t="shared" si="83"/>
        <v>2.3635951164712905E-2</v>
      </c>
      <c r="P85" s="97">
        <f t="shared" si="83"/>
        <v>2.3908085939147984E-2</v>
      </c>
      <c r="Q85" s="97">
        <f t="shared" si="83"/>
        <v>2.4229860505706063E-2</v>
      </c>
      <c r="R85" s="97">
        <f t="shared" si="83"/>
        <v>2.4589886833149124E-2</v>
      </c>
      <c r="S85" s="97">
        <f t="shared" si="83"/>
        <v>2.4967246256500032E-2</v>
      </c>
      <c r="T85" s="97">
        <f t="shared" si="83"/>
        <v>2.5335441409107623E-2</v>
      </c>
      <c r="U85" s="97">
        <f t="shared" si="83"/>
        <v>2.5669599132968592E-2</v>
      </c>
      <c r="V85" s="97">
        <f t="shared" si="83"/>
        <v>2.5953030444757746E-2</v>
      </c>
      <c r="W85" s="97">
        <f t="shared" si="83"/>
        <v>2.6179721555656225E-2</v>
      </c>
      <c r="X85" s="97">
        <f t="shared" si="83"/>
        <v>2.6352554927121474E-2</v>
      </c>
      <c r="Y85" s="97">
        <f t="shared" si="83"/>
        <v>2.6479533026852443E-2</v>
      </c>
      <c r="Z85" s="97">
        <f t="shared" si="83"/>
        <v>2.6570288381637511E-2</v>
      </c>
      <c r="AA85" s="97">
        <f t="shared" si="83"/>
        <v>2.6633879570009313E-2</v>
      </c>
      <c r="AB85" s="97">
        <f t="shared" si="83"/>
        <v>2.6677818142985553E-2</v>
      </c>
      <c r="AC85" s="97">
        <f t="shared" si="83"/>
        <v>2.6707884376365485E-2</v>
      </c>
    </row>
    <row r="87" spans="1:29" x14ac:dyDescent="0.3">
      <c r="B87" s="40"/>
    </row>
    <row r="107" spans="1:2" s="3" customFormat="1" ht="21" x14ac:dyDescent="0.4">
      <c r="A107" s="2" t="str">
        <f>'Parameter Input'!A88</f>
        <v>Railway long-haul: Liquid bulk</v>
      </c>
    </row>
    <row r="108" spans="1:2" s="3" customFormat="1" ht="21" x14ac:dyDescent="0.4">
      <c r="A108" s="2" t="s">
        <v>11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Input'!$L$77</f>
        <v>3500000</v>
      </c>
      <c r="C117" s="42">
        <f>'Parameter Input'!$M$77</f>
        <v>3500000</v>
      </c>
      <c r="D117" s="1" t="s">
        <v>15</v>
      </c>
      <c r="L117" s="51">
        <f>'Parameter Input'!$O$77</f>
        <v>12</v>
      </c>
      <c r="M117" s="52">
        <v>0</v>
      </c>
      <c r="N117" s="52">
        <v>1</v>
      </c>
      <c r="O117" s="52">
        <f>'Parameter Input'!$P$77</f>
        <v>0.9</v>
      </c>
      <c r="P117" s="53">
        <f>'Parameter Input'!$Q$77</f>
        <v>0.4</v>
      </c>
      <c r="Q117" s="4">
        <f t="shared" ref="Q117:AR126" si="84">$N117+($M117-$N117)*((1/(1+EXP(-$P117*(Q$9-$L117)))^$O117))</f>
        <v>0.9867978615748374</v>
      </c>
      <c r="R117" s="4">
        <f t="shared" si="84"/>
        <v>0.98114509762858249</v>
      </c>
      <c r="S117" s="4">
        <f t="shared" si="84"/>
        <v>0.97311898315872036</v>
      </c>
      <c r="T117" s="4">
        <f t="shared" si="84"/>
        <v>0.96177484161592774</v>
      </c>
      <c r="U117" s="4">
        <f t="shared" si="84"/>
        <v>0.94584787155511363</v>
      </c>
      <c r="V117" s="4">
        <f t="shared" si="84"/>
        <v>0.92370360150141495</v>
      </c>
      <c r="W117" s="4">
        <f t="shared" si="84"/>
        <v>0.89334463567658451</v>
      </c>
      <c r="X117" s="4">
        <f t="shared" si="84"/>
        <v>0.85254543874327005</v>
      </c>
      <c r="Y117" s="4">
        <f t="shared" si="84"/>
        <v>0.79921300652623883</v>
      </c>
      <c r="Z117" s="4">
        <f t="shared" si="84"/>
        <v>0.73204982249993378</v>
      </c>
      <c r="AA117" s="4">
        <f t="shared" si="84"/>
        <v>0.65145592958786691</v>
      </c>
      <c r="AB117" s="4">
        <f t="shared" si="84"/>
        <v>0.56032247880849573</v>
      </c>
      <c r="AC117" s="4">
        <f t="shared" si="84"/>
        <v>0.46411326873185343</v>
      </c>
      <c r="AD117" s="4">
        <f t="shared" si="84"/>
        <v>0.36979727595523937</v>
      </c>
      <c r="AE117" s="4">
        <f t="shared" si="84"/>
        <v>0.28393948637231203</v>
      </c>
      <c r="AF117" s="4">
        <f t="shared" si="84"/>
        <v>0.21097259161117732</v>
      </c>
      <c r="AG117" s="4">
        <f t="shared" si="84"/>
        <v>0.15253917653798199</v>
      </c>
      <c r="AH117" s="4">
        <f t="shared" si="84"/>
        <v>0.10795188737709993</v>
      </c>
      <c r="AI117" s="4">
        <f t="shared" si="84"/>
        <v>7.5176653938091809E-2</v>
      </c>
      <c r="AJ117" s="4">
        <f t="shared" si="84"/>
        <v>5.1742836177502194E-2</v>
      </c>
      <c r="AK117" s="4">
        <f t="shared" si="84"/>
        <v>3.5319190625345942E-2</v>
      </c>
      <c r="AL117" s="4">
        <f t="shared" si="84"/>
        <v>2.3969442072658165E-2</v>
      </c>
      <c r="AM117" s="4">
        <f t="shared" si="84"/>
        <v>1.6202243558389728E-2</v>
      </c>
      <c r="AN117" s="4">
        <f t="shared" si="84"/>
        <v>1.0922240564108399E-2</v>
      </c>
      <c r="AO117" s="4">
        <f t="shared" si="84"/>
        <v>7.3493212906090566E-3</v>
      </c>
      <c r="AP117" s="4">
        <f t="shared" si="84"/>
        <v>4.9390262185057265E-3</v>
      </c>
      <c r="AQ117" s="4">
        <f t="shared" si="84"/>
        <v>3.3164275492956197E-3</v>
      </c>
      <c r="AR117" s="4">
        <f t="shared" si="84"/>
        <v>2.2256362146679809E-3</v>
      </c>
    </row>
    <row r="118" spans="1:44" x14ac:dyDescent="0.3">
      <c r="A118" s="24" t="s">
        <v>28</v>
      </c>
      <c r="B118" s="60">
        <f>'Parameter Input'!$L$78</f>
        <v>-525000</v>
      </c>
      <c r="C118" s="61">
        <f>'Parameter Input'!$M$78</f>
        <v>-175000</v>
      </c>
      <c r="D118" s="1" t="s">
        <v>15</v>
      </c>
      <c r="L118" s="54">
        <f>'Parameter Input'!$O$78</f>
        <v>12</v>
      </c>
      <c r="M118" s="37">
        <v>0</v>
      </c>
      <c r="N118" s="37">
        <v>1</v>
      </c>
      <c r="O118" s="37">
        <f>'Parameter Input'!$P$78</f>
        <v>0.9</v>
      </c>
      <c r="P118" s="55">
        <f>'Parameter Input'!$Q$78</f>
        <v>0.4</v>
      </c>
      <c r="Q118" s="4">
        <f t="shared" si="84"/>
        <v>0.9867978615748374</v>
      </c>
      <c r="R118" s="4">
        <f t="shared" si="84"/>
        <v>0.98114509762858249</v>
      </c>
      <c r="S118" s="4">
        <f t="shared" si="84"/>
        <v>0.97311898315872036</v>
      </c>
      <c r="T118" s="4">
        <f t="shared" si="84"/>
        <v>0.96177484161592774</v>
      </c>
      <c r="U118" s="4">
        <f t="shared" si="84"/>
        <v>0.94584787155511363</v>
      </c>
      <c r="V118" s="4">
        <f t="shared" si="84"/>
        <v>0.92370360150141495</v>
      </c>
      <c r="W118" s="4">
        <f t="shared" si="84"/>
        <v>0.89334463567658451</v>
      </c>
      <c r="X118" s="4">
        <f t="shared" si="84"/>
        <v>0.85254543874327005</v>
      </c>
      <c r="Y118" s="4">
        <f t="shared" si="84"/>
        <v>0.79921300652623883</v>
      </c>
      <c r="Z118" s="4">
        <f t="shared" si="84"/>
        <v>0.73204982249993378</v>
      </c>
      <c r="AA118" s="4">
        <f t="shared" si="84"/>
        <v>0.65145592958786691</v>
      </c>
      <c r="AB118" s="4">
        <f t="shared" si="84"/>
        <v>0.56032247880849573</v>
      </c>
      <c r="AC118" s="4">
        <f t="shared" si="84"/>
        <v>0.46411326873185343</v>
      </c>
      <c r="AD118" s="4">
        <f t="shared" si="84"/>
        <v>0.36979727595523937</v>
      </c>
      <c r="AE118" s="4">
        <f t="shared" si="84"/>
        <v>0.28393948637231203</v>
      </c>
      <c r="AF118" s="4">
        <f t="shared" si="84"/>
        <v>0.21097259161117732</v>
      </c>
      <c r="AG118" s="4">
        <f t="shared" si="84"/>
        <v>0.15253917653798199</v>
      </c>
      <c r="AH118" s="4">
        <f t="shared" si="84"/>
        <v>0.10795188737709993</v>
      </c>
      <c r="AI118" s="4">
        <f t="shared" si="84"/>
        <v>7.5176653938091809E-2</v>
      </c>
      <c r="AJ118" s="4">
        <f t="shared" si="84"/>
        <v>5.1742836177502194E-2</v>
      </c>
      <c r="AK118" s="4">
        <f t="shared" si="84"/>
        <v>3.5319190625345942E-2</v>
      </c>
      <c r="AL118" s="4">
        <f t="shared" si="84"/>
        <v>2.3969442072658165E-2</v>
      </c>
      <c r="AM118" s="4">
        <f t="shared" si="84"/>
        <v>1.6202243558389728E-2</v>
      </c>
      <c r="AN118" s="4">
        <f t="shared" si="84"/>
        <v>1.0922240564108399E-2</v>
      </c>
      <c r="AO118" s="4">
        <f t="shared" si="84"/>
        <v>7.3493212906090566E-3</v>
      </c>
      <c r="AP118" s="4">
        <f t="shared" si="84"/>
        <v>4.9390262185057265E-3</v>
      </c>
      <c r="AQ118" s="4">
        <f t="shared" si="84"/>
        <v>3.3164275492956197E-3</v>
      </c>
      <c r="AR118" s="4">
        <f t="shared" si="84"/>
        <v>2.2256362146679809E-3</v>
      </c>
    </row>
    <row r="119" spans="1:44" x14ac:dyDescent="0.3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4"/>
        <v>0.9867978615748374</v>
      </c>
      <c r="R119" s="4">
        <f t="shared" si="84"/>
        <v>0.98114509762858249</v>
      </c>
      <c r="S119" s="4">
        <f t="shared" si="84"/>
        <v>0.97311898315872036</v>
      </c>
      <c r="T119" s="4">
        <f t="shared" si="84"/>
        <v>0.96177484161592774</v>
      </c>
      <c r="U119" s="4">
        <f t="shared" si="84"/>
        <v>0.94584787155511363</v>
      </c>
      <c r="V119" s="4">
        <f t="shared" si="84"/>
        <v>0.92370360150141495</v>
      </c>
      <c r="W119" s="4">
        <f t="shared" si="84"/>
        <v>0.89334463567658451</v>
      </c>
      <c r="X119" s="4">
        <f t="shared" si="84"/>
        <v>0.85254543874327005</v>
      </c>
      <c r="Y119" s="4">
        <f t="shared" si="84"/>
        <v>0.79921300652623883</v>
      </c>
      <c r="Z119" s="4">
        <f t="shared" si="84"/>
        <v>0.73204982249993378</v>
      </c>
      <c r="AA119" s="4">
        <f t="shared" si="84"/>
        <v>0.65145592958786691</v>
      </c>
      <c r="AB119" s="4">
        <f t="shared" si="84"/>
        <v>0.56032247880849573</v>
      </c>
      <c r="AC119" s="4">
        <f t="shared" si="84"/>
        <v>0.46411326873185343</v>
      </c>
      <c r="AD119" s="4">
        <f t="shared" si="84"/>
        <v>0.36979727595523937</v>
      </c>
      <c r="AE119" s="4">
        <f t="shared" si="84"/>
        <v>0.28393948637231203</v>
      </c>
      <c r="AF119" s="4">
        <f t="shared" si="84"/>
        <v>0.21097259161117732</v>
      </c>
      <c r="AG119" s="4">
        <f t="shared" si="84"/>
        <v>0.15253917653798199</v>
      </c>
      <c r="AH119" s="4">
        <f t="shared" si="84"/>
        <v>0.10795188737709993</v>
      </c>
      <c r="AI119" s="4">
        <f t="shared" si="84"/>
        <v>7.5176653938091809E-2</v>
      </c>
      <c r="AJ119" s="4">
        <f t="shared" si="84"/>
        <v>5.1742836177502194E-2</v>
      </c>
      <c r="AK119" s="4">
        <f t="shared" si="84"/>
        <v>3.5319190625345942E-2</v>
      </c>
      <c r="AL119" s="4">
        <f t="shared" si="84"/>
        <v>2.3969442072658165E-2</v>
      </c>
      <c r="AM119" s="4">
        <f t="shared" si="84"/>
        <v>1.6202243558389728E-2</v>
      </c>
      <c r="AN119" s="4">
        <f t="shared" si="84"/>
        <v>1.0922240564108399E-2</v>
      </c>
      <c r="AO119" s="4">
        <f t="shared" si="84"/>
        <v>7.3493212906090566E-3</v>
      </c>
      <c r="AP119" s="4">
        <f t="shared" si="84"/>
        <v>4.9390262185057265E-3</v>
      </c>
      <c r="AQ119" s="4">
        <f t="shared" si="84"/>
        <v>3.3164275492956197E-3</v>
      </c>
      <c r="AR119" s="4">
        <f t="shared" si="84"/>
        <v>2.2256362146679809E-3</v>
      </c>
    </row>
    <row r="120" spans="1:44" x14ac:dyDescent="0.3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4"/>
        <v>0.9867978615748374</v>
      </c>
      <c r="R120" s="4">
        <f t="shared" si="84"/>
        <v>0.98114509762858249</v>
      </c>
      <c r="S120" s="4">
        <f t="shared" si="84"/>
        <v>0.97311898315872036</v>
      </c>
      <c r="T120" s="4">
        <f t="shared" si="84"/>
        <v>0.96177484161592774</v>
      </c>
      <c r="U120" s="4">
        <f t="shared" si="84"/>
        <v>0.94584787155511363</v>
      </c>
      <c r="V120" s="4">
        <f t="shared" si="84"/>
        <v>0.92370360150141495</v>
      </c>
      <c r="W120" s="4">
        <f t="shared" si="84"/>
        <v>0.89334463567658451</v>
      </c>
      <c r="X120" s="4">
        <f t="shared" si="84"/>
        <v>0.85254543874327005</v>
      </c>
      <c r="Y120" s="4">
        <f t="shared" si="84"/>
        <v>0.79921300652623883</v>
      </c>
      <c r="Z120" s="4">
        <f t="shared" si="84"/>
        <v>0.73204982249993378</v>
      </c>
      <c r="AA120" s="4">
        <f t="shared" si="84"/>
        <v>0.65145592958786691</v>
      </c>
      <c r="AB120" s="4">
        <f t="shared" si="84"/>
        <v>0.56032247880849573</v>
      </c>
      <c r="AC120" s="4">
        <f t="shared" si="84"/>
        <v>0.46411326873185343</v>
      </c>
      <c r="AD120" s="4">
        <f t="shared" si="84"/>
        <v>0.36979727595523937</v>
      </c>
      <c r="AE120" s="4">
        <f t="shared" si="84"/>
        <v>0.28393948637231203</v>
      </c>
      <c r="AF120" s="4">
        <f t="shared" si="84"/>
        <v>0.21097259161117732</v>
      </c>
      <c r="AG120" s="4">
        <f t="shared" si="84"/>
        <v>0.15253917653798199</v>
      </c>
      <c r="AH120" s="4">
        <f t="shared" si="84"/>
        <v>0.10795188737709993</v>
      </c>
      <c r="AI120" s="4">
        <f t="shared" si="84"/>
        <v>7.5176653938091809E-2</v>
      </c>
      <c r="AJ120" s="4">
        <f t="shared" si="84"/>
        <v>5.1742836177502194E-2</v>
      </c>
      <c r="AK120" s="4">
        <f t="shared" si="84"/>
        <v>3.5319190625345942E-2</v>
      </c>
      <c r="AL120" s="4">
        <f t="shared" si="84"/>
        <v>2.3969442072658165E-2</v>
      </c>
      <c r="AM120" s="4">
        <f t="shared" si="84"/>
        <v>1.6202243558389728E-2</v>
      </c>
      <c r="AN120" s="4">
        <f t="shared" si="84"/>
        <v>1.0922240564108399E-2</v>
      </c>
      <c r="AO120" s="4">
        <f t="shared" si="84"/>
        <v>7.3493212906090566E-3</v>
      </c>
      <c r="AP120" s="4">
        <f t="shared" si="84"/>
        <v>4.9390262185057265E-3</v>
      </c>
      <c r="AQ120" s="4">
        <f t="shared" si="84"/>
        <v>3.3164275492956197E-3</v>
      </c>
      <c r="AR120" s="4">
        <f t="shared" si="84"/>
        <v>2.2256362146679809E-3</v>
      </c>
    </row>
    <row r="121" spans="1:44" x14ac:dyDescent="0.3">
      <c r="A121" s="24" t="s">
        <v>79</v>
      </c>
      <c r="B121" s="45">
        <f>'Parameter Input'!$L$84</f>
        <v>0.06</v>
      </c>
      <c r="C121" s="46">
        <f>'Parameter Input'!$M$84</f>
        <v>0.06</v>
      </c>
      <c r="D121" s="1" t="s">
        <v>57</v>
      </c>
      <c r="L121" s="54">
        <f>'Parameter Input'!$O$84</f>
        <v>12</v>
      </c>
      <c r="M121" s="37">
        <v>0</v>
      </c>
      <c r="N121" s="37">
        <v>1</v>
      </c>
      <c r="O121" s="37">
        <f>'Parameter Input'!$P$84</f>
        <v>0.9</v>
      </c>
      <c r="P121" s="55">
        <f>'Parameter Input'!$Q$84</f>
        <v>0.4</v>
      </c>
      <c r="Q121" s="4">
        <f t="shared" si="84"/>
        <v>0.9867978615748374</v>
      </c>
      <c r="R121" s="4">
        <f t="shared" si="84"/>
        <v>0.98114509762858249</v>
      </c>
      <c r="S121" s="4">
        <f t="shared" si="84"/>
        <v>0.97311898315872036</v>
      </c>
      <c r="T121" s="4">
        <f t="shared" si="84"/>
        <v>0.96177484161592774</v>
      </c>
      <c r="U121" s="4">
        <f t="shared" si="84"/>
        <v>0.94584787155511363</v>
      </c>
      <c r="V121" s="4">
        <f t="shared" si="84"/>
        <v>0.92370360150141495</v>
      </c>
      <c r="W121" s="4">
        <f t="shared" si="84"/>
        <v>0.89334463567658451</v>
      </c>
      <c r="X121" s="4">
        <f t="shared" si="84"/>
        <v>0.85254543874327005</v>
      </c>
      <c r="Y121" s="4">
        <f t="shared" si="84"/>
        <v>0.79921300652623883</v>
      </c>
      <c r="Z121" s="4">
        <f t="shared" si="84"/>
        <v>0.73204982249993378</v>
      </c>
      <c r="AA121" s="4">
        <f t="shared" si="84"/>
        <v>0.65145592958786691</v>
      </c>
      <c r="AB121" s="4">
        <f t="shared" si="84"/>
        <v>0.56032247880849573</v>
      </c>
      <c r="AC121" s="4">
        <f t="shared" si="84"/>
        <v>0.46411326873185343</v>
      </c>
      <c r="AD121" s="4">
        <f t="shared" si="84"/>
        <v>0.36979727595523937</v>
      </c>
      <c r="AE121" s="4">
        <f t="shared" si="84"/>
        <v>0.28393948637231203</v>
      </c>
      <c r="AF121" s="4">
        <f t="shared" si="84"/>
        <v>0.21097259161117732</v>
      </c>
      <c r="AG121" s="4">
        <f t="shared" si="84"/>
        <v>0.15253917653798199</v>
      </c>
      <c r="AH121" s="4">
        <f t="shared" si="84"/>
        <v>0.10795188737709993</v>
      </c>
      <c r="AI121" s="4">
        <f t="shared" si="84"/>
        <v>7.5176653938091809E-2</v>
      </c>
      <c r="AJ121" s="4">
        <f t="shared" si="84"/>
        <v>5.1742836177502194E-2</v>
      </c>
      <c r="AK121" s="4">
        <f t="shared" si="84"/>
        <v>3.5319190625345942E-2</v>
      </c>
      <c r="AL121" s="4">
        <f t="shared" si="84"/>
        <v>2.3969442072658165E-2</v>
      </c>
      <c r="AM121" s="4">
        <f t="shared" si="84"/>
        <v>1.6202243558389728E-2</v>
      </c>
      <c r="AN121" s="4">
        <f t="shared" si="84"/>
        <v>1.0922240564108399E-2</v>
      </c>
      <c r="AO121" s="4">
        <f t="shared" si="84"/>
        <v>7.3493212906090566E-3</v>
      </c>
      <c r="AP121" s="4">
        <f t="shared" si="84"/>
        <v>4.9390262185057265E-3</v>
      </c>
      <c r="AQ121" s="4">
        <f t="shared" si="84"/>
        <v>3.3164275492956197E-3</v>
      </c>
      <c r="AR121" s="4">
        <f t="shared" si="84"/>
        <v>2.2256362146679809E-3</v>
      </c>
    </row>
    <row r="122" spans="1:44" x14ac:dyDescent="0.3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4"/>
        <v>0.9867978615748374</v>
      </c>
      <c r="R122" s="4">
        <f t="shared" si="84"/>
        <v>0.98114509762858249</v>
      </c>
      <c r="S122" s="4">
        <f t="shared" si="84"/>
        <v>0.97311898315872036</v>
      </c>
      <c r="T122" s="4">
        <f t="shared" si="84"/>
        <v>0.96177484161592774</v>
      </c>
      <c r="U122" s="4">
        <f t="shared" si="84"/>
        <v>0.94584787155511363</v>
      </c>
      <c r="V122" s="4">
        <f t="shared" si="84"/>
        <v>0.92370360150141495</v>
      </c>
      <c r="W122" s="4">
        <f t="shared" si="84"/>
        <v>0.89334463567658451</v>
      </c>
      <c r="X122" s="4">
        <f t="shared" si="84"/>
        <v>0.85254543874327005</v>
      </c>
      <c r="Y122" s="4">
        <f t="shared" si="84"/>
        <v>0.79921300652623883</v>
      </c>
      <c r="Z122" s="4">
        <f t="shared" si="84"/>
        <v>0.73204982249993378</v>
      </c>
      <c r="AA122" s="4">
        <f t="shared" si="84"/>
        <v>0.65145592958786691</v>
      </c>
      <c r="AB122" s="4">
        <f t="shared" si="84"/>
        <v>0.56032247880849573</v>
      </c>
      <c r="AC122" s="4">
        <f t="shared" si="84"/>
        <v>0.46411326873185343</v>
      </c>
      <c r="AD122" s="4">
        <f t="shared" si="84"/>
        <v>0.36979727595523937</v>
      </c>
      <c r="AE122" s="4">
        <f t="shared" si="84"/>
        <v>0.28393948637231203</v>
      </c>
      <c r="AF122" s="4">
        <f t="shared" si="84"/>
        <v>0.21097259161117732</v>
      </c>
      <c r="AG122" s="4">
        <f t="shared" si="84"/>
        <v>0.15253917653798199</v>
      </c>
      <c r="AH122" s="4">
        <f t="shared" si="84"/>
        <v>0.10795188737709993</v>
      </c>
      <c r="AI122" s="4">
        <f t="shared" si="84"/>
        <v>7.5176653938091809E-2</v>
      </c>
      <c r="AJ122" s="4">
        <f t="shared" si="84"/>
        <v>5.1742836177502194E-2</v>
      </c>
      <c r="AK122" s="4">
        <f t="shared" si="84"/>
        <v>3.5319190625345942E-2</v>
      </c>
      <c r="AL122" s="4">
        <f t="shared" si="84"/>
        <v>2.3969442072658165E-2</v>
      </c>
      <c r="AM122" s="4">
        <f t="shared" si="84"/>
        <v>1.6202243558389728E-2</v>
      </c>
      <c r="AN122" s="4">
        <f t="shared" si="84"/>
        <v>1.0922240564108399E-2</v>
      </c>
      <c r="AO122" s="4">
        <f t="shared" si="84"/>
        <v>7.3493212906090566E-3</v>
      </c>
      <c r="AP122" s="4">
        <f t="shared" si="84"/>
        <v>4.9390262185057265E-3</v>
      </c>
      <c r="AQ122" s="4">
        <f t="shared" si="84"/>
        <v>3.3164275492956197E-3</v>
      </c>
      <c r="AR122" s="4">
        <f t="shared" si="84"/>
        <v>2.2256362146679809E-3</v>
      </c>
    </row>
    <row r="123" spans="1:44" x14ac:dyDescent="0.3">
      <c r="A123" s="24" t="s">
        <v>52</v>
      </c>
      <c r="B123" s="43">
        <f>'Parameter Input'!$L$80</f>
        <v>1050000</v>
      </c>
      <c r="C123" s="44">
        <f>'Parameter Input'!$M$80</f>
        <v>1050000</v>
      </c>
      <c r="D123" s="1" t="s">
        <v>38</v>
      </c>
      <c r="L123" s="54">
        <f>'Parameter Input'!$O$80</f>
        <v>12</v>
      </c>
      <c r="M123" s="37">
        <v>0</v>
      </c>
      <c r="N123" s="37">
        <v>1</v>
      </c>
      <c r="O123" s="37">
        <f>'Parameter Input'!$P$80</f>
        <v>0.9</v>
      </c>
      <c r="P123" s="55">
        <f>'Parameter Input'!$Q$80</f>
        <v>0.4</v>
      </c>
      <c r="Q123" s="4">
        <f t="shared" si="84"/>
        <v>0.9867978615748374</v>
      </c>
      <c r="R123" s="4">
        <f t="shared" si="84"/>
        <v>0.98114509762858249</v>
      </c>
      <c r="S123" s="4">
        <f t="shared" si="84"/>
        <v>0.97311898315872036</v>
      </c>
      <c r="T123" s="4">
        <f t="shared" si="84"/>
        <v>0.96177484161592774</v>
      </c>
      <c r="U123" s="4">
        <f t="shared" si="84"/>
        <v>0.94584787155511363</v>
      </c>
      <c r="V123" s="4">
        <f t="shared" si="84"/>
        <v>0.92370360150141495</v>
      </c>
      <c r="W123" s="4">
        <f t="shared" si="84"/>
        <v>0.89334463567658451</v>
      </c>
      <c r="X123" s="4">
        <f t="shared" si="84"/>
        <v>0.85254543874327005</v>
      </c>
      <c r="Y123" s="4">
        <f t="shared" si="84"/>
        <v>0.79921300652623883</v>
      </c>
      <c r="Z123" s="4">
        <f t="shared" si="84"/>
        <v>0.73204982249993378</v>
      </c>
      <c r="AA123" s="4">
        <f t="shared" si="84"/>
        <v>0.65145592958786691</v>
      </c>
      <c r="AB123" s="4">
        <f t="shared" si="84"/>
        <v>0.56032247880849573</v>
      </c>
      <c r="AC123" s="4">
        <f t="shared" si="84"/>
        <v>0.46411326873185343</v>
      </c>
      <c r="AD123" s="4">
        <f t="shared" si="84"/>
        <v>0.36979727595523937</v>
      </c>
      <c r="AE123" s="4">
        <f t="shared" si="84"/>
        <v>0.28393948637231203</v>
      </c>
      <c r="AF123" s="4">
        <f t="shared" si="84"/>
        <v>0.21097259161117732</v>
      </c>
      <c r="AG123" s="4">
        <f t="shared" si="84"/>
        <v>0.15253917653798199</v>
      </c>
      <c r="AH123" s="4">
        <f t="shared" si="84"/>
        <v>0.10795188737709993</v>
      </c>
      <c r="AI123" s="4">
        <f t="shared" si="84"/>
        <v>7.5176653938091809E-2</v>
      </c>
      <c r="AJ123" s="4">
        <f t="shared" si="84"/>
        <v>5.1742836177502194E-2</v>
      </c>
      <c r="AK123" s="4">
        <f t="shared" si="84"/>
        <v>3.5319190625345942E-2</v>
      </c>
      <c r="AL123" s="4">
        <f t="shared" si="84"/>
        <v>2.3969442072658165E-2</v>
      </c>
      <c r="AM123" s="4">
        <f t="shared" si="84"/>
        <v>1.6202243558389728E-2</v>
      </c>
      <c r="AN123" s="4">
        <f t="shared" si="84"/>
        <v>1.0922240564108399E-2</v>
      </c>
      <c r="AO123" s="4">
        <f t="shared" si="84"/>
        <v>7.3493212906090566E-3</v>
      </c>
      <c r="AP123" s="4">
        <f t="shared" si="84"/>
        <v>4.9390262185057265E-3</v>
      </c>
      <c r="AQ123" s="4">
        <f t="shared" si="84"/>
        <v>3.3164275492956197E-3</v>
      </c>
      <c r="AR123" s="4">
        <f t="shared" si="84"/>
        <v>2.2256362146679809E-3</v>
      </c>
    </row>
    <row r="124" spans="1:44" x14ac:dyDescent="0.3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4"/>
        <v>0.9867978615748374</v>
      </c>
      <c r="R124" s="4">
        <f t="shared" si="84"/>
        <v>0.98114509762858249</v>
      </c>
      <c r="S124" s="4">
        <f t="shared" si="84"/>
        <v>0.97311898315872036</v>
      </c>
      <c r="T124" s="4">
        <f t="shared" si="84"/>
        <v>0.96177484161592774</v>
      </c>
      <c r="U124" s="4">
        <f t="shared" si="84"/>
        <v>0.94584787155511363</v>
      </c>
      <c r="V124" s="4">
        <f t="shared" si="84"/>
        <v>0.92370360150141495</v>
      </c>
      <c r="W124" s="4">
        <f t="shared" si="84"/>
        <v>0.89334463567658451</v>
      </c>
      <c r="X124" s="4">
        <f t="shared" si="84"/>
        <v>0.85254543874327005</v>
      </c>
      <c r="Y124" s="4">
        <f t="shared" si="84"/>
        <v>0.79921300652623883</v>
      </c>
      <c r="Z124" s="4">
        <f t="shared" si="84"/>
        <v>0.73204982249993378</v>
      </c>
      <c r="AA124" s="4">
        <f t="shared" si="84"/>
        <v>0.65145592958786691</v>
      </c>
      <c r="AB124" s="4">
        <f t="shared" si="84"/>
        <v>0.56032247880849573</v>
      </c>
      <c r="AC124" s="4">
        <f t="shared" si="84"/>
        <v>0.46411326873185343</v>
      </c>
      <c r="AD124" s="4">
        <f t="shared" si="84"/>
        <v>0.36979727595523937</v>
      </c>
      <c r="AE124" s="4">
        <f t="shared" si="84"/>
        <v>0.28393948637231203</v>
      </c>
      <c r="AF124" s="4">
        <f t="shared" si="84"/>
        <v>0.21097259161117732</v>
      </c>
      <c r="AG124" s="4">
        <f t="shared" si="84"/>
        <v>0.15253917653798199</v>
      </c>
      <c r="AH124" s="4">
        <f t="shared" si="84"/>
        <v>0.10795188737709993</v>
      </c>
      <c r="AI124" s="4">
        <f t="shared" si="84"/>
        <v>7.5176653938091809E-2</v>
      </c>
      <c r="AJ124" s="4">
        <f t="shared" si="84"/>
        <v>5.1742836177502194E-2</v>
      </c>
      <c r="AK124" s="4">
        <f t="shared" si="84"/>
        <v>3.5319190625345942E-2</v>
      </c>
      <c r="AL124" s="4">
        <f t="shared" si="84"/>
        <v>2.3969442072658165E-2</v>
      </c>
      <c r="AM124" s="4">
        <f t="shared" si="84"/>
        <v>1.6202243558389728E-2</v>
      </c>
      <c r="AN124" s="4">
        <f t="shared" si="84"/>
        <v>1.0922240564108399E-2</v>
      </c>
      <c r="AO124" s="4">
        <f t="shared" si="84"/>
        <v>7.3493212906090566E-3</v>
      </c>
      <c r="AP124" s="4">
        <f t="shared" si="84"/>
        <v>4.9390262185057265E-3</v>
      </c>
      <c r="AQ124" s="4">
        <f t="shared" si="84"/>
        <v>3.3164275492956197E-3</v>
      </c>
      <c r="AR124" s="4">
        <f t="shared" si="84"/>
        <v>2.2256362146679809E-3</v>
      </c>
    </row>
    <row r="125" spans="1:44" x14ac:dyDescent="0.3">
      <c r="A125" s="24" t="s">
        <v>59</v>
      </c>
      <c r="B125" s="47">
        <f>'Parameter Input'!$L$81</f>
        <v>62.083200000000005</v>
      </c>
      <c r="C125" s="48">
        <f>'Parameter Input'!$M$81</f>
        <v>62.083200000000005</v>
      </c>
      <c r="D125" s="1" t="s">
        <v>60</v>
      </c>
      <c r="L125" s="54">
        <f>'Parameter Input'!$O$81</f>
        <v>12</v>
      </c>
      <c r="M125" s="37">
        <v>0</v>
      </c>
      <c r="N125" s="37">
        <v>1</v>
      </c>
      <c r="O125" s="37">
        <f>'Parameter Input'!$P$81</f>
        <v>0.9</v>
      </c>
      <c r="P125" s="55">
        <f>'Parameter Input'!$Q$81</f>
        <v>0.4</v>
      </c>
      <c r="Q125" s="4">
        <f t="shared" si="84"/>
        <v>0.9867978615748374</v>
      </c>
      <c r="R125" s="4">
        <f t="shared" si="84"/>
        <v>0.98114509762858249</v>
      </c>
      <c r="S125" s="4">
        <f t="shared" si="84"/>
        <v>0.97311898315872036</v>
      </c>
      <c r="T125" s="4">
        <f t="shared" si="84"/>
        <v>0.96177484161592774</v>
      </c>
      <c r="U125" s="4">
        <f t="shared" si="84"/>
        <v>0.94584787155511363</v>
      </c>
      <c r="V125" s="4">
        <f t="shared" si="84"/>
        <v>0.92370360150141495</v>
      </c>
      <c r="W125" s="4">
        <f t="shared" si="84"/>
        <v>0.89334463567658451</v>
      </c>
      <c r="X125" s="4">
        <f t="shared" si="84"/>
        <v>0.85254543874327005</v>
      </c>
      <c r="Y125" s="4">
        <f t="shared" si="84"/>
        <v>0.79921300652623883</v>
      </c>
      <c r="Z125" s="4">
        <f t="shared" si="84"/>
        <v>0.73204982249993378</v>
      </c>
      <c r="AA125" s="4">
        <f t="shared" si="84"/>
        <v>0.65145592958786691</v>
      </c>
      <c r="AB125" s="4">
        <f t="shared" si="84"/>
        <v>0.56032247880849573</v>
      </c>
      <c r="AC125" s="4">
        <f t="shared" si="84"/>
        <v>0.46411326873185343</v>
      </c>
      <c r="AD125" s="4">
        <f t="shared" si="84"/>
        <v>0.36979727595523937</v>
      </c>
      <c r="AE125" s="4">
        <f t="shared" si="84"/>
        <v>0.28393948637231203</v>
      </c>
      <c r="AF125" s="4">
        <f t="shared" si="84"/>
        <v>0.21097259161117732</v>
      </c>
      <c r="AG125" s="4">
        <f t="shared" si="84"/>
        <v>0.15253917653798199</v>
      </c>
      <c r="AH125" s="4">
        <f t="shared" si="84"/>
        <v>0.10795188737709993</v>
      </c>
      <c r="AI125" s="4">
        <f t="shared" si="84"/>
        <v>7.5176653938091809E-2</v>
      </c>
      <c r="AJ125" s="4">
        <f t="shared" si="84"/>
        <v>5.1742836177502194E-2</v>
      </c>
      <c r="AK125" s="4">
        <f t="shared" si="84"/>
        <v>3.5319190625345942E-2</v>
      </c>
      <c r="AL125" s="4">
        <f t="shared" si="84"/>
        <v>2.3969442072658165E-2</v>
      </c>
      <c r="AM125" s="4">
        <f t="shared" si="84"/>
        <v>1.6202243558389728E-2</v>
      </c>
      <c r="AN125" s="4">
        <f t="shared" si="84"/>
        <v>1.0922240564108399E-2</v>
      </c>
      <c r="AO125" s="4">
        <f t="shared" si="84"/>
        <v>7.3493212906090566E-3</v>
      </c>
      <c r="AP125" s="4">
        <f t="shared" si="84"/>
        <v>4.9390262185057265E-3</v>
      </c>
      <c r="AQ125" s="4">
        <f t="shared" si="84"/>
        <v>3.3164275492956197E-3</v>
      </c>
      <c r="AR125" s="4">
        <f t="shared" si="84"/>
        <v>2.2256362146679809E-3</v>
      </c>
    </row>
    <row r="126" spans="1:44" x14ac:dyDescent="0.3">
      <c r="A126" s="24" t="s">
        <v>67</v>
      </c>
      <c r="B126" s="45">
        <f>'Parameter Input'!$L$82</f>
        <v>0.1</v>
      </c>
      <c r="C126" s="46">
        <f>'Parameter Input'!$M$82</f>
        <v>0.1</v>
      </c>
      <c r="D126" s="1" t="s">
        <v>68</v>
      </c>
      <c r="L126" s="54">
        <f>'Parameter Input'!$O$82</f>
        <v>12</v>
      </c>
      <c r="M126" s="37">
        <v>0</v>
      </c>
      <c r="N126" s="37">
        <v>1</v>
      </c>
      <c r="O126" s="37">
        <f>'Parameter Input'!$P$82</f>
        <v>0.9</v>
      </c>
      <c r="P126" s="55">
        <f>'Parameter Input'!$Q$82</f>
        <v>0.4</v>
      </c>
      <c r="Q126" s="4">
        <f t="shared" si="84"/>
        <v>0.9867978615748374</v>
      </c>
      <c r="R126" s="4">
        <f t="shared" si="84"/>
        <v>0.98114509762858249</v>
      </c>
      <c r="S126" s="4">
        <f t="shared" si="84"/>
        <v>0.97311898315872036</v>
      </c>
      <c r="T126" s="4">
        <f t="shared" ref="T126:AI133" si="85">$N126+($M126-$N126)*((1/(1+EXP(-$P126*(T$9-$L126)))^$O126))</f>
        <v>0.96177484161592774</v>
      </c>
      <c r="U126" s="4">
        <f t="shared" si="85"/>
        <v>0.94584787155511363</v>
      </c>
      <c r="V126" s="4">
        <f t="shared" si="85"/>
        <v>0.92370360150141495</v>
      </c>
      <c r="W126" s="4">
        <f t="shared" si="85"/>
        <v>0.89334463567658451</v>
      </c>
      <c r="X126" s="4">
        <f t="shared" si="85"/>
        <v>0.85254543874327005</v>
      </c>
      <c r="Y126" s="4">
        <f t="shared" si="85"/>
        <v>0.79921300652623883</v>
      </c>
      <c r="Z126" s="4">
        <f t="shared" si="85"/>
        <v>0.73204982249993378</v>
      </c>
      <c r="AA126" s="4">
        <f t="shared" si="85"/>
        <v>0.65145592958786691</v>
      </c>
      <c r="AB126" s="4">
        <f t="shared" si="85"/>
        <v>0.56032247880849573</v>
      </c>
      <c r="AC126" s="4">
        <f t="shared" si="85"/>
        <v>0.46411326873185343</v>
      </c>
      <c r="AD126" s="4">
        <f t="shared" si="85"/>
        <v>0.36979727595523937</v>
      </c>
      <c r="AE126" s="4">
        <f t="shared" si="85"/>
        <v>0.28393948637231203</v>
      </c>
      <c r="AF126" s="4">
        <f t="shared" si="85"/>
        <v>0.21097259161117732</v>
      </c>
      <c r="AG126" s="4">
        <f t="shared" si="85"/>
        <v>0.15253917653798199</v>
      </c>
      <c r="AH126" s="4">
        <f t="shared" si="85"/>
        <v>0.10795188737709993</v>
      </c>
      <c r="AI126" s="4">
        <f t="shared" si="85"/>
        <v>7.5176653938091809E-2</v>
      </c>
      <c r="AJ126" s="4">
        <f t="shared" ref="AJ126:AR133" si="86">$N126+($M126-$N126)*((1/(1+EXP(-$P126*(AJ$9-$L126)))^$O126))</f>
        <v>5.1742836177502194E-2</v>
      </c>
      <c r="AK126" s="4">
        <f t="shared" si="86"/>
        <v>3.5319190625345942E-2</v>
      </c>
      <c r="AL126" s="4">
        <f t="shared" si="86"/>
        <v>2.3969442072658165E-2</v>
      </c>
      <c r="AM126" s="4">
        <f t="shared" si="86"/>
        <v>1.6202243558389728E-2</v>
      </c>
      <c r="AN126" s="4">
        <f t="shared" si="86"/>
        <v>1.0922240564108399E-2</v>
      </c>
      <c r="AO126" s="4">
        <f t="shared" si="86"/>
        <v>7.3493212906090566E-3</v>
      </c>
      <c r="AP126" s="4">
        <f t="shared" si="86"/>
        <v>4.9390262185057265E-3</v>
      </c>
      <c r="AQ126" s="4">
        <f t="shared" si="86"/>
        <v>3.3164275492956197E-3</v>
      </c>
      <c r="AR126" s="4">
        <f t="shared" si="86"/>
        <v>2.2256362146679809E-3</v>
      </c>
    </row>
    <row r="127" spans="1:44" x14ac:dyDescent="0.3">
      <c r="A127" s="24" t="s">
        <v>206</v>
      </c>
      <c r="B127" s="45">
        <f>'Parameter Input'!L85</f>
        <v>1.6552039024390244</v>
      </c>
      <c r="C127" s="46">
        <f>'Parameter Input'!M85</f>
        <v>5.7932136585365859</v>
      </c>
      <c r="D127" s="1"/>
      <c r="L127" s="54">
        <f>'Parameter Input'!O85</f>
        <v>17</v>
      </c>
      <c r="M127" s="37">
        <v>0</v>
      </c>
      <c r="N127" s="37">
        <v>1</v>
      </c>
      <c r="O127" s="37">
        <f>'Parameter Input'!P85</f>
        <v>0.9</v>
      </c>
      <c r="P127" s="55">
        <f>'Parameter Input'!Q85</f>
        <v>0.4</v>
      </c>
      <c r="Q127" s="4">
        <f t="shared" ref="Q127:AR127" si="87">$N127+($M127-$N127)*((1/(1+EXP(-$P127*(Q$9-$L127)))^$O127))</f>
        <v>0.99780374543478534</v>
      </c>
      <c r="R127" s="4">
        <f t="shared" si="87"/>
        <v>0.99685359315256394</v>
      </c>
      <c r="S127" s="4">
        <f t="shared" si="87"/>
        <v>0.99549347132349975</v>
      </c>
      <c r="T127" s="4">
        <f t="shared" si="87"/>
        <v>0.99354772139898062</v>
      </c>
      <c r="U127" s="4">
        <f t="shared" si="87"/>
        <v>0.99076681540580536</v>
      </c>
      <c r="V127" s="4">
        <f t="shared" si="87"/>
        <v>0.9867978615748374</v>
      </c>
      <c r="W127" s="4">
        <f t="shared" si="87"/>
        <v>0.98114509762858249</v>
      </c>
      <c r="X127" s="4">
        <f t="shared" si="87"/>
        <v>0.97311898315872036</v>
      </c>
      <c r="Y127" s="4">
        <f t="shared" si="87"/>
        <v>0.96177484161592774</v>
      </c>
      <c r="Z127" s="4">
        <f t="shared" si="87"/>
        <v>0.94584787155511363</v>
      </c>
      <c r="AA127" s="4">
        <f t="shared" si="87"/>
        <v>0.92370360150141495</v>
      </c>
      <c r="AB127" s="4">
        <f t="shared" si="87"/>
        <v>0.89334463567658451</v>
      </c>
      <c r="AC127" s="4">
        <f t="shared" si="87"/>
        <v>0.85254543874327005</v>
      </c>
      <c r="AD127" s="4">
        <f t="shared" si="87"/>
        <v>0.79921300652623883</v>
      </c>
      <c r="AE127" s="4">
        <f t="shared" si="87"/>
        <v>0.73204982249993378</v>
      </c>
      <c r="AF127" s="4">
        <f t="shared" si="87"/>
        <v>0.65145592958786691</v>
      </c>
      <c r="AG127" s="4">
        <f t="shared" si="87"/>
        <v>0.56032247880849573</v>
      </c>
      <c r="AH127" s="4">
        <f t="shared" si="87"/>
        <v>0.46411326873185343</v>
      </c>
      <c r="AI127" s="4">
        <f t="shared" si="87"/>
        <v>0.36979727595523937</v>
      </c>
      <c r="AJ127" s="4">
        <f t="shared" si="87"/>
        <v>0.28393948637231203</v>
      </c>
      <c r="AK127" s="4">
        <f t="shared" si="87"/>
        <v>0.21097259161117732</v>
      </c>
      <c r="AL127" s="4">
        <f t="shared" si="87"/>
        <v>0.15253917653798199</v>
      </c>
      <c r="AM127" s="4">
        <f t="shared" si="87"/>
        <v>0.10795188737709993</v>
      </c>
      <c r="AN127" s="4">
        <f t="shared" si="87"/>
        <v>7.5176653938091809E-2</v>
      </c>
      <c r="AO127" s="4">
        <f t="shared" si="87"/>
        <v>5.1742836177502194E-2</v>
      </c>
      <c r="AP127" s="4">
        <f t="shared" si="87"/>
        <v>3.5319190625345942E-2</v>
      </c>
      <c r="AQ127" s="4">
        <f t="shared" si="87"/>
        <v>2.3969442072658165E-2</v>
      </c>
      <c r="AR127" s="4">
        <f t="shared" si="87"/>
        <v>1.6202243558389728E-2</v>
      </c>
    </row>
    <row r="128" spans="1:44" x14ac:dyDescent="0.3">
      <c r="A128" s="24" t="s">
        <v>41</v>
      </c>
      <c r="B128" s="43">
        <f>'Parameter Input'!$L$79</f>
        <v>20</v>
      </c>
      <c r="C128" s="44">
        <f>'Parameter Input'!$M$79</f>
        <v>20</v>
      </c>
      <c r="D128" s="1" t="s">
        <v>42</v>
      </c>
      <c r="L128" s="54">
        <f>'Parameter Input'!$O$79</f>
        <v>12</v>
      </c>
      <c r="M128" s="37">
        <v>0</v>
      </c>
      <c r="N128" s="37">
        <v>1</v>
      </c>
      <c r="O128" s="37">
        <f>'Parameter Input'!$P$79</f>
        <v>0.9</v>
      </c>
      <c r="P128" s="55">
        <f>'Parameter Input'!$Q$79</f>
        <v>0.4</v>
      </c>
      <c r="Q128" s="4">
        <f t="shared" ref="Q128:AF133" si="88">$N128+($M128-$N128)*((1/(1+EXP(-$P128*(Q$9-$L128)))^$O128))</f>
        <v>0.9867978615748374</v>
      </c>
      <c r="R128" s="4">
        <f t="shared" si="88"/>
        <v>0.98114509762858249</v>
      </c>
      <c r="S128" s="4">
        <f t="shared" si="88"/>
        <v>0.97311898315872036</v>
      </c>
      <c r="T128" s="4">
        <f t="shared" si="88"/>
        <v>0.96177484161592774</v>
      </c>
      <c r="U128" s="4">
        <f t="shared" si="88"/>
        <v>0.94584787155511363</v>
      </c>
      <c r="V128" s="4">
        <f t="shared" si="88"/>
        <v>0.92370360150141495</v>
      </c>
      <c r="W128" s="4">
        <f t="shared" si="88"/>
        <v>0.89334463567658451</v>
      </c>
      <c r="X128" s="4">
        <f t="shared" si="88"/>
        <v>0.85254543874327005</v>
      </c>
      <c r="Y128" s="4">
        <f t="shared" si="88"/>
        <v>0.79921300652623883</v>
      </c>
      <c r="Z128" s="4">
        <f t="shared" si="88"/>
        <v>0.73204982249993378</v>
      </c>
      <c r="AA128" s="4">
        <f t="shared" si="88"/>
        <v>0.65145592958786691</v>
      </c>
      <c r="AB128" s="4">
        <f t="shared" si="88"/>
        <v>0.56032247880849573</v>
      </c>
      <c r="AC128" s="4">
        <f t="shared" si="88"/>
        <v>0.46411326873185343</v>
      </c>
      <c r="AD128" s="4">
        <f t="shared" si="88"/>
        <v>0.36979727595523937</v>
      </c>
      <c r="AE128" s="4">
        <f t="shared" si="88"/>
        <v>0.28393948637231203</v>
      </c>
      <c r="AF128" s="4">
        <f t="shared" si="88"/>
        <v>0.21097259161117732</v>
      </c>
      <c r="AG128" s="4">
        <f t="shared" si="85"/>
        <v>0.15253917653798199</v>
      </c>
      <c r="AH128" s="4">
        <f t="shared" si="85"/>
        <v>0.10795188737709993</v>
      </c>
      <c r="AI128" s="4">
        <f t="shared" si="85"/>
        <v>7.5176653938091809E-2</v>
      </c>
      <c r="AJ128" s="4">
        <f t="shared" si="86"/>
        <v>5.1742836177502194E-2</v>
      </c>
      <c r="AK128" s="4">
        <f t="shared" si="86"/>
        <v>3.5319190625345942E-2</v>
      </c>
      <c r="AL128" s="4">
        <f t="shared" si="86"/>
        <v>2.3969442072658165E-2</v>
      </c>
      <c r="AM128" s="4">
        <f t="shared" si="86"/>
        <v>1.6202243558389728E-2</v>
      </c>
      <c r="AN128" s="4">
        <f t="shared" si="86"/>
        <v>1.0922240564108399E-2</v>
      </c>
      <c r="AO128" s="4">
        <f t="shared" si="86"/>
        <v>7.3493212906090566E-3</v>
      </c>
      <c r="AP128" s="4">
        <f t="shared" si="86"/>
        <v>4.9390262185057265E-3</v>
      </c>
      <c r="AQ128" s="4">
        <f t="shared" si="86"/>
        <v>3.3164275492956197E-3</v>
      </c>
      <c r="AR128" s="4">
        <f t="shared" si="86"/>
        <v>2.2256362146679809E-3</v>
      </c>
    </row>
    <row r="129" spans="1:44" x14ac:dyDescent="0.3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88"/>
        <v>0.9867978615748374</v>
      </c>
      <c r="R129" s="4">
        <f t="shared" si="88"/>
        <v>0.98114509762858249</v>
      </c>
      <c r="S129" s="4">
        <f t="shared" si="88"/>
        <v>0.97311898315872036</v>
      </c>
      <c r="T129" s="4">
        <f t="shared" si="88"/>
        <v>0.96177484161592774</v>
      </c>
      <c r="U129" s="4">
        <f t="shared" si="88"/>
        <v>0.94584787155511363</v>
      </c>
      <c r="V129" s="4">
        <f t="shared" si="88"/>
        <v>0.92370360150141495</v>
      </c>
      <c r="W129" s="4">
        <f t="shared" si="88"/>
        <v>0.89334463567658451</v>
      </c>
      <c r="X129" s="4">
        <f t="shared" si="88"/>
        <v>0.85254543874327005</v>
      </c>
      <c r="Y129" s="4">
        <f t="shared" si="88"/>
        <v>0.79921300652623883</v>
      </c>
      <c r="Z129" s="4">
        <f t="shared" si="88"/>
        <v>0.73204982249993378</v>
      </c>
      <c r="AA129" s="4">
        <f t="shared" si="88"/>
        <v>0.65145592958786691</v>
      </c>
      <c r="AB129" s="4">
        <f t="shared" si="88"/>
        <v>0.56032247880849573</v>
      </c>
      <c r="AC129" s="4">
        <f t="shared" si="88"/>
        <v>0.46411326873185343</v>
      </c>
      <c r="AD129" s="4">
        <f t="shared" si="88"/>
        <v>0.36979727595523937</v>
      </c>
      <c r="AE129" s="4">
        <f t="shared" si="88"/>
        <v>0.28393948637231203</v>
      </c>
      <c r="AF129" s="4">
        <f t="shared" si="88"/>
        <v>0.21097259161117732</v>
      </c>
      <c r="AG129" s="4">
        <f t="shared" si="85"/>
        <v>0.15253917653798199</v>
      </c>
      <c r="AH129" s="4">
        <f t="shared" si="85"/>
        <v>0.10795188737709993</v>
      </c>
      <c r="AI129" s="4">
        <f t="shared" si="85"/>
        <v>7.5176653938091809E-2</v>
      </c>
      <c r="AJ129" s="4">
        <f t="shared" si="86"/>
        <v>5.1742836177502194E-2</v>
      </c>
      <c r="AK129" s="4">
        <f t="shared" si="86"/>
        <v>3.5319190625345942E-2</v>
      </c>
      <c r="AL129" s="4">
        <f t="shared" si="86"/>
        <v>2.3969442072658165E-2</v>
      </c>
      <c r="AM129" s="4">
        <f t="shared" si="86"/>
        <v>1.6202243558389728E-2</v>
      </c>
      <c r="AN129" s="4">
        <f t="shared" si="86"/>
        <v>1.0922240564108399E-2</v>
      </c>
      <c r="AO129" s="4">
        <f t="shared" si="86"/>
        <v>7.3493212906090566E-3</v>
      </c>
      <c r="AP129" s="4">
        <f t="shared" si="86"/>
        <v>4.9390262185057265E-3</v>
      </c>
      <c r="AQ129" s="4">
        <f t="shared" si="86"/>
        <v>3.3164275492956197E-3</v>
      </c>
      <c r="AR129" s="4">
        <f t="shared" si="86"/>
        <v>2.2256362146679809E-3</v>
      </c>
    </row>
    <row r="130" spans="1:44" x14ac:dyDescent="0.3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88"/>
        <v>0.9867978615748374</v>
      </c>
      <c r="R130" s="4">
        <f t="shared" si="88"/>
        <v>0.98114509762858249</v>
      </c>
      <c r="S130" s="4">
        <f t="shared" si="88"/>
        <v>0.97311898315872036</v>
      </c>
      <c r="T130" s="4">
        <f t="shared" si="88"/>
        <v>0.96177484161592774</v>
      </c>
      <c r="U130" s="4">
        <f t="shared" si="88"/>
        <v>0.94584787155511363</v>
      </c>
      <c r="V130" s="4">
        <f t="shared" si="88"/>
        <v>0.92370360150141495</v>
      </c>
      <c r="W130" s="4">
        <f t="shared" si="88"/>
        <v>0.89334463567658451</v>
      </c>
      <c r="X130" s="4">
        <f t="shared" si="88"/>
        <v>0.85254543874327005</v>
      </c>
      <c r="Y130" s="4">
        <f t="shared" si="88"/>
        <v>0.79921300652623883</v>
      </c>
      <c r="Z130" s="4">
        <f t="shared" si="88"/>
        <v>0.73204982249993378</v>
      </c>
      <c r="AA130" s="4">
        <f t="shared" si="88"/>
        <v>0.65145592958786691</v>
      </c>
      <c r="AB130" s="4">
        <f t="shared" si="88"/>
        <v>0.56032247880849573</v>
      </c>
      <c r="AC130" s="4">
        <f t="shared" si="88"/>
        <v>0.46411326873185343</v>
      </c>
      <c r="AD130" s="4">
        <f t="shared" si="88"/>
        <v>0.36979727595523937</v>
      </c>
      <c r="AE130" s="4">
        <f t="shared" si="88"/>
        <v>0.28393948637231203</v>
      </c>
      <c r="AF130" s="4">
        <f t="shared" si="88"/>
        <v>0.21097259161117732</v>
      </c>
      <c r="AG130" s="4">
        <f t="shared" si="85"/>
        <v>0.15253917653798199</v>
      </c>
      <c r="AH130" s="4">
        <f t="shared" si="85"/>
        <v>0.10795188737709993</v>
      </c>
      <c r="AI130" s="4">
        <f t="shared" si="85"/>
        <v>7.5176653938091809E-2</v>
      </c>
      <c r="AJ130" s="4">
        <f t="shared" si="86"/>
        <v>5.1742836177502194E-2</v>
      </c>
      <c r="AK130" s="4">
        <f t="shared" si="86"/>
        <v>3.5319190625345942E-2</v>
      </c>
      <c r="AL130" s="4">
        <f t="shared" si="86"/>
        <v>2.3969442072658165E-2</v>
      </c>
      <c r="AM130" s="4">
        <f t="shared" si="86"/>
        <v>1.6202243558389728E-2</v>
      </c>
      <c r="AN130" s="4">
        <f t="shared" si="86"/>
        <v>1.0922240564108399E-2</v>
      </c>
      <c r="AO130" s="4">
        <f t="shared" si="86"/>
        <v>7.3493212906090566E-3</v>
      </c>
      <c r="AP130" s="4">
        <f t="shared" si="86"/>
        <v>4.9390262185057265E-3</v>
      </c>
      <c r="AQ130" s="4">
        <f t="shared" si="86"/>
        <v>3.3164275492956197E-3</v>
      </c>
      <c r="AR130" s="4">
        <f t="shared" si="86"/>
        <v>2.2256362146679809E-3</v>
      </c>
    </row>
    <row r="131" spans="1:44" x14ac:dyDescent="0.3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88"/>
        <v>0.9867978615748374</v>
      </c>
      <c r="R131" s="4">
        <f t="shared" si="88"/>
        <v>0.98114509762858249</v>
      </c>
      <c r="S131" s="4">
        <f t="shared" si="88"/>
        <v>0.97311898315872036</v>
      </c>
      <c r="T131" s="4">
        <f t="shared" si="88"/>
        <v>0.96177484161592774</v>
      </c>
      <c r="U131" s="4">
        <f t="shared" si="88"/>
        <v>0.94584787155511363</v>
      </c>
      <c r="V131" s="4">
        <f t="shared" si="88"/>
        <v>0.92370360150141495</v>
      </c>
      <c r="W131" s="4">
        <f t="shared" si="88"/>
        <v>0.89334463567658451</v>
      </c>
      <c r="X131" s="4">
        <f t="shared" si="88"/>
        <v>0.85254543874327005</v>
      </c>
      <c r="Y131" s="4">
        <f t="shared" si="88"/>
        <v>0.79921300652623883</v>
      </c>
      <c r="Z131" s="4">
        <f t="shared" si="88"/>
        <v>0.73204982249993378</v>
      </c>
      <c r="AA131" s="4">
        <f t="shared" si="88"/>
        <v>0.65145592958786691</v>
      </c>
      <c r="AB131" s="4">
        <f t="shared" si="88"/>
        <v>0.56032247880849573</v>
      </c>
      <c r="AC131" s="4">
        <f t="shared" si="88"/>
        <v>0.46411326873185343</v>
      </c>
      <c r="AD131" s="4">
        <f t="shared" si="88"/>
        <v>0.36979727595523937</v>
      </c>
      <c r="AE131" s="4">
        <f t="shared" si="88"/>
        <v>0.28393948637231203</v>
      </c>
      <c r="AF131" s="4">
        <f t="shared" si="88"/>
        <v>0.21097259161117732</v>
      </c>
      <c r="AG131" s="4">
        <f t="shared" si="85"/>
        <v>0.15253917653798199</v>
      </c>
      <c r="AH131" s="4">
        <f t="shared" si="85"/>
        <v>0.10795188737709993</v>
      </c>
      <c r="AI131" s="4">
        <f t="shared" si="85"/>
        <v>7.5176653938091809E-2</v>
      </c>
      <c r="AJ131" s="4">
        <f t="shared" si="86"/>
        <v>5.1742836177502194E-2</v>
      </c>
      <c r="AK131" s="4">
        <f t="shared" si="86"/>
        <v>3.5319190625345942E-2</v>
      </c>
      <c r="AL131" s="4">
        <f t="shared" si="86"/>
        <v>2.3969442072658165E-2</v>
      </c>
      <c r="AM131" s="4">
        <f t="shared" si="86"/>
        <v>1.6202243558389728E-2</v>
      </c>
      <c r="AN131" s="4">
        <f t="shared" si="86"/>
        <v>1.0922240564108399E-2</v>
      </c>
      <c r="AO131" s="4">
        <f t="shared" si="86"/>
        <v>7.3493212906090566E-3</v>
      </c>
      <c r="AP131" s="4">
        <f t="shared" si="86"/>
        <v>4.9390262185057265E-3</v>
      </c>
      <c r="AQ131" s="4">
        <f t="shared" si="86"/>
        <v>3.3164275492956197E-3</v>
      </c>
      <c r="AR131" s="4">
        <f t="shared" si="86"/>
        <v>2.2256362146679809E-3</v>
      </c>
    </row>
    <row r="132" spans="1:44" x14ac:dyDescent="0.3">
      <c r="A132" s="24" t="s">
        <v>73</v>
      </c>
      <c r="B132" s="72">
        <f>'Parameter Input'!$L$83</f>
        <v>0</v>
      </c>
      <c r="C132" s="73">
        <f>'Parameter Input'!$M$83</f>
        <v>0</v>
      </c>
      <c r="D132" s="1" t="s">
        <v>57</v>
      </c>
      <c r="L132" s="54">
        <f>'Parameter Input'!$O$83</f>
        <v>12</v>
      </c>
      <c r="M132" s="37">
        <v>0</v>
      </c>
      <c r="N132" s="37">
        <v>1</v>
      </c>
      <c r="O132" s="37">
        <f>'Parameter Input'!$P$83</f>
        <v>0.9</v>
      </c>
      <c r="P132" s="55">
        <f>'Parameter Input'!$Q$83</f>
        <v>0.4</v>
      </c>
      <c r="Q132" s="4">
        <f t="shared" si="88"/>
        <v>0.9867978615748374</v>
      </c>
      <c r="R132" s="4">
        <f t="shared" si="88"/>
        <v>0.98114509762858249</v>
      </c>
      <c r="S132" s="4">
        <f t="shared" si="88"/>
        <v>0.97311898315872036</v>
      </c>
      <c r="T132" s="4">
        <f t="shared" si="88"/>
        <v>0.96177484161592774</v>
      </c>
      <c r="U132" s="4">
        <f t="shared" si="88"/>
        <v>0.94584787155511363</v>
      </c>
      <c r="V132" s="4">
        <f t="shared" si="88"/>
        <v>0.92370360150141495</v>
      </c>
      <c r="W132" s="4">
        <f t="shared" si="88"/>
        <v>0.89334463567658451</v>
      </c>
      <c r="X132" s="4">
        <f t="shared" si="88"/>
        <v>0.85254543874327005</v>
      </c>
      <c r="Y132" s="4">
        <f t="shared" si="88"/>
        <v>0.79921300652623883</v>
      </c>
      <c r="Z132" s="4">
        <f t="shared" si="88"/>
        <v>0.73204982249993378</v>
      </c>
      <c r="AA132" s="4">
        <f t="shared" si="88"/>
        <v>0.65145592958786691</v>
      </c>
      <c r="AB132" s="4">
        <f t="shared" si="88"/>
        <v>0.56032247880849573</v>
      </c>
      <c r="AC132" s="4">
        <f t="shared" si="88"/>
        <v>0.46411326873185343</v>
      </c>
      <c r="AD132" s="4">
        <f t="shared" si="88"/>
        <v>0.36979727595523937</v>
      </c>
      <c r="AE132" s="4">
        <f t="shared" si="88"/>
        <v>0.28393948637231203</v>
      </c>
      <c r="AF132" s="4">
        <f t="shared" si="88"/>
        <v>0.21097259161117732</v>
      </c>
      <c r="AG132" s="4">
        <f t="shared" si="85"/>
        <v>0.15253917653798199</v>
      </c>
      <c r="AH132" s="4">
        <f t="shared" si="85"/>
        <v>0.10795188737709993</v>
      </c>
      <c r="AI132" s="4">
        <f t="shared" si="85"/>
        <v>7.5176653938091809E-2</v>
      </c>
      <c r="AJ132" s="4">
        <f t="shared" si="86"/>
        <v>5.1742836177502194E-2</v>
      </c>
      <c r="AK132" s="4">
        <f t="shared" si="86"/>
        <v>3.5319190625345942E-2</v>
      </c>
      <c r="AL132" s="4">
        <f t="shared" si="86"/>
        <v>2.3969442072658165E-2</v>
      </c>
      <c r="AM132" s="4">
        <f t="shared" si="86"/>
        <v>1.6202243558389728E-2</v>
      </c>
      <c r="AN132" s="4">
        <f t="shared" si="86"/>
        <v>1.0922240564108399E-2</v>
      </c>
      <c r="AO132" s="4">
        <f t="shared" si="86"/>
        <v>7.3493212906090566E-3</v>
      </c>
      <c r="AP132" s="4">
        <f t="shared" si="86"/>
        <v>4.9390262185057265E-3</v>
      </c>
      <c r="AQ132" s="4">
        <f t="shared" si="86"/>
        <v>3.3164275492956197E-3</v>
      </c>
      <c r="AR132" s="4">
        <f t="shared" si="86"/>
        <v>2.2256362146679809E-3</v>
      </c>
    </row>
    <row r="133" spans="1:44" ht="15" thickBot="1" x14ac:dyDescent="0.35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88"/>
        <v>0.9867978615748374</v>
      </c>
      <c r="R133" s="4">
        <f t="shared" si="88"/>
        <v>0.98114509762858249</v>
      </c>
      <c r="S133" s="4">
        <f t="shared" si="88"/>
        <v>0.97311898315872036</v>
      </c>
      <c r="T133" s="4">
        <f t="shared" si="88"/>
        <v>0.96177484161592774</v>
      </c>
      <c r="U133" s="4">
        <f t="shared" si="88"/>
        <v>0.94584787155511363</v>
      </c>
      <c r="V133" s="4">
        <f t="shared" si="88"/>
        <v>0.92370360150141495</v>
      </c>
      <c r="W133" s="4">
        <f t="shared" si="88"/>
        <v>0.89334463567658451</v>
      </c>
      <c r="X133" s="4">
        <f t="shared" si="88"/>
        <v>0.85254543874327005</v>
      </c>
      <c r="Y133" s="4">
        <f t="shared" si="88"/>
        <v>0.79921300652623883</v>
      </c>
      <c r="Z133" s="4">
        <f t="shared" si="88"/>
        <v>0.73204982249993378</v>
      </c>
      <c r="AA133" s="4">
        <f t="shared" si="88"/>
        <v>0.65145592958786691</v>
      </c>
      <c r="AB133" s="4">
        <f t="shared" si="88"/>
        <v>0.56032247880849573</v>
      </c>
      <c r="AC133" s="4">
        <f t="shared" si="88"/>
        <v>0.46411326873185343</v>
      </c>
      <c r="AD133" s="4">
        <f t="shared" si="88"/>
        <v>0.36979727595523937</v>
      </c>
      <c r="AE133" s="4">
        <f t="shared" si="88"/>
        <v>0.28393948637231203</v>
      </c>
      <c r="AF133" s="4">
        <f t="shared" si="88"/>
        <v>0.21097259161117732</v>
      </c>
      <c r="AG133" s="4">
        <f t="shared" si="85"/>
        <v>0.15253917653798199</v>
      </c>
      <c r="AH133" s="4">
        <f t="shared" si="85"/>
        <v>0.10795188737709993</v>
      </c>
      <c r="AI133" s="4">
        <f t="shared" si="85"/>
        <v>7.5176653938091809E-2</v>
      </c>
      <c r="AJ133" s="4">
        <f t="shared" si="86"/>
        <v>5.1742836177502194E-2</v>
      </c>
      <c r="AK133" s="4">
        <f t="shared" si="86"/>
        <v>3.5319190625345942E-2</v>
      </c>
      <c r="AL133" s="4">
        <f t="shared" si="86"/>
        <v>2.3969442072658165E-2</v>
      </c>
      <c r="AM133" s="4">
        <f t="shared" si="86"/>
        <v>1.6202243558389728E-2</v>
      </c>
      <c r="AN133" s="4">
        <f t="shared" si="86"/>
        <v>1.0922240564108399E-2</v>
      </c>
      <c r="AO133" s="4">
        <f t="shared" si="86"/>
        <v>7.3493212906090566E-3</v>
      </c>
      <c r="AP133" s="4">
        <f t="shared" si="86"/>
        <v>4.9390262185057265E-3</v>
      </c>
      <c r="AQ133" s="4">
        <f t="shared" si="86"/>
        <v>3.3164275492956197E-3</v>
      </c>
      <c r="AR133" s="4">
        <f t="shared" si="86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51" si="89">A117</f>
        <v>Capex vehicle</v>
      </c>
      <c r="B137" s="62">
        <f t="shared" ref="B137:B146" si="90">$B117+($C117-$B117)*(1-Q117)</f>
        <v>3500000</v>
      </c>
      <c r="C137" s="62">
        <f t="shared" ref="C137:C146" si="91">$B117+($C117-$B117)*(1-R117)</f>
        <v>3500000</v>
      </c>
      <c r="D137" s="62">
        <f t="shared" ref="D137:D146" si="92">$B117+($C117-$B117)*(1-S117)</f>
        <v>3500000</v>
      </c>
      <c r="E137" s="62">
        <f t="shared" ref="E137:E146" si="93">$B117+($C117-$B117)*(1-T117)</f>
        <v>3500000</v>
      </c>
      <c r="F137" s="62">
        <f t="shared" ref="F137:F146" si="94">$B117+($C117-$B117)*(1-U117)</f>
        <v>3500000</v>
      </c>
      <c r="G137" s="62">
        <f t="shared" ref="G137:G146" si="95">$B117+($C117-$B117)*(1-V117)</f>
        <v>3500000</v>
      </c>
      <c r="H137" s="62">
        <f t="shared" ref="H137:H146" si="96">$B117+($C117-$B117)*(1-W117)</f>
        <v>3500000</v>
      </c>
      <c r="I137" s="62">
        <f t="shared" ref="I137:I146" si="97">$B117+($C117-$B117)*(1-X117)</f>
        <v>3500000</v>
      </c>
      <c r="J137" s="62">
        <f t="shared" ref="J137:J146" si="98">$B117+($C117-$B117)*(1-Y117)</f>
        <v>3500000</v>
      </c>
      <c r="K137" s="62">
        <f t="shared" ref="K137:K146" si="99">$B117+($C117-$B117)*(1-Z117)</f>
        <v>3500000</v>
      </c>
      <c r="L137" s="62">
        <f t="shared" ref="L137:L146" si="100">$B117+($C117-$B117)*(1-AA117)</f>
        <v>3500000</v>
      </c>
      <c r="M137" s="62">
        <f t="shared" ref="M137:M146" si="101">$B117+($C117-$B117)*(1-AB117)</f>
        <v>3500000</v>
      </c>
      <c r="N137" s="62">
        <f t="shared" ref="N137:N146" si="102">$B117+($C117-$B117)*(1-AC117)</f>
        <v>3500000</v>
      </c>
      <c r="O137" s="62">
        <f t="shared" ref="O137:O146" si="103">$B117+($C117-$B117)*(1-AD117)</f>
        <v>3500000</v>
      </c>
      <c r="P137" s="62">
        <f t="shared" ref="P137:P146" si="104">$B117+($C117-$B117)*(1-AE117)</f>
        <v>3500000</v>
      </c>
      <c r="Q137" s="62">
        <f t="shared" ref="Q137:Q146" si="105">$B117+($C117-$B117)*(1-AF117)</f>
        <v>3500000</v>
      </c>
      <c r="R137" s="62">
        <f t="shared" ref="R137:R146" si="106">$B117+($C117-$B117)*(1-AG117)</f>
        <v>3500000</v>
      </c>
      <c r="S137" s="62">
        <f t="shared" ref="S137:S146" si="107">$B117+($C117-$B117)*(1-AH117)</f>
        <v>3500000</v>
      </c>
      <c r="T137" s="62">
        <f t="shared" ref="T137:T146" si="108">$B117+($C117-$B117)*(1-AI117)</f>
        <v>3500000</v>
      </c>
      <c r="U137" s="62">
        <f t="shared" ref="U137:U146" si="109">$B117+($C117-$B117)*(1-AJ117)</f>
        <v>3500000</v>
      </c>
      <c r="V137" s="62">
        <f t="shared" ref="V137:V146" si="110">$B117+($C117-$B117)*(1-AK117)</f>
        <v>3500000</v>
      </c>
      <c r="W137" s="62">
        <f t="shared" ref="W137:W146" si="111">$B117+($C117-$B117)*(1-AL117)</f>
        <v>3500000</v>
      </c>
      <c r="X137" s="62">
        <f t="shared" ref="X137:X146" si="112">$B117+($C117-$B117)*(1-AM117)</f>
        <v>3500000</v>
      </c>
      <c r="Y137" s="62">
        <f t="shared" ref="Y137:Y146" si="113">$B117+($C117-$B117)*(1-AN117)</f>
        <v>3500000</v>
      </c>
      <c r="Z137" s="62">
        <f t="shared" ref="Z137:Z146" si="114">$B117+($C117-$B117)*(1-AO117)</f>
        <v>3500000</v>
      </c>
      <c r="AA137" s="62">
        <f t="shared" ref="AA137:AA146" si="115">$B117+($C117-$B117)*(1-AP117)</f>
        <v>3500000</v>
      </c>
      <c r="AB137" s="62">
        <f t="shared" ref="AB137:AB146" si="116">$B117+($C117-$B117)*(1-AQ117)</f>
        <v>3500000</v>
      </c>
      <c r="AC137" s="62">
        <f t="shared" ref="AC137:AC146" si="117">$B117+($C117-$B117)*(1-AR117)</f>
        <v>3500000</v>
      </c>
    </row>
    <row r="138" spans="1:44" x14ac:dyDescent="0.3">
      <c r="A138" s="30" t="str">
        <f t="shared" si="89"/>
        <v>Residual value (vehicle)</v>
      </c>
      <c r="B138" s="62">
        <f t="shared" si="90"/>
        <v>-520379.25155119307</v>
      </c>
      <c r="C138" s="62">
        <f t="shared" si="91"/>
        <v>-518400.78417000384</v>
      </c>
      <c r="D138" s="62">
        <f t="shared" si="92"/>
        <v>-515591.64410555211</v>
      </c>
      <c r="E138" s="62">
        <f t="shared" si="93"/>
        <v>-511621.1945655747</v>
      </c>
      <c r="F138" s="62">
        <f t="shared" si="94"/>
        <v>-506046.75504428975</v>
      </c>
      <c r="G138" s="62">
        <f t="shared" si="95"/>
        <v>-498296.26052549522</v>
      </c>
      <c r="H138" s="62">
        <f t="shared" si="96"/>
        <v>-487670.62248680455</v>
      </c>
      <c r="I138" s="62">
        <f t="shared" si="97"/>
        <v>-473390.90356014454</v>
      </c>
      <c r="J138" s="62">
        <f t="shared" si="98"/>
        <v>-454724.55228418356</v>
      </c>
      <c r="K138" s="62">
        <f t="shared" si="99"/>
        <v>-431217.43787497684</v>
      </c>
      <c r="L138" s="62">
        <f t="shared" si="100"/>
        <v>-403009.57535575342</v>
      </c>
      <c r="M138" s="62">
        <f t="shared" si="101"/>
        <v>-371112.8675829735</v>
      </c>
      <c r="N138" s="62">
        <f t="shared" si="102"/>
        <v>-337439.64405614871</v>
      </c>
      <c r="O138" s="62">
        <f t="shared" si="103"/>
        <v>-304429.04658433376</v>
      </c>
      <c r="P138" s="62">
        <f t="shared" si="104"/>
        <v>-274378.82023030921</v>
      </c>
      <c r="Q138" s="62">
        <f t="shared" si="105"/>
        <v>-248840.40706391208</v>
      </c>
      <c r="R138" s="62">
        <f t="shared" si="106"/>
        <v>-228388.71178829367</v>
      </c>
      <c r="S138" s="62">
        <f t="shared" si="107"/>
        <v>-212783.16058198496</v>
      </c>
      <c r="T138" s="62">
        <f t="shared" si="108"/>
        <v>-201311.8288783321</v>
      </c>
      <c r="U138" s="62">
        <f t="shared" si="109"/>
        <v>-193109.99266212579</v>
      </c>
      <c r="V138" s="62">
        <f t="shared" si="110"/>
        <v>-187361.71671887109</v>
      </c>
      <c r="W138" s="62">
        <f t="shared" si="111"/>
        <v>-183389.30472543038</v>
      </c>
      <c r="X138" s="62">
        <f t="shared" si="112"/>
        <v>-180670.78524543642</v>
      </c>
      <c r="Y138" s="62">
        <f t="shared" si="113"/>
        <v>-178822.78419743793</v>
      </c>
      <c r="Z138" s="62">
        <f t="shared" si="114"/>
        <v>-177572.26245171315</v>
      </c>
      <c r="AA138" s="62">
        <f t="shared" si="115"/>
        <v>-176728.659176477</v>
      </c>
      <c r="AB138" s="62">
        <f t="shared" si="116"/>
        <v>-176160.74964225345</v>
      </c>
      <c r="AC138" s="62">
        <f t="shared" si="117"/>
        <v>-175778.97267513379</v>
      </c>
    </row>
    <row r="139" spans="1:44" x14ac:dyDescent="0.3">
      <c r="A139" s="30" t="str">
        <f t="shared" si="89"/>
        <v>Capex costumization</v>
      </c>
      <c r="B139" s="62">
        <f t="shared" si="90"/>
        <v>5600000</v>
      </c>
      <c r="C139" s="62">
        <f t="shared" si="91"/>
        <v>5600000</v>
      </c>
      <c r="D139" s="62">
        <f t="shared" si="92"/>
        <v>5600000</v>
      </c>
      <c r="E139" s="62">
        <f t="shared" si="93"/>
        <v>5600000</v>
      </c>
      <c r="F139" s="62">
        <f t="shared" si="94"/>
        <v>5600000</v>
      </c>
      <c r="G139" s="62">
        <f t="shared" si="95"/>
        <v>5600000</v>
      </c>
      <c r="H139" s="62">
        <f t="shared" si="96"/>
        <v>5600000</v>
      </c>
      <c r="I139" s="62">
        <f t="shared" si="97"/>
        <v>5600000</v>
      </c>
      <c r="J139" s="62">
        <f t="shared" si="98"/>
        <v>5600000</v>
      </c>
      <c r="K139" s="62">
        <f t="shared" si="99"/>
        <v>5600000</v>
      </c>
      <c r="L139" s="62">
        <f t="shared" si="100"/>
        <v>5600000</v>
      </c>
      <c r="M139" s="62">
        <f t="shared" si="101"/>
        <v>5600000</v>
      </c>
      <c r="N139" s="62">
        <f t="shared" si="102"/>
        <v>5600000</v>
      </c>
      <c r="O139" s="62">
        <f t="shared" si="103"/>
        <v>5600000</v>
      </c>
      <c r="P139" s="62">
        <f t="shared" si="104"/>
        <v>5600000</v>
      </c>
      <c r="Q139" s="62">
        <f t="shared" si="105"/>
        <v>5600000</v>
      </c>
      <c r="R139" s="62">
        <f t="shared" si="106"/>
        <v>5600000</v>
      </c>
      <c r="S139" s="62">
        <f t="shared" si="107"/>
        <v>5600000</v>
      </c>
      <c r="T139" s="62">
        <f t="shared" si="108"/>
        <v>5600000</v>
      </c>
      <c r="U139" s="62">
        <f t="shared" si="109"/>
        <v>5600000</v>
      </c>
      <c r="V139" s="62">
        <f t="shared" si="110"/>
        <v>5600000</v>
      </c>
      <c r="W139" s="62">
        <f t="shared" si="111"/>
        <v>5600000</v>
      </c>
      <c r="X139" s="62">
        <f t="shared" si="112"/>
        <v>5600000</v>
      </c>
      <c r="Y139" s="62">
        <f t="shared" si="113"/>
        <v>5600000</v>
      </c>
      <c r="Z139" s="62">
        <f t="shared" si="114"/>
        <v>5600000</v>
      </c>
      <c r="AA139" s="62">
        <f t="shared" si="115"/>
        <v>5600000</v>
      </c>
      <c r="AB139" s="62">
        <f t="shared" si="116"/>
        <v>5600000</v>
      </c>
      <c r="AC139" s="62">
        <f t="shared" si="117"/>
        <v>5600000</v>
      </c>
    </row>
    <row r="140" spans="1:44" x14ac:dyDescent="0.3">
      <c r="A140" s="30" t="str">
        <f t="shared" si="89"/>
        <v>Residual value (costumization)</v>
      </c>
      <c r="B140" s="62">
        <f t="shared" si="90"/>
        <v>-280000</v>
      </c>
      <c r="C140" s="62">
        <f t="shared" si="91"/>
        <v>-280000</v>
      </c>
      <c r="D140" s="62">
        <f t="shared" si="92"/>
        <v>-280000</v>
      </c>
      <c r="E140" s="62">
        <f t="shared" si="93"/>
        <v>-280000</v>
      </c>
      <c r="F140" s="62">
        <f t="shared" si="94"/>
        <v>-280000</v>
      </c>
      <c r="G140" s="62">
        <f t="shared" si="95"/>
        <v>-280000</v>
      </c>
      <c r="H140" s="62">
        <f t="shared" si="96"/>
        <v>-280000</v>
      </c>
      <c r="I140" s="62">
        <f t="shared" si="97"/>
        <v>-280000</v>
      </c>
      <c r="J140" s="62">
        <f t="shared" si="98"/>
        <v>-280000</v>
      </c>
      <c r="K140" s="62">
        <f t="shared" si="99"/>
        <v>-280000</v>
      </c>
      <c r="L140" s="62">
        <f t="shared" si="100"/>
        <v>-280000</v>
      </c>
      <c r="M140" s="62">
        <f t="shared" si="101"/>
        <v>-280000</v>
      </c>
      <c r="N140" s="62">
        <f t="shared" si="102"/>
        <v>-280000</v>
      </c>
      <c r="O140" s="62">
        <f t="shared" si="103"/>
        <v>-280000</v>
      </c>
      <c r="P140" s="62">
        <f t="shared" si="104"/>
        <v>-280000</v>
      </c>
      <c r="Q140" s="62">
        <f t="shared" si="105"/>
        <v>-280000</v>
      </c>
      <c r="R140" s="62">
        <f t="shared" si="106"/>
        <v>-280000</v>
      </c>
      <c r="S140" s="62">
        <f t="shared" si="107"/>
        <v>-280000</v>
      </c>
      <c r="T140" s="62">
        <f t="shared" si="108"/>
        <v>-280000</v>
      </c>
      <c r="U140" s="62">
        <f t="shared" si="109"/>
        <v>-280000</v>
      </c>
      <c r="V140" s="62">
        <f t="shared" si="110"/>
        <v>-280000</v>
      </c>
      <c r="W140" s="62">
        <f t="shared" si="111"/>
        <v>-280000</v>
      </c>
      <c r="X140" s="62">
        <f t="shared" si="112"/>
        <v>-280000</v>
      </c>
      <c r="Y140" s="62">
        <f t="shared" si="113"/>
        <v>-280000</v>
      </c>
      <c r="Z140" s="62">
        <f t="shared" si="114"/>
        <v>-280000</v>
      </c>
      <c r="AA140" s="62">
        <f t="shared" si="115"/>
        <v>-280000</v>
      </c>
      <c r="AB140" s="62">
        <f t="shared" si="116"/>
        <v>-280000</v>
      </c>
      <c r="AC140" s="62">
        <f t="shared" si="117"/>
        <v>-280000</v>
      </c>
    </row>
    <row r="141" spans="1:44" x14ac:dyDescent="0.3">
      <c r="A141" s="30" t="str">
        <f t="shared" si="89"/>
        <v>WACC</v>
      </c>
      <c r="B141" s="62">
        <f t="shared" si="90"/>
        <v>0.06</v>
      </c>
      <c r="C141" s="62">
        <f t="shared" si="91"/>
        <v>0.06</v>
      </c>
      <c r="D141" s="62">
        <f t="shared" si="92"/>
        <v>0.06</v>
      </c>
      <c r="E141" s="62">
        <f t="shared" si="93"/>
        <v>0.06</v>
      </c>
      <c r="F141" s="62">
        <f t="shared" si="94"/>
        <v>0.06</v>
      </c>
      <c r="G141" s="62">
        <f t="shared" si="95"/>
        <v>0.06</v>
      </c>
      <c r="H141" s="62">
        <f t="shared" si="96"/>
        <v>0.06</v>
      </c>
      <c r="I141" s="62">
        <f t="shared" si="97"/>
        <v>0.06</v>
      </c>
      <c r="J141" s="62">
        <f t="shared" si="98"/>
        <v>0.06</v>
      </c>
      <c r="K141" s="62">
        <f t="shared" si="99"/>
        <v>0.06</v>
      </c>
      <c r="L141" s="62">
        <f t="shared" si="100"/>
        <v>0.06</v>
      </c>
      <c r="M141" s="62">
        <f t="shared" si="101"/>
        <v>0.06</v>
      </c>
      <c r="N141" s="62">
        <f t="shared" si="102"/>
        <v>0.06</v>
      </c>
      <c r="O141" s="62">
        <f t="shared" si="103"/>
        <v>0.06</v>
      </c>
      <c r="P141" s="62">
        <f t="shared" si="104"/>
        <v>0.06</v>
      </c>
      <c r="Q141" s="62">
        <f t="shared" si="105"/>
        <v>0.06</v>
      </c>
      <c r="R141" s="62">
        <f t="shared" si="106"/>
        <v>0.06</v>
      </c>
      <c r="S141" s="62">
        <f t="shared" si="107"/>
        <v>0.06</v>
      </c>
      <c r="T141" s="62">
        <f t="shared" si="108"/>
        <v>0.06</v>
      </c>
      <c r="U141" s="62">
        <f t="shared" si="109"/>
        <v>0.06</v>
      </c>
      <c r="V141" s="62">
        <f t="shared" si="110"/>
        <v>0.06</v>
      </c>
      <c r="W141" s="62">
        <f t="shared" si="111"/>
        <v>0.06</v>
      </c>
      <c r="X141" s="62">
        <f t="shared" si="112"/>
        <v>0.06</v>
      </c>
      <c r="Y141" s="62">
        <f t="shared" si="113"/>
        <v>0.06</v>
      </c>
      <c r="Z141" s="62">
        <f t="shared" si="114"/>
        <v>0.06</v>
      </c>
      <c r="AA141" s="62">
        <f t="shared" si="115"/>
        <v>0.06</v>
      </c>
      <c r="AB141" s="62">
        <f t="shared" si="116"/>
        <v>0.06</v>
      </c>
      <c r="AC141" s="62">
        <f t="shared" si="117"/>
        <v>0.06</v>
      </c>
    </row>
    <row r="142" spans="1:44" x14ac:dyDescent="0.3">
      <c r="A142" s="30" t="str">
        <f t="shared" si="89"/>
        <v>Opex fix (admin, crew, insurance)</v>
      </c>
      <c r="B142" s="62">
        <f t="shared" si="90"/>
        <v>620000</v>
      </c>
      <c r="C142" s="62">
        <f t="shared" si="91"/>
        <v>620000</v>
      </c>
      <c r="D142" s="62">
        <f t="shared" si="92"/>
        <v>620000</v>
      </c>
      <c r="E142" s="62">
        <f t="shared" si="93"/>
        <v>620000</v>
      </c>
      <c r="F142" s="62">
        <f t="shared" si="94"/>
        <v>620000</v>
      </c>
      <c r="G142" s="62">
        <f t="shared" si="95"/>
        <v>620000</v>
      </c>
      <c r="H142" s="62">
        <f t="shared" si="96"/>
        <v>620000</v>
      </c>
      <c r="I142" s="62">
        <f t="shared" si="97"/>
        <v>620000</v>
      </c>
      <c r="J142" s="62">
        <f t="shared" si="98"/>
        <v>620000</v>
      </c>
      <c r="K142" s="62">
        <f t="shared" si="99"/>
        <v>620000</v>
      </c>
      <c r="L142" s="62">
        <f t="shared" si="100"/>
        <v>620000</v>
      </c>
      <c r="M142" s="62">
        <f t="shared" si="101"/>
        <v>620000</v>
      </c>
      <c r="N142" s="62">
        <f t="shared" si="102"/>
        <v>620000</v>
      </c>
      <c r="O142" s="62">
        <f t="shared" si="103"/>
        <v>620000</v>
      </c>
      <c r="P142" s="62">
        <f t="shared" si="104"/>
        <v>620000</v>
      </c>
      <c r="Q142" s="62">
        <f t="shared" si="105"/>
        <v>620000</v>
      </c>
      <c r="R142" s="62">
        <f t="shared" si="106"/>
        <v>620000</v>
      </c>
      <c r="S142" s="62">
        <f t="shared" si="107"/>
        <v>620000</v>
      </c>
      <c r="T142" s="62">
        <f t="shared" si="108"/>
        <v>620000</v>
      </c>
      <c r="U142" s="62">
        <f t="shared" si="109"/>
        <v>620000</v>
      </c>
      <c r="V142" s="62">
        <f t="shared" si="110"/>
        <v>620000</v>
      </c>
      <c r="W142" s="62">
        <f t="shared" si="111"/>
        <v>620000</v>
      </c>
      <c r="X142" s="62">
        <f t="shared" si="112"/>
        <v>620000</v>
      </c>
      <c r="Y142" s="62">
        <f t="shared" si="113"/>
        <v>620000</v>
      </c>
      <c r="Z142" s="62">
        <f t="shared" si="114"/>
        <v>620000</v>
      </c>
      <c r="AA142" s="62">
        <f t="shared" si="115"/>
        <v>620000</v>
      </c>
      <c r="AB142" s="62">
        <f t="shared" si="116"/>
        <v>620000</v>
      </c>
      <c r="AC142" s="62">
        <f t="shared" si="117"/>
        <v>620000</v>
      </c>
    </row>
    <row r="143" spans="1:44" x14ac:dyDescent="0.3">
      <c r="A143" s="30" t="str">
        <f t="shared" si="89"/>
        <v>Opex maintenance &amp; repair</v>
      </c>
      <c r="B143" s="62">
        <f t="shared" si="90"/>
        <v>1050000</v>
      </c>
      <c r="C143" s="62">
        <f t="shared" si="91"/>
        <v>1050000</v>
      </c>
      <c r="D143" s="62">
        <f t="shared" si="92"/>
        <v>1050000</v>
      </c>
      <c r="E143" s="62">
        <f t="shared" si="93"/>
        <v>1050000</v>
      </c>
      <c r="F143" s="62">
        <f t="shared" si="94"/>
        <v>1050000</v>
      </c>
      <c r="G143" s="62">
        <f t="shared" si="95"/>
        <v>1050000</v>
      </c>
      <c r="H143" s="62">
        <f t="shared" si="96"/>
        <v>1050000</v>
      </c>
      <c r="I143" s="62">
        <f t="shared" si="97"/>
        <v>1050000</v>
      </c>
      <c r="J143" s="62">
        <f t="shared" si="98"/>
        <v>1050000</v>
      </c>
      <c r="K143" s="62">
        <f t="shared" si="99"/>
        <v>1050000</v>
      </c>
      <c r="L143" s="62">
        <f t="shared" si="100"/>
        <v>1050000</v>
      </c>
      <c r="M143" s="62">
        <f t="shared" si="101"/>
        <v>1050000</v>
      </c>
      <c r="N143" s="62">
        <f t="shared" si="102"/>
        <v>1050000</v>
      </c>
      <c r="O143" s="62">
        <f t="shared" si="103"/>
        <v>1050000</v>
      </c>
      <c r="P143" s="62">
        <f t="shared" si="104"/>
        <v>1050000</v>
      </c>
      <c r="Q143" s="62">
        <f t="shared" si="105"/>
        <v>1050000</v>
      </c>
      <c r="R143" s="62">
        <f t="shared" si="106"/>
        <v>1050000</v>
      </c>
      <c r="S143" s="62">
        <f t="shared" si="107"/>
        <v>1050000</v>
      </c>
      <c r="T143" s="62">
        <f t="shared" si="108"/>
        <v>1050000</v>
      </c>
      <c r="U143" s="62">
        <f t="shared" si="109"/>
        <v>1050000</v>
      </c>
      <c r="V143" s="62">
        <f t="shared" si="110"/>
        <v>1050000</v>
      </c>
      <c r="W143" s="62">
        <f t="shared" si="111"/>
        <v>1050000</v>
      </c>
      <c r="X143" s="62">
        <f t="shared" si="112"/>
        <v>1050000</v>
      </c>
      <c r="Y143" s="62">
        <f t="shared" si="113"/>
        <v>1050000</v>
      </c>
      <c r="Z143" s="62">
        <f t="shared" si="114"/>
        <v>1050000</v>
      </c>
      <c r="AA143" s="62">
        <f t="shared" si="115"/>
        <v>1050000</v>
      </c>
      <c r="AB143" s="62">
        <f t="shared" si="116"/>
        <v>1050000</v>
      </c>
      <c r="AC143" s="62">
        <f t="shared" si="117"/>
        <v>1050000</v>
      </c>
    </row>
    <row r="144" spans="1:44" x14ac:dyDescent="0.3">
      <c r="A144" s="30" t="str">
        <f t="shared" si="89"/>
        <v>Opex var (mode-fees, shunting)</v>
      </c>
      <c r="B144" s="62">
        <f t="shared" si="90"/>
        <v>3.6414565826330532</v>
      </c>
      <c r="C144" s="62">
        <f t="shared" si="91"/>
        <v>3.6414565826330532</v>
      </c>
      <c r="D144" s="62">
        <f t="shared" si="92"/>
        <v>3.6414565826330532</v>
      </c>
      <c r="E144" s="62">
        <f t="shared" si="93"/>
        <v>3.6414565826330532</v>
      </c>
      <c r="F144" s="62">
        <f t="shared" si="94"/>
        <v>3.6414565826330532</v>
      </c>
      <c r="G144" s="62">
        <f t="shared" si="95"/>
        <v>3.6414565826330532</v>
      </c>
      <c r="H144" s="62">
        <f t="shared" si="96"/>
        <v>3.6414565826330532</v>
      </c>
      <c r="I144" s="62">
        <f t="shared" si="97"/>
        <v>3.6414565826330532</v>
      </c>
      <c r="J144" s="62">
        <f t="shared" si="98"/>
        <v>3.6414565826330532</v>
      </c>
      <c r="K144" s="62">
        <f t="shared" si="99"/>
        <v>3.6414565826330532</v>
      </c>
      <c r="L144" s="62">
        <f t="shared" si="100"/>
        <v>3.6414565826330532</v>
      </c>
      <c r="M144" s="62">
        <f t="shared" si="101"/>
        <v>3.6414565826330532</v>
      </c>
      <c r="N144" s="62">
        <f t="shared" si="102"/>
        <v>3.6414565826330532</v>
      </c>
      <c r="O144" s="62">
        <f t="shared" si="103"/>
        <v>3.6414565826330532</v>
      </c>
      <c r="P144" s="62">
        <f t="shared" si="104"/>
        <v>3.6414565826330532</v>
      </c>
      <c r="Q144" s="62">
        <f t="shared" si="105"/>
        <v>3.6414565826330532</v>
      </c>
      <c r="R144" s="62">
        <f t="shared" si="106"/>
        <v>3.6414565826330532</v>
      </c>
      <c r="S144" s="62">
        <f t="shared" si="107"/>
        <v>3.6414565826330532</v>
      </c>
      <c r="T144" s="62">
        <f t="shared" si="108"/>
        <v>3.6414565826330532</v>
      </c>
      <c r="U144" s="62">
        <f t="shared" si="109"/>
        <v>3.6414565826330532</v>
      </c>
      <c r="V144" s="62">
        <f t="shared" si="110"/>
        <v>3.6414565826330532</v>
      </c>
      <c r="W144" s="62">
        <f t="shared" si="111"/>
        <v>3.6414565826330532</v>
      </c>
      <c r="X144" s="62">
        <f t="shared" si="112"/>
        <v>3.6414565826330532</v>
      </c>
      <c r="Y144" s="62">
        <f t="shared" si="113"/>
        <v>3.6414565826330532</v>
      </c>
      <c r="Z144" s="62">
        <f t="shared" si="114"/>
        <v>3.6414565826330532</v>
      </c>
      <c r="AA144" s="62">
        <f t="shared" si="115"/>
        <v>3.6414565826330532</v>
      </c>
      <c r="AB144" s="62">
        <f t="shared" si="116"/>
        <v>3.6414565826330532</v>
      </c>
      <c r="AC144" s="62">
        <f t="shared" si="117"/>
        <v>3.6414565826330532</v>
      </c>
    </row>
    <row r="145" spans="1:29" x14ac:dyDescent="0.3">
      <c r="A145" s="30" t="str">
        <f t="shared" si="89"/>
        <v>Fuel Economy</v>
      </c>
      <c r="B145" s="62">
        <f t="shared" si="90"/>
        <v>62.083200000000005</v>
      </c>
      <c r="C145" s="62">
        <f t="shared" si="91"/>
        <v>62.083200000000005</v>
      </c>
      <c r="D145" s="62">
        <f t="shared" si="92"/>
        <v>62.083200000000005</v>
      </c>
      <c r="E145" s="62">
        <f t="shared" si="93"/>
        <v>62.083200000000005</v>
      </c>
      <c r="F145" s="62">
        <f t="shared" si="94"/>
        <v>62.083200000000005</v>
      </c>
      <c r="G145" s="62">
        <f t="shared" si="95"/>
        <v>62.083200000000005</v>
      </c>
      <c r="H145" s="62">
        <f t="shared" si="96"/>
        <v>62.083200000000005</v>
      </c>
      <c r="I145" s="62">
        <f t="shared" si="97"/>
        <v>62.083200000000005</v>
      </c>
      <c r="J145" s="62">
        <f t="shared" si="98"/>
        <v>62.083200000000005</v>
      </c>
      <c r="K145" s="62">
        <f t="shared" si="99"/>
        <v>62.083200000000005</v>
      </c>
      <c r="L145" s="62">
        <f t="shared" si="100"/>
        <v>62.083200000000005</v>
      </c>
      <c r="M145" s="62">
        <f t="shared" si="101"/>
        <v>62.083200000000005</v>
      </c>
      <c r="N145" s="62">
        <f t="shared" si="102"/>
        <v>62.083200000000005</v>
      </c>
      <c r="O145" s="62">
        <f t="shared" si="103"/>
        <v>62.083200000000005</v>
      </c>
      <c r="P145" s="62">
        <f t="shared" si="104"/>
        <v>62.083200000000005</v>
      </c>
      <c r="Q145" s="62">
        <f t="shared" si="105"/>
        <v>62.083200000000005</v>
      </c>
      <c r="R145" s="62">
        <f t="shared" si="106"/>
        <v>62.083200000000005</v>
      </c>
      <c r="S145" s="62">
        <f t="shared" si="107"/>
        <v>62.083200000000005</v>
      </c>
      <c r="T145" s="62">
        <f t="shared" si="108"/>
        <v>62.083200000000005</v>
      </c>
      <c r="U145" s="62">
        <f t="shared" si="109"/>
        <v>62.083200000000005</v>
      </c>
      <c r="V145" s="62">
        <f t="shared" si="110"/>
        <v>62.083200000000005</v>
      </c>
      <c r="W145" s="62">
        <f t="shared" si="111"/>
        <v>62.083200000000005</v>
      </c>
      <c r="X145" s="62">
        <f t="shared" si="112"/>
        <v>62.083200000000005</v>
      </c>
      <c r="Y145" s="62">
        <f t="shared" si="113"/>
        <v>62.083200000000005</v>
      </c>
      <c r="Z145" s="62">
        <f t="shared" si="114"/>
        <v>62.083200000000005</v>
      </c>
      <c r="AA145" s="62">
        <f t="shared" si="115"/>
        <v>62.083200000000005</v>
      </c>
      <c r="AB145" s="62">
        <f t="shared" si="116"/>
        <v>62.083200000000005</v>
      </c>
      <c r="AC145" s="62">
        <f t="shared" si="117"/>
        <v>62.083200000000005</v>
      </c>
    </row>
    <row r="146" spans="1:29" x14ac:dyDescent="0.3">
      <c r="A146" s="30" t="str">
        <f t="shared" si="89"/>
        <v>Fuel Cost</v>
      </c>
      <c r="B146" s="62">
        <f t="shared" si="90"/>
        <v>0.1</v>
      </c>
      <c r="C146" s="62">
        <f t="shared" si="91"/>
        <v>0.1</v>
      </c>
      <c r="D146" s="62">
        <f t="shared" si="92"/>
        <v>0.1</v>
      </c>
      <c r="E146" s="62">
        <f t="shared" si="93"/>
        <v>0.1</v>
      </c>
      <c r="F146" s="62">
        <f t="shared" si="94"/>
        <v>0.1</v>
      </c>
      <c r="G146" s="62">
        <f t="shared" si="95"/>
        <v>0.1</v>
      </c>
      <c r="H146" s="62">
        <f t="shared" si="96"/>
        <v>0.1</v>
      </c>
      <c r="I146" s="62">
        <f t="shared" si="97"/>
        <v>0.1</v>
      </c>
      <c r="J146" s="62">
        <f t="shared" si="98"/>
        <v>0.1</v>
      </c>
      <c r="K146" s="62">
        <f t="shared" si="99"/>
        <v>0.1</v>
      </c>
      <c r="L146" s="62">
        <f t="shared" si="100"/>
        <v>0.1</v>
      </c>
      <c r="M146" s="62">
        <f t="shared" si="101"/>
        <v>0.1</v>
      </c>
      <c r="N146" s="62">
        <f t="shared" si="102"/>
        <v>0.1</v>
      </c>
      <c r="O146" s="62">
        <f t="shared" si="103"/>
        <v>0.1</v>
      </c>
      <c r="P146" s="62">
        <f t="shared" si="104"/>
        <v>0.1</v>
      </c>
      <c r="Q146" s="62">
        <f t="shared" si="105"/>
        <v>0.1</v>
      </c>
      <c r="R146" s="62">
        <f t="shared" si="106"/>
        <v>0.1</v>
      </c>
      <c r="S146" s="62">
        <f t="shared" si="107"/>
        <v>0.1</v>
      </c>
      <c r="T146" s="62">
        <f t="shared" si="108"/>
        <v>0.1</v>
      </c>
      <c r="U146" s="62">
        <f t="shared" si="109"/>
        <v>0.1</v>
      </c>
      <c r="V146" s="62">
        <f t="shared" si="110"/>
        <v>0.1</v>
      </c>
      <c r="W146" s="62">
        <f t="shared" si="111"/>
        <v>0.1</v>
      </c>
      <c r="X146" s="62">
        <f t="shared" si="112"/>
        <v>0.1</v>
      </c>
      <c r="Y146" s="62">
        <f t="shared" si="113"/>
        <v>0.1</v>
      </c>
      <c r="Z146" s="62">
        <f t="shared" si="114"/>
        <v>0.1</v>
      </c>
      <c r="AA146" s="62">
        <f t="shared" si="115"/>
        <v>0.1</v>
      </c>
      <c r="AB146" s="62">
        <f t="shared" si="116"/>
        <v>0.1</v>
      </c>
      <c r="AC146" s="62">
        <f t="shared" si="117"/>
        <v>0.1</v>
      </c>
    </row>
    <row r="147" spans="1:29" x14ac:dyDescent="0.3">
      <c r="A147" s="30" t="str">
        <f t="shared" si="89"/>
        <v>Emission Cost</v>
      </c>
      <c r="B147" s="66">
        <f>$B127+($C127-$B127)*(1-Q127)</f>
        <v>1.6642920252567563</v>
      </c>
      <c r="C147" s="66">
        <f t="shared" ref="C147:AC147" si="118">$B127+($C127-$B127)*(1-R127)</f>
        <v>1.668223764670367</v>
      </c>
      <c r="D147" s="66">
        <f t="shared" si="118"/>
        <v>1.6738519620685159</v>
      </c>
      <c r="E147" s="66">
        <f t="shared" si="118"/>
        <v>1.681903494239102</v>
      </c>
      <c r="F147" s="66">
        <f t="shared" si="118"/>
        <v>1.6934109103696515</v>
      </c>
      <c r="G147" s="66">
        <f t="shared" si="118"/>
        <v>1.7098344800436978</v>
      </c>
      <c r="H147" s="66">
        <f t="shared" si="118"/>
        <v>1.733225672402217</v>
      </c>
      <c r="I147" s="66">
        <f t="shared" si="118"/>
        <v>1.7664378123820623</v>
      </c>
      <c r="J147" s="66">
        <f t="shared" si="118"/>
        <v>1.8133799807606898</v>
      </c>
      <c r="K147" s="66">
        <f t="shared" si="118"/>
        <v>1.8792859382574125</v>
      </c>
      <c r="L147" s="66">
        <f t="shared" si="118"/>
        <v>1.9709191437812768</v>
      </c>
      <c r="M147" s="66">
        <f t="shared" si="118"/>
        <v>2.0965448405494573</v>
      </c>
      <c r="N147" s="66">
        <f t="shared" si="118"/>
        <v>2.2653723155004584</v>
      </c>
      <c r="O147" s="66">
        <f t="shared" si="118"/>
        <v>2.4860624403309455</v>
      </c>
      <c r="P147" s="66">
        <f t="shared" si="118"/>
        <v>2.7639843510823718</v>
      </c>
      <c r="Q147" s="66">
        <f t="shared" si="118"/>
        <v>3.0974826662343866</v>
      </c>
      <c r="R147" s="66">
        <f t="shared" si="118"/>
        <v>3.4745937746662614</v>
      </c>
      <c r="S147" s="66">
        <f t="shared" si="118"/>
        <v>3.8727084245898471</v>
      </c>
      <c r="T147" s="66">
        <f t="shared" si="118"/>
        <v>4.2629889228555031</v>
      </c>
      <c r="U147" s="66">
        <f t="shared" si="118"/>
        <v>4.6182692937866285</v>
      </c>
      <c r="V147" s="66">
        <f t="shared" si="118"/>
        <v>4.9202070161803482</v>
      </c>
      <c r="W147" s="66">
        <f t="shared" si="118"/>
        <v>5.1620050578353283</v>
      </c>
      <c r="X147" s="66">
        <f t="shared" si="118"/>
        <v>5.3465076953810016</v>
      </c>
      <c r="Y147" s="66">
        <f t="shared" si="118"/>
        <v>5.4821319311099916</v>
      </c>
      <c r="Z147" s="66">
        <f t="shared" si="118"/>
        <v>5.5791012976259244</v>
      </c>
      <c r="AA147" s="66">
        <f t="shared" si="118"/>
        <v>5.6470625031514352</v>
      </c>
      <c r="AB147" s="66">
        <f t="shared" si="118"/>
        <v>5.6940278733917111</v>
      </c>
      <c r="AC147" s="66">
        <f t="shared" si="118"/>
        <v>5.7261686166213002</v>
      </c>
    </row>
    <row r="148" spans="1:29" x14ac:dyDescent="0.3">
      <c r="A148" s="30" t="str">
        <f t="shared" si="89"/>
        <v>Lifetime vehicle</v>
      </c>
      <c r="B148" s="62">
        <f>$B128+($C128-$B128)*(1-Q128)</f>
        <v>20</v>
      </c>
      <c r="C148" s="62">
        <f t="shared" ref="C148:L150" si="119">$B128+($C128-$B128)*(1-R128)</f>
        <v>20</v>
      </c>
      <c r="D148" s="62">
        <f t="shared" si="119"/>
        <v>20</v>
      </c>
      <c r="E148" s="62">
        <f t="shared" si="119"/>
        <v>20</v>
      </c>
      <c r="F148" s="62">
        <f t="shared" si="119"/>
        <v>20</v>
      </c>
      <c r="G148" s="62">
        <f t="shared" si="119"/>
        <v>20</v>
      </c>
      <c r="H148" s="62">
        <f t="shared" si="119"/>
        <v>20</v>
      </c>
      <c r="I148" s="62">
        <f t="shared" si="119"/>
        <v>20</v>
      </c>
      <c r="J148" s="62">
        <f t="shared" si="119"/>
        <v>20</v>
      </c>
      <c r="K148" s="62">
        <f t="shared" si="119"/>
        <v>20</v>
      </c>
      <c r="L148" s="62">
        <f t="shared" si="119"/>
        <v>20</v>
      </c>
      <c r="M148" s="62">
        <f t="shared" ref="M148:V150" si="120">$B128+($C128-$B128)*(1-AB128)</f>
        <v>20</v>
      </c>
      <c r="N148" s="62">
        <f t="shared" si="120"/>
        <v>20</v>
      </c>
      <c r="O148" s="62">
        <f t="shared" si="120"/>
        <v>20</v>
      </c>
      <c r="P148" s="62">
        <f t="shared" si="120"/>
        <v>20</v>
      </c>
      <c r="Q148" s="62">
        <f t="shared" si="120"/>
        <v>20</v>
      </c>
      <c r="R148" s="62">
        <f t="shared" si="120"/>
        <v>20</v>
      </c>
      <c r="S148" s="62">
        <f t="shared" si="120"/>
        <v>20</v>
      </c>
      <c r="T148" s="62">
        <f t="shared" si="120"/>
        <v>20</v>
      </c>
      <c r="U148" s="62">
        <f t="shared" si="120"/>
        <v>20</v>
      </c>
      <c r="V148" s="62">
        <f t="shared" si="120"/>
        <v>20</v>
      </c>
      <c r="W148" s="62">
        <f t="shared" ref="W148:AC150" si="121">$B128+($C128-$B128)*(1-AL128)</f>
        <v>20</v>
      </c>
      <c r="X148" s="62">
        <f t="shared" si="121"/>
        <v>20</v>
      </c>
      <c r="Y148" s="62">
        <f t="shared" si="121"/>
        <v>20</v>
      </c>
      <c r="Z148" s="62">
        <f t="shared" si="121"/>
        <v>20</v>
      </c>
      <c r="AA148" s="62">
        <f t="shared" si="121"/>
        <v>20</v>
      </c>
      <c r="AB148" s="62">
        <f t="shared" si="121"/>
        <v>20</v>
      </c>
      <c r="AC148" s="62">
        <f t="shared" si="121"/>
        <v>20</v>
      </c>
    </row>
    <row r="149" spans="1:29" x14ac:dyDescent="0.3">
      <c r="A149" s="30" t="str">
        <f t="shared" si="89"/>
        <v>Lifetime costumization</v>
      </c>
      <c r="B149" s="62">
        <f>$B129+($C129-$B129)*(1-Q129)</f>
        <v>30</v>
      </c>
      <c r="C149" s="62">
        <f t="shared" si="119"/>
        <v>30</v>
      </c>
      <c r="D149" s="62">
        <f t="shared" si="119"/>
        <v>30</v>
      </c>
      <c r="E149" s="62">
        <f t="shared" si="119"/>
        <v>30</v>
      </c>
      <c r="F149" s="62">
        <f t="shared" si="119"/>
        <v>30</v>
      </c>
      <c r="G149" s="62">
        <f t="shared" si="119"/>
        <v>30</v>
      </c>
      <c r="H149" s="62">
        <f t="shared" si="119"/>
        <v>30</v>
      </c>
      <c r="I149" s="62">
        <f t="shared" si="119"/>
        <v>30</v>
      </c>
      <c r="J149" s="62">
        <f t="shared" si="119"/>
        <v>30</v>
      </c>
      <c r="K149" s="62">
        <f t="shared" si="119"/>
        <v>30</v>
      </c>
      <c r="L149" s="62">
        <f t="shared" si="119"/>
        <v>30</v>
      </c>
      <c r="M149" s="62">
        <f t="shared" si="120"/>
        <v>30</v>
      </c>
      <c r="N149" s="62">
        <f t="shared" si="120"/>
        <v>30</v>
      </c>
      <c r="O149" s="62">
        <f t="shared" si="120"/>
        <v>30</v>
      </c>
      <c r="P149" s="62">
        <f t="shared" si="120"/>
        <v>30</v>
      </c>
      <c r="Q149" s="62">
        <f t="shared" si="120"/>
        <v>30</v>
      </c>
      <c r="R149" s="62">
        <f t="shared" si="120"/>
        <v>30</v>
      </c>
      <c r="S149" s="62">
        <f t="shared" si="120"/>
        <v>30</v>
      </c>
      <c r="T149" s="62">
        <f t="shared" si="120"/>
        <v>30</v>
      </c>
      <c r="U149" s="62">
        <f t="shared" si="120"/>
        <v>30</v>
      </c>
      <c r="V149" s="62">
        <f t="shared" si="120"/>
        <v>30</v>
      </c>
      <c r="W149" s="62">
        <f t="shared" si="121"/>
        <v>30</v>
      </c>
      <c r="X149" s="62">
        <f t="shared" si="121"/>
        <v>30</v>
      </c>
      <c r="Y149" s="62">
        <f t="shared" si="121"/>
        <v>30</v>
      </c>
      <c r="Z149" s="62">
        <f t="shared" si="121"/>
        <v>30</v>
      </c>
      <c r="AA149" s="62">
        <f t="shared" si="121"/>
        <v>30</v>
      </c>
      <c r="AB149" s="62">
        <f t="shared" si="121"/>
        <v>30</v>
      </c>
      <c r="AC149" s="62">
        <f t="shared" si="121"/>
        <v>30</v>
      </c>
    </row>
    <row r="150" spans="1:29" x14ac:dyDescent="0.3">
      <c r="A150" s="30" t="str">
        <f t="shared" si="89"/>
        <v>Tonnage .</v>
      </c>
      <c r="B150" s="62">
        <f>$B130+($C130-$B130)*(1-Q130)</f>
        <v>2240</v>
      </c>
      <c r="C150" s="62">
        <f t="shared" si="119"/>
        <v>2240</v>
      </c>
      <c r="D150" s="62">
        <f t="shared" si="119"/>
        <v>2240</v>
      </c>
      <c r="E150" s="62">
        <f t="shared" si="119"/>
        <v>2240</v>
      </c>
      <c r="F150" s="62">
        <f t="shared" si="119"/>
        <v>2240</v>
      </c>
      <c r="G150" s="62">
        <f t="shared" si="119"/>
        <v>2240</v>
      </c>
      <c r="H150" s="62">
        <f t="shared" si="119"/>
        <v>2240</v>
      </c>
      <c r="I150" s="62">
        <f t="shared" si="119"/>
        <v>2240</v>
      </c>
      <c r="J150" s="62">
        <f t="shared" si="119"/>
        <v>2240</v>
      </c>
      <c r="K150" s="62">
        <f t="shared" si="119"/>
        <v>2240</v>
      </c>
      <c r="L150" s="62">
        <f t="shared" si="119"/>
        <v>2240</v>
      </c>
      <c r="M150" s="62">
        <f t="shared" si="120"/>
        <v>2240</v>
      </c>
      <c r="N150" s="62">
        <f t="shared" si="120"/>
        <v>2240</v>
      </c>
      <c r="O150" s="62">
        <f t="shared" si="120"/>
        <v>2240</v>
      </c>
      <c r="P150" s="62">
        <f t="shared" si="120"/>
        <v>2240</v>
      </c>
      <c r="Q150" s="62">
        <f t="shared" si="120"/>
        <v>2240</v>
      </c>
      <c r="R150" s="62">
        <f t="shared" si="120"/>
        <v>2240</v>
      </c>
      <c r="S150" s="62">
        <f t="shared" si="120"/>
        <v>2240</v>
      </c>
      <c r="T150" s="62">
        <f t="shared" si="120"/>
        <v>2240</v>
      </c>
      <c r="U150" s="62">
        <f t="shared" si="120"/>
        <v>2240</v>
      </c>
      <c r="V150" s="62">
        <f t="shared" si="120"/>
        <v>2240</v>
      </c>
      <c r="W150" s="62">
        <f t="shared" si="121"/>
        <v>2240</v>
      </c>
      <c r="X150" s="62">
        <f t="shared" si="121"/>
        <v>2240</v>
      </c>
      <c r="Y150" s="62">
        <f t="shared" si="121"/>
        <v>2240</v>
      </c>
      <c r="Z150" s="62">
        <f t="shared" si="121"/>
        <v>2240</v>
      </c>
      <c r="AA150" s="62">
        <f t="shared" si="121"/>
        <v>2240</v>
      </c>
      <c r="AB150" s="62">
        <f t="shared" si="121"/>
        <v>2240</v>
      </c>
      <c r="AC150" s="62">
        <f t="shared" si="121"/>
        <v>2240</v>
      </c>
    </row>
    <row r="151" spans="1:29" x14ac:dyDescent="0.3">
      <c r="A151" s="30" t="str">
        <f t="shared" si="89"/>
        <v>Market failure (av. utilization)</v>
      </c>
      <c r="B151" s="62">
        <f t="shared" ref="B151:K152" si="122">($B131+($C131-$B131)*(1-Q131))*B$44</f>
        <v>716.80000000000007</v>
      </c>
      <c r="C151" s="62">
        <f t="shared" si="122"/>
        <v>716.80000000000007</v>
      </c>
      <c r="D151" s="62">
        <f t="shared" si="122"/>
        <v>716.80000000000007</v>
      </c>
      <c r="E151" s="62">
        <f t="shared" si="122"/>
        <v>716.80000000000007</v>
      </c>
      <c r="F151" s="62">
        <f t="shared" si="122"/>
        <v>716.80000000000007</v>
      </c>
      <c r="G151" s="62">
        <f t="shared" si="122"/>
        <v>716.80000000000007</v>
      </c>
      <c r="H151" s="62">
        <f t="shared" si="122"/>
        <v>716.80000000000007</v>
      </c>
      <c r="I151" s="62">
        <f t="shared" si="122"/>
        <v>716.80000000000007</v>
      </c>
      <c r="J151" s="62">
        <f t="shared" si="122"/>
        <v>716.80000000000007</v>
      </c>
      <c r="K151" s="62">
        <f t="shared" si="122"/>
        <v>716.80000000000007</v>
      </c>
      <c r="L151" s="62">
        <f t="shared" ref="L151:U152" si="123">($B131+($C131-$B131)*(1-AA131))*L$44</f>
        <v>716.80000000000007</v>
      </c>
      <c r="M151" s="62">
        <f t="shared" si="123"/>
        <v>716.80000000000007</v>
      </c>
      <c r="N151" s="62">
        <f t="shared" si="123"/>
        <v>716.80000000000007</v>
      </c>
      <c r="O151" s="62">
        <f t="shared" si="123"/>
        <v>716.80000000000007</v>
      </c>
      <c r="P151" s="62">
        <f t="shared" si="123"/>
        <v>716.80000000000007</v>
      </c>
      <c r="Q151" s="62">
        <f t="shared" si="123"/>
        <v>716.80000000000007</v>
      </c>
      <c r="R151" s="62">
        <f t="shared" si="123"/>
        <v>716.80000000000007</v>
      </c>
      <c r="S151" s="62">
        <f t="shared" si="123"/>
        <v>716.80000000000007</v>
      </c>
      <c r="T151" s="62">
        <f t="shared" si="123"/>
        <v>716.80000000000007</v>
      </c>
      <c r="U151" s="62">
        <f t="shared" si="123"/>
        <v>716.80000000000007</v>
      </c>
      <c r="V151" s="62">
        <f t="shared" ref="V151:AC152" si="124">($B131+($C131-$B131)*(1-AK131))*V$44</f>
        <v>716.80000000000007</v>
      </c>
      <c r="W151" s="62">
        <f t="shared" si="124"/>
        <v>716.80000000000007</v>
      </c>
      <c r="X151" s="62">
        <f t="shared" si="124"/>
        <v>716.80000000000007</v>
      </c>
      <c r="Y151" s="62">
        <f t="shared" si="124"/>
        <v>716.80000000000007</v>
      </c>
      <c r="Z151" s="62">
        <f t="shared" si="124"/>
        <v>716.80000000000007</v>
      </c>
      <c r="AA151" s="62">
        <f t="shared" si="124"/>
        <v>716.80000000000007</v>
      </c>
      <c r="AB151" s="62">
        <f t="shared" si="124"/>
        <v>716.80000000000007</v>
      </c>
      <c r="AC151" s="62">
        <f t="shared" si="124"/>
        <v>716.80000000000007</v>
      </c>
    </row>
    <row r="152" spans="1:29" x14ac:dyDescent="0.3">
      <c r="A152" s="30" t="s">
        <v>73</v>
      </c>
      <c r="B152" s="62">
        <f t="shared" si="122"/>
        <v>0</v>
      </c>
      <c r="C152" s="62">
        <f t="shared" si="122"/>
        <v>0</v>
      </c>
      <c r="D152" s="62">
        <f t="shared" si="122"/>
        <v>0</v>
      </c>
      <c r="E152" s="62">
        <f t="shared" si="122"/>
        <v>0</v>
      </c>
      <c r="F152" s="62">
        <f t="shared" si="122"/>
        <v>0</v>
      </c>
      <c r="G152" s="62">
        <f t="shared" si="122"/>
        <v>0</v>
      </c>
      <c r="H152" s="62">
        <f t="shared" si="122"/>
        <v>0</v>
      </c>
      <c r="I152" s="62">
        <f t="shared" si="122"/>
        <v>0</v>
      </c>
      <c r="J152" s="62">
        <f t="shared" si="122"/>
        <v>0</v>
      </c>
      <c r="K152" s="62">
        <f t="shared" si="122"/>
        <v>0</v>
      </c>
      <c r="L152" s="62">
        <f t="shared" si="123"/>
        <v>0</v>
      </c>
      <c r="M152" s="62">
        <f t="shared" si="123"/>
        <v>0</v>
      </c>
      <c r="N152" s="62">
        <f t="shared" si="123"/>
        <v>0</v>
      </c>
      <c r="O152" s="62">
        <f t="shared" si="123"/>
        <v>0</v>
      </c>
      <c r="P152" s="62">
        <f t="shared" si="123"/>
        <v>0</v>
      </c>
      <c r="Q152" s="62">
        <f t="shared" si="123"/>
        <v>0</v>
      </c>
      <c r="R152" s="62">
        <f t="shared" si="123"/>
        <v>0</v>
      </c>
      <c r="S152" s="62">
        <f t="shared" si="123"/>
        <v>0</v>
      </c>
      <c r="T152" s="62">
        <f t="shared" si="123"/>
        <v>0</v>
      </c>
      <c r="U152" s="62">
        <f t="shared" si="123"/>
        <v>0</v>
      </c>
      <c r="V152" s="62">
        <f t="shared" si="124"/>
        <v>0</v>
      </c>
      <c r="W152" s="62">
        <f t="shared" si="124"/>
        <v>0</v>
      </c>
      <c r="X152" s="62">
        <f t="shared" si="124"/>
        <v>0</v>
      </c>
      <c r="Y152" s="62">
        <f t="shared" si="124"/>
        <v>0</v>
      </c>
      <c r="Z152" s="62">
        <f t="shared" si="124"/>
        <v>0</v>
      </c>
      <c r="AA152" s="62">
        <f t="shared" si="124"/>
        <v>0</v>
      </c>
      <c r="AB152" s="62">
        <f t="shared" si="124"/>
        <v>0</v>
      </c>
      <c r="AC152" s="62">
        <f t="shared" si="124"/>
        <v>0</v>
      </c>
    </row>
    <row r="153" spans="1:29" x14ac:dyDescent="0.3">
      <c r="A153" s="30" t="str">
        <f>A133</f>
        <v>Annual Mileage</v>
      </c>
      <c r="B153" s="62">
        <f t="shared" ref="B153:AC153" si="125">$B133+($C133-$B133)*(1-Q133)</f>
        <v>178500</v>
      </c>
      <c r="C153" s="62">
        <f t="shared" si="125"/>
        <v>178500</v>
      </c>
      <c r="D153" s="62">
        <f t="shared" si="125"/>
        <v>178500</v>
      </c>
      <c r="E153" s="62">
        <f t="shared" si="125"/>
        <v>178500</v>
      </c>
      <c r="F153" s="62">
        <f t="shared" si="125"/>
        <v>178500</v>
      </c>
      <c r="G153" s="62">
        <f t="shared" si="125"/>
        <v>178500</v>
      </c>
      <c r="H153" s="62">
        <f t="shared" si="125"/>
        <v>178500</v>
      </c>
      <c r="I153" s="62">
        <f t="shared" si="125"/>
        <v>178500</v>
      </c>
      <c r="J153" s="62">
        <f t="shared" si="125"/>
        <v>178500</v>
      </c>
      <c r="K153" s="62">
        <f t="shared" si="125"/>
        <v>178500</v>
      </c>
      <c r="L153" s="62">
        <f t="shared" si="125"/>
        <v>178500</v>
      </c>
      <c r="M153" s="62">
        <f t="shared" si="125"/>
        <v>178500</v>
      </c>
      <c r="N153" s="62">
        <f t="shared" si="125"/>
        <v>178500</v>
      </c>
      <c r="O153" s="62">
        <f t="shared" si="125"/>
        <v>178500</v>
      </c>
      <c r="P153" s="62">
        <f t="shared" si="125"/>
        <v>178500</v>
      </c>
      <c r="Q153" s="62">
        <f t="shared" si="125"/>
        <v>178500</v>
      </c>
      <c r="R153" s="62">
        <f t="shared" si="125"/>
        <v>178500</v>
      </c>
      <c r="S153" s="62">
        <f t="shared" si="125"/>
        <v>178500</v>
      </c>
      <c r="T153" s="62">
        <f t="shared" si="125"/>
        <v>178500</v>
      </c>
      <c r="U153" s="62">
        <f t="shared" si="125"/>
        <v>178500</v>
      </c>
      <c r="V153" s="62">
        <f t="shared" si="125"/>
        <v>178500</v>
      </c>
      <c r="W153" s="62">
        <f t="shared" si="125"/>
        <v>178500</v>
      </c>
      <c r="X153" s="62">
        <f t="shared" si="125"/>
        <v>178500</v>
      </c>
      <c r="Y153" s="62">
        <f t="shared" si="125"/>
        <v>178500</v>
      </c>
      <c r="Z153" s="62">
        <f t="shared" si="125"/>
        <v>178500</v>
      </c>
      <c r="AA153" s="62">
        <f t="shared" si="125"/>
        <v>178500</v>
      </c>
      <c r="AB153" s="62">
        <f t="shared" si="125"/>
        <v>178500</v>
      </c>
      <c r="AC153" s="62">
        <f t="shared" si="125"/>
        <v>178500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305145.94941897993</v>
      </c>
      <c r="C156" s="63">
        <f t="shared" ref="C156:AC156" si="126">((1+C141)^C148)*C141/(((1+C141)^C148)-1)*(C137)</f>
        <v>305145.94941897993</v>
      </c>
      <c r="D156" s="63">
        <f t="shared" si="126"/>
        <v>305145.94941897993</v>
      </c>
      <c r="E156" s="63">
        <f t="shared" si="126"/>
        <v>305145.94941897993</v>
      </c>
      <c r="F156" s="63">
        <f t="shared" si="126"/>
        <v>305145.94941897993</v>
      </c>
      <c r="G156" s="63">
        <f t="shared" si="126"/>
        <v>305145.94941897993</v>
      </c>
      <c r="H156" s="63">
        <f t="shared" si="126"/>
        <v>305145.94941897993</v>
      </c>
      <c r="I156" s="63">
        <f t="shared" si="126"/>
        <v>305145.94941897993</v>
      </c>
      <c r="J156" s="63">
        <f t="shared" si="126"/>
        <v>305145.94941897993</v>
      </c>
      <c r="K156" s="63">
        <f t="shared" si="126"/>
        <v>305145.94941897993</v>
      </c>
      <c r="L156" s="63">
        <f t="shared" si="126"/>
        <v>305145.94941897993</v>
      </c>
      <c r="M156" s="63">
        <f t="shared" si="126"/>
        <v>305145.94941897993</v>
      </c>
      <c r="N156" s="63">
        <f t="shared" si="126"/>
        <v>305145.94941897993</v>
      </c>
      <c r="O156" s="63">
        <f t="shared" si="126"/>
        <v>305145.94941897993</v>
      </c>
      <c r="P156" s="63">
        <f t="shared" si="126"/>
        <v>305145.94941897993</v>
      </c>
      <c r="Q156" s="63">
        <f t="shared" si="126"/>
        <v>305145.94941897993</v>
      </c>
      <c r="R156" s="63">
        <f t="shared" si="126"/>
        <v>305145.94941897993</v>
      </c>
      <c r="S156" s="63">
        <f t="shared" si="126"/>
        <v>305145.94941897993</v>
      </c>
      <c r="T156" s="63">
        <f t="shared" si="126"/>
        <v>305145.94941897993</v>
      </c>
      <c r="U156" s="63">
        <f t="shared" si="126"/>
        <v>305145.94941897993</v>
      </c>
      <c r="V156" s="63">
        <f t="shared" si="126"/>
        <v>305145.94941897993</v>
      </c>
      <c r="W156" s="63">
        <f t="shared" si="126"/>
        <v>305145.94941897993</v>
      </c>
      <c r="X156" s="63">
        <f t="shared" si="126"/>
        <v>305145.94941897993</v>
      </c>
      <c r="Y156" s="63">
        <f t="shared" si="126"/>
        <v>305145.94941897993</v>
      </c>
      <c r="Z156" s="63">
        <f t="shared" si="126"/>
        <v>305145.94941897993</v>
      </c>
      <c r="AA156" s="63">
        <f t="shared" si="126"/>
        <v>305145.94941897993</v>
      </c>
      <c r="AB156" s="63">
        <f t="shared" si="126"/>
        <v>305145.94941897993</v>
      </c>
      <c r="AC156" s="63">
        <f t="shared" si="126"/>
        <v>305145.94941897993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-45369.034506436277</v>
      </c>
      <c r="C157" s="62">
        <f t="shared" ref="C157:AC157" si="127">((1+C141)^C148)*C141/(((1+C141)^C148)-1)*(C138)</f>
        <v>-45196.542704314146</v>
      </c>
      <c r="D157" s="62">
        <f t="shared" si="127"/>
        <v>-44951.629072308999</v>
      </c>
      <c r="E157" s="62">
        <f t="shared" si="127"/>
        <v>-44605.467188167124</v>
      </c>
      <c r="F157" s="62">
        <f t="shared" si="127"/>
        <v>-44119.462148109647</v>
      </c>
      <c r="G157" s="62">
        <f t="shared" si="127"/>
        <v>-43443.738717137028</v>
      </c>
      <c r="H157" s="62">
        <f t="shared" si="127"/>
        <v>-42517.347172137401</v>
      </c>
      <c r="I157" s="62">
        <f t="shared" si="127"/>
        <v>-41272.376203762586</v>
      </c>
      <c r="J157" s="62">
        <f t="shared" si="127"/>
        <v>-39644.958637393647</v>
      </c>
      <c r="K157" s="62">
        <f t="shared" si="127"/>
        <v>-37595.501281822799</v>
      </c>
      <c r="L157" s="62">
        <f t="shared" si="127"/>
        <v>-35136.211284820376</v>
      </c>
      <c r="M157" s="62">
        <f t="shared" si="127"/>
        <v>-32355.310948630464</v>
      </c>
      <c r="N157" s="62">
        <f t="shared" si="127"/>
        <v>-29419.525873461753</v>
      </c>
      <c r="O157" s="62">
        <f t="shared" si="127"/>
        <v>-26541.511557340396</v>
      </c>
      <c r="P157" s="62">
        <f t="shared" si="127"/>
        <v>-23921.595885610663</v>
      </c>
      <c r="Q157" s="62">
        <f t="shared" si="127"/>
        <v>-21695.040647806538</v>
      </c>
      <c r="R157" s="62">
        <f t="shared" si="127"/>
        <v>-19911.968655776182</v>
      </c>
      <c r="S157" s="62">
        <f t="shared" si="127"/>
        <v>-18551.40558747459</v>
      </c>
      <c r="T157" s="62">
        <f t="shared" si="127"/>
        <v>-17551.282614957105</v>
      </c>
      <c r="U157" s="62">
        <f t="shared" si="127"/>
        <v>-16836.209158050464</v>
      </c>
      <c r="V157" s="62">
        <f t="shared" si="127"/>
        <v>-16335.048266557109</v>
      </c>
      <c r="W157" s="62">
        <f t="shared" si="127"/>
        <v>-15988.715286779448</v>
      </c>
      <c r="X157" s="62">
        <f t="shared" si="127"/>
        <v>-15751.702370283236</v>
      </c>
      <c r="Y157" s="62">
        <f t="shared" si="127"/>
        <v>-15590.58521762073</v>
      </c>
      <c r="Z157" s="62">
        <f t="shared" si="127"/>
        <v>-15481.559033229796</v>
      </c>
      <c r="AA157" s="62">
        <f t="shared" si="127"/>
        <v>-15408.009855414111</v>
      </c>
      <c r="AB157" s="62">
        <f t="shared" si="127"/>
        <v>-15358.496914269901</v>
      </c>
      <c r="AC157" s="62">
        <f t="shared" si="127"/>
        <v>-15325.211858527608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28">((1+C141)^C149)*C141/(((1+C141)^C149)-1)*(C139)</f>
        <v>406833.9043442643</v>
      </c>
      <c r="D158" s="62">
        <f t="shared" si="128"/>
        <v>406833.9043442643</v>
      </c>
      <c r="E158" s="62">
        <f t="shared" si="128"/>
        <v>406833.9043442643</v>
      </c>
      <c r="F158" s="62">
        <f t="shared" si="128"/>
        <v>406833.9043442643</v>
      </c>
      <c r="G158" s="62">
        <f t="shared" si="128"/>
        <v>406833.9043442643</v>
      </c>
      <c r="H158" s="62">
        <f t="shared" si="128"/>
        <v>406833.9043442643</v>
      </c>
      <c r="I158" s="62">
        <f t="shared" si="128"/>
        <v>406833.9043442643</v>
      </c>
      <c r="J158" s="62">
        <f t="shared" si="128"/>
        <v>406833.9043442643</v>
      </c>
      <c r="K158" s="62">
        <f t="shared" si="128"/>
        <v>406833.9043442643</v>
      </c>
      <c r="L158" s="62">
        <f t="shared" si="128"/>
        <v>406833.9043442643</v>
      </c>
      <c r="M158" s="62">
        <f t="shared" si="128"/>
        <v>406833.9043442643</v>
      </c>
      <c r="N158" s="62">
        <f t="shared" si="128"/>
        <v>406833.9043442643</v>
      </c>
      <c r="O158" s="62">
        <f t="shared" si="128"/>
        <v>406833.9043442643</v>
      </c>
      <c r="P158" s="62">
        <f t="shared" si="128"/>
        <v>406833.9043442643</v>
      </c>
      <c r="Q158" s="62">
        <f t="shared" si="128"/>
        <v>406833.9043442643</v>
      </c>
      <c r="R158" s="62">
        <f t="shared" si="128"/>
        <v>406833.9043442643</v>
      </c>
      <c r="S158" s="62">
        <f t="shared" si="128"/>
        <v>406833.9043442643</v>
      </c>
      <c r="T158" s="62">
        <f t="shared" si="128"/>
        <v>406833.9043442643</v>
      </c>
      <c r="U158" s="62">
        <f t="shared" si="128"/>
        <v>406833.9043442643</v>
      </c>
      <c r="V158" s="62">
        <f t="shared" si="128"/>
        <v>406833.9043442643</v>
      </c>
      <c r="W158" s="62">
        <f t="shared" si="128"/>
        <v>406833.9043442643</v>
      </c>
      <c r="X158" s="62">
        <f t="shared" si="128"/>
        <v>406833.9043442643</v>
      </c>
      <c r="Y158" s="62">
        <f t="shared" si="128"/>
        <v>406833.9043442643</v>
      </c>
      <c r="Z158" s="62">
        <f t="shared" si="128"/>
        <v>406833.9043442643</v>
      </c>
      <c r="AA158" s="62">
        <f t="shared" si="128"/>
        <v>406833.9043442643</v>
      </c>
      <c r="AB158" s="62">
        <f t="shared" si="128"/>
        <v>406833.9043442643</v>
      </c>
      <c r="AC158" s="62">
        <f t="shared" si="128"/>
        <v>406833.9043442643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29">((1+C141)^C149)*C141/(((1+C141)^C149)-1)*(C140)</f>
        <v>-20341.695217213215</v>
      </c>
      <c r="D159" s="62">
        <f t="shared" si="129"/>
        <v>-20341.695217213215</v>
      </c>
      <c r="E159" s="62">
        <f t="shared" si="129"/>
        <v>-20341.695217213215</v>
      </c>
      <c r="F159" s="62">
        <f t="shared" si="129"/>
        <v>-20341.695217213215</v>
      </c>
      <c r="G159" s="62">
        <f t="shared" si="129"/>
        <v>-20341.695217213215</v>
      </c>
      <c r="H159" s="62">
        <f t="shared" si="129"/>
        <v>-20341.695217213215</v>
      </c>
      <c r="I159" s="62">
        <f t="shared" si="129"/>
        <v>-20341.695217213215</v>
      </c>
      <c r="J159" s="62">
        <f t="shared" si="129"/>
        <v>-20341.695217213215</v>
      </c>
      <c r="K159" s="62">
        <f t="shared" si="129"/>
        <v>-20341.695217213215</v>
      </c>
      <c r="L159" s="62">
        <f t="shared" si="129"/>
        <v>-20341.695217213215</v>
      </c>
      <c r="M159" s="62">
        <f t="shared" si="129"/>
        <v>-20341.695217213215</v>
      </c>
      <c r="N159" s="62">
        <f t="shared" si="129"/>
        <v>-20341.695217213215</v>
      </c>
      <c r="O159" s="62">
        <f t="shared" si="129"/>
        <v>-20341.695217213215</v>
      </c>
      <c r="P159" s="62">
        <f t="shared" si="129"/>
        <v>-20341.695217213215</v>
      </c>
      <c r="Q159" s="62">
        <f t="shared" si="129"/>
        <v>-20341.695217213215</v>
      </c>
      <c r="R159" s="62">
        <f t="shared" si="129"/>
        <v>-20341.695217213215</v>
      </c>
      <c r="S159" s="62">
        <f t="shared" si="129"/>
        <v>-20341.695217213215</v>
      </c>
      <c r="T159" s="62">
        <f t="shared" si="129"/>
        <v>-20341.695217213215</v>
      </c>
      <c r="U159" s="62">
        <f t="shared" si="129"/>
        <v>-20341.695217213215</v>
      </c>
      <c r="V159" s="62">
        <f t="shared" si="129"/>
        <v>-20341.695217213215</v>
      </c>
      <c r="W159" s="62">
        <f t="shared" si="129"/>
        <v>-20341.695217213215</v>
      </c>
      <c r="X159" s="62">
        <f t="shared" si="129"/>
        <v>-20341.695217213215</v>
      </c>
      <c r="Y159" s="62">
        <f t="shared" si="129"/>
        <v>-20341.695217213215</v>
      </c>
      <c r="Z159" s="62">
        <f t="shared" si="129"/>
        <v>-20341.695217213215</v>
      </c>
      <c r="AA159" s="62">
        <f t="shared" si="129"/>
        <v>-20341.695217213215</v>
      </c>
      <c r="AB159" s="62">
        <f t="shared" si="129"/>
        <v>-20341.695217213215</v>
      </c>
      <c r="AC159" s="62">
        <f t="shared" si="129"/>
        <v>-20341.695217213215</v>
      </c>
    </row>
    <row r="160" spans="1:29" x14ac:dyDescent="0.3">
      <c r="A160" s="30" t="str">
        <f t="shared" ref="A160:AC160" si="130">A142</f>
        <v>Opex fix (admin, crew, insurance)</v>
      </c>
      <c r="B160" s="62">
        <f t="shared" si="130"/>
        <v>620000</v>
      </c>
      <c r="C160" s="62">
        <f t="shared" si="130"/>
        <v>620000</v>
      </c>
      <c r="D160" s="62">
        <f t="shared" si="130"/>
        <v>620000</v>
      </c>
      <c r="E160" s="62">
        <f t="shared" si="130"/>
        <v>620000</v>
      </c>
      <c r="F160" s="62">
        <f t="shared" si="130"/>
        <v>620000</v>
      </c>
      <c r="G160" s="62">
        <f t="shared" si="130"/>
        <v>620000</v>
      </c>
      <c r="H160" s="62">
        <f t="shared" si="130"/>
        <v>620000</v>
      </c>
      <c r="I160" s="62">
        <f t="shared" si="130"/>
        <v>620000</v>
      </c>
      <c r="J160" s="62">
        <f t="shared" si="130"/>
        <v>620000</v>
      </c>
      <c r="K160" s="62">
        <f t="shared" si="130"/>
        <v>620000</v>
      </c>
      <c r="L160" s="62">
        <f t="shared" si="130"/>
        <v>620000</v>
      </c>
      <c r="M160" s="62">
        <f t="shared" si="130"/>
        <v>620000</v>
      </c>
      <c r="N160" s="62">
        <f t="shared" si="130"/>
        <v>620000</v>
      </c>
      <c r="O160" s="62">
        <f t="shared" si="130"/>
        <v>620000</v>
      </c>
      <c r="P160" s="62">
        <f t="shared" si="130"/>
        <v>620000</v>
      </c>
      <c r="Q160" s="62">
        <f t="shared" si="130"/>
        <v>620000</v>
      </c>
      <c r="R160" s="62">
        <f t="shared" si="130"/>
        <v>620000</v>
      </c>
      <c r="S160" s="62">
        <f t="shared" si="130"/>
        <v>620000</v>
      </c>
      <c r="T160" s="62">
        <f t="shared" si="130"/>
        <v>620000</v>
      </c>
      <c r="U160" s="62">
        <f t="shared" si="130"/>
        <v>620000</v>
      </c>
      <c r="V160" s="62">
        <f t="shared" si="130"/>
        <v>620000</v>
      </c>
      <c r="W160" s="62">
        <f t="shared" si="130"/>
        <v>620000</v>
      </c>
      <c r="X160" s="62">
        <f t="shared" si="130"/>
        <v>620000</v>
      </c>
      <c r="Y160" s="62">
        <f t="shared" si="130"/>
        <v>620000</v>
      </c>
      <c r="Z160" s="62">
        <f t="shared" si="130"/>
        <v>620000</v>
      </c>
      <c r="AA160" s="62">
        <f t="shared" si="130"/>
        <v>620000</v>
      </c>
      <c r="AB160" s="62">
        <f t="shared" si="130"/>
        <v>620000</v>
      </c>
      <c r="AC160" s="62">
        <f t="shared" si="130"/>
        <v>620000</v>
      </c>
    </row>
    <row r="161" spans="1:29" x14ac:dyDescent="0.3">
      <c r="A161" s="30" t="str">
        <f t="shared" ref="A161:AC161" si="131">A143</f>
        <v>Opex maintenance &amp; repair</v>
      </c>
      <c r="B161" s="62">
        <f t="shared" si="131"/>
        <v>1050000</v>
      </c>
      <c r="C161" s="62">
        <f t="shared" si="131"/>
        <v>1050000</v>
      </c>
      <c r="D161" s="62">
        <f t="shared" si="131"/>
        <v>1050000</v>
      </c>
      <c r="E161" s="62">
        <f t="shared" si="131"/>
        <v>1050000</v>
      </c>
      <c r="F161" s="62">
        <f t="shared" si="131"/>
        <v>1050000</v>
      </c>
      <c r="G161" s="62">
        <f t="shared" si="131"/>
        <v>1050000</v>
      </c>
      <c r="H161" s="62">
        <f t="shared" si="131"/>
        <v>1050000</v>
      </c>
      <c r="I161" s="62">
        <f t="shared" si="131"/>
        <v>1050000</v>
      </c>
      <c r="J161" s="62">
        <f t="shared" si="131"/>
        <v>1050000</v>
      </c>
      <c r="K161" s="62">
        <f t="shared" si="131"/>
        <v>1050000</v>
      </c>
      <c r="L161" s="62">
        <f t="shared" si="131"/>
        <v>1050000</v>
      </c>
      <c r="M161" s="62">
        <f t="shared" si="131"/>
        <v>1050000</v>
      </c>
      <c r="N161" s="62">
        <f t="shared" si="131"/>
        <v>1050000</v>
      </c>
      <c r="O161" s="62">
        <f t="shared" si="131"/>
        <v>1050000</v>
      </c>
      <c r="P161" s="62">
        <f t="shared" si="131"/>
        <v>1050000</v>
      </c>
      <c r="Q161" s="62">
        <f t="shared" si="131"/>
        <v>1050000</v>
      </c>
      <c r="R161" s="62">
        <f t="shared" si="131"/>
        <v>1050000</v>
      </c>
      <c r="S161" s="62">
        <f t="shared" si="131"/>
        <v>1050000</v>
      </c>
      <c r="T161" s="62">
        <f t="shared" si="131"/>
        <v>1050000</v>
      </c>
      <c r="U161" s="62">
        <f t="shared" si="131"/>
        <v>1050000</v>
      </c>
      <c r="V161" s="62">
        <f t="shared" si="131"/>
        <v>1050000</v>
      </c>
      <c r="W161" s="62">
        <f t="shared" si="131"/>
        <v>1050000</v>
      </c>
      <c r="X161" s="62">
        <f t="shared" si="131"/>
        <v>1050000</v>
      </c>
      <c r="Y161" s="62">
        <f t="shared" si="131"/>
        <v>1050000</v>
      </c>
      <c r="Z161" s="62">
        <f t="shared" si="131"/>
        <v>1050000</v>
      </c>
      <c r="AA161" s="62">
        <f t="shared" si="131"/>
        <v>1050000</v>
      </c>
      <c r="AB161" s="62">
        <f t="shared" si="131"/>
        <v>1050000</v>
      </c>
      <c r="AC161" s="62">
        <f t="shared" si="131"/>
        <v>1050000</v>
      </c>
    </row>
    <row r="162" spans="1:29" x14ac:dyDescent="0.3">
      <c r="A162" s="30" t="str">
        <f>A144</f>
        <v>Opex var (mode-fees, shunting)</v>
      </c>
      <c r="B162" s="62">
        <f>B144*B153</f>
        <v>650000</v>
      </c>
      <c r="C162" s="62">
        <f t="shared" ref="C162:AC162" si="132">C144*C153</f>
        <v>650000</v>
      </c>
      <c r="D162" s="62">
        <f t="shared" si="132"/>
        <v>650000</v>
      </c>
      <c r="E162" s="62">
        <f t="shared" si="132"/>
        <v>650000</v>
      </c>
      <c r="F162" s="62">
        <f t="shared" si="132"/>
        <v>650000</v>
      </c>
      <c r="G162" s="62">
        <f t="shared" si="132"/>
        <v>650000</v>
      </c>
      <c r="H162" s="62">
        <f t="shared" si="132"/>
        <v>650000</v>
      </c>
      <c r="I162" s="62">
        <f t="shared" si="132"/>
        <v>650000</v>
      </c>
      <c r="J162" s="62">
        <f t="shared" si="132"/>
        <v>650000</v>
      </c>
      <c r="K162" s="62">
        <f t="shared" si="132"/>
        <v>650000</v>
      </c>
      <c r="L162" s="62">
        <f t="shared" si="132"/>
        <v>650000</v>
      </c>
      <c r="M162" s="62">
        <f t="shared" si="132"/>
        <v>650000</v>
      </c>
      <c r="N162" s="62">
        <f t="shared" si="132"/>
        <v>650000</v>
      </c>
      <c r="O162" s="62">
        <f t="shared" si="132"/>
        <v>650000</v>
      </c>
      <c r="P162" s="62">
        <f t="shared" si="132"/>
        <v>650000</v>
      </c>
      <c r="Q162" s="62">
        <f t="shared" si="132"/>
        <v>650000</v>
      </c>
      <c r="R162" s="62">
        <f t="shared" si="132"/>
        <v>650000</v>
      </c>
      <c r="S162" s="62">
        <f t="shared" si="132"/>
        <v>650000</v>
      </c>
      <c r="T162" s="62">
        <f t="shared" si="132"/>
        <v>650000</v>
      </c>
      <c r="U162" s="62">
        <f t="shared" si="132"/>
        <v>650000</v>
      </c>
      <c r="V162" s="62">
        <f t="shared" si="132"/>
        <v>650000</v>
      </c>
      <c r="W162" s="62">
        <f t="shared" si="132"/>
        <v>650000</v>
      </c>
      <c r="X162" s="62">
        <f t="shared" si="132"/>
        <v>650000</v>
      </c>
      <c r="Y162" s="62">
        <f t="shared" si="132"/>
        <v>650000</v>
      </c>
      <c r="Z162" s="62">
        <f t="shared" si="132"/>
        <v>650000</v>
      </c>
      <c r="AA162" s="62">
        <f t="shared" si="132"/>
        <v>650000</v>
      </c>
      <c r="AB162" s="62">
        <f t="shared" si="132"/>
        <v>650000</v>
      </c>
      <c r="AC162" s="62">
        <f t="shared" si="132"/>
        <v>650000</v>
      </c>
    </row>
    <row r="163" spans="1:29" x14ac:dyDescent="0.3">
      <c r="A163" s="30" t="str">
        <f>A146</f>
        <v>Fuel Cost</v>
      </c>
      <c r="B163" s="62">
        <f>B145*B146*B153</f>
        <v>1108185.1200000001</v>
      </c>
      <c r="C163" s="62">
        <f t="shared" ref="C163:AC163" si="133">C145*C146*C153</f>
        <v>1108185.1200000001</v>
      </c>
      <c r="D163" s="62">
        <f t="shared" si="133"/>
        <v>1108185.1200000001</v>
      </c>
      <c r="E163" s="62">
        <f t="shared" si="133"/>
        <v>1108185.1200000001</v>
      </c>
      <c r="F163" s="62">
        <f t="shared" si="133"/>
        <v>1108185.1200000001</v>
      </c>
      <c r="G163" s="62">
        <f t="shared" si="133"/>
        <v>1108185.1200000001</v>
      </c>
      <c r="H163" s="62">
        <f t="shared" si="133"/>
        <v>1108185.1200000001</v>
      </c>
      <c r="I163" s="62">
        <f t="shared" si="133"/>
        <v>1108185.1200000001</v>
      </c>
      <c r="J163" s="62">
        <f t="shared" si="133"/>
        <v>1108185.1200000001</v>
      </c>
      <c r="K163" s="62">
        <f t="shared" si="133"/>
        <v>1108185.1200000001</v>
      </c>
      <c r="L163" s="62">
        <f t="shared" si="133"/>
        <v>1108185.1200000001</v>
      </c>
      <c r="M163" s="62">
        <f t="shared" si="133"/>
        <v>1108185.1200000001</v>
      </c>
      <c r="N163" s="62">
        <f t="shared" si="133"/>
        <v>1108185.1200000001</v>
      </c>
      <c r="O163" s="62">
        <f t="shared" si="133"/>
        <v>1108185.1200000001</v>
      </c>
      <c r="P163" s="62">
        <f t="shared" si="133"/>
        <v>1108185.1200000001</v>
      </c>
      <c r="Q163" s="62">
        <f t="shared" si="133"/>
        <v>1108185.1200000001</v>
      </c>
      <c r="R163" s="62">
        <f t="shared" si="133"/>
        <v>1108185.1200000001</v>
      </c>
      <c r="S163" s="62">
        <f t="shared" si="133"/>
        <v>1108185.1200000001</v>
      </c>
      <c r="T163" s="62">
        <f t="shared" si="133"/>
        <v>1108185.1200000001</v>
      </c>
      <c r="U163" s="62">
        <f t="shared" si="133"/>
        <v>1108185.1200000001</v>
      </c>
      <c r="V163" s="62">
        <f t="shared" si="133"/>
        <v>1108185.1200000001</v>
      </c>
      <c r="W163" s="62">
        <f t="shared" si="133"/>
        <v>1108185.1200000001</v>
      </c>
      <c r="X163" s="62">
        <f t="shared" si="133"/>
        <v>1108185.1200000001</v>
      </c>
      <c r="Y163" s="62">
        <f t="shared" si="133"/>
        <v>1108185.1200000001</v>
      </c>
      <c r="Z163" s="62">
        <f t="shared" si="133"/>
        <v>1108185.1200000001</v>
      </c>
      <c r="AA163" s="62">
        <f t="shared" si="133"/>
        <v>1108185.1200000001</v>
      </c>
      <c r="AB163" s="62">
        <f t="shared" si="133"/>
        <v>1108185.1200000001</v>
      </c>
      <c r="AC163" s="62">
        <f t="shared" si="133"/>
        <v>1108185.1200000001</v>
      </c>
    </row>
    <row r="164" spans="1:29" ht="15" thickBot="1" x14ac:dyDescent="0.35">
      <c r="A164" s="59" t="str">
        <f>A127</f>
        <v>Emission Cost</v>
      </c>
      <c r="B164" s="62">
        <f>B147*B153</f>
        <v>297076.12650833098</v>
      </c>
      <c r="C164" s="62">
        <f t="shared" ref="C164:AC164" si="134">C147*C153</f>
        <v>297777.94199366053</v>
      </c>
      <c r="D164" s="62">
        <f t="shared" si="134"/>
        <v>298782.5752292301</v>
      </c>
      <c r="E164" s="62">
        <f t="shared" si="134"/>
        <v>300219.7737216797</v>
      </c>
      <c r="F164" s="62">
        <f t="shared" si="134"/>
        <v>302273.84750098281</v>
      </c>
      <c r="G164" s="62">
        <f t="shared" si="134"/>
        <v>305205.45468780003</v>
      </c>
      <c r="H164" s="62">
        <f t="shared" si="134"/>
        <v>309380.78252379573</v>
      </c>
      <c r="I164" s="62">
        <f t="shared" si="134"/>
        <v>315309.1495101981</v>
      </c>
      <c r="J164" s="62">
        <f t="shared" si="134"/>
        <v>323688.32656578312</v>
      </c>
      <c r="K164" s="62">
        <f t="shared" si="134"/>
        <v>335452.53997894813</v>
      </c>
      <c r="L164" s="62">
        <f t="shared" si="134"/>
        <v>351809.06716495787</v>
      </c>
      <c r="M164" s="62">
        <f t="shared" si="134"/>
        <v>374233.25403807813</v>
      </c>
      <c r="N164" s="62">
        <f t="shared" si="134"/>
        <v>404368.95831683179</v>
      </c>
      <c r="O164" s="62">
        <f t="shared" si="134"/>
        <v>443762.14559907379</v>
      </c>
      <c r="P164" s="62">
        <f t="shared" si="134"/>
        <v>493371.20666820335</v>
      </c>
      <c r="Q164" s="62">
        <f t="shared" si="134"/>
        <v>552900.65592283802</v>
      </c>
      <c r="R164" s="62">
        <f t="shared" si="134"/>
        <v>620214.98877792771</v>
      </c>
      <c r="S164" s="62">
        <f t="shared" si="134"/>
        <v>691278.45378928771</v>
      </c>
      <c r="T164" s="62">
        <f t="shared" si="134"/>
        <v>760943.5227297073</v>
      </c>
      <c r="U164" s="62">
        <f t="shared" si="134"/>
        <v>824361.06894091319</v>
      </c>
      <c r="V164" s="62">
        <f t="shared" si="134"/>
        <v>878256.95238819218</v>
      </c>
      <c r="W164" s="62">
        <f t="shared" si="134"/>
        <v>921417.90282360604</v>
      </c>
      <c r="X164" s="62">
        <f t="shared" si="134"/>
        <v>954351.62362550874</v>
      </c>
      <c r="Y164" s="62">
        <f t="shared" si="134"/>
        <v>978560.54970313353</v>
      </c>
      <c r="Z164" s="62">
        <f t="shared" si="134"/>
        <v>995869.58162622747</v>
      </c>
      <c r="AA164" s="62">
        <f t="shared" si="134"/>
        <v>1008000.6568125312</v>
      </c>
      <c r="AB164" s="62">
        <f t="shared" si="134"/>
        <v>1016383.9754004205</v>
      </c>
      <c r="AC164" s="62">
        <f t="shared" si="134"/>
        <v>1022121.0980669021</v>
      </c>
    </row>
    <row r="165" spans="1:29" ht="15" thickBot="1" x14ac:dyDescent="0.35">
      <c r="A165" s="31" t="s">
        <v>209</v>
      </c>
      <c r="B165" s="64">
        <f>B156+B157+B158+B159+B160+B161+B162+B163+B164</f>
        <v>4371530.3705479261</v>
      </c>
      <c r="C165" s="64">
        <f t="shared" ref="C165:AC165" si="135">C156+C157+C158+C159+C160+C161+C162+C163+C164</f>
        <v>4372404.6778353779</v>
      </c>
      <c r="D165" s="64">
        <f t="shared" si="135"/>
        <v>4373654.2247029524</v>
      </c>
      <c r="E165" s="64">
        <f t="shared" si="135"/>
        <v>4375437.5850795442</v>
      </c>
      <c r="F165" s="64">
        <f t="shared" si="135"/>
        <v>4377977.6638989039</v>
      </c>
      <c r="G165" s="64">
        <f t="shared" si="135"/>
        <v>4381584.994516694</v>
      </c>
      <c r="H165" s="64">
        <f t="shared" si="135"/>
        <v>4386686.7138976892</v>
      </c>
      <c r="I165" s="64">
        <f t="shared" si="135"/>
        <v>4393860.0518524665</v>
      </c>
      <c r="J165" s="64">
        <f t="shared" si="135"/>
        <v>4403866.646474421</v>
      </c>
      <c r="K165" s="64">
        <f t="shared" si="135"/>
        <v>4417680.317243157</v>
      </c>
      <c r="L165" s="64">
        <f t="shared" si="135"/>
        <v>4436496.1344261682</v>
      </c>
      <c r="M165" s="64">
        <f t="shared" si="135"/>
        <v>4461701.2216354785</v>
      </c>
      <c r="N165" s="64">
        <f t="shared" si="135"/>
        <v>4494772.7109894007</v>
      </c>
      <c r="O165" s="64">
        <f t="shared" si="135"/>
        <v>4537043.9125877647</v>
      </c>
      <c r="P165" s="64">
        <f t="shared" si="135"/>
        <v>4589272.8893286241</v>
      </c>
      <c r="Q165" s="64">
        <f t="shared" si="135"/>
        <v>4651028.8938210625</v>
      </c>
      <c r="R165" s="64">
        <f t="shared" si="135"/>
        <v>4720126.2986681825</v>
      </c>
      <c r="S165" s="64">
        <f t="shared" si="135"/>
        <v>4792550.326747844</v>
      </c>
      <c r="T165" s="64">
        <f t="shared" si="135"/>
        <v>4863215.518660781</v>
      </c>
      <c r="U165" s="64">
        <f t="shared" si="135"/>
        <v>4927348.138328894</v>
      </c>
      <c r="V165" s="64">
        <f t="shared" si="135"/>
        <v>4981745.1826676661</v>
      </c>
      <c r="W165" s="64">
        <f t="shared" si="135"/>
        <v>5025252.4660828579</v>
      </c>
      <c r="X165" s="64">
        <f t="shared" si="135"/>
        <v>5058423.1998012569</v>
      </c>
      <c r="Y165" s="64">
        <f t="shared" si="135"/>
        <v>5082793.2430315437</v>
      </c>
      <c r="Z165" s="64">
        <f t="shared" si="135"/>
        <v>5100211.3011390287</v>
      </c>
      <c r="AA165" s="64">
        <f t="shared" si="135"/>
        <v>5112415.9255031478</v>
      </c>
      <c r="AB165" s="64">
        <f t="shared" si="135"/>
        <v>5120848.7570321821</v>
      </c>
      <c r="AC165" s="64">
        <f t="shared" si="135"/>
        <v>5126619.1647544056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36">A156</f>
        <v>Capex vehicle</v>
      </c>
      <c r="B168" s="65">
        <f>((1+B141)^B148)*B141/(((1+B141)^B148)-1)*(B137)/B153</f>
        <v>1.7095011171931649</v>
      </c>
      <c r="C168" s="65">
        <f t="shared" ref="C168:AC168" si="137">((1+C141)^C148)*C141/(((1+C141)^C148)-1)*(C137)/C153</f>
        <v>1.7095011171931649</v>
      </c>
      <c r="D168" s="65">
        <f t="shared" si="137"/>
        <v>1.7095011171931649</v>
      </c>
      <c r="E168" s="65">
        <f t="shared" si="137"/>
        <v>1.7095011171931649</v>
      </c>
      <c r="F168" s="65">
        <f t="shared" si="137"/>
        <v>1.7095011171931649</v>
      </c>
      <c r="G168" s="65">
        <f t="shared" si="137"/>
        <v>1.7095011171931649</v>
      </c>
      <c r="H168" s="65">
        <f t="shared" si="137"/>
        <v>1.7095011171931649</v>
      </c>
      <c r="I168" s="65">
        <f t="shared" si="137"/>
        <v>1.7095011171931649</v>
      </c>
      <c r="J168" s="65">
        <f t="shared" si="137"/>
        <v>1.7095011171931649</v>
      </c>
      <c r="K168" s="65">
        <f t="shared" si="137"/>
        <v>1.7095011171931649</v>
      </c>
      <c r="L168" s="65">
        <f t="shared" si="137"/>
        <v>1.7095011171931649</v>
      </c>
      <c r="M168" s="65">
        <f t="shared" si="137"/>
        <v>1.7095011171931649</v>
      </c>
      <c r="N168" s="65">
        <f t="shared" si="137"/>
        <v>1.7095011171931649</v>
      </c>
      <c r="O168" s="65">
        <f t="shared" si="137"/>
        <v>1.7095011171931649</v>
      </c>
      <c r="P168" s="65">
        <f t="shared" si="137"/>
        <v>1.7095011171931649</v>
      </c>
      <c r="Q168" s="65">
        <f t="shared" si="137"/>
        <v>1.7095011171931649</v>
      </c>
      <c r="R168" s="65">
        <f t="shared" si="137"/>
        <v>1.7095011171931649</v>
      </c>
      <c r="S168" s="65">
        <f t="shared" si="137"/>
        <v>1.7095011171931649</v>
      </c>
      <c r="T168" s="65">
        <f t="shared" si="137"/>
        <v>1.7095011171931649</v>
      </c>
      <c r="U168" s="65">
        <f t="shared" si="137"/>
        <v>1.7095011171931649</v>
      </c>
      <c r="V168" s="65">
        <f t="shared" si="137"/>
        <v>1.7095011171931649</v>
      </c>
      <c r="W168" s="65">
        <f t="shared" si="137"/>
        <v>1.7095011171931649</v>
      </c>
      <c r="X168" s="65">
        <f t="shared" si="137"/>
        <v>1.7095011171931649</v>
      </c>
      <c r="Y168" s="65">
        <f t="shared" si="137"/>
        <v>1.7095011171931649</v>
      </c>
      <c r="Z168" s="65">
        <f t="shared" si="137"/>
        <v>1.7095011171931649</v>
      </c>
      <c r="AA168" s="65">
        <f t="shared" si="137"/>
        <v>1.7095011171931649</v>
      </c>
      <c r="AB168" s="65">
        <f t="shared" si="137"/>
        <v>1.7095011171931649</v>
      </c>
      <c r="AC168" s="65">
        <f t="shared" si="137"/>
        <v>1.7095011171931649</v>
      </c>
    </row>
    <row r="169" spans="1:29" x14ac:dyDescent="0.3">
      <c r="A169" s="30" t="str">
        <f t="shared" si="136"/>
        <v>Residual value (vehicle)</v>
      </c>
      <c r="B169" s="66">
        <f>((1+B141)^B148)*B141/(((1+B141)^B148)-1)*(B138)/B153</f>
        <v>-0.25416826054025926</v>
      </c>
      <c r="C169" s="66">
        <f t="shared" ref="C169:AC169" si="138">((1+C141)^C148)*C141/(((1+C141)^C148)-1)*(C138)/C153</f>
        <v>-0.2532019199121241</v>
      </c>
      <c r="D169" s="66">
        <f t="shared" si="138"/>
        <v>-0.25182985474682912</v>
      </c>
      <c r="E169" s="66">
        <f t="shared" si="138"/>
        <v>-0.24989057248272897</v>
      </c>
      <c r="F169" s="66">
        <f t="shared" si="138"/>
        <v>-0.24716785517148263</v>
      </c>
      <c r="G169" s="66">
        <f t="shared" si="138"/>
        <v>-0.2433822897318601</v>
      </c>
      <c r="H169" s="66">
        <f t="shared" si="138"/>
        <v>-0.23819242113242242</v>
      </c>
      <c r="I169" s="66">
        <f t="shared" si="138"/>
        <v>-0.23121779385861393</v>
      </c>
      <c r="J169" s="66">
        <f t="shared" si="138"/>
        <v>-0.22210060861284955</v>
      </c>
      <c r="K169" s="66">
        <f t="shared" si="138"/>
        <v>-0.21061905480012771</v>
      </c>
      <c r="L169" s="66">
        <f t="shared" si="138"/>
        <v>-0.19684151980291528</v>
      </c>
      <c r="M169" s="66">
        <f t="shared" si="138"/>
        <v>-0.18126224621081494</v>
      </c>
      <c r="N169" s="66">
        <f t="shared" si="138"/>
        <v>-0.16481527099978574</v>
      </c>
      <c r="O169" s="66">
        <f t="shared" si="138"/>
        <v>-0.14869194149770532</v>
      </c>
      <c r="P169" s="66">
        <f t="shared" si="138"/>
        <v>-0.13401454277653033</v>
      </c>
      <c r="Q169" s="66">
        <f t="shared" si="138"/>
        <v>-0.12154084396530274</v>
      </c>
      <c r="R169" s="66">
        <f t="shared" si="138"/>
        <v>-0.11155164513039878</v>
      </c>
      <c r="S169" s="66">
        <f t="shared" si="138"/>
        <v>-0.10392944306708454</v>
      </c>
      <c r="T169" s="66">
        <f t="shared" si="138"/>
        <v>-9.8326513249059416E-2</v>
      </c>
      <c r="U169" s="66">
        <f t="shared" si="138"/>
        <v>-9.4320499484876544E-2</v>
      </c>
      <c r="V169" s="66">
        <f t="shared" si="138"/>
        <v>-9.1512875442896963E-2</v>
      </c>
      <c r="W169" s="66">
        <f t="shared" si="138"/>
        <v>-8.9572634659828843E-2</v>
      </c>
      <c r="X169" s="66">
        <f t="shared" si="138"/>
        <v>-8.8244831206068547E-2</v>
      </c>
      <c r="Y169" s="66">
        <f t="shared" si="138"/>
        <v>-8.734221410431782E-2</v>
      </c>
      <c r="Z169" s="66">
        <f t="shared" si="138"/>
        <v>-8.6731423155348999E-2</v>
      </c>
      <c r="AA169" s="66">
        <f t="shared" si="138"/>
        <v>-8.631938294349642E-2</v>
      </c>
      <c r="AB169" s="66">
        <f t="shared" si="138"/>
        <v>-8.6041999519719331E-2</v>
      </c>
      <c r="AC169" s="66">
        <f t="shared" si="138"/>
        <v>-8.5855528619202287E-2</v>
      </c>
    </row>
    <row r="170" spans="1:29" x14ac:dyDescent="0.3">
      <c r="A170" s="30" t="str">
        <f t="shared" si="136"/>
        <v>Capex costumization</v>
      </c>
      <c r="B170" s="66">
        <f>((1+B141)^B149)*B141/(((1+B141)^B149)-1)*(B139)/B153</f>
        <v>2.2791815369426573</v>
      </c>
      <c r="C170" s="66">
        <f t="shared" ref="C170:AC170" si="139">((1+C141)^C149)*C141/(((1+C141)^C149)-1)*(C139)/C153</f>
        <v>2.2791815369426573</v>
      </c>
      <c r="D170" s="66">
        <f t="shared" si="139"/>
        <v>2.2791815369426573</v>
      </c>
      <c r="E170" s="66">
        <f t="shared" si="139"/>
        <v>2.2791815369426573</v>
      </c>
      <c r="F170" s="66">
        <f t="shared" si="139"/>
        <v>2.2791815369426573</v>
      </c>
      <c r="G170" s="66">
        <f t="shared" si="139"/>
        <v>2.2791815369426573</v>
      </c>
      <c r="H170" s="66">
        <f t="shared" si="139"/>
        <v>2.2791815369426573</v>
      </c>
      <c r="I170" s="66">
        <f t="shared" si="139"/>
        <v>2.2791815369426573</v>
      </c>
      <c r="J170" s="66">
        <f t="shared" si="139"/>
        <v>2.2791815369426573</v>
      </c>
      <c r="K170" s="66">
        <f t="shared" si="139"/>
        <v>2.2791815369426573</v>
      </c>
      <c r="L170" s="66">
        <f t="shared" si="139"/>
        <v>2.2791815369426573</v>
      </c>
      <c r="M170" s="66">
        <f t="shared" si="139"/>
        <v>2.2791815369426573</v>
      </c>
      <c r="N170" s="66">
        <f t="shared" si="139"/>
        <v>2.2791815369426573</v>
      </c>
      <c r="O170" s="66">
        <f t="shared" si="139"/>
        <v>2.2791815369426573</v>
      </c>
      <c r="P170" s="66">
        <f t="shared" si="139"/>
        <v>2.2791815369426573</v>
      </c>
      <c r="Q170" s="66">
        <f t="shared" si="139"/>
        <v>2.2791815369426573</v>
      </c>
      <c r="R170" s="66">
        <f t="shared" si="139"/>
        <v>2.2791815369426573</v>
      </c>
      <c r="S170" s="66">
        <f t="shared" si="139"/>
        <v>2.2791815369426573</v>
      </c>
      <c r="T170" s="66">
        <f t="shared" si="139"/>
        <v>2.2791815369426573</v>
      </c>
      <c r="U170" s="66">
        <f t="shared" si="139"/>
        <v>2.2791815369426573</v>
      </c>
      <c r="V170" s="66">
        <f t="shared" si="139"/>
        <v>2.2791815369426573</v>
      </c>
      <c r="W170" s="66">
        <f t="shared" si="139"/>
        <v>2.2791815369426573</v>
      </c>
      <c r="X170" s="66">
        <f t="shared" si="139"/>
        <v>2.2791815369426573</v>
      </c>
      <c r="Y170" s="66">
        <f t="shared" si="139"/>
        <v>2.2791815369426573</v>
      </c>
      <c r="Z170" s="66">
        <f t="shared" si="139"/>
        <v>2.2791815369426573</v>
      </c>
      <c r="AA170" s="66">
        <f t="shared" si="139"/>
        <v>2.2791815369426573</v>
      </c>
      <c r="AB170" s="66">
        <f t="shared" si="139"/>
        <v>2.2791815369426573</v>
      </c>
      <c r="AC170" s="66">
        <f t="shared" si="139"/>
        <v>2.2791815369426573</v>
      </c>
    </row>
    <row r="171" spans="1:29" x14ac:dyDescent="0.3">
      <c r="A171" s="30" t="str">
        <f t="shared" si="136"/>
        <v>Residual value (costumization)</v>
      </c>
      <c r="B171" s="66">
        <f>((1+B141)^B149)*B141/(((1+B141)^B149)-1)*(B140)/B153</f>
        <v>-0.11395907684713286</v>
      </c>
      <c r="C171" s="66">
        <f t="shared" ref="C171:AC171" si="140">((1+C141)^C149)*C141/(((1+C141)^C149)-1)*(C140)/C153</f>
        <v>-0.11395907684713286</v>
      </c>
      <c r="D171" s="66">
        <f t="shared" si="140"/>
        <v>-0.11395907684713286</v>
      </c>
      <c r="E171" s="66">
        <f t="shared" si="140"/>
        <v>-0.11395907684713286</v>
      </c>
      <c r="F171" s="66">
        <f t="shared" si="140"/>
        <v>-0.11395907684713286</v>
      </c>
      <c r="G171" s="66">
        <f t="shared" si="140"/>
        <v>-0.11395907684713286</v>
      </c>
      <c r="H171" s="66">
        <f t="shared" si="140"/>
        <v>-0.11395907684713286</v>
      </c>
      <c r="I171" s="66">
        <f t="shared" si="140"/>
        <v>-0.11395907684713286</v>
      </c>
      <c r="J171" s="66">
        <f t="shared" si="140"/>
        <v>-0.11395907684713286</v>
      </c>
      <c r="K171" s="66">
        <f t="shared" si="140"/>
        <v>-0.11395907684713286</v>
      </c>
      <c r="L171" s="66">
        <f t="shared" si="140"/>
        <v>-0.11395907684713286</v>
      </c>
      <c r="M171" s="66">
        <f t="shared" si="140"/>
        <v>-0.11395907684713286</v>
      </c>
      <c r="N171" s="66">
        <f t="shared" si="140"/>
        <v>-0.11395907684713286</v>
      </c>
      <c r="O171" s="66">
        <f t="shared" si="140"/>
        <v>-0.11395907684713286</v>
      </c>
      <c r="P171" s="66">
        <f t="shared" si="140"/>
        <v>-0.11395907684713286</v>
      </c>
      <c r="Q171" s="66">
        <f t="shared" si="140"/>
        <v>-0.11395907684713286</v>
      </c>
      <c r="R171" s="66">
        <f t="shared" si="140"/>
        <v>-0.11395907684713286</v>
      </c>
      <c r="S171" s="66">
        <f t="shared" si="140"/>
        <v>-0.11395907684713286</v>
      </c>
      <c r="T171" s="66">
        <f t="shared" si="140"/>
        <v>-0.11395907684713286</v>
      </c>
      <c r="U171" s="66">
        <f t="shared" si="140"/>
        <v>-0.11395907684713286</v>
      </c>
      <c r="V171" s="66">
        <f t="shared" si="140"/>
        <v>-0.11395907684713286</v>
      </c>
      <c r="W171" s="66">
        <f t="shared" si="140"/>
        <v>-0.11395907684713286</v>
      </c>
      <c r="X171" s="66">
        <f t="shared" si="140"/>
        <v>-0.11395907684713286</v>
      </c>
      <c r="Y171" s="66">
        <f t="shared" si="140"/>
        <v>-0.11395907684713286</v>
      </c>
      <c r="Z171" s="66">
        <f t="shared" si="140"/>
        <v>-0.11395907684713286</v>
      </c>
      <c r="AA171" s="66">
        <f t="shared" si="140"/>
        <v>-0.11395907684713286</v>
      </c>
      <c r="AB171" s="66">
        <f t="shared" si="140"/>
        <v>-0.11395907684713286</v>
      </c>
      <c r="AC171" s="66">
        <f t="shared" si="140"/>
        <v>-0.11395907684713286</v>
      </c>
    </row>
    <row r="172" spans="1:29" x14ac:dyDescent="0.3">
      <c r="A172" s="30" t="str">
        <f t="shared" si="136"/>
        <v>Opex fix (admin, crew, insurance)</v>
      </c>
      <c r="B172" s="66">
        <f>B142/B153</f>
        <v>3.473389355742297</v>
      </c>
      <c r="C172" s="66">
        <f t="shared" ref="C172:AC172" si="141">C142/C153</f>
        <v>3.473389355742297</v>
      </c>
      <c r="D172" s="66">
        <f t="shared" si="141"/>
        <v>3.473389355742297</v>
      </c>
      <c r="E172" s="66">
        <f t="shared" si="141"/>
        <v>3.473389355742297</v>
      </c>
      <c r="F172" s="66">
        <f t="shared" si="141"/>
        <v>3.473389355742297</v>
      </c>
      <c r="G172" s="66">
        <f t="shared" si="141"/>
        <v>3.473389355742297</v>
      </c>
      <c r="H172" s="66">
        <f t="shared" si="141"/>
        <v>3.473389355742297</v>
      </c>
      <c r="I172" s="66">
        <f t="shared" si="141"/>
        <v>3.473389355742297</v>
      </c>
      <c r="J172" s="66">
        <f t="shared" si="141"/>
        <v>3.473389355742297</v>
      </c>
      <c r="K172" s="66">
        <f t="shared" si="141"/>
        <v>3.473389355742297</v>
      </c>
      <c r="L172" s="66">
        <f t="shared" si="141"/>
        <v>3.473389355742297</v>
      </c>
      <c r="M172" s="66">
        <f t="shared" si="141"/>
        <v>3.473389355742297</v>
      </c>
      <c r="N172" s="66">
        <f t="shared" si="141"/>
        <v>3.473389355742297</v>
      </c>
      <c r="O172" s="66">
        <f t="shared" si="141"/>
        <v>3.473389355742297</v>
      </c>
      <c r="P172" s="66">
        <f t="shared" si="141"/>
        <v>3.473389355742297</v>
      </c>
      <c r="Q172" s="66">
        <f t="shared" si="141"/>
        <v>3.473389355742297</v>
      </c>
      <c r="R172" s="66">
        <f t="shared" si="141"/>
        <v>3.473389355742297</v>
      </c>
      <c r="S172" s="66">
        <f t="shared" si="141"/>
        <v>3.473389355742297</v>
      </c>
      <c r="T172" s="66">
        <f t="shared" si="141"/>
        <v>3.473389355742297</v>
      </c>
      <c r="U172" s="66">
        <f t="shared" si="141"/>
        <v>3.473389355742297</v>
      </c>
      <c r="V172" s="66">
        <f t="shared" si="141"/>
        <v>3.473389355742297</v>
      </c>
      <c r="W172" s="66">
        <f t="shared" si="141"/>
        <v>3.473389355742297</v>
      </c>
      <c r="X172" s="66">
        <f t="shared" si="141"/>
        <v>3.473389355742297</v>
      </c>
      <c r="Y172" s="66">
        <f t="shared" si="141"/>
        <v>3.473389355742297</v>
      </c>
      <c r="Z172" s="66">
        <f t="shared" si="141"/>
        <v>3.473389355742297</v>
      </c>
      <c r="AA172" s="66">
        <f t="shared" si="141"/>
        <v>3.473389355742297</v>
      </c>
      <c r="AB172" s="66">
        <f t="shared" si="141"/>
        <v>3.473389355742297</v>
      </c>
      <c r="AC172" s="66">
        <f t="shared" si="141"/>
        <v>3.473389355742297</v>
      </c>
    </row>
    <row r="173" spans="1:29" x14ac:dyDescent="0.3">
      <c r="A173" s="30" t="str">
        <f t="shared" si="136"/>
        <v>Opex maintenance &amp; repair</v>
      </c>
      <c r="B173" s="66">
        <f>B143/B153</f>
        <v>5.882352941176471</v>
      </c>
      <c r="C173" s="66">
        <f t="shared" ref="C173:AC173" si="142">C143/C153</f>
        <v>5.882352941176471</v>
      </c>
      <c r="D173" s="66">
        <f t="shared" si="142"/>
        <v>5.882352941176471</v>
      </c>
      <c r="E173" s="66">
        <f t="shared" si="142"/>
        <v>5.882352941176471</v>
      </c>
      <c r="F173" s="66">
        <f t="shared" si="142"/>
        <v>5.882352941176471</v>
      </c>
      <c r="G173" s="66">
        <f t="shared" si="142"/>
        <v>5.882352941176471</v>
      </c>
      <c r="H173" s="66">
        <f t="shared" si="142"/>
        <v>5.882352941176471</v>
      </c>
      <c r="I173" s="66">
        <f t="shared" si="142"/>
        <v>5.882352941176471</v>
      </c>
      <c r="J173" s="66">
        <f t="shared" si="142"/>
        <v>5.882352941176471</v>
      </c>
      <c r="K173" s="66">
        <f t="shared" si="142"/>
        <v>5.882352941176471</v>
      </c>
      <c r="L173" s="66">
        <f t="shared" si="142"/>
        <v>5.882352941176471</v>
      </c>
      <c r="M173" s="66">
        <f t="shared" si="142"/>
        <v>5.882352941176471</v>
      </c>
      <c r="N173" s="66">
        <f t="shared" si="142"/>
        <v>5.882352941176471</v>
      </c>
      <c r="O173" s="66">
        <f t="shared" si="142"/>
        <v>5.882352941176471</v>
      </c>
      <c r="P173" s="66">
        <f t="shared" si="142"/>
        <v>5.882352941176471</v>
      </c>
      <c r="Q173" s="66">
        <f t="shared" si="142"/>
        <v>5.882352941176471</v>
      </c>
      <c r="R173" s="66">
        <f t="shared" si="142"/>
        <v>5.882352941176471</v>
      </c>
      <c r="S173" s="66">
        <f t="shared" si="142"/>
        <v>5.882352941176471</v>
      </c>
      <c r="T173" s="66">
        <f t="shared" si="142"/>
        <v>5.882352941176471</v>
      </c>
      <c r="U173" s="66">
        <f t="shared" si="142"/>
        <v>5.882352941176471</v>
      </c>
      <c r="V173" s="66">
        <f t="shared" si="142"/>
        <v>5.882352941176471</v>
      </c>
      <c r="W173" s="66">
        <f t="shared" si="142"/>
        <v>5.882352941176471</v>
      </c>
      <c r="X173" s="66">
        <f t="shared" si="142"/>
        <v>5.882352941176471</v>
      </c>
      <c r="Y173" s="66">
        <f t="shared" si="142"/>
        <v>5.882352941176471</v>
      </c>
      <c r="Z173" s="66">
        <f t="shared" si="142"/>
        <v>5.882352941176471</v>
      </c>
      <c r="AA173" s="66">
        <f t="shared" si="142"/>
        <v>5.882352941176471</v>
      </c>
      <c r="AB173" s="66">
        <f t="shared" si="142"/>
        <v>5.882352941176471</v>
      </c>
      <c r="AC173" s="66">
        <f t="shared" si="142"/>
        <v>5.882352941176471</v>
      </c>
    </row>
    <row r="174" spans="1:29" x14ac:dyDescent="0.3">
      <c r="A174" s="30" t="str">
        <f t="shared" si="136"/>
        <v>Opex var (mode-fees, shunting)</v>
      </c>
      <c r="B174" s="66">
        <f>B144*B153/B153</f>
        <v>3.6414565826330532</v>
      </c>
      <c r="C174" s="66">
        <f t="shared" ref="C174:AC174" si="143">C144*C153/C153</f>
        <v>3.6414565826330532</v>
      </c>
      <c r="D174" s="66">
        <f t="shared" si="143"/>
        <v>3.6414565826330532</v>
      </c>
      <c r="E174" s="66">
        <f t="shared" si="143"/>
        <v>3.6414565826330532</v>
      </c>
      <c r="F174" s="66">
        <f t="shared" si="143"/>
        <v>3.6414565826330532</v>
      </c>
      <c r="G174" s="66">
        <f t="shared" si="143"/>
        <v>3.6414565826330532</v>
      </c>
      <c r="H174" s="66">
        <f t="shared" si="143"/>
        <v>3.6414565826330532</v>
      </c>
      <c r="I174" s="66">
        <f t="shared" si="143"/>
        <v>3.6414565826330532</v>
      </c>
      <c r="J174" s="66">
        <f t="shared" si="143"/>
        <v>3.6414565826330532</v>
      </c>
      <c r="K174" s="66">
        <f t="shared" si="143"/>
        <v>3.6414565826330532</v>
      </c>
      <c r="L174" s="66">
        <f t="shared" si="143"/>
        <v>3.6414565826330532</v>
      </c>
      <c r="M174" s="66">
        <f t="shared" si="143"/>
        <v>3.6414565826330532</v>
      </c>
      <c r="N174" s="66">
        <f t="shared" si="143"/>
        <v>3.6414565826330532</v>
      </c>
      <c r="O174" s="66">
        <f t="shared" si="143"/>
        <v>3.6414565826330532</v>
      </c>
      <c r="P174" s="66">
        <f t="shared" si="143"/>
        <v>3.6414565826330532</v>
      </c>
      <c r="Q174" s="66">
        <f t="shared" si="143"/>
        <v>3.6414565826330532</v>
      </c>
      <c r="R174" s="66">
        <f t="shared" si="143"/>
        <v>3.6414565826330532</v>
      </c>
      <c r="S174" s="66">
        <f t="shared" si="143"/>
        <v>3.6414565826330532</v>
      </c>
      <c r="T174" s="66">
        <f t="shared" si="143"/>
        <v>3.6414565826330532</v>
      </c>
      <c r="U174" s="66">
        <f t="shared" si="143"/>
        <v>3.6414565826330532</v>
      </c>
      <c r="V174" s="66">
        <f t="shared" si="143"/>
        <v>3.6414565826330532</v>
      </c>
      <c r="W174" s="66">
        <f t="shared" si="143"/>
        <v>3.6414565826330532</v>
      </c>
      <c r="X174" s="66">
        <f t="shared" si="143"/>
        <v>3.6414565826330532</v>
      </c>
      <c r="Y174" s="66">
        <f t="shared" si="143"/>
        <v>3.6414565826330532</v>
      </c>
      <c r="Z174" s="66">
        <f t="shared" si="143"/>
        <v>3.6414565826330532</v>
      </c>
      <c r="AA174" s="66">
        <f t="shared" si="143"/>
        <v>3.6414565826330532</v>
      </c>
      <c r="AB174" s="66">
        <f t="shared" si="143"/>
        <v>3.6414565826330532</v>
      </c>
      <c r="AC174" s="66">
        <f t="shared" si="143"/>
        <v>3.6414565826330532</v>
      </c>
    </row>
    <row r="175" spans="1:29" x14ac:dyDescent="0.3">
      <c r="A175" s="30" t="str">
        <f t="shared" si="136"/>
        <v>Fuel Cost</v>
      </c>
      <c r="B175" s="66">
        <f>B145*B146*B153/B153</f>
        <v>6.2083200000000005</v>
      </c>
      <c r="C175" s="66">
        <f t="shared" ref="C175:AC175" si="144">C145*C146*C153/C153</f>
        <v>6.2083200000000005</v>
      </c>
      <c r="D175" s="66">
        <f t="shared" si="144"/>
        <v>6.2083200000000005</v>
      </c>
      <c r="E175" s="66">
        <f t="shared" si="144"/>
        <v>6.2083200000000005</v>
      </c>
      <c r="F175" s="66">
        <f t="shared" si="144"/>
        <v>6.2083200000000005</v>
      </c>
      <c r="G175" s="66">
        <f t="shared" si="144"/>
        <v>6.2083200000000005</v>
      </c>
      <c r="H175" s="66">
        <f t="shared" si="144"/>
        <v>6.2083200000000005</v>
      </c>
      <c r="I175" s="66">
        <f t="shared" si="144"/>
        <v>6.2083200000000005</v>
      </c>
      <c r="J175" s="66">
        <f t="shared" si="144"/>
        <v>6.2083200000000005</v>
      </c>
      <c r="K175" s="66">
        <f t="shared" si="144"/>
        <v>6.2083200000000005</v>
      </c>
      <c r="L175" s="66">
        <f t="shared" si="144"/>
        <v>6.2083200000000005</v>
      </c>
      <c r="M175" s="66">
        <f t="shared" si="144"/>
        <v>6.2083200000000005</v>
      </c>
      <c r="N175" s="66">
        <f t="shared" si="144"/>
        <v>6.2083200000000005</v>
      </c>
      <c r="O175" s="66">
        <f t="shared" si="144"/>
        <v>6.2083200000000005</v>
      </c>
      <c r="P175" s="66">
        <f t="shared" si="144"/>
        <v>6.2083200000000005</v>
      </c>
      <c r="Q175" s="66">
        <f t="shared" si="144"/>
        <v>6.2083200000000005</v>
      </c>
      <c r="R175" s="66">
        <f t="shared" si="144"/>
        <v>6.2083200000000005</v>
      </c>
      <c r="S175" s="66">
        <f t="shared" si="144"/>
        <v>6.2083200000000005</v>
      </c>
      <c r="T175" s="66">
        <f t="shared" si="144"/>
        <v>6.2083200000000005</v>
      </c>
      <c r="U175" s="66">
        <f t="shared" si="144"/>
        <v>6.2083200000000005</v>
      </c>
      <c r="V175" s="66">
        <f t="shared" si="144"/>
        <v>6.2083200000000005</v>
      </c>
      <c r="W175" s="66">
        <f t="shared" si="144"/>
        <v>6.2083200000000005</v>
      </c>
      <c r="X175" s="66">
        <f t="shared" si="144"/>
        <v>6.2083200000000005</v>
      </c>
      <c r="Y175" s="66">
        <f t="shared" si="144"/>
        <v>6.2083200000000005</v>
      </c>
      <c r="Z175" s="66">
        <f t="shared" si="144"/>
        <v>6.2083200000000005</v>
      </c>
      <c r="AA175" s="66">
        <f t="shared" si="144"/>
        <v>6.2083200000000005</v>
      </c>
      <c r="AB175" s="66">
        <f t="shared" si="144"/>
        <v>6.2083200000000005</v>
      </c>
      <c r="AC175" s="66">
        <f t="shared" si="144"/>
        <v>6.2083200000000005</v>
      </c>
    </row>
    <row r="176" spans="1:29" ht="15" thickBot="1" x14ac:dyDescent="0.35">
      <c r="A176" s="59" t="str">
        <f>A127</f>
        <v>Emission Cost</v>
      </c>
      <c r="B176" s="66">
        <f>B147</f>
        <v>1.6642920252567563</v>
      </c>
      <c r="C176" s="66">
        <f t="shared" ref="C176:AC176" si="145">C147</f>
        <v>1.668223764670367</v>
      </c>
      <c r="D176" s="66">
        <f t="shared" si="145"/>
        <v>1.6738519620685159</v>
      </c>
      <c r="E176" s="66">
        <f t="shared" si="145"/>
        <v>1.681903494239102</v>
      </c>
      <c r="F176" s="66">
        <f t="shared" si="145"/>
        <v>1.6934109103696515</v>
      </c>
      <c r="G176" s="66">
        <f t="shared" si="145"/>
        <v>1.7098344800436978</v>
      </c>
      <c r="H176" s="66">
        <f t="shared" si="145"/>
        <v>1.733225672402217</v>
      </c>
      <c r="I176" s="66">
        <f t="shared" si="145"/>
        <v>1.7664378123820623</v>
      </c>
      <c r="J176" s="66">
        <f t="shared" si="145"/>
        <v>1.8133799807606898</v>
      </c>
      <c r="K176" s="66">
        <f t="shared" si="145"/>
        <v>1.8792859382574125</v>
      </c>
      <c r="L176" s="66">
        <f t="shared" si="145"/>
        <v>1.9709191437812768</v>
      </c>
      <c r="M176" s="66">
        <f t="shared" si="145"/>
        <v>2.0965448405494573</v>
      </c>
      <c r="N176" s="66">
        <f t="shared" si="145"/>
        <v>2.2653723155004584</v>
      </c>
      <c r="O176" s="66">
        <f t="shared" si="145"/>
        <v>2.4860624403309455</v>
      </c>
      <c r="P176" s="66">
        <f t="shared" si="145"/>
        <v>2.7639843510823718</v>
      </c>
      <c r="Q176" s="66">
        <f t="shared" si="145"/>
        <v>3.0974826662343866</v>
      </c>
      <c r="R176" s="66">
        <f t="shared" si="145"/>
        <v>3.4745937746662614</v>
      </c>
      <c r="S176" s="66">
        <f t="shared" si="145"/>
        <v>3.8727084245898471</v>
      </c>
      <c r="T176" s="66">
        <f t="shared" si="145"/>
        <v>4.2629889228555031</v>
      </c>
      <c r="U176" s="66">
        <f t="shared" si="145"/>
        <v>4.6182692937866285</v>
      </c>
      <c r="V176" s="66">
        <f t="shared" si="145"/>
        <v>4.9202070161803482</v>
      </c>
      <c r="W176" s="66">
        <f t="shared" si="145"/>
        <v>5.1620050578353283</v>
      </c>
      <c r="X176" s="66">
        <f t="shared" si="145"/>
        <v>5.3465076953810016</v>
      </c>
      <c r="Y176" s="66">
        <f t="shared" si="145"/>
        <v>5.4821319311099916</v>
      </c>
      <c r="Z176" s="66">
        <f t="shared" si="145"/>
        <v>5.5791012976259244</v>
      </c>
      <c r="AA176" s="66">
        <f t="shared" si="145"/>
        <v>5.6470625031514352</v>
      </c>
      <c r="AB176" s="66">
        <f t="shared" si="145"/>
        <v>5.6940278733917111</v>
      </c>
      <c r="AC176" s="66">
        <f t="shared" si="145"/>
        <v>5.7261686166213002</v>
      </c>
    </row>
    <row r="177" spans="1:29" ht="15" thickBot="1" x14ac:dyDescent="0.35">
      <c r="A177" s="31" t="s">
        <v>63</v>
      </c>
      <c r="B177" s="76">
        <f>B168+B169+B170-B171+B172+B173+B174+B175+B176</f>
        <v>24.718284375251276</v>
      </c>
      <c r="C177" s="76">
        <f t="shared" ref="C177:AC177" si="146">C168+C169+C170-C171+C172+C173+C174+C175+C176</f>
        <v>24.723182455293021</v>
      </c>
      <c r="D177" s="76">
        <f t="shared" si="146"/>
        <v>24.730182717856461</v>
      </c>
      <c r="E177" s="76">
        <f t="shared" si="146"/>
        <v>24.740173532291148</v>
      </c>
      <c r="F177" s="76">
        <f t="shared" si="146"/>
        <v>24.754403665732944</v>
      </c>
      <c r="G177" s="76">
        <f t="shared" si="146"/>
        <v>24.774612800846615</v>
      </c>
      <c r="H177" s="76">
        <f t="shared" si="146"/>
        <v>24.803193861804573</v>
      </c>
      <c r="I177" s="76">
        <f t="shared" si="146"/>
        <v>24.843380629058224</v>
      </c>
      <c r="J177" s="76">
        <f t="shared" si="146"/>
        <v>24.899439982682619</v>
      </c>
      <c r="K177" s="76">
        <f t="shared" si="146"/>
        <v>24.976827493992062</v>
      </c>
      <c r="L177" s="76">
        <f t="shared" si="146"/>
        <v>25.082238234513138</v>
      </c>
      <c r="M177" s="76">
        <f t="shared" si="146"/>
        <v>25.223443204873419</v>
      </c>
      <c r="N177" s="76">
        <f t="shared" si="146"/>
        <v>25.408717655035449</v>
      </c>
      <c r="O177" s="76">
        <f t="shared" si="146"/>
        <v>25.645531109368015</v>
      </c>
      <c r="P177" s="76">
        <f t="shared" si="146"/>
        <v>25.938130418840618</v>
      </c>
      <c r="Q177" s="76">
        <f t="shared" si="146"/>
        <v>26.284102432803863</v>
      </c>
      <c r="R177" s="76">
        <f t="shared" si="146"/>
        <v>26.67120274007064</v>
      </c>
      <c r="S177" s="76">
        <f t="shared" si="146"/>
        <v>27.076939592057542</v>
      </c>
      <c r="T177" s="76">
        <f t="shared" si="146"/>
        <v>27.47282302014122</v>
      </c>
      <c r="U177" s="76">
        <f t="shared" si="146"/>
        <v>27.83210940483653</v>
      </c>
      <c r="V177" s="76">
        <f t="shared" si="146"/>
        <v>28.136854751272228</v>
      </c>
      <c r="W177" s="76">
        <f t="shared" si="146"/>
        <v>28.380593033710277</v>
      </c>
      <c r="X177" s="76">
        <f t="shared" si="146"/>
        <v>28.566423474709708</v>
      </c>
      <c r="Y177" s="76">
        <f t="shared" si="146"/>
        <v>28.702950327540449</v>
      </c>
      <c r="Z177" s="76">
        <f t="shared" si="146"/>
        <v>28.800530485005353</v>
      </c>
      <c r="AA177" s="76">
        <f t="shared" si="146"/>
        <v>28.868903730742716</v>
      </c>
      <c r="AB177" s="76">
        <f t="shared" si="146"/>
        <v>28.91614648440677</v>
      </c>
      <c r="AC177" s="76">
        <f t="shared" si="146"/>
        <v>28.948473698536876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47">A156</f>
        <v>Capex vehicle</v>
      </c>
      <c r="B180" s="65">
        <f>((1+B141)^B148)*B141/(((1+B141)^B148)-1)*(B137)/B153/(B150)</f>
        <v>7.6317014160409149E-4</v>
      </c>
      <c r="C180" s="65">
        <f t="shared" ref="C180:AC180" si="148">((1+C141)^C148)*C141/(((1+C141)^C148)-1)*(C137)/C153/(C150)</f>
        <v>7.6317014160409149E-4</v>
      </c>
      <c r="D180" s="65">
        <f t="shared" si="148"/>
        <v>7.6317014160409149E-4</v>
      </c>
      <c r="E180" s="65">
        <f t="shared" si="148"/>
        <v>7.6317014160409149E-4</v>
      </c>
      <c r="F180" s="65">
        <f t="shared" si="148"/>
        <v>7.6317014160409149E-4</v>
      </c>
      <c r="G180" s="65">
        <f t="shared" si="148"/>
        <v>7.6317014160409149E-4</v>
      </c>
      <c r="H180" s="65">
        <f t="shared" si="148"/>
        <v>7.6317014160409149E-4</v>
      </c>
      <c r="I180" s="65">
        <f t="shared" si="148"/>
        <v>7.6317014160409149E-4</v>
      </c>
      <c r="J180" s="65">
        <f t="shared" si="148"/>
        <v>7.6317014160409149E-4</v>
      </c>
      <c r="K180" s="65">
        <f t="shared" si="148"/>
        <v>7.6317014160409149E-4</v>
      </c>
      <c r="L180" s="65">
        <f t="shared" si="148"/>
        <v>7.6317014160409149E-4</v>
      </c>
      <c r="M180" s="65">
        <f t="shared" si="148"/>
        <v>7.6317014160409149E-4</v>
      </c>
      <c r="N180" s="65">
        <f t="shared" si="148"/>
        <v>7.6317014160409149E-4</v>
      </c>
      <c r="O180" s="65">
        <f t="shared" si="148"/>
        <v>7.6317014160409149E-4</v>
      </c>
      <c r="P180" s="65">
        <f t="shared" si="148"/>
        <v>7.6317014160409149E-4</v>
      </c>
      <c r="Q180" s="65">
        <f t="shared" si="148"/>
        <v>7.6317014160409149E-4</v>
      </c>
      <c r="R180" s="65">
        <f t="shared" si="148"/>
        <v>7.6317014160409149E-4</v>
      </c>
      <c r="S180" s="65">
        <f t="shared" si="148"/>
        <v>7.6317014160409149E-4</v>
      </c>
      <c r="T180" s="65">
        <f t="shared" si="148"/>
        <v>7.6317014160409149E-4</v>
      </c>
      <c r="U180" s="65">
        <f t="shared" si="148"/>
        <v>7.6317014160409149E-4</v>
      </c>
      <c r="V180" s="65">
        <f t="shared" si="148"/>
        <v>7.6317014160409149E-4</v>
      </c>
      <c r="W180" s="65">
        <f t="shared" si="148"/>
        <v>7.6317014160409149E-4</v>
      </c>
      <c r="X180" s="65">
        <f t="shared" si="148"/>
        <v>7.6317014160409149E-4</v>
      </c>
      <c r="Y180" s="65">
        <f t="shared" si="148"/>
        <v>7.6317014160409149E-4</v>
      </c>
      <c r="Z180" s="65">
        <f t="shared" si="148"/>
        <v>7.6317014160409149E-4</v>
      </c>
      <c r="AA180" s="65">
        <f t="shared" si="148"/>
        <v>7.6317014160409149E-4</v>
      </c>
      <c r="AB180" s="65">
        <f t="shared" si="148"/>
        <v>7.6317014160409149E-4</v>
      </c>
      <c r="AC180" s="65">
        <f t="shared" si="148"/>
        <v>7.6317014160409149E-4</v>
      </c>
    </row>
    <row r="181" spans="1:29" x14ac:dyDescent="0.3">
      <c r="A181" s="30" t="str">
        <f t="shared" si="147"/>
        <v>Residual value (vehicle)</v>
      </c>
      <c r="B181" s="68">
        <f>((1+B141)^B148)*B141/(((1+B141)^B148)-1)*(B138)/B153/(B150)</f>
        <v>-1.1346797345547289E-4</v>
      </c>
      <c r="C181" s="68">
        <f t="shared" ref="C181:AC181" si="149">((1+C141)^C148)*C141/(((1+C141)^C148)-1)*(C138)/C153/(C150)</f>
        <v>-1.1303657138934111E-4</v>
      </c>
      <c r="D181" s="68">
        <f t="shared" si="149"/>
        <v>-1.1242404229769157E-4</v>
      </c>
      <c r="E181" s="68">
        <f t="shared" si="149"/>
        <v>-1.1155829128693258E-4</v>
      </c>
      <c r="F181" s="68">
        <f t="shared" si="149"/>
        <v>-1.1034279248726903E-4</v>
      </c>
      <c r="G181" s="68">
        <f t="shared" si="149"/>
        <v>-1.0865280791600897E-4</v>
      </c>
      <c r="H181" s="68">
        <f t="shared" si="149"/>
        <v>-1.0633590229126001E-4</v>
      </c>
      <c r="I181" s="68">
        <f t="shared" si="149"/>
        <v>-1.0322222940116694E-4</v>
      </c>
      <c r="J181" s="68">
        <f t="shared" si="149"/>
        <v>-9.9152057416450692E-5</v>
      </c>
      <c r="K181" s="68">
        <f t="shared" si="149"/>
        <v>-9.4026363750057009E-5</v>
      </c>
      <c r="L181" s="68">
        <f t="shared" si="149"/>
        <v>-8.7875678483444322E-5</v>
      </c>
      <c r="M181" s="68">
        <f t="shared" si="149"/>
        <v>-8.0920645629828101E-5</v>
      </c>
      <c r="N181" s="68">
        <f t="shared" si="149"/>
        <v>-7.357824598204721E-5</v>
      </c>
      <c r="O181" s="68">
        <f t="shared" si="149"/>
        <v>-6.6380331025761298E-5</v>
      </c>
      <c r="P181" s="68">
        <f t="shared" si="149"/>
        <v>-5.982792088237961E-5</v>
      </c>
      <c r="Q181" s="68">
        <f t="shared" si="149"/>
        <v>-5.4259305341653007E-5</v>
      </c>
      <c r="R181" s="68">
        <f t="shared" si="149"/>
        <v>-4.9799841576070884E-5</v>
      </c>
      <c r="S181" s="68">
        <f t="shared" si="149"/>
        <v>-4.6397072797805602E-5</v>
      </c>
      <c r="T181" s="68">
        <f t="shared" si="149"/>
        <v>-4.3895764843330094E-5</v>
      </c>
      <c r="U181" s="68">
        <f t="shared" si="149"/>
        <v>-4.2107365841462744E-5</v>
      </c>
      <c r="V181" s="68">
        <f t="shared" si="149"/>
        <v>-4.0853962251293284E-5</v>
      </c>
      <c r="W181" s="68">
        <f t="shared" si="149"/>
        <v>-3.9987783330280735E-5</v>
      </c>
      <c r="X181" s="68">
        <f t="shared" si="149"/>
        <v>-3.93950139312806E-5</v>
      </c>
      <c r="Y181" s="68">
        <f t="shared" si="149"/>
        <v>-3.8992059867999029E-5</v>
      </c>
      <c r="Z181" s="68">
        <f t="shared" si="149"/>
        <v>-3.8719385337209372E-5</v>
      </c>
      <c r="AA181" s="68">
        <f t="shared" si="149"/>
        <v>-3.8535438814060903E-5</v>
      </c>
      <c r="AB181" s="68">
        <f t="shared" si="149"/>
        <v>-3.8411606928446129E-5</v>
      </c>
      <c r="AC181" s="68">
        <f t="shared" si="149"/>
        <v>-3.832836099071531E-5</v>
      </c>
    </row>
    <row r="182" spans="1:29" x14ac:dyDescent="0.3">
      <c r="A182" s="30" t="str">
        <f t="shared" si="147"/>
        <v>Capex costumization</v>
      </c>
      <c r="B182" s="66">
        <f>((1+B141)^B149)*B141/(((1+B141)^B149)-1)*(B139)/B153/(B150)</f>
        <v>1.0174917575636864E-3</v>
      </c>
      <c r="C182" s="66">
        <f t="shared" ref="C182:AC182" si="150">((1+C141)^C149)*C141/(((1+C141)^C149)-1)*(C139)/C153/(C150)</f>
        <v>1.0174917575636864E-3</v>
      </c>
      <c r="D182" s="66">
        <f t="shared" si="150"/>
        <v>1.0174917575636864E-3</v>
      </c>
      <c r="E182" s="66">
        <f t="shared" si="150"/>
        <v>1.0174917575636864E-3</v>
      </c>
      <c r="F182" s="66">
        <f t="shared" si="150"/>
        <v>1.0174917575636864E-3</v>
      </c>
      <c r="G182" s="66">
        <f t="shared" si="150"/>
        <v>1.0174917575636864E-3</v>
      </c>
      <c r="H182" s="66">
        <f t="shared" si="150"/>
        <v>1.0174917575636864E-3</v>
      </c>
      <c r="I182" s="66">
        <f t="shared" si="150"/>
        <v>1.0174917575636864E-3</v>
      </c>
      <c r="J182" s="66">
        <f t="shared" si="150"/>
        <v>1.0174917575636864E-3</v>
      </c>
      <c r="K182" s="66">
        <f t="shared" si="150"/>
        <v>1.0174917575636864E-3</v>
      </c>
      <c r="L182" s="66">
        <f t="shared" si="150"/>
        <v>1.0174917575636864E-3</v>
      </c>
      <c r="M182" s="66">
        <f t="shared" si="150"/>
        <v>1.0174917575636864E-3</v>
      </c>
      <c r="N182" s="66">
        <f t="shared" si="150"/>
        <v>1.0174917575636864E-3</v>
      </c>
      <c r="O182" s="66">
        <f t="shared" si="150"/>
        <v>1.0174917575636864E-3</v>
      </c>
      <c r="P182" s="66">
        <f t="shared" si="150"/>
        <v>1.0174917575636864E-3</v>
      </c>
      <c r="Q182" s="66">
        <f t="shared" si="150"/>
        <v>1.0174917575636864E-3</v>
      </c>
      <c r="R182" s="66">
        <f t="shared" si="150"/>
        <v>1.0174917575636864E-3</v>
      </c>
      <c r="S182" s="66">
        <f t="shared" si="150"/>
        <v>1.0174917575636864E-3</v>
      </c>
      <c r="T182" s="66">
        <f t="shared" si="150"/>
        <v>1.0174917575636864E-3</v>
      </c>
      <c r="U182" s="66">
        <f t="shared" si="150"/>
        <v>1.0174917575636864E-3</v>
      </c>
      <c r="V182" s="66">
        <f t="shared" si="150"/>
        <v>1.0174917575636864E-3</v>
      </c>
      <c r="W182" s="66">
        <f t="shared" si="150"/>
        <v>1.0174917575636864E-3</v>
      </c>
      <c r="X182" s="66">
        <f t="shared" si="150"/>
        <v>1.0174917575636864E-3</v>
      </c>
      <c r="Y182" s="66">
        <f t="shared" si="150"/>
        <v>1.0174917575636864E-3</v>
      </c>
      <c r="Z182" s="66">
        <f t="shared" si="150"/>
        <v>1.0174917575636864E-3</v>
      </c>
      <c r="AA182" s="66">
        <f t="shared" si="150"/>
        <v>1.0174917575636864E-3</v>
      </c>
      <c r="AB182" s="66">
        <f t="shared" si="150"/>
        <v>1.0174917575636864E-3</v>
      </c>
      <c r="AC182" s="66">
        <f t="shared" si="150"/>
        <v>1.0174917575636864E-3</v>
      </c>
    </row>
    <row r="183" spans="1:29" x14ac:dyDescent="0.3">
      <c r="A183" s="30" t="str">
        <f t="shared" si="147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51">((1+C141)^C149)*C141/(((1+C141)^C149)-1)*(C140)/C153/(C150)</f>
        <v>-5.0874587878184312E-5</v>
      </c>
      <c r="D183" s="69">
        <f t="shared" si="151"/>
        <v>-5.0874587878184312E-5</v>
      </c>
      <c r="E183" s="69">
        <f t="shared" si="151"/>
        <v>-5.0874587878184312E-5</v>
      </c>
      <c r="F183" s="69">
        <f t="shared" si="151"/>
        <v>-5.0874587878184312E-5</v>
      </c>
      <c r="G183" s="69">
        <f t="shared" si="151"/>
        <v>-5.0874587878184312E-5</v>
      </c>
      <c r="H183" s="69">
        <f t="shared" si="151"/>
        <v>-5.0874587878184312E-5</v>
      </c>
      <c r="I183" s="69">
        <f t="shared" si="151"/>
        <v>-5.0874587878184312E-5</v>
      </c>
      <c r="J183" s="69">
        <f t="shared" si="151"/>
        <v>-5.0874587878184312E-5</v>
      </c>
      <c r="K183" s="69">
        <f t="shared" si="151"/>
        <v>-5.0874587878184312E-5</v>
      </c>
      <c r="L183" s="69">
        <f t="shared" si="151"/>
        <v>-5.0874587878184312E-5</v>
      </c>
      <c r="M183" s="69">
        <f t="shared" si="151"/>
        <v>-5.0874587878184312E-5</v>
      </c>
      <c r="N183" s="69">
        <f t="shared" si="151"/>
        <v>-5.0874587878184312E-5</v>
      </c>
      <c r="O183" s="69">
        <f t="shared" si="151"/>
        <v>-5.0874587878184312E-5</v>
      </c>
      <c r="P183" s="69">
        <f t="shared" si="151"/>
        <v>-5.0874587878184312E-5</v>
      </c>
      <c r="Q183" s="69">
        <f t="shared" si="151"/>
        <v>-5.0874587878184312E-5</v>
      </c>
      <c r="R183" s="69">
        <f t="shared" si="151"/>
        <v>-5.0874587878184312E-5</v>
      </c>
      <c r="S183" s="69">
        <f t="shared" si="151"/>
        <v>-5.0874587878184312E-5</v>
      </c>
      <c r="T183" s="69">
        <f t="shared" si="151"/>
        <v>-5.0874587878184312E-5</v>
      </c>
      <c r="U183" s="69">
        <f t="shared" si="151"/>
        <v>-5.0874587878184312E-5</v>
      </c>
      <c r="V183" s="69">
        <f t="shared" si="151"/>
        <v>-5.0874587878184312E-5</v>
      </c>
      <c r="W183" s="69">
        <f t="shared" si="151"/>
        <v>-5.0874587878184312E-5</v>
      </c>
      <c r="X183" s="69">
        <f t="shared" si="151"/>
        <v>-5.0874587878184312E-5</v>
      </c>
      <c r="Y183" s="69">
        <f t="shared" si="151"/>
        <v>-5.0874587878184312E-5</v>
      </c>
      <c r="Z183" s="69">
        <f t="shared" si="151"/>
        <v>-5.0874587878184312E-5</v>
      </c>
      <c r="AA183" s="69">
        <f t="shared" si="151"/>
        <v>-5.0874587878184312E-5</v>
      </c>
      <c r="AB183" s="69">
        <f t="shared" si="151"/>
        <v>-5.0874587878184312E-5</v>
      </c>
      <c r="AC183" s="69">
        <f t="shared" si="151"/>
        <v>-5.0874587878184312E-5</v>
      </c>
    </row>
    <row r="184" spans="1:29" x14ac:dyDescent="0.3">
      <c r="A184" s="30" t="str">
        <f t="shared" si="147"/>
        <v>Opex fix (admin, crew, insurance)</v>
      </c>
      <c r="B184" s="66">
        <f>B142/B153/(B150)</f>
        <v>1.5506202480992397E-3</v>
      </c>
      <c r="C184" s="66">
        <f t="shared" ref="C184:AC184" si="152">C142/C153/(C150)</f>
        <v>1.5506202480992397E-3</v>
      </c>
      <c r="D184" s="66">
        <f t="shared" si="152"/>
        <v>1.5506202480992397E-3</v>
      </c>
      <c r="E184" s="66">
        <f t="shared" si="152"/>
        <v>1.5506202480992397E-3</v>
      </c>
      <c r="F184" s="66">
        <f t="shared" si="152"/>
        <v>1.5506202480992397E-3</v>
      </c>
      <c r="G184" s="66">
        <f t="shared" si="152"/>
        <v>1.5506202480992397E-3</v>
      </c>
      <c r="H184" s="66">
        <f t="shared" si="152"/>
        <v>1.5506202480992397E-3</v>
      </c>
      <c r="I184" s="66">
        <f t="shared" si="152"/>
        <v>1.5506202480992397E-3</v>
      </c>
      <c r="J184" s="66">
        <f t="shared" si="152"/>
        <v>1.5506202480992397E-3</v>
      </c>
      <c r="K184" s="66">
        <f t="shared" si="152"/>
        <v>1.5506202480992397E-3</v>
      </c>
      <c r="L184" s="66">
        <f t="shared" si="152"/>
        <v>1.5506202480992397E-3</v>
      </c>
      <c r="M184" s="66">
        <f t="shared" si="152"/>
        <v>1.5506202480992397E-3</v>
      </c>
      <c r="N184" s="66">
        <f t="shared" si="152"/>
        <v>1.5506202480992397E-3</v>
      </c>
      <c r="O184" s="66">
        <f t="shared" si="152"/>
        <v>1.5506202480992397E-3</v>
      </c>
      <c r="P184" s="66">
        <f t="shared" si="152"/>
        <v>1.5506202480992397E-3</v>
      </c>
      <c r="Q184" s="66">
        <f t="shared" si="152"/>
        <v>1.5506202480992397E-3</v>
      </c>
      <c r="R184" s="66">
        <f t="shared" si="152"/>
        <v>1.5506202480992397E-3</v>
      </c>
      <c r="S184" s="66">
        <f t="shared" si="152"/>
        <v>1.5506202480992397E-3</v>
      </c>
      <c r="T184" s="66">
        <f t="shared" si="152"/>
        <v>1.5506202480992397E-3</v>
      </c>
      <c r="U184" s="66">
        <f t="shared" si="152"/>
        <v>1.5506202480992397E-3</v>
      </c>
      <c r="V184" s="66">
        <f t="shared" si="152"/>
        <v>1.5506202480992397E-3</v>
      </c>
      <c r="W184" s="66">
        <f t="shared" si="152"/>
        <v>1.5506202480992397E-3</v>
      </c>
      <c r="X184" s="66">
        <f t="shared" si="152"/>
        <v>1.5506202480992397E-3</v>
      </c>
      <c r="Y184" s="66">
        <f t="shared" si="152"/>
        <v>1.5506202480992397E-3</v>
      </c>
      <c r="Z184" s="66">
        <f t="shared" si="152"/>
        <v>1.5506202480992397E-3</v>
      </c>
      <c r="AA184" s="66">
        <f t="shared" si="152"/>
        <v>1.5506202480992397E-3</v>
      </c>
      <c r="AB184" s="66">
        <f t="shared" si="152"/>
        <v>1.5506202480992397E-3</v>
      </c>
      <c r="AC184" s="66">
        <f t="shared" si="152"/>
        <v>1.5506202480992397E-3</v>
      </c>
    </row>
    <row r="185" spans="1:29" x14ac:dyDescent="0.3">
      <c r="A185" s="30" t="str">
        <f t="shared" si="147"/>
        <v>Opex maintenance &amp; repair</v>
      </c>
      <c r="B185" s="66">
        <f>B143/B153/(B150)</f>
        <v>2.6260504201680674E-3</v>
      </c>
      <c r="C185" s="66">
        <f t="shared" ref="C185:AC185" si="153">C143/C153/(C150)</f>
        <v>2.6260504201680674E-3</v>
      </c>
      <c r="D185" s="66">
        <f t="shared" si="153"/>
        <v>2.6260504201680674E-3</v>
      </c>
      <c r="E185" s="66">
        <f t="shared" si="153"/>
        <v>2.6260504201680674E-3</v>
      </c>
      <c r="F185" s="66">
        <f t="shared" si="153"/>
        <v>2.6260504201680674E-3</v>
      </c>
      <c r="G185" s="66">
        <f t="shared" si="153"/>
        <v>2.6260504201680674E-3</v>
      </c>
      <c r="H185" s="66">
        <f t="shared" si="153"/>
        <v>2.6260504201680674E-3</v>
      </c>
      <c r="I185" s="66">
        <f t="shared" si="153"/>
        <v>2.6260504201680674E-3</v>
      </c>
      <c r="J185" s="66">
        <f t="shared" si="153"/>
        <v>2.6260504201680674E-3</v>
      </c>
      <c r="K185" s="66">
        <f t="shared" si="153"/>
        <v>2.6260504201680674E-3</v>
      </c>
      <c r="L185" s="66">
        <f t="shared" si="153"/>
        <v>2.6260504201680674E-3</v>
      </c>
      <c r="M185" s="66">
        <f t="shared" si="153"/>
        <v>2.6260504201680674E-3</v>
      </c>
      <c r="N185" s="66">
        <f t="shared" si="153"/>
        <v>2.6260504201680674E-3</v>
      </c>
      <c r="O185" s="66">
        <f t="shared" si="153"/>
        <v>2.6260504201680674E-3</v>
      </c>
      <c r="P185" s="66">
        <f t="shared" si="153"/>
        <v>2.6260504201680674E-3</v>
      </c>
      <c r="Q185" s="66">
        <f t="shared" si="153"/>
        <v>2.6260504201680674E-3</v>
      </c>
      <c r="R185" s="66">
        <f t="shared" si="153"/>
        <v>2.6260504201680674E-3</v>
      </c>
      <c r="S185" s="66">
        <f t="shared" si="153"/>
        <v>2.6260504201680674E-3</v>
      </c>
      <c r="T185" s="66">
        <f t="shared" si="153"/>
        <v>2.6260504201680674E-3</v>
      </c>
      <c r="U185" s="66">
        <f t="shared" si="153"/>
        <v>2.6260504201680674E-3</v>
      </c>
      <c r="V185" s="66">
        <f t="shared" si="153"/>
        <v>2.6260504201680674E-3</v>
      </c>
      <c r="W185" s="66">
        <f t="shared" si="153"/>
        <v>2.6260504201680674E-3</v>
      </c>
      <c r="X185" s="66">
        <f t="shared" si="153"/>
        <v>2.6260504201680674E-3</v>
      </c>
      <c r="Y185" s="66">
        <f t="shared" si="153"/>
        <v>2.6260504201680674E-3</v>
      </c>
      <c r="Z185" s="66">
        <f t="shared" si="153"/>
        <v>2.6260504201680674E-3</v>
      </c>
      <c r="AA185" s="66">
        <f t="shared" si="153"/>
        <v>2.6260504201680674E-3</v>
      </c>
      <c r="AB185" s="66">
        <f t="shared" si="153"/>
        <v>2.6260504201680674E-3</v>
      </c>
      <c r="AC185" s="66">
        <f t="shared" si="153"/>
        <v>2.6260504201680674E-3</v>
      </c>
    </row>
    <row r="186" spans="1:29" x14ac:dyDescent="0.3">
      <c r="A186" s="30" t="str">
        <f t="shared" si="147"/>
        <v>Opex var (mode-fees, shunting)</v>
      </c>
      <c r="B186" s="66">
        <f>B144*B153/B153/(B150)</f>
        <v>1.6256502601040416E-3</v>
      </c>
      <c r="C186" s="66">
        <f t="shared" ref="C186:AC186" si="154">C144*C153/C153/(C150)</f>
        <v>1.6256502601040416E-3</v>
      </c>
      <c r="D186" s="66">
        <f t="shared" si="154"/>
        <v>1.6256502601040416E-3</v>
      </c>
      <c r="E186" s="66">
        <f t="shared" si="154"/>
        <v>1.6256502601040416E-3</v>
      </c>
      <c r="F186" s="66">
        <f t="shared" si="154"/>
        <v>1.6256502601040416E-3</v>
      </c>
      <c r="G186" s="66">
        <f t="shared" si="154"/>
        <v>1.6256502601040416E-3</v>
      </c>
      <c r="H186" s="66">
        <f t="shared" si="154"/>
        <v>1.6256502601040416E-3</v>
      </c>
      <c r="I186" s="66">
        <f t="shared" si="154"/>
        <v>1.6256502601040416E-3</v>
      </c>
      <c r="J186" s="66">
        <f t="shared" si="154"/>
        <v>1.6256502601040416E-3</v>
      </c>
      <c r="K186" s="66">
        <f t="shared" si="154"/>
        <v>1.6256502601040416E-3</v>
      </c>
      <c r="L186" s="66">
        <f t="shared" si="154"/>
        <v>1.6256502601040416E-3</v>
      </c>
      <c r="M186" s="66">
        <f t="shared" si="154"/>
        <v>1.6256502601040416E-3</v>
      </c>
      <c r="N186" s="66">
        <f t="shared" si="154"/>
        <v>1.6256502601040416E-3</v>
      </c>
      <c r="O186" s="66">
        <f t="shared" si="154"/>
        <v>1.6256502601040416E-3</v>
      </c>
      <c r="P186" s="66">
        <f t="shared" si="154"/>
        <v>1.6256502601040416E-3</v>
      </c>
      <c r="Q186" s="66">
        <f t="shared" si="154"/>
        <v>1.6256502601040416E-3</v>
      </c>
      <c r="R186" s="66">
        <f t="shared" si="154"/>
        <v>1.6256502601040416E-3</v>
      </c>
      <c r="S186" s="66">
        <f t="shared" si="154"/>
        <v>1.6256502601040416E-3</v>
      </c>
      <c r="T186" s="66">
        <f t="shared" si="154"/>
        <v>1.6256502601040416E-3</v>
      </c>
      <c r="U186" s="66">
        <f t="shared" si="154"/>
        <v>1.6256502601040416E-3</v>
      </c>
      <c r="V186" s="66">
        <f t="shared" si="154"/>
        <v>1.6256502601040416E-3</v>
      </c>
      <c r="W186" s="66">
        <f t="shared" si="154"/>
        <v>1.6256502601040416E-3</v>
      </c>
      <c r="X186" s="66">
        <f t="shared" si="154"/>
        <v>1.6256502601040416E-3</v>
      </c>
      <c r="Y186" s="66">
        <f t="shared" si="154"/>
        <v>1.6256502601040416E-3</v>
      </c>
      <c r="Z186" s="66">
        <f t="shared" si="154"/>
        <v>1.6256502601040416E-3</v>
      </c>
      <c r="AA186" s="66">
        <f t="shared" si="154"/>
        <v>1.6256502601040416E-3</v>
      </c>
      <c r="AB186" s="66">
        <f t="shared" si="154"/>
        <v>1.6256502601040416E-3</v>
      </c>
      <c r="AC186" s="66">
        <f t="shared" si="154"/>
        <v>1.6256502601040416E-3</v>
      </c>
    </row>
    <row r="187" spans="1:29" x14ac:dyDescent="0.3">
      <c r="A187" s="30" t="str">
        <f t="shared" si="147"/>
        <v>Fuel Cost</v>
      </c>
      <c r="B187" s="66">
        <f>B145*B146*B153/B153/(B150)</f>
        <v>2.7715714285714288E-3</v>
      </c>
      <c r="C187" s="66">
        <f t="shared" ref="C187:AC187" si="155">C145*C146*C153/C153/(C150)</f>
        <v>2.7715714285714288E-3</v>
      </c>
      <c r="D187" s="66">
        <f t="shared" si="155"/>
        <v>2.7715714285714288E-3</v>
      </c>
      <c r="E187" s="66">
        <f t="shared" si="155"/>
        <v>2.7715714285714288E-3</v>
      </c>
      <c r="F187" s="66">
        <f t="shared" si="155"/>
        <v>2.7715714285714288E-3</v>
      </c>
      <c r="G187" s="66">
        <f t="shared" si="155"/>
        <v>2.7715714285714288E-3</v>
      </c>
      <c r="H187" s="66">
        <f t="shared" si="155"/>
        <v>2.7715714285714288E-3</v>
      </c>
      <c r="I187" s="66">
        <f t="shared" si="155"/>
        <v>2.7715714285714288E-3</v>
      </c>
      <c r="J187" s="66">
        <f t="shared" si="155"/>
        <v>2.7715714285714288E-3</v>
      </c>
      <c r="K187" s="66">
        <f t="shared" si="155"/>
        <v>2.7715714285714288E-3</v>
      </c>
      <c r="L187" s="66">
        <f t="shared" si="155"/>
        <v>2.7715714285714288E-3</v>
      </c>
      <c r="M187" s="66">
        <f t="shared" si="155"/>
        <v>2.7715714285714288E-3</v>
      </c>
      <c r="N187" s="66">
        <f t="shared" si="155"/>
        <v>2.7715714285714288E-3</v>
      </c>
      <c r="O187" s="66">
        <f t="shared" si="155"/>
        <v>2.7715714285714288E-3</v>
      </c>
      <c r="P187" s="66">
        <f t="shared" si="155"/>
        <v>2.7715714285714288E-3</v>
      </c>
      <c r="Q187" s="66">
        <f t="shared" si="155"/>
        <v>2.7715714285714288E-3</v>
      </c>
      <c r="R187" s="66">
        <f t="shared" si="155"/>
        <v>2.7715714285714288E-3</v>
      </c>
      <c r="S187" s="66">
        <f t="shared" si="155"/>
        <v>2.7715714285714288E-3</v>
      </c>
      <c r="T187" s="66">
        <f t="shared" si="155"/>
        <v>2.7715714285714288E-3</v>
      </c>
      <c r="U187" s="66">
        <f t="shared" si="155"/>
        <v>2.7715714285714288E-3</v>
      </c>
      <c r="V187" s="66">
        <f t="shared" si="155"/>
        <v>2.7715714285714288E-3</v>
      </c>
      <c r="W187" s="66">
        <f t="shared" si="155"/>
        <v>2.7715714285714288E-3</v>
      </c>
      <c r="X187" s="66">
        <f t="shared" si="155"/>
        <v>2.7715714285714288E-3</v>
      </c>
      <c r="Y187" s="66">
        <f t="shared" si="155"/>
        <v>2.7715714285714288E-3</v>
      </c>
      <c r="Z187" s="66">
        <f t="shared" si="155"/>
        <v>2.7715714285714288E-3</v>
      </c>
      <c r="AA187" s="66">
        <f t="shared" si="155"/>
        <v>2.7715714285714288E-3</v>
      </c>
      <c r="AB187" s="66">
        <f t="shared" si="155"/>
        <v>2.7715714285714288E-3</v>
      </c>
      <c r="AC187" s="66">
        <f t="shared" si="155"/>
        <v>2.7715714285714288E-3</v>
      </c>
    </row>
    <row r="188" spans="1:29" x14ac:dyDescent="0.3">
      <c r="A188" s="59" t="str">
        <f>A151</f>
        <v>Market failure (av. utilization)</v>
      </c>
      <c r="B188" s="66">
        <f t="shared" ref="B188:AC188" si="156">B177/B151-B177/B150</f>
        <v>2.3449265311343285E-2</v>
      </c>
      <c r="C188" s="66">
        <f t="shared" si="156"/>
        <v>2.3453911927454316E-2</v>
      </c>
      <c r="D188" s="66">
        <f t="shared" si="156"/>
        <v>2.3460552801537932E-2</v>
      </c>
      <c r="E188" s="66">
        <f t="shared" si="156"/>
        <v>2.3470030694695845E-2</v>
      </c>
      <c r="F188" s="66">
        <f t="shared" si="156"/>
        <v>2.3483530263251118E-2</v>
      </c>
      <c r="G188" s="66">
        <f t="shared" si="156"/>
        <v>2.3502701875803146E-2</v>
      </c>
      <c r="H188" s="66">
        <f t="shared" si="156"/>
        <v>2.3529815605506564E-2</v>
      </c>
      <c r="I188" s="66">
        <f t="shared" si="156"/>
        <v>2.3567939212834253E-2</v>
      </c>
      <c r="J188" s="66">
        <f t="shared" si="156"/>
        <v>2.3621120519285967E-2</v>
      </c>
      <c r="K188" s="66">
        <f t="shared" si="156"/>
        <v>2.3694535011041573E-2</v>
      </c>
      <c r="L188" s="66">
        <f t="shared" si="156"/>
        <v>2.3794534039437681E-2</v>
      </c>
      <c r="M188" s="66">
        <f t="shared" si="156"/>
        <v>2.3928489647480365E-2</v>
      </c>
      <c r="N188" s="66">
        <f t="shared" si="156"/>
        <v>2.4104252239709967E-2</v>
      </c>
      <c r="O188" s="66">
        <f t="shared" si="156"/>
        <v>2.4328907860449563E-2</v>
      </c>
      <c r="P188" s="66">
        <f t="shared" si="156"/>
        <v>2.4606485330373351E-2</v>
      </c>
      <c r="Q188" s="66">
        <f t="shared" si="156"/>
        <v>2.4934695388262592E-2</v>
      </c>
      <c r="R188" s="66">
        <f t="shared" si="156"/>
        <v>2.5301922242254513E-2</v>
      </c>
      <c r="S188" s="66">
        <f t="shared" si="156"/>
        <v>2.568682885407244E-2</v>
      </c>
      <c r="T188" s="66">
        <f t="shared" si="156"/>
        <v>2.6062387909732178E-2</v>
      </c>
      <c r="U188" s="66">
        <f t="shared" si="156"/>
        <v>2.6403228788070367E-2</v>
      </c>
      <c r="V188" s="66">
        <f t="shared" si="156"/>
        <v>2.66923287260953E-2</v>
      </c>
      <c r="W188" s="66">
        <f t="shared" si="156"/>
        <v>2.6923553659211757E-2</v>
      </c>
      <c r="X188" s="66">
        <f t="shared" si="156"/>
        <v>2.7099843698106307E-2</v>
      </c>
      <c r="Y188" s="66">
        <f t="shared" si="156"/>
        <v>2.7229361359831894E-2</v>
      </c>
      <c r="Z188" s="66">
        <f t="shared" si="156"/>
        <v>2.7321931821712664E-2</v>
      </c>
      <c r="AA188" s="66">
        <f t="shared" si="156"/>
        <v>2.7386794833851903E-2</v>
      </c>
      <c r="AB188" s="66">
        <f t="shared" si="156"/>
        <v>2.743161217828767E-2</v>
      </c>
      <c r="AC188" s="66">
        <f t="shared" si="156"/>
        <v>2.7462279736335207E-2</v>
      </c>
    </row>
    <row r="189" spans="1:29" x14ac:dyDescent="0.3">
      <c r="A189" s="59" t="str">
        <f>A152</f>
        <v>Payload loss (fuel)</v>
      </c>
      <c r="B189" s="66">
        <f>B177/(B150-B152)-B177/B150</f>
        <v>0</v>
      </c>
      <c r="C189" s="66">
        <f t="shared" ref="C189:AC189" si="157">C177/(C150-C152)-C177/C150</f>
        <v>0</v>
      </c>
      <c r="D189" s="66">
        <f t="shared" si="157"/>
        <v>0</v>
      </c>
      <c r="E189" s="66">
        <f t="shared" si="157"/>
        <v>0</v>
      </c>
      <c r="F189" s="66">
        <f t="shared" si="157"/>
        <v>0</v>
      </c>
      <c r="G189" s="66">
        <f t="shared" si="157"/>
        <v>0</v>
      </c>
      <c r="H189" s="66">
        <f t="shared" si="157"/>
        <v>0</v>
      </c>
      <c r="I189" s="66">
        <f t="shared" si="157"/>
        <v>0</v>
      </c>
      <c r="J189" s="66">
        <f t="shared" si="157"/>
        <v>0</v>
      </c>
      <c r="K189" s="66">
        <f t="shared" si="157"/>
        <v>0</v>
      </c>
      <c r="L189" s="66">
        <f t="shared" si="157"/>
        <v>0</v>
      </c>
      <c r="M189" s="66">
        <f t="shared" si="157"/>
        <v>0</v>
      </c>
      <c r="N189" s="66">
        <f t="shared" si="157"/>
        <v>0</v>
      </c>
      <c r="O189" s="66">
        <f t="shared" si="157"/>
        <v>0</v>
      </c>
      <c r="P189" s="66">
        <f t="shared" si="157"/>
        <v>0</v>
      </c>
      <c r="Q189" s="66">
        <f t="shared" si="157"/>
        <v>0</v>
      </c>
      <c r="R189" s="66">
        <f t="shared" si="157"/>
        <v>0</v>
      </c>
      <c r="S189" s="66">
        <f t="shared" si="157"/>
        <v>0</v>
      </c>
      <c r="T189" s="66">
        <f t="shared" si="157"/>
        <v>0</v>
      </c>
      <c r="U189" s="66">
        <f t="shared" si="157"/>
        <v>0</v>
      </c>
      <c r="V189" s="66">
        <f t="shared" si="157"/>
        <v>0</v>
      </c>
      <c r="W189" s="66">
        <f t="shared" si="157"/>
        <v>0</v>
      </c>
      <c r="X189" s="66">
        <f t="shared" si="157"/>
        <v>0</v>
      </c>
      <c r="Y189" s="66">
        <f t="shared" si="157"/>
        <v>0</v>
      </c>
      <c r="Z189" s="66">
        <f t="shared" si="157"/>
        <v>0</v>
      </c>
      <c r="AA189" s="66">
        <f t="shared" si="157"/>
        <v>0</v>
      </c>
      <c r="AB189" s="66">
        <f t="shared" si="157"/>
        <v>0</v>
      </c>
      <c r="AC189" s="66">
        <f t="shared" si="157"/>
        <v>0</v>
      </c>
    </row>
    <row r="190" spans="1:29" ht="15" thickBot="1" x14ac:dyDescent="0.35">
      <c r="A190" s="59" t="str">
        <f>A127</f>
        <v>Emission Cost</v>
      </c>
      <c r="B190" s="69">
        <f>B147*B153/B153/(B150)</f>
        <v>7.4298751127533757E-4</v>
      </c>
      <c r="C190" s="69">
        <f t="shared" ref="C190:AC190" si="158">C147*C153/C153/(C150)</f>
        <v>7.4474275208498528E-4</v>
      </c>
      <c r="D190" s="69">
        <f t="shared" si="158"/>
        <v>7.4725534020915886E-4</v>
      </c>
      <c r="E190" s="69">
        <f t="shared" si="158"/>
        <v>7.5084977421388478E-4</v>
      </c>
      <c r="F190" s="69">
        <f t="shared" si="158"/>
        <v>7.5598701355788014E-4</v>
      </c>
      <c r="G190" s="69">
        <f t="shared" si="158"/>
        <v>7.6331896430522207E-4</v>
      </c>
      <c r="H190" s="69">
        <f t="shared" si="158"/>
        <v>7.7376146089384694E-4</v>
      </c>
      <c r="I190" s="69">
        <f t="shared" si="158"/>
        <v>7.8858830909913486E-4</v>
      </c>
      <c r="J190" s="69">
        <f t="shared" si="158"/>
        <v>8.0954463426816516E-4</v>
      </c>
      <c r="K190" s="69">
        <f t="shared" si="158"/>
        <v>8.389669367220592E-4</v>
      </c>
      <c r="L190" s="69">
        <f t="shared" si="158"/>
        <v>8.798746177594985E-4</v>
      </c>
      <c r="M190" s="69">
        <f t="shared" si="158"/>
        <v>9.3595751810243634E-4</v>
      </c>
      <c r="N190" s="69">
        <f t="shared" si="158"/>
        <v>1.0113269265627047E-3</v>
      </c>
      <c r="O190" s="69">
        <f t="shared" si="158"/>
        <v>1.109849303719172E-3</v>
      </c>
      <c r="P190" s="69">
        <f t="shared" si="158"/>
        <v>1.2339215853046303E-3</v>
      </c>
      <c r="Q190" s="69">
        <f t="shared" si="158"/>
        <v>1.3828047617117797E-3</v>
      </c>
      <c r="R190" s="69">
        <f t="shared" si="158"/>
        <v>1.5511579351188669E-3</v>
      </c>
      <c r="S190" s="69">
        <f t="shared" si="158"/>
        <v>1.7288876895490389E-3</v>
      </c>
      <c r="T190" s="69">
        <f t="shared" si="158"/>
        <v>1.9031200548462067E-3</v>
      </c>
      <c r="U190" s="69">
        <f t="shared" si="158"/>
        <v>2.0617273632976018E-3</v>
      </c>
      <c r="V190" s="69">
        <f t="shared" si="158"/>
        <v>2.1965209893662269E-3</v>
      </c>
      <c r="W190" s="69">
        <f t="shared" si="158"/>
        <v>2.304466543676486E-3</v>
      </c>
      <c r="X190" s="69">
        <f t="shared" si="158"/>
        <v>2.3868337925808045E-3</v>
      </c>
      <c r="Y190" s="69">
        <f t="shared" si="158"/>
        <v>2.4473803263883893E-3</v>
      </c>
      <c r="Z190" s="69">
        <f t="shared" si="158"/>
        <v>2.4906702221544307E-3</v>
      </c>
      <c r="AA190" s="69">
        <f t="shared" si="158"/>
        <v>2.521010046049748E-3</v>
      </c>
      <c r="AB190" s="69">
        <f t="shared" si="158"/>
        <v>2.5419767291927284E-3</v>
      </c>
      <c r="AC190" s="69">
        <f t="shared" si="158"/>
        <v>2.5563252752773664E-3</v>
      </c>
    </row>
    <row r="191" spans="1:29" ht="15" thickBot="1" x14ac:dyDescent="0.35">
      <c r="A191" s="31" t="s">
        <v>210</v>
      </c>
      <c r="B191" s="67">
        <f>B180+B181+B182+B183+B184+B185+B186+B187+B188+B189+B190</f>
        <v>3.4382464517395517E-2</v>
      </c>
      <c r="C191" s="67">
        <f t="shared" ref="C191:AC191" si="159">C180+C181+C182+C183+C184+C185+C186+C187+C188+C189+C190</f>
        <v>3.4389297776382333E-2</v>
      </c>
      <c r="D191" s="67">
        <f t="shared" si="159"/>
        <v>3.4399063767681773E-2</v>
      </c>
      <c r="E191" s="67">
        <f t="shared" si="159"/>
        <v>3.4413001845855169E-2</v>
      </c>
      <c r="F191" s="67">
        <f t="shared" si="159"/>
        <v>3.4432854152554093E-2</v>
      </c>
      <c r="G191" s="67">
        <f t="shared" si="159"/>
        <v>3.4461047700424734E-2</v>
      </c>
      <c r="H191" s="67">
        <f t="shared" si="159"/>
        <v>3.450092083234152E-2</v>
      </c>
      <c r="I191" s="67">
        <f t="shared" si="159"/>
        <v>3.4556984960764592E-2</v>
      </c>
      <c r="J191" s="67">
        <f t="shared" si="159"/>
        <v>3.4635192764370056E-2</v>
      </c>
      <c r="K191" s="67">
        <f t="shared" si="159"/>
        <v>3.4743155252245944E-2</v>
      </c>
      <c r="L191" s="67">
        <f t="shared" si="159"/>
        <v>3.4890212646946112E-2</v>
      </c>
      <c r="M191" s="67">
        <f t="shared" si="159"/>
        <v>3.5087206188185345E-2</v>
      </c>
      <c r="N191" s="67">
        <f t="shared" si="159"/>
        <v>3.5345680588522992E-2</v>
      </c>
      <c r="O191" s="67">
        <f t="shared" si="159"/>
        <v>3.5676056501375342E-2</v>
      </c>
      <c r="P191" s="67">
        <f t="shared" si="159"/>
        <v>3.6084258663027974E-2</v>
      </c>
      <c r="Q191" s="67">
        <f t="shared" si="159"/>
        <v>3.6566920512865086E-2</v>
      </c>
      <c r="R191" s="67">
        <f t="shared" si="159"/>
        <v>3.7106960004029681E-2</v>
      </c>
      <c r="S191" s="67">
        <f t="shared" si="159"/>
        <v>3.7672999139056043E-2</v>
      </c>
      <c r="T191" s="67">
        <f t="shared" si="159"/>
        <v>3.8225291867967429E-2</v>
      </c>
      <c r="U191" s="67">
        <f t="shared" si="159"/>
        <v>3.8726528453758874E-2</v>
      </c>
      <c r="V191" s="67">
        <f t="shared" si="159"/>
        <v>3.9151675421442607E-2</v>
      </c>
      <c r="W191" s="67">
        <f t="shared" si="159"/>
        <v>3.9491712087790329E-2</v>
      </c>
      <c r="X191" s="67">
        <f t="shared" si="159"/>
        <v>3.9750962144988203E-2</v>
      </c>
      <c r="Y191" s="67">
        <f t="shared" si="159"/>
        <v>3.9941429294584656E-2</v>
      </c>
      <c r="Z191" s="67">
        <f t="shared" si="159"/>
        <v>4.0077562326762253E-2</v>
      </c>
      <c r="AA191" s="67">
        <f t="shared" si="159"/>
        <v>4.0172949109319969E-2</v>
      </c>
      <c r="AB191" s="67">
        <f t="shared" si="159"/>
        <v>4.0238856968784327E-2</v>
      </c>
      <c r="AC191" s="67">
        <f t="shared" si="159"/>
        <v>4.028395631885423E-2</v>
      </c>
    </row>
    <row r="193" spans="2:2" x14ac:dyDescent="0.3">
      <c r="B193" s="40"/>
    </row>
    <row r="215" spans="1:44" s="3" customFormat="1" ht="21" x14ac:dyDescent="0.4">
      <c r="A215" s="2" t="str">
        <f>'Parameter Input'!A100</f>
        <v>Railway long-haul: Container</v>
      </c>
    </row>
    <row r="216" spans="1:44" s="3" customFormat="1" ht="21" x14ac:dyDescent="0.4">
      <c r="A216" s="2" t="s">
        <v>11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Input'!$L$77</f>
        <v>3500000</v>
      </c>
      <c r="C225" s="42">
        <f>'Parameter Input'!$M$77</f>
        <v>3500000</v>
      </c>
      <c r="D225" s="1" t="s">
        <v>15</v>
      </c>
      <c r="L225" s="51">
        <f>'Parameter Input'!$O$77</f>
        <v>12</v>
      </c>
      <c r="M225" s="52">
        <v>0</v>
      </c>
      <c r="N225" s="52">
        <v>1</v>
      </c>
      <c r="O225" s="52">
        <f>'Parameter Input'!$P$77</f>
        <v>0.9</v>
      </c>
      <c r="P225" s="53">
        <f>'Parameter Input'!$Q$77</f>
        <v>0.4</v>
      </c>
      <c r="Q225" s="4">
        <f t="shared" ref="Q225:AR234" si="160">$N225+($M225-$N225)*((1/(1+EXP(-$P225*(Q$9-$L225)))^$O225))</f>
        <v>0.9867978615748374</v>
      </c>
      <c r="R225" s="4">
        <f t="shared" si="160"/>
        <v>0.98114509762858249</v>
      </c>
      <c r="S225" s="4">
        <f t="shared" si="160"/>
        <v>0.97311898315872036</v>
      </c>
      <c r="T225" s="4">
        <f t="shared" si="160"/>
        <v>0.96177484161592774</v>
      </c>
      <c r="U225" s="4">
        <f t="shared" si="160"/>
        <v>0.94584787155511363</v>
      </c>
      <c r="V225" s="4">
        <f t="shared" si="160"/>
        <v>0.92370360150141495</v>
      </c>
      <c r="W225" s="4">
        <f t="shared" si="160"/>
        <v>0.89334463567658451</v>
      </c>
      <c r="X225" s="4">
        <f t="shared" si="160"/>
        <v>0.85254543874327005</v>
      </c>
      <c r="Y225" s="4">
        <f t="shared" si="160"/>
        <v>0.79921300652623883</v>
      </c>
      <c r="Z225" s="4">
        <f t="shared" si="160"/>
        <v>0.73204982249993378</v>
      </c>
      <c r="AA225" s="4">
        <f t="shared" si="160"/>
        <v>0.65145592958786691</v>
      </c>
      <c r="AB225" s="4">
        <f t="shared" si="160"/>
        <v>0.56032247880849573</v>
      </c>
      <c r="AC225" s="4">
        <f t="shared" si="160"/>
        <v>0.46411326873185343</v>
      </c>
      <c r="AD225" s="4">
        <f t="shared" si="160"/>
        <v>0.36979727595523937</v>
      </c>
      <c r="AE225" s="4">
        <f t="shared" si="160"/>
        <v>0.28393948637231203</v>
      </c>
      <c r="AF225" s="4">
        <f t="shared" si="160"/>
        <v>0.21097259161117732</v>
      </c>
      <c r="AG225" s="4">
        <f t="shared" si="160"/>
        <v>0.15253917653798199</v>
      </c>
      <c r="AH225" s="4">
        <f t="shared" si="160"/>
        <v>0.10795188737709993</v>
      </c>
      <c r="AI225" s="4">
        <f t="shared" si="160"/>
        <v>7.5176653938091809E-2</v>
      </c>
      <c r="AJ225" s="4">
        <f t="shared" si="160"/>
        <v>5.1742836177502194E-2</v>
      </c>
      <c r="AK225" s="4">
        <f t="shared" si="160"/>
        <v>3.5319190625345942E-2</v>
      </c>
      <c r="AL225" s="4">
        <f t="shared" si="160"/>
        <v>2.3969442072658165E-2</v>
      </c>
      <c r="AM225" s="4">
        <f t="shared" si="160"/>
        <v>1.6202243558389728E-2</v>
      </c>
      <c r="AN225" s="4">
        <f t="shared" si="160"/>
        <v>1.0922240564108399E-2</v>
      </c>
      <c r="AO225" s="4">
        <f t="shared" si="160"/>
        <v>7.3493212906090566E-3</v>
      </c>
      <c r="AP225" s="4">
        <f t="shared" si="160"/>
        <v>4.9390262185057265E-3</v>
      </c>
      <c r="AQ225" s="4">
        <f t="shared" si="160"/>
        <v>3.3164275492956197E-3</v>
      </c>
      <c r="AR225" s="4">
        <f t="shared" si="160"/>
        <v>2.2256362146679809E-3</v>
      </c>
    </row>
    <row r="226" spans="1:44" x14ac:dyDescent="0.3">
      <c r="A226" s="24" t="s">
        <v>28</v>
      </c>
      <c r="B226" s="60">
        <f>'Parameter Input'!$L$78</f>
        <v>-525000</v>
      </c>
      <c r="C226" s="61">
        <f>'Parameter Input'!$M$78</f>
        <v>-175000</v>
      </c>
      <c r="D226" s="1" t="s">
        <v>15</v>
      </c>
      <c r="L226" s="54">
        <f>'Parameter Input'!$O$78</f>
        <v>12</v>
      </c>
      <c r="M226" s="37">
        <v>0</v>
      </c>
      <c r="N226" s="37">
        <v>1</v>
      </c>
      <c r="O226" s="37">
        <f>'Parameter Input'!$P$78</f>
        <v>0.9</v>
      </c>
      <c r="P226" s="55">
        <f>'Parameter Input'!$Q$78</f>
        <v>0.4</v>
      </c>
      <c r="Q226" s="4">
        <f t="shared" si="160"/>
        <v>0.9867978615748374</v>
      </c>
      <c r="R226" s="4">
        <f t="shared" si="160"/>
        <v>0.98114509762858249</v>
      </c>
      <c r="S226" s="4">
        <f t="shared" si="160"/>
        <v>0.97311898315872036</v>
      </c>
      <c r="T226" s="4">
        <f t="shared" si="160"/>
        <v>0.96177484161592774</v>
      </c>
      <c r="U226" s="4">
        <f t="shared" si="160"/>
        <v>0.94584787155511363</v>
      </c>
      <c r="V226" s="4">
        <f t="shared" si="160"/>
        <v>0.92370360150141495</v>
      </c>
      <c r="W226" s="4">
        <f t="shared" si="160"/>
        <v>0.89334463567658451</v>
      </c>
      <c r="X226" s="4">
        <f t="shared" si="160"/>
        <v>0.85254543874327005</v>
      </c>
      <c r="Y226" s="4">
        <f t="shared" si="160"/>
        <v>0.79921300652623883</v>
      </c>
      <c r="Z226" s="4">
        <f t="shared" si="160"/>
        <v>0.73204982249993378</v>
      </c>
      <c r="AA226" s="4">
        <f t="shared" si="160"/>
        <v>0.65145592958786691</v>
      </c>
      <c r="AB226" s="4">
        <f t="shared" si="160"/>
        <v>0.56032247880849573</v>
      </c>
      <c r="AC226" s="4">
        <f t="shared" si="160"/>
        <v>0.46411326873185343</v>
      </c>
      <c r="AD226" s="4">
        <f t="shared" si="160"/>
        <v>0.36979727595523937</v>
      </c>
      <c r="AE226" s="4">
        <f t="shared" si="160"/>
        <v>0.28393948637231203</v>
      </c>
      <c r="AF226" s="4">
        <f t="shared" si="160"/>
        <v>0.21097259161117732</v>
      </c>
      <c r="AG226" s="4">
        <f t="shared" si="160"/>
        <v>0.15253917653798199</v>
      </c>
      <c r="AH226" s="4">
        <f t="shared" si="160"/>
        <v>0.10795188737709993</v>
      </c>
      <c r="AI226" s="4">
        <f t="shared" si="160"/>
        <v>7.5176653938091809E-2</v>
      </c>
      <c r="AJ226" s="4">
        <f t="shared" si="160"/>
        <v>5.1742836177502194E-2</v>
      </c>
      <c r="AK226" s="4">
        <f t="shared" si="160"/>
        <v>3.5319190625345942E-2</v>
      </c>
      <c r="AL226" s="4">
        <f t="shared" si="160"/>
        <v>2.3969442072658165E-2</v>
      </c>
      <c r="AM226" s="4">
        <f t="shared" si="160"/>
        <v>1.6202243558389728E-2</v>
      </c>
      <c r="AN226" s="4">
        <f t="shared" si="160"/>
        <v>1.0922240564108399E-2</v>
      </c>
      <c r="AO226" s="4">
        <f t="shared" si="160"/>
        <v>7.3493212906090566E-3</v>
      </c>
      <c r="AP226" s="4">
        <f t="shared" si="160"/>
        <v>4.9390262185057265E-3</v>
      </c>
      <c r="AQ226" s="4">
        <f t="shared" si="160"/>
        <v>3.3164275492956197E-3</v>
      </c>
      <c r="AR226" s="4">
        <f t="shared" si="160"/>
        <v>2.2256362146679809E-3</v>
      </c>
    </row>
    <row r="227" spans="1:44" x14ac:dyDescent="0.3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60"/>
        <v>0.9867978615748374</v>
      </c>
      <c r="R227" s="4">
        <f t="shared" si="160"/>
        <v>0.98114509762858249</v>
      </c>
      <c r="S227" s="4">
        <f t="shared" si="160"/>
        <v>0.97311898315872036</v>
      </c>
      <c r="T227" s="4">
        <f t="shared" si="160"/>
        <v>0.96177484161592774</v>
      </c>
      <c r="U227" s="4">
        <f t="shared" si="160"/>
        <v>0.94584787155511363</v>
      </c>
      <c r="V227" s="4">
        <f t="shared" si="160"/>
        <v>0.92370360150141495</v>
      </c>
      <c r="W227" s="4">
        <f t="shared" si="160"/>
        <v>0.89334463567658451</v>
      </c>
      <c r="X227" s="4">
        <f t="shared" si="160"/>
        <v>0.85254543874327005</v>
      </c>
      <c r="Y227" s="4">
        <f t="shared" si="160"/>
        <v>0.79921300652623883</v>
      </c>
      <c r="Z227" s="4">
        <f t="shared" si="160"/>
        <v>0.73204982249993378</v>
      </c>
      <c r="AA227" s="4">
        <f t="shared" si="160"/>
        <v>0.65145592958786691</v>
      </c>
      <c r="AB227" s="4">
        <f t="shared" si="160"/>
        <v>0.56032247880849573</v>
      </c>
      <c r="AC227" s="4">
        <f t="shared" si="160"/>
        <v>0.46411326873185343</v>
      </c>
      <c r="AD227" s="4">
        <f t="shared" si="160"/>
        <v>0.36979727595523937</v>
      </c>
      <c r="AE227" s="4">
        <f t="shared" si="160"/>
        <v>0.28393948637231203</v>
      </c>
      <c r="AF227" s="4">
        <f t="shared" si="160"/>
        <v>0.21097259161117732</v>
      </c>
      <c r="AG227" s="4">
        <f t="shared" si="160"/>
        <v>0.15253917653798199</v>
      </c>
      <c r="AH227" s="4">
        <f t="shared" si="160"/>
        <v>0.10795188737709993</v>
      </c>
      <c r="AI227" s="4">
        <f t="shared" si="160"/>
        <v>7.5176653938091809E-2</v>
      </c>
      <c r="AJ227" s="4">
        <f t="shared" si="160"/>
        <v>5.1742836177502194E-2</v>
      </c>
      <c r="AK227" s="4">
        <f t="shared" si="160"/>
        <v>3.5319190625345942E-2</v>
      </c>
      <c r="AL227" s="4">
        <f t="shared" si="160"/>
        <v>2.3969442072658165E-2</v>
      </c>
      <c r="AM227" s="4">
        <f t="shared" si="160"/>
        <v>1.6202243558389728E-2</v>
      </c>
      <c r="AN227" s="4">
        <f t="shared" si="160"/>
        <v>1.0922240564108399E-2</v>
      </c>
      <c r="AO227" s="4">
        <f t="shared" si="160"/>
        <v>7.3493212906090566E-3</v>
      </c>
      <c r="AP227" s="4">
        <f t="shared" si="160"/>
        <v>4.9390262185057265E-3</v>
      </c>
      <c r="AQ227" s="4">
        <f t="shared" si="160"/>
        <v>3.3164275492956197E-3</v>
      </c>
      <c r="AR227" s="4">
        <f t="shared" si="160"/>
        <v>2.2256362146679809E-3</v>
      </c>
    </row>
    <row r="228" spans="1:44" x14ac:dyDescent="0.3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60"/>
        <v>0.9867978615748374</v>
      </c>
      <c r="R228" s="4">
        <f t="shared" si="160"/>
        <v>0.98114509762858249</v>
      </c>
      <c r="S228" s="4">
        <f t="shared" si="160"/>
        <v>0.97311898315872036</v>
      </c>
      <c r="T228" s="4">
        <f t="shared" si="160"/>
        <v>0.96177484161592774</v>
      </c>
      <c r="U228" s="4">
        <f t="shared" si="160"/>
        <v>0.94584787155511363</v>
      </c>
      <c r="V228" s="4">
        <f t="shared" si="160"/>
        <v>0.92370360150141495</v>
      </c>
      <c r="W228" s="4">
        <f t="shared" si="160"/>
        <v>0.89334463567658451</v>
      </c>
      <c r="X228" s="4">
        <f t="shared" si="160"/>
        <v>0.85254543874327005</v>
      </c>
      <c r="Y228" s="4">
        <f t="shared" si="160"/>
        <v>0.79921300652623883</v>
      </c>
      <c r="Z228" s="4">
        <f t="shared" si="160"/>
        <v>0.73204982249993378</v>
      </c>
      <c r="AA228" s="4">
        <f t="shared" si="160"/>
        <v>0.65145592958786691</v>
      </c>
      <c r="AB228" s="4">
        <f t="shared" si="160"/>
        <v>0.56032247880849573</v>
      </c>
      <c r="AC228" s="4">
        <f t="shared" si="160"/>
        <v>0.46411326873185343</v>
      </c>
      <c r="AD228" s="4">
        <f t="shared" si="160"/>
        <v>0.36979727595523937</v>
      </c>
      <c r="AE228" s="4">
        <f t="shared" si="160"/>
        <v>0.28393948637231203</v>
      </c>
      <c r="AF228" s="4">
        <f t="shared" si="160"/>
        <v>0.21097259161117732</v>
      </c>
      <c r="AG228" s="4">
        <f t="shared" si="160"/>
        <v>0.15253917653798199</v>
      </c>
      <c r="AH228" s="4">
        <f t="shared" si="160"/>
        <v>0.10795188737709993</v>
      </c>
      <c r="AI228" s="4">
        <f t="shared" si="160"/>
        <v>7.5176653938091809E-2</v>
      </c>
      <c r="AJ228" s="4">
        <f t="shared" si="160"/>
        <v>5.1742836177502194E-2</v>
      </c>
      <c r="AK228" s="4">
        <f t="shared" si="160"/>
        <v>3.5319190625345942E-2</v>
      </c>
      <c r="AL228" s="4">
        <f t="shared" si="160"/>
        <v>2.3969442072658165E-2</v>
      </c>
      <c r="AM228" s="4">
        <f t="shared" si="160"/>
        <v>1.6202243558389728E-2</v>
      </c>
      <c r="AN228" s="4">
        <f t="shared" si="160"/>
        <v>1.0922240564108399E-2</v>
      </c>
      <c r="AO228" s="4">
        <f t="shared" si="160"/>
        <v>7.3493212906090566E-3</v>
      </c>
      <c r="AP228" s="4">
        <f t="shared" si="160"/>
        <v>4.9390262185057265E-3</v>
      </c>
      <c r="AQ228" s="4">
        <f t="shared" si="160"/>
        <v>3.3164275492956197E-3</v>
      </c>
      <c r="AR228" s="4">
        <f t="shared" si="160"/>
        <v>2.2256362146679809E-3</v>
      </c>
    </row>
    <row r="229" spans="1:44" x14ac:dyDescent="0.3">
      <c r="A229" s="24" t="s">
        <v>79</v>
      </c>
      <c r="B229" s="45">
        <f>'Parameter Input'!$L$84</f>
        <v>0.06</v>
      </c>
      <c r="C229" s="46">
        <f>'Parameter Input'!$M$84</f>
        <v>0.06</v>
      </c>
      <c r="D229" s="1" t="s">
        <v>57</v>
      </c>
      <c r="L229" s="54">
        <f>'Parameter Input'!$O$84</f>
        <v>12</v>
      </c>
      <c r="M229" s="37">
        <v>0</v>
      </c>
      <c r="N229" s="37">
        <v>1</v>
      </c>
      <c r="O229" s="37">
        <f>'Parameter Input'!$P$84</f>
        <v>0.9</v>
      </c>
      <c r="P229" s="55">
        <f>'Parameter Input'!$Q$84</f>
        <v>0.4</v>
      </c>
      <c r="Q229" s="4">
        <f t="shared" si="160"/>
        <v>0.9867978615748374</v>
      </c>
      <c r="R229" s="4">
        <f t="shared" si="160"/>
        <v>0.98114509762858249</v>
      </c>
      <c r="S229" s="4">
        <f t="shared" si="160"/>
        <v>0.97311898315872036</v>
      </c>
      <c r="T229" s="4">
        <f t="shared" si="160"/>
        <v>0.96177484161592774</v>
      </c>
      <c r="U229" s="4">
        <f t="shared" si="160"/>
        <v>0.94584787155511363</v>
      </c>
      <c r="V229" s="4">
        <f t="shared" si="160"/>
        <v>0.92370360150141495</v>
      </c>
      <c r="W229" s="4">
        <f t="shared" si="160"/>
        <v>0.89334463567658451</v>
      </c>
      <c r="X229" s="4">
        <f t="shared" si="160"/>
        <v>0.85254543874327005</v>
      </c>
      <c r="Y229" s="4">
        <f t="shared" si="160"/>
        <v>0.79921300652623883</v>
      </c>
      <c r="Z229" s="4">
        <f t="shared" si="160"/>
        <v>0.73204982249993378</v>
      </c>
      <c r="AA229" s="4">
        <f t="shared" si="160"/>
        <v>0.65145592958786691</v>
      </c>
      <c r="AB229" s="4">
        <f t="shared" si="160"/>
        <v>0.56032247880849573</v>
      </c>
      <c r="AC229" s="4">
        <f t="shared" si="160"/>
        <v>0.46411326873185343</v>
      </c>
      <c r="AD229" s="4">
        <f t="shared" si="160"/>
        <v>0.36979727595523937</v>
      </c>
      <c r="AE229" s="4">
        <f t="shared" si="160"/>
        <v>0.28393948637231203</v>
      </c>
      <c r="AF229" s="4">
        <f t="shared" si="160"/>
        <v>0.21097259161117732</v>
      </c>
      <c r="AG229" s="4">
        <f t="shared" si="160"/>
        <v>0.15253917653798199</v>
      </c>
      <c r="AH229" s="4">
        <f t="shared" si="160"/>
        <v>0.10795188737709993</v>
      </c>
      <c r="AI229" s="4">
        <f t="shared" si="160"/>
        <v>7.5176653938091809E-2</v>
      </c>
      <c r="AJ229" s="4">
        <f t="shared" si="160"/>
        <v>5.1742836177502194E-2</v>
      </c>
      <c r="AK229" s="4">
        <f t="shared" si="160"/>
        <v>3.5319190625345942E-2</v>
      </c>
      <c r="AL229" s="4">
        <f t="shared" si="160"/>
        <v>2.3969442072658165E-2</v>
      </c>
      <c r="AM229" s="4">
        <f t="shared" si="160"/>
        <v>1.6202243558389728E-2</v>
      </c>
      <c r="AN229" s="4">
        <f t="shared" si="160"/>
        <v>1.0922240564108399E-2</v>
      </c>
      <c r="AO229" s="4">
        <f t="shared" si="160"/>
        <v>7.3493212906090566E-3</v>
      </c>
      <c r="AP229" s="4">
        <f t="shared" si="160"/>
        <v>4.9390262185057265E-3</v>
      </c>
      <c r="AQ229" s="4">
        <f t="shared" si="160"/>
        <v>3.3164275492956197E-3</v>
      </c>
      <c r="AR229" s="4">
        <f t="shared" si="160"/>
        <v>2.2256362146679809E-3</v>
      </c>
    </row>
    <row r="230" spans="1:44" x14ac:dyDescent="0.3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60"/>
        <v>0.9867978615748374</v>
      </c>
      <c r="R230" s="4">
        <f t="shared" si="160"/>
        <v>0.98114509762858249</v>
      </c>
      <c r="S230" s="4">
        <f t="shared" si="160"/>
        <v>0.97311898315872036</v>
      </c>
      <c r="T230" s="4">
        <f t="shared" si="160"/>
        <v>0.96177484161592774</v>
      </c>
      <c r="U230" s="4">
        <f t="shared" si="160"/>
        <v>0.94584787155511363</v>
      </c>
      <c r="V230" s="4">
        <f t="shared" si="160"/>
        <v>0.92370360150141495</v>
      </c>
      <c r="W230" s="4">
        <f t="shared" si="160"/>
        <v>0.89334463567658451</v>
      </c>
      <c r="X230" s="4">
        <f t="shared" si="160"/>
        <v>0.85254543874327005</v>
      </c>
      <c r="Y230" s="4">
        <f t="shared" si="160"/>
        <v>0.79921300652623883</v>
      </c>
      <c r="Z230" s="4">
        <f t="shared" si="160"/>
        <v>0.73204982249993378</v>
      </c>
      <c r="AA230" s="4">
        <f t="shared" si="160"/>
        <v>0.65145592958786691</v>
      </c>
      <c r="AB230" s="4">
        <f t="shared" si="160"/>
        <v>0.56032247880849573</v>
      </c>
      <c r="AC230" s="4">
        <f t="shared" si="160"/>
        <v>0.46411326873185343</v>
      </c>
      <c r="AD230" s="4">
        <f t="shared" si="160"/>
        <v>0.36979727595523937</v>
      </c>
      <c r="AE230" s="4">
        <f t="shared" si="160"/>
        <v>0.28393948637231203</v>
      </c>
      <c r="AF230" s="4">
        <f t="shared" si="160"/>
        <v>0.21097259161117732</v>
      </c>
      <c r="AG230" s="4">
        <f t="shared" si="160"/>
        <v>0.15253917653798199</v>
      </c>
      <c r="AH230" s="4">
        <f t="shared" si="160"/>
        <v>0.10795188737709993</v>
      </c>
      <c r="AI230" s="4">
        <f t="shared" si="160"/>
        <v>7.5176653938091809E-2</v>
      </c>
      <c r="AJ230" s="4">
        <f t="shared" si="160"/>
        <v>5.1742836177502194E-2</v>
      </c>
      <c r="AK230" s="4">
        <f t="shared" si="160"/>
        <v>3.5319190625345942E-2</v>
      </c>
      <c r="AL230" s="4">
        <f t="shared" si="160"/>
        <v>2.3969442072658165E-2</v>
      </c>
      <c r="AM230" s="4">
        <f t="shared" si="160"/>
        <v>1.6202243558389728E-2</v>
      </c>
      <c r="AN230" s="4">
        <f t="shared" si="160"/>
        <v>1.0922240564108399E-2</v>
      </c>
      <c r="AO230" s="4">
        <f t="shared" si="160"/>
        <v>7.3493212906090566E-3</v>
      </c>
      <c r="AP230" s="4">
        <f t="shared" si="160"/>
        <v>4.9390262185057265E-3</v>
      </c>
      <c r="AQ230" s="4">
        <f t="shared" si="160"/>
        <v>3.3164275492956197E-3</v>
      </c>
      <c r="AR230" s="4">
        <f t="shared" si="160"/>
        <v>2.2256362146679809E-3</v>
      </c>
    </row>
    <row r="231" spans="1:44" x14ac:dyDescent="0.3">
      <c r="A231" s="24" t="s">
        <v>52</v>
      </c>
      <c r="B231" s="43">
        <f>'Parameter Input'!$L$80</f>
        <v>1050000</v>
      </c>
      <c r="C231" s="44">
        <f>'Parameter Input'!$M$80</f>
        <v>1050000</v>
      </c>
      <c r="D231" s="1" t="s">
        <v>38</v>
      </c>
      <c r="L231" s="54">
        <f>'Parameter Input'!$O$80</f>
        <v>12</v>
      </c>
      <c r="M231" s="37">
        <v>0</v>
      </c>
      <c r="N231" s="37">
        <v>1</v>
      </c>
      <c r="O231" s="37">
        <f>'Parameter Input'!$P$80</f>
        <v>0.9</v>
      </c>
      <c r="P231" s="55">
        <f>'Parameter Input'!$Q$80</f>
        <v>0.4</v>
      </c>
      <c r="Q231" s="4">
        <f t="shared" si="160"/>
        <v>0.9867978615748374</v>
      </c>
      <c r="R231" s="4">
        <f t="shared" si="160"/>
        <v>0.98114509762858249</v>
      </c>
      <c r="S231" s="4">
        <f t="shared" si="160"/>
        <v>0.97311898315872036</v>
      </c>
      <c r="T231" s="4">
        <f t="shared" si="160"/>
        <v>0.96177484161592774</v>
      </c>
      <c r="U231" s="4">
        <f t="shared" si="160"/>
        <v>0.94584787155511363</v>
      </c>
      <c r="V231" s="4">
        <f t="shared" si="160"/>
        <v>0.92370360150141495</v>
      </c>
      <c r="W231" s="4">
        <f t="shared" si="160"/>
        <v>0.89334463567658451</v>
      </c>
      <c r="X231" s="4">
        <f t="shared" si="160"/>
        <v>0.85254543874327005</v>
      </c>
      <c r="Y231" s="4">
        <f t="shared" si="160"/>
        <v>0.79921300652623883</v>
      </c>
      <c r="Z231" s="4">
        <f t="shared" si="160"/>
        <v>0.73204982249993378</v>
      </c>
      <c r="AA231" s="4">
        <f t="shared" si="160"/>
        <v>0.65145592958786691</v>
      </c>
      <c r="AB231" s="4">
        <f t="shared" si="160"/>
        <v>0.56032247880849573</v>
      </c>
      <c r="AC231" s="4">
        <f t="shared" si="160"/>
        <v>0.46411326873185343</v>
      </c>
      <c r="AD231" s="4">
        <f t="shared" si="160"/>
        <v>0.36979727595523937</v>
      </c>
      <c r="AE231" s="4">
        <f t="shared" si="160"/>
        <v>0.28393948637231203</v>
      </c>
      <c r="AF231" s="4">
        <f t="shared" si="160"/>
        <v>0.21097259161117732</v>
      </c>
      <c r="AG231" s="4">
        <f t="shared" si="160"/>
        <v>0.15253917653798199</v>
      </c>
      <c r="AH231" s="4">
        <f t="shared" si="160"/>
        <v>0.10795188737709993</v>
      </c>
      <c r="AI231" s="4">
        <f t="shared" si="160"/>
        <v>7.5176653938091809E-2</v>
      </c>
      <c r="AJ231" s="4">
        <f t="shared" si="160"/>
        <v>5.1742836177502194E-2</v>
      </c>
      <c r="AK231" s="4">
        <f t="shared" si="160"/>
        <v>3.5319190625345942E-2</v>
      </c>
      <c r="AL231" s="4">
        <f t="shared" si="160"/>
        <v>2.3969442072658165E-2</v>
      </c>
      <c r="AM231" s="4">
        <f t="shared" si="160"/>
        <v>1.6202243558389728E-2</v>
      </c>
      <c r="AN231" s="4">
        <f t="shared" si="160"/>
        <v>1.0922240564108399E-2</v>
      </c>
      <c r="AO231" s="4">
        <f t="shared" si="160"/>
        <v>7.3493212906090566E-3</v>
      </c>
      <c r="AP231" s="4">
        <f t="shared" si="160"/>
        <v>4.9390262185057265E-3</v>
      </c>
      <c r="AQ231" s="4">
        <f t="shared" si="160"/>
        <v>3.3164275492956197E-3</v>
      </c>
      <c r="AR231" s="4">
        <f t="shared" si="160"/>
        <v>2.2256362146679809E-3</v>
      </c>
    </row>
    <row r="232" spans="1:44" x14ac:dyDescent="0.3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60"/>
        <v>0.9867978615748374</v>
      </c>
      <c r="R232" s="4">
        <f t="shared" si="160"/>
        <v>0.98114509762858249</v>
      </c>
      <c r="S232" s="4">
        <f t="shared" si="160"/>
        <v>0.97311898315872036</v>
      </c>
      <c r="T232" s="4">
        <f t="shared" si="160"/>
        <v>0.96177484161592774</v>
      </c>
      <c r="U232" s="4">
        <f t="shared" si="160"/>
        <v>0.94584787155511363</v>
      </c>
      <c r="V232" s="4">
        <f t="shared" si="160"/>
        <v>0.92370360150141495</v>
      </c>
      <c r="W232" s="4">
        <f t="shared" si="160"/>
        <v>0.89334463567658451</v>
      </c>
      <c r="X232" s="4">
        <f t="shared" si="160"/>
        <v>0.85254543874327005</v>
      </c>
      <c r="Y232" s="4">
        <f t="shared" si="160"/>
        <v>0.79921300652623883</v>
      </c>
      <c r="Z232" s="4">
        <f t="shared" si="160"/>
        <v>0.73204982249993378</v>
      </c>
      <c r="AA232" s="4">
        <f t="shared" si="160"/>
        <v>0.65145592958786691</v>
      </c>
      <c r="AB232" s="4">
        <f t="shared" si="160"/>
        <v>0.56032247880849573</v>
      </c>
      <c r="AC232" s="4">
        <f t="shared" si="160"/>
        <v>0.46411326873185343</v>
      </c>
      <c r="AD232" s="4">
        <f t="shared" si="160"/>
        <v>0.36979727595523937</v>
      </c>
      <c r="AE232" s="4">
        <f t="shared" si="160"/>
        <v>0.28393948637231203</v>
      </c>
      <c r="AF232" s="4">
        <f t="shared" si="160"/>
        <v>0.21097259161117732</v>
      </c>
      <c r="AG232" s="4">
        <f t="shared" si="160"/>
        <v>0.15253917653798199</v>
      </c>
      <c r="AH232" s="4">
        <f t="shared" si="160"/>
        <v>0.10795188737709993</v>
      </c>
      <c r="AI232" s="4">
        <f t="shared" si="160"/>
        <v>7.5176653938091809E-2</v>
      </c>
      <c r="AJ232" s="4">
        <f t="shared" si="160"/>
        <v>5.1742836177502194E-2</v>
      </c>
      <c r="AK232" s="4">
        <f t="shared" si="160"/>
        <v>3.5319190625345942E-2</v>
      </c>
      <c r="AL232" s="4">
        <f t="shared" si="160"/>
        <v>2.3969442072658165E-2</v>
      </c>
      <c r="AM232" s="4">
        <f t="shared" si="160"/>
        <v>1.6202243558389728E-2</v>
      </c>
      <c r="AN232" s="4">
        <f t="shared" si="160"/>
        <v>1.0922240564108399E-2</v>
      </c>
      <c r="AO232" s="4">
        <f t="shared" si="160"/>
        <v>7.3493212906090566E-3</v>
      </c>
      <c r="AP232" s="4">
        <f t="shared" si="160"/>
        <v>4.9390262185057265E-3</v>
      </c>
      <c r="AQ232" s="4">
        <f t="shared" si="160"/>
        <v>3.3164275492956197E-3</v>
      </c>
      <c r="AR232" s="4">
        <f t="shared" si="160"/>
        <v>2.2256362146679809E-3</v>
      </c>
    </row>
    <row r="233" spans="1:44" x14ac:dyDescent="0.3">
      <c r="A233" s="24" t="s">
        <v>59</v>
      </c>
      <c r="B233" s="47">
        <f>'Parameter Input'!$L$81</f>
        <v>62.083200000000005</v>
      </c>
      <c r="C233" s="48">
        <f>'Parameter Input'!$M$81</f>
        <v>62.083200000000005</v>
      </c>
      <c r="D233" s="1" t="s">
        <v>60</v>
      </c>
      <c r="L233" s="54">
        <f>'Parameter Input'!$O$81</f>
        <v>12</v>
      </c>
      <c r="M233" s="37">
        <v>0</v>
      </c>
      <c r="N233" s="37">
        <v>1</v>
      </c>
      <c r="O233" s="37">
        <f>'Parameter Input'!$P$81</f>
        <v>0.9</v>
      </c>
      <c r="P233" s="55">
        <f>'Parameter Input'!$Q$81</f>
        <v>0.4</v>
      </c>
      <c r="Q233" s="4">
        <f t="shared" si="160"/>
        <v>0.9867978615748374</v>
      </c>
      <c r="R233" s="4">
        <f t="shared" si="160"/>
        <v>0.98114509762858249</v>
      </c>
      <c r="S233" s="4">
        <f t="shared" si="160"/>
        <v>0.97311898315872036</v>
      </c>
      <c r="T233" s="4">
        <f t="shared" si="160"/>
        <v>0.96177484161592774</v>
      </c>
      <c r="U233" s="4">
        <f t="shared" si="160"/>
        <v>0.94584787155511363</v>
      </c>
      <c r="V233" s="4">
        <f t="shared" si="160"/>
        <v>0.92370360150141495</v>
      </c>
      <c r="W233" s="4">
        <f t="shared" si="160"/>
        <v>0.89334463567658451</v>
      </c>
      <c r="X233" s="4">
        <f t="shared" si="160"/>
        <v>0.85254543874327005</v>
      </c>
      <c r="Y233" s="4">
        <f t="shared" si="160"/>
        <v>0.79921300652623883</v>
      </c>
      <c r="Z233" s="4">
        <f t="shared" si="160"/>
        <v>0.73204982249993378</v>
      </c>
      <c r="AA233" s="4">
        <f t="shared" si="160"/>
        <v>0.65145592958786691</v>
      </c>
      <c r="AB233" s="4">
        <f t="shared" si="160"/>
        <v>0.56032247880849573</v>
      </c>
      <c r="AC233" s="4">
        <f t="shared" si="160"/>
        <v>0.46411326873185343</v>
      </c>
      <c r="AD233" s="4">
        <f t="shared" si="160"/>
        <v>0.36979727595523937</v>
      </c>
      <c r="AE233" s="4">
        <f t="shared" si="160"/>
        <v>0.28393948637231203</v>
      </c>
      <c r="AF233" s="4">
        <f t="shared" si="160"/>
        <v>0.21097259161117732</v>
      </c>
      <c r="AG233" s="4">
        <f t="shared" si="160"/>
        <v>0.15253917653798199</v>
      </c>
      <c r="AH233" s="4">
        <f t="shared" si="160"/>
        <v>0.10795188737709993</v>
      </c>
      <c r="AI233" s="4">
        <f t="shared" si="160"/>
        <v>7.5176653938091809E-2</v>
      </c>
      <c r="AJ233" s="4">
        <f t="shared" si="160"/>
        <v>5.1742836177502194E-2</v>
      </c>
      <c r="AK233" s="4">
        <f t="shared" si="160"/>
        <v>3.5319190625345942E-2</v>
      </c>
      <c r="AL233" s="4">
        <f t="shared" si="160"/>
        <v>2.3969442072658165E-2</v>
      </c>
      <c r="AM233" s="4">
        <f t="shared" si="160"/>
        <v>1.6202243558389728E-2</v>
      </c>
      <c r="AN233" s="4">
        <f t="shared" si="160"/>
        <v>1.0922240564108399E-2</v>
      </c>
      <c r="AO233" s="4">
        <f t="shared" si="160"/>
        <v>7.3493212906090566E-3</v>
      </c>
      <c r="AP233" s="4">
        <f t="shared" si="160"/>
        <v>4.9390262185057265E-3</v>
      </c>
      <c r="AQ233" s="4">
        <f t="shared" si="160"/>
        <v>3.3164275492956197E-3</v>
      </c>
      <c r="AR233" s="4">
        <f t="shared" si="160"/>
        <v>2.2256362146679809E-3</v>
      </c>
    </row>
    <row r="234" spans="1:44" x14ac:dyDescent="0.3">
      <c r="A234" s="24" t="s">
        <v>67</v>
      </c>
      <c r="B234" s="45">
        <f>'Parameter Input'!$L$82</f>
        <v>0.1</v>
      </c>
      <c r="C234" s="46">
        <f>'Parameter Input'!$M$82</f>
        <v>0.1</v>
      </c>
      <c r="D234" s="1" t="s">
        <v>68</v>
      </c>
      <c r="L234" s="54">
        <f>'Parameter Input'!$O$82</f>
        <v>12</v>
      </c>
      <c r="M234" s="37">
        <v>0</v>
      </c>
      <c r="N234" s="37">
        <v>1</v>
      </c>
      <c r="O234" s="37">
        <f>'Parameter Input'!$P$82</f>
        <v>0.9</v>
      </c>
      <c r="P234" s="55">
        <f>'Parameter Input'!$Q$82</f>
        <v>0.4</v>
      </c>
      <c r="Q234" s="4">
        <f t="shared" si="160"/>
        <v>0.9867978615748374</v>
      </c>
      <c r="R234" s="4">
        <f t="shared" si="160"/>
        <v>0.98114509762858249</v>
      </c>
      <c r="S234" s="4">
        <f t="shared" si="160"/>
        <v>0.97311898315872036</v>
      </c>
      <c r="T234" s="4">
        <f t="shared" ref="T234:AI241" si="161">$N234+($M234-$N234)*((1/(1+EXP(-$P234*(T$9-$L234)))^$O234))</f>
        <v>0.96177484161592774</v>
      </c>
      <c r="U234" s="4">
        <f t="shared" si="161"/>
        <v>0.94584787155511363</v>
      </c>
      <c r="V234" s="4">
        <f t="shared" si="161"/>
        <v>0.92370360150141495</v>
      </c>
      <c r="W234" s="4">
        <f t="shared" si="161"/>
        <v>0.89334463567658451</v>
      </c>
      <c r="X234" s="4">
        <f t="shared" si="161"/>
        <v>0.85254543874327005</v>
      </c>
      <c r="Y234" s="4">
        <f t="shared" si="161"/>
        <v>0.79921300652623883</v>
      </c>
      <c r="Z234" s="4">
        <f t="shared" si="161"/>
        <v>0.73204982249993378</v>
      </c>
      <c r="AA234" s="4">
        <f t="shared" si="161"/>
        <v>0.65145592958786691</v>
      </c>
      <c r="AB234" s="4">
        <f t="shared" si="161"/>
        <v>0.56032247880849573</v>
      </c>
      <c r="AC234" s="4">
        <f t="shared" si="161"/>
        <v>0.46411326873185343</v>
      </c>
      <c r="AD234" s="4">
        <f t="shared" si="161"/>
        <v>0.36979727595523937</v>
      </c>
      <c r="AE234" s="4">
        <f t="shared" si="161"/>
        <v>0.28393948637231203</v>
      </c>
      <c r="AF234" s="4">
        <f t="shared" si="161"/>
        <v>0.21097259161117732</v>
      </c>
      <c r="AG234" s="4">
        <f t="shared" si="161"/>
        <v>0.15253917653798199</v>
      </c>
      <c r="AH234" s="4">
        <f t="shared" si="161"/>
        <v>0.10795188737709993</v>
      </c>
      <c r="AI234" s="4">
        <f t="shared" si="161"/>
        <v>7.5176653938091809E-2</v>
      </c>
      <c r="AJ234" s="4">
        <f t="shared" ref="AJ234:AR241" si="162">$N234+($M234-$N234)*((1/(1+EXP(-$P234*(AJ$9-$L234)))^$O234))</f>
        <v>5.1742836177502194E-2</v>
      </c>
      <c r="AK234" s="4">
        <f t="shared" si="162"/>
        <v>3.5319190625345942E-2</v>
      </c>
      <c r="AL234" s="4">
        <f t="shared" si="162"/>
        <v>2.3969442072658165E-2</v>
      </c>
      <c r="AM234" s="4">
        <f t="shared" si="162"/>
        <v>1.6202243558389728E-2</v>
      </c>
      <c r="AN234" s="4">
        <f t="shared" si="162"/>
        <v>1.0922240564108399E-2</v>
      </c>
      <c r="AO234" s="4">
        <f t="shared" si="162"/>
        <v>7.3493212906090566E-3</v>
      </c>
      <c r="AP234" s="4">
        <f t="shared" si="162"/>
        <v>4.9390262185057265E-3</v>
      </c>
      <c r="AQ234" s="4">
        <f t="shared" si="162"/>
        <v>3.3164275492956197E-3</v>
      </c>
      <c r="AR234" s="4">
        <f t="shared" si="162"/>
        <v>2.2256362146679809E-3</v>
      </c>
    </row>
    <row r="235" spans="1:44" x14ac:dyDescent="0.3">
      <c r="A235" s="24" t="s">
        <v>206</v>
      </c>
      <c r="B235" s="45">
        <f>'Parameter Input'!L85</f>
        <v>1.6552039024390244</v>
      </c>
      <c r="C235" s="46">
        <f>'Parameter Input'!M85</f>
        <v>5.7932136585365859</v>
      </c>
      <c r="D235" s="1"/>
      <c r="L235" s="54">
        <f>'Parameter Input'!O85</f>
        <v>17</v>
      </c>
      <c r="M235" s="37">
        <v>0</v>
      </c>
      <c r="N235" s="37">
        <v>1</v>
      </c>
      <c r="O235" s="37">
        <f>'Parameter Input'!P85</f>
        <v>0.9</v>
      </c>
      <c r="P235" s="55">
        <f>'Parameter Input'!Q85</f>
        <v>0.4</v>
      </c>
      <c r="Q235" s="4">
        <f t="shared" ref="Q235:AR235" si="163">$N235+($M235-$N235)*((1/(1+EXP(-$P235*(Q$9-$L235)))^$O235))</f>
        <v>0.99780374543478534</v>
      </c>
      <c r="R235" s="4">
        <f t="shared" si="163"/>
        <v>0.99685359315256394</v>
      </c>
      <c r="S235" s="4">
        <f t="shared" si="163"/>
        <v>0.99549347132349975</v>
      </c>
      <c r="T235" s="4">
        <f t="shared" si="163"/>
        <v>0.99354772139898062</v>
      </c>
      <c r="U235" s="4">
        <f t="shared" si="163"/>
        <v>0.99076681540580536</v>
      </c>
      <c r="V235" s="4">
        <f t="shared" si="163"/>
        <v>0.9867978615748374</v>
      </c>
      <c r="W235" s="4">
        <f t="shared" si="163"/>
        <v>0.98114509762858249</v>
      </c>
      <c r="X235" s="4">
        <f t="shared" si="163"/>
        <v>0.97311898315872036</v>
      </c>
      <c r="Y235" s="4">
        <f t="shared" si="163"/>
        <v>0.96177484161592774</v>
      </c>
      <c r="Z235" s="4">
        <f t="shared" si="163"/>
        <v>0.94584787155511363</v>
      </c>
      <c r="AA235" s="4">
        <f t="shared" si="163"/>
        <v>0.92370360150141495</v>
      </c>
      <c r="AB235" s="4">
        <f t="shared" si="163"/>
        <v>0.89334463567658451</v>
      </c>
      <c r="AC235" s="4">
        <f t="shared" si="163"/>
        <v>0.85254543874327005</v>
      </c>
      <c r="AD235" s="4">
        <f t="shared" si="163"/>
        <v>0.79921300652623883</v>
      </c>
      <c r="AE235" s="4">
        <f t="shared" si="163"/>
        <v>0.73204982249993378</v>
      </c>
      <c r="AF235" s="4">
        <f t="shared" si="163"/>
        <v>0.65145592958786691</v>
      </c>
      <c r="AG235" s="4">
        <f t="shared" si="163"/>
        <v>0.56032247880849573</v>
      </c>
      <c r="AH235" s="4">
        <f t="shared" si="163"/>
        <v>0.46411326873185343</v>
      </c>
      <c r="AI235" s="4">
        <f t="shared" si="163"/>
        <v>0.36979727595523937</v>
      </c>
      <c r="AJ235" s="4">
        <f t="shared" si="163"/>
        <v>0.28393948637231203</v>
      </c>
      <c r="AK235" s="4">
        <f t="shared" si="163"/>
        <v>0.21097259161117732</v>
      </c>
      <c r="AL235" s="4">
        <f t="shared" si="163"/>
        <v>0.15253917653798199</v>
      </c>
      <c r="AM235" s="4">
        <f t="shared" si="163"/>
        <v>0.10795188737709993</v>
      </c>
      <c r="AN235" s="4">
        <f t="shared" si="163"/>
        <v>7.5176653938091809E-2</v>
      </c>
      <c r="AO235" s="4">
        <f t="shared" si="163"/>
        <v>5.1742836177502194E-2</v>
      </c>
      <c r="AP235" s="4">
        <f t="shared" si="163"/>
        <v>3.5319190625345942E-2</v>
      </c>
      <c r="AQ235" s="4">
        <f t="shared" si="163"/>
        <v>2.3969442072658165E-2</v>
      </c>
      <c r="AR235" s="4">
        <f t="shared" si="163"/>
        <v>1.6202243558389728E-2</v>
      </c>
    </row>
    <row r="236" spans="1:44" x14ac:dyDescent="0.3">
      <c r="A236" s="24" t="s">
        <v>41</v>
      </c>
      <c r="B236" s="43">
        <f>'Parameter Input'!$L$79</f>
        <v>20</v>
      </c>
      <c r="C236" s="44">
        <f>'Parameter Input'!$M$79</f>
        <v>20</v>
      </c>
      <c r="D236" s="1" t="s">
        <v>42</v>
      </c>
      <c r="L236" s="54">
        <f>'Parameter Input'!$O$79</f>
        <v>12</v>
      </c>
      <c r="M236" s="37">
        <v>0</v>
      </c>
      <c r="N236" s="37">
        <v>1</v>
      </c>
      <c r="O236" s="37">
        <f>'Parameter Input'!$P$79</f>
        <v>0.9</v>
      </c>
      <c r="P236" s="55">
        <f>'Parameter Input'!$Q$79</f>
        <v>0.4</v>
      </c>
      <c r="Q236" s="4">
        <f t="shared" ref="Q236:AF241" si="164">$N236+($M236-$N236)*((1/(1+EXP(-$P236*(Q$9-$L236)))^$O236))</f>
        <v>0.9867978615748374</v>
      </c>
      <c r="R236" s="4">
        <f t="shared" si="164"/>
        <v>0.98114509762858249</v>
      </c>
      <c r="S236" s="4">
        <f t="shared" si="164"/>
        <v>0.97311898315872036</v>
      </c>
      <c r="T236" s="4">
        <f t="shared" si="164"/>
        <v>0.96177484161592774</v>
      </c>
      <c r="U236" s="4">
        <f t="shared" si="164"/>
        <v>0.94584787155511363</v>
      </c>
      <c r="V236" s="4">
        <f t="shared" si="164"/>
        <v>0.92370360150141495</v>
      </c>
      <c r="W236" s="4">
        <f t="shared" si="164"/>
        <v>0.89334463567658451</v>
      </c>
      <c r="X236" s="4">
        <f t="shared" si="164"/>
        <v>0.85254543874327005</v>
      </c>
      <c r="Y236" s="4">
        <f t="shared" si="164"/>
        <v>0.79921300652623883</v>
      </c>
      <c r="Z236" s="4">
        <f t="shared" si="164"/>
        <v>0.73204982249993378</v>
      </c>
      <c r="AA236" s="4">
        <f t="shared" si="164"/>
        <v>0.65145592958786691</v>
      </c>
      <c r="AB236" s="4">
        <f t="shared" si="164"/>
        <v>0.56032247880849573</v>
      </c>
      <c r="AC236" s="4">
        <f t="shared" si="164"/>
        <v>0.46411326873185343</v>
      </c>
      <c r="AD236" s="4">
        <f t="shared" si="164"/>
        <v>0.36979727595523937</v>
      </c>
      <c r="AE236" s="4">
        <f t="shared" si="164"/>
        <v>0.28393948637231203</v>
      </c>
      <c r="AF236" s="4">
        <f t="shared" si="164"/>
        <v>0.21097259161117732</v>
      </c>
      <c r="AG236" s="4">
        <f t="shared" si="161"/>
        <v>0.15253917653798199</v>
      </c>
      <c r="AH236" s="4">
        <f t="shared" si="161"/>
        <v>0.10795188737709993</v>
      </c>
      <c r="AI236" s="4">
        <f t="shared" si="161"/>
        <v>7.5176653938091809E-2</v>
      </c>
      <c r="AJ236" s="4">
        <f t="shared" si="162"/>
        <v>5.1742836177502194E-2</v>
      </c>
      <c r="AK236" s="4">
        <f t="shared" si="162"/>
        <v>3.5319190625345942E-2</v>
      </c>
      <c r="AL236" s="4">
        <f t="shared" si="162"/>
        <v>2.3969442072658165E-2</v>
      </c>
      <c r="AM236" s="4">
        <f t="shared" si="162"/>
        <v>1.6202243558389728E-2</v>
      </c>
      <c r="AN236" s="4">
        <f t="shared" si="162"/>
        <v>1.0922240564108399E-2</v>
      </c>
      <c r="AO236" s="4">
        <f t="shared" si="162"/>
        <v>7.3493212906090566E-3</v>
      </c>
      <c r="AP236" s="4">
        <f t="shared" si="162"/>
        <v>4.9390262185057265E-3</v>
      </c>
      <c r="AQ236" s="4">
        <f t="shared" si="162"/>
        <v>3.3164275492956197E-3</v>
      </c>
      <c r="AR236" s="4">
        <f t="shared" si="162"/>
        <v>2.2256362146679809E-3</v>
      </c>
    </row>
    <row r="237" spans="1:44" x14ac:dyDescent="0.3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64"/>
        <v>0.9867978615748374</v>
      </c>
      <c r="R237" s="4">
        <f t="shared" si="164"/>
        <v>0.98114509762858249</v>
      </c>
      <c r="S237" s="4">
        <f t="shared" si="164"/>
        <v>0.97311898315872036</v>
      </c>
      <c r="T237" s="4">
        <f t="shared" si="164"/>
        <v>0.96177484161592774</v>
      </c>
      <c r="U237" s="4">
        <f t="shared" si="164"/>
        <v>0.94584787155511363</v>
      </c>
      <c r="V237" s="4">
        <f t="shared" si="164"/>
        <v>0.92370360150141495</v>
      </c>
      <c r="W237" s="4">
        <f t="shared" si="164"/>
        <v>0.89334463567658451</v>
      </c>
      <c r="X237" s="4">
        <f t="shared" si="164"/>
        <v>0.85254543874327005</v>
      </c>
      <c r="Y237" s="4">
        <f t="shared" si="164"/>
        <v>0.79921300652623883</v>
      </c>
      <c r="Z237" s="4">
        <f t="shared" si="164"/>
        <v>0.73204982249993378</v>
      </c>
      <c r="AA237" s="4">
        <f t="shared" si="164"/>
        <v>0.65145592958786691</v>
      </c>
      <c r="AB237" s="4">
        <f t="shared" si="164"/>
        <v>0.56032247880849573</v>
      </c>
      <c r="AC237" s="4">
        <f t="shared" si="164"/>
        <v>0.46411326873185343</v>
      </c>
      <c r="AD237" s="4">
        <f t="shared" si="164"/>
        <v>0.36979727595523937</v>
      </c>
      <c r="AE237" s="4">
        <f t="shared" si="164"/>
        <v>0.28393948637231203</v>
      </c>
      <c r="AF237" s="4">
        <f t="shared" si="164"/>
        <v>0.21097259161117732</v>
      </c>
      <c r="AG237" s="4">
        <f t="shared" si="161"/>
        <v>0.15253917653798199</v>
      </c>
      <c r="AH237" s="4">
        <f t="shared" si="161"/>
        <v>0.10795188737709993</v>
      </c>
      <c r="AI237" s="4">
        <f t="shared" si="161"/>
        <v>7.5176653938091809E-2</v>
      </c>
      <c r="AJ237" s="4">
        <f t="shared" si="162"/>
        <v>5.1742836177502194E-2</v>
      </c>
      <c r="AK237" s="4">
        <f t="shared" si="162"/>
        <v>3.5319190625345942E-2</v>
      </c>
      <c r="AL237" s="4">
        <f t="shared" si="162"/>
        <v>2.3969442072658165E-2</v>
      </c>
      <c r="AM237" s="4">
        <f t="shared" si="162"/>
        <v>1.6202243558389728E-2</v>
      </c>
      <c r="AN237" s="4">
        <f t="shared" si="162"/>
        <v>1.0922240564108399E-2</v>
      </c>
      <c r="AO237" s="4">
        <f t="shared" si="162"/>
        <v>7.3493212906090566E-3</v>
      </c>
      <c r="AP237" s="4">
        <f t="shared" si="162"/>
        <v>4.9390262185057265E-3</v>
      </c>
      <c r="AQ237" s="4">
        <f t="shared" si="162"/>
        <v>3.3164275492956197E-3</v>
      </c>
      <c r="AR237" s="4">
        <f t="shared" si="162"/>
        <v>2.2256362146679809E-3</v>
      </c>
    </row>
    <row r="238" spans="1:44" x14ac:dyDescent="0.3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64"/>
        <v>0.9867978615748374</v>
      </c>
      <c r="R238" s="4">
        <f t="shared" si="164"/>
        <v>0.98114509762858249</v>
      </c>
      <c r="S238" s="4">
        <f t="shared" si="164"/>
        <v>0.97311898315872036</v>
      </c>
      <c r="T238" s="4">
        <f t="shared" si="164"/>
        <v>0.96177484161592774</v>
      </c>
      <c r="U238" s="4">
        <f t="shared" si="164"/>
        <v>0.94584787155511363</v>
      </c>
      <c r="V238" s="4">
        <f t="shared" si="164"/>
        <v>0.92370360150141495</v>
      </c>
      <c r="W238" s="4">
        <f t="shared" si="164"/>
        <v>0.89334463567658451</v>
      </c>
      <c r="X238" s="4">
        <f t="shared" si="164"/>
        <v>0.85254543874327005</v>
      </c>
      <c r="Y238" s="4">
        <f t="shared" si="164"/>
        <v>0.79921300652623883</v>
      </c>
      <c r="Z238" s="4">
        <f t="shared" si="164"/>
        <v>0.73204982249993378</v>
      </c>
      <c r="AA238" s="4">
        <f t="shared" si="164"/>
        <v>0.65145592958786691</v>
      </c>
      <c r="AB238" s="4">
        <f t="shared" si="164"/>
        <v>0.56032247880849573</v>
      </c>
      <c r="AC238" s="4">
        <f t="shared" si="164"/>
        <v>0.46411326873185343</v>
      </c>
      <c r="AD238" s="4">
        <f t="shared" si="164"/>
        <v>0.36979727595523937</v>
      </c>
      <c r="AE238" s="4">
        <f t="shared" si="164"/>
        <v>0.28393948637231203</v>
      </c>
      <c r="AF238" s="4">
        <f t="shared" si="164"/>
        <v>0.21097259161117732</v>
      </c>
      <c r="AG238" s="4">
        <f t="shared" si="161"/>
        <v>0.15253917653798199</v>
      </c>
      <c r="AH238" s="4">
        <f t="shared" si="161"/>
        <v>0.10795188737709993</v>
      </c>
      <c r="AI238" s="4">
        <f t="shared" si="161"/>
        <v>7.5176653938091809E-2</v>
      </c>
      <c r="AJ238" s="4">
        <f t="shared" si="162"/>
        <v>5.1742836177502194E-2</v>
      </c>
      <c r="AK238" s="4">
        <f t="shared" si="162"/>
        <v>3.5319190625345942E-2</v>
      </c>
      <c r="AL238" s="4">
        <f t="shared" si="162"/>
        <v>2.3969442072658165E-2</v>
      </c>
      <c r="AM238" s="4">
        <f t="shared" si="162"/>
        <v>1.6202243558389728E-2</v>
      </c>
      <c r="AN238" s="4">
        <f t="shared" si="162"/>
        <v>1.0922240564108399E-2</v>
      </c>
      <c r="AO238" s="4">
        <f t="shared" si="162"/>
        <v>7.3493212906090566E-3</v>
      </c>
      <c r="AP238" s="4">
        <f t="shared" si="162"/>
        <v>4.9390262185057265E-3</v>
      </c>
      <c r="AQ238" s="4">
        <f t="shared" si="162"/>
        <v>3.3164275492956197E-3</v>
      </c>
      <c r="AR238" s="4">
        <f t="shared" si="162"/>
        <v>2.2256362146679809E-3</v>
      </c>
    </row>
    <row r="239" spans="1:44" x14ac:dyDescent="0.3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64"/>
        <v>0.9867978615748374</v>
      </c>
      <c r="R239" s="4">
        <f t="shared" si="164"/>
        <v>0.98114509762858249</v>
      </c>
      <c r="S239" s="4">
        <f t="shared" si="164"/>
        <v>0.97311898315872036</v>
      </c>
      <c r="T239" s="4">
        <f t="shared" si="164"/>
        <v>0.96177484161592774</v>
      </c>
      <c r="U239" s="4">
        <f t="shared" si="164"/>
        <v>0.94584787155511363</v>
      </c>
      <c r="V239" s="4">
        <f t="shared" si="164"/>
        <v>0.92370360150141495</v>
      </c>
      <c r="W239" s="4">
        <f t="shared" si="164"/>
        <v>0.89334463567658451</v>
      </c>
      <c r="X239" s="4">
        <f t="shared" si="164"/>
        <v>0.85254543874327005</v>
      </c>
      <c r="Y239" s="4">
        <f t="shared" si="164"/>
        <v>0.79921300652623883</v>
      </c>
      <c r="Z239" s="4">
        <f t="shared" si="164"/>
        <v>0.73204982249993378</v>
      </c>
      <c r="AA239" s="4">
        <f t="shared" si="164"/>
        <v>0.65145592958786691</v>
      </c>
      <c r="AB239" s="4">
        <f t="shared" si="164"/>
        <v>0.56032247880849573</v>
      </c>
      <c r="AC239" s="4">
        <f t="shared" si="164"/>
        <v>0.46411326873185343</v>
      </c>
      <c r="AD239" s="4">
        <f t="shared" si="164"/>
        <v>0.36979727595523937</v>
      </c>
      <c r="AE239" s="4">
        <f t="shared" si="164"/>
        <v>0.28393948637231203</v>
      </c>
      <c r="AF239" s="4">
        <f t="shared" si="164"/>
        <v>0.21097259161117732</v>
      </c>
      <c r="AG239" s="4">
        <f t="shared" si="161"/>
        <v>0.15253917653798199</v>
      </c>
      <c r="AH239" s="4">
        <f t="shared" si="161"/>
        <v>0.10795188737709993</v>
      </c>
      <c r="AI239" s="4">
        <f t="shared" si="161"/>
        <v>7.5176653938091809E-2</v>
      </c>
      <c r="AJ239" s="4">
        <f t="shared" si="162"/>
        <v>5.1742836177502194E-2</v>
      </c>
      <c r="AK239" s="4">
        <f t="shared" si="162"/>
        <v>3.5319190625345942E-2</v>
      </c>
      <c r="AL239" s="4">
        <f t="shared" si="162"/>
        <v>2.3969442072658165E-2</v>
      </c>
      <c r="AM239" s="4">
        <f t="shared" si="162"/>
        <v>1.6202243558389728E-2</v>
      </c>
      <c r="AN239" s="4">
        <f t="shared" si="162"/>
        <v>1.0922240564108399E-2</v>
      </c>
      <c r="AO239" s="4">
        <f t="shared" si="162"/>
        <v>7.3493212906090566E-3</v>
      </c>
      <c r="AP239" s="4">
        <f t="shared" si="162"/>
        <v>4.9390262185057265E-3</v>
      </c>
      <c r="AQ239" s="4">
        <f t="shared" si="162"/>
        <v>3.3164275492956197E-3</v>
      </c>
      <c r="AR239" s="4">
        <f t="shared" si="162"/>
        <v>2.2256362146679809E-3</v>
      </c>
    </row>
    <row r="240" spans="1:44" x14ac:dyDescent="0.3">
      <c r="A240" s="24" t="s">
        <v>73</v>
      </c>
      <c r="B240" s="72">
        <f>'Parameter Input'!$L$83</f>
        <v>0</v>
      </c>
      <c r="C240" s="73">
        <f>'Parameter Input'!$M$83</f>
        <v>0</v>
      </c>
      <c r="D240" s="1" t="s">
        <v>57</v>
      </c>
      <c r="L240" s="54">
        <f>'Parameter Input'!$O$83</f>
        <v>12</v>
      </c>
      <c r="M240" s="37">
        <v>0</v>
      </c>
      <c r="N240" s="37">
        <v>1</v>
      </c>
      <c r="O240" s="37">
        <f>'Parameter Input'!$P$83</f>
        <v>0.9</v>
      </c>
      <c r="P240" s="55">
        <f>'Parameter Input'!$Q$83</f>
        <v>0.4</v>
      </c>
      <c r="Q240" s="4">
        <f t="shared" si="164"/>
        <v>0.9867978615748374</v>
      </c>
      <c r="R240" s="4">
        <f t="shared" si="164"/>
        <v>0.98114509762858249</v>
      </c>
      <c r="S240" s="4">
        <f t="shared" si="164"/>
        <v>0.97311898315872036</v>
      </c>
      <c r="T240" s="4">
        <f t="shared" si="164"/>
        <v>0.96177484161592774</v>
      </c>
      <c r="U240" s="4">
        <f t="shared" si="164"/>
        <v>0.94584787155511363</v>
      </c>
      <c r="V240" s="4">
        <f t="shared" si="164"/>
        <v>0.92370360150141495</v>
      </c>
      <c r="W240" s="4">
        <f t="shared" si="164"/>
        <v>0.89334463567658451</v>
      </c>
      <c r="X240" s="4">
        <f t="shared" si="164"/>
        <v>0.85254543874327005</v>
      </c>
      <c r="Y240" s="4">
        <f t="shared" si="164"/>
        <v>0.79921300652623883</v>
      </c>
      <c r="Z240" s="4">
        <f t="shared" si="164"/>
        <v>0.73204982249993378</v>
      </c>
      <c r="AA240" s="4">
        <f t="shared" si="164"/>
        <v>0.65145592958786691</v>
      </c>
      <c r="AB240" s="4">
        <f t="shared" si="164"/>
        <v>0.56032247880849573</v>
      </c>
      <c r="AC240" s="4">
        <f t="shared" si="164"/>
        <v>0.46411326873185343</v>
      </c>
      <c r="AD240" s="4">
        <f t="shared" si="164"/>
        <v>0.36979727595523937</v>
      </c>
      <c r="AE240" s="4">
        <f t="shared" si="164"/>
        <v>0.28393948637231203</v>
      </c>
      <c r="AF240" s="4">
        <f t="shared" si="164"/>
        <v>0.21097259161117732</v>
      </c>
      <c r="AG240" s="4">
        <f t="shared" si="161"/>
        <v>0.15253917653798199</v>
      </c>
      <c r="AH240" s="4">
        <f t="shared" si="161"/>
        <v>0.10795188737709993</v>
      </c>
      <c r="AI240" s="4">
        <f t="shared" si="161"/>
        <v>7.5176653938091809E-2</v>
      </c>
      <c r="AJ240" s="4">
        <f t="shared" si="162"/>
        <v>5.1742836177502194E-2</v>
      </c>
      <c r="AK240" s="4">
        <f t="shared" si="162"/>
        <v>3.5319190625345942E-2</v>
      </c>
      <c r="AL240" s="4">
        <f t="shared" si="162"/>
        <v>2.3969442072658165E-2</v>
      </c>
      <c r="AM240" s="4">
        <f t="shared" si="162"/>
        <v>1.6202243558389728E-2</v>
      </c>
      <c r="AN240" s="4">
        <f t="shared" si="162"/>
        <v>1.0922240564108399E-2</v>
      </c>
      <c r="AO240" s="4">
        <f t="shared" si="162"/>
        <v>7.3493212906090566E-3</v>
      </c>
      <c r="AP240" s="4">
        <f t="shared" si="162"/>
        <v>4.9390262185057265E-3</v>
      </c>
      <c r="AQ240" s="4">
        <f t="shared" si="162"/>
        <v>3.3164275492956197E-3</v>
      </c>
      <c r="AR240" s="4">
        <f t="shared" si="162"/>
        <v>2.2256362146679809E-3</v>
      </c>
    </row>
    <row r="241" spans="1:44" ht="15" thickBot="1" x14ac:dyDescent="0.35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64"/>
        <v>0.9867978615748374</v>
      </c>
      <c r="R241" s="4">
        <f t="shared" si="164"/>
        <v>0.98114509762858249</v>
      </c>
      <c r="S241" s="4">
        <f t="shared" si="164"/>
        <v>0.97311898315872036</v>
      </c>
      <c r="T241" s="4">
        <f t="shared" si="164"/>
        <v>0.96177484161592774</v>
      </c>
      <c r="U241" s="4">
        <f t="shared" si="164"/>
        <v>0.94584787155511363</v>
      </c>
      <c r="V241" s="4">
        <f t="shared" si="164"/>
        <v>0.92370360150141495</v>
      </c>
      <c r="W241" s="4">
        <f t="shared" si="164"/>
        <v>0.89334463567658451</v>
      </c>
      <c r="X241" s="4">
        <f t="shared" si="164"/>
        <v>0.85254543874327005</v>
      </c>
      <c r="Y241" s="4">
        <f t="shared" si="164"/>
        <v>0.79921300652623883</v>
      </c>
      <c r="Z241" s="4">
        <f t="shared" si="164"/>
        <v>0.73204982249993378</v>
      </c>
      <c r="AA241" s="4">
        <f t="shared" si="164"/>
        <v>0.65145592958786691</v>
      </c>
      <c r="AB241" s="4">
        <f t="shared" si="164"/>
        <v>0.56032247880849573</v>
      </c>
      <c r="AC241" s="4">
        <f t="shared" si="164"/>
        <v>0.46411326873185343</v>
      </c>
      <c r="AD241" s="4">
        <f t="shared" si="164"/>
        <v>0.36979727595523937</v>
      </c>
      <c r="AE241" s="4">
        <f t="shared" si="164"/>
        <v>0.28393948637231203</v>
      </c>
      <c r="AF241" s="4">
        <f t="shared" si="164"/>
        <v>0.21097259161117732</v>
      </c>
      <c r="AG241" s="4">
        <f t="shared" si="161"/>
        <v>0.15253917653798199</v>
      </c>
      <c r="AH241" s="4">
        <f t="shared" si="161"/>
        <v>0.10795188737709993</v>
      </c>
      <c r="AI241" s="4">
        <f t="shared" si="161"/>
        <v>7.5176653938091809E-2</v>
      </c>
      <c r="AJ241" s="4">
        <f t="shared" si="162"/>
        <v>5.1742836177502194E-2</v>
      </c>
      <c r="AK241" s="4">
        <f t="shared" si="162"/>
        <v>3.5319190625345942E-2</v>
      </c>
      <c r="AL241" s="4">
        <f t="shared" si="162"/>
        <v>2.3969442072658165E-2</v>
      </c>
      <c r="AM241" s="4">
        <f t="shared" si="162"/>
        <v>1.6202243558389728E-2</v>
      </c>
      <c r="AN241" s="4">
        <f t="shared" si="162"/>
        <v>1.0922240564108399E-2</v>
      </c>
      <c r="AO241" s="4">
        <f t="shared" si="162"/>
        <v>7.3493212906090566E-3</v>
      </c>
      <c r="AP241" s="4">
        <f t="shared" si="162"/>
        <v>4.9390262185057265E-3</v>
      </c>
      <c r="AQ241" s="4">
        <f t="shared" si="162"/>
        <v>3.3164275492956197E-3</v>
      </c>
      <c r="AR241" s="4">
        <f t="shared" si="162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9" si="165">A225</f>
        <v>Capex vehicle</v>
      </c>
      <c r="B245" s="62">
        <f t="shared" ref="B245:B254" si="166">$B225+($C225-$B225)*(1-Q225)</f>
        <v>3500000</v>
      </c>
      <c r="C245" s="62">
        <f t="shared" ref="C245:C254" si="167">$B225+($C225-$B225)*(1-R225)</f>
        <v>3500000</v>
      </c>
      <c r="D245" s="62">
        <f t="shared" ref="D245:D254" si="168">$B225+($C225-$B225)*(1-S225)</f>
        <v>3500000</v>
      </c>
      <c r="E245" s="62">
        <f t="shared" ref="E245:E254" si="169">$B225+($C225-$B225)*(1-T225)</f>
        <v>3500000</v>
      </c>
      <c r="F245" s="62">
        <f t="shared" ref="F245:F254" si="170">$B225+($C225-$B225)*(1-U225)</f>
        <v>3500000</v>
      </c>
      <c r="G245" s="62">
        <f t="shared" ref="G245:G254" si="171">$B225+($C225-$B225)*(1-V225)</f>
        <v>3500000</v>
      </c>
      <c r="H245" s="62">
        <f t="shared" ref="H245:H254" si="172">$B225+($C225-$B225)*(1-W225)</f>
        <v>3500000</v>
      </c>
      <c r="I245" s="62">
        <f t="shared" ref="I245:I254" si="173">$B225+($C225-$B225)*(1-X225)</f>
        <v>3500000</v>
      </c>
      <c r="J245" s="62">
        <f t="shared" ref="J245:J254" si="174">$B225+($C225-$B225)*(1-Y225)</f>
        <v>3500000</v>
      </c>
      <c r="K245" s="62">
        <f t="shared" ref="K245:K254" si="175">$B225+($C225-$B225)*(1-Z225)</f>
        <v>3500000</v>
      </c>
      <c r="L245" s="62">
        <f t="shared" ref="L245:L254" si="176">$B225+($C225-$B225)*(1-AA225)</f>
        <v>3500000</v>
      </c>
      <c r="M245" s="62">
        <f t="shared" ref="M245:M254" si="177">$B225+($C225-$B225)*(1-AB225)</f>
        <v>3500000</v>
      </c>
      <c r="N245" s="62">
        <f t="shared" ref="N245:N254" si="178">$B225+($C225-$B225)*(1-AC225)</f>
        <v>3500000</v>
      </c>
      <c r="O245" s="62">
        <f t="shared" ref="O245:O254" si="179">$B225+($C225-$B225)*(1-AD225)</f>
        <v>3500000</v>
      </c>
      <c r="P245" s="62">
        <f t="shared" ref="P245:P254" si="180">$B225+($C225-$B225)*(1-AE225)</f>
        <v>3500000</v>
      </c>
      <c r="Q245" s="62">
        <f t="shared" ref="Q245:Q254" si="181">$B225+($C225-$B225)*(1-AF225)</f>
        <v>3500000</v>
      </c>
      <c r="R245" s="62">
        <f t="shared" ref="R245:R254" si="182">$B225+($C225-$B225)*(1-AG225)</f>
        <v>3500000</v>
      </c>
      <c r="S245" s="62">
        <f t="shared" ref="S245:S254" si="183">$B225+($C225-$B225)*(1-AH225)</f>
        <v>3500000</v>
      </c>
      <c r="T245" s="62">
        <f t="shared" ref="T245:T254" si="184">$B225+($C225-$B225)*(1-AI225)</f>
        <v>3500000</v>
      </c>
      <c r="U245" s="62">
        <f t="shared" ref="U245:U254" si="185">$B225+($C225-$B225)*(1-AJ225)</f>
        <v>3500000</v>
      </c>
      <c r="V245" s="62">
        <f t="shared" ref="V245:V254" si="186">$B225+($C225-$B225)*(1-AK225)</f>
        <v>3500000</v>
      </c>
      <c r="W245" s="62">
        <f t="shared" ref="W245:W254" si="187">$B225+($C225-$B225)*(1-AL225)</f>
        <v>3500000</v>
      </c>
      <c r="X245" s="62">
        <f t="shared" ref="X245:X254" si="188">$B225+($C225-$B225)*(1-AM225)</f>
        <v>3500000</v>
      </c>
      <c r="Y245" s="62">
        <f t="shared" ref="Y245:Y254" si="189">$B225+($C225-$B225)*(1-AN225)</f>
        <v>3500000</v>
      </c>
      <c r="Z245" s="62">
        <f t="shared" ref="Z245:Z254" si="190">$B225+($C225-$B225)*(1-AO225)</f>
        <v>3500000</v>
      </c>
      <c r="AA245" s="62">
        <f t="shared" ref="AA245:AA254" si="191">$B225+($C225-$B225)*(1-AP225)</f>
        <v>3500000</v>
      </c>
      <c r="AB245" s="62">
        <f t="shared" ref="AB245:AB254" si="192">$B225+($C225-$B225)*(1-AQ225)</f>
        <v>3500000</v>
      </c>
      <c r="AC245" s="62">
        <f t="shared" ref="AC245:AC254" si="193">$B225+($C225-$B225)*(1-AR225)</f>
        <v>3500000</v>
      </c>
    </row>
    <row r="246" spans="1:44" x14ac:dyDescent="0.3">
      <c r="A246" s="30" t="str">
        <f t="shared" si="165"/>
        <v>Residual value (vehicle)</v>
      </c>
      <c r="B246" s="62">
        <f t="shared" si="166"/>
        <v>-520379.25155119307</v>
      </c>
      <c r="C246" s="62">
        <f t="shared" si="167"/>
        <v>-518400.78417000384</v>
      </c>
      <c r="D246" s="62">
        <f t="shared" si="168"/>
        <v>-515591.64410555211</v>
      </c>
      <c r="E246" s="62">
        <f t="shared" si="169"/>
        <v>-511621.1945655747</v>
      </c>
      <c r="F246" s="62">
        <f t="shared" si="170"/>
        <v>-506046.75504428975</v>
      </c>
      <c r="G246" s="62">
        <f t="shared" si="171"/>
        <v>-498296.26052549522</v>
      </c>
      <c r="H246" s="62">
        <f t="shared" si="172"/>
        <v>-487670.62248680455</v>
      </c>
      <c r="I246" s="62">
        <f t="shared" si="173"/>
        <v>-473390.90356014454</v>
      </c>
      <c r="J246" s="62">
        <f t="shared" si="174"/>
        <v>-454724.55228418356</v>
      </c>
      <c r="K246" s="62">
        <f t="shared" si="175"/>
        <v>-431217.43787497684</v>
      </c>
      <c r="L246" s="62">
        <f t="shared" si="176"/>
        <v>-403009.57535575342</v>
      </c>
      <c r="M246" s="62">
        <f t="shared" si="177"/>
        <v>-371112.8675829735</v>
      </c>
      <c r="N246" s="62">
        <f t="shared" si="178"/>
        <v>-337439.64405614871</v>
      </c>
      <c r="O246" s="62">
        <f t="shared" si="179"/>
        <v>-304429.04658433376</v>
      </c>
      <c r="P246" s="62">
        <f t="shared" si="180"/>
        <v>-274378.82023030921</v>
      </c>
      <c r="Q246" s="62">
        <f t="shared" si="181"/>
        <v>-248840.40706391208</v>
      </c>
      <c r="R246" s="62">
        <f t="shared" si="182"/>
        <v>-228388.71178829367</v>
      </c>
      <c r="S246" s="62">
        <f t="shared" si="183"/>
        <v>-212783.16058198496</v>
      </c>
      <c r="T246" s="62">
        <f t="shared" si="184"/>
        <v>-201311.8288783321</v>
      </c>
      <c r="U246" s="62">
        <f t="shared" si="185"/>
        <v>-193109.99266212579</v>
      </c>
      <c r="V246" s="62">
        <f t="shared" si="186"/>
        <v>-187361.71671887109</v>
      </c>
      <c r="W246" s="62">
        <f t="shared" si="187"/>
        <v>-183389.30472543038</v>
      </c>
      <c r="X246" s="62">
        <f t="shared" si="188"/>
        <v>-180670.78524543642</v>
      </c>
      <c r="Y246" s="62">
        <f t="shared" si="189"/>
        <v>-178822.78419743793</v>
      </c>
      <c r="Z246" s="62">
        <f t="shared" si="190"/>
        <v>-177572.26245171315</v>
      </c>
      <c r="AA246" s="62">
        <f t="shared" si="191"/>
        <v>-176728.659176477</v>
      </c>
      <c r="AB246" s="62">
        <f t="shared" si="192"/>
        <v>-176160.74964225345</v>
      </c>
      <c r="AC246" s="62">
        <f t="shared" si="193"/>
        <v>-175778.97267513379</v>
      </c>
    </row>
    <row r="247" spans="1:44" x14ac:dyDescent="0.3">
      <c r="A247" s="30" t="str">
        <f t="shared" si="165"/>
        <v>Capex costumization</v>
      </c>
      <c r="B247" s="62">
        <f t="shared" si="166"/>
        <v>2800000</v>
      </c>
      <c r="C247" s="62">
        <f t="shared" si="167"/>
        <v>2800000</v>
      </c>
      <c r="D247" s="62">
        <f t="shared" si="168"/>
        <v>2800000</v>
      </c>
      <c r="E247" s="62">
        <f t="shared" si="169"/>
        <v>2800000</v>
      </c>
      <c r="F247" s="62">
        <f t="shared" si="170"/>
        <v>2800000</v>
      </c>
      <c r="G247" s="62">
        <f t="shared" si="171"/>
        <v>2800000</v>
      </c>
      <c r="H247" s="62">
        <f t="shared" si="172"/>
        <v>2800000</v>
      </c>
      <c r="I247" s="62">
        <f t="shared" si="173"/>
        <v>2800000</v>
      </c>
      <c r="J247" s="62">
        <f t="shared" si="174"/>
        <v>2800000</v>
      </c>
      <c r="K247" s="62">
        <f t="shared" si="175"/>
        <v>2800000</v>
      </c>
      <c r="L247" s="62">
        <f t="shared" si="176"/>
        <v>2800000</v>
      </c>
      <c r="M247" s="62">
        <f t="shared" si="177"/>
        <v>2800000</v>
      </c>
      <c r="N247" s="62">
        <f t="shared" si="178"/>
        <v>2800000</v>
      </c>
      <c r="O247" s="62">
        <f t="shared" si="179"/>
        <v>2800000</v>
      </c>
      <c r="P247" s="62">
        <f t="shared" si="180"/>
        <v>2800000</v>
      </c>
      <c r="Q247" s="62">
        <f t="shared" si="181"/>
        <v>2800000</v>
      </c>
      <c r="R247" s="62">
        <f t="shared" si="182"/>
        <v>2800000</v>
      </c>
      <c r="S247" s="62">
        <f t="shared" si="183"/>
        <v>2800000</v>
      </c>
      <c r="T247" s="62">
        <f t="shared" si="184"/>
        <v>2800000</v>
      </c>
      <c r="U247" s="62">
        <f t="shared" si="185"/>
        <v>2800000</v>
      </c>
      <c r="V247" s="62">
        <f t="shared" si="186"/>
        <v>2800000</v>
      </c>
      <c r="W247" s="62">
        <f t="shared" si="187"/>
        <v>2800000</v>
      </c>
      <c r="X247" s="62">
        <f t="shared" si="188"/>
        <v>2800000</v>
      </c>
      <c r="Y247" s="62">
        <f t="shared" si="189"/>
        <v>2800000</v>
      </c>
      <c r="Z247" s="62">
        <f t="shared" si="190"/>
        <v>2800000</v>
      </c>
      <c r="AA247" s="62">
        <f t="shared" si="191"/>
        <v>2800000</v>
      </c>
      <c r="AB247" s="62">
        <f t="shared" si="192"/>
        <v>2800000</v>
      </c>
      <c r="AC247" s="62">
        <f t="shared" si="193"/>
        <v>2800000</v>
      </c>
    </row>
    <row r="248" spans="1:44" x14ac:dyDescent="0.3">
      <c r="A248" s="30" t="str">
        <f t="shared" si="165"/>
        <v>Residual value (costumization)</v>
      </c>
      <c r="B248" s="62">
        <f t="shared" si="166"/>
        <v>-140000</v>
      </c>
      <c r="C248" s="62">
        <f t="shared" si="167"/>
        <v>-140000</v>
      </c>
      <c r="D248" s="62">
        <f t="shared" si="168"/>
        <v>-140000</v>
      </c>
      <c r="E248" s="62">
        <f t="shared" si="169"/>
        <v>-140000</v>
      </c>
      <c r="F248" s="62">
        <f t="shared" si="170"/>
        <v>-140000</v>
      </c>
      <c r="G248" s="62">
        <f t="shared" si="171"/>
        <v>-140000</v>
      </c>
      <c r="H248" s="62">
        <f t="shared" si="172"/>
        <v>-140000</v>
      </c>
      <c r="I248" s="62">
        <f t="shared" si="173"/>
        <v>-140000</v>
      </c>
      <c r="J248" s="62">
        <f t="shared" si="174"/>
        <v>-140000</v>
      </c>
      <c r="K248" s="62">
        <f t="shared" si="175"/>
        <v>-140000</v>
      </c>
      <c r="L248" s="62">
        <f t="shared" si="176"/>
        <v>-140000</v>
      </c>
      <c r="M248" s="62">
        <f t="shared" si="177"/>
        <v>-140000</v>
      </c>
      <c r="N248" s="62">
        <f t="shared" si="178"/>
        <v>-140000</v>
      </c>
      <c r="O248" s="62">
        <f t="shared" si="179"/>
        <v>-140000</v>
      </c>
      <c r="P248" s="62">
        <f t="shared" si="180"/>
        <v>-140000</v>
      </c>
      <c r="Q248" s="62">
        <f t="shared" si="181"/>
        <v>-140000</v>
      </c>
      <c r="R248" s="62">
        <f t="shared" si="182"/>
        <v>-140000</v>
      </c>
      <c r="S248" s="62">
        <f t="shared" si="183"/>
        <v>-140000</v>
      </c>
      <c r="T248" s="62">
        <f t="shared" si="184"/>
        <v>-140000</v>
      </c>
      <c r="U248" s="62">
        <f t="shared" si="185"/>
        <v>-140000</v>
      </c>
      <c r="V248" s="62">
        <f t="shared" si="186"/>
        <v>-140000</v>
      </c>
      <c r="W248" s="62">
        <f t="shared" si="187"/>
        <v>-140000</v>
      </c>
      <c r="X248" s="62">
        <f t="shared" si="188"/>
        <v>-140000</v>
      </c>
      <c r="Y248" s="62">
        <f t="shared" si="189"/>
        <v>-140000</v>
      </c>
      <c r="Z248" s="62">
        <f t="shared" si="190"/>
        <v>-140000</v>
      </c>
      <c r="AA248" s="62">
        <f t="shared" si="191"/>
        <v>-140000</v>
      </c>
      <c r="AB248" s="62">
        <f t="shared" si="192"/>
        <v>-140000</v>
      </c>
      <c r="AC248" s="62">
        <f t="shared" si="193"/>
        <v>-140000</v>
      </c>
    </row>
    <row r="249" spans="1:44" x14ac:dyDescent="0.3">
      <c r="A249" s="30" t="str">
        <f t="shared" si="165"/>
        <v>WACC</v>
      </c>
      <c r="B249" s="62">
        <f t="shared" si="166"/>
        <v>0.06</v>
      </c>
      <c r="C249" s="62">
        <f t="shared" si="167"/>
        <v>0.06</v>
      </c>
      <c r="D249" s="62">
        <f t="shared" si="168"/>
        <v>0.06</v>
      </c>
      <c r="E249" s="62">
        <f t="shared" si="169"/>
        <v>0.06</v>
      </c>
      <c r="F249" s="62">
        <f t="shared" si="170"/>
        <v>0.06</v>
      </c>
      <c r="G249" s="62">
        <f t="shared" si="171"/>
        <v>0.06</v>
      </c>
      <c r="H249" s="62">
        <f t="shared" si="172"/>
        <v>0.06</v>
      </c>
      <c r="I249" s="62">
        <f t="shared" si="173"/>
        <v>0.06</v>
      </c>
      <c r="J249" s="62">
        <f t="shared" si="174"/>
        <v>0.06</v>
      </c>
      <c r="K249" s="62">
        <f t="shared" si="175"/>
        <v>0.06</v>
      </c>
      <c r="L249" s="62">
        <f t="shared" si="176"/>
        <v>0.06</v>
      </c>
      <c r="M249" s="62">
        <f t="shared" si="177"/>
        <v>0.06</v>
      </c>
      <c r="N249" s="62">
        <f t="shared" si="178"/>
        <v>0.06</v>
      </c>
      <c r="O249" s="62">
        <f t="shared" si="179"/>
        <v>0.06</v>
      </c>
      <c r="P249" s="62">
        <f t="shared" si="180"/>
        <v>0.06</v>
      </c>
      <c r="Q249" s="62">
        <f t="shared" si="181"/>
        <v>0.06</v>
      </c>
      <c r="R249" s="62">
        <f t="shared" si="182"/>
        <v>0.06</v>
      </c>
      <c r="S249" s="62">
        <f t="shared" si="183"/>
        <v>0.06</v>
      </c>
      <c r="T249" s="62">
        <f t="shared" si="184"/>
        <v>0.06</v>
      </c>
      <c r="U249" s="62">
        <f t="shared" si="185"/>
        <v>0.06</v>
      </c>
      <c r="V249" s="62">
        <f t="shared" si="186"/>
        <v>0.06</v>
      </c>
      <c r="W249" s="62">
        <f t="shared" si="187"/>
        <v>0.06</v>
      </c>
      <c r="X249" s="62">
        <f t="shared" si="188"/>
        <v>0.06</v>
      </c>
      <c r="Y249" s="62">
        <f t="shared" si="189"/>
        <v>0.06</v>
      </c>
      <c r="Z249" s="62">
        <f t="shared" si="190"/>
        <v>0.06</v>
      </c>
      <c r="AA249" s="62">
        <f t="shared" si="191"/>
        <v>0.06</v>
      </c>
      <c r="AB249" s="62">
        <f t="shared" si="192"/>
        <v>0.06</v>
      </c>
      <c r="AC249" s="62">
        <f t="shared" si="193"/>
        <v>0.06</v>
      </c>
    </row>
    <row r="250" spans="1:44" x14ac:dyDescent="0.3">
      <c r="A250" s="30" t="str">
        <f t="shared" si="165"/>
        <v>Opex fix (admin, crew, insurance)</v>
      </c>
      <c r="B250" s="62">
        <f t="shared" si="166"/>
        <v>610000</v>
      </c>
      <c r="C250" s="62">
        <f t="shared" si="167"/>
        <v>610000</v>
      </c>
      <c r="D250" s="62">
        <f t="shared" si="168"/>
        <v>610000</v>
      </c>
      <c r="E250" s="62">
        <f t="shared" si="169"/>
        <v>610000</v>
      </c>
      <c r="F250" s="62">
        <f t="shared" si="170"/>
        <v>610000</v>
      </c>
      <c r="G250" s="62">
        <f t="shared" si="171"/>
        <v>610000</v>
      </c>
      <c r="H250" s="62">
        <f t="shared" si="172"/>
        <v>610000</v>
      </c>
      <c r="I250" s="62">
        <f t="shared" si="173"/>
        <v>610000</v>
      </c>
      <c r="J250" s="62">
        <f t="shared" si="174"/>
        <v>610000</v>
      </c>
      <c r="K250" s="62">
        <f t="shared" si="175"/>
        <v>610000</v>
      </c>
      <c r="L250" s="62">
        <f t="shared" si="176"/>
        <v>610000</v>
      </c>
      <c r="M250" s="62">
        <f t="shared" si="177"/>
        <v>610000</v>
      </c>
      <c r="N250" s="62">
        <f t="shared" si="178"/>
        <v>610000</v>
      </c>
      <c r="O250" s="62">
        <f t="shared" si="179"/>
        <v>610000</v>
      </c>
      <c r="P250" s="62">
        <f t="shared" si="180"/>
        <v>610000</v>
      </c>
      <c r="Q250" s="62">
        <f t="shared" si="181"/>
        <v>610000</v>
      </c>
      <c r="R250" s="62">
        <f t="shared" si="182"/>
        <v>610000</v>
      </c>
      <c r="S250" s="62">
        <f t="shared" si="183"/>
        <v>610000</v>
      </c>
      <c r="T250" s="62">
        <f t="shared" si="184"/>
        <v>610000</v>
      </c>
      <c r="U250" s="62">
        <f t="shared" si="185"/>
        <v>610000</v>
      </c>
      <c r="V250" s="62">
        <f t="shared" si="186"/>
        <v>610000</v>
      </c>
      <c r="W250" s="62">
        <f t="shared" si="187"/>
        <v>610000</v>
      </c>
      <c r="X250" s="62">
        <f t="shared" si="188"/>
        <v>610000</v>
      </c>
      <c r="Y250" s="62">
        <f t="shared" si="189"/>
        <v>610000</v>
      </c>
      <c r="Z250" s="62">
        <f t="shared" si="190"/>
        <v>610000</v>
      </c>
      <c r="AA250" s="62">
        <f t="shared" si="191"/>
        <v>610000</v>
      </c>
      <c r="AB250" s="62">
        <f t="shared" si="192"/>
        <v>610000</v>
      </c>
      <c r="AC250" s="62">
        <f t="shared" si="193"/>
        <v>610000</v>
      </c>
    </row>
    <row r="251" spans="1:44" x14ac:dyDescent="0.3">
      <c r="A251" s="30" t="str">
        <f t="shared" si="165"/>
        <v>Opex maintenance &amp; repair</v>
      </c>
      <c r="B251" s="62">
        <f t="shared" si="166"/>
        <v>1050000</v>
      </c>
      <c r="C251" s="62">
        <f t="shared" si="167"/>
        <v>1050000</v>
      </c>
      <c r="D251" s="62">
        <f t="shared" si="168"/>
        <v>1050000</v>
      </c>
      <c r="E251" s="62">
        <f t="shared" si="169"/>
        <v>1050000</v>
      </c>
      <c r="F251" s="62">
        <f t="shared" si="170"/>
        <v>1050000</v>
      </c>
      <c r="G251" s="62">
        <f t="shared" si="171"/>
        <v>1050000</v>
      </c>
      <c r="H251" s="62">
        <f t="shared" si="172"/>
        <v>1050000</v>
      </c>
      <c r="I251" s="62">
        <f t="shared" si="173"/>
        <v>1050000</v>
      </c>
      <c r="J251" s="62">
        <f t="shared" si="174"/>
        <v>1050000</v>
      </c>
      <c r="K251" s="62">
        <f t="shared" si="175"/>
        <v>1050000</v>
      </c>
      <c r="L251" s="62">
        <f t="shared" si="176"/>
        <v>1050000</v>
      </c>
      <c r="M251" s="62">
        <f t="shared" si="177"/>
        <v>1050000</v>
      </c>
      <c r="N251" s="62">
        <f t="shared" si="178"/>
        <v>1050000</v>
      </c>
      <c r="O251" s="62">
        <f t="shared" si="179"/>
        <v>1050000</v>
      </c>
      <c r="P251" s="62">
        <f t="shared" si="180"/>
        <v>1050000</v>
      </c>
      <c r="Q251" s="62">
        <f t="shared" si="181"/>
        <v>1050000</v>
      </c>
      <c r="R251" s="62">
        <f t="shared" si="182"/>
        <v>1050000</v>
      </c>
      <c r="S251" s="62">
        <f t="shared" si="183"/>
        <v>1050000</v>
      </c>
      <c r="T251" s="62">
        <f t="shared" si="184"/>
        <v>1050000</v>
      </c>
      <c r="U251" s="62">
        <f t="shared" si="185"/>
        <v>1050000</v>
      </c>
      <c r="V251" s="62">
        <f t="shared" si="186"/>
        <v>1050000</v>
      </c>
      <c r="W251" s="62">
        <f t="shared" si="187"/>
        <v>1050000</v>
      </c>
      <c r="X251" s="62">
        <f t="shared" si="188"/>
        <v>1050000</v>
      </c>
      <c r="Y251" s="62">
        <f t="shared" si="189"/>
        <v>1050000</v>
      </c>
      <c r="Z251" s="62">
        <f t="shared" si="190"/>
        <v>1050000</v>
      </c>
      <c r="AA251" s="62">
        <f t="shared" si="191"/>
        <v>1050000</v>
      </c>
      <c r="AB251" s="62">
        <f t="shared" si="192"/>
        <v>1050000</v>
      </c>
      <c r="AC251" s="62">
        <f t="shared" si="193"/>
        <v>1050000</v>
      </c>
    </row>
    <row r="252" spans="1:44" x14ac:dyDescent="0.3">
      <c r="A252" s="30" t="str">
        <f t="shared" si="165"/>
        <v>Opex var (mode-fees, shunting)</v>
      </c>
      <c r="B252" s="62">
        <f t="shared" si="166"/>
        <v>3.6414565826330532</v>
      </c>
      <c r="C252" s="62">
        <f t="shared" si="167"/>
        <v>3.6414565826330532</v>
      </c>
      <c r="D252" s="62">
        <f t="shared" si="168"/>
        <v>3.6414565826330532</v>
      </c>
      <c r="E252" s="62">
        <f t="shared" si="169"/>
        <v>3.6414565826330532</v>
      </c>
      <c r="F252" s="62">
        <f t="shared" si="170"/>
        <v>3.6414565826330532</v>
      </c>
      <c r="G252" s="62">
        <f t="shared" si="171"/>
        <v>3.6414565826330532</v>
      </c>
      <c r="H252" s="62">
        <f t="shared" si="172"/>
        <v>3.6414565826330532</v>
      </c>
      <c r="I252" s="62">
        <f t="shared" si="173"/>
        <v>3.6414565826330532</v>
      </c>
      <c r="J252" s="62">
        <f t="shared" si="174"/>
        <v>3.6414565826330532</v>
      </c>
      <c r="K252" s="62">
        <f t="shared" si="175"/>
        <v>3.6414565826330532</v>
      </c>
      <c r="L252" s="62">
        <f t="shared" si="176"/>
        <v>3.6414565826330532</v>
      </c>
      <c r="M252" s="62">
        <f t="shared" si="177"/>
        <v>3.6414565826330532</v>
      </c>
      <c r="N252" s="62">
        <f t="shared" si="178"/>
        <v>3.6414565826330532</v>
      </c>
      <c r="O252" s="62">
        <f t="shared" si="179"/>
        <v>3.6414565826330532</v>
      </c>
      <c r="P252" s="62">
        <f t="shared" si="180"/>
        <v>3.6414565826330532</v>
      </c>
      <c r="Q252" s="62">
        <f t="shared" si="181"/>
        <v>3.6414565826330532</v>
      </c>
      <c r="R252" s="62">
        <f t="shared" si="182"/>
        <v>3.6414565826330532</v>
      </c>
      <c r="S252" s="62">
        <f t="shared" si="183"/>
        <v>3.6414565826330532</v>
      </c>
      <c r="T252" s="62">
        <f t="shared" si="184"/>
        <v>3.6414565826330532</v>
      </c>
      <c r="U252" s="62">
        <f t="shared" si="185"/>
        <v>3.6414565826330532</v>
      </c>
      <c r="V252" s="62">
        <f t="shared" si="186"/>
        <v>3.6414565826330532</v>
      </c>
      <c r="W252" s="62">
        <f t="shared" si="187"/>
        <v>3.6414565826330532</v>
      </c>
      <c r="X252" s="62">
        <f t="shared" si="188"/>
        <v>3.6414565826330532</v>
      </c>
      <c r="Y252" s="62">
        <f t="shared" si="189"/>
        <v>3.6414565826330532</v>
      </c>
      <c r="Z252" s="62">
        <f t="shared" si="190"/>
        <v>3.6414565826330532</v>
      </c>
      <c r="AA252" s="62">
        <f t="shared" si="191"/>
        <v>3.6414565826330532</v>
      </c>
      <c r="AB252" s="62">
        <f t="shared" si="192"/>
        <v>3.6414565826330532</v>
      </c>
      <c r="AC252" s="62">
        <f t="shared" si="193"/>
        <v>3.6414565826330532</v>
      </c>
    </row>
    <row r="253" spans="1:44" x14ac:dyDescent="0.3">
      <c r="A253" s="30" t="str">
        <f t="shared" si="165"/>
        <v>Fuel Economy</v>
      </c>
      <c r="B253" s="62">
        <f t="shared" si="166"/>
        <v>62.083200000000005</v>
      </c>
      <c r="C253" s="62">
        <f t="shared" si="167"/>
        <v>62.083200000000005</v>
      </c>
      <c r="D253" s="62">
        <f t="shared" si="168"/>
        <v>62.083200000000005</v>
      </c>
      <c r="E253" s="62">
        <f t="shared" si="169"/>
        <v>62.083200000000005</v>
      </c>
      <c r="F253" s="62">
        <f t="shared" si="170"/>
        <v>62.083200000000005</v>
      </c>
      <c r="G253" s="62">
        <f t="shared" si="171"/>
        <v>62.083200000000005</v>
      </c>
      <c r="H253" s="62">
        <f t="shared" si="172"/>
        <v>62.083200000000005</v>
      </c>
      <c r="I253" s="62">
        <f t="shared" si="173"/>
        <v>62.083200000000005</v>
      </c>
      <c r="J253" s="62">
        <f t="shared" si="174"/>
        <v>62.083200000000005</v>
      </c>
      <c r="K253" s="62">
        <f t="shared" si="175"/>
        <v>62.083200000000005</v>
      </c>
      <c r="L253" s="62">
        <f t="shared" si="176"/>
        <v>62.083200000000005</v>
      </c>
      <c r="M253" s="62">
        <f t="shared" si="177"/>
        <v>62.083200000000005</v>
      </c>
      <c r="N253" s="62">
        <f t="shared" si="178"/>
        <v>62.083200000000005</v>
      </c>
      <c r="O253" s="62">
        <f t="shared" si="179"/>
        <v>62.083200000000005</v>
      </c>
      <c r="P253" s="62">
        <f t="shared" si="180"/>
        <v>62.083200000000005</v>
      </c>
      <c r="Q253" s="62">
        <f t="shared" si="181"/>
        <v>62.083200000000005</v>
      </c>
      <c r="R253" s="62">
        <f t="shared" si="182"/>
        <v>62.083200000000005</v>
      </c>
      <c r="S253" s="62">
        <f t="shared" si="183"/>
        <v>62.083200000000005</v>
      </c>
      <c r="T253" s="62">
        <f t="shared" si="184"/>
        <v>62.083200000000005</v>
      </c>
      <c r="U253" s="62">
        <f t="shared" si="185"/>
        <v>62.083200000000005</v>
      </c>
      <c r="V253" s="62">
        <f t="shared" si="186"/>
        <v>62.083200000000005</v>
      </c>
      <c r="W253" s="62">
        <f t="shared" si="187"/>
        <v>62.083200000000005</v>
      </c>
      <c r="X253" s="62">
        <f t="shared" si="188"/>
        <v>62.083200000000005</v>
      </c>
      <c r="Y253" s="62">
        <f t="shared" si="189"/>
        <v>62.083200000000005</v>
      </c>
      <c r="Z253" s="62">
        <f t="shared" si="190"/>
        <v>62.083200000000005</v>
      </c>
      <c r="AA253" s="62">
        <f t="shared" si="191"/>
        <v>62.083200000000005</v>
      </c>
      <c r="AB253" s="62">
        <f t="shared" si="192"/>
        <v>62.083200000000005</v>
      </c>
      <c r="AC253" s="62">
        <f t="shared" si="193"/>
        <v>62.083200000000005</v>
      </c>
    </row>
    <row r="254" spans="1:44" x14ac:dyDescent="0.3">
      <c r="A254" s="30" t="str">
        <f t="shared" si="165"/>
        <v>Fuel Cost</v>
      </c>
      <c r="B254" s="62">
        <f t="shared" si="166"/>
        <v>0.1</v>
      </c>
      <c r="C254" s="62">
        <f t="shared" si="167"/>
        <v>0.1</v>
      </c>
      <c r="D254" s="62">
        <f t="shared" si="168"/>
        <v>0.1</v>
      </c>
      <c r="E254" s="62">
        <f t="shared" si="169"/>
        <v>0.1</v>
      </c>
      <c r="F254" s="62">
        <f t="shared" si="170"/>
        <v>0.1</v>
      </c>
      <c r="G254" s="62">
        <f t="shared" si="171"/>
        <v>0.1</v>
      </c>
      <c r="H254" s="62">
        <f t="shared" si="172"/>
        <v>0.1</v>
      </c>
      <c r="I254" s="62">
        <f t="shared" si="173"/>
        <v>0.1</v>
      </c>
      <c r="J254" s="62">
        <f t="shared" si="174"/>
        <v>0.1</v>
      </c>
      <c r="K254" s="62">
        <f t="shared" si="175"/>
        <v>0.1</v>
      </c>
      <c r="L254" s="62">
        <f t="shared" si="176"/>
        <v>0.1</v>
      </c>
      <c r="M254" s="62">
        <f t="shared" si="177"/>
        <v>0.1</v>
      </c>
      <c r="N254" s="62">
        <f t="shared" si="178"/>
        <v>0.1</v>
      </c>
      <c r="O254" s="62">
        <f t="shared" si="179"/>
        <v>0.1</v>
      </c>
      <c r="P254" s="62">
        <f t="shared" si="180"/>
        <v>0.1</v>
      </c>
      <c r="Q254" s="62">
        <f t="shared" si="181"/>
        <v>0.1</v>
      </c>
      <c r="R254" s="62">
        <f t="shared" si="182"/>
        <v>0.1</v>
      </c>
      <c r="S254" s="62">
        <f t="shared" si="183"/>
        <v>0.1</v>
      </c>
      <c r="T254" s="62">
        <f t="shared" si="184"/>
        <v>0.1</v>
      </c>
      <c r="U254" s="62">
        <f t="shared" si="185"/>
        <v>0.1</v>
      </c>
      <c r="V254" s="62">
        <f t="shared" si="186"/>
        <v>0.1</v>
      </c>
      <c r="W254" s="62">
        <f t="shared" si="187"/>
        <v>0.1</v>
      </c>
      <c r="X254" s="62">
        <f t="shared" si="188"/>
        <v>0.1</v>
      </c>
      <c r="Y254" s="62">
        <f t="shared" si="189"/>
        <v>0.1</v>
      </c>
      <c r="Z254" s="62">
        <f t="shared" si="190"/>
        <v>0.1</v>
      </c>
      <c r="AA254" s="62">
        <f t="shared" si="191"/>
        <v>0.1</v>
      </c>
      <c r="AB254" s="62">
        <f t="shared" si="192"/>
        <v>0.1</v>
      </c>
      <c r="AC254" s="62">
        <f t="shared" si="193"/>
        <v>0.1</v>
      </c>
    </row>
    <row r="255" spans="1:44" x14ac:dyDescent="0.3">
      <c r="A255" s="30" t="str">
        <f t="shared" si="165"/>
        <v>Emission Cost</v>
      </c>
      <c r="B255" s="66">
        <f>$B235+($C235-$B235)*(1-Q235)</f>
        <v>1.6642920252567563</v>
      </c>
      <c r="C255" s="66">
        <f t="shared" ref="C255:AC255" si="194">$B235+($C235-$B235)*(1-R235)</f>
        <v>1.668223764670367</v>
      </c>
      <c r="D255" s="66">
        <f t="shared" si="194"/>
        <v>1.6738519620685159</v>
      </c>
      <c r="E255" s="66">
        <f t="shared" si="194"/>
        <v>1.681903494239102</v>
      </c>
      <c r="F255" s="66">
        <f t="shared" si="194"/>
        <v>1.6934109103696515</v>
      </c>
      <c r="G255" s="66">
        <f t="shared" si="194"/>
        <v>1.7098344800436978</v>
      </c>
      <c r="H255" s="66">
        <f t="shared" si="194"/>
        <v>1.733225672402217</v>
      </c>
      <c r="I255" s="66">
        <f t="shared" si="194"/>
        <v>1.7664378123820623</v>
      </c>
      <c r="J255" s="66">
        <f t="shared" si="194"/>
        <v>1.8133799807606898</v>
      </c>
      <c r="K255" s="66">
        <f t="shared" si="194"/>
        <v>1.8792859382574125</v>
      </c>
      <c r="L255" s="66">
        <f t="shared" si="194"/>
        <v>1.9709191437812768</v>
      </c>
      <c r="M255" s="66">
        <f t="shared" si="194"/>
        <v>2.0965448405494573</v>
      </c>
      <c r="N255" s="66">
        <f t="shared" si="194"/>
        <v>2.2653723155004584</v>
      </c>
      <c r="O255" s="66">
        <f t="shared" si="194"/>
        <v>2.4860624403309455</v>
      </c>
      <c r="P255" s="66">
        <f t="shared" si="194"/>
        <v>2.7639843510823718</v>
      </c>
      <c r="Q255" s="66">
        <f t="shared" si="194"/>
        <v>3.0974826662343866</v>
      </c>
      <c r="R255" s="66">
        <f t="shared" si="194"/>
        <v>3.4745937746662614</v>
      </c>
      <c r="S255" s="66">
        <f t="shared" si="194"/>
        <v>3.8727084245898471</v>
      </c>
      <c r="T255" s="66">
        <f t="shared" si="194"/>
        <v>4.2629889228555031</v>
      </c>
      <c r="U255" s="66">
        <f t="shared" si="194"/>
        <v>4.6182692937866285</v>
      </c>
      <c r="V255" s="66">
        <f t="shared" si="194"/>
        <v>4.9202070161803482</v>
      </c>
      <c r="W255" s="66">
        <f t="shared" si="194"/>
        <v>5.1620050578353283</v>
      </c>
      <c r="X255" s="66">
        <f t="shared" si="194"/>
        <v>5.3465076953810016</v>
      </c>
      <c r="Y255" s="66">
        <f t="shared" si="194"/>
        <v>5.4821319311099916</v>
      </c>
      <c r="Z255" s="66">
        <f t="shared" si="194"/>
        <v>5.5791012976259244</v>
      </c>
      <c r="AA255" s="66">
        <f t="shared" si="194"/>
        <v>5.6470625031514352</v>
      </c>
      <c r="AB255" s="66">
        <f t="shared" si="194"/>
        <v>5.6940278733917111</v>
      </c>
      <c r="AC255" s="66">
        <f t="shared" si="194"/>
        <v>5.7261686166213002</v>
      </c>
    </row>
    <row r="256" spans="1:44" x14ac:dyDescent="0.3">
      <c r="A256" s="30" t="str">
        <f t="shared" si="165"/>
        <v>Lifetime vehicle</v>
      </c>
      <c r="B256" s="62">
        <f>$B236+($C236-$B236)*(1-Q236)</f>
        <v>20</v>
      </c>
      <c r="C256" s="62">
        <f t="shared" ref="C256:L258" si="195">$B236+($C236-$B236)*(1-R236)</f>
        <v>20</v>
      </c>
      <c r="D256" s="62">
        <f t="shared" si="195"/>
        <v>20</v>
      </c>
      <c r="E256" s="62">
        <f t="shared" si="195"/>
        <v>20</v>
      </c>
      <c r="F256" s="62">
        <f t="shared" si="195"/>
        <v>20</v>
      </c>
      <c r="G256" s="62">
        <f t="shared" si="195"/>
        <v>20</v>
      </c>
      <c r="H256" s="62">
        <f t="shared" si="195"/>
        <v>20</v>
      </c>
      <c r="I256" s="62">
        <f t="shared" si="195"/>
        <v>20</v>
      </c>
      <c r="J256" s="62">
        <f t="shared" si="195"/>
        <v>20</v>
      </c>
      <c r="K256" s="62">
        <f t="shared" si="195"/>
        <v>20</v>
      </c>
      <c r="L256" s="62">
        <f t="shared" si="195"/>
        <v>20</v>
      </c>
      <c r="M256" s="62">
        <f t="shared" ref="M256:V258" si="196">$B236+($C236-$B236)*(1-AB236)</f>
        <v>20</v>
      </c>
      <c r="N256" s="62">
        <f t="shared" si="196"/>
        <v>20</v>
      </c>
      <c r="O256" s="62">
        <f t="shared" si="196"/>
        <v>20</v>
      </c>
      <c r="P256" s="62">
        <f t="shared" si="196"/>
        <v>20</v>
      </c>
      <c r="Q256" s="62">
        <f t="shared" si="196"/>
        <v>20</v>
      </c>
      <c r="R256" s="62">
        <f t="shared" si="196"/>
        <v>20</v>
      </c>
      <c r="S256" s="62">
        <f t="shared" si="196"/>
        <v>20</v>
      </c>
      <c r="T256" s="62">
        <f t="shared" si="196"/>
        <v>20</v>
      </c>
      <c r="U256" s="62">
        <f t="shared" si="196"/>
        <v>20</v>
      </c>
      <c r="V256" s="62">
        <f t="shared" si="196"/>
        <v>20</v>
      </c>
      <c r="W256" s="62">
        <f t="shared" ref="W256:AC258" si="197">$B236+($C236-$B236)*(1-AL236)</f>
        <v>20</v>
      </c>
      <c r="X256" s="62">
        <f t="shared" si="197"/>
        <v>20</v>
      </c>
      <c r="Y256" s="62">
        <f t="shared" si="197"/>
        <v>20</v>
      </c>
      <c r="Z256" s="62">
        <f t="shared" si="197"/>
        <v>20</v>
      </c>
      <c r="AA256" s="62">
        <f t="shared" si="197"/>
        <v>20</v>
      </c>
      <c r="AB256" s="62">
        <f t="shared" si="197"/>
        <v>20</v>
      </c>
      <c r="AC256" s="62">
        <f t="shared" si="197"/>
        <v>20</v>
      </c>
    </row>
    <row r="257" spans="1:29" x14ac:dyDescent="0.3">
      <c r="A257" s="30" t="str">
        <f t="shared" si="165"/>
        <v>Lifetime costumization</v>
      </c>
      <c r="B257" s="62">
        <f>$B237+($C237-$B237)*(1-Q237)</f>
        <v>30</v>
      </c>
      <c r="C257" s="62">
        <f t="shared" si="195"/>
        <v>30</v>
      </c>
      <c r="D257" s="62">
        <f t="shared" si="195"/>
        <v>30</v>
      </c>
      <c r="E257" s="62">
        <f t="shared" si="195"/>
        <v>30</v>
      </c>
      <c r="F257" s="62">
        <f t="shared" si="195"/>
        <v>30</v>
      </c>
      <c r="G257" s="62">
        <f t="shared" si="195"/>
        <v>30</v>
      </c>
      <c r="H257" s="62">
        <f t="shared" si="195"/>
        <v>30</v>
      </c>
      <c r="I257" s="62">
        <f t="shared" si="195"/>
        <v>30</v>
      </c>
      <c r="J257" s="62">
        <f t="shared" si="195"/>
        <v>30</v>
      </c>
      <c r="K257" s="62">
        <f t="shared" si="195"/>
        <v>30</v>
      </c>
      <c r="L257" s="62">
        <f t="shared" si="195"/>
        <v>30</v>
      </c>
      <c r="M257" s="62">
        <f t="shared" si="196"/>
        <v>30</v>
      </c>
      <c r="N257" s="62">
        <f t="shared" si="196"/>
        <v>30</v>
      </c>
      <c r="O257" s="62">
        <f t="shared" si="196"/>
        <v>30</v>
      </c>
      <c r="P257" s="62">
        <f t="shared" si="196"/>
        <v>30</v>
      </c>
      <c r="Q257" s="62">
        <f t="shared" si="196"/>
        <v>30</v>
      </c>
      <c r="R257" s="62">
        <f t="shared" si="196"/>
        <v>30</v>
      </c>
      <c r="S257" s="62">
        <f t="shared" si="196"/>
        <v>30</v>
      </c>
      <c r="T257" s="62">
        <f t="shared" si="196"/>
        <v>30</v>
      </c>
      <c r="U257" s="62">
        <f t="shared" si="196"/>
        <v>30</v>
      </c>
      <c r="V257" s="62">
        <f t="shared" si="196"/>
        <v>30</v>
      </c>
      <c r="W257" s="62">
        <f t="shared" si="197"/>
        <v>30</v>
      </c>
      <c r="X257" s="62">
        <f t="shared" si="197"/>
        <v>30</v>
      </c>
      <c r="Y257" s="62">
        <f t="shared" si="197"/>
        <v>30</v>
      </c>
      <c r="Z257" s="62">
        <f t="shared" si="197"/>
        <v>30</v>
      </c>
      <c r="AA257" s="62">
        <f t="shared" si="197"/>
        <v>30</v>
      </c>
      <c r="AB257" s="62">
        <f t="shared" si="197"/>
        <v>30</v>
      </c>
      <c r="AC257" s="62">
        <f t="shared" si="197"/>
        <v>30</v>
      </c>
    </row>
    <row r="258" spans="1:29" x14ac:dyDescent="0.3">
      <c r="A258" s="30" t="str">
        <f t="shared" si="165"/>
        <v>Tonnage .</v>
      </c>
      <c r="B258" s="62">
        <f>$B238+($C238-$B238)*(1-Q238)</f>
        <v>2240</v>
      </c>
      <c r="C258" s="62">
        <f t="shared" si="195"/>
        <v>2240</v>
      </c>
      <c r="D258" s="62">
        <f t="shared" si="195"/>
        <v>2240</v>
      </c>
      <c r="E258" s="62">
        <f t="shared" si="195"/>
        <v>2240</v>
      </c>
      <c r="F258" s="62">
        <f t="shared" si="195"/>
        <v>2240</v>
      </c>
      <c r="G258" s="62">
        <f t="shared" si="195"/>
        <v>2240</v>
      </c>
      <c r="H258" s="62">
        <f t="shared" si="195"/>
        <v>2240</v>
      </c>
      <c r="I258" s="62">
        <f t="shared" si="195"/>
        <v>2240</v>
      </c>
      <c r="J258" s="62">
        <f t="shared" si="195"/>
        <v>2240</v>
      </c>
      <c r="K258" s="62">
        <f t="shared" si="195"/>
        <v>2240</v>
      </c>
      <c r="L258" s="62">
        <f t="shared" si="195"/>
        <v>2240</v>
      </c>
      <c r="M258" s="62">
        <f t="shared" si="196"/>
        <v>2240</v>
      </c>
      <c r="N258" s="62">
        <f t="shared" si="196"/>
        <v>2240</v>
      </c>
      <c r="O258" s="62">
        <f t="shared" si="196"/>
        <v>2240</v>
      </c>
      <c r="P258" s="62">
        <f t="shared" si="196"/>
        <v>2240</v>
      </c>
      <c r="Q258" s="62">
        <f t="shared" si="196"/>
        <v>2240</v>
      </c>
      <c r="R258" s="62">
        <f t="shared" si="196"/>
        <v>2240</v>
      </c>
      <c r="S258" s="62">
        <f t="shared" si="196"/>
        <v>2240</v>
      </c>
      <c r="T258" s="62">
        <f t="shared" si="196"/>
        <v>2240</v>
      </c>
      <c r="U258" s="62">
        <f t="shared" si="196"/>
        <v>2240</v>
      </c>
      <c r="V258" s="62">
        <f t="shared" si="196"/>
        <v>2240</v>
      </c>
      <c r="W258" s="62">
        <f t="shared" si="197"/>
        <v>2240</v>
      </c>
      <c r="X258" s="62">
        <f t="shared" si="197"/>
        <v>2240</v>
      </c>
      <c r="Y258" s="62">
        <f t="shared" si="197"/>
        <v>2240</v>
      </c>
      <c r="Z258" s="62">
        <f t="shared" si="197"/>
        <v>2240</v>
      </c>
      <c r="AA258" s="62">
        <f t="shared" si="197"/>
        <v>2240</v>
      </c>
      <c r="AB258" s="62">
        <f t="shared" si="197"/>
        <v>2240</v>
      </c>
      <c r="AC258" s="62">
        <f t="shared" si="197"/>
        <v>2240</v>
      </c>
    </row>
    <row r="259" spans="1:29" x14ac:dyDescent="0.3">
      <c r="A259" s="30" t="str">
        <f t="shared" si="165"/>
        <v>Market failure (av. utilization)</v>
      </c>
      <c r="B259" s="62">
        <f t="shared" ref="B259:K260" si="198">($B239+($C239-$B239)*(1-Q239))*B$44</f>
        <v>716.80000000000007</v>
      </c>
      <c r="C259" s="62">
        <f t="shared" si="198"/>
        <v>716.80000000000007</v>
      </c>
      <c r="D259" s="62">
        <f t="shared" si="198"/>
        <v>716.80000000000007</v>
      </c>
      <c r="E259" s="62">
        <f t="shared" si="198"/>
        <v>716.80000000000007</v>
      </c>
      <c r="F259" s="62">
        <f t="shared" si="198"/>
        <v>716.80000000000007</v>
      </c>
      <c r="G259" s="62">
        <f t="shared" si="198"/>
        <v>716.80000000000007</v>
      </c>
      <c r="H259" s="62">
        <f t="shared" si="198"/>
        <v>716.80000000000007</v>
      </c>
      <c r="I259" s="62">
        <f t="shared" si="198"/>
        <v>716.80000000000007</v>
      </c>
      <c r="J259" s="62">
        <f t="shared" si="198"/>
        <v>716.80000000000007</v>
      </c>
      <c r="K259" s="62">
        <f t="shared" si="198"/>
        <v>716.80000000000007</v>
      </c>
      <c r="L259" s="62">
        <f t="shared" ref="L259:U260" si="199">($B239+($C239-$B239)*(1-AA239))*L$44</f>
        <v>716.80000000000007</v>
      </c>
      <c r="M259" s="62">
        <f t="shared" si="199"/>
        <v>716.80000000000007</v>
      </c>
      <c r="N259" s="62">
        <f t="shared" si="199"/>
        <v>716.80000000000007</v>
      </c>
      <c r="O259" s="62">
        <f t="shared" si="199"/>
        <v>716.80000000000007</v>
      </c>
      <c r="P259" s="62">
        <f t="shared" si="199"/>
        <v>716.80000000000007</v>
      </c>
      <c r="Q259" s="62">
        <f t="shared" si="199"/>
        <v>716.80000000000007</v>
      </c>
      <c r="R259" s="62">
        <f t="shared" si="199"/>
        <v>716.80000000000007</v>
      </c>
      <c r="S259" s="62">
        <f t="shared" si="199"/>
        <v>716.80000000000007</v>
      </c>
      <c r="T259" s="62">
        <f t="shared" si="199"/>
        <v>716.80000000000007</v>
      </c>
      <c r="U259" s="62">
        <f t="shared" si="199"/>
        <v>716.80000000000007</v>
      </c>
      <c r="V259" s="62">
        <f t="shared" ref="V259:AC260" si="200">($B239+($C239-$B239)*(1-AK239))*V$44</f>
        <v>716.80000000000007</v>
      </c>
      <c r="W259" s="62">
        <f t="shared" si="200"/>
        <v>716.80000000000007</v>
      </c>
      <c r="X259" s="62">
        <f t="shared" si="200"/>
        <v>716.80000000000007</v>
      </c>
      <c r="Y259" s="62">
        <f t="shared" si="200"/>
        <v>716.80000000000007</v>
      </c>
      <c r="Z259" s="62">
        <f t="shared" si="200"/>
        <v>716.80000000000007</v>
      </c>
      <c r="AA259" s="62">
        <f t="shared" si="200"/>
        <v>716.80000000000007</v>
      </c>
      <c r="AB259" s="62">
        <f t="shared" si="200"/>
        <v>716.80000000000007</v>
      </c>
      <c r="AC259" s="62">
        <f t="shared" si="200"/>
        <v>716.80000000000007</v>
      </c>
    </row>
    <row r="260" spans="1:29" x14ac:dyDescent="0.3">
      <c r="A260" s="30" t="s">
        <v>73</v>
      </c>
      <c r="B260" s="62">
        <f t="shared" si="198"/>
        <v>0</v>
      </c>
      <c r="C260" s="62">
        <f t="shared" si="198"/>
        <v>0</v>
      </c>
      <c r="D260" s="62">
        <f t="shared" si="198"/>
        <v>0</v>
      </c>
      <c r="E260" s="62">
        <f t="shared" si="198"/>
        <v>0</v>
      </c>
      <c r="F260" s="62">
        <f t="shared" si="198"/>
        <v>0</v>
      </c>
      <c r="G260" s="62">
        <f t="shared" si="198"/>
        <v>0</v>
      </c>
      <c r="H260" s="62">
        <f t="shared" si="198"/>
        <v>0</v>
      </c>
      <c r="I260" s="62">
        <f t="shared" si="198"/>
        <v>0</v>
      </c>
      <c r="J260" s="62">
        <f t="shared" si="198"/>
        <v>0</v>
      </c>
      <c r="K260" s="62">
        <f t="shared" si="198"/>
        <v>0</v>
      </c>
      <c r="L260" s="62">
        <f t="shared" si="199"/>
        <v>0</v>
      </c>
      <c r="M260" s="62">
        <f t="shared" si="199"/>
        <v>0</v>
      </c>
      <c r="N260" s="62">
        <f t="shared" si="199"/>
        <v>0</v>
      </c>
      <c r="O260" s="62">
        <f t="shared" si="199"/>
        <v>0</v>
      </c>
      <c r="P260" s="62">
        <f t="shared" si="199"/>
        <v>0</v>
      </c>
      <c r="Q260" s="62">
        <f t="shared" si="199"/>
        <v>0</v>
      </c>
      <c r="R260" s="62">
        <f t="shared" si="199"/>
        <v>0</v>
      </c>
      <c r="S260" s="62">
        <f t="shared" si="199"/>
        <v>0</v>
      </c>
      <c r="T260" s="62">
        <f t="shared" si="199"/>
        <v>0</v>
      </c>
      <c r="U260" s="62">
        <f t="shared" si="199"/>
        <v>0</v>
      </c>
      <c r="V260" s="62">
        <f t="shared" si="200"/>
        <v>0</v>
      </c>
      <c r="W260" s="62">
        <f t="shared" si="200"/>
        <v>0</v>
      </c>
      <c r="X260" s="62">
        <f t="shared" si="200"/>
        <v>0</v>
      </c>
      <c r="Y260" s="62">
        <f t="shared" si="200"/>
        <v>0</v>
      </c>
      <c r="Z260" s="62">
        <f t="shared" si="200"/>
        <v>0</v>
      </c>
      <c r="AA260" s="62">
        <f t="shared" si="200"/>
        <v>0</v>
      </c>
      <c r="AB260" s="62">
        <f t="shared" si="200"/>
        <v>0</v>
      </c>
      <c r="AC260" s="62">
        <f t="shared" si="200"/>
        <v>0</v>
      </c>
    </row>
    <row r="261" spans="1:29" x14ac:dyDescent="0.3">
      <c r="A261" s="30" t="str">
        <f>A241</f>
        <v>Annual Mileage</v>
      </c>
      <c r="B261" s="62">
        <f t="shared" ref="B261:AC261" si="201">$B241+($C241-$B241)*(1-Q241)</f>
        <v>178500</v>
      </c>
      <c r="C261" s="62">
        <f t="shared" si="201"/>
        <v>178500</v>
      </c>
      <c r="D261" s="62">
        <f t="shared" si="201"/>
        <v>178500</v>
      </c>
      <c r="E261" s="62">
        <f t="shared" si="201"/>
        <v>178500</v>
      </c>
      <c r="F261" s="62">
        <f t="shared" si="201"/>
        <v>178500</v>
      </c>
      <c r="G261" s="62">
        <f t="shared" si="201"/>
        <v>178500</v>
      </c>
      <c r="H261" s="62">
        <f t="shared" si="201"/>
        <v>178500</v>
      </c>
      <c r="I261" s="62">
        <f t="shared" si="201"/>
        <v>178500</v>
      </c>
      <c r="J261" s="62">
        <f t="shared" si="201"/>
        <v>178500</v>
      </c>
      <c r="K261" s="62">
        <f t="shared" si="201"/>
        <v>178500</v>
      </c>
      <c r="L261" s="62">
        <f t="shared" si="201"/>
        <v>178500</v>
      </c>
      <c r="M261" s="62">
        <f t="shared" si="201"/>
        <v>178500</v>
      </c>
      <c r="N261" s="62">
        <f t="shared" si="201"/>
        <v>178500</v>
      </c>
      <c r="O261" s="62">
        <f t="shared" si="201"/>
        <v>178500</v>
      </c>
      <c r="P261" s="62">
        <f t="shared" si="201"/>
        <v>178500</v>
      </c>
      <c r="Q261" s="62">
        <f t="shared" si="201"/>
        <v>178500</v>
      </c>
      <c r="R261" s="62">
        <f t="shared" si="201"/>
        <v>178500</v>
      </c>
      <c r="S261" s="62">
        <f t="shared" si="201"/>
        <v>178500</v>
      </c>
      <c r="T261" s="62">
        <f t="shared" si="201"/>
        <v>178500</v>
      </c>
      <c r="U261" s="62">
        <f t="shared" si="201"/>
        <v>178500</v>
      </c>
      <c r="V261" s="62">
        <f t="shared" si="201"/>
        <v>178500</v>
      </c>
      <c r="W261" s="62">
        <f t="shared" si="201"/>
        <v>178500</v>
      </c>
      <c r="X261" s="62">
        <f t="shared" si="201"/>
        <v>178500</v>
      </c>
      <c r="Y261" s="62">
        <f t="shared" si="201"/>
        <v>178500</v>
      </c>
      <c r="Z261" s="62">
        <f t="shared" si="201"/>
        <v>178500</v>
      </c>
      <c r="AA261" s="62">
        <f t="shared" si="201"/>
        <v>178500</v>
      </c>
      <c r="AB261" s="62">
        <f t="shared" si="201"/>
        <v>178500</v>
      </c>
      <c r="AC261" s="62">
        <f t="shared" si="201"/>
        <v>178500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305145.94941897993</v>
      </c>
      <c r="C264" s="63">
        <f t="shared" ref="C264:AC264" si="202">((1+C249)^C256)*C249/(((1+C249)^C256)-1)*(C245)</f>
        <v>305145.94941897993</v>
      </c>
      <c r="D264" s="63">
        <f t="shared" si="202"/>
        <v>305145.94941897993</v>
      </c>
      <c r="E264" s="63">
        <f t="shared" si="202"/>
        <v>305145.94941897993</v>
      </c>
      <c r="F264" s="63">
        <f t="shared" si="202"/>
        <v>305145.94941897993</v>
      </c>
      <c r="G264" s="63">
        <f t="shared" si="202"/>
        <v>305145.94941897993</v>
      </c>
      <c r="H264" s="63">
        <f t="shared" si="202"/>
        <v>305145.94941897993</v>
      </c>
      <c r="I264" s="63">
        <f t="shared" si="202"/>
        <v>305145.94941897993</v>
      </c>
      <c r="J264" s="63">
        <f t="shared" si="202"/>
        <v>305145.94941897993</v>
      </c>
      <c r="K264" s="63">
        <f t="shared" si="202"/>
        <v>305145.94941897993</v>
      </c>
      <c r="L264" s="63">
        <f t="shared" si="202"/>
        <v>305145.94941897993</v>
      </c>
      <c r="M264" s="63">
        <f t="shared" si="202"/>
        <v>305145.94941897993</v>
      </c>
      <c r="N264" s="63">
        <f t="shared" si="202"/>
        <v>305145.94941897993</v>
      </c>
      <c r="O264" s="63">
        <f t="shared" si="202"/>
        <v>305145.94941897993</v>
      </c>
      <c r="P264" s="63">
        <f t="shared" si="202"/>
        <v>305145.94941897993</v>
      </c>
      <c r="Q264" s="63">
        <f t="shared" si="202"/>
        <v>305145.94941897993</v>
      </c>
      <c r="R264" s="63">
        <f t="shared" si="202"/>
        <v>305145.94941897993</v>
      </c>
      <c r="S264" s="63">
        <f t="shared" si="202"/>
        <v>305145.94941897993</v>
      </c>
      <c r="T264" s="63">
        <f t="shared" si="202"/>
        <v>305145.94941897993</v>
      </c>
      <c r="U264" s="63">
        <f t="shared" si="202"/>
        <v>305145.94941897993</v>
      </c>
      <c r="V264" s="63">
        <f t="shared" si="202"/>
        <v>305145.94941897993</v>
      </c>
      <c r="W264" s="63">
        <f t="shared" si="202"/>
        <v>305145.94941897993</v>
      </c>
      <c r="X264" s="63">
        <f t="shared" si="202"/>
        <v>305145.94941897993</v>
      </c>
      <c r="Y264" s="63">
        <f t="shared" si="202"/>
        <v>305145.94941897993</v>
      </c>
      <c r="Z264" s="63">
        <f t="shared" si="202"/>
        <v>305145.94941897993</v>
      </c>
      <c r="AA264" s="63">
        <f t="shared" si="202"/>
        <v>305145.94941897993</v>
      </c>
      <c r="AB264" s="63">
        <f t="shared" si="202"/>
        <v>305145.94941897993</v>
      </c>
      <c r="AC264" s="63">
        <f t="shared" si="202"/>
        <v>305145.94941897993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-45369.034506436277</v>
      </c>
      <c r="C265" s="62">
        <f t="shared" ref="C265:AC265" si="203">((1+C249)^C256)*C249/(((1+C249)^C256)-1)*(C246)</f>
        <v>-45196.542704314146</v>
      </c>
      <c r="D265" s="62">
        <f t="shared" si="203"/>
        <v>-44951.629072308999</v>
      </c>
      <c r="E265" s="62">
        <f t="shared" si="203"/>
        <v>-44605.467188167124</v>
      </c>
      <c r="F265" s="62">
        <f t="shared" si="203"/>
        <v>-44119.462148109647</v>
      </c>
      <c r="G265" s="62">
        <f t="shared" si="203"/>
        <v>-43443.738717137028</v>
      </c>
      <c r="H265" s="62">
        <f t="shared" si="203"/>
        <v>-42517.347172137401</v>
      </c>
      <c r="I265" s="62">
        <f t="shared" si="203"/>
        <v>-41272.376203762586</v>
      </c>
      <c r="J265" s="62">
        <f t="shared" si="203"/>
        <v>-39644.958637393647</v>
      </c>
      <c r="K265" s="62">
        <f t="shared" si="203"/>
        <v>-37595.501281822799</v>
      </c>
      <c r="L265" s="62">
        <f t="shared" si="203"/>
        <v>-35136.211284820376</v>
      </c>
      <c r="M265" s="62">
        <f t="shared" si="203"/>
        <v>-32355.310948630464</v>
      </c>
      <c r="N265" s="62">
        <f t="shared" si="203"/>
        <v>-29419.525873461753</v>
      </c>
      <c r="O265" s="62">
        <f t="shared" si="203"/>
        <v>-26541.511557340396</v>
      </c>
      <c r="P265" s="62">
        <f t="shared" si="203"/>
        <v>-23921.595885610663</v>
      </c>
      <c r="Q265" s="62">
        <f t="shared" si="203"/>
        <v>-21695.040647806538</v>
      </c>
      <c r="R265" s="62">
        <f t="shared" si="203"/>
        <v>-19911.968655776182</v>
      </c>
      <c r="S265" s="62">
        <f t="shared" si="203"/>
        <v>-18551.40558747459</v>
      </c>
      <c r="T265" s="62">
        <f t="shared" si="203"/>
        <v>-17551.282614957105</v>
      </c>
      <c r="U265" s="62">
        <f t="shared" si="203"/>
        <v>-16836.209158050464</v>
      </c>
      <c r="V265" s="62">
        <f t="shared" si="203"/>
        <v>-16335.048266557109</v>
      </c>
      <c r="W265" s="62">
        <f t="shared" si="203"/>
        <v>-15988.715286779448</v>
      </c>
      <c r="X265" s="62">
        <f t="shared" si="203"/>
        <v>-15751.702370283236</v>
      </c>
      <c r="Y265" s="62">
        <f t="shared" si="203"/>
        <v>-15590.58521762073</v>
      </c>
      <c r="Z265" s="62">
        <f t="shared" si="203"/>
        <v>-15481.559033229796</v>
      </c>
      <c r="AA265" s="62">
        <f t="shared" si="203"/>
        <v>-15408.009855414111</v>
      </c>
      <c r="AB265" s="62">
        <f t="shared" si="203"/>
        <v>-15358.496914269901</v>
      </c>
      <c r="AC265" s="62">
        <f t="shared" si="203"/>
        <v>-15325.211858527608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04">((1+C249)^C257)*C249/(((1+C249)^C257)-1)*(C247)</f>
        <v>203416.95217213215</v>
      </c>
      <c r="D266" s="62">
        <f t="shared" si="204"/>
        <v>203416.95217213215</v>
      </c>
      <c r="E266" s="62">
        <f t="shared" si="204"/>
        <v>203416.95217213215</v>
      </c>
      <c r="F266" s="62">
        <f t="shared" si="204"/>
        <v>203416.95217213215</v>
      </c>
      <c r="G266" s="62">
        <f t="shared" si="204"/>
        <v>203416.95217213215</v>
      </c>
      <c r="H266" s="62">
        <f t="shared" si="204"/>
        <v>203416.95217213215</v>
      </c>
      <c r="I266" s="62">
        <f t="shared" si="204"/>
        <v>203416.95217213215</v>
      </c>
      <c r="J266" s="62">
        <f t="shared" si="204"/>
        <v>203416.95217213215</v>
      </c>
      <c r="K266" s="62">
        <f t="shared" si="204"/>
        <v>203416.95217213215</v>
      </c>
      <c r="L266" s="62">
        <f t="shared" si="204"/>
        <v>203416.95217213215</v>
      </c>
      <c r="M266" s="62">
        <f t="shared" si="204"/>
        <v>203416.95217213215</v>
      </c>
      <c r="N266" s="62">
        <f t="shared" si="204"/>
        <v>203416.95217213215</v>
      </c>
      <c r="O266" s="62">
        <f t="shared" si="204"/>
        <v>203416.95217213215</v>
      </c>
      <c r="P266" s="62">
        <f t="shared" si="204"/>
        <v>203416.95217213215</v>
      </c>
      <c r="Q266" s="62">
        <f t="shared" si="204"/>
        <v>203416.95217213215</v>
      </c>
      <c r="R266" s="62">
        <f t="shared" si="204"/>
        <v>203416.95217213215</v>
      </c>
      <c r="S266" s="62">
        <f t="shared" si="204"/>
        <v>203416.95217213215</v>
      </c>
      <c r="T266" s="62">
        <f t="shared" si="204"/>
        <v>203416.95217213215</v>
      </c>
      <c r="U266" s="62">
        <f t="shared" si="204"/>
        <v>203416.95217213215</v>
      </c>
      <c r="V266" s="62">
        <f t="shared" si="204"/>
        <v>203416.95217213215</v>
      </c>
      <c r="W266" s="62">
        <f t="shared" si="204"/>
        <v>203416.95217213215</v>
      </c>
      <c r="X266" s="62">
        <f t="shared" si="204"/>
        <v>203416.95217213215</v>
      </c>
      <c r="Y266" s="62">
        <f t="shared" si="204"/>
        <v>203416.95217213215</v>
      </c>
      <c r="Z266" s="62">
        <f t="shared" si="204"/>
        <v>203416.95217213215</v>
      </c>
      <c r="AA266" s="62">
        <f t="shared" si="204"/>
        <v>203416.95217213215</v>
      </c>
      <c r="AB266" s="62">
        <f t="shared" si="204"/>
        <v>203416.95217213215</v>
      </c>
      <c r="AC266" s="62">
        <f t="shared" si="204"/>
        <v>203416.95217213215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05">((1+C249)^C257)*C249/(((1+C249)^C257)-1)*(C248)</f>
        <v>-10170.847608606608</v>
      </c>
      <c r="D267" s="62">
        <f t="shared" si="205"/>
        <v>-10170.847608606608</v>
      </c>
      <c r="E267" s="62">
        <f t="shared" si="205"/>
        <v>-10170.847608606608</v>
      </c>
      <c r="F267" s="62">
        <f t="shared" si="205"/>
        <v>-10170.847608606608</v>
      </c>
      <c r="G267" s="62">
        <f t="shared" si="205"/>
        <v>-10170.847608606608</v>
      </c>
      <c r="H267" s="62">
        <f t="shared" si="205"/>
        <v>-10170.847608606608</v>
      </c>
      <c r="I267" s="62">
        <f t="shared" si="205"/>
        <v>-10170.847608606608</v>
      </c>
      <c r="J267" s="62">
        <f t="shared" si="205"/>
        <v>-10170.847608606608</v>
      </c>
      <c r="K267" s="62">
        <f t="shared" si="205"/>
        <v>-10170.847608606608</v>
      </c>
      <c r="L267" s="62">
        <f t="shared" si="205"/>
        <v>-10170.847608606608</v>
      </c>
      <c r="M267" s="62">
        <f t="shared" si="205"/>
        <v>-10170.847608606608</v>
      </c>
      <c r="N267" s="62">
        <f t="shared" si="205"/>
        <v>-10170.847608606608</v>
      </c>
      <c r="O267" s="62">
        <f t="shared" si="205"/>
        <v>-10170.847608606608</v>
      </c>
      <c r="P267" s="62">
        <f t="shared" si="205"/>
        <v>-10170.847608606608</v>
      </c>
      <c r="Q267" s="62">
        <f t="shared" si="205"/>
        <v>-10170.847608606608</v>
      </c>
      <c r="R267" s="62">
        <f t="shared" si="205"/>
        <v>-10170.847608606608</v>
      </c>
      <c r="S267" s="62">
        <f t="shared" si="205"/>
        <v>-10170.847608606608</v>
      </c>
      <c r="T267" s="62">
        <f t="shared" si="205"/>
        <v>-10170.847608606608</v>
      </c>
      <c r="U267" s="62">
        <f t="shared" si="205"/>
        <v>-10170.847608606608</v>
      </c>
      <c r="V267" s="62">
        <f t="shared" si="205"/>
        <v>-10170.847608606608</v>
      </c>
      <c r="W267" s="62">
        <f t="shared" si="205"/>
        <v>-10170.847608606608</v>
      </c>
      <c r="X267" s="62">
        <f t="shared" si="205"/>
        <v>-10170.847608606608</v>
      </c>
      <c r="Y267" s="62">
        <f t="shared" si="205"/>
        <v>-10170.847608606608</v>
      </c>
      <c r="Z267" s="62">
        <f t="shared" si="205"/>
        <v>-10170.847608606608</v>
      </c>
      <c r="AA267" s="62">
        <f t="shared" si="205"/>
        <v>-10170.847608606608</v>
      </c>
      <c r="AB267" s="62">
        <f t="shared" si="205"/>
        <v>-10170.847608606608</v>
      </c>
      <c r="AC267" s="62">
        <f t="shared" si="205"/>
        <v>-10170.847608606608</v>
      </c>
    </row>
    <row r="268" spans="1:29" x14ac:dyDescent="0.3">
      <c r="A268" s="30" t="str">
        <f t="shared" ref="A268:AC268" si="206">A250</f>
        <v>Opex fix (admin, crew, insurance)</v>
      </c>
      <c r="B268" s="62">
        <f t="shared" si="206"/>
        <v>610000</v>
      </c>
      <c r="C268" s="62">
        <f t="shared" si="206"/>
        <v>610000</v>
      </c>
      <c r="D268" s="62">
        <f t="shared" si="206"/>
        <v>610000</v>
      </c>
      <c r="E268" s="62">
        <f t="shared" si="206"/>
        <v>610000</v>
      </c>
      <c r="F268" s="62">
        <f t="shared" si="206"/>
        <v>610000</v>
      </c>
      <c r="G268" s="62">
        <f t="shared" si="206"/>
        <v>610000</v>
      </c>
      <c r="H268" s="62">
        <f t="shared" si="206"/>
        <v>610000</v>
      </c>
      <c r="I268" s="62">
        <f t="shared" si="206"/>
        <v>610000</v>
      </c>
      <c r="J268" s="62">
        <f t="shared" si="206"/>
        <v>610000</v>
      </c>
      <c r="K268" s="62">
        <f t="shared" si="206"/>
        <v>610000</v>
      </c>
      <c r="L268" s="62">
        <f t="shared" si="206"/>
        <v>610000</v>
      </c>
      <c r="M268" s="62">
        <f t="shared" si="206"/>
        <v>610000</v>
      </c>
      <c r="N268" s="62">
        <f t="shared" si="206"/>
        <v>610000</v>
      </c>
      <c r="O268" s="62">
        <f t="shared" si="206"/>
        <v>610000</v>
      </c>
      <c r="P268" s="62">
        <f t="shared" si="206"/>
        <v>610000</v>
      </c>
      <c r="Q268" s="62">
        <f t="shared" si="206"/>
        <v>610000</v>
      </c>
      <c r="R268" s="62">
        <f t="shared" si="206"/>
        <v>610000</v>
      </c>
      <c r="S268" s="62">
        <f t="shared" si="206"/>
        <v>610000</v>
      </c>
      <c r="T268" s="62">
        <f t="shared" si="206"/>
        <v>610000</v>
      </c>
      <c r="U268" s="62">
        <f t="shared" si="206"/>
        <v>610000</v>
      </c>
      <c r="V268" s="62">
        <f t="shared" si="206"/>
        <v>610000</v>
      </c>
      <c r="W268" s="62">
        <f t="shared" si="206"/>
        <v>610000</v>
      </c>
      <c r="X268" s="62">
        <f t="shared" si="206"/>
        <v>610000</v>
      </c>
      <c r="Y268" s="62">
        <f t="shared" si="206"/>
        <v>610000</v>
      </c>
      <c r="Z268" s="62">
        <f t="shared" si="206"/>
        <v>610000</v>
      </c>
      <c r="AA268" s="62">
        <f t="shared" si="206"/>
        <v>610000</v>
      </c>
      <c r="AB268" s="62">
        <f t="shared" si="206"/>
        <v>610000</v>
      </c>
      <c r="AC268" s="62">
        <f t="shared" si="206"/>
        <v>610000</v>
      </c>
    </row>
    <row r="269" spans="1:29" x14ac:dyDescent="0.3">
      <c r="A269" s="30" t="str">
        <f t="shared" ref="A269:AC269" si="207">A251</f>
        <v>Opex maintenance &amp; repair</v>
      </c>
      <c r="B269" s="62">
        <f t="shared" si="207"/>
        <v>1050000</v>
      </c>
      <c r="C269" s="62">
        <f t="shared" si="207"/>
        <v>1050000</v>
      </c>
      <c r="D269" s="62">
        <f t="shared" si="207"/>
        <v>1050000</v>
      </c>
      <c r="E269" s="62">
        <f t="shared" si="207"/>
        <v>1050000</v>
      </c>
      <c r="F269" s="62">
        <f t="shared" si="207"/>
        <v>1050000</v>
      </c>
      <c r="G269" s="62">
        <f t="shared" si="207"/>
        <v>1050000</v>
      </c>
      <c r="H269" s="62">
        <f t="shared" si="207"/>
        <v>1050000</v>
      </c>
      <c r="I269" s="62">
        <f t="shared" si="207"/>
        <v>1050000</v>
      </c>
      <c r="J269" s="62">
        <f t="shared" si="207"/>
        <v>1050000</v>
      </c>
      <c r="K269" s="62">
        <f t="shared" si="207"/>
        <v>1050000</v>
      </c>
      <c r="L269" s="62">
        <f t="shared" si="207"/>
        <v>1050000</v>
      </c>
      <c r="M269" s="62">
        <f t="shared" si="207"/>
        <v>1050000</v>
      </c>
      <c r="N269" s="62">
        <f t="shared" si="207"/>
        <v>1050000</v>
      </c>
      <c r="O269" s="62">
        <f t="shared" si="207"/>
        <v>1050000</v>
      </c>
      <c r="P269" s="62">
        <f t="shared" si="207"/>
        <v>1050000</v>
      </c>
      <c r="Q269" s="62">
        <f t="shared" si="207"/>
        <v>1050000</v>
      </c>
      <c r="R269" s="62">
        <f t="shared" si="207"/>
        <v>1050000</v>
      </c>
      <c r="S269" s="62">
        <f t="shared" si="207"/>
        <v>1050000</v>
      </c>
      <c r="T269" s="62">
        <f t="shared" si="207"/>
        <v>1050000</v>
      </c>
      <c r="U269" s="62">
        <f t="shared" si="207"/>
        <v>1050000</v>
      </c>
      <c r="V269" s="62">
        <f t="shared" si="207"/>
        <v>1050000</v>
      </c>
      <c r="W269" s="62">
        <f t="shared" si="207"/>
        <v>1050000</v>
      </c>
      <c r="X269" s="62">
        <f t="shared" si="207"/>
        <v>1050000</v>
      </c>
      <c r="Y269" s="62">
        <f t="shared" si="207"/>
        <v>1050000</v>
      </c>
      <c r="Z269" s="62">
        <f t="shared" si="207"/>
        <v>1050000</v>
      </c>
      <c r="AA269" s="62">
        <f t="shared" si="207"/>
        <v>1050000</v>
      </c>
      <c r="AB269" s="62">
        <f t="shared" si="207"/>
        <v>1050000</v>
      </c>
      <c r="AC269" s="62">
        <f t="shared" si="207"/>
        <v>1050000</v>
      </c>
    </row>
    <row r="270" spans="1:29" x14ac:dyDescent="0.3">
      <c r="A270" s="30" t="str">
        <f>A252</f>
        <v>Opex var (mode-fees, shunting)</v>
      </c>
      <c r="B270" s="62">
        <f>B252*B261</f>
        <v>650000</v>
      </c>
      <c r="C270" s="62">
        <f t="shared" ref="C270:AC270" si="208">C252*C261</f>
        <v>650000</v>
      </c>
      <c r="D270" s="62">
        <f t="shared" si="208"/>
        <v>650000</v>
      </c>
      <c r="E270" s="62">
        <f t="shared" si="208"/>
        <v>650000</v>
      </c>
      <c r="F270" s="62">
        <f t="shared" si="208"/>
        <v>650000</v>
      </c>
      <c r="G270" s="62">
        <f t="shared" si="208"/>
        <v>650000</v>
      </c>
      <c r="H270" s="62">
        <f t="shared" si="208"/>
        <v>650000</v>
      </c>
      <c r="I270" s="62">
        <f t="shared" si="208"/>
        <v>650000</v>
      </c>
      <c r="J270" s="62">
        <f t="shared" si="208"/>
        <v>650000</v>
      </c>
      <c r="K270" s="62">
        <f t="shared" si="208"/>
        <v>650000</v>
      </c>
      <c r="L270" s="62">
        <f t="shared" si="208"/>
        <v>650000</v>
      </c>
      <c r="M270" s="62">
        <f t="shared" si="208"/>
        <v>650000</v>
      </c>
      <c r="N270" s="62">
        <f t="shared" si="208"/>
        <v>650000</v>
      </c>
      <c r="O270" s="62">
        <f t="shared" si="208"/>
        <v>650000</v>
      </c>
      <c r="P270" s="62">
        <f t="shared" si="208"/>
        <v>650000</v>
      </c>
      <c r="Q270" s="62">
        <f t="shared" si="208"/>
        <v>650000</v>
      </c>
      <c r="R270" s="62">
        <f t="shared" si="208"/>
        <v>650000</v>
      </c>
      <c r="S270" s="62">
        <f t="shared" si="208"/>
        <v>650000</v>
      </c>
      <c r="T270" s="62">
        <f t="shared" si="208"/>
        <v>650000</v>
      </c>
      <c r="U270" s="62">
        <f t="shared" si="208"/>
        <v>650000</v>
      </c>
      <c r="V270" s="62">
        <f t="shared" si="208"/>
        <v>650000</v>
      </c>
      <c r="W270" s="62">
        <f t="shared" si="208"/>
        <v>650000</v>
      </c>
      <c r="X270" s="62">
        <f t="shared" si="208"/>
        <v>650000</v>
      </c>
      <c r="Y270" s="62">
        <f t="shared" si="208"/>
        <v>650000</v>
      </c>
      <c r="Z270" s="62">
        <f t="shared" si="208"/>
        <v>650000</v>
      </c>
      <c r="AA270" s="62">
        <f t="shared" si="208"/>
        <v>650000</v>
      </c>
      <c r="AB270" s="62">
        <f t="shared" si="208"/>
        <v>650000</v>
      </c>
      <c r="AC270" s="62">
        <f t="shared" si="208"/>
        <v>650000</v>
      </c>
    </row>
    <row r="271" spans="1:29" x14ac:dyDescent="0.3">
      <c r="A271" s="30" t="str">
        <f>A254</f>
        <v>Fuel Cost</v>
      </c>
      <c r="B271" s="62">
        <f>B253*B254*B261</f>
        <v>1108185.1200000001</v>
      </c>
      <c r="C271" s="62">
        <f t="shared" ref="C271:AC271" si="209">C253*C254*C261</f>
        <v>1108185.1200000001</v>
      </c>
      <c r="D271" s="62">
        <f t="shared" si="209"/>
        <v>1108185.1200000001</v>
      </c>
      <c r="E271" s="62">
        <f t="shared" si="209"/>
        <v>1108185.1200000001</v>
      </c>
      <c r="F271" s="62">
        <f t="shared" si="209"/>
        <v>1108185.1200000001</v>
      </c>
      <c r="G271" s="62">
        <f t="shared" si="209"/>
        <v>1108185.1200000001</v>
      </c>
      <c r="H271" s="62">
        <f t="shared" si="209"/>
        <v>1108185.1200000001</v>
      </c>
      <c r="I271" s="62">
        <f t="shared" si="209"/>
        <v>1108185.1200000001</v>
      </c>
      <c r="J271" s="62">
        <f t="shared" si="209"/>
        <v>1108185.1200000001</v>
      </c>
      <c r="K271" s="62">
        <f t="shared" si="209"/>
        <v>1108185.1200000001</v>
      </c>
      <c r="L271" s="62">
        <f t="shared" si="209"/>
        <v>1108185.1200000001</v>
      </c>
      <c r="M271" s="62">
        <f t="shared" si="209"/>
        <v>1108185.1200000001</v>
      </c>
      <c r="N271" s="62">
        <f t="shared" si="209"/>
        <v>1108185.1200000001</v>
      </c>
      <c r="O271" s="62">
        <f t="shared" si="209"/>
        <v>1108185.1200000001</v>
      </c>
      <c r="P271" s="62">
        <f t="shared" si="209"/>
        <v>1108185.1200000001</v>
      </c>
      <c r="Q271" s="62">
        <f t="shared" si="209"/>
        <v>1108185.1200000001</v>
      </c>
      <c r="R271" s="62">
        <f t="shared" si="209"/>
        <v>1108185.1200000001</v>
      </c>
      <c r="S271" s="62">
        <f t="shared" si="209"/>
        <v>1108185.1200000001</v>
      </c>
      <c r="T271" s="62">
        <f t="shared" si="209"/>
        <v>1108185.1200000001</v>
      </c>
      <c r="U271" s="62">
        <f t="shared" si="209"/>
        <v>1108185.1200000001</v>
      </c>
      <c r="V271" s="62">
        <f t="shared" si="209"/>
        <v>1108185.1200000001</v>
      </c>
      <c r="W271" s="62">
        <f t="shared" si="209"/>
        <v>1108185.1200000001</v>
      </c>
      <c r="X271" s="62">
        <f t="shared" si="209"/>
        <v>1108185.1200000001</v>
      </c>
      <c r="Y271" s="62">
        <f t="shared" si="209"/>
        <v>1108185.1200000001</v>
      </c>
      <c r="Z271" s="62">
        <f t="shared" si="209"/>
        <v>1108185.1200000001</v>
      </c>
      <c r="AA271" s="62">
        <f t="shared" si="209"/>
        <v>1108185.1200000001</v>
      </c>
      <c r="AB271" s="62">
        <f t="shared" si="209"/>
        <v>1108185.1200000001</v>
      </c>
      <c r="AC271" s="62">
        <f t="shared" si="209"/>
        <v>1108185.1200000001</v>
      </c>
    </row>
    <row r="272" spans="1:29" ht="15" thickBot="1" x14ac:dyDescent="0.35">
      <c r="A272" s="59" t="str">
        <f>A235</f>
        <v>Emission Cost</v>
      </c>
      <c r="B272" s="62">
        <f>B255*B261</f>
        <v>297076.12650833098</v>
      </c>
      <c r="C272" s="62">
        <f t="shared" ref="C272:AC272" si="210">C255*C261</f>
        <v>297777.94199366053</v>
      </c>
      <c r="D272" s="62">
        <f t="shared" si="210"/>
        <v>298782.5752292301</v>
      </c>
      <c r="E272" s="62">
        <f t="shared" si="210"/>
        <v>300219.7737216797</v>
      </c>
      <c r="F272" s="62">
        <f t="shared" si="210"/>
        <v>302273.84750098281</v>
      </c>
      <c r="G272" s="62">
        <f t="shared" si="210"/>
        <v>305205.45468780003</v>
      </c>
      <c r="H272" s="62">
        <f t="shared" si="210"/>
        <v>309380.78252379573</v>
      </c>
      <c r="I272" s="62">
        <f t="shared" si="210"/>
        <v>315309.1495101981</v>
      </c>
      <c r="J272" s="62">
        <f t="shared" si="210"/>
        <v>323688.32656578312</v>
      </c>
      <c r="K272" s="62">
        <f t="shared" si="210"/>
        <v>335452.53997894813</v>
      </c>
      <c r="L272" s="62">
        <f t="shared" si="210"/>
        <v>351809.06716495787</v>
      </c>
      <c r="M272" s="62">
        <f t="shared" si="210"/>
        <v>374233.25403807813</v>
      </c>
      <c r="N272" s="62">
        <f t="shared" si="210"/>
        <v>404368.95831683179</v>
      </c>
      <c r="O272" s="62">
        <f t="shared" si="210"/>
        <v>443762.14559907379</v>
      </c>
      <c r="P272" s="62">
        <f t="shared" si="210"/>
        <v>493371.20666820335</v>
      </c>
      <c r="Q272" s="62">
        <f t="shared" si="210"/>
        <v>552900.65592283802</v>
      </c>
      <c r="R272" s="62">
        <f t="shared" si="210"/>
        <v>620214.98877792771</v>
      </c>
      <c r="S272" s="62">
        <f t="shared" si="210"/>
        <v>691278.45378928771</v>
      </c>
      <c r="T272" s="62">
        <f t="shared" si="210"/>
        <v>760943.5227297073</v>
      </c>
      <c r="U272" s="62">
        <f t="shared" si="210"/>
        <v>824361.06894091319</v>
      </c>
      <c r="V272" s="62">
        <f t="shared" si="210"/>
        <v>878256.95238819218</v>
      </c>
      <c r="W272" s="62">
        <f t="shared" si="210"/>
        <v>921417.90282360604</v>
      </c>
      <c r="X272" s="62">
        <f t="shared" si="210"/>
        <v>954351.62362550874</v>
      </c>
      <c r="Y272" s="62">
        <f t="shared" si="210"/>
        <v>978560.54970313353</v>
      </c>
      <c r="Z272" s="62">
        <f t="shared" si="210"/>
        <v>995869.58162622747</v>
      </c>
      <c r="AA272" s="62">
        <f t="shared" si="210"/>
        <v>1008000.6568125312</v>
      </c>
      <c r="AB272" s="62">
        <f t="shared" si="210"/>
        <v>1016383.9754004205</v>
      </c>
      <c r="AC272" s="62">
        <f t="shared" si="210"/>
        <v>1022121.0980669021</v>
      </c>
    </row>
    <row r="273" spans="1:29" ht="15" thickBot="1" x14ac:dyDescent="0.35">
      <c r="A273" s="31" t="s">
        <v>209</v>
      </c>
      <c r="B273" s="64">
        <f>B264+B265+B266+B267+B268+B269+B270+B271+B272</f>
        <v>4168284.2659844002</v>
      </c>
      <c r="C273" s="64">
        <f t="shared" ref="C273:AC273" si="211">C264+C265+C266+C267+C268+C269+C270+C271+C272</f>
        <v>4169158.573271852</v>
      </c>
      <c r="D273" s="64">
        <f t="shared" si="211"/>
        <v>4170408.1201394266</v>
      </c>
      <c r="E273" s="64">
        <f t="shared" si="211"/>
        <v>4172191.4805160179</v>
      </c>
      <c r="F273" s="64">
        <f t="shared" si="211"/>
        <v>4174731.5593353789</v>
      </c>
      <c r="G273" s="64">
        <f t="shared" si="211"/>
        <v>4178338.889953169</v>
      </c>
      <c r="H273" s="64">
        <f t="shared" si="211"/>
        <v>4183440.6093341643</v>
      </c>
      <c r="I273" s="64">
        <f t="shared" si="211"/>
        <v>4190613.9472889411</v>
      </c>
      <c r="J273" s="64">
        <f t="shared" si="211"/>
        <v>4200620.5419108951</v>
      </c>
      <c r="K273" s="64">
        <f t="shared" si="211"/>
        <v>4214434.2126796311</v>
      </c>
      <c r="L273" s="64">
        <f t="shared" si="211"/>
        <v>4233250.0298626432</v>
      </c>
      <c r="M273" s="64">
        <f t="shared" si="211"/>
        <v>4258455.1170719527</v>
      </c>
      <c r="N273" s="64">
        <f t="shared" si="211"/>
        <v>4291526.6064258758</v>
      </c>
      <c r="O273" s="64">
        <f t="shared" si="211"/>
        <v>4333797.8080242388</v>
      </c>
      <c r="P273" s="64">
        <f t="shared" si="211"/>
        <v>4386026.7847650982</v>
      </c>
      <c r="Q273" s="64">
        <f t="shared" si="211"/>
        <v>4447782.7892575376</v>
      </c>
      <c r="R273" s="64">
        <f t="shared" si="211"/>
        <v>4516880.1941046575</v>
      </c>
      <c r="S273" s="64">
        <f t="shared" si="211"/>
        <v>4589304.222184319</v>
      </c>
      <c r="T273" s="64">
        <f t="shared" si="211"/>
        <v>4659969.414097256</v>
      </c>
      <c r="U273" s="64">
        <f t="shared" si="211"/>
        <v>4724102.0337653682</v>
      </c>
      <c r="V273" s="64">
        <f t="shared" si="211"/>
        <v>4778499.0781041412</v>
      </c>
      <c r="W273" s="64">
        <f t="shared" si="211"/>
        <v>4822006.361519332</v>
      </c>
      <c r="X273" s="64">
        <f t="shared" si="211"/>
        <v>4855177.095237731</v>
      </c>
      <c r="Y273" s="64">
        <f t="shared" si="211"/>
        <v>4879547.1384680187</v>
      </c>
      <c r="Z273" s="64">
        <f t="shared" si="211"/>
        <v>4896965.1965755029</v>
      </c>
      <c r="AA273" s="64">
        <f t="shared" si="211"/>
        <v>4909169.8209396228</v>
      </c>
      <c r="AB273" s="64">
        <f t="shared" si="211"/>
        <v>4917602.6524686562</v>
      </c>
      <c r="AC273" s="64">
        <f t="shared" si="211"/>
        <v>4923373.0601908797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12">A264</f>
        <v>Capex vehicle</v>
      </c>
      <c r="B276" s="65">
        <f>((1+B249)^B256)*B249/(((1+B249)^B256)-1)*(B245)/B261</f>
        <v>1.7095011171931649</v>
      </c>
      <c r="C276" s="65">
        <f t="shared" ref="C276:AC276" si="213">((1+C249)^C256)*C249/(((1+C249)^C256)-1)*(C245)/C261</f>
        <v>1.7095011171931649</v>
      </c>
      <c r="D276" s="65">
        <f t="shared" si="213"/>
        <v>1.7095011171931649</v>
      </c>
      <c r="E276" s="65">
        <f t="shared" si="213"/>
        <v>1.7095011171931649</v>
      </c>
      <c r="F276" s="65">
        <f t="shared" si="213"/>
        <v>1.7095011171931649</v>
      </c>
      <c r="G276" s="65">
        <f t="shared" si="213"/>
        <v>1.7095011171931649</v>
      </c>
      <c r="H276" s="65">
        <f t="shared" si="213"/>
        <v>1.7095011171931649</v>
      </c>
      <c r="I276" s="65">
        <f t="shared" si="213"/>
        <v>1.7095011171931649</v>
      </c>
      <c r="J276" s="65">
        <f t="shared" si="213"/>
        <v>1.7095011171931649</v>
      </c>
      <c r="K276" s="65">
        <f t="shared" si="213"/>
        <v>1.7095011171931649</v>
      </c>
      <c r="L276" s="65">
        <f t="shared" si="213"/>
        <v>1.7095011171931649</v>
      </c>
      <c r="M276" s="65">
        <f t="shared" si="213"/>
        <v>1.7095011171931649</v>
      </c>
      <c r="N276" s="65">
        <f t="shared" si="213"/>
        <v>1.7095011171931649</v>
      </c>
      <c r="O276" s="65">
        <f t="shared" si="213"/>
        <v>1.7095011171931649</v>
      </c>
      <c r="P276" s="65">
        <f t="shared" si="213"/>
        <v>1.7095011171931649</v>
      </c>
      <c r="Q276" s="65">
        <f t="shared" si="213"/>
        <v>1.7095011171931649</v>
      </c>
      <c r="R276" s="65">
        <f t="shared" si="213"/>
        <v>1.7095011171931649</v>
      </c>
      <c r="S276" s="65">
        <f t="shared" si="213"/>
        <v>1.7095011171931649</v>
      </c>
      <c r="T276" s="65">
        <f t="shared" si="213"/>
        <v>1.7095011171931649</v>
      </c>
      <c r="U276" s="65">
        <f t="shared" si="213"/>
        <v>1.7095011171931649</v>
      </c>
      <c r="V276" s="65">
        <f t="shared" si="213"/>
        <v>1.7095011171931649</v>
      </c>
      <c r="W276" s="65">
        <f t="shared" si="213"/>
        <v>1.7095011171931649</v>
      </c>
      <c r="X276" s="65">
        <f t="shared" si="213"/>
        <v>1.7095011171931649</v>
      </c>
      <c r="Y276" s="65">
        <f t="shared" si="213"/>
        <v>1.7095011171931649</v>
      </c>
      <c r="Z276" s="65">
        <f t="shared" si="213"/>
        <v>1.7095011171931649</v>
      </c>
      <c r="AA276" s="65">
        <f t="shared" si="213"/>
        <v>1.7095011171931649</v>
      </c>
      <c r="AB276" s="65">
        <f t="shared" si="213"/>
        <v>1.7095011171931649</v>
      </c>
      <c r="AC276" s="65">
        <f t="shared" si="213"/>
        <v>1.7095011171931649</v>
      </c>
    </row>
    <row r="277" spans="1:29" x14ac:dyDescent="0.3">
      <c r="A277" s="30" t="str">
        <f t="shared" si="212"/>
        <v>Residual value (vehicle)</v>
      </c>
      <c r="B277" s="66">
        <f>((1+B249)^B256)*B249/(((1+B249)^B256)-1)*(B246)/B261</f>
        <v>-0.25416826054025926</v>
      </c>
      <c r="C277" s="66">
        <f t="shared" ref="C277:AC277" si="214">((1+C249)^C256)*C249/(((1+C249)^C256)-1)*(C246)/C261</f>
        <v>-0.2532019199121241</v>
      </c>
      <c r="D277" s="66">
        <f t="shared" si="214"/>
        <v>-0.25182985474682912</v>
      </c>
      <c r="E277" s="66">
        <f t="shared" si="214"/>
        <v>-0.24989057248272897</v>
      </c>
      <c r="F277" s="66">
        <f t="shared" si="214"/>
        <v>-0.24716785517148263</v>
      </c>
      <c r="G277" s="66">
        <f t="shared" si="214"/>
        <v>-0.2433822897318601</v>
      </c>
      <c r="H277" s="66">
        <f t="shared" si="214"/>
        <v>-0.23819242113242242</v>
      </c>
      <c r="I277" s="66">
        <f t="shared" si="214"/>
        <v>-0.23121779385861393</v>
      </c>
      <c r="J277" s="66">
        <f t="shared" si="214"/>
        <v>-0.22210060861284955</v>
      </c>
      <c r="K277" s="66">
        <f t="shared" si="214"/>
        <v>-0.21061905480012771</v>
      </c>
      <c r="L277" s="66">
        <f t="shared" si="214"/>
        <v>-0.19684151980291528</v>
      </c>
      <c r="M277" s="66">
        <f t="shared" si="214"/>
        <v>-0.18126224621081494</v>
      </c>
      <c r="N277" s="66">
        <f t="shared" si="214"/>
        <v>-0.16481527099978574</v>
      </c>
      <c r="O277" s="66">
        <f t="shared" si="214"/>
        <v>-0.14869194149770532</v>
      </c>
      <c r="P277" s="66">
        <f t="shared" si="214"/>
        <v>-0.13401454277653033</v>
      </c>
      <c r="Q277" s="66">
        <f t="shared" si="214"/>
        <v>-0.12154084396530274</v>
      </c>
      <c r="R277" s="66">
        <f t="shared" si="214"/>
        <v>-0.11155164513039878</v>
      </c>
      <c r="S277" s="66">
        <f t="shared" si="214"/>
        <v>-0.10392944306708454</v>
      </c>
      <c r="T277" s="66">
        <f t="shared" si="214"/>
        <v>-9.8326513249059416E-2</v>
      </c>
      <c r="U277" s="66">
        <f t="shared" si="214"/>
        <v>-9.4320499484876544E-2</v>
      </c>
      <c r="V277" s="66">
        <f t="shared" si="214"/>
        <v>-9.1512875442896963E-2</v>
      </c>
      <c r="W277" s="66">
        <f t="shared" si="214"/>
        <v>-8.9572634659828843E-2</v>
      </c>
      <c r="X277" s="66">
        <f t="shared" si="214"/>
        <v>-8.8244831206068547E-2</v>
      </c>
      <c r="Y277" s="66">
        <f t="shared" si="214"/>
        <v>-8.734221410431782E-2</v>
      </c>
      <c r="Z277" s="66">
        <f t="shared" si="214"/>
        <v>-8.6731423155348999E-2</v>
      </c>
      <c r="AA277" s="66">
        <f t="shared" si="214"/>
        <v>-8.631938294349642E-2</v>
      </c>
      <c r="AB277" s="66">
        <f t="shared" si="214"/>
        <v>-8.6041999519719331E-2</v>
      </c>
      <c r="AC277" s="66">
        <f t="shared" si="214"/>
        <v>-8.5855528619202287E-2</v>
      </c>
    </row>
    <row r="278" spans="1:29" x14ac:dyDescent="0.3">
      <c r="A278" s="30" t="str">
        <f t="shared" si="212"/>
        <v>Capex costumization</v>
      </c>
      <c r="B278" s="66">
        <f>((1+B249)^B257)*B249/(((1+B249)^B257)-1)*(B247)/B261</f>
        <v>1.1395907684713287</v>
      </c>
      <c r="C278" s="66">
        <f t="shared" ref="C278:AC278" si="215">((1+C249)^C257)*C249/(((1+C249)^C257)-1)*(C247)/C261</f>
        <v>1.1395907684713287</v>
      </c>
      <c r="D278" s="66">
        <f t="shared" si="215"/>
        <v>1.1395907684713287</v>
      </c>
      <c r="E278" s="66">
        <f t="shared" si="215"/>
        <v>1.1395907684713287</v>
      </c>
      <c r="F278" s="66">
        <f t="shared" si="215"/>
        <v>1.1395907684713287</v>
      </c>
      <c r="G278" s="66">
        <f t="shared" si="215"/>
        <v>1.1395907684713287</v>
      </c>
      <c r="H278" s="66">
        <f t="shared" si="215"/>
        <v>1.1395907684713287</v>
      </c>
      <c r="I278" s="66">
        <f t="shared" si="215"/>
        <v>1.1395907684713287</v>
      </c>
      <c r="J278" s="66">
        <f t="shared" si="215"/>
        <v>1.1395907684713287</v>
      </c>
      <c r="K278" s="66">
        <f t="shared" si="215"/>
        <v>1.1395907684713287</v>
      </c>
      <c r="L278" s="66">
        <f t="shared" si="215"/>
        <v>1.1395907684713287</v>
      </c>
      <c r="M278" s="66">
        <f t="shared" si="215"/>
        <v>1.1395907684713287</v>
      </c>
      <c r="N278" s="66">
        <f t="shared" si="215"/>
        <v>1.1395907684713287</v>
      </c>
      <c r="O278" s="66">
        <f t="shared" si="215"/>
        <v>1.1395907684713287</v>
      </c>
      <c r="P278" s="66">
        <f t="shared" si="215"/>
        <v>1.1395907684713287</v>
      </c>
      <c r="Q278" s="66">
        <f t="shared" si="215"/>
        <v>1.1395907684713287</v>
      </c>
      <c r="R278" s="66">
        <f t="shared" si="215"/>
        <v>1.1395907684713287</v>
      </c>
      <c r="S278" s="66">
        <f t="shared" si="215"/>
        <v>1.1395907684713287</v>
      </c>
      <c r="T278" s="66">
        <f t="shared" si="215"/>
        <v>1.1395907684713287</v>
      </c>
      <c r="U278" s="66">
        <f t="shared" si="215"/>
        <v>1.1395907684713287</v>
      </c>
      <c r="V278" s="66">
        <f t="shared" si="215"/>
        <v>1.1395907684713287</v>
      </c>
      <c r="W278" s="66">
        <f t="shared" si="215"/>
        <v>1.1395907684713287</v>
      </c>
      <c r="X278" s="66">
        <f t="shared" si="215"/>
        <v>1.1395907684713287</v>
      </c>
      <c r="Y278" s="66">
        <f t="shared" si="215"/>
        <v>1.1395907684713287</v>
      </c>
      <c r="Z278" s="66">
        <f t="shared" si="215"/>
        <v>1.1395907684713287</v>
      </c>
      <c r="AA278" s="66">
        <f t="shared" si="215"/>
        <v>1.1395907684713287</v>
      </c>
      <c r="AB278" s="66">
        <f t="shared" si="215"/>
        <v>1.1395907684713287</v>
      </c>
      <c r="AC278" s="66">
        <f t="shared" si="215"/>
        <v>1.1395907684713287</v>
      </c>
    </row>
    <row r="279" spans="1:29" x14ac:dyDescent="0.3">
      <c r="A279" s="30" t="str">
        <f t="shared" si="212"/>
        <v>Residual value (costumization)</v>
      </c>
      <c r="B279" s="66">
        <f>((1+B249)^B257)*B249/(((1+B249)^B257)-1)*(B248)/B261</f>
        <v>-5.6979538423566428E-2</v>
      </c>
      <c r="C279" s="66">
        <f t="shared" ref="C279:AC279" si="216">((1+C249)^C257)*C249/(((1+C249)^C257)-1)*(C248)/C261</f>
        <v>-5.6979538423566428E-2</v>
      </c>
      <c r="D279" s="66">
        <f t="shared" si="216"/>
        <v>-5.6979538423566428E-2</v>
      </c>
      <c r="E279" s="66">
        <f t="shared" si="216"/>
        <v>-5.6979538423566428E-2</v>
      </c>
      <c r="F279" s="66">
        <f t="shared" si="216"/>
        <v>-5.6979538423566428E-2</v>
      </c>
      <c r="G279" s="66">
        <f t="shared" si="216"/>
        <v>-5.6979538423566428E-2</v>
      </c>
      <c r="H279" s="66">
        <f t="shared" si="216"/>
        <v>-5.6979538423566428E-2</v>
      </c>
      <c r="I279" s="66">
        <f t="shared" si="216"/>
        <v>-5.6979538423566428E-2</v>
      </c>
      <c r="J279" s="66">
        <f t="shared" si="216"/>
        <v>-5.6979538423566428E-2</v>
      </c>
      <c r="K279" s="66">
        <f t="shared" si="216"/>
        <v>-5.6979538423566428E-2</v>
      </c>
      <c r="L279" s="66">
        <f t="shared" si="216"/>
        <v>-5.6979538423566428E-2</v>
      </c>
      <c r="M279" s="66">
        <f t="shared" si="216"/>
        <v>-5.6979538423566428E-2</v>
      </c>
      <c r="N279" s="66">
        <f t="shared" si="216"/>
        <v>-5.6979538423566428E-2</v>
      </c>
      <c r="O279" s="66">
        <f t="shared" si="216"/>
        <v>-5.6979538423566428E-2</v>
      </c>
      <c r="P279" s="66">
        <f t="shared" si="216"/>
        <v>-5.6979538423566428E-2</v>
      </c>
      <c r="Q279" s="66">
        <f t="shared" si="216"/>
        <v>-5.6979538423566428E-2</v>
      </c>
      <c r="R279" s="66">
        <f t="shared" si="216"/>
        <v>-5.6979538423566428E-2</v>
      </c>
      <c r="S279" s="66">
        <f t="shared" si="216"/>
        <v>-5.6979538423566428E-2</v>
      </c>
      <c r="T279" s="66">
        <f t="shared" si="216"/>
        <v>-5.6979538423566428E-2</v>
      </c>
      <c r="U279" s="66">
        <f t="shared" si="216"/>
        <v>-5.6979538423566428E-2</v>
      </c>
      <c r="V279" s="66">
        <f t="shared" si="216"/>
        <v>-5.6979538423566428E-2</v>
      </c>
      <c r="W279" s="66">
        <f t="shared" si="216"/>
        <v>-5.6979538423566428E-2</v>
      </c>
      <c r="X279" s="66">
        <f t="shared" si="216"/>
        <v>-5.6979538423566428E-2</v>
      </c>
      <c r="Y279" s="66">
        <f t="shared" si="216"/>
        <v>-5.6979538423566428E-2</v>
      </c>
      <c r="Z279" s="66">
        <f t="shared" si="216"/>
        <v>-5.6979538423566428E-2</v>
      </c>
      <c r="AA279" s="66">
        <f t="shared" si="216"/>
        <v>-5.6979538423566428E-2</v>
      </c>
      <c r="AB279" s="66">
        <f t="shared" si="216"/>
        <v>-5.6979538423566428E-2</v>
      </c>
      <c r="AC279" s="66">
        <f t="shared" si="216"/>
        <v>-5.6979538423566428E-2</v>
      </c>
    </row>
    <row r="280" spans="1:29" x14ac:dyDescent="0.3">
      <c r="A280" s="30" t="str">
        <f t="shared" si="212"/>
        <v>Opex fix (admin, crew, insurance)</v>
      </c>
      <c r="B280" s="66">
        <f>B250/B261</f>
        <v>3.4173669467787113</v>
      </c>
      <c r="C280" s="66">
        <f t="shared" ref="C280:AC280" si="217">C250/C261</f>
        <v>3.4173669467787113</v>
      </c>
      <c r="D280" s="66">
        <f t="shared" si="217"/>
        <v>3.4173669467787113</v>
      </c>
      <c r="E280" s="66">
        <f t="shared" si="217"/>
        <v>3.4173669467787113</v>
      </c>
      <c r="F280" s="66">
        <f t="shared" si="217"/>
        <v>3.4173669467787113</v>
      </c>
      <c r="G280" s="66">
        <f t="shared" si="217"/>
        <v>3.4173669467787113</v>
      </c>
      <c r="H280" s="66">
        <f t="shared" si="217"/>
        <v>3.4173669467787113</v>
      </c>
      <c r="I280" s="66">
        <f t="shared" si="217"/>
        <v>3.4173669467787113</v>
      </c>
      <c r="J280" s="66">
        <f t="shared" si="217"/>
        <v>3.4173669467787113</v>
      </c>
      <c r="K280" s="66">
        <f t="shared" si="217"/>
        <v>3.4173669467787113</v>
      </c>
      <c r="L280" s="66">
        <f t="shared" si="217"/>
        <v>3.4173669467787113</v>
      </c>
      <c r="M280" s="66">
        <f t="shared" si="217"/>
        <v>3.4173669467787113</v>
      </c>
      <c r="N280" s="66">
        <f t="shared" si="217"/>
        <v>3.4173669467787113</v>
      </c>
      <c r="O280" s="66">
        <f t="shared" si="217"/>
        <v>3.4173669467787113</v>
      </c>
      <c r="P280" s="66">
        <f t="shared" si="217"/>
        <v>3.4173669467787113</v>
      </c>
      <c r="Q280" s="66">
        <f t="shared" si="217"/>
        <v>3.4173669467787113</v>
      </c>
      <c r="R280" s="66">
        <f t="shared" si="217"/>
        <v>3.4173669467787113</v>
      </c>
      <c r="S280" s="66">
        <f t="shared" si="217"/>
        <v>3.4173669467787113</v>
      </c>
      <c r="T280" s="66">
        <f t="shared" si="217"/>
        <v>3.4173669467787113</v>
      </c>
      <c r="U280" s="66">
        <f t="shared" si="217"/>
        <v>3.4173669467787113</v>
      </c>
      <c r="V280" s="66">
        <f t="shared" si="217"/>
        <v>3.4173669467787113</v>
      </c>
      <c r="W280" s="66">
        <f t="shared" si="217"/>
        <v>3.4173669467787113</v>
      </c>
      <c r="X280" s="66">
        <f t="shared" si="217"/>
        <v>3.4173669467787113</v>
      </c>
      <c r="Y280" s="66">
        <f t="shared" si="217"/>
        <v>3.4173669467787113</v>
      </c>
      <c r="Z280" s="66">
        <f t="shared" si="217"/>
        <v>3.4173669467787113</v>
      </c>
      <c r="AA280" s="66">
        <f t="shared" si="217"/>
        <v>3.4173669467787113</v>
      </c>
      <c r="AB280" s="66">
        <f t="shared" si="217"/>
        <v>3.4173669467787113</v>
      </c>
      <c r="AC280" s="66">
        <f t="shared" si="217"/>
        <v>3.4173669467787113</v>
      </c>
    </row>
    <row r="281" spans="1:29" x14ac:dyDescent="0.3">
      <c r="A281" s="30" t="str">
        <f t="shared" si="212"/>
        <v>Opex maintenance &amp; repair</v>
      </c>
      <c r="B281" s="66">
        <f>B251/B261</f>
        <v>5.882352941176471</v>
      </c>
      <c r="C281" s="66">
        <f t="shared" ref="C281:AC281" si="218">C251/C261</f>
        <v>5.882352941176471</v>
      </c>
      <c r="D281" s="66">
        <f t="shared" si="218"/>
        <v>5.882352941176471</v>
      </c>
      <c r="E281" s="66">
        <f t="shared" si="218"/>
        <v>5.882352941176471</v>
      </c>
      <c r="F281" s="66">
        <f t="shared" si="218"/>
        <v>5.882352941176471</v>
      </c>
      <c r="G281" s="66">
        <f t="shared" si="218"/>
        <v>5.882352941176471</v>
      </c>
      <c r="H281" s="66">
        <f t="shared" si="218"/>
        <v>5.882352941176471</v>
      </c>
      <c r="I281" s="66">
        <f t="shared" si="218"/>
        <v>5.882352941176471</v>
      </c>
      <c r="J281" s="66">
        <f t="shared" si="218"/>
        <v>5.882352941176471</v>
      </c>
      <c r="K281" s="66">
        <f t="shared" si="218"/>
        <v>5.882352941176471</v>
      </c>
      <c r="L281" s="66">
        <f t="shared" si="218"/>
        <v>5.882352941176471</v>
      </c>
      <c r="M281" s="66">
        <f t="shared" si="218"/>
        <v>5.882352941176471</v>
      </c>
      <c r="N281" s="66">
        <f t="shared" si="218"/>
        <v>5.882352941176471</v>
      </c>
      <c r="O281" s="66">
        <f t="shared" si="218"/>
        <v>5.882352941176471</v>
      </c>
      <c r="P281" s="66">
        <f t="shared" si="218"/>
        <v>5.882352941176471</v>
      </c>
      <c r="Q281" s="66">
        <f t="shared" si="218"/>
        <v>5.882352941176471</v>
      </c>
      <c r="R281" s="66">
        <f t="shared" si="218"/>
        <v>5.882352941176471</v>
      </c>
      <c r="S281" s="66">
        <f t="shared" si="218"/>
        <v>5.882352941176471</v>
      </c>
      <c r="T281" s="66">
        <f t="shared" si="218"/>
        <v>5.882352941176471</v>
      </c>
      <c r="U281" s="66">
        <f t="shared" si="218"/>
        <v>5.882352941176471</v>
      </c>
      <c r="V281" s="66">
        <f t="shared" si="218"/>
        <v>5.882352941176471</v>
      </c>
      <c r="W281" s="66">
        <f t="shared" si="218"/>
        <v>5.882352941176471</v>
      </c>
      <c r="X281" s="66">
        <f t="shared" si="218"/>
        <v>5.882352941176471</v>
      </c>
      <c r="Y281" s="66">
        <f t="shared" si="218"/>
        <v>5.882352941176471</v>
      </c>
      <c r="Z281" s="66">
        <f t="shared" si="218"/>
        <v>5.882352941176471</v>
      </c>
      <c r="AA281" s="66">
        <f t="shared" si="218"/>
        <v>5.882352941176471</v>
      </c>
      <c r="AB281" s="66">
        <f t="shared" si="218"/>
        <v>5.882352941176471</v>
      </c>
      <c r="AC281" s="66">
        <f t="shared" si="218"/>
        <v>5.882352941176471</v>
      </c>
    </row>
    <row r="282" spans="1:29" x14ac:dyDescent="0.3">
      <c r="A282" s="30" t="str">
        <f t="shared" si="212"/>
        <v>Opex var (mode-fees, shunting)</v>
      </c>
      <c r="B282" s="66">
        <f>B252*B261/B261</f>
        <v>3.6414565826330532</v>
      </c>
      <c r="C282" s="66">
        <f t="shared" ref="C282:AC282" si="219">C252*C261/C261</f>
        <v>3.6414565826330532</v>
      </c>
      <c r="D282" s="66">
        <f t="shared" si="219"/>
        <v>3.6414565826330532</v>
      </c>
      <c r="E282" s="66">
        <f t="shared" si="219"/>
        <v>3.6414565826330532</v>
      </c>
      <c r="F282" s="66">
        <f t="shared" si="219"/>
        <v>3.6414565826330532</v>
      </c>
      <c r="G282" s="66">
        <f t="shared" si="219"/>
        <v>3.6414565826330532</v>
      </c>
      <c r="H282" s="66">
        <f t="shared" si="219"/>
        <v>3.6414565826330532</v>
      </c>
      <c r="I282" s="66">
        <f t="shared" si="219"/>
        <v>3.6414565826330532</v>
      </c>
      <c r="J282" s="66">
        <f t="shared" si="219"/>
        <v>3.6414565826330532</v>
      </c>
      <c r="K282" s="66">
        <f t="shared" si="219"/>
        <v>3.6414565826330532</v>
      </c>
      <c r="L282" s="66">
        <f t="shared" si="219"/>
        <v>3.6414565826330532</v>
      </c>
      <c r="M282" s="66">
        <f t="shared" si="219"/>
        <v>3.6414565826330532</v>
      </c>
      <c r="N282" s="66">
        <f t="shared" si="219"/>
        <v>3.6414565826330532</v>
      </c>
      <c r="O282" s="66">
        <f t="shared" si="219"/>
        <v>3.6414565826330532</v>
      </c>
      <c r="P282" s="66">
        <f t="shared" si="219"/>
        <v>3.6414565826330532</v>
      </c>
      <c r="Q282" s="66">
        <f t="shared" si="219"/>
        <v>3.6414565826330532</v>
      </c>
      <c r="R282" s="66">
        <f t="shared" si="219"/>
        <v>3.6414565826330532</v>
      </c>
      <c r="S282" s="66">
        <f t="shared" si="219"/>
        <v>3.6414565826330532</v>
      </c>
      <c r="T282" s="66">
        <f t="shared" si="219"/>
        <v>3.6414565826330532</v>
      </c>
      <c r="U282" s="66">
        <f t="shared" si="219"/>
        <v>3.6414565826330532</v>
      </c>
      <c r="V282" s="66">
        <f t="shared" si="219"/>
        <v>3.6414565826330532</v>
      </c>
      <c r="W282" s="66">
        <f t="shared" si="219"/>
        <v>3.6414565826330532</v>
      </c>
      <c r="X282" s="66">
        <f t="shared" si="219"/>
        <v>3.6414565826330532</v>
      </c>
      <c r="Y282" s="66">
        <f t="shared" si="219"/>
        <v>3.6414565826330532</v>
      </c>
      <c r="Z282" s="66">
        <f t="shared" si="219"/>
        <v>3.6414565826330532</v>
      </c>
      <c r="AA282" s="66">
        <f t="shared" si="219"/>
        <v>3.6414565826330532</v>
      </c>
      <c r="AB282" s="66">
        <f t="shared" si="219"/>
        <v>3.6414565826330532</v>
      </c>
      <c r="AC282" s="66">
        <f t="shared" si="219"/>
        <v>3.6414565826330532</v>
      </c>
    </row>
    <row r="283" spans="1:29" x14ac:dyDescent="0.3">
      <c r="A283" s="30" t="str">
        <f t="shared" si="212"/>
        <v>Fuel Cost</v>
      </c>
      <c r="B283" s="66">
        <f>B253*B254*B261/B261</f>
        <v>6.2083200000000005</v>
      </c>
      <c r="C283" s="66">
        <f t="shared" ref="C283:AC283" si="220">C253*C254*C261/C261</f>
        <v>6.2083200000000005</v>
      </c>
      <c r="D283" s="66">
        <f t="shared" si="220"/>
        <v>6.2083200000000005</v>
      </c>
      <c r="E283" s="66">
        <f t="shared" si="220"/>
        <v>6.2083200000000005</v>
      </c>
      <c r="F283" s="66">
        <f t="shared" si="220"/>
        <v>6.2083200000000005</v>
      </c>
      <c r="G283" s="66">
        <f t="shared" si="220"/>
        <v>6.2083200000000005</v>
      </c>
      <c r="H283" s="66">
        <f t="shared" si="220"/>
        <v>6.2083200000000005</v>
      </c>
      <c r="I283" s="66">
        <f t="shared" si="220"/>
        <v>6.2083200000000005</v>
      </c>
      <c r="J283" s="66">
        <f t="shared" si="220"/>
        <v>6.2083200000000005</v>
      </c>
      <c r="K283" s="66">
        <f t="shared" si="220"/>
        <v>6.2083200000000005</v>
      </c>
      <c r="L283" s="66">
        <f t="shared" si="220"/>
        <v>6.2083200000000005</v>
      </c>
      <c r="M283" s="66">
        <f t="shared" si="220"/>
        <v>6.2083200000000005</v>
      </c>
      <c r="N283" s="66">
        <f t="shared" si="220"/>
        <v>6.2083200000000005</v>
      </c>
      <c r="O283" s="66">
        <f t="shared" si="220"/>
        <v>6.2083200000000005</v>
      </c>
      <c r="P283" s="66">
        <f t="shared" si="220"/>
        <v>6.2083200000000005</v>
      </c>
      <c r="Q283" s="66">
        <f t="shared" si="220"/>
        <v>6.2083200000000005</v>
      </c>
      <c r="R283" s="66">
        <f t="shared" si="220"/>
        <v>6.2083200000000005</v>
      </c>
      <c r="S283" s="66">
        <f t="shared" si="220"/>
        <v>6.2083200000000005</v>
      </c>
      <c r="T283" s="66">
        <f t="shared" si="220"/>
        <v>6.2083200000000005</v>
      </c>
      <c r="U283" s="66">
        <f t="shared" si="220"/>
        <v>6.2083200000000005</v>
      </c>
      <c r="V283" s="66">
        <f t="shared" si="220"/>
        <v>6.2083200000000005</v>
      </c>
      <c r="W283" s="66">
        <f t="shared" si="220"/>
        <v>6.2083200000000005</v>
      </c>
      <c r="X283" s="66">
        <f t="shared" si="220"/>
        <v>6.2083200000000005</v>
      </c>
      <c r="Y283" s="66">
        <f t="shared" si="220"/>
        <v>6.2083200000000005</v>
      </c>
      <c r="Z283" s="66">
        <f t="shared" si="220"/>
        <v>6.2083200000000005</v>
      </c>
      <c r="AA283" s="66">
        <f t="shared" si="220"/>
        <v>6.2083200000000005</v>
      </c>
      <c r="AB283" s="66">
        <f t="shared" si="220"/>
        <v>6.2083200000000005</v>
      </c>
      <c r="AC283" s="66">
        <f t="shared" si="220"/>
        <v>6.2083200000000005</v>
      </c>
    </row>
    <row r="284" spans="1:29" ht="15" thickBot="1" x14ac:dyDescent="0.35">
      <c r="A284" s="59" t="str">
        <f>A235</f>
        <v>Emission Cost</v>
      </c>
      <c r="B284" s="66">
        <f>B255</f>
        <v>1.6642920252567563</v>
      </c>
      <c r="C284" s="66">
        <f t="shared" ref="C284:AC284" si="221">C255</f>
        <v>1.668223764670367</v>
      </c>
      <c r="D284" s="66">
        <f t="shared" si="221"/>
        <v>1.6738519620685159</v>
      </c>
      <c r="E284" s="66">
        <f t="shared" si="221"/>
        <v>1.681903494239102</v>
      </c>
      <c r="F284" s="66">
        <f t="shared" si="221"/>
        <v>1.6934109103696515</v>
      </c>
      <c r="G284" s="66">
        <f t="shared" si="221"/>
        <v>1.7098344800436978</v>
      </c>
      <c r="H284" s="66">
        <f t="shared" si="221"/>
        <v>1.733225672402217</v>
      </c>
      <c r="I284" s="66">
        <f t="shared" si="221"/>
        <v>1.7664378123820623</v>
      </c>
      <c r="J284" s="66">
        <f t="shared" si="221"/>
        <v>1.8133799807606898</v>
      </c>
      <c r="K284" s="66">
        <f t="shared" si="221"/>
        <v>1.8792859382574125</v>
      </c>
      <c r="L284" s="66">
        <f t="shared" si="221"/>
        <v>1.9709191437812768</v>
      </c>
      <c r="M284" s="66">
        <f t="shared" si="221"/>
        <v>2.0965448405494573</v>
      </c>
      <c r="N284" s="66">
        <f t="shared" si="221"/>
        <v>2.2653723155004584</v>
      </c>
      <c r="O284" s="66">
        <f t="shared" si="221"/>
        <v>2.4860624403309455</v>
      </c>
      <c r="P284" s="66">
        <f t="shared" si="221"/>
        <v>2.7639843510823718</v>
      </c>
      <c r="Q284" s="66">
        <f t="shared" si="221"/>
        <v>3.0974826662343866</v>
      </c>
      <c r="R284" s="66">
        <f t="shared" si="221"/>
        <v>3.4745937746662614</v>
      </c>
      <c r="S284" s="66">
        <f t="shared" si="221"/>
        <v>3.8727084245898471</v>
      </c>
      <c r="T284" s="66">
        <f t="shared" si="221"/>
        <v>4.2629889228555031</v>
      </c>
      <c r="U284" s="66">
        <f t="shared" si="221"/>
        <v>4.6182692937866285</v>
      </c>
      <c r="V284" s="66">
        <f t="shared" si="221"/>
        <v>4.9202070161803482</v>
      </c>
      <c r="W284" s="66">
        <f t="shared" si="221"/>
        <v>5.1620050578353283</v>
      </c>
      <c r="X284" s="66">
        <f t="shared" si="221"/>
        <v>5.3465076953810016</v>
      </c>
      <c r="Y284" s="66">
        <f t="shared" si="221"/>
        <v>5.4821319311099916</v>
      </c>
      <c r="Z284" s="66">
        <f t="shared" si="221"/>
        <v>5.5791012976259244</v>
      </c>
      <c r="AA284" s="66">
        <f t="shared" si="221"/>
        <v>5.6470625031514352</v>
      </c>
      <c r="AB284" s="66">
        <f t="shared" si="221"/>
        <v>5.6940278733917111</v>
      </c>
      <c r="AC284" s="66">
        <f t="shared" si="221"/>
        <v>5.7261686166213002</v>
      </c>
    </row>
    <row r="285" spans="1:29" ht="15" thickBot="1" x14ac:dyDescent="0.35">
      <c r="A285" s="31" t="s">
        <v>63</v>
      </c>
      <c r="B285" s="76">
        <f>B276+B277+B278-B279+B280+B281+B282+B283+B284</f>
        <v>23.465691659392792</v>
      </c>
      <c r="C285" s="76">
        <f t="shared" ref="C285:AC285" si="222">C276+C277+C278-C279+C280+C281+C282+C283+C284</f>
        <v>23.470589739434537</v>
      </c>
      <c r="D285" s="76">
        <f t="shared" si="222"/>
        <v>23.477590001997982</v>
      </c>
      <c r="E285" s="76">
        <f t="shared" si="222"/>
        <v>23.487580816432668</v>
      </c>
      <c r="F285" s="76">
        <f t="shared" si="222"/>
        <v>23.501810949874461</v>
      </c>
      <c r="G285" s="76">
        <f t="shared" si="222"/>
        <v>23.522020084988132</v>
      </c>
      <c r="H285" s="76">
        <f t="shared" si="222"/>
        <v>23.550601145946089</v>
      </c>
      <c r="I285" s="76">
        <f t="shared" si="222"/>
        <v>23.590787913199744</v>
      </c>
      <c r="J285" s="76">
        <f t="shared" si="222"/>
        <v>23.646847266824135</v>
      </c>
      <c r="K285" s="76">
        <f t="shared" si="222"/>
        <v>23.724234778133578</v>
      </c>
      <c r="L285" s="76">
        <f t="shared" si="222"/>
        <v>23.829645518654655</v>
      </c>
      <c r="M285" s="76">
        <f t="shared" si="222"/>
        <v>23.970850489014936</v>
      </c>
      <c r="N285" s="76">
        <f t="shared" si="222"/>
        <v>24.156124939176969</v>
      </c>
      <c r="O285" s="76">
        <f t="shared" si="222"/>
        <v>24.392938393509539</v>
      </c>
      <c r="P285" s="76">
        <f t="shared" si="222"/>
        <v>24.685537702982138</v>
      </c>
      <c r="Q285" s="76">
        <f t="shared" si="222"/>
        <v>25.031509716945383</v>
      </c>
      <c r="R285" s="76">
        <f t="shared" si="222"/>
        <v>25.418610024212157</v>
      </c>
      <c r="S285" s="76">
        <f t="shared" si="222"/>
        <v>25.824346876199058</v>
      </c>
      <c r="T285" s="76">
        <f t="shared" si="222"/>
        <v>26.22023030428274</v>
      </c>
      <c r="U285" s="76">
        <f t="shared" si="222"/>
        <v>26.57951668897805</v>
      </c>
      <c r="V285" s="76">
        <f t="shared" si="222"/>
        <v>26.884262035413748</v>
      </c>
      <c r="W285" s="76">
        <f t="shared" si="222"/>
        <v>27.128000317851793</v>
      </c>
      <c r="X285" s="76">
        <f t="shared" si="222"/>
        <v>27.313830758851225</v>
      </c>
      <c r="Y285" s="76">
        <f t="shared" si="222"/>
        <v>27.450357611681966</v>
      </c>
      <c r="Z285" s="76">
        <f t="shared" si="222"/>
        <v>27.54793776914687</v>
      </c>
      <c r="AA285" s="76">
        <f t="shared" si="222"/>
        <v>27.616311014884236</v>
      </c>
      <c r="AB285" s="76">
        <f t="shared" si="222"/>
        <v>27.663553768548287</v>
      </c>
      <c r="AC285" s="76">
        <f t="shared" si="222"/>
        <v>27.695880982678396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23">A264</f>
        <v>Capex vehicle</v>
      </c>
      <c r="B288" s="65">
        <f>((1+B249)^B256)*B249/(((1+B249)^B256)-1)*(B245)/B261/(B258)</f>
        <v>7.6317014160409149E-4</v>
      </c>
      <c r="C288" s="65">
        <f t="shared" ref="C288:AC288" si="224">((1+C249)^C256)*C249/(((1+C249)^C256)-1)*(C245)/C261/(C258)</f>
        <v>7.6317014160409149E-4</v>
      </c>
      <c r="D288" s="65">
        <f t="shared" si="224"/>
        <v>7.6317014160409149E-4</v>
      </c>
      <c r="E288" s="65">
        <f t="shared" si="224"/>
        <v>7.6317014160409149E-4</v>
      </c>
      <c r="F288" s="65">
        <f t="shared" si="224"/>
        <v>7.6317014160409149E-4</v>
      </c>
      <c r="G288" s="65">
        <f t="shared" si="224"/>
        <v>7.6317014160409149E-4</v>
      </c>
      <c r="H288" s="65">
        <f t="shared" si="224"/>
        <v>7.6317014160409149E-4</v>
      </c>
      <c r="I288" s="65">
        <f t="shared" si="224"/>
        <v>7.6317014160409149E-4</v>
      </c>
      <c r="J288" s="65">
        <f t="shared" si="224"/>
        <v>7.6317014160409149E-4</v>
      </c>
      <c r="K288" s="65">
        <f t="shared" si="224"/>
        <v>7.6317014160409149E-4</v>
      </c>
      <c r="L288" s="65">
        <f t="shared" si="224"/>
        <v>7.6317014160409149E-4</v>
      </c>
      <c r="M288" s="65">
        <f t="shared" si="224"/>
        <v>7.6317014160409149E-4</v>
      </c>
      <c r="N288" s="65">
        <f t="shared" si="224"/>
        <v>7.6317014160409149E-4</v>
      </c>
      <c r="O288" s="65">
        <f t="shared" si="224"/>
        <v>7.6317014160409149E-4</v>
      </c>
      <c r="P288" s="65">
        <f t="shared" si="224"/>
        <v>7.6317014160409149E-4</v>
      </c>
      <c r="Q288" s="65">
        <f t="shared" si="224"/>
        <v>7.6317014160409149E-4</v>
      </c>
      <c r="R288" s="65">
        <f t="shared" si="224"/>
        <v>7.6317014160409149E-4</v>
      </c>
      <c r="S288" s="65">
        <f t="shared" si="224"/>
        <v>7.6317014160409149E-4</v>
      </c>
      <c r="T288" s="65">
        <f t="shared" si="224"/>
        <v>7.6317014160409149E-4</v>
      </c>
      <c r="U288" s="65">
        <f t="shared" si="224"/>
        <v>7.6317014160409149E-4</v>
      </c>
      <c r="V288" s="65">
        <f t="shared" si="224"/>
        <v>7.6317014160409149E-4</v>
      </c>
      <c r="W288" s="65">
        <f t="shared" si="224"/>
        <v>7.6317014160409149E-4</v>
      </c>
      <c r="X288" s="65">
        <f t="shared" si="224"/>
        <v>7.6317014160409149E-4</v>
      </c>
      <c r="Y288" s="65">
        <f t="shared" si="224"/>
        <v>7.6317014160409149E-4</v>
      </c>
      <c r="Z288" s="65">
        <f t="shared" si="224"/>
        <v>7.6317014160409149E-4</v>
      </c>
      <c r="AA288" s="65">
        <f t="shared" si="224"/>
        <v>7.6317014160409149E-4</v>
      </c>
      <c r="AB288" s="65">
        <f t="shared" si="224"/>
        <v>7.6317014160409149E-4</v>
      </c>
      <c r="AC288" s="65">
        <f t="shared" si="224"/>
        <v>7.6317014160409149E-4</v>
      </c>
    </row>
    <row r="289" spans="1:29" x14ac:dyDescent="0.3">
      <c r="A289" s="30" t="str">
        <f t="shared" si="223"/>
        <v>Residual value (vehicle)</v>
      </c>
      <c r="B289" s="68">
        <f>((1+B249)^B256)*B249/(((1+B249)^B256)-1)*(B246)/B261/(B258)</f>
        <v>-1.1346797345547289E-4</v>
      </c>
      <c r="C289" s="68">
        <f t="shared" ref="C289:AC289" si="225">((1+C249)^C256)*C249/(((1+C249)^C256)-1)*(C246)/C261/(C258)</f>
        <v>-1.1303657138934111E-4</v>
      </c>
      <c r="D289" s="68">
        <f t="shared" si="225"/>
        <v>-1.1242404229769157E-4</v>
      </c>
      <c r="E289" s="68">
        <f t="shared" si="225"/>
        <v>-1.1155829128693258E-4</v>
      </c>
      <c r="F289" s="68">
        <f t="shared" si="225"/>
        <v>-1.1034279248726903E-4</v>
      </c>
      <c r="G289" s="68">
        <f t="shared" si="225"/>
        <v>-1.0865280791600897E-4</v>
      </c>
      <c r="H289" s="68">
        <f t="shared" si="225"/>
        <v>-1.0633590229126001E-4</v>
      </c>
      <c r="I289" s="68">
        <f t="shared" si="225"/>
        <v>-1.0322222940116694E-4</v>
      </c>
      <c r="J289" s="68">
        <f t="shared" si="225"/>
        <v>-9.9152057416450692E-5</v>
      </c>
      <c r="K289" s="68">
        <f t="shared" si="225"/>
        <v>-9.4026363750057009E-5</v>
      </c>
      <c r="L289" s="68">
        <f t="shared" si="225"/>
        <v>-8.7875678483444322E-5</v>
      </c>
      <c r="M289" s="68">
        <f t="shared" si="225"/>
        <v>-8.0920645629828101E-5</v>
      </c>
      <c r="N289" s="68">
        <f t="shared" si="225"/>
        <v>-7.357824598204721E-5</v>
      </c>
      <c r="O289" s="68">
        <f t="shared" si="225"/>
        <v>-6.6380331025761298E-5</v>
      </c>
      <c r="P289" s="68">
        <f t="shared" si="225"/>
        <v>-5.982792088237961E-5</v>
      </c>
      <c r="Q289" s="68">
        <f t="shared" si="225"/>
        <v>-5.4259305341653007E-5</v>
      </c>
      <c r="R289" s="68">
        <f t="shared" si="225"/>
        <v>-4.9799841576070884E-5</v>
      </c>
      <c r="S289" s="68">
        <f t="shared" si="225"/>
        <v>-4.6397072797805602E-5</v>
      </c>
      <c r="T289" s="68">
        <f t="shared" si="225"/>
        <v>-4.3895764843330094E-5</v>
      </c>
      <c r="U289" s="68">
        <f t="shared" si="225"/>
        <v>-4.2107365841462744E-5</v>
      </c>
      <c r="V289" s="68">
        <f t="shared" si="225"/>
        <v>-4.0853962251293284E-5</v>
      </c>
      <c r="W289" s="68">
        <f t="shared" si="225"/>
        <v>-3.9987783330280735E-5</v>
      </c>
      <c r="X289" s="68">
        <f t="shared" si="225"/>
        <v>-3.93950139312806E-5</v>
      </c>
      <c r="Y289" s="68">
        <f t="shared" si="225"/>
        <v>-3.8992059867999029E-5</v>
      </c>
      <c r="Z289" s="68">
        <f t="shared" si="225"/>
        <v>-3.8719385337209372E-5</v>
      </c>
      <c r="AA289" s="68">
        <f t="shared" si="225"/>
        <v>-3.8535438814060903E-5</v>
      </c>
      <c r="AB289" s="68">
        <f t="shared" si="225"/>
        <v>-3.8411606928446129E-5</v>
      </c>
      <c r="AC289" s="68">
        <f t="shared" si="225"/>
        <v>-3.832836099071531E-5</v>
      </c>
    </row>
    <row r="290" spans="1:29" x14ac:dyDescent="0.3">
      <c r="A290" s="30" t="str">
        <f t="shared" si="223"/>
        <v>Capex costumization</v>
      </c>
      <c r="B290" s="66">
        <f>((1+B249)^B257)*B249/(((1+B249)^B257)-1)*(B247)/B261/(B258)</f>
        <v>5.087458787818432E-4</v>
      </c>
      <c r="C290" s="66">
        <f t="shared" ref="C290:AC290" si="226">((1+C249)^C257)*C249/(((1+C249)^C257)-1)*(C247)/C261/(C258)</f>
        <v>5.087458787818432E-4</v>
      </c>
      <c r="D290" s="66">
        <f t="shared" si="226"/>
        <v>5.087458787818432E-4</v>
      </c>
      <c r="E290" s="66">
        <f t="shared" si="226"/>
        <v>5.087458787818432E-4</v>
      </c>
      <c r="F290" s="66">
        <f t="shared" si="226"/>
        <v>5.087458787818432E-4</v>
      </c>
      <c r="G290" s="66">
        <f t="shared" si="226"/>
        <v>5.087458787818432E-4</v>
      </c>
      <c r="H290" s="66">
        <f t="shared" si="226"/>
        <v>5.087458787818432E-4</v>
      </c>
      <c r="I290" s="66">
        <f t="shared" si="226"/>
        <v>5.087458787818432E-4</v>
      </c>
      <c r="J290" s="66">
        <f t="shared" si="226"/>
        <v>5.087458787818432E-4</v>
      </c>
      <c r="K290" s="66">
        <f t="shared" si="226"/>
        <v>5.087458787818432E-4</v>
      </c>
      <c r="L290" s="66">
        <f t="shared" si="226"/>
        <v>5.087458787818432E-4</v>
      </c>
      <c r="M290" s="66">
        <f t="shared" si="226"/>
        <v>5.087458787818432E-4</v>
      </c>
      <c r="N290" s="66">
        <f t="shared" si="226"/>
        <v>5.087458787818432E-4</v>
      </c>
      <c r="O290" s="66">
        <f t="shared" si="226"/>
        <v>5.087458787818432E-4</v>
      </c>
      <c r="P290" s="66">
        <f t="shared" si="226"/>
        <v>5.087458787818432E-4</v>
      </c>
      <c r="Q290" s="66">
        <f t="shared" si="226"/>
        <v>5.087458787818432E-4</v>
      </c>
      <c r="R290" s="66">
        <f t="shared" si="226"/>
        <v>5.087458787818432E-4</v>
      </c>
      <c r="S290" s="66">
        <f t="shared" si="226"/>
        <v>5.087458787818432E-4</v>
      </c>
      <c r="T290" s="66">
        <f t="shared" si="226"/>
        <v>5.087458787818432E-4</v>
      </c>
      <c r="U290" s="66">
        <f t="shared" si="226"/>
        <v>5.087458787818432E-4</v>
      </c>
      <c r="V290" s="66">
        <f t="shared" si="226"/>
        <v>5.087458787818432E-4</v>
      </c>
      <c r="W290" s="66">
        <f t="shared" si="226"/>
        <v>5.087458787818432E-4</v>
      </c>
      <c r="X290" s="66">
        <f t="shared" si="226"/>
        <v>5.087458787818432E-4</v>
      </c>
      <c r="Y290" s="66">
        <f t="shared" si="226"/>
        <v>5.087458787818432E-4</v>
      </c>
      <c r="Z290" s="66">
        <f t="shared" si="226"/>
        <v>5.087458787818432E-4</v>
      </c>
      <c r="AA290" s="66">
        <f t="shared" si="226"/>
        <v>5.087458787818432E-4</v>
      </c>
      <c r="AB290" s="66">
        <f t="shared" si="226"/>
        <v>5.087458787818432E-4</v>
      </c>
      <c r="AC290" s="66">
        <f t="shared" si="226"/>
        <v>5.087458787818432E-4</v>
      </c>
    </row>
    <row r="291" spans="1:29" x14ac:dyDescent="0.3">
      <c r="A291" s="30" t="str">
        <f t="shared" si="223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27">((1+C249)^C257)*C249/(((1+C249)^C257)-1)*(C248)/C261/(C258)</f>
        <v>-2.5437293939092156E-5</v>
      </c>
      <c r="D291" s="69">
        <f t="shared" si="227"/>
        <v>-2.5437293939092156E-5</v>
      </c>
      <c r="E291" s="69">
        <f t="shared" si="227"/>
        <v>-2.5437293939092156E-5</v>
      </c>
      <c r="F291" s="69">
        <f t="shared" si="227"/>
        <v>-2.5437293939092156E-5</v>
      </c>
      <c r="G291" s="69">
        <f t="shared" si="227"/>
        <v>-2.5437293939092156E-5</v>
      </c>
      <c r="H291" s="69">
        <f t="shared" si="227"/>
        <v>-2.5437293939092156E-5</v>
      </c>
      <c r="I291" s="69">
        <f t="shared" si="227"/>
        <v>-2.5437293939092156E-5</v>
      </c>
      <c r="J291" s="69">
        <f t="shared" si="227"/>
        <v>-2.5437293939092156E-5</v>
      </c>
      <c r="K291" s="69">
        <f t="shared" si="227"/>
        <v>-2.5437293939092156E-5</v>
      </c>
      <c r="L291" s="69">
        <f t="shared" si="227"/>
        <v>-2.5437293939092156E-5</v>
      </c>
      <c r="M291" s="69">
        <f t="shared" si="227"/>
        <v>-2.5437293939092156E-5</v>
      </c>
      <c r="N291" s="69">
        <f t="shared" si="227"/>
        <v>-2.5437293939092156E-5</v>
      </c>
      <c r="O291" s="69">
        <f t="shared" si="227"/>
        <v>-2.5437293939092156E-5</v>
      </c>
      <c r="P291" s="69">
        <f t="shared" si="227"/>
        <v>-2.5437293939092156E-5</v>
      </c>
      <c r="Q291" s="69">
        <f t="shared" si="227"/>
        <v>-2.5437293939092156E-5</v>
      </c>
      <c r="R291" s="69">
        <f t="shared" si="227"/>
        <v>-2.5437293939092156E-5</v>
      </c>
      <c r="S291" s="69">
        <f t="shared" si="227"/>
        <v>-2.5437293939092156E-5</v>
      </c>
      <c r="T291" s="69">
        <f t="shared" si="227"/>
        <v>-2.5437293939092156E-5</v>
      </c>
      <c r="U291" s="69">
        <f t="shared" si="227"/>
        <v>-2.5437293939092156E-5</v>
      </c>
      <c r="V291" s="69">
        <f t="shared" si="227"/>
        <v>-2.5437293939092156E-5</v>
      </c>
      <c r="W291" s="69">
        <f t="shared" si="227"/>
        <v>-2.5437293939092156E-5</v>
      </c>
      <c r="X291" s="69">
        <f t="shared" si="227"/>
        <v>-2.5437293939092156E-5</v>
      </c>
      <c r="Y291" s="69">
        <f t="shared" si="227"/>
        <v>-2.5437293939092156E-5</v>
      </c>
      <c r="Z291" s="69">
        <f t="shared" si="227"/>
        <v>-2.5437293939092156E-5</v>
      </c>
      <c r="AA291" s="69">
        <f t="shared" si="227"/>
        <v>-2.5437293939092156E-5</v>
      </c>
      <c r="AB291" s="69">
        <f t="shared" si="227"/>
        <v>-2.5437293939092156E-5</v>
      </c>
      <c r="AC291" s="69">
        <f t="shared" si="227"/>
        <v>-2.5437293939092156E-5</v>
      </c>
    </row>
    <row r="292" spans="1:29" x14ac:dyDescent="0.3">
      <c r="A292" s="30" t="str">
        <f t="shared" si="223"/>
        <v>Opex fix (admin, crew, insurance)</v>
      </c>
      <c r="B292" s="66">
        <f>B250/B261/(B258)</f>
        <v>1.525610244097639E-3</v>
      </c>
      <c r="C292" s="66">
        <f t="shared" ref="C292:AC292" si="228">C250/C261/(C258)</f>
        <v>1.525610244097639E-3</v>
      </c>
      <c r="D292" s="66">
        <f t="shared" si="228"/>
        <v>1.525610244097639E-3</v>
      </c>
      <c r="E292" s="66">
        <f t="shared" si="228"/>
        <v>1.525610244097639E-3</v>
      </c>
      <c r="F292" s="66">
        <f t="shared" si="228"/>
        <v>1.525610244097639E-3</v>
      </c>
      <c r="G292" s="66">
        <f t="shared" si="228"/>
        <v>1.525610244097639E-3</v>
      </c>
      <c r="H292" s="66">
        <f t="shared" si="228"/>
        <v>1.525610244097639E-3</v>
      </c>
      <c r="I292" s="66">
        <f t="shared" si="228"/>
        <v>1.525610244097639E-3</v>
      </c>
      <c r="J292" s="66">
        <f t="shared" si="228"/>
        <v>1.525610244097639E-3</v>
      </c>
      <c r="K292" s="66">
        <f t="shared" si="228"/>
        <v>1.525610244097639E-3</v>
      </c>
      <c r="L292" s="66">
        <f t="shared" si="228"/>
        <v>1.525610244097639E-3</v>
      </c>
      <c r="M292" s="66">
        <f t="shared" si="228"/>
        <v>1.525610244097639E-3</v>
      </c>
      <c r="N292" s="66">
        <f t="shared" si="228"/>
        <v>1.525610244097639E-3</v>
      </c>
      <c r="O292" s="66">
        <f t="shared" si="228"/>
        <v>1.525610244097639E-3</v>
      </c>
      <c r="P292" s="66">
        <f t="shared" si="228"/>
        <v>1.525610244097639E-3</v>
      </c>
      <c r="Q292" s="66">
        <f t="shared" si="228"/>
        <v>1.525610244097639E-3</v>
      </c>
      <c r="R292" s="66">
        <f t="shared" si="228"/>
        <v>1.525610244097639E-3</v>
      </c>
      <c r="S292" s="66">
        <f t="shared" si="228"/>
        <v>1.525610244097639E-3</v>
      </c>
      <c r="T292" s="66">
        <f t="shared" si="228"/>
        <v>1.525610244097639E-3</v>
      </c>
      <c r="U292" s="66">
        <f t="shared" si="228"/>
        <v>1.525610244097639E-3</v>
      </c>
      <c r="V292" s="66">
        <f t="shared" si="228"/>
        <v>1.525610244097639E-3</v>
      </c>
      <c r="W292" s="66">
        <f t="shared" si="228"/>
        <v>1.525610244097639E-3</v>
      </c>
      <c r="X292" s="66">
        <f t="shared" si="228"/>
        <v>1.525610244097639E-3</v>
      </c>
      <c r="Y292" s="66">
        <f t="shared" si="228"/>
        <v>1.525610244097639E-3</v>
      </c>
      <c r="Z292" s="66">
        <f t="shared" si="228"/>
        <v>1.525610244097639E-3</v>
      </c>
      <c r="AA292" s="66">
        <f t="shared" si="228"/>
        <v>1.525610244097639E-3</v>
      </c>
      <c r="AB292" s="66">
        <f t="shared" si="228"/>
        <v>1.525610244097639E-3</v>
      </c>
      <c r="AC292" s="66">
        <f t="shared" si="228"/>
        <v>1.525610244097639E-3</v>
      </c>
    </row>
    <row r="293" spans="1:29" x14ac:dyDescent="0.3">
      <c r="A293" s="30" t="str">
        <f t="shared" si="223"/>
        <v>Opex maintenance &amp; repair</v>
      </c>
      <c r="B293" s="66">
        <f>B251/B261/(B258)</f>
        <v>2.6260504201680674E-3</v>
      </c>
      <c r="C293" s="66">
        <f t="shared" ref="C293:AC293" si="229">C251/C261/(C258)</f>
        <v>2.6260504201680674E-3</v>
      </c>
      <c r="D293" s="66">
        <f t="shared" si="229"/>
        <v>2.6260504201680674E-3</v>
      </c>
      <c r="E293" s="66">
        <f t="shared" si="229"/>
        <v>2.6260504201680674E-3</v>
      </c>
      <c r="F293" s="66">
        <f t="shared" si="229"/>
        <v>2.6260504201680674E-3</v>
      </c>
      <c r="G293" s="66">
        <f t="shared" si="229"/>
        <v>2.6260504201680674E-3</v>
      </c>
      <c r="H293" s="66">
        <f t="shared" si="229"/>
        <v>2.6260504201680674E-3</v>
      </c>
      <c r="I293" s="66">
        <f t="shared" si="229"/>
        <v>2.6260504201680674E-3</v>
      </c>
      <c r="J293" s="66">
        <f t="shared" si="229"/>
        <v>2.6260504201680674E-3</v>
      </c>
      <c r="K293" s="66">
        <f t="shared" si="229"/>
        <v>2.6260504201680674E-3</v>
      </c>
      <c r="L293" s="66">
        <f t="shared" si="229"/>
        <v>2.6260504201680674E-3</v>
      </c>
      <c r="M293" s="66">
        <f t="shared" si="229"/>
        <v>2.6260504201680674E-3</v>
      </c>
      <c r="N293" s="66">
        <f t="shared" si="229"/>
        <v>2.6260504201680674E-3</v>
      </c>
      <c r="O293" s="66">
        <f t="shared" si="229"/>
        <v>2.6260504201680674E-3</v>
      </c>
      <c r="P293" s="66">
        <f t="shared" si="229"/>
        <v>2.6260504201680674E-3</v>
      </c>
      <c r="Q293" s="66">
        <f t="shared" si="229"/>
        <v>2.6260504201680674E-3</v>
      </c>
      <c r="R293" s="66">
        <f t="shared" si="229"/>
        <v>2.6260504201680674E-3</v>
      </c>
      <c r="S293" s="66">
        <f t="shared" si="229"/>
        <v>2.6260504201680674E-3</v>
      </c>
      <c r="T293" s="66">
        <f t="shared" si="229"/>
        <v>2.6260504201680674E-3</v>
      </c>
      <c r="U293" s="66">
        <f t="shared" si="229"/>
        <v>2.6260504201680674E-3</v>
      </c>
      <c r="V293" s="66">
        <f t="shared" si="229"/>
        <v>2.6260504201680674E-3</v>
      </c>
      <c r="W293" s="66">
        <f t="shared" si="229"/>
        <v>2.6260504201680674E-3</v>
      </c>
      <c r="X293" s="66">
        <f t="shared" si="229"/>
        <v>2.6260504201680674E-3</v>
      </c>
      <c r="Y293" s="66">
        <f t="shared" si="229"/>
        <v>2.6260504201680674E-3</v>
      </c>
      <c r="Z293" s="66">
        <f t="shared" si="229"/>
        <v>2.6260504201680674E-3</v>
      </c>
      <c r="AA293" s="66">
        <f t="shared" si="229"/>
        <v>2.6260504201680674E-3</v>
      </c>
      <c r="AB293" s="66">
        <f t="shared" si="229"/>
        <v>2.6260504201680674E-3</v>
      </c>
      <c r="AC293" s="66">
        <f t="shared" si="229"/>
        <v>2.6260504201680674E-3</v>
      </c>
    </row>
    <row r="294" spans="1:29" x14ac:dyDescent="0.3">
      <c r="A294" s="30" t="str">
        <f t="shared" si="223"/>
        <v>Opex var (mode-fees, shunting)</v>
      </c>
      <c r="B294" s="66">
        <f>B252*B261/B261/(B258)</f>
        <v>1.6256502601040416E-3</v>
      </c>
      <c r="C294" s="66">
        <f t="shared" ref="C294:AC294" si="230">C252*C261/C261/(C258)</f>
        <v>1.6256502601040416E-3</v>
      </c>
      <c r="D294" s="66">
        <f t="shared" si="230"/>
        <v>1.6256502601040416E-3</v>
      </c>
      <c r="E294" s="66">
        <f t="shared" si="230"/>
        <v>1.6256502601040416E-3</v>
      </c>
      <c r="F294" s="66">
        <f t="shared" si="230"/>
        <v>1.6256502601040416E-3</v>
      </c>
      <c r="G294" s="66">
        <f t="shared" si="230"/>
        <v>1.6256502601040416E-3</v>
      </c>
      <c r="H294" s="66">
        <f t="shared" si="230"/>
        <v>1.6256502601040416E-3</v>
      </c>
      <c r="I294" s="66">
        <f t="shared" si="230"/>
        <v>1.6256502601040416E-3</v>
      </c>
      <c r="J294" s="66">
        <f t="shared" si="230"/>
        <v>1.6256502601040416E-3</v>
      </c>
      <c r="K294" s="66">
        <f t="shared" si="230"/>
        <v>1.6256502601040416E-3</v>
      </c>
      <c r="L294" s="66">
        <f t="shared" si="230"/>
        <v>1.6256502601040416E-3</v>
      </c>
      <c r="M294" s="66">
        <f t="shared" si="230"/>
        <v>1.6256502601040416E-3</v>
      </c>
      <c r="N294" s="66">
        <f t="shared" si="230"/>
        <v>1.6256502601040416E-3</v>
      </c>
      <c r="O294" s="66">
        <f t="shared" si="230"/>
        <v>1.6256502601040416E-3</v>
      </c>
      <c r="P294" s="66">
        <f t="shared" si="230"/>
        <v>1.6256502601040416E-3</v>
      </c>
      <c r="Q294" s="66">
        <f t="shared" si="230"/>
        <v>1.6256502601040416E-3</v>
      </c>
      <c r="R294" s="66">
        <f t="shared" si="230"/>
        <v>1.6256502601040416E-3</v>
      </c>
      <c r="S294" s="66">
        <f t="shared" si="230"/>
        <v>1.6256502601040416E-3</v>
      </c>
      <c r="T294" s="66">
        <f t="shared" si="230"/>
        <v>1.6256502601040416E-3</v>
      </c>
      <c r="U294" s="66">
        <f t="shared" si="230"/>
        <v>1.6256502601040416E-3</v>
      </c>
      <c r="V294" s="66">
        <f t="shared" si="230"/>
        <v>1.6256502601040416E-3</v>
      </c>
      <c r="W294" s="66">
        <f t="shared" si="230"/>
        <v>1.6256502601040416E-3</v>
      </c>
      <c r="X294" s="66">
        <f t="shared" si="230"/>
        <v>1.6256502601040416E-3</v>
      </c>
      <c r="Y294" s="66">
        <f t="shared" si="230"/>
        <v>1.6256502601040416E-3</v>
      </c>
      <c r="Z294" s="66">
        <f t="shared" si="230"/>
        <v>1.6256502601040416E-3</v>
      </c>
      <c r="AA294" s="66">
        <f t="shared" si="230"/>
        <v>1.6256502601040416E-3</v>
      </c>
      <c r="AB294" s="66">
        <f t="shared" si="230"/>
        <v>1.6256502601040416E-3</v>
      </c>
      <c r="AC294" s="66">
        <f t="shared" si="230"/>
        <v>1.6256502601040416E-3</v>
      </c>
    </row>
    <row r="295" spans="1:29" x14ac:dyDescent="0.3">
      <c r="A295" s="30" t="str">
        <f t="shared" si="223"/>
        <v>Fuel Cost</v>
      </c>
      <c r="B295" s="66">
        <f>B253*B254*B261/B261/(B258)</f>
        <v>2.7715714285714288E-3</v>
      </c>
      <c r="C295" s="66">
        <f t="shared" ref="C295:AC295" si="231">C253*C254*C261/C261/(C258)</f>
        <v>2.7715714285714288E-3</v>
      </c>
      <c r="D295" s="66">
        <f t="shared" si="231"/>
        <v>2.7715714285714288E-3</v>
      </c>
      <c r="E295" s="66">
        <f t="shared" si="231"/>
        <v>2.7715714285714288E-3</v>
      </c>
      <c r="F295" s="66">
        <f t="shared" si="231"/>
        <v>2.7715714285714288E-3</v>
      </c>
      <c r="G295" s="66">
        <f t="shared" si="231"/>
        <v>2.7715714285714288E-3</v>
      </c>
      <c r="H295" s="66">
        <f t="shared" si="231"/>
        <v>2.7715714285714288E-3</v>
      </c>
      <c r="I295" s="66">
        <f t="shared" si="231"/>
        <v>2.7715714285714288E-3</v>
      </c>
      <c r="J295" s="66">
        <f t="shared" si="231"/>
        <v>2.7715714285714288E-3</v>
      </c>
      <c r="K295" s="66">
        <f t="shared" si="231"/>
        <v>2.7715714285714288E-3</v>
      </c>
      <c r="L295" s="66">
        <f t="shared" si="231"/>
        <v>2.7715714285714288E-3</v>
      </c>
      <c r="M295" s="66">
        <f t="shared" si="231"/>
        <v>2.7715714285714288E-3</v>
      </c>
      <c r="N295" s="66">
        <f t="shared" si="231"/>
        <v>2.7715714285714288E-3</v>
      </c>
      <c r="O295" s="66">
        <f t="shared" si="231"/>
        <v>2.7715714285714288E-3</v>
      </c>
      <c r="P295" s="66">
        <f t="shared" si="231"/>
        <v>2.7715714285714288E-3</v>
      </c>
      <c r="Q295" s="66">
        <f t="shared" si="231"/>
        <v>2.7715714285714288E-3</v>
      </c>
      <c r="R295" s="66">
        <f t="shared" si="231"/>
        <v>2.7715714285714288E-3</v>
      </c>
      <c r="S295" s="66">
        <f t="shared" si="231"/>
        <v>2.7715714285714288E-3</v>
      </c>
      <c r="T295" s="66">
        <f t="shared" si="231"/>
        <v>2.7715714285714288E-3</v>
      </c>
      <c r="U295" s="66">
        <f t="shared" si="231"/>
        <v>2.7715714285714288E-3</v>
      </c>
      <c r="V295" s="66">
        <f t="shared" si="231"/>
        <v>2.7715714285714288E-3</v>
      </c>
      <c r="W295" s="66">
        <f t="shared" si="231"/>
        <v>2.7715714285714288E-3</v>
      </c>
      <c r="X295" s="66">
        <f t="shared" si="231"/>
        <v>2.7715714285714288E-3</v>
      </c>
      <c r="Y295" s="66">
        <f t="shared" si="231"/>
        <v>2.7715714285714288E-3</v>
      </c>
      <c r="Z295" s="66">
        <f t="shared" si="231"/>
        <v>2.7715714285714288E-3</v>
      </c>
      <c r="AA295" s="66">
        <f t="shared" si="231"/>
        <v>2.7715714285714288E-3</v>
      </c>
      <c r="AB295" s="66">
        <f t="shared" si="231"/>
        <v>2.7715714285714288E-3</v>
      </c>
      <c r="AC295" s="66">
        <f t="shared" si="231"/>
        <v>2.7715714285714288E-3</v>
      </c>
    </row>
    <row r="296" spans="1:29" x14ac:dyDescent="0.3">
      <c r="A296" s="59" t="str">
        <f>A259</f>
        <v>Market failure (av. utilization)</v>
      </c>
      <c r="B296" s="66">
        <f t="shared" ref="B296:AC296" si="232">B285/B259-B285/B258</f>
        <v>2.2260979810807893E-2</v>
      </c>
      <c r="C296" s="66">
        <f t="shared" si="232"/>
        <v>2.2265626426918924E-2</v>
      </c>
      <c r="D296" s="66">
        <f t="shared" si="232"/>
        <v>2.2272267301002548E-2</v>
      </c>
      <c r="E296" s="66">
        <f t="shared" si="232"/>
        <v>2.228174519416045E-2</v>
      </c>
      <c r="F296" s="66">
        <f t="shared" si="232"/>
        <v>2.2295244762715726E-2</v>
      </c>
      <c r="G296" s="66">
        <f t="shared" si="232"/>
        <v>2.2314416375267758E-2</v>
      </c>
      <c r="H296" s="66">
        <f t="shared" si="232"/>
        <v>2.2341530104971176E-2</v>
      </c>
      <c r="I296" s="66">
        <f t="shared" si="232"/>
        <v>2.2379653712298858E-2</v>
      </c>
      <c r="J296" s="66">
        <f t="shared" si="232"/>
        <v>2.2432835018750569E-2</v>
      </c>
      <c r="K296" s="66">
        <f t="shared" si="232"/>
        <v>2.2506249510506178E-2</v>
      </c>
      <c r="L296" s="66">
        <f t="shared" si="232"/>
        <v>2.2606248538902293E-2</v>
      </c>
      <c r="M296" s="66">
        <f t="shared" si="232"/>
        <v>2.2740204146944967E-2</v>
      </c>
      <c r="N296" s="66">
        <f t="shared" si="232"/>
        <v>2.2915966739174579E-2</v>
      </c>
      <c r="O296" s="66">
        <f t="shared" si="232"/>
        <v>2.3140622359914181E-2</v>
      </c>
      <c r="P296" s="66">
        <f t="shared" si="232"/>
        <v>2.3418199829837963E-2</v>
      </c>
      <c r="Q296" s="66">
        <f t="shared" si="232"/>
        <v>2.37464098877272E-2</v>
      </c>
      <c r="R296" s="66">
        <f t="shared" si="232"/>
        <v>2.4113636741719121E-2</v>
      </c>
      <c r="S296" s="66">
        <f t="shared" si="232"/>
        <v>2.4498543353537051E-2</v>
      </c>
      <c r="T296" s="66">
        <f t="shared" si="232"/>
        <v>2.4874102409196797E-2</v>
      </c>
      <c r="U296" s="66">
        <f t="shared" si="232"/>
        <v>2.5214943287534979E-2</v>
      </c>
      <c r="V296" s="66">
        <f t="shared" si="232"/>
        <v>2.5504043225559915E-2</v>
      </c>
      <c r="W296" s="66">
        <f t="shared" si="232"/>
        <v>2.5735268158676362E-2</v>
      </c>
      <c r="X296" s="66">
        <f t="shared" si="232"/>
        <v>2.5911558197570909E-2</v>
      </c>
      <c r="Y296" s="66">
        <f t="shared" si="232"/>
        <v>2.6041075859296502E-2</v>
      </c>
      <c r="Z296" s="66">
        <f t="shared" si="232"/>
        <v>2.6133646321177276E-2</v>
      </c>
      <c r="AA296" s="66">
        <f t="shared" si="232"/>
        <v>2.6198509333316515E-2</v>
      </c>
      <c r="AB296" s="66">
        <f t="shared" si="232"/>
        <v>2.6243326677752275E-2</v>
      </c>
      <c r="AC296" s="66">
        <f t="shared" si="232"/>
        <v>2.6273994235799812E-2</v>
      </c>
    </row>
    <row r="297" spans="1:29" x14ac:dyDescent="0.3">
      <c r="A297" s="59" t="str">
        <f>A260</f>
        <v>Payload loss (fuel)</v>
      </c>
      <c r="B297" s="66">
        <f>B285/(B258-B260)-B285/B258</f>
        <v>0</v>
      </c>
      <c r="C297" s="66">
        <f t="shared" ref="C297:AC297" si="233">C285/(C258-C260)-C285/C258</f>
        <v>0</v>
      </c>
      <c r="D297" s="66">
        <f t="shared" si="233"/>
        <v>0</v>
      </c>
      <c r="E297" s="66">
        <f t="shared" si="233"/>
        <v>0</v>
      </c>
      <c r="F297" s="66">
        <f t="shared" si="233"/>
        <v>0</v>
      </c>
      <c r="G297" s="66">
        <f t="shared" si="233"/>
        <v>0</v>
      </c>
      <c r="H297" s="66">
        <f t="shared" si="233"/>
        <v>0</v>
      </c>
      <c r="I297" s="66">
        <f t="shared" si="233"/>
        <v>0</v>
      </c>
      <c r="J297" s="66">
        <f t="shared" si="233"/>
        <v>0</v>
      </c>
      <c r="K297" s="66">
        <f t="shared" si="233"/>
        <v>0</v>
      </c>
      <c r="L297" s="66">
        <f t="shared" si="233"/>
        <v>0</v>
      </c>
      <c r="M297" s="66">
        <f t="shared" si="233"/>
        <v>0</v>
      </c>
      <c r="N297" s="66">
        <f t="shared" si="233"/>
        <v>0</v>
      </c>
      <c r="O297" s="66">
        <f t="shared" si="233"/>
        <v>0</v>
      </c>
      <c r="P297" s="66">
        <f t="shared" si="233"/>
        <v>0</v>
      </c>
      <c r="Q297" s="66">
        <f t="shared" si="233"/>
        <v>0</v>
      </c>
      <c r="R297" s="66">
        <f t="shared" si="233"/>
        <v>0</v>
      </c>
      <c r="S297" s="66">
        <f t="shared" si="233"/>
        <v>0</v>
      </c>
      <c r="T297" s="66">
        <f t="shared" si="233"/>
        <v>0</v>
      </c>
      <c r="U297" s="66">
        <f t="shared" si="233"/>
        <v>0</v>
      </c>
      <c r="V297" s="66">
        <f t="shared" si="233"/>
        <v>0</v>
      </c>
      <c r="W297" s="66">
        <f t="shared" si="233"/>
        <v>0</v>
      </c>
      <c r="X297" s="66">
        <f t="shared" si="233"/>
        <v>0</v>
      </c>
      <c r="Y297" s="66">
        <f t="shared" si="233"/>
        <v>0</v>
      </c>
      <c r="Z297" s="66">
        <f t="shared" si="233"/>
        <v>0</v>
      </c>
      <c r="AA297" s="66">
        <f t="shared" si="233"/>
        <v>0</v>
      </c>
      <c r="AB297" s="66">
        <f t="shared" si="233"/>
        <v>0</v>
      </c>
      <c r="AC297" s="66">
        <f t="shared" si="233"/>
        <v>0</v>
      </c>
    </row>
    <row r="298" spans="1:29" ht="15" thickBot="1" x14ac:dyDescent="0.35">
      <c r="A298" s="59" t="str">
        <f>A235</f>
        <v>Emission Cost</v>
      </c>
      <c r="B298" s="66">
        <f>B255*B261/B261/(B258)</f>
        <v>7.4298751127533757E-4</v>
      </c>
      <c r="C298" s="66">
        <f t="shared" ref="C298:AC298" si="234">C255*C261/C261/(C258)</f>
        <v>7.4474275208498528E-4</v>
      </c>
      <c r="D298" s="66">
        <f t="shared" si="234"/>
        <v>7.4725534020915886E-4</v>
      </c>
      <c r="E298" s="66">
        <f t="shared" si="234"/>
        <v>7.5084977421388478E-4</v>
      </c>
      <c r="F298" s="66">
        <f t="shared" si="234"/>
        <v>7.5598701355788014E-4</v>
      </c>
      <c r="G298" s="66">
        <f t="shared" si="234"/>
        <v>7.6331896430522207E-4</v>
      </c>
      <c r="H298" s="66">
        <f t="shared" si="234"/>
        <v>7.7376146089384694E-4</v>
      </c>
      <c r="I298" s="66">
        <f t="shared" si="234"/>
        <v>7.8858830909913486E-4</v>
      </c>
      <c r="J298" s="66">
        <f t="shared" si="234"/>
        <v>8.0954463426816516E-4</v>
      </c>
      <c r="K298" s="66">
        <f t="shared" si="234"/>
        <v>8.389669367220592E-4</v>
      </c>
      <c r="L298" s="66">
        <f t="shared" si="234"/>
        <v>8.798746177594985E-4</v>
      </c>
      <c r="M298" s="66">
        <f t="shared" si="234"/>
        <v>9.3595751810243634E-4</v>
      </c>
      <c r="N298" s="66">
        <f t="shared" si="234"/>
        <v>1.0113269265627047E-3</v>
      </c>
      <c r="O298" s="66">
        <f t="shared" si="234"/>
        <v>1.109849303719172E-3</v>
      </c>
      <c r="P298" s="66">
        <f t="shared" si="234"/>
        <v>1.2339215853046303E-3</v>
      </c>
      <c r="Q298" s="66">
        <f t="shared" si="234"/>
        <v>1.3828047617117797E-3</v>
      </c>
      <c r="R298" s="66">
        <f t="shared" si="234"/>
        <v>1.5511579351188669E-3</v>
      </c>
      <c r="S298" s="66">
        <f t="shared" si="234"/>
        <v>1.7288876895490389E-3</v>
      </c>
      <c r="T298" s="66">
        <f t="shared" si="234"/>
        <v>1.9031200548462067E-3</v>
      </c>
      <c r="U298" s="66">
        <f t="shared" si="234"/>
        <v>2.0617273632976018E-3</v>
      </c>
      <c r="V298" s="66">
        <f t="shared" si="234"/>
        <v>2.1965209893662269E-3</v>
      </c>
      <c r="W298" s="66">
        <f t="shared" si="234"/>
        <v>2.304466543676486E-3</v>
      </c>
      <c r="X298" s="66">
        <f t="shared" si="234"/>
        <v>2.3868337925808045E-3</v>
      </c>
      <c r="Y298" s="66">
        <f t="shared" si="234"/>
        <v>2.4473803263883893E-3</v>
      </c>
      <c r="Z298" s="66">
        <f t="shared" si="234"/>
        <v>2.4906702221544307E-3</v>
      </c>
      <c r="AA298" s="66">
        <f t="shared" si="234"/>
        <v>2.521010046049748E-3</v>
      </c>
      <c r="AB298" s="66">
        <f t="shared" si="234"/>
        <v>2.5419767291927284E-3</v>
      </c>
      <c r="AC298" s="66">
        <f t="shared" si="234"/>
        <v>2.5563252752773664E-3</v>
      </c>
    </row>
    <row r="299" spans="1:29" ht="15" thickBot="1" x14ac:dyDescent="0.35">
      <c r="A299" s="31" t="s">
        <v>210</v>
      </c>
      <c r="B299" s="67">
        <f>B288+B289+B290+B291+B292+B293+B294+B295+B296+B297+B298</f>
        <v>3.2685860428015773E-2</v>
      </c>
      <c r="C299" s="67">
        <f t="shared" ref="C299:AC299" si="235">C288+C289+C290+C291+C292+C293+C294+C295+C296+C297+C298</f>
        <v>3.2692693687002589E-2</v>
      </c>
      <c r="D299" s="67">
        <f t="shared" si="235"/>
        <v>3.2702459678302036E-2</v>
      </c>
      <c r="E299" s="67">
        <f t="shared" si="235"/>
        <v>3.2716397756475418E-2</v>
      </c>
      <c r="F299" s="67">
        <f t="shared" si="235"/>
        <v>3.2736250063174349E-2</v>
      </c>
      <c r="G299" s="67">
        <f t="shared" si="235"/>
        <v>3.276444361104499E-2</v>
      </c>
      <c r="H299" s="67">
        <f t="shared" si="235"/>
        <v>3.2804316742961782E-2</v>
      </c>
      <c r="I299" s="67">
        <f t="shared" si="235"/>
        <v>3.2860380871384848E-2</v>
      </c>
      <c r="J299" s="67">
        <f t="shared" si="235"/>
        <v>3.2938588674990305E-2</v>
      </c>
      <c r="K299" s="67">
        <f t="shared" si="235"/>
        <v>3.30465511628662E-2</v>
      </c>
      <c r="L299" s="67">
        <f t="shared" si="235"/>
        <v>3.3193608557566368E-2</v>
      </c>
      <c r="M299" s="67">
        <f t="shared" si="235"/>
        <v>3.3390602098805594E-2</v>
      </c>
      <c r="N299" s="67">
        <f t="shared" si="235"/>
        <v>3.3649076499143254E-2</v>
      </c>
      <c r="O299" s="67">
        <f t="shared" si="235"/>
        <v>3.3979452411995612E-2</v>
      </c>
      <c r="P299" s="67">
        <f t="shared" si="235"/>
        <v>3.4387654573648237E-2</v>
      </c>
      <c r="Q299" s="67">
        <f t="shared" si="235"/>
        <v>3.4870316423485342E-2</v>
      </c>
      <c r="R299" s="67">
        <f t="shared" si="235"/>
        <v>3.5410355914649937E-2</v>
      </c>
      <c r="S299" s="67">
        <f t="shared" si="235"/>
        <v>3.5976395049676306E-2</v>
      </c>
      <c r="T299" s="67">
        <f t="shared" si="235"/>
        <v>3.6528687778587692E-2</v>
      </c>
      <c r="U299" s="67">
        <f t="shared" si="235"/>
        <v>3.7029924364379137E-2</v>
      </c>
      <c r="V299" s="67">
        <f t="shared" si="235"/>
        <v>3.745507133206287E-2</v>
      </c>
      <c r="W299" s="67">
        <f t="shared" si="235"/>
        <v>3.7795107998410585E-2</v>
      </c>
      <c r="X299" s="67">
        <f t="shared" si="235"/>
        <v>3.8054358055608452E-2</v>
      </c>
      <c r="Y299" s="67">
        <f t="shared" si="235"/>
        <v>3.8244825205204912E-2</v>
      </c>
      <c r="Z299" s="67">
        <f t="shared" si="235"/>
        <v>3.8380958237382523E-2</v>
      </c>
      <c r="AA299" s="67">
        <f t="shared" si="235"/>
        <v>3.8476345019940225E-2</v>
      </c>
      <c r="AB299" s="67">
        <f t="shared" si="235"/>
        <v>3.8542252879404576E-2</v>
      </c>
      <c r="AC299" s="67">
        <f t="shared" si="235"/>
        <v>3.8587352229474486E-2</v>
      </c>
    </row>
    <row r="301" spans="1:29" x14ac:dyDescent="0.3">
      <c r="B301" s="40"/>
    </row>
    <row r="324" spans="1:44" s="3" customFormat="1" ht="21" x14ac:dyDescent="0.4">
      <c r="A324" s="2" t="str">
        <f>'Parameter Input'!A112</f>
        <v>Railway long-haul: Break bulk</v>
      </c>
    </row>
    <row r="325" spans="1:44" s="3" customFormat="1" ht="21" x14ac:dyDescent="0.4">
      <c r="A325" s="2" t="s">
        <v>11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Input'!$L$77</f>
        <v>3500000</v>
      </c>
      <c r="C334" s="42">
        <f>'Parameter Input'!$M$77</f>
        <v>3500000</v>
      </c>
      <c r="D334" s="1" t="s">
        <v>15</v>
      </c>
      <c r="L334" s="51">
        <f>'Parameter Input'!$O$77</f>
        <v>12</v>
      </c>
      <c r="M334" s="52">
        <v>0</v>
      </c>
      <c r="N334" s="52">
        <v>1</v>
      </c>
      <c r="O334" s="52">
        <f>'Parameter Input'!$P$77</f>
        <v>0.9</v>
      </c>
      <c r="P334" s="53">
        <f>'Parameter Input'!$Q$77</f>
        <v>0.4</v>
      </c>
      <c r="Q334" s="4">
        <f t="shared" ref="Q334:AR343" si="236">$N334+($M334-$N334)*((1/(1+EXP(-$P334*(Q$9-$L334)))^$O334))</f>
        <v>0.9867978615748374</v>
      </c>
      <c r="R334" s="4">
        <f t="shared" si="236"/>
        <v>0.98114509762858249</v>
      </c>
      <c r="S334" s="4">
        <f t="shared" si="236"/>
        <v>0.97311898315872036</v>
      </c>
      <c r="T334" s="4">
        <f t="shared" si="236"/>
        <v>0.96177484161592774</v>
      </c>
      <c r="U334" s="4">
        <f t="shared" si="236"/>
        <v>0.94584787155511363</v>
      </c>
      <c r="V334" s="4">
        <f t="shared" si="236"/>
        <v>0.92370360150141495</v>
      </c>
      <c r="W334" s="4">
        <f t="shared" si="236"/>
        <v>0.89334463567658451</v>
      </c>
      <c r="X334" s="4">
        <f t="shared" si="236"/>
        <v>0.85254543874327005</v>
      </c>
      <c r="Y334" s="4">
        <f t="shared" si="236"/>
        <v>0.79921300652623883</v>
      </c>
      <c r="Z334" s="4">
        <f t="shared" si="236"/>
        <v>0.73204982249993378</v>
      </c>
      <c r="AA334" s="4">
        <f t="shared" si="236"/>
        <v>0.65145592958786691</v>
      </c>
      <c r="AB334" s="4">
        <f t="shared" si="236"/>
        <v>0.56032247880849573</v>
      </c>
      <c r="AC334" s="4">
        <f t="shared" si="236"/>
        <v>0.46411326873185343</v>
      </c>
      <c r="AD334" s="4">
        <f t="shared" si="236"/>
        <v>0.36979727595523937</v>
      </c>
      <c r="AE334" s="4">
        <f t="shared" si="236"/>
        <v>0.28393948637231203</v>
      </c>
      <c r="AF334" s="4">
        <f t="shared" si="236"/>
        <v>0.21097259161117732</v>
      </c>
      <c r="AG334" s="4">
        <f t="shared" si="236"/>
        <v>0.15253917653798199</v>
      </c>
      <c r="AH334" s="4">
        <f t="shared" si="236"/>
        <v>0.10795188737709993</v>
      </c>
      <c r="AI334" s="4">
        <f t="shared" si="236"/>
        <v>7.5176653938091809E-2</v>
      </c>
      <c r="AJ334" s="4">
        <f t="shared" si="236"/>
        <v>5.1742836177502194E-2</v>
      </c>
      <c r="AK334" s="4">
        <f t="shared" si="236"/>
        <v>3.5319190625345942E-2</v>
      </c>
      <c r="AL334" s="4">
        <f t="shared" si="236"/>
        <v>2.3969442072658165E-2</v>
      </c>
      <c r="AM334" s="4">
        <f t="shared" si="236"/>
        <v>1.6202243558389728E-2</v>
      </c>
      <c r="AN334" s="4">
        <f t="shared" si="236"/>
        <v>1.0922240564108399E-2</v>
      </c>
      <c r="AO334" s="4">
        <f t="shared" si="236"/>
        <v>7.3493212906090566E-3</v>
      </c>
      <c r="AP334" s="4">
        <f t="shared" si="236"/>
        <v>4.9390262185057265E-3</v>
      </c>
      <c r="AQ334" s="4">
        <f t="shared" si="236"/>
        <v>3.3164275492956197E-3</v>
      </c>
      <c r="AR334" s="4">
        <f t="shared" si="236"/>
        <v>2.2256362146679809E-3</v>
      </c>
    </row>
    <row r="335" spans="1:44" x14ac:dyDescent="0.3">
      <c r="A335" s="24" t="s">
        <v>28</v>
      </c>
      <c r="B335" s="60">
        <f>'Parameter Input'!$L$78</f>
        <v>-525000</v>
      </c>
      <c r="C335" s="61">
        <f>'Parameter Input'!$M$78</f>
        <v>-175000</v>
      </c>
      <c r="D335" s="1" t="s">
        <v>15</v>
      </c>
      <c r="L335" s="54">
        <f>'Parameter Input'!$O$78</f>
        <v>12</v>
      </c>
      <c r="M335" s="37">
        <v>0</v>
      </c>
      <c r="N335" s="37">
        <v>1</v>
      </c>
      <c r="O335" s="37">
        <f>'Parameter Input'!$P$78</f>
        <v>0.9</v>
      </c>
      <c r="P335" s="55">
        <f>'Parameter Input'!$Q$78</f>
        <v>0.4</v>
      </c>
      <c r="Q335" s="4">
        <f t="shared" si="236"/>
        <v>0.9867978615748374</v>
      </c>
      <c r="R335" s="4">
        <f t="shared" si="236"/>
        <v>0.98114509762858249</v>
      </c>
      <c r="S335" s="4">
        <f t="shared" si="236"/>
        <v>0.97311898315872036</v>
      </c>
      <c r="T335" s="4">
        <f t="shared" si="236"/>
        <v>0.96177484161592774</v>
      </c>
      <c r="U335" s="4">
        <f t="shared" si="236"/>
        <v>0.94584787155511363</v>
      </c>
      <c r="V335" s="4">
        <f t="shared" si="236"/>
        <v>0.92370360150141495</v>
      </c>
      <c r="W335" s="4">
        <f t="shared" si="236"/>
        <v>0.89334463567658451</v>
      </c>
      <c r="X335" s="4">
        <f t="shared" si="236"/>
        <v>0.85254543874327005</v>
      </c>
      <c r="Y335" s="4">
        <f t="shared" si="236"/>
        <v>0.79921300652623883</v>
      </c>
      <c r="Z335" s="4">
        <f t="shared" si="236"/>
        <v>0.73204982249993378</v>
      </c>
      <c r="AA335" s="4">
        <f t="shared" si="236"/>
        <v>0.65145592958786691</v>
      </c>
      <c r="AB335" s="4">
        <f t="shared" si="236"/>
        <v>0.56032247880849573</v>
      </c>
      <c r="AC335" s="4">
        <f t="shared" si="236"/>
        <v>0.46411326873185343</v>
      </c>
      <c r="AD335" s="4">
        <f t="shared" si="236"/>
        <v>0.36979727595523937</v>
      </c>
      <c r="AE335" s="4">
        <f t="shared" si="236"/>
        <v>0.28393948637231203</v>
      </c>
      <c r="AF335" s="4">
        <f t="shared" si="236"/>
        <v>0.21097259161117732</v>
      </c>
      <c r="AG335" s="4">
        <f t="shared" si="236"/>
        <v>0.15253917653798199</v>
      </c>
      <c r="AH335" s="4">
        <f t="shared" si="236"/>
        <v>0.10795188737709993</v>
      </c>
      <c r="AI335" s="4">
        <f t="shared" si="236"/>
        <v>7.5176653938091809E-2</v>
      </c>
      <c r="AJ335" s="4">
        <f t="shared" si="236"/>
        <v>5.1742836177502194E-2</v>
      </c>
      <c r="AK335" s="4">
        <f t="shared" si="236"/>
        <v>3.5319190625345942E-2</v>
      </c>
      <c r="AL335" s="4">
        <f t="shared" si="236"/>
        <v>2.3969442072658165E-2</v>
      </c>
      <c r="AM335" s="4">
        <f t="shared" si="236"/>
        <v>1.6202243558389728E-2</v>
      </c>
      <c r="AN335" s="4">
        <f t="shared" si="236"/>
        <v>1.0922240564108399E-2</v>
      </c>
      <c r="AO335" s="4">
        <f t="shared" si="236"/>
        <v>7.3493212906090566E-3</v>
      </c>
      <c r="AP335" s="4">
        <f t="shared" si="236"/>
        <v>4.9390262185057265E-3</v>
      </c>
      <c r="AQ335" s="4">
        <f t="shared" si="236"/>
        <v>3.3164275492956197E-3</v>
      </c>
      <c r="AR335" s="4">
        <f t="shared" si="236"/>
        <v>2.2256362146679809E-3</v>
      </c>
    </row>
    <row r="336" spans="1:44" x14ac:dyDescent="0.3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36"/>
        <v>0.9867978615748374</v>
      </c>
      <c r="R336" s="4">
        <f t="shared" si="236"/>
        <v>0.98114509762858249</v>
      </c>
      <c r="S336" s="4">
        <f t="shared" si="236"/>
        <v>0.97311898315872036</v>
      </c>
      <c r="T336" s="4">
        <f t="shared" si="236"/>
        <v>0.96177484161592774</v>
      </c>
      <c r="U336" s="4">
        <f t="shared" si="236"/>
        <v>0.94584787155511363</v>
      </c>
      <c r="V336" s="4">
        <f t="shared" si="236"/>
        <v>0.92370360150141495</v>
      </c>
      <c r="W336" s="4">
        <f t="shared" si="236"/>
        <v>0.89334463567658451</v>
      </c>
      <c r="X336" s="4">
        <f t="shared" si="236"/>
        <v>0.85254543874327005</v>
      </c>
      <c r="Y336" s="4">
        <f t="shared" si="236"/>
        <v>0.79921300652623883</v>
      </c>
      <c r="Z336" s="4">
        <f t="shared" si="236"/>
        <v>0.73204982249993378</v>
      </c>
      <c r="AA336" s="4">
        <f t="shared" si="236"/>
        <v>0.65145592958786691</v>
      </c>
      <c r="AB336" s="4">
        <f t="shared" si="236"/>
        <v>0.56032247880849573</v>
      </c>
      <c r="AC336" s="4">
        <f t="shared" si="236"/>
        <v>0.46411326873185343</v>
      </c>
      <c r="AD336" s="4">
        <f t="shared" si="236"/>
        <v>0.36979727595523937</v>
      </c>
      <c r="AE336" s="4">
        <f t="shared" si="236"/>
        <v>0.28393948637231203</v>
      </c>
      <c r="AF336" s="4">
        <f t="shared" si="236"/>
        <v>0.21097259161117732</v>
      </c>
      <c r="AG336" s="4">
        <f t="shared" si="236"/>
        <v>0.15253917653798199</v>
      </c>
      <c r="AH336" s="4">
        <f t="shared" si="236"/>
        <v>0.10795188737709993</v>
      </c>
      <c r="AI336" s="4">
        <f t="shared" si="236"/>
        <v>7.5176653938091809E-2</v>
      </c>
      <c r="AJ336" s="4">
        <f t="shared" si="236"/>
        <v>5.1742836177502194E-2</v>
      </c>
      <c r="AK336" s="4">
        <f t="shared" si="236"/>
        <v>3.5319190625345942E-2</v>
      </c>
      <c r="AL336" s="4">
        <f t="shared" si="236"/>
        <v>2.3969442072658165E-2</v>
      </c>
      <c r="AM336" s="4">
        <f t="shared" si="236"/>
        <v>1.6202243558389728E-2</v>
      </c>
      <c r="AN336" s="4">
        <f t="shared" si="236"/>
        <v>1.0922240564108399E-2</v>
      </c>
      <c r="AO336" s="4">
        <f t="shared" si="236"/>
        <v>7.3493212906090566E-3</v>
      </c>
      <c r="AP336" s="4">
        <f t="shared" si="236"/>
        <v>4.9390262185057265E-3</v>
      </c>
      <c r="AQ336" s="4">
        <f t="shared" si="236"/>
        <v>3.3164275492956197E-3</v>
      </c>
      <c r="AR336" s="4">
        <f t="shared" si="236"/>
        <v>2.2256362146679809E-3</v>
      </c>
    </row>
    <row r="337" spans="1:44" x14ac:dyDescent="0.3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36"/>
        <v>0.9867978615748374</v>
      </c>
      <c r="R337" s="4">
        <f t="shared" si="236"/>
        <v>0.98114509762858249</v>
      </c>
      <c r="S337" s="4">
        <f t="shared" si="236"/>
        <v>0.97311898315872036</v>
      </c>
      <c r="T337" s="4">
        <f t="shared" si="236"/>
        <v>0.96177484161592774</v>
      </c>
      <c r="U337" s="4">
        <f t="shared" si="236"/>
        <v>0.94584787155511363</v>
      </c>
      <c r="V337" s="4">
        <f t="shared" si="236"/>
        <v>0.92370360150141495</v>
      </c>
      <c r="W337" s="4">
        <f t="shared" si="236"/>
        <v>0.89334463567658451</v>
      </c>
      <c r="X337" s="4">
        <f t="shared" si="236"/>
        <v>0.85254543874327005</v>
      </c>
      <c r="Y337" s="4">
        <f t="shared" si="236"/>
        <v>0.79921300652623883</v>
      </c>
      <c r="Z337" s="4">
        <f t="shared" si="236"/>
        <v>0.73204982249993378</v>
      </c>
      <c r="AA337" s="4">
        <f t="shared" si="236"/>
        <v>0.65145592958786691</v>
      </c>
      <c r="AB337" s="4">
        <f t="shared" si="236"/>
        <v>0.56032247880849573</v>
      </c>
      <c r="AC337" s="4">
        <f t="shared" si="236"/>
        <v>0.46411326873185343</v>
      </c>
      <c r="AD337" s="4">
        <f t="shared" si="236"/>
        <v>0.36979727595523937</v>
      </c>
      <c r="AE337" s="4">
        <f t="shared" si="236"/>
        <v>0.28393948637231203</v>
      </c>
      <c r="AF337" s="4">
        <f t="shared" si="236"/>
        <v>0.21097259161117732</v>
      </c>
      <c r="AG337" s="4">
        <f t="shared" si="236"/>
        <v>0.15253917653798199</v>
      </c>
      <c r="AH337" s="4">
        <f t="shared" si="236"/>
        <v>0.10795188737709993</v>
      </c>
      <c r="AI337" s="4">
        <f t="shared" si="236"/>
        <v>7.5176653938091809E-2</v>
      </c>
      <c r="AJ337" s="4">
        <f t="shared" si="236"/>
        <v>5.1742836177502194E-2</v>
      </c>
      <c r="AK337" s="4">
        <f t="shared" si="236"/>
        <v>3.5319190625345942E-2</v>
      </c>
      <c r="AL337" s="4">
        <f t="shared" si="236"/>
        <v>2.3969442072658165E-2</v>
      </c>
      <c r="AM337" s="4">
        <f t="shared" si="236"/>
        <v>1.6202243558389728E-2</v>
      </c>
      <c r="AN337" s="4">
        <f t="shared" si="236"/>
        <v>1.0922240564108399E-2</v>
      </c>
      <c r="AO337" s="4">
        <f t="shared" si="236"/>
        <v>7.3493212906090566E-3</v>
      </c>
      <c r="AP337" s="4">
        <f t="shared" si="236"/>
        <v>4.9390262185057265E-3</v>
      </c>
      <c r="AQ337" s="4">
        <f t="shared" si="236"/>
        <v>3.3164275492956197E-3</v>
      </c>
      <c r="AR337" s="4">
        <f t="shared" si="236"/>
        <v>2.2256362146679809E-3</v>
      </c>
    </row>
    <row r="338" spans="1:44" x14ac:dyDescent="0.3">
      <c r="A338" s="24" t="s">
        <v>79</v>
      </c>
      <c r="B338" s="45">
        <f>'Parameter Input'!$L$84</f>
        <v>0.06</v>
      </c>
      <c r="C338" s="46">
        <f>'Parameter Input'!$M$84</f>
        <v>0.06</v>
      </c>
      <c r="D338" s="1" t="s">
        <v>57</v>
      </c>
      <c r="L338" s="54">
        <f>'Parameter Input'!$O$84</f>
        <v>12</v>
      </c>
      <c r="M338" s="37">
        <v>0</v>
      </c>
      <c r="N338" s="37">
        <v>1</v>
      </c>
      <c r="O338" s="37">
        <f>'Parameter Input'!$P$84</f>
        <v>0.9</v>
      </c>
      <c r="P338" s="55">
        <f>'Parameter Input'!$Q$84</f>
        <v>0.4</v>
      </c>
      <c r="Q338" s="4">
        <f t="shared" si="236"/>
        <v>0.9867978615748374</v>
      </c>
      <c r="R338" s="4">
        <f t="shared" si="236"/>
        <v>0.98114509762858249</v>
      </c>
      <c r="S338" s="4">
        <f t="shared" si="236"/>
        <v>0.97311898315872036</v>
      </c>
      <c r="T338" s="4">
        <f t="shared" si="236"/>
        <v>0.96177484161592774</v>
      </c>
      <c r="U338" s="4">
        <f t="shared" si="236"/>
        <v>0.94584787155511363</v>
      </c>
      <c r="V338" s="4">
        <f t="shared" si="236"/>
        <v>0.92370360150141495</v>
      </c>
      <c r="W338" s="4">
        <f t="shared" si="236"/>
        <v>0.89334463567658451</v>
      </c>
      <c r="X338" s="4">
        <f t="shared" si="236"/>
        <v>0.85254543874327005</v>
      </c>
      <c r="Y338" s="4">
        <f t="shared" si="236"/>
        <v>0.79921300652623883</v>
      </c>
      <c r="Z338" s="4">
        <f t="shared" si="236"/>
        <v>0.73204982249993378</v>
      </c>
      <c r="AA338" s="4">
        <f t="shared" si="236"/>
        <v>0.65145592958786691</v>
      </c>
      <c r="AB338" s="4">
        <f t="shared" si="236"/>
        <v>0.56032247880849573</v>
      </c>
      <c r="AC338" s="4">
        <f t="shared" si="236"/>
        <v>0.46411326873185343</v>
      </c>
      <c r="AD338" s="4">
        <f t="shared" si="236"/>
        <v>0.36979727595523937</v>
      </c>
      <c r="AE338" s="4">
        <f t="shared" si="236"/>
        <v>0.28393948637231203</v>
      </c>
      <c r="AF338" s="4">
        <f t="shared" si="236"/>
        <v>0.21097259161117732</v>
      </c>
      <c r="AG338" s="4">
        <f t="shared" si="236"/>
        <v>0.15253917653798199</v>
      </c>
      <c r="AH338" s="4">
        <f t="shared" si="236"/>
        <v>0.10795188737709993</v>
      </c>
      <c r="AI338" s="4">
        <f t="shared" si="236"/>
        <v>7.5176653938091809E-2</v>
      </c>
      <c r="AJ338" s="4">
        <f t="shared" si="236"/>
        <v>5.1742836177502194E-2</v>
      </c>
      <c r="AK338" s="4">
        <f t="shared" si="236"/>
        <v>3.5319190625345942E-2</v>
      </c>
      <c r="AL338" s="4">
        <f t="shared" si="236"/>
        <v>2.3969442072658165E-2</v>
      </c>
      <c r="AM338" s="4">
        <f t="shared" si="236"/>
        <v>1.6202243558389728E-2</v>
      </c>
      <c r="AN338" s="4">
        <f t="shared" si="236"/>
        <v>1.0922240564108399E-2</v>
      </c>
      <c r="AO338" s="4">
        <f t="shared" si="236"/>
        <v>7.3493212906090566E-3</v>
      </c>
      <c r="AP338" s="4">
        <f t="shared" si="236"/>
        <v>4.9390262185057265E-3</v>
      </c>
      <c r="AQ338" s="4">
        <f t="shared" si="236"/>
        <v>3.3164275492956197E-3</v>
      </c>
      <c r="AR338" s="4">
        <f t="shared" si="236"/>
        <v>2.2256362146679809E-3</v>
      </c>
    </row>
    <row r="339" spans="1:44" x14ac:dyDescent="0.3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36"/>
        <v>0.9867978615748374</v>
      </c>
      <c r="R339" s="4">
        <f t="shared" si="236"/>
        <v>0.98114509762858249</v>
      </c>
      <c r="S339" s="4">
        <f t="shared" si="236"/>
        <v>0.97311898315872036</v>
      </c>
      <c r="T339" s="4">
        <f t="shared" si="236"/>
        <v>0.96177484161592774</v>
      </c>
      <c r="U339" s="4">
        <f t="shared" si="236"/>
        <v>0.94584787155511363</v>
      </c>
      <c r="V339" s="4">
        <f t="shared" si="236"/>
        <v>0.92370360150141495</v>
      </c>
      <c r="W339" s="4">
        <f t="shared" si="236"/>
        <v>0.89334463567658451</v>
      </c>
      <c r="X339" s="4">
        <f t="shared" si="236"/>
        <v>0.85254543874327005</v>
      </c>
      <c r="Y339" s="4">
        <f t="shared" si="236"/>
        <v>0.79921300652623883</v>
      </c>
      <c r="Z339" s="4">
        <f t="shared" si="236"/>
        <v>0.73204982249993378</v>
      </c>
      <c r="AA339" s="4">
        <f t="shared" si="236"/>
        <v>0.65145592958786691</v>
      </c>
      <c r="AB339" s="4">
        <f t="shared" si="236"/>
        <v>0.56032247880849573</v>
      </c>
      <c r="AC339" s="4">
        <f t="shared" si="236"/>
        <v>0.46411326873185343</v>
      </c>
      <c r="AD339" s="4">
        <f t="shared" si="236"/>
        <v>0.36979727595523937</v>
      </c>
      <c r="AE339" s="4">
        <f t="shared" si="236"/>
        <v>0.28393948637231203</v>
      </c>
      <c r="AF339" s="4">
        <f t="shared" si="236"/>
        <v>0.21097259161117732</v>
      </c>
      <c r="AG339" s="4">
        <f t="shared" si="236"/>
        <v>0.15253917653798199</v>
      </c>
      <c r="AH339" s="4">
        <f t="shared" si="236"/>
        <v>0.10795188737709993</v>
      </c>
      <c r="AI339" s="4">
        <f t="shared" si="236"/>
        <v>7.5176653938091809E-2</v>
      </c>
      <c r="AJ339" s="4">
        <f t="shared" si="236"/>
        <v>5.1742836177502194E-2</v>
      </c>
      <c r="AK339" s="4">
        <f t="shared" si="236"/>
        <v>3.5319190625345942E-2</v>
      </c>
      <c r="AL339" s="4">
        <f t="shared" si="236"/>
        <v>2.3969442072658165E-2</v>
      </c>
      <c r="AM339" s="4">
        <f t="shared" si="236"/>
        <v>1.6202243558389728E-2</v>
      </c>
      <c r="AN339" s="4">
        <f t="shared" si="236"/>
        <v>1.0922240564108399E-2</v>
      </c>
      <c r="AO339" s="4">
        <f t="shared" si="236"/>
        <v>7.3493212906090566E-3</v>
      </c>
      <c r="AP339" s="4">
        <f t="shared" si="236"/>
        <v>4.9390262185057265E-3</v>
      </c>
      <c r="AQ339" s="4">
        <f t="shared" si="236"/>
        <v>3.3164275492956197E-3</v>
      </c>
      <c r="AR339" s="4">
        <f t="shared" si="236"/>
        <v>2.2256362146679809E-3</v>
      </c>
    </row>
    <row r="340" spans="1:44" x14ac:dyDescent="0.3">
      <c r="A340" s="24" t="s">
        <v>52</v>
      </c>
      <c r="B340" s="43">
        <f>'Parameter Input'!$L$80</f>
        <v>1050000</v>
      </c>
      <c r="C340" s="44">
        <f>'Parameter Input'!$M$80</f>
        <v>1050000</v>
      </c>
      <c r="D340" s="1" t="s">
        <v>38</v>
      </c>
      <c r="L340" s="54">
        <f>'Parameter Input'!$O$80</f>
        <v>12</v>
      </c>
      <c r="M340" s="37">
        <v>0</v>
      </c>
      <c r="N340" s="37">
        <v>1</v>
      </c>
      <c r="O340" s="37">
        <f>'Parameter Input'!$P$80</f>
        <v>0.9</v>
      </c>
      <c r="P340" s="55">
        <f>'Parameter Input'!$Q$80</f>
        <v>0.4</v>
      </c>
      <c r="Q340" s="4">
        <f t="shared" si="236"/>
        <v>0.9867978615748374</v>
      </c>
      <c r="R340" s="4">
        <f t="shared" si="236"/>
        <v>0.98114509762858249</v>
      </c>
      <c r="S340" s="4">
        <f t="shared" si="236"/>
        <v>0.97311898315872036</v>
      </c>
      <c r="T340" s="4">
        <f t="shared" si="236"/>
        <v>0.96177484161592774</v>
      </c>
      <c r="U340" s="4">
        <f t="shared" si="236"/>
        <v>0.94584787155511363</v>
      </c>
      <c r="V340" s="4">
        <f t="shared" si="236"/>
        <v>0.92370360150141495</v>
      </c>
      <c r="W340" s="4">
        <f t="shared" si="236"/>
        <v>0.89334463567658451</v>
      </c>
      <c r="X340" s="4">
        <f t="shared" si="236"/>
        <v>0.85254543874327005</v>
      </c>
      <c r="Y340" s="4">
        <f t="shared" si="236"/>
        <v>0.79921300652623883</v>
      </c>
      <c r="Z340" s="4">
        <f t="shared" si="236"/>
        <v>0.73204982249993378</v>
      </c>
      <c r="AA340" s="4">
        <f t="shared" si="236"/>
        <v>0.65145592958786691</v>
      </c>
      <c r="AB340" s="4">
        <f t="shared" si="236"/>
        <v>0.56032247880849573</v>
      </c>
      <c r="AC340" s="4">
        <f t="shared" si="236"/>
        <v>0.46411326873185343</v>
      </c>
      <c r="AD340" s="4">
        <f t="shared" si="236"/>
        <v>0.36979727595523937</v>
      </c>
      <c r="AE340" s="4">
        <f t="shared" si="236"/>
        <v>0.28393948637231203</v>
      </c>
      <c r="AF340" s="4">
        <f t="shared" si="236"/>
        <v>0.21097259161117732</v>
      </c>
      <c r="AG340" s="4">
        <f t="shared" si="236"/>
        <v>0.15253917653798199</v>
      </c>
      <c r="AH340" s="4">
        <f t="shared" si="236"/>
        <v>0.10795188737709993</v>
      </c>
      <c r="AI340" s="4">
        <f t="shared" si="236"/>
        <v>7.5176653938091809E-2</v>
      </c>
      <c r="AJ340" s="4">
        <f t="shared" si="236"/>
        <v>5.1742836177502194E-2</v>
      </c>
      <c r="AK340" s="4">
        <f t="shared" si="236"/>
        <v>3.5319190625345942E-2</v>
      </c>
      <c r="AL340" s="4">
        <f t="shared" si="236"/>
        <v>2.3969442072658165E-2</v>
      </c>
      <c r="AM340" s="4">
        <f t="shared" si="236"/>
        <v>1.6202243558389728E-2</v>
      </c>
      <c r="AN340" s="4">
        <f t="shared" si="236"/>
        <v>1.0922240564108399E-2</v>
      </c>
      <c r="AO340" s="4">
        <f t="shared" si="236"/>
        <v>7.3493212906090566E-3</v>
      </c>
      <c r="AP340" s="4">
        <f t="shared" si="236"/>
        <v>4.9390262185057265E-3</v>
      </c>
      <c r="AQ340" s="4">
        <f t="shared" si="236"/>
        <v>3.3164275492956197E-3</v>
      </c>
      <c r="AR340" s="4">
        <f t="shared" si="236"/>
        <v>2.2256362146679809E-3</v>
      </c>
    </row>
    <row r="341" spans="1:44" x14ac:dyDescent="0.3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36"/>
        <v>0.9867978615748374</v>
      </c>
      <c r="R341" s="4">
        <f t="shared" si="236"/>
        <v>0.98114509762858249</v>
      </c>
      <c r="S341" s="4">
        <f t="shared" si="236"/>
        <v>0.97311898315872036</v>
      </c>
      <c r="T341" s="4">
        <f t="shared" si="236"/>
        <v>0.96177484161592774</v>
      </c>
      <c r="U341" s="4">
        <f t="shared" si="236"/>
        <v>0.94584787155511363</v>
      </c>
      <c r="V341" s="4">
        <f t="shared" si="236"/>
        <v>0.92370360150141495</v>
      </c>
      <c r="W341" s="4">
        <f t="shared" si="236"/>
        <v>0.89334463567658451</v>
      </c>
      <c r="X341" s="4">
        <f t="shared" si="236"/>
        <v>0.85254543874327005</v>
      </c>
      <c r="Y341" s="4">
        <f t="shared" si="236"/>
        <v>0.79921300652623883</v>
      </c>
      <c r="Z341" s="4">
        <f t="shared" si="236"/>
        <v>0.73204982249993378</v>
      </c>
      <c r="AA341" s="4">
        <f t="shared" si="236"/>
        <v>0.65145592958786691</v>
      </c>
      <c r="AB341" s="4">
        <f t="shared" si="236"/>
        <v>0.56032247880849573</v>
      </c>
      <c r="AC341" s="4">
        <f t="shared" si="236"/>
        <v>0.46411326873185343</v>
      </c>
      <c r="AD341" s="4">
        <f t="shared" si="236"/>
        <v>0.36979727595523937</v>
      </c>
      <c r="AE341" s="4">
        <f t="shared" si="236"/>
        <v>0.28393948637231203</v>
      </c>
      <c r="AF341" s="4">
        <f t="shared" si="236"/>
        <v>0.21097259161117732</v>
      </c>
      <c r="AG341" s="4">
        <f t="shared" si="236"/>
        <v>0.15253917653798199</v>
      </c>
      <c r="AH341" s="4">
        <f t="shared" si="236"/>
        <v>0.10795188737709993</v>
      </c>
      <c r="AI341" s="4">
        <f t="shared" si="236"/>
        <v>7.5176653938091809E-2</v>
      </c>
      <c r="AJ341" s="4">
        <f t="shared" si="236"/>
        <v>5.1742836177502194E-2</v>
      </c>
      <c r="AK341" s="4">
        <f t="shared" si="236"/>
        <v>3.5319190625345942E-2</v>
      </c>
      <c r="AL341" s="4">
        <f t="shared" si="236"/>
        <v>2.3969442072658165E-2</v>
      </c>
      <c r="AM341" s="4">
        <f t="shared" si="236"/>
        <v>1.6202243558389728E-2</v>
      </c>
      <c r="AN341" s="4">
        <f t="shared" si="236"/>
        <v>1.0922240564108399E-2</v>
      </c>
      <c r="AO341" s="4">
        <f t="shared" si="236"/>
        <v>7.3493212906090566E-3</v>
      </c>
      <c r="AP341" s="4">
        <f t="shared" si="236"/>
        <v>4.9390262185057265E-3</v>
      </c>
      <c r="AQ341" s="4">
        <f t="shared" si="236"/>
        <v>3.3164275492956197E-3</v>
      </c>
      <c r="AR341" s="4">
        <f t="shared" si="236"/>
        <v>2.2256362146679809E-3</v>
      </c>
    </row>
    <row r="342" spans="1:44" x14ac:dyDescent="0.3">
      <c r="A342" s="24" t="s">
        <v>59</v>
      </c>
      <c r="B342" s="47">
        <f>'Parameter Input'!$L$81</f>
        <v>62.083200000000005</v>
      </c>
      <c r="C342" s="48">
        <f>'Parameter Input'!$M$81</f>
        <v>62.083200000000005</v>
      </c>
      <c r="D342" s="1" t="s">
        <v>60</v>
      </c>
      <c r="L342" s="54">
        <f>'Parameter Input'!$O$81</f>
        <v>12</v>
      </c>
      <c r="M342" s="37">
        <v>0</v>
      </c>
      <c r="N342" s="37">
        <v>1</v>
      </c>
      <c r="O342" s="37">
        <f>'Parameter Input'!$P$81</f>
        <v>0.9</v>
      </c>
      <c r="P342" s="55">
        <f>'Parameter Input'!$Q$81</f>
        <v>0.4</v>
      </c>
      <c r="Q342" s="4">
        <f t="shared" si="236"/>
        <v>0.9867978615748374</v>
      </c>
      <c r="R342" s="4">
        <f t="shared" si="236"/>
        <v>0.98114509762858249</v>
      </c>
      <c r="S342" s="4">
        <f t="shared" si="236"/>
        <v>0.97311898315872036</v>
      </c>
      <c r="T342" s="4">
        <f t="shared" si="236"/>
        <v>0.96177484161592774</v>
      </c>
      <c r="U342" s="4">
        <f t="shared" si="236"/>
        <v>0.94584787155511363</v>
      </c>
      <c r="V342" s="4">
        <f t="shared" si="236"/>
        <v>0.92370360150141495</v>
      </c>
      <c r="W342" s="4">
        <f t="shared" si="236"/>
        <v>0.89334463567658451</v>
      </c>
      <c r="X342" s="4">
        <f t="shared" si="236"/>
        <v>0.85254543874327005</v>
      </c>
      <c r="Y342" s="4">
        <f t="shared" si="236"/>
        <v>0.79921300652623883</v>
      </c>
      <c r="Z342" s="4">
        <f t="shared" si="236"/>
        <v>0.73204982249993378</v>
      </c>
      <c r="AA342" s="4">
        <f t="shared" si="236"/>
        <v>0.65145592958786691</v>
      </c>
      <c r="AB342" s="4">
        <f t="shared" si="236"/>
        <v>0.56032247880849573</v>
      </c>
      <c r="AC342" s="4">
        <f t="shared" si="236"/>
        <v>0.46411326873185343</v>
      </c>
      <c r="AD342" s="4">
        <f t="shared" si="236"/>
        <v>0.36979727595523937</v>
      </c>
      <c r="AE342" s="4">
        <f t="shared" si="236"/>
        <v>0.28393948637231203</v>
      </c>
      <c r="AF342" s="4">
        <f t="shared" si="236"/>
        <v>0.21097259161117732</v>
      </c>
      <c r="AG342" s="4">
        <f t="shared" si="236"/>
        <v>0.15253917653798199</v>
      </c>
      <c r="AH342" s="4">
        <f t="shared" si="236"/>
        <v>0.10795188737709993</v>
      </c>
      <c r="AI342" s="4">
        <f t="shared" si="236"/>
        <v>7.5176653938091809E-2</v>
      </c>
      <c r="AJ342" s="4">
        <f t="shared" si="236"/>
        <v>5.1742836177502194E-2</v>
      </c>
      <c r="AK342" s="4">
        <f t="shared" si="236"/>
        <v>3.5319190625345942E-2</v>
      </c>
      <c r="AL342" s="4">
        <f t="shared" si="236"/>
        <v>2.3969442072658165E-2</v>
      </c>
      <c r="AM342" s="4">
        <f t="shared" si="236"/>
        <v>1.6202243558389728E-2</v>
      </c>
      <c r="AN342" s="4">
        <f t="shared" si="236"/>
        <v>1.0922240564108399E-2</v>
      </c>
      <c r="AO342" s="4">
        <f t="shared" si="236"/>
        <v>7.3493212906090566E-3</v>
      </c>
      <c r="AP342" s="4">
        <f t="shared" si="236"/>
        <v>4.9390262185057265E-3</v>
      </c>
      <c r="AQ342" s="4">
        <f t="shared" si="236"/>
        <v>3.3164275492956197E-3</v>
      </c>
      <c r="AR342" s="4">
        <f t="shared" si="236"/>
        <v>2.2256362146679809E-3</v>
      </c>
    </row>
    <row r="343" spans="1:44" x14ac:dyDescent="0.3">
      <c r="A343" s="24" t="s">
        <v>67</v>
      </c>
      <c r="B343" s="45">
        <f>'Parameter Input'!$L$82</f>
        <v>0.1</v>
      </c>
      <c r="C343" s="46">
        <f>'Parameter Input'!$M$82</f>
        <v>0.1</v>
      </c>
      <c r="D343" s="1" t="s">
        <v>68</v>
      </c>
      <c r="L343" s="54">
        <f>'Parameter Input'!$O$82</f>
        <v>12</v>
      </c>
      <c r="M343" s="37">
        <v>0</v>
      </c>
      <c r="N343" s="37">
        <v>1</v>
      </c>
      <c r="O343" s="37">
        <f>'Parameter Input'!$P$82</f>
        <v>0.9</v>
      </c>
      <c r="P343" s="55">
        <f>'Parameter Input'!$Q$82</f>
        <v>0.4</v>
      </c>
      <c r="Q343" s="4">
        <f t="shared" si="236"/>
        <v>0.9867978615748374</v>
      </c>
      <c r="R343" s="4">
        <f t="shared" ref="R343:AR343" si="237">$N343+($M343-$N343)*((1/(1+EXP(-$P343*(R$9-$L343)))^$O343))</f>
        <v>0.98114509762858249</v>
      </c>
      <c r="S343" s="4">
        <f t="shared" si="237"/>
        <v>0.97311898315872036</v>
      </c>
      <c r="T343" s="4">
        <f t="shared" si="237"/>
        <v>0.96177484161592774</v>
      </c>
      <c r="U343" s="4">
        <f t="shared" si="237"/>
        <v>0.94584787155511363</v>
      </c>
      <c r="V343" s="4">
        <f t="shared" si="237"/>
        <v>0.92370360150141495</v>
      </c>
      <c r="W343" s="4">
        <f t="shared" si="237"/>
        <v>0.89334463567658451</v>
      </c>
      <c r="X343" s="4">
        <f t="shared" si="237"/>
        <v>0.85254543874327005</v>
      </c>
      <c r="Y343" s="4">
        <f t="shared" si="237"/>
        <v>0.79921300652623883</v>
      </c>
      <c r="Z343" s="4">
        <f t="shared" si="237"/>
        <v>0.73204982249993378</v>
      </c>
      <c r="AA343" s="4">
        <f t="shared" si="237"/>
        <v>0.65145592958786691</v>
      </c>
      <c r="AB343" s="4">
        <f t="shared" si="237"/>
        <v>0.56032247880849573</v>
      </c>
      <c r="AC343" s="4">
        <f t="shared" si="237"/>
        <v>0.46411326873185343</v>
      </c>
      <c r="AD343" s="4">
        <f t="shared" si="237"/>
        <v>0.36979727595523937</v>
      </c>
      <c r="AE343" s="4">
        <f t="shared" si="237"/>
        <v>0.28393948637231203</v>
      </c>
      <c r="AF343" s="4">
        <f t="shared" si="237"/>
        <v>0.21097259161117732</v>
      </c>
      <c r="AG343" s="4">
        <f t="shared" si="237"/>
        <v>0.15253917653798199</v>
      </c>
      <c r="AH343" s="4">
        <f t="shared" si="237"/>
        <v>0.10795188737709993</v>
      </c>
      <c r="AI343" s="4">
        <f t="shared" si="237"/>
        <v>7.5176653938091809E-2</v>
      </c>
      <c r="AJ343" s="4">
        <f t="shared" si="237"/>
        <v>5.1742836177502194E-2</v>
      </c>
      <c r="AK343" s="4">
        <f t="shared" si="237"/>
        <v>3.5319190625345942E-2</v>
      </c>
      <c r="AL343" s="4">
        <f t="shared" si="237"/>
        <v>2.3969442072658165E-2</v>
      </c>
      <c r="AM343" s="4">
        <f t="shared" si="237"/>
        <v>1.6202243558389728E-2</v>
      </c>
      <c r="AN343" s="4">
        <f t="shared" si="237"/>
        <v>1.0922240564108399E-2</v>
      </c>
      <c r="AO343" s="4">
        <f t="shared" si="237"/>
        <v>7.3493212906090566E-3</v>
      </c>
      <c r="AP343" s="4">
        <f t="shared" si="237"/>
        <v>4.9390262185057265E-3</v>
      </c>
      <c r="AQ343" s="4">
        <f t="shared" si="237"/>
        <v>3.3164275492956197E-3</v>
      </c>
      <c r="AR343" s="4">
        <f t="shared" si="237"/>
        <v>2.2256362146679809E-3</v>
      </c>
    </row>
    <row r="344" spans="1:44" x14ac:dyDescent="0.3">
      <c r="A344" s="24" t="s">
        <v>206</v>
      </c>
      <c r="B344" s="45">
        <f>'Parameter Input'!L85</f>
        <v>1.6552039024390244</v>
      </c>
      <c r="C344" s="46">
        <f>'Parameter Input'!M85</f>
        <v>5.7932136585365859</v>
      </c>
      <c r="D344" s="1"/>
      <c r="L344" s="54">
        <f>'Parameter Input'!O85</f>
        <v>17</v>
      </c>
      <c r="M344" s="37">
        <v>0</v>
      </c>
      <c r="N344" s="37">
        <v>1</v>
      </c>
      <c r="O344" s="37">
        <f>'Parameter Input'!P85</f>
        <v>0.9</v>
      </c>
      <c r="P344" s="55">
        <f>'Parameter Input'!Q85</f>
        <v>0.4</v>
      </c>
      <c r="Q344" s="4">
        <f t="shared" ref="Q344:AR344" si="238">$N344+($M344-$N344)*((1/(1+EXP(-$P344*(Q$9-$L344)))^$O344))</f>
        <v>0.99780374543478534</v>
      </c>
      <c r="R344" s="4">
        <f t="shared" si="238"/>
        <v>0.99685359315256394</v>
      </c>
      <c r="S344" s="4">
        <f t="shared" si="238"/>
        <v>0.99549347132349975</v>
      </c>
      <c r="T344" s="4">
        <f t="shared" si="238"/>
        <v>0.99354772139898062</v>
      </c>
      <c r="U344" s="4">
        <f t="shared" si="238"/>
        <v>0.99076681540580536</v>
      </c>
      <c r="V344" s="4">
        <f t="shared" si="238"/>
        <v>0.9867978615748374</v>
      </c>
      <c r="W344" s="4">
        <f t="shared" si="238"/>
        <v>0.98114509762858249</v>
      </c>
      <c r="X344" s="4">
        <f t="shared" si="238"/>
        <v>0.97311898315872036</v>
      </c>
      <c r="Y344" s="4">
        <f t="shared" si="238"/>
        <v>0.96177484161592774</v>
      </c>
      <c r="Z344" s="4">
        <f t="shared" si="238"/>
        <v>0.94584787155511363</v>
      </c>
      <c r="AA344" s="4">
        <f t="shared" si="238"/>
        <v>0.92370360150141495</v>
      </c>
      <c r="AB344" s="4">
        <f t="shared" si="238"/>
        <v>0.89334463567658451</v>
      </c>
      <c r="AC344" s="4">
        <f t="shared" si="238"/>
        <v>0.85254543874327005</v>
      </c>
      <c r="AD344" s="4">
        <f t="shared" si="238"/>
        <v>0.79921300652623883</v>
      </c>
      <c r="AE344" s="4">
        <f t="shared" si="238"/>
        <v>0.73204982249993378</v>
      </c>
      <c r="AF344" s="4">
        <f t="shared" si="238"/>
        <v>0.65145592958786691</v>
      </c>
      <c r="AG344" s="4">
        <f t="shared" si="238"/>
        <v>0.56032247880849573</v>
      </c>
      <c r="AH344" s="4">
        <f t="shared" si="238"/>
        <v>0.46411326873185343</v>
      </c>
      <c r="AI344" s="4">
        <f t="shared" si="238"/>
        <v>0.36979727595523937</v>
      </c>
      <c r="AJ344" s="4">
        <f t="shared" si="238"/>
        <v>0.28393948637231203</v>
      </c>
      <c r="AK344" s="4">
        <f t="shared" si="238"/>
        <v>0.21097259161117732</v>
      </c>
      <c r="AL344" s="4">
        <f t="shared" si="238"/>
        <v>0.15253917653798199</v>
      </c>
      <c r="AM344" s="4">
        <f t="shared" si="238"/>
        <v>0.10795188737709993</v>
      </c>
      <c r="AN344" s="4">
        <f t="shared" si="238"/>
        <v>7.5176653938091809E-2</v>
      </c>
      <c r="AO344" s="4">
        <f t="shared" si="238"/>
        <v>5.1742836177502194E-2</v>
      </c>
      <c r="AP344" s="4">
        <f t="shared" si="238"/>
        <v>3.5319190625345942E-2</v>
      </c>
      <c r="AQ344" s="4">
        <f t="shared" si="238"/>
        <v>2.3969442072658165E-2</v>
      </c>
      <c r="AR344" s="4">
        <f t="shared" si="238"/>
        <v>1.6202243558389728E-2</v>
      </c>
    </row>
    <row r="345" spans="1:44" x14ac:dyDescent="0.3">
      <c r="A345" s="24" t="s">
        <v>41</v>
      </c>
      <c r="B345" s="43">
        <f>'Parameter Input'!$L$79</f>
        <v>20</v>
      </c>
      <c r="C345" s="44">
        <f>'Parameter Input'!$M$79</f>
        <v>20</v>
      </c>
      <c r="D345" s="1" t="s">
        <v>42</v>
      </c>
      <c r="L345" s="54">
        <f>'Parameter Input'!$O$79</f>
        <v>12</v>
      </c>
      <c r="M345" s="37">
        <v>0</v>
      </c>
      <c r="N345" s="37">
        <v>1</v>
      </c>
      <c r="O345" s="37">
        <f>'Parameter Input'!$P$79</f>
        <v>0.9</v>
      </c>
      <c r="P345" s="55">
        <f>'Parameter Input'!$Q$79</f>
        <v>0.4</v>
      </c>
      <c r="Q345" s="4">
        <f t="shared" ref="Q345:AF350" si="239">$N345+($M345-$N345)*((1/(1+EXP(-$P345*(Q$9-$L345)))^$O345))</f>
        <v>0.9867978615748374</v>
      </c>
      <c r="R345" s="4">
        <f t="shared" si="239"/>
        <v>0.98114509762858249</v>
      </c>
      <c r="S345" s="4">
        <f t="shared" si="239"/>
        <v>0.97311898315872036</v>
      </c>
      <c r="T345" s="4">
        <f t="shared" si="239"/>
        <v>0.96177484161592774</v>
      </c>
      <c r="U345" s="4">
        <f t="shared" si="239"/>
        <v>0.94584787155511363</v>
      </c>
      <c r="V345" s="4">
        <f t="shared" si="239"/>
        <v>0.92370360150141495</v>
      </c>
      <c r="W345" s="4">
        <f t="shared" si="239"/>
        <v>0.89334463567658451</v>
      </c>
      <c r="X345" s="4">
        <f t="shared" si="239"/>
        <v>0.85254543874327005</v>
      </c>
      <c r="Y345" s="4">
        <f t="shared" si="239"/>
        <v>0.79921300652623883</v>
      </c>
      <c r="Z345" s="4">
        <f t="shared" si="239"/>
        <v>0.73204982249993378</v>
      </c>
      <c r="AA345" s="4">
        <f t="shared" si="239"/>
        <v>0.65145592958786691</v>
      </c>
      <c r="AB345" s="4">
        <f t="shared" si="239"/>
        <v>0.56032247880849573</v>
      </c>
      <c r="AC345" s="4">
        <f t="shared" si="239"/>
        <v>0.46411326873185343</v>
      </c>
      <c r="AD345" s="4">
        <f t="shared" si="239"/>
        <v>0.36979727595523937</v>
      </c>
      <c r="AE345" s="4">
        <f t="shared" si="239"/>
        <v>0.28393948637231203</v>
      </c>
      <c r="AF345" s="4">
        <f t="shared" si="239"/>
        <v>0.21097259161117732</v>
      </c>
      <c r="AG345" s="4">
        <f t="shared" ref="AG345:AI350" si="240">$N345+($M345-$N345)*((1/(1+EXP(-$P345*(AG$9-$L345)))^$O345))</f>
        <v>0.15253917653798199</v>
      </c>
      <c r="AH345" s="4">
        <f t="shared" si="240"/>
        <v>0.10795188737709993</v>
      </c>
      <c r="AI345" s="4">
        <f t="shared" si="240"/>
        <v>7.5176653938091809E-2</v>
      </c>
      <c r="AJ345" s="4">
        <f t="shared" ref="AJ345:AR350" si="241">$N345+($M345-$N345)*((1/(1+EXP(-$P345*(AJ$9-$L345)))^$O345))</f>
        <v>5.1742836177502194E-2</v>
      </c>
      <c r="AK345" s="4">
        <f t="shared" si="241"/>
        <v>3.5319190625345942E-2</v>
      </c>
      <c r="AL345" s="4">
        <f t="shared" si="241"/>
        <v>2.3969442072658165E-2</v>
      </c>
      <c r="AM345" s="4">
        <f t="shared" si="241"/>
        <v>1.6202243558389728E-2</v>
      </c>
      <c r="AN345" s="4">
        <f t="shared" si="241"/>
        <v>1.0922240564108399E-2</v>
      </c>
      <c r="AO345" s="4">
        <f t="shared" si="241"/>
        <v>7.3493212906090566E-3</v>
      </c>
      <c r="AP345" s="4">
        <f t="shared" si="241"/>
        <v>4.9390262185057265E-3</v>
      </c>
      <c r="AQ345" s="4">
        <f t="shared" si="241"/>
        <v>3.3164275492956197E-3</v>
      </c>
      <c r="AR345" s="4">
        <f t="shared" si="241"/>
        <v>2.2256362146679809E-3</v>
      </c>
    </row>
    <row r="346" spans="1:44" x14ac:dyDescent="0.3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39"/>
        <v>0.9867978615748374</v>
      </c>
      <c r="R346" s="4">
        <f t="shared" si="239"/>
        <v>0.98114509762858249</v>
      </c>
      <c r="S346" s="4">
        <f t="shared" si="239"/>
        <v>0.97311898315872036</v>
      </c>
      <c r="T346" s="4">
        <f t="shared" si="239"/>
        <v>0.96177484161592774</v>
      </c>
      <c r="U346" s="4">
        <f t="shared" si="239"/>
        <v>0.94584787155511363</v>
      </c>
      <c r="V346" s="4">
        <f t="shared" si="239"/>
        <v>0.92370360150141495</v>
      </c>
      <c r="W346" s="4">
        <f t="shared" si="239"/>
        <v>0.89334463567658451</v>
      </c>
      <c r="X346" s="4">
        <f t="shared" si="239"/>
        <v>0.85254543874327005</v>
      </c>
      <c r="Y346" s="4">
        <f t="shared" si="239"/>
        <v>0.79921300652623883</v>
      </c>
      <c r="Z346" s="4">
        <f t="shared" si="239"/>
        <v>0.73204982249993378</v>
      </c>
      <c r="AA346" s="4">
        <f t="shared" si="239"/>
        <v>0.65145592958786691</v>
      </c>
      <c r="AB346" s="4">
        <f t="shared" si="239"/>
        <v>0.56032247880849573</v>
      </c>
      <c r="AC346" s="4">
        <f t="shared" si="239"/>
        <v>0.46411326873185343</v>
      </c>
      <c r="AD346" s="4">
        <f t="shared" si="239"/>
        <v>0.36979727595523937</v>
      </c>
      <c r="AE346" s="4">
        <f t="shared" si="239"/>
        <v>0.28393948637231203</v>
      </c>
      <c r="AF346" s="4">
        <f t="shared" si="239"/>
        <v>0.21097259161117732</v>
      </c>
      <c r="AG346" s="4">
        <f t="shared" si="240"/>
        <v>0.15253917653798199</v>
      </c>
      <c r="AH346" s="4">
        <f t="shared" si="240"/>
        <v>0.10795188737709993</v>
      </c>
      <c r="AI346" s="4">
        <f t="shared" si="240"/>
        <v>7.5176653938091809E-2</v>
      </c>
      <c r="AJ346" s="4">
        <f t="shared" si="241"/>
        <v>5.1742836177502194E-2</v>
      </c>
      <c r="AK346" s="4">
        <f t="shared" si="241"/>
        <v>3.5319190625345942E-2</v>
      </c>
      <c r="AL346" s="4">
        <f t="shared" si="241"/>
        <v>2.3969442072658165E-2</v>
      </c>
      <c r="AM346" s="4">
        <f t="shared" si="241"/>
        <v>1.6202243558389728E-2</v>
      </c>
      <c r="AN346" s="4">
        <f t="shared" si="241"/>
        <v>1.0922240564108399E-2</v>
      </c>
      <c r="AO346" s="4">
        <f t="shared" si="241"/>
        <v>7.3493212906090566E-3</v>
      </c>
      <c r="AP346" s="4">
        <f t="shared" si="241"/>
        <v>4.9390262185057265E-3</v>
      </c>
      <c r="AQ346" s="4">
        <f t="shared" si="241"/>
        <v>3.3164275492956197E-3</v>
      </c>
      <c r="AR346" s="4">
        <f t="shared" si="241"/>
        <v>2.2256362146679809E-3</v>
      </c>
    </row>
    <row r="347" spans="1:44" x14ac:dyDescent="0.3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39"/>
        <v>0.9867978615748374</v>
      </c>
      <c r="R347" s="4">
        <f t="shared" si="239"/>
        <v>0.98114509762858249</v>
      </c>
      <c r="S347" s="4">
        <f t="shared" si="239"/>
        <v>0.97311898315872036</v>
      </c>
      <c r="T347" s="4">
        <f t="shared" si="239"/>
        <v>0.96177484161592774</v>
      </c>
      <c r="U347" s="4">
        <f t="shared" si="239"/>
        <v>0.94584787155511363</v>
      </c>
      <c r="V347" s="4">
        <f t="shared" si="239"/>
        <v>0.92370360150141495</v>
      </c>
      <c r="W347" s="4">
        <f t="shared" si="239"/>
        <v>0.89334463567658451</v>
      </c>
      <c r="X347" s="4">
        <f t="shared" si="239"/>
        <v>0.85254543874327005</v>
      </c>
      <c r="Y347" s="4">
        <f t="shared" si="239"/>
        <v>0.79921300652623883</v>
      </c>
      <c r="Z347" s="4">
        <f t="shared" si="239"/>
        <v>0.73204982249993378</v>
      </c>
      <c r="AA347" s="4">
        <f t="shared" si="239"/>
        <v>0.65145592958786691</v>
      </c>
      <c r="AB347" s="4">
        <f t="shared" si="239"/>
        <v>0.56032247880849573</v>
      </c>
      <c r="AC347" s="4">
        <f t="shared" si="239"/>
        <v>0.46411326873185343</v>
      </c>
      <c r="AD347" s="4">
        <f t="shared" si="239"/>
        <v>0.36979727595523937</v>
      </c>
      <c r="AE347" s="4">
        <f t="shared" si="239"/>
        <v>0.28393948637231203</v>
      </c>
      <c r="AF347" s="4">
        <f t="shared" si="239"/>
        <v>0.21097259161117732</v>
      </c>
      <c r="AG347" s="4">
        <f t="shared" si="240"/>
        <v>0.15253917653798199</v>
      </c>
      <c r="AH347" s="4">
        <f t="shared" si="240"/>
        <v>0.10795188737709993</v>
      </c>
      <c r="AI347" s="4">
        <f t="shared" si="240"/>
        <v>7.5176653938091809E-2</v>
      </c>
      <c r="AJ347" s="4">
        <f t="shared" si="241"/>
        <v>5.1742836177502194E-2</v>
      </c>
      <c r="AK347" s="4">
        <f t="shared" si="241"/>
        <v>3.5319190625345942E-2</v>
      </c>
      <c r="AL347" s="4">
        <f t="shared" si="241"/>
        <v>2.3969442072658165E-2</v>
      </c>
      <c r="AM347" s="4">
        <f t="shared" si="241"/>
        <v>1.6202243558389728E-2</v>
      </c>
      <c r="AN347" s="4">
        <f t="shared" si="241"/>
        <v>1.0922240564108399E-2</v>
      </c>
      <c r="AO347" s="4">
        <f t="shared" si="241"/>
        <v>7.3493212906090566E-3</v>
      </c>
      <c r="AP347" s="4">
        <f t="shared" si="241"/>
        <v>4.9390262185057265E-3</v>
      </c>
      <c r="AQ347" s="4">
        <f t="shared" si="241"/>
        <v>3.3164275492956197E-3</v>
      </c>
      <c r="AR347" s="4">
        <f t="shared" si="241"/>
        <v>2.2256362146679809E-3</v>
      </c>
    </row>
    <row r="348" spans="1:44" x14ac:dyDescent="0.3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39"/>
        <v>0.9867978615748374</v>
      </c>
      <c r="R348" s="4">
        <f t="shared" si="239"/>
        <v>0.98114509762858249</v>
      </c>
      <c r="S348" s="4">
        <f t="shared" si="239"/>
        <v>0.97311898315872036</v>
      </c>
      <c r="T348" s="4">
        <f t="shared" si="239"/>
        <v>0.96177484161592774</v>
      </c>
      <c r="U348" s="4">
        <f t="shared" si="239"/>
        <v>0.94584787155511363</v>
      </c>
      <c r="V348" s="4">
        <f t="shared" si="239"/>
        <v>0.92370360150141495</v>
      </c>
      <c r="W348" s="4">
        <f t="shared" si="239"/>
        <v>0.89334463567658451</v>
      </c>
      <c r="X348" s="4">
        <f t="shared" si="239"/>
        <v>0.85254543874327005</v>
      </c>
      <c r="Y348" s="4">
        <f t="shared" si="239"/>
        <v>0.79921300652623883</v>
      </c>
      <c r="Z348" s="4">
        <f t="shared" si="239"/>
        <v>0.73204982249993378</v>
      </c>
      <c r="AA348" s="4">
        <f t="shared" si="239"/>
        <v>0.65145592958786691</v>
      </c>
      <c r="AB348" s="4">
        <f t="shared" si="239"/>
        <v>0.56032247880849573</v>
      </c>
      <c r="AC348" s="4">
        <f t="shared" si="239"/>
        <v>0.46411326873185343</v>
      </c>
      <c r="AD348" s="4">
        <f t="shared" si="239"/>
        <v>0.36979727595523937</v>
      </c>
      <c r="AE348" s="4">
        <f t="shared" si="239"/>
        <v>0.28393948637231203</v>
      </c>
      <c r="AF348" s="4">
        <f t="shared" si="239"/>
        <v>0.21097259161117732</v>
      </c>
      <c r="AG348" s="4">
        <f t="shared" si="240"/>
        <v>0.15253917653798199</v>
      </c>
      <c r="AH348" s="4">
        <f t="shared" si="240"/>
        <v>0.10795188737709993</v>
      </c>
      <c r="AI348" s="4">
        <f t="shared" si="240"/>
        <v>7.5176653938091809E-2</v>
      </c>
      <c r="AJ348" s="4">
        <f t="shared" si="241"/>
        <v>5.1742836177502194E-2</v>
      </c>
      <c r="AK348" s="4">
        <f t="shared" si="241"/>
        <v>3.5319190625345942E-2</v>
      </c>
      <c r="AL348" s="4">
        <f t="shared" si="241"/>
        <v>2.3969442072658165E-2</v>
      </c>
      <c r="AM348" s="4">
        <f t="shared" si="241"/>
        <v>1.6202243558389728E-2</v>
      </c>
      <c r="AN348" s="4">
        <f t="shared" si="241"/>
        <v>1.0922240564108399E-2</v>
      </c>
      <c r="AO348" s="4">
        <f t="shared" si="241"/>
        <v>7.3493212906090566E-3</v>
      </c>
      <c r="AP348" s="4">
        <f t="shared" si="241"/>
        <v>4.9390262185057265E-3</v>
      </c>
      <c r="AQ348" s="4">
        <f t="shared" si="241"/>
        <v>3.3164275492956197E-3</v>
      </c>
      <c r="AR348" s="4">
        <f t="shared" si="241"/>
        <v>2.2256362146679809E-3</v>
      </c>
    </row>
    <row r="349" spans="1:44" x14ac:dyDescent="0.3">
      <c r="A349" s="24" t="s">
        <v>73</v>
      </c>
      <c r="B349" s="72">
        <f>'Parameter Input'!$L$83</f>
        <v>0</v>
      </c>
      <c r="C349" s="73">
        <f>'Parameter Input'!$M$83</f>
        <v>0</v>
      </c>
      <c r="D349" s="1" t="s">
        <v>57</v>
      </c>
      <c r="L349" s="54">
        <f>'Parameter Input'!$O$83</f>
        <v>12</v>
      </c>
      <c r="M349" s="37">
        <v>0</v>
      </c>
      <c r="N349" s="37">
        <v>1</v>
      </c>
      <c r="O349" s="37">
        <f>'Parameter Input'!$P$83</f>
        <v>0.9</v>
      </c>
      <c r="P349" s="55">
        <f>'Parameter Input'!$Q$83</f>
        <v>0.4</v>
      </c>
      <c r="Q349" s="4">
        <f t="shared" si="239"/>
        <v>0.9867978615748374</v>
      </c>
      <c r="R349" s="4">
        <f t="shared" si="239"/>
        <v>0.98114509762858249</v>
      </c>
      <c r="S349" s="4">
        <f t="shared" si="239"/>
        <v>0.97311898315872036</v>
      </c>
      <c r="T349" s="4">
        <f t="shared" si="239"/>
        <v>0.96177484161592774</v>
      </c>
      <c r="U349" s="4">
        <f t="shared" si="239"/>
        <v>0.94584787155511363</v>
      </c>
      <c r="V349" s="4">
        <f t="shared" si="239"/>
        <v>0.92370360150141495</v>
      </c>
      <c r="W349" s="4">
        <f t="shared" si="239"/>
        <v>0.89334463567658451</v>
      </c>
      <c r="X349" s="4">
        <f t="shared" si="239"/>
        <v>0.85254543874327005</v>
      </c>
      <c r="Y349" s="4">
        <f t="shared" si="239"/>
        <v>0.79921300652623883</v>
      </c>
      <c r="Z349" s="4">
        <f t="shared" si="239"/>
        <v>0.73204982249993378</v>
      </c>
      <c r="AA349" s="4">
        <f t="shared" si="239"/>
        <v>0.65145592958786691</v>
      </c>
      <c r="AB349" s="4">
        <f t="shared" si="239"/>
        <v>0.56032247880849573</v>
      </c>
      <c r="AC349" s="4">
        <f t="shared" si="239"/>
        <v>0.46411326873185343</v>
      </c>
      <c r="AD349" s="4">
        <f t="shared" si="239"/>
        <v>0.36979727595523937</v>
      </c>
      <c r="AE349" s="4">
        <f t="shared" si="239"/>
        <v>0.28393948637231203</v>
      </c>
      <c r="AF349" s="4">
        <f t="shared" si="239"/>
        <v>0.21097259161117732</v>
      </c>
      <c r="AG349" s="4">
        <f t="shared" si="240"/>
        <v>0.15253917653798199</v>
      </c>
      <c r="AH349" s="4">
        <f t="shared" si="240"/>
        <v>0.10795188737709993</v>
      </c>
      <c r="AI349" s="4">
        <f t="shared" si="240"/>
        <v>7.5176653938091809E-2</v>
      </c>
      <c r="AJ349" s="4">
        <f t="shared" si="241"/>
        <v>5.1742836177502194E-2</v>
      </c>
      <c r="AK349" s="4">
        <f t="shared" si="241"/>
        <v>3.5319190625345942E-2</v>
      </c>
      <c r="AL349" s="4">
        <f t="shared" si="241"/>
        <v>2.3969442072658165E-2</v>
      </c>
      <c r="AM349" s="4">
        <f t="shared" si="241"/>
        <v>1.6202243558389728E-2</v>
      </c>
      <c r="AN349" s="4">
        <f t="shared" si="241"/>
        <v>1.0922240564108399E-2</v>
      </c>
      <c r="AO349" s="4">
        <f t="shared" si="241"/>
        <v>7.3493212906090566E-3</v>
      </c>
      <c r="AP349" s="4">
        <f t="shared" si="241"/>
        <v>4.9390262185057265E-3</v>
      </c>
      <c r="AQ349" s="4">
        <f t="shared" si="241"/>
        <v>3.3164275492956197E-3</v>
      </c>
      <c r="AR349" s="4">
        <f t="shared" si="241"/>
        <v>2.2256362146679809E-3</v>
      </c>
    </row>
    <row r="350" spans="1:44" ht="15" thickBot="1" x14ac:dyDescent="0.35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39"/>
        <v>0.9867978615748374</v>
      </c>
      <c r="R350" s="4">
        <f t="shared" si="239"/>
        <v>0.98114509762858249</v>
      </c>
      <c r="S350" s="4">
        <f t="shared" si="239"/>
        <v>0.97311898315872036</v>
      </c>
      <c r="T350" s="4">
        <f t="shared" si="239"/>
        <v>0.96177484161592774</v>
      </c>
      <c r="U350" s="4">
        <f t="shared" si="239"/>
        <v>0.94584787155511363</v>
      </c>
      <c r="V350" s="4">
        <f t="shared" si="239"/>
        <v>0.92370360150141495</v>
      </c>
      <c r="W350" s="4">
        <f t="shared" si="239"/>
        <v>0.89334463567658451</v>
      </c>
      <c r="X350" s="4">
        <f t="shared" si="239"/>
        <v>0.85254543874327005</v>
      </c>
      <c r="Y350" s="4">
        <f t="shared" si="239"/>
        <v>0.79921300652623883</v>
      </c>
      <c r="Z350" s="4">
        <f t="shared" si="239"/>
        <v>0.73204982249993378</v>
      </c>
      <c r="AA350" s="4">
        <f t="shared" si="239"/>
        <v>0.65145592958786691</v>
      </c>
      <c r="AB350" s="4">
        <f t="shared" si="239"/>
        <v>0.56032247880849573</v>
      </c>
      <c r="AC350" s="4">
        <f t="shared" si="239"/>
        <v>0.46411326873185343</v>
      </c>
      <c r="AD350" s="4">
        <f t="shared" si="239"/>
        <v>0.36979727595523937</v>
      </c>
      <c r="AE350" s="4">
        <f t="shared" si="239"/>
        <v>0.28393948637231203</v>
      </c>
      <c r="AF350" s="4">
        <f t="shared" si="239"/>
        <v>0.21097259161117732</v>
      </c>
      <c r="AG350" s="4">
        <f t="shared" si="240"/>
        <v>0.15253917653798199</v>
      </c>
      <c r="AH350" s="4">
        <f t="shared" si="240"/>
        <v>0.10795188737709993</v>
      </c>
      <c r="AI350" s="4">
        <f t="shared" si="240"/>
        <v>7.5176653938091809E-2</v>
      </c>
      <c r="AJ350" s="4">
        <f t="shared" si="241"/>
        <v>5.1742836177502194E-2</v>
      </c>
      <c r="AK350" s="4">
        <f t="shared" si="241"/>
        <v>3.5319190625345942E-2</v>
      </c>
      <c r="AL350" s="4">
        <f t="shared" si="241"/>
        <v>2.3969442072658165E-2</v>
      </c>
      <c r="AM350" s="4">
        <f t="shared" si="241"/>
        <v>1.6202243558389728E-2</v>
      </c>
      <c r="AN350" s="4">
        <f t="shared" si="241"/>
        <v>1.0922240564108399E-2</v>
      </c>
      <c r="AO350" s="4">
        <f t="shared" si="241"/>
        <v>7.3493212906090566E-3</v>
      </c>
      <c r="AP350" s="4">
        <f t="shared" si="241"/>
        <v>4.9390262185057265E-3</v>
      </c>
      <c r="AQ350" s="4">
        <f t="shared" si="241"/>
        <v>3.3164275492956197E-3</v>
      </c>
      <c r="AR350" s="4">
        <f t="shared" si="241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8" si="242">A334</f>
        <v>Capex vehicle</v>
      </c>
      <c r="B354" s="62">
        <f t="shared" ref="B354:B363" si="243">$B334+($C334-$B334)*(1-Q334)</f>
        <v>3500000</v>
      </c>
      <c r="C354" s="62">
        <f t="shared" ref="C354:C363" si="244">$B334+($C334-$B334)*(1-R334)</f>
        <v>3500000</v>
      </c>
      <c r="D354" s="62">
        <f t="shared" ref="D354:D363" si="245">$B334+($C334-$B334)*(1-S334)</f>
        <v>3500000</v>
      </c>
      <c r="E354" s="62">
        <f t="shared" ref="E354:E363" si="246">$B334+($C334-$B334)*(1-T334)</f>
        <v>3500000</v>
      </c>
      <c r="F354" s="62">
        <f t="shared" ref="F354:F363" si="247">$B334+($C334-$B334)*(1-U334)</f>
        <v>3500000</v>
      </c>
      <c r="G354" s="62">
        <f t="shared" ref="G354:G363" si="248">$B334+($C334-$B334)*(1-V334)</f>
        <v>3500000</v>
      </c>
      <c r="H354" s="62">
        <f t="shared" ref="H354:H363" si="249">$B334+($C334-$B334)*(1-W334)</f>
        <v>3500000</v>
      </c>
      <c r="I354" s="62">
        <f t="shared" ref="I354:I363" si="250">$B334+($C334-$B334)*(1-X334)</f>
        <v>3500000</v>
      </c>
      <c r="J354" s="62">
        <f t="shared" ref="J354:J363" si="251">$B334+($C334-$B334)*(1-Y334)</f>
        <v>3500000</v>
      </c>
      <c r="K354" s="62">
        <f t="shared" ref="K354:K363" si="252">$B334+($C334-$B334)*(1-Z334)</f>
        <v>3500000</v>
      </c>
      <c r="L354" s="62">
        <f t="shared" ref="L354:L363" si="253">$B334+($C334-$B334)*(1-AA334)</f>
        <v>3500000</v>
      </c>
      <c r="M354" s="62">
        <f t="shared" ref="M354:M363" si="254">$B334+($C334-$B334)*(1-AB334)</f>
        <v>3500000</v>
      </c>
      <c r="N354" s="62">
        <f t="shared" ref="N354:N363" si="255">$B334+($C334-$B334)*(1-AC334)</f>
        <v>3500000</v>
      </c>
      <c r="O354" s="62">
        <f t="shared" ref="O354:O363" si="256">$B334+($C334-$B334)*(1-AD334)</f>
        <v>3500000</v>
      </c>
      <c r="P354" s="62">
        <f t="shared" ref="P354:P363" si="257">$B334+($C334-$B334)*(1-AE334)</f>
        <v>3500000</v>
      </c>
      <c r="Q354" s="62">
        <f t="shared" ref="Q354:Q363" si="258">$B334+($C334-$B334)*(1-AF334)</f>
        <v>3500000</v>
      </c>
      <c r="R354" s="62">
        <f t="shared" ref="R354:R363" si="259">$B334+($C334-$B334)*(1-AG334)</f>
        <v>3500000</v>
      </c>
      <c r="S354" s="62">
        <f t="shared" ref="S354:S363" si="260">$B334+($C334-$B334)*(1-AH334)</f>
        <v>3500000</v>
      </c>
      <c r="T354" s="62">
        <f t="shared" ref="T354:T363" si="261">$B334+($C334-$B334)*(1-AI334)</f>
        <v>3500000</v>
      </c>
      <c r="U354" s="62">
        <f t="shared" ref="U354:U363" si="262">$B334+($C334-$B334)*(1-AJ334)</f>
        <v>3500000</v>
      </c>
      <c r="V354" s="62">
        <f t="shared" ref="V354:V363" si="263">$B334+($C334-$B334)*(1-AK334)</f>
        <v>3500000</v>
      </c>
      <c r="W354" s="62">
        <f t="shared" ref="W354:W363" si="264">$B334+($C334-$B334)*(1-AL334)</f>
        <v>3500000</v>
      </c>
      <c r="X354" s="62">
        <f t="shared" ref="X354:X363" si="265">$B334+($C334-$B334)*(1-AM334)</f>
        <v>3500000</v>
      </c>
      <c r="Y354" s="62">
        <f t="shared" ref="Y354:Y363" si="266">$B334+($C334-$B334)*(1-AN334)</f>
        <v>3500000</v>
      </c>
      <c r="Z354" s="62">
        <f t="shared" ref="Z354:Z363" si="267">$B334+($C334-$B334)*(1-AO334)</f>
        <v>3500000</v>
      </c>
      <c r="AA354" s="62">
        <f t="shared" ref="AA354:AA363" si="268">$B334+($C334-$B334)*(1-AP334)</f>
        <v>3500000</v>
      </c>
      <c r="AB354" s="62">
        <f t="shared" ref="AB354:AB363" si="269">$B334+($C334-$B334)*(1-AQ334)</f>
        <v>3500000</v>
      </c>
      <c r="AC354" s="62">
        <f t="shared" ref="AC354:AC363" si="270">$B334+($C334-$B334)*(1-AR334)</f>
        <v>3500000</v>
      </c>
    </row>
    <row r="355" spans="1:29" x14ac:dyDescent="0.3">
      <c r="A355" s="30" t="str">
        <f t="shared" si="242"/>
        <v>Residual value (vehicle)</v>
      </c>
      <c r="B355" s="62">
        <f t="shared" si="243"/>
        <v>-520379.25155119307</v>
      </c>
      <c r="C355" s="62">
        <f t="shared" si="244"/>
        <v>-518400.78417000384</v>
      </c>
      <c r="D355" s="62">
        <f t="shared" si="245"/>
        <v>-515591.64410555211</v>
      </c>
      <c r="E355" s="62">
        <f t="shared" si="246"/>
        <v>-511621.1945655747</v>
      </c>
      <c r="F355" s="62">
        <f t="shared" si="247"/>
        <v>-506046.75504428975</v>
      </c>
      <c r="G355" s="62">
        <f t="shared" si="248"/>
        <v>-498296.26052549522</v>
      </c>
      <c r="H355" s="62">
        <f t="shared" si="249"/>
        <v>-487670.62248680455</v>
      </c>
      <c r="I355" s="62">
        <f t="shared" si="250"/>
        <v>-473390.90356014454</v>
      </c>
      <c r="J355" s="62">
        <f t="shared" si="251"/>
        <v>-454724.55228418356</v>
      </c>
      <c r="K355" s="62">
        <f t="shared" si="252"/>
        <v>-431217.43787497684</v>
      </c>
      <c r="L355" s="62">
        <f t="shared" si="253"/>
        <v>-403009.57535575342</v>
      </c>
      <c r="M355" s="62">
        <f t="shared" si="254"/>
        <v>-371112.8675829735</v>
      </c>
      <c r="N355" s="62">
        <f t="shared" si="255"/>
        <v>-337439.64405614871</v>
      </c>
      <c r="O355" s="62">
        <f t="shared" si="256"/>
        <v>-304429.04658433376</v>
      </c>
      <c r="P355" s="62">
        <f t="shared" si="257"/>
        <v>-274378.82023030921</v>
      </c>
      <c r="Q355" s="62">
        <f t="shared" si="258"/>
        <v>-248840.40706391208</v>
      </c>
      <c r="R355" s="62">
        <f t="shared" si="259"/>
        <v>-228388.71178829367</v>
      </c>
      <c r="S355" s="62">
        <f t="shared" si="260"/>
        <v>-212783.16058198496</v>
      </c>
      <c r="T355" s="62">
        <f t="shared" si="261"/>
        <v>-201311.8288783321</v>
      </c>
      <c r="U355" s="62">
        <f t="shared" si="262"/>
        <v>-193109.99266212579</v>
      </c>
      <c r="V355" s="62">
        <f t="shared" si="263"/>
        <v>-187361.71671887109</v>
      </c>
      <c r="W355" s="62">
        <f t="shared" si="264"/>
        <v>-183389.30472543038</v>
      </c>
      <c r="X355" s="62">
        <f t="shared" si="265"/>
        <v>-180670.78524543642</v>
      </c>
      <c r="Y355" s="62">
        <f t="shared" si="266"/>
        <v>-178822.78419743793</v>
      </c>
      <c r="Z355" s="62">
        <f t="shared" si="267"/>
        <v>-177572.26245171315</v>
      </c>
      <c r="AA355" s="62">
        <f t="shared" si="268"/>
        <v>-176728.659176477</v>
      </c>
      <c r="AB355" s="62">
        <f t="shared" si="269"/>
        <v>-176160.74964225345</v>
      </c>
      <c r="AC355" s="62">
        <f t="shared" si="270"/>
        <v>-175778.97267513379</v>
      </c>
    </row>
    <row r="356" spans="1:29" x14ac:dyDescent="0.3">
      <c r="A356" s="30" t="str">
        <f t="shared" si="242"/>
        <v>Capex costumization</v>
      </c>
      <c r="B356" s="62">
        <f t="shared" si="243"/>
        <v>4200000</v>
      </c>
      <c r="C356" s="62">
        <f t="shared" si="244"/>
        <v>4200000</v>
      </c>
      <c r="D356" s="62">
        <f t="shared" si="245"/>
        <v>4200000</v>
      </c>
      <c r="E356" s="62">
        <f t="shared" si="246"/>
        <v>4200000</v>
      </c>
      <c r="F356" s="62">
        <f t="shared" si="247"/>
        <v>4200000</v>
      </c>
      <c r="G356" s="62">
        <f t="shared" si="248"/>
        <v>4200000</v>
      </c>
      <c r="H356" s="62">
        <f t="shared" si="249"/>
        <v>4200000</v>
      </c>
      <c r="I356" s="62">
        <f t="shared" si="250"/>
        <v>4200000</v>
      </c>
      <c r="J356" s="62">
        <f t="shared" si="251"/>
        <v>4200000</v>
      </c>
      <c r="K356" s="62">
        <f t="shared" si="252"/>
        <v>4200000</v>
      </c>
      <c r="L356" s="62">
        <f t="shared" si="253"/>
        <v>4200000</v>
      </c>
      <c r="M356" s="62">
        <f t="shared" si="254"/>
        <v>4200000</v>
      </c>
      <c r="N356" s="62">
        <f t="shared" si="255"/>
        <v>4200000</v>
      </c>
      <c r="O356" s="62">
        <f t="shared" si="256"/>
        <v>4200000</v>
      </c>
      <c r="P356" s="62">
        <f t="shared" si="257"/>
        <v>4200000</v>
      </c>
      <c r="Q356" s="62">
        <f t="shared" si="258"/>
        <v>4200000</v>
      </c>
      <c r="R356" s="62">
        <f t="shared" si="259"/>
        <v>4200000</v>
      </c>
      <c r="S356" s="62">
        <f t="shared" si="260"/>
        <v>4200000</v>
      </c>
      <c r="T356" s="62">
        <f t="shared" si="261"/>
        <v>4200000</v>
      </c>
      <c r="U356" s="62">
        <f t="shared" si="262"/>
        <v>4200000</v>
      </c>
      <c r="V356" s="62">
        <f t="shared" si="263"/>
        <v>4200000</v>
      </c>
      <c r="W356" s="62">
        <f t="shared" si="264"/>
        <v>4200000</v>
      </c>
      <c r="X356" s="62">
        <f t="shared" si="265"/>
        <v>4200000</v>
      </c>
      <c r="Y356" s="62">
        <f t="shared" si="266"/>
        <v>4200000</v>
      </c>
      <c r="Z356" s="62">
        <f t="shared" si="267"/>
        <v>4200000</v>
      </c>
      <c r="AA356" s="62">
        <f t="shared" si="268"/>
        <v>4200000</v>
      </c>
      <c r="AB356" s="62">
        <f t="shared" si="269"/>
        <v>4200000</v>
      </c>
      <c r="AC356" s="62">
        <f t="shared" si="270"/>
        <v>4200000</v>
      </c>
    </row>
    <row r="357" spans="1:29" x14ac:dyDescent="0.3">
      <c r="A357" s="30" t="str">
        <f t="shared" si="242"/>
        <v>Residual value (costumization)</v>
      </c>
      <c r="B357" s="62">
        <f t="shared" si="243"/>
        <v>-210000</v>
      </c>
      <c r="C357" s="62">
        <f t="shared" si="244"/>
        <v>-210000</v>
      </c>
      <c r="D357" s="62">
        <f t="shared" si="245"/>
        <v>-210000</v>
      </c>
      <c r="E357" s="62">
        <f t="shared" si="246"/>
        <v>-210000</v>
      </c>
      <c r="F357" s="62">
        <f t="shared" si="247"/>
        <v>-210000</v>
      </c>
      <c r="G357" s="62">
        <f t="shared" si="248"/>
        <v>-210000</v>
      </c>
      <c r="H357" s="62">
        <f t="shared" si="249"/>
        <v>-210000</v>
      </c>
      <c r="I357" s="62">
        <f t="shared" si="250"/>
        <v>-210000</v>
      </c>
      <c r="J357" s="62">
        <f t="shared" si="251"/>
        <v>-210000</v>
      </c>
      <c r="K357" s="62">
        <f t="shared" si="252"/>
        <v>-210000</v>
      </c>
      <c r="L357" s="62">
        <f t="shared" si="253"/>
        <v>-210000</v>
      </c>
      <c r="M357" s="62">
        <f t="shared" si="254"/>
        <v>-210000</v>
      </c>
      <c r="N357" s="62">
        <f t="shared" si="255"/>
        <v>-210000</v>
      </c>
      <c r="O357" s="62">
        <f t="shared" si="256"/>
        <v>-210000</v>
      </c>
      <c r="P357" s="62">
        <f t="shared" si="257"/>
        <v>-210000</v>
      </c>
      <c r="Q357" s="62">
        <f t="shared" si="258"/>
        <v>-210000</v>
      </c>
      <c r="R357" s="62">
        <f t="shared" si="259"/>
        <v>-210000</v>
      </c>
      <c r="S357" s="62">
        <f t="shared" si="260"/>
        <v>-210000</v>
      </c>
      <c r="T357" s="62">
        <f t="shared" si="261"/>
        <v>-210000</v>
      </c>
      <c r="U357" s="62">
        <f t="shared" si="262"/>
        <v>-210000</v>
      </c>
      <c r="V357" s="62">
        <f t="shared" si="263"/>
        <v>-210000</v>
      </c>
      <c r="W357" s="62">
        <f t="shared" si="264"/>
        <v>-210000</v>
      </c>
      <c r="X357" s="62">
        <f t="shared" si="265"/>
        <v>-210000</v>
      </c>
      <c r="Y357" s="62">
        <f t="shared" si="266"/>
        <v>-210000</v>
      </c>
      <c r="Z357" s="62">
        <f t="shared" si="267"/>
        <v>-210000</v>
      </c>
      <c r="AA357" s="62">
        <f t="shared" si="268"/>
        <v>-210000</v>
      </c>
      <c r="AB357" s="62">
        <f t="shared" si="269"/>
        <v>-210000</v>
      </c>
      <c r="AC357" s="62">
        <f t="shared" si="270"/>
        <v>-210000</v>
      </c>
    </row>
    <row r="358" spans="1:29" x14ac:dyDescent="0.3">
      <c r="A358" s="30" t="str">
        <f t="shared" si="242"/>
        <v>WACC</v>
      </c>
      <c r="B358" s="62">
        <f t="shared" si="243"/>
        <v>0.06</v>
      </c>
      <c r="C358" s="62">
        <f t="shared" si="244"/>
        <v>0.06</v>
      </c>
      <c r="D358" s="62">
        <f t="shared" si="245"/>
        <v>0.06</v>
      </c>
      <c r="E358" s="62">
        <f t="shared" si="246"/>
        <v>0.06</v>
      </c>
      <c r="F358" s="62">
        <f t="shared" si="247"/>
        <v>0.06</v>
      </c>
      <c r="G358" s="62">
        <f t="shared" si="248"/>
        <v>0.06</v>
      </c>
      <c r="H358" s="62">
        <f t="shared" si="249"/>
        <v>0.06</v>
      </c>
      <c r="I358" s="62">
        <f t="shared" si="250"/>
        <v>0.06</v>
      </c>
      <c r="J358" s="62">
        <f t="shared" si="251"/>
        <v>0.06</v>
      </c>
      <c r="K358" s="62">
        <f t="shared" si="252"/>
        <v>0.06</v>
      </c>
      <c r="L358" s="62">
        <f t="shared" si="253"/>
        <v>0.06</v>
      </c>
      <c r="M358" s="62">
        <f t="shared" si="254"/>
        <v>0.06</v>
      </c>
      <c r="N358" s="62">
        <f t="shared" si="255"/>
        <v>0.06</v>
      </c>
      <c r="O358" s="62">
        <f t="shared" si="256"/>
        <v>0.06</v>
      </c>
      <c r="P358" s="62">
        <f t="shared" si="257"/>
        <v>0.06</v>
      </c>
      <c r="Q358" s="62">
        <f t="shared" si="258"/>
        <v>0.06</v>
      </c>
      <c r="R358" s="62">
        <f t="shared" si="259"/>
        <v>0.06</v>
      </c>
      <c r="S358" s="62">
        <f t="shared" si="260"/>
        <v>0.06</v>
      </c>
      <c r="T358" s="62">
        <f t="shared" si="261"/>
        <v>0.06</v>
      </c>
      <c r="U358" s="62">
        <f t="shared" si="262"/>
        <v>0.06</v>
      </c>
      <c r="V358" s="62">
        <f t="shared" si="263"/>
        <v>0.06</v>
      </c>
      <c r="W358" s="62">
        <f t="shared" si="264"/>
        <v>0.06</v>
      </c>
      <c r="X358" s="62">
        <f t="shared" si="265"/>
        <v>0.06</v>
      </c>
      <c r="Y358" s="62">
        <f t="shared" si="266"/>
        <v>0.06</v>
      </c>
      <c r="Z358" s="62">
        <f t="shared" si="267"/>
        <v>0.06</v>
      </c>
      <c r="AA358" s="62">
        <f t="shared" si="268"/>
        <v>0.06</v>
      </c>
      <c r="AB358" s="62">
        <f t="shared" si="269"/>
        <v>0.06</v>
      </c>
      <c r="AC358" s="62">
        <f t="shared" si="270"/>
        <v>0.06</v>
      </c>
    </row>
    <row r="359" spans="1:29" x14ac:dyDescent="0.3">
      <c r="A359" s="30" t="str">
        <f t="shared" si="242"/>
        <v>Opex fix (admin, crew, insurance)</v>
      </c>
      <c r="B359" s="62">
        <f t="shared" si="243"/>
        <v>1450000</v>
      </c>
      <c r="C359" s="62">
        <f t="shared" si="244"/>
        <v>1450000</v>
      </c>
      <c r="D359" s="62">
        <f t="shared" si="245"/>
        <v>1450000</v>
      </c>
      <c r="E359" s="62">
        <f t="shared" si="246"/>
        <v>1450000</v>
      </c>
      <c r="F359" s="62">
        <f t="shared" si="247"/>
        <v>1450000</v>
      </c>
      <c r="G359" s="62">
        <f t="shared" si="248"/>
        <v>1450000</v>
      </c>
      <c r="H359" s="62">
        <f t="shared" si="249"/>
        <v>1450000</v>
      </c>
      <c r="I359" s="62">
        <f t="shared" si="250"/>
        <v>1450000</v>
      </c>
      <c r="J359" s="62">
        <f t="shared" si="251"/>
        <v>1450000</v>
      </c>
      <c r="K359" s="62">
        <f t="shared" si="252"/>
        <v>1450000</v>
      </c>
      <c r="L359" s="62">
        <f t="shared" si="253"/>
        <v>1450000</v>
      </c>
      <c r="M359" s="62">
        <f t="shared" si="254"/>
        <v>1450000</v>
      </c>
      <c r="N359" s="62">
        <f t="shared" si="255"/>
        <v>1450000</v>
      </c>
      <c r="O359" s="62">
        <f t="shared" si="256"/>
        <v>1450000</v>
      </c>
      <c r="P359" s="62">
        <f t="shared" si="257"/>
        <v>1450000</v>
      </c>
      <c r="Q359" s="62">
        <f t="shared" si="258"/>
        <v>1450000</v>
      </c>
      <c r="R359" s="62">
        <f t="shared" si="259"/>
        <v>1450000</v>
      </c>
      <c r="S359" s="62">
        <f t="shared" si="260"/>
        <v>1450000</v>
      </c>
      <c r="T359" s="62">
        <f t="shared" si="261"/>
        <v>1450000</v>
      </c>
      <c r="U359" s="62">
        <f t="shared" si="262"/>
        <v>1450000</v>
      </c>
      <c r="V359" s="62">
        <f t="shared" si="263"/>
        <v>1450000</v>
      </c>
      <c r="W359" s="62">
        <f t="shared" si="264"/>
        <v>1450000</v>
      </c>
      <c r="X359" s="62">
        <f t="shared" si="265"/>
        <v>1450000</v>
      </c>
      <c r="Y359" s="62">
        <f t="shared" si="266"/>
        <v>1450000</v>
      </c>
      <c r="Z359" s="62">
        <f t="shared" si="267"/>
        <v>1450000</v>
      </c>
      <c r="AA359" s="62">
        <f t="shared" si="268"/>
        <v>1450000</v>
      </c>
      <c r="AB359" s="62">
        <f t="shared" si="269"/>
        <v>1450000</v>
      </c>
      <c r="AC359" s="62">
        <f t="shared" si="270"/>
        <v>1450000</v>
      </c>
    </row>
    <row r="360" spans="1:29" x14ac:dyDescent="0.3">
      <c r="A360" s="30" t="str">
        <f t="shared" si="242"/>
        <v>Opex maintenance &amp; repair</v>
      </c>
      <c r="B360" s="62">
        <f t="shared" si="243"/>
        <v>1050000</v>
      </c>
      <c r="C360" s="62">
        <f t="shared" si="244"/>
        <v>1050000</v>
      </c>
      <c r="D360" s="62">
        <f t="shared" si="245"/>
        <v>1050000</v>
      </c>
      <c r="E360" s="62">
        <f t="shared" si="246"/>
        <v>1050000</v>
      </c>
      <c r="F360" s="62">
        <f t="shared" si="247"/>
        <v>1050000</v>
      </c>
      <c r="G360" s="62">
        <f t="shared" si="248"/>
        <v>1050000</v>
      </c>
      <c r="H360" s="62">
        <f t="shared" si="249"/>
        <v>1050000</v>
      </c>
      <c r="I360" s="62">
        <f t="shared" si="250"/>
        <v>1050000</v>
      </c>
      <c r="J360" s="62">
        <f t="shared" si="251"/>
        <v>1050000</v>
      </c>
      <c r="K360" s="62">
        <f t="shared" si="252"/>
        <v>1050000</v>
      </c>
      <c r="L360" s="62">
        <f t="shared" si="253"/>
        <v>1050000</v>
      </c>
      <c r="M360" s="62">
        <f t="shared" si="254"/>
        <v>1050000</v>
      </c>
      <c r="N360" s="62">
        <f t="shared" si="255"/>
        <v>1050000</v>
      </c>
      <c r="O360" s="62">
        <f t="shared" si="256"/>
        <v>1050000</v>
      </c>
      <c r="P360" s="62">
        <f t="shared" si="257"/>
        <v>1050000</v>
      </c>
      <c r="Q360" s="62">
        <f t="shared" si="258"/>
        <v>1050000</v>
      </c>
      <c r="R360" s="62">
        <f t="shared" si="259"/>
        <v>1050000</v>
      </c>
      <c r="S360" s="62">
        <f t="shared" si="260"/>
        <v>1050000</v>
      </c>
      <c r="T360" s="62">
        <f t="shared" si="261"/>
        <v>1050000</v>
      </c>
      <c r="U360" s="62">
        <f t="shared" si="262"/>
        <v>1050000</v>
      </c>
      <c r="V360" s="62">
        <f t="shared" si="263"/>
        <v>1050000</v>
      </c>
      <c r="W360" s="62">
        <f t="shared" si="264"/>
        <v>1050000</v>
      </c>
      <c r="X360" s="62">
        <f t="shared" si="265"/>
        <v>1050000</v>
      </c>
      <c r="Y360" s="62">
        <f t="shared" si="266"/>
        <v>1050000</v>
      </c>
      <c r="Z360" s="62">
        <f t="shared" si="267"/>
        <v>1050000</v>
      </c>
      <c r="AA360" s="62">
        <f t="shared" si="268"/>
        <v>1050000</v>
      </c>
      <c r="AB360" s="62">
        <f t="shared" si="269"/>
        <v>1050000</v>
      </c>
      <c r="AC360" s="62">
        <f t="shared" si="270"/>
        <v>1050000</v>
      </c>
    </row>
    <row r="361" spans="1:29" x14ac:dyDescent="0.3">
      <c r="A361" s="30" t="str">
        <f t="shared" si="242"/>
        <v>Opex var (mode-fees, shunting)</v>
      </c>
      <c r="B361" s="62">
        <f t="shared" si="243"/>
        <v>8.9635854341736696</v>
      </c>
      <c r="C361" s="62">
        <f t="shared" si="244"/>
        <v>8.9635854341736696</v>
      </c>
      <c r="D361" s="62">
        <f t="shared" si="245"/>
        <v>8.9635854341736696</v>
      </c>
      <c r="E361" s="62">
        <f t="shared" si="246"/>
        <v>8.9635854341736696</v>
      </c>
      <c r="F361" s="62">
        <f t="shared" si="247"/>
        <v>8.9635854341736696</v>
      </c>
      <c r="G361" s="62">
        <f t="shared" si="248"/>
        <v>8.9635854341736696</v>
      </c>
      <c r="H361" s="62">
        <f t="shared" si="249"/>
        <v>8.9635854341736696</v>
      </c>
      <c r="I361" s="62">
        <f t="shared" si="250"/>
        <v>8.9635854341736696</v>
      </c>
      <c r="J361" s="62">
        <f t="shared" si="251"/>
        <v>8.9635854341736696</v>
      </c>
      <c r="K361" s="62">
        <f t="shared" si="252"/>
        <v>8.9635854341736696</v>
      </c>
      <c r="L361" s="62">
        <f t="shared" si="253"/>
        <v>8.9635854341736696</v>
      </c>
      <c r="M361" s="62">
        <f t="shared" si="254"/>
        <v>8.9635854341736696</v>
      </c>
      <c r="N361" s="62">
        <f t="shared" si="255"/>
        <v>8.9635854341736696</v>
      </c>
      <c r="O361" s="62">
        <f t="shared" si="256"/>
        <v>8.9635854341736696</v>
      </c>
      <c r="P361" s="62">
        <f t="shared" si="257"/>
        <v>8.9635854341736696</v>
      </c>
      <c r="Q361" s="62">
        <f t="shared" si="258"/>
        <v>8.9635854341736696</v>
      </c>
      <c r="R361" s="62">
        <f t="shared" si="259"/>
        <v>8.9635854341736696</v>
      </c>
      <c r="S361" s="62">
        <f t="shared" si="260"/>
        <v>8.9635854341736696</v>
      </c>
      <c r="T361" s="62">
        <f t="shared" si="261"/>
        <v>8.9635854341736696</v>
      </c>
      <c r="U361" s="62">
        <f t="shared" si="262"/>
        <v>8.9635854341736696</v>
      </c>
      <c r="V361" s="62">
        <f t="shared" si="263"/>
        <v>8.9635854341736696</v>
      </c>
      <c r="W361" s="62">
        <f t="shared" si="264"/>
        <v>8.9635854341736696</v>
      </c>
      <c r="X361" s="62">
        <f t="shared" si="265"/>
        <v>8.9635854341736696</v>
      </c>
      <c r="Y361" s="62">
        <f t="shared" si="266"/>
        <v>8.9635854341736696</v>
      </c>
      <c r="Z361" s="62">
        <f t="shared" si="267"/>
        <v>8.9635854341736696</v>
      </c>
      <c r="AA361" s="62">
        <f t="shared" si="268"/>
        <v>8.9635854341736696</v>
      </c>
      <c r="AB361" s="62">
        <f t="shared" si="269"/>
        <v>8.9635854341736696</v>
      </c>
      <c r="AC361" s="62">
        <f t="shared" si="270"/>
        <v>8.9635854341736696</v>
      </c>
    </row>
    <row r="362" spans="1:29" x14ac:dyDescent="0.3">
      <c r="A362" s="30" t="str">
        <f t="shared" si="242"/>
        <v>Fuel Economy</v>
      </c>
      <c r="B362" s="62">
        <f t="shared" si="243"/>
        <v>62.083200000000005</v>
      </c>
      <c r="C362" s="62">
        <f t="shared" si="244"/>
        <v>62.083200000000005</v>
      </c>
      <c r="D362" s="62">
        <f t="shared" si="245"/>
        <v>62.083200000000005</v>
      </c>
      <c r="E362" s="62">
        <f t="shared" si="246"/>
        <v>62.083200000000005</v>
      </c>
      <c r="F362" s="62">
        <f t="shared" si="247"/>
        <v>62.083200000000005</v>
      </c>
      <c r="G362" s="62">
        <f t="shared" si="248"/>
        <v>62.083200000000005</v>
      </c>
      <c r="H362" s="62">
        <f t="shared" si="249"/>
        <v>62.083200000000005</v>
      </c>
      <c r="I362" s="62">
        <f t="shared" si="250"/>
        <v>62.083200000000005</v>
      </c>
      <c r="J362" s="62">
        <f t="shared" si="251"/>
        <v>62.083200000000005</v>
      </c>
      <c r="K362" s="62">
        <f t="shared" si="252"/>
        <v>62.083200000000005</v>
      </c>
      <c r="L362" s="62">
        <f t="shared" si="253"/>
        <v>62.083200000000005</v>
      </c>
      <c r="M362" s="62">
        <f t="shared" si="254"/>
        <v>62.083200000000005</v>
      </c>
      <c r="N362" s="62">
        <f t="shared" si="255"/>
        <v>62.083200000000005</v>
      </c>
      <c r="O362" s="62">
        <f t="shared" si="256"/>
        <v>62.083200000000005</v>
      </c>
      <c r="P362" s="62">
        <f t="shared" si="257"/>
        <v>62.083200000000005</v>
      </c>
      <c r="Q362" s="62">
        <f t="shared" si="258"/>
        <v>62.083200000000005</v>
      </c>
      <c r="R362" s="62">
        <f t="shared" si="259"/>
        <v>62.083200000000005</v>
      </c>
      <c r="S362" s="62">
        <f t="shared" si="260"/>
        <v>62.083200000000005</v>
      </c>
      <c r="T362" s="62">
        <f t="shared" si="261"/>
        <v>62.083200000000005</v>
      </c>
      <c r="U362" s="62">
        <f t="shared" si="262"/>
        <v>62.083200000000005</v>
      </c>
      <c r="V362" s="62">
        <f t="shared" si="263"/>
        <v>62.083200000000005</v>
      </c>
      <c r="W362" s="62">
        <f t="shared" si="264"/>
        <v>62.083200000000005</v>
      </c>
      <c r="X362" s="62">
        <f t="shared" si="265"/>
        <v>62.083200000000005</v>
      </c>
      <c r="Y362" s="62">
        <f t="shared" si="266"/>
        <v>62.083200000000005</v>
      </c>
      <c r="Z362" s="62">
        <f t="shared" si="267"/>
        <v>62.083200000000005</v>
      </c>
      <c r="AA362" s="62">
        <f t="shared" si="268"/>
        <v>62.083200000000005</v>
      </c>
      <c r="AB362" s="62">
        <f t="shared" si="269"/>
        <v>62.083200000000005</v>
      </c>
      <c r="AC362" s="62">
        <f t="shared" si="270"/>
        <v>62.083200000000005</v>
      </c>
    </row>
    <row r="363" spans="1:29" x14ac:dyDescent="0.3">
      <c r="A363" s="30" t="str">
        <f t="shared" si="242"/>
        <v>Fuel Cost</v>
      </c>
      <c r="B363" s="62">
        <f t="shared" si="243"/>
        <v>0.1</v>
      </c>
      <c r="C363" s="62">
        <f t="shared" si="244"/>
        <v>0.1</v>
      </c>
      <c r="D363" s="62">
        <f t="shared" si="245"/>
        <v>0.1</v>
      </c>
      <c r="E363" s="62">
        <f t="shared" si="246"/>
        <v>0.1</v>
      </c>
      <c r="F363" s="62">
        <f t="shared" si="247"/>
        <v>0.1</v>
      </c>
      <c r="G363" s="62">
        <f t="shared" si="248"/>
        <v>0.1</v>
      </c>
      <c r="H363" s="62">
        <f t="shared" si="249"/>
        <v>0.1</v>
      </c>
      <c r="I363" s="62">
        <f t="shared" si="250"/>
        <v>0.1</v>
      </c>
      <c r="J363" s="62">
        <f t="shared" si="251"/>
        <v>0.1</v>
      </c>
      <c r="K363" s="62">
        <f t="shared" si="252"/>
        <v>0.1</v>
      </c>
      <c r="L363" s="62">
        <f t="shared" si="253"/>
        <v>0.1</v>
      </c>
      <c r="M363" s="62">
        <f t="shared" si="254"/>
        <v>0.1</v>
      </c>
      <c r="N363" s="62">
        <f t="shared" si="255"/>
        <v>0.1</v>
      </c>
      <c r="O363" s="62">
        <f t="shared" si="256"/>
        <v>0.1</v>
      </c>
      <c r="P363" s="62">
        <f t="shared" si="257"/>
        <v>0.1</v>
      </c>
      <c r="Q363" s="62">
        <f t="shared" si="258"/>
        <v>0.1</v>
      </c>
      <c r="R363" s="62">
        <f t="shared" si="259"/>
        <v>0.1</v>
      </c>
      <c r="S363" s="62">
        <f t="shared" si="260"/>
        <v>0.1</v>
      </c>
      <c r="T363" s="62">
        <f t="shared" si="261"/>
        <v>0.1</v>
      </c>
      <c r="U363" s="62">
        <f t="shared" si="262"/>
        <v>0.1</v>
      </c>
      <c r="V363" s="62">
        <f t="shared" si="263"/>
        <v>0.1</v>
      </c>
      <c r="W363" s="62">
        <f t="shared" si="264"/>
        <v>0.1</v>
      </c>
      <c r="X363" s="62">
        <f t="shared" si="265"/>
        <v>0.1</v>
      </c>
      <c r="Y363" s="62">
        <f t="shared" si="266"/>
        <v>0.1</v>
      </c>
      <c r="Z363" s="62">
        <f t="shared" si="267"/>
        <v>0.1</v>
      </c>
      <c r="AA363" s="62">
        <f t="shared" si="268"/>
        <v>0.1</v>
      </c>
      <c r="AB363" s="62">
        <f t="shared" si="269"/>
        <v>0.1</v>
      </c>
      <c r="AC363" s="62">
        <f t="shared" si="270"/>
        <v>0.1</v>
      </c>
    </row>
    <row r="364" spans="1:29" x14ac:dyDescent="0.3">
      <c r="A364" s="30" t="str">
        <f t="shared" si="242"/>
        <v>Emission Cost</v>
      </c>
      <c r="B364" s="66">
        <f>$B344+($C344-$B344)*(1-Q344)</f>
        <v>1.6642920252567563</v>
      </c>
      <c r="C364" s="66">
        <f t="shared" ref="C364:AC364" si="271">$B344+($C344-$B344)*(1-R344)</f>
        <v>1.668223764670367</v>
      </c>
      <c r="D364" s="66">
        <f t="shared" si="271"/>
        <v>1.6738519620685159</v>
      </c>
      <c r="E364" s="66">
        <f t="shared" si="271"/>
        <v>1.681903494239102</v>
      </c>
      <c r="F364" s="66">
        <f t="shared" si="271"/>
        <v>1.6934109103696515</v>
      </c>
      <c r="G364" s="66">
        <f t="shared" si="271"/>
        <v>1.7098344800436978</v>
      </c>
      <c r="H364" s="66">
        <f t="shared" si="271"/>
        <v>1.733225672402217</v>
      </c>
      <c r="I364" s="66">
        <f t="shared" si="271"/>
        <v>1.7664378123820623</v>
      </c>
      <c r="J364" s="66">
        <f t="shared" si="271"/>
        <v>1.8133799807606898</v>
      </c>
      <c r="K364" s="66">
        <f t="shared" si="271"/>
        <v>1.8792859382574125</v>
      </c>
      <c r="L364" s="66">
        <f t="shared" si="271"/>
        <v>1.9709191437812768</v>
      </c>
      <c r="M364" s="66">
        <f t="shared" si="271"/>
        <v>2.0965448405494573</v>
      </c>
      <c r="N364" s="66">
        <f t="shared" si="271"/>
        <v>2.2653723155004584</v>
      </c>
      <c r="O364" s="66">
        <f t="shared" si="271"/>
        <v>2.4860624403309455</v>
      </c>
      <c r="P364" s="66">
        <f t="shared" si="271"/>
        <v>2.7639843510823718</v>
      </c>
      <c r="Q364" s="66">
        <f t="shared" si="271"/>
        <v>3.0974826662343866</v>
      </c>
      <c r="R364" s="66">
        <f t="shared" si="271"/>
        <v>3.4745937746662614</v>
      </c>
      <c r="S364" s="66">
        <f t="shared" si="271"/>
        <v>3.8727084245898471</v>
      </c>
      <c r="T364" s="66">
        <f t="shared" si="271"/>
        <v>4.2629889228555031</v>
      </c>
      <c r="U364" s="66">
        <f t="shared" si="271"/>
        <v>4.6182692937866285</v>
      </c>
      <c r="V364" s="66">
        <f t="shared" si="271"/>
        <v>4.9202070161803482</v>
      </c>
      <c r="W364" s="66">
        <f t="shared" si="271"/>
        <v>5.1620050578353283</v>
      </c>
      <c r="X364" s="66">
        <f t="shared" si="271"/>
        <v>5.3465076953810016</v>
      </c>
      <c r="Y364" s="66">
        <f t="shared" si="271"/>
        <v>5.4821319311099916</v>
      </c>
      <c r="Z364" s="66">
        <f t="shared" si="271"/>
        <v>5.5791012976259244</v>
      </c>
      <c r="AA364" s="66">
        <f t="shared" si="271"/>
        <v>5.6470625031514352</v>
      </c>
      <c r="AB364" s="66">
        <f t="shared" si="271"/>
        <v>5.6940278733917111</v>
      </c>
      <c r="AC364" s="66">
        <f t="shared" si="271"/>
        <v>5.7261686166213002</v>
      </c>
    </row>
    <row r="365" spans="1:29" x14ac:dyDescent="0.3">
      <c r="A365" s="30" t="str">
        <f t="shared" si="242"/>
        <v>Lifetime vehicle</v>
      </c>
      <c r="B365" s="62">
        <f>$B345+($C345-$B345)*(1-Q345)</f>
        <v>20</v>
      </c>
      <c r="C365" s="62">
        <f t="shared" ref="C365:L367" si="272">$B345+($C345-$B345)*(1-R345)</f>
        <v>20</v>
      </c>
      <c r="D365" s="62">
        <f t="shared" si="272"/>
        <v>20</v>
      </c>
      <c r="E365" s="62">
        <f t="shared" si="272"/>
        <v>20</v>
      </c>
      <c r="F365" s="62">
        <f t="shared" si="272"/>
        <v>20</v>
      </c>
      <c r="G365" s="62">
        <f t="shared" si="272"/>
        <v>20</v>
      </c>
      <c r="H365" s="62">
        <f t="shared" si="272"/>
        <v>20</v>
      </c>
      <c r="I365" s="62">
        <f t="shared" si="272"/>
        <v>20</v>
      </c>
      <c r="J365" s="62">
        <f t="shared" si="272"/>
        <v>20</v>
      </c>
      <c r="K365" s="62">
        <f t="shared" si="272"/>
        <v>20</v>
      </c>
      <c r="L365" s="62">
        <f t="shared" si="272"/>
        <v>20</v>
      </c>
      <c r="M365" s="62">
        <f t="shared" ref="M365:V367" si="273">$B345+($C345-$B345)*(1-AB345)</f>
        <v>20</v>
      </c>
      <c r="N365" s="62">
        <f t="shared" si="273"/>
        <v>20</v>
      </c>
      <c r="O365" s="62">
        <f t="shared" si="273"/>
        <v>20</v>
      </c>
      <c r="P365" s="62">
        <f t="shared" si="273"/>
        <v>20</v>
      </c>
      <c r="Q365" s="62">
        <f t="shared" si="273"/>
        <v>20</v>
      </c>
      <c r="R365" s="62">
        <f t="shared" si="273"/>
        <v>20</v>
      </c>
      <c r="S365" s="62">
        <f t="shared" si="273"/>
        <v>20</v>
      </c>
      <c r="T365" s="62">
        <f t="shared" si="273"/>
        <v>20</v>
      </c>
      <c r="U365" s="62">
        <f t="shared" si="273"/>
        <v>20</v>
      </c>
      <c r="V365" s="62">
        <f t="shared" si="273"/>
        <v>20</v>
      </c>
      <c r="W365" s="62">
        <f t="shared" ref="W365:AC367" si="274">$B345+($C345-$B345)*(1-AL345)</f>
        <v>20</v>
      </c>
      <c r="X365" s="62">
        <f t="shared" si="274"/>
        <v>20</v>
      </c>
      <c r="Y365" s="62">
        <f t="shared" si="274"/>
        <v>20</v>
      </c>
      <c r="Z365" s="62">
        <f t="shared" si="274"/>
        <v>20</v>
      </c>
      <c r="AA365" s="62">
        <f t="shared" si="274"/>
        <v>20</v>
      </c>
      <c r="AB365" s="62">
        <f t="shared" si="274"/>
        <v>20</v>
      </c>
      <c r="AC365" s="62">
        <f t="shared" si="274"/>
        <v>20</v>
      </c>
    </row>
    <row r="366" spans="1:29" x14ac:dyDescent="0.3">
      <c r="A366" s="30" t="str">
        <f t="shared" si="242"/>
        <v>Lifetime costumization</v>
      </c>
      <c r="B366" s="62">
        <f>$B346+($C346-$B346)*(1-Q346)</f>
        <v>30</v>
      </c>
      <c r="C366" s="62">
        <f t="shared" si="272"/>
        <v>30</v>
      </c>
      <c r="D366" s="62">
        <f t="shared" si="272"/>
        <v>30</v>
      </c>
      <c r="E366" s="62">
        <f t="shared" si="272"/>
        <v>30</v>
      </c>
      <c r="F366" s="62">
        <f t="shared" si="272"/>
        <v>30</v>
      </c>
      <c r="G366" s="62">
        <f t="shared" si="272"/>
        <v>30</v>
      </c>
      <c r="H366" s="62">
        <f t="shared" si="272"/>
        <v>30</v>
      </c>
      <c r="I366" s="62">
        <f t="shared" si="272"/>
        <v>30</v>
      </c>
      <c r="J366" s="62">
        <f t="shared" si="272"/>
        <v>30</v>
      </c>
      <c r="K366" s="62">
        <f t="shared" si="272"/>
        <v>30</v>
      </c>
      <c r="L366" s="62">
        <f t="shared" si="272"/>
        <v>30</v>
      </c>
      <c r="M366" s="62">
        <f t="shared" si="273"/>
        <v>30</v>
      </c>
      <c r="N366" s="62">
        <f t="shared" si="273"/>
        <v>30</v>
      </c>
      <c r="O366" s="62">
        <f t="shared" si="273"/>
        <v>30</v>
      </c>
      <c r="P366" s="62">
        <f t="shared" si="273"/>
        <v>30</v>
      </c>
      <c r="Q366" s="62">
        <f t="shared" si="273"/>
        <v>30</v>
      </c>
      <c r="R366" s="62">
        <f t="shared" si="273"/>
        <v>30</v>
      </c>
      <c r="S366" s="62">
        <f t="shared" si="273"/>
        <v>30</v>
      </c>
      <c r="T366" s="62">
        <f t="shared" si="273"/>
        <v>30</v>
      </c>
      <c r="U366" s="62">
        <f t="shared" si="273"/>
        <v>30</v>
      </c>
      <c r="V366" s="62">
        <f t="shared" si="273"/>
        <v>30</v>
      </c>
      <c r="W366" s="62">
        <f t="shared" si="274"/>
        <v>30</v>
      </c>
      <c r="X366" s="62">
        <f t="shared" si="274"/>
        <v>30</v>
      </c>
      <c r="Y366" s="62">
        <f t="shared" si="274"/>
        <v>30</v>
      </c>
      <c r="Z366" s="62">
        <f t="shared" si="274"/>
        <v>30</v>
      </c>
      <c r="AA366" s="62">
        <f t="shared" si="274"/>
        <v>30</v>
      </c>
      <c r="AB366" s="62">
        <f t="shared" si="274"/>
        <v>30</v>
      </c>
      <c r="AC366" s="62">
        <f t="shared" si="274"/>
        <v>30</v>
      </c>
    </row>
    <row r="367" spans="1:29" x14ac:dyDescent="0.3">
      <c r="A367" s="30" t="str">
        <f t="shared" si="242"/>
        <v>Tonnage .</v>
      </c>
      <c r="B367" s="62">
        <f>$B347+($C347-$B347)*(1-Q347)</f>
        <v>2240</v>
      </c>
      <c r="C367" s="62">
        <f t="shared" si="272"/>
        <v>2240</v>
      </c>
      <c r="D367" s="62">
        <f t="shared" si="272"/>
        <v>2240</v>
      </c>
      <c r="E367" s="62">
        <f t="shared" si="272"/>
        <v>2240</v>
      </c>
      <c r="F367" s="62">
        <f t="shared" si="272"/>
        <v>2240</v>
      </c>
      <c r="G367" s="62">
        <f t="shared" si="272"/>
        <v>2240</v>
      </c>
      <c r="H367" s="62">
        <f t="shared" si="272"/>
        <v>2240</v>
      </c>
      <c r="I367" s="62">
        <f t="shared" si="272"/>
        <v>2240</v>
      </c>
      <c r="J367" s="62">
        <f t="shared" si="272"/>
        <v>2240</v>
      </c>
      <c r="K367" s="62">
        <f t="shared" si="272"/>
        <v>2240</v>
      </c>
      <c r="L367" s="62">
        <f t="shared" si="272"/>
        <v>2240</v>
      </c>
      <c r="M367" s="62">
        <f t="shared" si="273"/>
        <v>2240</v>
      </c>
      <c r="N367" s="62">
        <f t="shared" si="273"/>
        <v>2240</v>
      </c>
      <c r="O367" s="62">
        <f t="shared" si="273"/>
        <v>2240</v>
      </c>
      <c r="P367" s="62">
        <f t="shared" si="273"/>
        <v>2240</v>
      </c>
      <c r="Q367" s="62">
        <f t="shared" si="273"/>
        <v>2240</v>
      </c>
      <c r="R367" s="62">
        <f t="shared" si="273"/>
        <v>2240</v>
      </c>
      <c r="S367" s="62">
        <f t="shared" si="273"/>
        <v>2240</v>
      </c>
      <c r="T367" s="62">
        <f t="shared" si="273"/>
        <v>2240</v>
      </c>
      <c r="U367" s="62">
        <f t="shared" si="273"/>
        <v>2240</v>
      </c>
      <c r="V367" s="62">
        <f t="shared" si="273"/>
        <v>2240</v>
      </c>
      <c r="W367" s="62">
        <f t="shared" si="274"/>
        <v>2240</v>
      </c>
      <c r="X367" s="62">
        <f t="shared" si="274"/>
        <v>2240</v>
      </c>
      <c r="Y367" s="62">
        <f t="shared" si="274"/>
        <v>2240</v>
      </c>
      <c r="Z367" s="62">
        <f t="shared" si="274"/>
        <v>2240</v>
      </c>
      <c r="AA367" s="62">
        <f t="shared" si="274"/>
        <v>2240</v>
      </c>
      <c r="AB367" s="62">
        <f t="shared" si="274"/>
        <v>2240</v>
      </c>
      <c r="AC367" s="62">
        <f t="shared" si="274"/>
        <v>2240</v>
      </c>
    </row>
    <row r="368" spans="1:29" x14ac:dyDescent="0.3">
      <c r="A368" s="30" t="str">
        <f t="shared" si="242"/>
        <v>Market failure (av. utilization)</v>
      </c>
      <c r="B368" s="62">
        <f t="shared" ref="B368:K369" si="275">($B348+($C348-$B348)*(1-Q348))*B$44</f>
        <v>1209.6000000000001</v>
      </c>
      <c r="C368" s="62">
        <f t="shared" si="275"/>
        <v>1209.6000000000001</v>
      </c>
      <c r="D368" s="62">
        <f t="shared" si="275"/>
        <v>1209.6000000000001</v>
      </c>
      <c r="E368" s="62">
        <f t="shared" si="275"/>
        <v>1209.6000000000001</v>
      </c>
      <c r="F368" s="62">
        <f t="shared" si="275"/>
        <v>1209.6000000000001</v>
      </c>
      <c r="G368" s="62">
        <f t="shared" si="275"/>
        <v>1209.6000000000001</v>
      </c>
      <c r="H368" s="62">
        <f t="shared" si="275"/>
        <v>1209.6000000000001</v>
      </c>
      <c r="I368" s="62">
        <f t="shared" si="275"/>
        <v>1209.6000000000001</v>
      </c>
      <c r="J368" s="62">
        <f t="shared" si="275"/>
        <v>1209.6000000000001</v>
      </c>
      <c r="K368" s="62">
        <f t="shared" si="275"/>
        <v>1209.6000000000001</v>
      </c>
      <c r="L368" s="62">
        <f t="shared" ref="L368:U369" si="276">($B348+($C348-$B348)*(1-AA348))*L$44</f>
        <v>1209.6000000000001</v>
      </c>
      <c r="M368" s="62">
        <f t="shared" si="276"/>
        <v>1209.6000000000001</v>
      </c>
      <c r="N368" s="62">
        <f t="shared" si="276"/>
        <v>1209.6000000000001</v>
      </c>
      <c r="O368" s="62">
        <f t="shared" si="276"/>
        <v>1209.6000000000001</v>
      </c>
      <c r="P368" s="62">
        <f t="shared" si="276"/>
        <v>1209.6000000000001</v>
      </c>
      <c r="Q368" s="62">
        <f t="shared" si="276"/>
        <v>1209.6000000000001</v>
      </c>
      <c r="R368" s="62">
        <f t="shared" si="276"/>
        <v>1209.6000000000001</v>
      </c>
      <c r="S368" s="62">
        <f t="shared" si="276"/>
        <v>1209.6000000000001</v>
      </c>
      <c r="T368" s="62">
        <f t="shared" si="276"/>
        <v>1209.6000000000001</v>
      </c>
      <c r="U368" s="62">
        <f t="shared" si="276"/>
        <v>1209.6000000000001</v>
      </c>
      <c r="V368" s="62">
        <f t="shared" ref="V368:AC369" si="277">($B348+($C348-$B348)*(1-AK348))*V$44</f>
        <v>1209.6000000000001</v>
      </c>
      <c r="W368" s="62">
        <f t="shared" si="277"/>
        <v>1209.6000000000001</v>
      </c>
      <c r="X368" s="62">
        <f t="shared" si="277"/>
        <v>1209.6000000000001</v>
      </c>
      <c r="Y368" s="62">
        <f t="shared" si="277"/>
        <v>1209.6000000000001</v>
      </c>
      <c r="Z368" s="62">
        <f t="shared" si="277"/>
        <v>1209.6000000000001</v>
      </c>
      <c r="AA368" s="62">
        <f t="shared" si="277"/>
        <v>1209.6000000000001</v>
      </c>
      <c r="AB368" s="62">
        <f t="shared" si="277"/>
        <v>1209.6000000000001</v>
      </c>
      <c r="AC368" s="62">
        <f t="shared" si="277"/>
        <v>1209.6000000000001</v>
      </c>
    </row>
    <row r="369" spans="1:29" x14ac:dyDescent="0.3">
      <c r="A369" s="30" t="s">
        <v>73</v>
      </c>
      <c r="B369" s="62">
        <f t="shared" si="275"/>
        <v>0</v>
      </c>
      <c r="C369" s="62">
        <f t="shared" si="275"/>
        <v>0</v>
      </c>
      <c r="D369" s="62">
        <f t="shared" si="275"/>
        <v>0</v>
      </c>
      <c r="E369" s="62">
        <f t="shared" si="275"/>
        <v>0</v>
      </c>
      <c r="F369" s="62">
        <f t="shared" si="275"/>
        <v>0</v>
      </c>
      <c r="G369" s="62">
        <f t="shared" si="275"/>
        <v>0</v>
      </c>
      <c r="H369" s="62">
        <f t="shared" si="275"/>
        <v>0</v>
      </c>
      <c r="I369" s="62">
        <f t="shared" si="275"/>
        <v>0</v>
      </c>
      <c r="J369" s="62">
        <f t="shared" si="275"/>
        <v>0</v>
      </c>
      <c r="K369" s="62">
        <f t="shared" si="275"/>
        <v>0</v>
      </c>
      <c r="L369" s="62">
        <f t="shared" si="276"/>
        <v>0</v>
      </c>
      <c r="M369" s="62">
        <f t="shared" si="276"/>
        <v>0</v>
      </c>
      <c r="N369" s="62">
        <f t="shared" si="276"/>
        <v>0</v>
      </c>
      <c r="O369" s="62">
        <f t="shared" si="276"/>
        <v>0</v>
      </c>
      <c r="P369" s="62">
        <f t="shared" si="276"/>
        <v>0</v>
      </c>
      <c r="Q369" s="62">
        <f t="shared" si="276"/>
        <v>0</v>
      </c>
      <c r="R369" s="62">
        <f t="shared" si="276"/>
        <v>0</v>
      </c>
      <c r="S369" s="62">
        <f t="shared" si="276"/>
        <v>0</v>
      </c>
      <c r="T369" s="62">
        <f t="shared" si="276"/>
        <v>0</v>
      </c>
      <c r="U369" s="62">
        <f t="shared" si="276"/>
        <v>0</v>
      </c>
      <c r="V369" s="62">
        <f t="shared" si="277"/>
        <v>0</v>
      </c>
      <c r="W369" s="62">
        <f t="shared" si="277"/>
        <v>0</v>
      </c>
      <c r="X369" s="62">
        <f t="shared" si="277"/>
        <v>0</v>
      </c>
      <c r="Y369" s="62">
        <f t="shared" si="277"/>
        <v>0</v>
      </c>
      <c r="Z369" s="62">
        <f t="shared" si="277"/>
        <v>0</v>
      </c>
      <c r="AA369" s="62">
        <f t="shared" si="277"/>
        <v>0</v>
      </c>
      <c r="AB369" s="62">
        <f t="shared" si="277"/>
        <v>0</v>
      </c>
      <c r="AC369" s="62">
        <f t="shared" si="277"/>
        <v>0</v>
      </c>
    </row>
    <row r="370" spans="1:29" x14ac:dyDescent="0.3">
      <c r="A370" s="30" t="str">
        <f>A350</f>
        <v>Annual Mileage</v>
      </c>
      <c r="B370" s="62">
        <f t="shared" ref="B370:AC370" si="278">$B350+($C350-$B350)*(1-Q350)</f>
        <v>178500</v>
      </c>
      <c r="C370" s="62">
        <f t="shared" si="278"/>
        <v>178500</v>
      </c>
      <c r="D370" s="62">
        <f t="shared" si="278"/>
        <v>178500</v>
      </c>
      <c r="E370" s="62">
        <f t="shared" si="278"/>
        <v>178500</v>
      </c>
      <c r="F370" s="62">
        <f t="shared" si="278"/>
        <v>178500</v>
      </c>
      <c r="G370" s="62">
        <f t="shared" si="278"/>
        <v>178500</v>
      </c>
      <c r="H370" s="62">
        <f t="shared" si="278"/>
        <v>178500</v>
      </c>
      <c r="I370" s="62">
        <f t="shared" si="278"/>
        <v>178500</v>
      </c>
      <c r="J370" s="62">
        <f t="shared" si="278"/>
        <v>178500</v>
      </c>
      <c r="K370" s="62">
        <f t="shared" si="278"/>
        <v>178500</v>
      </c>
      <c r="L370" s="62">
        <f t="shared" si="278"/>
        <v>178500</v>
      </c>
      <c r="M370" s="62">
        <f t="shared" si="278"/>
        <v>178500</v>
      </c>
      <c r="N370" s="62">
        <f t="shared" si="278"/>
        <v>178500</v>
      </c>
      <c r="O370" s="62">
        <f t="shared" si="278"/>
        <v>178500</v>
      </c>
      <c r="P370" s="62">
        <f t="shared" si="278"/>
        <v>178500</v>
      </c>
      <c r="Q370" s="62">
        <f t="shared" si="278"/>
        <v>178500</v>
      </c>
      <c r="R370" s="62">
        <f t="shared" si="278"/>
        <v>178500</v>
      </c>
      <c r="S370" s="62">
        <f t="shared" si="278"/>
        <v>178500</v>
      </c>
      <c r="T370" s="62">
        <f t="shared" si="278"/>
        <v>178500</v>
      </c>
      <c r="U370" s="62">
        <f t="shared" si="278"/>
        <v>178500</v>
      </c>
      <c r="V370" s="62">
        <f t="shared" si="278"/>
        <v>178500</v>
      </c>
      <c r="W370" s="62">
        <f t="shared" si="278"/>
        <v>178500</v>
      </c>
      <c r="X370" s="62">
        <f t="shared" si="278"/>
        <v>178500</v>
      </c>
      <c r="Y370" s="62">
        <f t="shared" si="278"/>
        <v>178500</v>
      </c>
      <c r="Z370" s="62">
        <f t="shared" si="278"/>
        <v>178500</v>
      </c>
      <c r="AA370" s="62">
        <f t="shared" si="278"/>
        <v>178500</v>
      </c>
      <c r="AB370" s="62">
        <f t="shared" si="278"/>
        <v>178500</v>
      </c>
      <c r="AC370" s="62">
        <f t="shared" si="278"/>
        <v>178500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305145.94941897993</v>
      </c>
      <c r="C373" s="63">
        <f t="shared" ref="C373:AC373" si="279">((1+C358)^C365)*C358/(((1+C358)^C365)-1)*(C354)</f>
        <v>305145.94941897993</v>
      </c>
      <c r="D373" s="63">
        <f t="shared" si="279"/>
        <v>305145.94941897993</v>
      </c>
      <c r="E373" s="63">
        <f t="shared" si="279"/>
        <v>305145.94941897993</v>
      </c>
      <c r="F373" s="63">
        <f t="shared" si="279"/>
        <v>305145.94941897993</v>
      </c>
      <c r="G373" s="63">
        <f t="shared" si="279"/>
        <v>305145.94941897993</v>
      </c>
      <c r="H373" s="63">
        <f t="shared" si="279"/>
        <v>305145.94941897993</v>
      </c>
      <c r="I373" s="63">
        <f t="shared" si="279"/>
        <v>305145.94941897993</v>
      </c>
      <c r="J373" s="63">
        <f t="shared" si="279"/>
        <v>305145.94941897993</v>
      </c>
      <c r="K373" s="63">
        <f t="shared" si="279"/>
        <v>305145.94941897993</v>
      </c>
      <c r="L373" s="63">
        <f t="shared" si="279"/>
        <v>305145.94941897993</v>
      </c>
      <c r="M373" s="63">
        <f t="shared" si="279"/>
        <v>305145.94941897993</v>
      </c>
      <c r="N373" s="63">
        <f t="shared" si="279"/>
        <v>305145.94941897993</v>
      </c>
      <c r="O373" s="63">
        <f t="shared" si="279"/>
        <v>305145.94941897993</v>
      </c>
      <c r="P373" s="63">
        <f t="shared" si="279"/>
        <v>305145.94941897993</v>
      </c>
      <c r="Q373" s="63">
        <f t="shared" si="279"/>
        <v>305145.94941897993</v>
      </c>
      <c r="R373" s="63">
        <f t="shared" si="279"/>
        <v>305145.94941897993</v>
      </c>
      <c r="S373" s="63">
        <f t="shared" si="279"/>
        <v>305145.94941897993</v>
      </c>
      <c r="T373" s="63">
        <f t="shared" si="279"/>
        <v>305145.94941897993</v>
      </c>
      <c r="U373" s="63">
        <f t="shared" si="279"/>
        <v>305145.94941897993</v>
      </c>
      <c r="V373" s="63">
        <f t="shared" si="279"/>
        <v>305145.94941897993</v>
      </c>
      <c r="W373" s="63">
        <f t="shared" si="279"/>
        <v>305145.94941897993</v>
      </c>
      <c r="X373" s="63">
        <f t="shared" si="279"/>
        <v>305145.94941897993</v>
      </c>
      <c r="Y373" s="63">
        <f t="shared" si="279"/>
        <v>305145.94941897993</v>
      </c>
      <c r="Z373" s="63">
        <f t="shared" si="279"/>
        <v>305145.94941897993</v>
      </c>
      <c r="AA373" s="63">
        <f t="shared" si="279"/>
        <v>305145.94941897993</v>
      </c>
      <c r="AB373" s="63">
        <f t="shared" si="279"/>
        <v>305145.94941897993</v>
      </c>
      <c r="AC373" s="63">
        <f t="shared" si="279"/>
        <v>305145.94941897993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-45369.034506436277</v>
      </c>
      <c r="C374" s="62">
        <f t="shared" ref="C374:AC374" si="280">((1+C358)^C365)*C358/(((1+C358)^C365)-1)*(C355)</f>
        <v>-45196.542704314146</v>
      </c>
      <c r="D374" s="62">
        <f t="shared" si="280"/>
        <v>-44951.629072308999</v>
      </c>
      <c r="E374" s="62">
        <f t="shared" si="280"/>
        <v>-44605.467188167124</v>
      </c>
      <c r="F374" s="62">
        <f t="shared" si="280"/>
        <v>-44119.462148109647</v>
      </c>
      <c r="G374" s="62">
        <f t="shared" si="280"/>
        <v>-43443.738717137028</v>
      </c>
      <c r="H374" s="62">
        <f t="shared" si="280"/>
        <v>-42517.347172137401</v>
      </c>
      <c r="I374" s="62">
        <f t="shared" si="280"/>
        <v>-41272.376203762586</v>
      </c>
      <c r="J374" s="62">
        <f t="shared" si="280"/>
        <v>-39644.958637393647</v>
      </c>
      <c r="K374" s="62">
        <f t="shared" si="280"/>
        <v>-37595.501281822799</v>
      </c>
      <c r="L374" s="62">
        <f t="shared" si="280"/>
        <v>-35136.211284820376</v>
      </c>
      <c r="M374" s="62">
        <f t="shared" si="280"/>
        <v>-32355.310948630464</v>
      </c>
      <c r="N374" s="62">
        <f t="shared" si="280"/>
        <v>-29419.525873461753</v>
      </c>
      <c r="O374" s="62">
        <f t="shared" si="280"/>
        <v>-26541.511557340396</v>
      </c>
      <c r="P374" s="62">
        <f t="shared" si="280"/>
        <v>-23921.595885610663</v>
      </c>
      <c r="Q374" s="62">
        <f t="shared" si="280"/>
        <v>-21695.040647806538</v>
      </c>
      <c r="R374" s="62">
        <f t="shared" si="280"/>
        <v>-19911.968655776182</v>
      </c>
      <c r="S374" s="62">
        <f t="shared" si="280"/>
        <v>-18551.40558747459</v>
      </c>
      <c r="T374" s="62">
        <f t="shared" si="280"/>
        <v>-17551.282614957105</v>
      </c>
      <c r="U374" s="62">
        <f t="shared" si="280"/>
        <v>-16836.209158050464</v>
      </c>
      <c r="V374" s="62">
        <f t="shared" si="280"/>
        <v>-16335.048266557109</v>
      </c>
      <c r="W374" s="62">
        <f t="shared" si="280"/>
        <v>-15988.715286779448</v>
      </c>
      <c r="X374" s="62">
        <f t="shared" si="280"/>
        <v>-15751.702370283236</v>
      </c>
      <c r="Y374" s="62">
        <f t="shared" si="280"/>
        <v>-15590.58521762073</v>
      </c>
      <c r="Z374" s="62">
        <f t="shared" si="280"/>
        <v>-15481.559033229796</v>
      </c>
      <c r="AA374" s="62">
        <f t="shared" si="280"/>
        <v>-15408.009855414111</v>
      </c>
      <c r="AB374" s="62">
        <f t="shared" si="280"/>
        <v>-15358.496914269901</v>
      </c>
      <c r="AC374" s="62">
        <f t="shared" si="280"/>
        <v>-15325.211858527608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281">((1+C358)^C366)*C358/(((1+C358)^C366)-1)*(C356)</f>
        <v>305125.4282581982</v>
      </c>
      <c r="D375" s="62">
        <f t="shared" si="281"/>
        <v>305125.4282581982</v>
      </c>
      <c r="E375" s="62">
        <f t="shared" si="281"/>
        <v>305125.4282581982</v>
      </c>
      <c r="F375" s="62">
        <f t="shared" si="281"/>
        <v>305125.4282581982</v>
      </c>
      <c r="G375" s="62">
        <f t="shared" si="281"/>
        <v>305125.4282581982</v>
      </c>
      <c r="H375" s="62">
        <f t="shared" si="281"/>
        <v>305125.4282581982</v>
      </c>
      <c r="I375" s="62">
        <f t="shared" si="281"/>
        <v>305125.4282581982</v>
      </c>
      <c r="J375" s="62">
        <f t="shared" si="281"/>
        <v>305125.4282581982</v>
      </c>
      <c r="K375" s="62">
        <f t="shared" si="281"/>
        <v>305125.4282581982</v>
      </c>
      <c r="L375" s="62">
        <f t="shared" si="281"/>
        <v>305125.4282581982</v>
      </c>
      <c r="M375" s="62">
        <f t="shared" si="281"/>
        <v>305125.4282581982</v>
      </c>
      <c r="N375" s="62">
        <f t="shared" si="281"/>
        <v>305125.4282581982</v>
      </c>
      <c r="O375" s="62">
        <f t="shared" si="281"/>
        <v>305125.4282581982</v>
      </c>
      <c r="P375" s="62">
        <f t="shared" si="281"/>
        <v>305125.4282581982</v>
      </c>
      <c r="Q375" s="62">
        <f t="shared" si="281"/>
        <v>305125.4282581982</v>
      </c>
      <c r="R375" s="62">
        <f t="shared" si="281"/>
        <v>305125.4282581982</v>
      </c>
      <c r="S375" s="62">
        <f t="shared" si="281"/>
        <v>305125.4282581982</v>
      </c>
      <c r="T375" s="62">
        <f t="shared" si="281"/>
        <v>305125.4282581982</v>
      </c>
      <c r="U375" s="62">
        <f t="shared" si="281"/>
        <v>305125.4282581982</v>
      </c>
      <c r="V375" s="62">
        <f t="shared" si="281"/>
        <v>305125.4282581982</v>
      </c>
      <c r="W375" s="62">
        <f t="shared" si="281"/>
        <v>305125.4282581982</v>
      </c>
      <c r="X375" s="62">
        <f t="shared" si="281"/>
        <v>305125.4282581982</v>
      </c>
      <c r="Y375" s="62">
        <f t="shared" si="281"/>
        <v>305125.4282581982</v>
      </c>
      <c r="Z375" s="62">
        <f t="shared" si="281"/>
        <v>305125.4282581982</v>
      </c>
      <c r="AA375" s="62">
        <f t="shared" si="281"/>
        <v>305125.4282581982</v>
      </c>
      <c r="AB375" s="62">
        <f t="shared" si="281"/>
        <v>305125.4282581982</v>
      </c>
      <c r="AC375" s="62">
        <f t="shared" si="281"/>
        <v>305125.4282581982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282">((1+C358)^C366)*C358/(((1+C358)^C366)-1)*(C357)</f>
        <v>-15256.271412909911</v>
      </c>
      <c r="D376" s="62">
        <f t="shared" si="282"/>
        <v>-15256.271412909911</v>
      </c>
      <c r="E376" s="62">
        <f t="shared" si="282"/>
        <v>-15256.271412909911</v>
      </c>
      <c r="F376" s="62">
        <f t="shared" si="282"/>
        <v>-15256.271412909911</v>
      </c>
      <c r="G376" s="62">
        <f t="shared" si="282"/>
        <v>-15256.271412909911</v>
      </c>
      <c r="H376" s="62">
        <f t="shared" si="282"/>
        <v>-15256.271412909911</v>
      </c>
      <c r="I376" s="62">
        <f t="shared" si="282"/>
        <v>-15256.271412909911</v>
      </c>
      <c r="J376" s="62">
        <f t="shared" si="282"/>
        <v>-15256.271412909911</v>
      </c>
      <c r="K376" s="62">
        <f t="shared" si="282"/>
        <v>-15256.271412909911</v>
      </c>
      <c r="L376" s="62">
        <f t="shared" si="282"/>
        <v>-15256.271412909911</v>
      </c>
      <c r="M376" s="62">
        <f t="shared" si="282"/>
        <v>-15256.271412909911</v>
      </c>
      <c r="N376" s="62">
        <f t="shared" si="282"/>
        <v>-15256.271412909911</v>
      </c>
      <c r="O376" s="62">
        <f t="shared" si="282"/>
        <v>-15256.271412909911</v>
      </c>
      <c r="P376" s="62">
        <f t="shared" si="282"/>
        <v>-15256.271412909911</v>
      </c>
      <c r="Q376" s="62">
        <f t="shared" si="282"/>
        <v>-15256.271412909911</v>
      </c>
      <c r="R376" s="62">
        <f t="shared" si="282"/>
        <v>-15256.271412909911</v>
      </c>
      <c r="S376" s="62">
        <f t="shared" si="282"/>
        <v>-15256.271412909911</v>
      </c>
      <c r="T376" s="62">
        <f t="shared" si="282"/>
        <v>-15256.271412909911</v>
      </c>
      <c r="U376" s="62">
        <f t="shared" si="282"/>
        <v>-15256.271412909911</v>
      </c>
      <c r="V376" s="62">
        <f t="shared" si="282"/>
        <v>-15256.271412909911</v>
      </c>
      <c r="W376" s="62">
        <f t="shared" si="282"/>
        <v>-15256.271412909911</v>
      </c>
      <c r="X376" s="62">
        <f t="shared" si="282"/>
        <v>-15256.271412909911</v>
      </c>
      <c r="Y376" s="62">
        <f t="shared" si="282"/>
        <v>-15256.271412909911</v>
      </c>
      <c r="Z376" s="62">
        <f t="shared" si="282"/>
        <v>-15256.271412909911</v>
      </c>
      <c r="AA376" s="62">
        <f t="shared" si="282"/>
        <v>-15256.271412909911</v>
      </c>
      <c r="AB376" s="62">
        <f t="shared" si="282"/>
        <v>-15256.271412909911</v>
      </c>
      <c r="AC376" s="62">
        <f t="shared" si="282"/>
        <v>-15256.271412909911</v>
      </c>
    </row>
    <row r="377" spans="1:29" x14ac:dyDescent="0.3">
      <c r="A377" s="30" t="str">
        <f t="shared" ref="A377:AC377" si="283">A359</f>
        <v>Opex fix (admin, crew, insurance)</v>
      </c>
      <c r="B377" s="62">
        <f t="shared" si="283"/>
        <v>1450000</v>
      </c>
      <c r="C377" s="62">
        <f t="shared" si="283"/>
        <v>1450000</v>
      </c>
      <c r="D377" s="62">
        <f t="shared" si="283"/>
        <v>1450000</v>
      </c>
      <c r="E377" s="62">
        <f t="shared" si="283"/>
        <v>1450000</v>
      </c>
      <c r="F377" s="62">
        <f t="shared" si="283"/>
        <v>1450000</v>
      </c>
      <c r="G377" s="62">
        <f t="shared" si="283"/>
        <v>1450000</v>
      </c>
      <c r="H377" s="62">
        <f t="shared" si="283"/>
        <v>1450000</v>
      </c>
      <c r="I377" s="62">
        <f t="shared" si="283"/>
        <v>1450000</v>
      </c>
      <c r="J377" s="62">
        <f t="shared" si="283"/>
        <v>1450000</v>
      </c>
      <c r="K377" s="62">
        <f t="shared" si="283"/>
        <v>1450000</v>
      </c>
      <c r="L377" s="62">
        <f t="shared" si="283"/>
        <v>1450000</v>
      </c>
      <c r="M377" s="62">
        <f t="shared" si="283"/>
        <v>1450000</v>
      </c>
      <c r="N377" s="62">
        <f t="shared" si="283"/>
        <v>1450000</v>
      </c>
      <c r="O377" s="62">
        <f t="shared" si="283"/>
        <v>1450000</v>
      </c>
      <c r="P377" s="62">
        <f t="shared" si="283"/>
        <v>1450000</v>
      </c>
      <c r="Q377" s="62">
        <f t="shared" si="283"/>
        <v>1450000</v>
      </c>
      <c r="R377" s="62">
        <f t="shared" si="283"/>
        <v>1450000</v>
      </c>
      <c r="S377" s="62">
        <f t="shared" si="283"/>
        <v>1450000</v>
      </c>
      <c r="T377" s="62">
        <f t="shared" si="283"/>
        <v>1450000</v>
      </c>
      <c r="U377" s="62">
        <f t="shared" si="283"/>
        <v>1450000</v>
      </c>
      <c r="V377" s="62">
        <f t="shared" si="283"/>
        <v>1450000</v>
      </c>
      <c r="W377" s="62">
        <f t="shared" si="283"/>
        <v>1450000</v>
      </c>
      <c r="X377" s="62">
        <f t="shared" si="283"/>
        <v>1450000</v>
      </c>
      <c r="Y377" s="62">
        <f t="shared" si="283"/>
        <v>1450000</v>
      </c>
      <c r="Z377" s="62">
        <f t="shared" si="283"/>
        <v>1450000</v>
      </c>
      <c r="AA377" s="62">
        <f t="shared" si="283"/>
        <v>1450000</v>
      </c>
      <c r="AB377" s="62">
        <f t="shared" si="283"/>
        <v>1450000</v>
      </c>
      <c r="AC377" s="62">
        <f t="shared" si="283"/>
        <v>1450000</v>
      </c>
    </row>
    <row r="378" spans="1:29" x14ac:dyDescent="0.3">
      <c r="A378" s="30" t="str">
        <f t="shared" ref="A378:AC378" si="284">A360</f>
        <v>Opex maintenance &amp; repair</v>
      </c>
      <c r="B378" s="62">
        <f t="shared" si="284"/>
        <v>1050000</v>
      </c>
      <c r="C378" s="62">
        <f t="shared" si="284"/>
        <v>1050000</v>
      </c>
      <c r="D378" s="62">
        <f t="shared" si="284"/>
        <v>1050000</v>
      </c>
      <c r="E378" s="62">
        <f t="shared" si="284"/>
        <v>1050000</v>
      </c>
      <c r="F378" s="62">
        <f t="shared" si="284"/>
        <v>1050000</v>
      </c>
      <c r="G378" s="62">
        <f t="shared" si="284"/>
        <v>1050000</v>
      </c>
      <c r="H378" s="62">
        <f t="shared" si="284"/>
        <v>1050000</v>
      </c>
      <c r="I378" s="62">
        <f t="shared" si="284"/>
        <v>1050000</v>
      </c>
      <c r="J378" s="62">
        <f t="shared" si="284"/>
        <v>1050000</v>
      </c>
      <c r="K378" s="62">
        <f t="shared" si="284"/>
        <v>1050000</v>
      </c>
      <c r="L378" s="62">
        <f t="shared" si="284"/>
        <v>1050000</v>
      </c>
      <c r="M378" s="62">
        <f t="shared" si="284"/>
        <v>1050000</v>
      </c>
      <c r="N378" s="62">
        <f t="shared" si="284"/>
        <v>1050000</v>
      </c>
      <c r="O378" s="62">
        <f t="shared" si="284"/>
        <v>1050000</v>
      </c>
      <c r="P378" s="62">
        <f t="shared" si="284"/>
        <v>1050000</v>
      </c>
      <c r="Q378" s="62">
        <f t="shared" si="284"/>
        <v>1050000</v>
      </c>
      <c r="R378" s="62">
        <f t="shared" si="284"/>
        <v>1050000</v>
      </c>
      <c r="S378" s="62">
        <f t="shared" si="284"/>
        <v>1050000</v>
      </c>
      <c r="T378" s="62">
        <f t="shared" si="284"/>
        <v>1050000</v>
      </c>
      <c r="U378" s="62">
        <f t="shared" si="284"/>
        <v>1050000</v>
      </c>
      <c r="V378" s="62">
        <f t="shared" si="284"/>
        <v>1050000</v>
      </c>
      <c r="W378" s="62">
        <f t="shared" si="284"/>
        <v>1050000</v>
      </c>
      <c r="X378" s="62">
        <f t="shared" si="284"/>
        <v>1050000</v>
      </c>
      <c r="Y378" s="62">
        <f t="shared" si="284"/>
        <v>1050000</v>
      </c>
      <c r="Z378" s="62">
        <f t="shared" si="284"/>
        <v>1050000</v>
      </c>
      <c r="AA378" s="62">
        <f t="shared" si="284"/>
        <v>1050000</v>
      </c>
      <c r="AB378" s="62">
        <f t="shared" si="284"/>
        <v>1050000</v>
      </c>
      <c r="AC378" s="62">
        <f t="shared" si="284"/>
        <v>1050000</v>
      </c>
    </row>
    <row r="379" spans="1:29" x14ac:dyDescent="0.3">
      <c r="A379" s="30" t="str">
        <f>A361</f>
        <v>Opex var (mode-fees, shunting)</v>
      </c>
      <c r="B379" s="62">
        <f>B361*B370</f>
        <v>1600000</v>
      </c>
      <c r="C379" s="62">
        <f t="shared" ref="C379:AC379" si="285">C361*C370</f>
        <v>1600000</v>
      </c>
      <c r="D379" s="62">
        <f t="shared" si="285"/>
        <v>1600000</v>
      </c>
      <c r="E379" s="62">
        <f t="shared" si="285"/>
        <v>1600000</v>
      </c>
      <c r="F379" s="62">
        <f t="shared" si="285"/>
        <v>1600000</v>
      </c>
      <c r="G379" s="62">
        <f t="shared" si="285"/>
        <v>1600000</v>
      </c>
      <c r="H379" s="62">
        <f t="shared" si="285"/>
        <v>1600000</v>
      </c>
      <c r="I379" s="62">
        <f t="shared" si="285"/>
        <v>1600000</v>
      </c>
      <c r="J379" s="62">
        <f t="shared" si="285"/>
        <v>1600000</v>
      </c>
      <c r="K379" s="62">
        <f t="shared" si="285"/>
        <v>1600000</v>
      </c>
      <c r="L379" s="62">
        <f t="shared" si="285"/>
        <v>1600000</v>
      </c>
      <c r="M379" s="62">
        <f t="shared" si="285"/>
        <v>1600000</v>
      </c>
      <c r="N379" s="62">
        <f t="shared" si="285"/>
        <v>1600000</v>
      </c>
      <c r="O379" s="62">
        <f t="shared" si="285"/>
        <v>1600000</v>
      </c>
      <c r="P379" s="62">
        <f t="shared" si="285"/>
        <v>1600000</v>
      </c>
      <c r="Q379" s="62">
        <f t="shared" si="285"/>
        <v>1600000</v>
      </c>
      <c r="R379" s="62">
        <f t="shared" si="285"/>
        <v>1600000</v>
      </c>
      <c r="S379" s="62">
        <f t="shared" si="285"/>
        <v>1600000</v>
      </c>
      <c r="T379" s="62">
        <f t="shared" si="285"/>
        <v>1600000</v>
      </c>
      <c r="U379" s="62">
        <f t="shared" si="285"/>
        <v>1600000</v>
      </c>
      <c r="V379" s="62">
        <f t="shared" si="285"/>
        <v>1600000</v>
      </c>
      <c r="W379" s="62">
        <f t="shared" si="285"/>
        <v>1600000</v>
      </c>
      <c r="X379" s="62">
        <f t="shared" si="285"/>
        <v>1600000</v>
      </c>
      <c r="Y379" s="62">
        <f t="shared" si="285"/>
        <v>1600000</v>
      </c>
      <c r="Z379" s="62">
        <f t="shared" si="285"/>
        <v>1600000</v>
      </c>
      <c r="AA379" s="62">
        <f t="shared" si="285"/>
        <v>1600000</v>
      </c>
      <c r="AB379" s="62">
        <f t="shared" si="285"/>
        <v>1600000</v>
      </c>
      <c r="AC379" s="62">
        <f t="shared" si="285"/>
        <v>1600000</v>
      </c>
    </row>
    <row r="380" spans="1:29" x14ac:dyDescent="0.3">
      <c r="A380" s="30" t="str">
        <f>A363</f>
        <v>Fuel Cost</v>
      </c>
      <c r="B380" s="62">
        <f>B362*B363*B370</f>
        <v>1108185.1200000001</v>
      </c>
      <c r="C380" s="62">
        <f t="shared" ref="C380:AC380" si="286">C362*C363*C370</f>
        <v>1108185.1200000001</v>
      </c>
      <c r="D380" s="62">
        <f t="shared" si="286"/>
        <v>1108185.1200000001</v>
      </c>
      <c r="E380" s="62">
        <f t="shared" si="286"/>
        <v>1108185.1200000001</v>
      </c>
      <c r="F380" s="62">
        <f t="shared" si="286"/>
        <v>1108185.1200000001</v>
      </c>
      <c r="G380" s="62">
        <f t="shared" si="286"/>
        <v>1108185.1200000001</v>
      </c>
      <c r="H380" s="62">
        <f t="shared" si="286"/>
        <v>1108185.1200000001</v>
      </c>
      <c r="I380" s="62">
        <f t="shared" si="286"/>
        <v>1108185.1200000001</v>
      </c>
      <c r="J380" s="62">
        <f t="shared" si="286"/>
        <v>1108185.1200000001</v>
      </c>
      <c r="K380" s="62">
        <f t="shared" si="286"/>
        <v>1108185.1200000001</v>
      </c>
      <c r="L380" s="62">
        <f t="shared" si="286"/>
        <v>1108185.1200000001</v>
      </c>
      <c r="M380" s="62">
        <f t="shared" si="286"/>
        <v>1108185.1200000001</v>
      </c>
      <c r="N380" s="62">
        <f t="shared" si="286"/>
        <v>1108185.1200000001</v>
      </c>
      <c r="O380" s="62">
        <f t="shared" si="286"/>
        <v>1108185.1200000001</v>
      </c>
      <c r="P380" s="62">
        <f t="shared" si="286"/>
        <v>1108185.1200000001</v>
      </c>
      <c r="Q380" s="62">
        <f t="shared" si="286"/>
        <v>1108185.1200000001</v>
      </c>
      <c r="R380" s="62">
        <f t="shared" si="286"/>
        <v>1108185.1200000001</v>
      </c>
      <c r="S380" s="62">
        <f t="shared" si="286"/>
        <v>1108185.1200000001</v>
      </c>
      <c r="T380" s="62">
        <f t="shared" si="286"/>
        <v>1108185.1200000001</v>
      </c>
      <c r="U380" s="62">
        <f t="shared" si="286"/>
        <v>1108185.1200000001</v>
      </c>
      <c r="V380" s="62">
        <f t="shared" si="286"/>
        <v>1108185.1200000001</v>
      </c>
      <c r="W380" s="62">
        <f t="shared" si="286"/>
        <v>1108185.1200000001</v>
      </c>
      <c r="X380" s="62">
        <f t="shared" si="286"/>
        <v>1108185.1200000001</v>
      </c>
      <c r="Y380" s="62">
        <f t="shared" si="286"/>
        <v>1108185.1200000001</v>
      </c>
      <c r="Z380" s="62">
        <f t="shared" si="286"/>
        <v>1108185.1200000001</v>
      </c>
      <c r="AA380" s="62">
        <f t="shared" si="286"/>
        <v>1108185.1200000001</v>
      </c>
      <c r="AB380" s="62">
        <f t="shared" si="286"/>
        <v>1108185.1200000001</v>
      </c>
      <c r="AC380" s="62">
        <f t="shared" si="286"/>
        <v>1108185.1200000001</v>
      </c>
    </row>
    <row r="381" spans="1:29" ht="15" thickBot="1" x14ac:dyDescent="0.35">
      <c r="A381" s="59" t="str">
        <f>A344</f>
        <v>Emission Cost</v>
      </c>
      <c r="B381" s="62">
        <f>B364*B370</f>
        <v>297076.12650833098</v>
      </c>
      <c r="C381" s="62">
        <f t="shared" ref="C381:AC381" si="287">C364*C370</f>
        <v>297777.94199366053</v>
      </c>
      <c r="D381" s="62">
        <f t="shared" si="287"/>
        <v>298782.5752292301</v>
      </c>
      <c r="E381" s="62">
        <f t="shared" si="287"/>
        <v>300219.7737216797</v>
      </c>
      <c r="F381" s="62">
        <f t="shared" si="287"/>
        <v>302273.84750098281</v>
      </c>
      <c r="G381" s="62">
        <f t="shared" si="287"/>
        <v>305205.45468780003</v>
      </c>
      <c r="H381" s="62">
        <f t="shared" si="287"/>
        <v>309380.78252379573</v>
      </c>
      <c r="I381" s="62">
        <f t="shared" si="287"/>
        <v>315309.1495101981</v>
      </c>
      <c r="J381" s="62">
        <f t="shared" si="287"/>
        <v>323688.32656578312</v>
      </c>
      <c r="K381" s="62">
        <f t="shared" si="287"/>
        <v>335452.53997894813</v>
      </c>
      <c r="L381" s="62">
        <f t="shared" si="287"/>
        <v>351809.06716495787</v>
      </c>
      <c r="M381" s="62">
        <f t="shared" si="287"/>
        <v>374233.25403807813</v>
      </c>
      <c r="N381" s="62">
        <f t="shared" si="287"/>
        <v>404368.95831683179</v>
      </c>
      <c r="O381" s="62">
        <f t="shared" si="287"/>
        <v>443762.14559907379</v>
      </c>
      <c r="P381" s="62">
        <f t="shared" si="287"/>
        <v>493371.20666820335</v>
      </c>
      <c r="Q381" s="62">
        <f t="shared" si="287"/>
        <v>552900.65592283802</v>
      </c>
      <c r="R381" s="62">
        <f t="shared" si="287"/>
        <v>620214.98877792771</v>
      </c>
      <c r="S381" s="62">
        <f t="shared" si="287"/>
        <v>691278.45378928771</v>
      </c>
      <c r="T381" s="62">
        <f t="shared" si="287"/>
        <v>760943.5227297073</v>
      </c>
      <c r="U381" s="62">
        <f t="shared" si="287"/>
        <v>824361.06894091319</v>
      </c>
      <c r="V381" s="62">
        <f t="shared" si="287"/>
        <v>878256.95238819218</v>
      </c>
      <c r="W381" s="62">
        <f t="shared" si="287"/>
        <v>921417.90282360604</v>
      </c>
      <c r="X381" s="62">
        <f t="shared" si="287"/>
        <v>954351.62362550874</v>
      </c>
      <c r="Y381" s="62">
        <f t="shared" si="287"/>
        <v>978560.54970313353</v>
      </c>
      <c r="Z381" s="62">
        <f t="shared" si="287"/>
        <v>995869.58162622747</v>
      </c>
      <c r="AA381" s="62">
        <f t="shared" si="287"/>
        <v>1008000.6568125312</v>
      </c>
      <c r="AB381" s="62">
        <f t="shared" si="287"/>
        <v>1016383.9754004205</v>
      </c>
      <c r="AC381" s="62">
        <f t="shared" si="287"/>
        <v>1022121.0980669021</v>
      </c>
    </row>
    <row r="382" spans="1:29" ht="15" thickBot="1" x14ac:dyDescent="0.35">
      <c r="A382" s="31" t="s">
        <v>209</v>
      </c>
      <c r="B382" s="64">
        <f>B373+B374+B375+B376+B377+B378+B379+B380+B381</f>
        <v>6054907.3182661626</v>
      </c>
      <c r="C382" s="64">
        <f t="shared" ref="C382:AC382" si="288">C373+C374+C375+C376+C377+C378+C379+C380+C381</f>
        <v>6055781.6255536145</v>
      </c>
      <c r="D382" s="64">
        <f t="shared" si="288"/>
        <v>6057031.172421189</v>
      </c>
      <c r="E382" s="64">
        <f t="shared" si="288"/>
        <v>6058814.5327977808</v>
      </c>
      <c r="F382" s="64">
        <f t="shared" si="288"/>
        <v>6061354.6116171414</v>
      </c>
      <c r="G382" s="64">
        <f t="shared" si="288"/>
        <v>6064961.9422349315</v>
      </c>
      <c r="H382" s="64">
        <f t="shared" si="288"/>
        <v>6070063.6616159268</v>
      </c>
      <c r="I382" s="64">
        <f t="shared" si="288"/>
        <v>6077236.9995707041</v>
      </c>
      <c r="J382" s="64">
        <f t="shared" si="288"/>
        <v>6087243.5941926586</v>
      </c>
      <c r="K382" s="64">
        <f t="shared" si="288"/>
        <v>6101057.2649613936</v>
      </c>
      <c r="L382" s="64">
        <f t="shared" si="288"/>
        <v>6119873.0821444057</v>
      </c>
      <c r="M382" s="64">
        <f t="shared" si="288"/>
        <v>6145078.1693537161</v>
      </c>
      <c r="N382" s="64">
        <f t="shared" si="288"/>
        <v>6178149.6587076383</v>
      </c>
      <c r="O382" s="64">
        <f t="shared" si="288"/>
        <v>6220420.8603060022</v>
      </c>
      <c r="P382" s="64">
        <f t="shared" si="288"/>
        <v>6272649.8370468607</v>
      </c>
      <c r="Q382" s="64">
        <f t="shared" si="288"/>
        <v>6334405.8415392991</v>
      </c>
      <c r="R382" s="64">
        <f t="shared" si="288"/>
        <v>6403503.24638642</v>
      </c>
      <c r="S382" s="64">
        <f t="shared" si="288"/>
        <v>6475927.2744660806</v>
      </c>
      <c r="T382" s="64">
        <f t="shared" si="288"/>
        <v>6546592.4663790185</v>
      </c>
      <c r="U382" s="64">
        <f t="shared" si="288"/>
        <v>6610725.0860471306</v>
      </c>
      <c r="V382" s="64">
        <f t="shared" si="288"/>
        <v>6665122.1303859036</v>
      </c>
      <c r="W382" s="64">
        <f t="shared" si="288"/>
        <v>6708629.4138010945</v>
      </c>
      <c r="X382" s="64">
        <f t="shared" si="288"/>
        <v>6741800.1475194935</v>
      </c>
      <c r="Y382" s="64">
        <f t="shared" si="288"/>
        <v>6766170.1907497812</v>
      </c>
      <c r="Z382" s="64">
        <f t="shared" si="288"/>
        <v>6783588.2488572653</v>
      </c>
      <c r="AA382" s="64">
        <f t="shared" si="288"/>
        <v>6795792.8732213853</v>
      </c>
      <c r="AB382" s="64">
        <f t="shared" si="288"/>
        <v>6804225.7047504187</v>
      </c>
      <c r="AC382" s="64">
        <f t="shared" si="288"/>
        <v>6809996.1124726422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89">A373</f>
        <v>Capex vehicle</v>
      </c>
      <c r="B385" s="65">
        <f>((1+B358)^B365)*B358/(((1+B358)^B365)-1)*(B354)/B370</f>
        <v>1.7095011171931649</v>
      </c>
      <c r="C385" s="65">
        <f t="shared" ref="C385:AC385" si="290">((1+C358)^C365)*C358/(((1+C358)^C365)-1)*(C354)/C370</f>
        <v>1.7095011171931649</v>
      </c>
      <c r="D385" s="65">
        <f t="shared" si="290"/>
        <v>1.7095011171931649</v>
      </c>
      <c r="E385" s="65">
        <f t="shared" si="290"/>
        <v>1.7095011171931649</v>
      </c>
      <c r="F385" s="65">
        <f t="shared" si="290"/>
        <v>1.7095011171931649</v>
      </c>
      <c r="G385" s="65">
        <f t="shared" si="290"/>
        <v>1.7095011171931649</v>
      </c>
      <c r="H385" s="65">
        <f t="shared" si="290"/>
        <v>1.7095011171931649</v>
      </c>
      <c r="I385" s="65">
        <f t="shared" si="290"/>
        <v>1.7095011171931649</v>
      </c>
      <c r="J385" s="65">
        <f t="shared" si="290"/>
        <v>1.7095011171931649</v>
      </c>
      <c r="K385" s="65">
        <f t="shared" si="290"/>
        <v>1.7095011171931649</v>
      </c>
      <c r="L385" s="65">
        <f t="shared" si="290"/>
        <v>1.7095011171931649</v>
      </c>
      <c r="M385" s="65">
        <f t="shared" si="290"/>
        <v>1.7095011171931649</v>
      </c>
      <c r="N385" s="65">
        <f t="shared" si="290"/>
        <v>1.7095011171931649</v>
      </c>
      <c r="O385" s="65">
        <f t="shared" si="290"/>
        <v>1.7095011171931649</v>
      </c>
      <c r="P385" s="65">
        <f t="shared" si="290"/>
        <v>1.7095011171931649</v>
      </c>
      <c r="Q385" s="65">
        <f t="shared" si="290"/>
        <v>1.7095011171931649</v>
      </c>
      <c r="R385" s="65">
        <f t="shared" si="290"/>
        <v>1.7095011171931649</v>
      </c>
      <c r="S385" s="65">
        <f t="shared" si="290"/>
        <v>1.7095011171931649</v>
      </c>
      <c r="T385" s="65">
        <f t="shared" si="290"/>
        <v>1.7095011171931649</v>
      </c>
      <c r="U385" s="65">
        <f t="shared" si="290"/>
        <v>1.7095011171931649</v>
      </c>
      <c r="V385" s="65">
        <f t="shared" si="290"/>
        <v>1.7095011171931649</v>
      </c>
      <c r="W385" s="65">
        <f t="shared" si="290"/>
        <v>1.7095011171931649</v>
      </c>
      <c r="X385" s="65">
        <f t="shared" si="290"/>
        <v>1.7095011171931649</v>
      </c>
      <c r="Y385" s="65">
        <f t="shared" si="290"/>
        <v>1.7095011171931649</v>
      </c>
      <c r="Z385" s="65">
        <f t="shared" si="290"/>
        <v>1.7095011171931649</v>
      </c>
      <c r="AA385" s="65">
        <f t="shared" si="290"/>
        <v>1.7095011171931649</v>
      </c>
      <c r="AB385" s="65">
        <f t="shared" si="290"/>
        <v>1.7095011171931649</v>
      </c>
      <c r="AC385" s="65">
        <f t="shared" si="290"/>
        <v>1.7095011171931649</v>
      </c>
    </row>
    <row r="386" spans="1:29" x14ac:dyDescent="0.3">
      <c r="A386" s="30" t="str">
        <f t="shared" si="289"/>
        <v>Residual value (vehicle)</v>
      </c>
      <c r="B386" s="66">
        <f>((1+B358)^B365)*B358/(((1+B358)^B365)-1)*(B355)/B370</f>
        <v>-0.25416826054025926</v>
      </c>
      <c r="C386" s="66">
        <f t="shared" ref="C386:AC386" si="291">((1+C358)^C365)*C358/(((1+C358)^C365)-1)*(C355)/C370</f>
        <v>-0.2532019199121241</v>
      </c>
      <c r="D386" s="66">
        <f t="shared" si="291"/>
        <v>-0.25182985474682912</v>
      </c>
      <c r="E386" s="66">
        <f t="shared" si="291"/>
        <v>-0.24989057248272897</v>
      </c>
      <c r="F386" s="66">
        <f t="shared" si="291"/>
        <v>-0.24716785517148263</v>
      </c>
      <c r="G386" s="66">
        <f t="shared" si="291"/>
        <v>-0.2433822897318601</v>
      </c>
      <c r="H386" s="66">
        <f t="shared" si="291"/>
        <v>-0.23819242113242242</v>
      </c>
      <c r="I386" s="66">
        <f t="shared" si="291"/>
        <v>-0.23121779385861393</v>
      </c>
      <c r="J386" s="66">
        <f t="shared" si="291"/>
        <v>-0.22210060861284955</v>
      </c>
      <c r="K386" s="66">
        <f t="shared" si="291"/>
        <v>-0.21061905480012771</v>
      </c>
      <c r="L386" s="66">
        <f t="shared" si="291"/>
        <v>-0.19684151980291528</v>
      </c>
      <c r="M386" s="66">
        <f t="shared" si="291"/>
        <v>-0.18126224621081494</v>
      </c>
      <c r="N386" s="66">
        <f t="shared" si="291"/>
        <v>-0.16481527099978574</v>
      </c>
      <c r="O386" s="66">
        <f t="shared" si="291"/>
        <v>-0.14869194149770532</v>
      </c>
      <c r="P386" s="66">
        <f t="shared" si="291"/>
        <v>-0.13401454277653033</v>
      </c>
      <c r="Q386" s="66">
        <f t="shared" si="291"/>
        <v>-0.12154084396530274</v>
      </c>
      <c r="R386" s="66">
        <f t="shared" si="291"/>
        <v>-0.11155164513039878</v>
      </c>
      <c r="S386" s="66">
        <f t="shared" si="291"/>
        <v>-0.10392944306708454</v>
      </c>
      <c r="T386" s="66">
        <f t="shared" si="291"/>
        <v>-9.8326513249059416E-2</v>
      </c>
      <c r="U386" s="66">
        <f t="shared" si="291"/>
        <v>-9.4320499484876544E-2</v>
      </c>
      <c r="V386" s="66">
        <f t="shared" si="291"/>
        <v>-9.1512875442896963E-2</v>
      </c>
      <c r="W386" s="66">
        <f t="shared" si="291"/>
        <v>-8.9572634659828843E-2</v>
      </c>
      <c r="X386" s="66">
        <f t="shared" si="291"/>
        <v>-8.8244831206068547E-2</v>
      </c>
      <c r="Y386" s="66">
        <f t="shared" si="291"/>
        <v>-8.734221410431782E-2</v>
      </c>
      <c r="Z386" s="66">
        <f t="shared" si="291"/>
        <v>-8.6731423155348999E-2</v>
      </c>
      <c r="AA386" s="66">
        <f t="shared" si="291"/>
        <v>-8.631938294349642E-2</v>
      </c>
      <c r="AB386" s="66">
        <f t="shared" si="291"/>
        <v>-8.6041999519719331E-2</v>
      </c>
      <c r="AC386" s="66">
        <f t="shared" si="291"/>
        <v>-8.5855528619202287E-2</v>
      </c>
    </row>
    <row r="387" spans="1:29" x14ac:dyDescent="0.3">
      <c r="A387" s="30" t="str">
        <f t="shared" si="289"/>
        <v>Capex costumization</v>
      </c>
      <c r="B387" s="66">
        <f>((1+B358)^B366)*B358/(((1+B358)^B366)-1)*(B356)/B370</f>
        <v>1.7093861527069927</v>
      </c>
      <c r="C387" s="66">
        <f t="shared" ref="C387:AC387" si="292">((1+C358)^C366)*C358/(((1+C358)^C366)-1)*(C356)/C370</f>
        <v>1.7093861527069927</v>
      </c>
      <c r="D387" s="66">
        <f t="shared" si="292"/>
        <v>1.7093861527069927</v>
      </c>
      <c r="E387" s="66">
        <f t="shared" si="292"/>
        <v>1.7093861527069927</v>
      </c>
      <c r="F387" s="66">
        <f t="shared" si="292"/>
        <v>1.7093861527069927</v>
      </c>
      <c r="G387" s="66">
        <f t="shared" si="292"/>
        <v>1.7093861527069927</v>
      </c>
      <c r="H387" s="66">
        <f t="shared" si="292"/>
        <v>1.7093861527069927</v>
      </c>
      <c r="I387" s="66">
        <f t="shared" si="292"/>
        <v>1.7093861527069927</v>
      </c>
      <c r="J387" s="66">
        <f t="shared" si="292"/>
        <v>1.7093861527069927</v>
      </c>
      <c r="K387" s="66">
        <f t="shared" si="292"/>
        <v>1.7093861527069927</v>
      </c>
      <c r="L387" s="66">
        <f t="shared" si="292"/>
        <v>1.7093861527069927</v>
      </c>
      <c r="M387" s="66">
        <f t="shared" si="292"/>
        <v>1.7093861527069927</v>
      </c>
      <c r="N387" s="66">
        <f t="shared" si="292"/>
        <v>1.7093861527069927</v>
      </c>
      <c r="O387" s="66">
        <f t="shared" si="292"/>
        <v>1.7093861527069927</v>
      </c>
      <c r="P387" s="66">
        <f t="shared" si="292"/>
        <v>1.7093861527069927</v>
      </c>
      <c r="Q387" s="66">
        <f t="shared" si="292"/>
        <v>1.7093861527069927</v>
      </c>
      <c r="R387" s="66">
        <f t="shared" si="292"/>
        <v>1.7093861527069927</v>
      </c>
      <c r="S387" s="66">
        <f t="shared" si="292"/>
        <v>1.7093861527069927</v>
      </c>
      <c r="T387" s="66">
        <f t="shared" si="292"/>
        <v>1.7093861527069927</v>
      </c>
      <c r="U387" s="66">
        <f t="shared" si="292"/>
        <v>1.7093861527069927</v>
      </c>
      <c r="V387" s="66">
        <f t="shared" si="292"/>
        <v>1.7093861527069927</v>
      </c>
      <c r="W387" s="66">
        <f t="shared" si="292"/>
        <v>1.7093861527069927</v>
      </c>
      <c r="X387" s="66">
        <f t="shared" si="292"/>
        <v>1.7093861527069927</v>
      </c>
      <c r="Y387" s="66">
        <f t="shared" si="292"/>
        <v>1.7093861527069927</v>
      </c>
      <c r="Z387" s="66">
        <f t="shared" si="292"/>
        <v>1.7093861527069927</v>
      </c>
      <c r="AA387" s="66">
        <f t="shared" si="292"/>
        <v>1.7093861527069927</v>
      </c>
      <c r="AB387" s="66">
        <f t="shared" si="292"/>
        <v>1.7093861527069927</v>
      </c>
      <c r="AC387" s="66">
        <f t="shared" si="292"/>
        <v>1.7093861527069927</v>
      </c>
    </row>
    <row r="388" spans="1:29" x14ac:dyDescent="0.3">
      <c r="A388" s="30" t="str">
        <f t="shared" si="289"/>
        <v>Residual value (costumization)</v>
      </c>
      <c r="B388" s="66">
        <f>((1+B358)^B366)*B358/(((1+B358)^B366)-1)*(B357)/B370</f>
        <v>-8.5469307635349642E-2</v>
      </c>
      <c r="C388" s="66">
        <f t="shared" ref="C388:AC388" si="293">((1+C358)^C366)*C358/(((1+C358)^C366)-1)*(C357)/C370</f>
        <v>-8.5469307635349642E-2</v>
      </c>
      <c r="D388" s="66">
        <f t="shared" si="293"/>
        <v>-8.5469307635349642E-2</v>
      </c>
      <c r="E388" s="66">
        <f t="shared" si="293"/>
        <v>-8.5469307635349642E-2</v>
      </c>
      <c r="F388" s="66">
        <f t="shared" si="293"/>
        <v>-8.5469307635349642E-2</v>
      </c>
      <c r="G388" s="66">
        <f t="shared" si="293"/>
        <v>-8.5469307635349642E-2</v>
      </c>
      <c r="H388" s="66">
        <f t="shared" si="293"/>
        <v>-8.5469307635349642E-2</v>
      </c>
      <c r="I388" s="66">
        <f t="shared" si="293"/>
        <v>-8.5469307635349642E-2</v>
      </c>
      <c r="J388" s="66">
        <f t="shared" si="293"/>
        <v>-8.5469307635349642E-2</v>
      </c>
      <c r="K388" s="66">
        <f t="shared" si="293"/>
        <v>-8.5469307635349642E-2</v>
      </c>
      <c r="L388" s="66">
        <f t="shared" si="293"/>
        <v>-8.5469307635349642E-2</v>
      </c>
      <c r="M388" s="66">
        <f t="shared" si="293"/>
        <v>-8.5469307635349642E-2</v>
      </c>
      <c r="N388" s="66">
        <f t="shared" si="293"/>
        <v>-8.5469307635349642E-2</v>
      </c>
      <c r="O388" s="66">
        <f t="shared" si="293"/>
        <v>-8.5469307635349642E-2</v>
      </c>
      <c r="P388" s="66">
        <f t="shared" si="293"/>
        <v>-8.5469307635349642E-2</v>
      </c>
      <c r="Q388" s="66">
        <f t="shared" si="293"/>
        <v>-8.5469307635349642E-2</v>
      </c>
      <c r="R388" s="66">
        <f t="shared" si="293"/>
        <v>-8.5469307635349642E-2</v>
      </c>
      <c r="S388" s="66">
        <f t="shared" si="293"/>
        <v>-8.5469307635349642E-2</v>
      </c>
      <c r="T388" s="66">
        <f t="shared" si="293"/>
        <v>-8.5469307635349642E-2</v>
      </c>
      <c r="U388" s="66">
        <f t="shared" si="293"/>
        <v>-8.5469307635349642E-2</v>
      </c>
      <c r="V388" s="66">
        <f t="shared" si="293"/>
        <v>-8.5469307635349642E-2</v>
      </c>
      <c r="W388" s="66">
        <f t="shared" si="293"/>
        <v>-8.5469307635349642E-2</v>
      </c>
      <c r="X388" s="66">
        <f t="shared" si="293"/>
        <v>-8.5469307635349642E-2</v>
      </c>
      <c r="Y388" s="66">
        <f t="shared" si="293"/>
        <v>-8.5469307635349642E-2</v>
      </c>
      <c r="Z388" s="66">
        <f t="shared" si="293"/>
        <v>-8.5469307635349642E-2</v>
      </c>
      <c r="AA388" s="66">
        <f t="shared" si="293"/>
        <v>-8.5469307635349642E-2</v>
      </c>
      <c r="AB388" s="66">
        <f t="shared" si="293"/>
        <v>-8.5469307635349642E-2</v>
      </c>
      <c r="AC388" s="66">
        <f t="shared" si="293"/>
        <v>-8.5469307635349642E-2</v>
      </c>
    </row>
    <row r="389" spans="1:29" x14ac:dyDescent="0.3">
      <c r="A389" s="30" t="str">
        <f t="shared" si="289"/>
        <v>Opex fix (admin, crew, insurance)</v>
      </c>
      <c r="B389" s="66">
        <f>B359/B370</f>
        <v>8.1232492997198875</v>
      </c>
      <c r="C389" s="66">
        <f t="shared" ref="C389:AC389" si="294">C359/C370</f>
        <v>8.1232492997198875</v>
      </c>
      <c r="D389" s="66">
        <f t="shared" si="294"/>
        <v>8.1232492997198875</v>
      </c>
      <c r="E389" s="66">
        <f t="shared" si="294"/>
        <v>8.1232492997198875</v>
      </c>
      <c r="F389" s="66">
        <f t="shared" si="294"/>
        <v>8.1232492997198875</v>
      </c>
      <c r="G389" s="66">
        <f t="shared" si="294"/>
        <v>8.1232492997198875</v>
      </c>
      <c r="H389" s="66">
        <f t="shared" si="294"/>
        <v>8.1232492997198875</v>
      </c>
      <c r="I389" s="66">
        <f t="shared" si="294"/>
        <v>8.1232492997198875</v>
      </c>
      <c r="J389" s="66">
        <f t="shared" si="294"/>
        <v>8.1232492997198875</v>
      </c>
      <c r="K389" s="66">
        <f t="shared" si="294"/>
        <v>8.1232492997198875</v>
      </c>
      <c r="L389" s="66">
        <f t="shared" si="294"/>
        <v>8.1232492997198875</v>
      </c>
      <c r="M389" s="66">
        <f t="shared" si="294"/>
        <v>8.1232492997198875</v>
      </c>
      <c r="N389" s="66">
        <f t="shared" si="294"/>
        <v>8.1232492997198875</v>
      </c>
      <c r="O389" s="66">
        <f t="shared" si="294"/>
        <v>8.1232492997198875</v>
      </c>
      <c r="P389" s="66">
        <f t="shared" si="294"/>
        <v>8.1232492997198875</v>
      </c>
      <c r="Q389" s="66">
        <f t="shared" si="294"/>
        <v>8.1232492997198875</v>
      </c>
      <c r="R389" s="66">
        <f t="shared" si="294"/>
        <v>8.1232492997198875</v>
      </c>
      <c r="S389" s="66">
        <f t="shared" si="294"/>
        <v>8.1232492997198875</v>
      </c>
      <c r="T389" s="66">
        <f t="shared" si="294"/>
        <v>8.1232492997198875</v>
      </c>
      <c r="U389" s="66">
        <f t="shared" si="294"/>
        <v>8.1232492997198875</v>
      </c>
      <c r="V389" s="66">
        <f t="shared" si="294"/>
        <v>8.1232492997198875</v>
      </c>
      <c r="W389" s="66">
        <f t="shared" si="294"/>
        <v>8.1232492997198875</v>
      </c>
      <c r="X389" s="66">
        <f t="shared" si="294"/>
        <v>8.1232492997198875</v>
      </c>
      <c r="Y389" s="66">
        <f t="shared" si="294"/>
        <v>8.1232492997198875</v>
      </c>
      <c r="Z389" s="66">
        <f t="shared" si="294"/>
        <v>8.1232492997198875</v>
      </c>
      <c r="AA389" s="66">
        <f t="shared" si="294"/>
        <v>8.1232492997198875</v>
      </c>
      <c r="AB389" s="66">
        <f t="shared" si="294"/>
        <v>8.1232492997198875</v>
      </c>
      <c r="AC389" s="66">
        <f t="shared" si="294"/>
        <v>8.1232492997198875</v>
      </c>
    </row>
    <row r="390" spans="1:29" x14ac:dyDescent="0.3">
      <c r="A390" s="30" t="str">
        <f t="shared" si="289"/>
        <v>Opex maintenance &amp; repair</v>
      </c>
      <c r="B390" s="66">
        <f>B360/B370</f>
        <v>5.882352941176471</v>
      </c>
      <c r="C390" s="66">
        <f t="shared" ref="C390:AC390" si="295">C360/C370</f>
        <v>5.882352941176471</v>
      </c>
      <c r="D390" s="66">
        <f t="shared" si="295"/>
        <v>5.882352941176471</v>
      </c>
      <c r="E390" s="66">
        <f t="shared" si="295"/>
        <v>5.882352941176471</v>
      </c>
      <c r="F390" s="66">
        <f t="shared" si="295"/>
        <v>5.882352941176471</v>
      </c>
      <c r="G390" s="66">
        <f t="shared" si="295"/>
        <v>5.882352941176471</v>
      </c>
      <c r="H390" s="66">
        <f t="shared" si="295"/>
        <v>5.882352941176471</v>
      </c>
      <c r="I390" s="66">
        <f t="shared" si="295"/>
        <v>5.882352941176471</v>
      </c>
      <c r="J390" s="66">
        <f t="shared" si="295"/>
        <v>5.882352941176471</v>
      </c>
      <c r="K390" s="66">
        <f t="shared" si="295"/>
        <v>5.882352941176471</v>
      </c>
      <c r="L390" s="66">
        <f t="shared" si="295"/>
        <v>5.882352941176471</v>
      </c>
      <c r="M390" s="66">
        <f t="shared" si="295"/>
        <v>5.882352941176471</v>
      </c>
      <c r="N390" s="66">
        <f t="shared" si="295"/>
        <v>5.882352941176471</v>
      </c>
      <c r="O390" s="66">
        <f t="shared" si="295"/>
        <v>5.882352941176471</v>
      </c>
      <c r="P390" s="66">
        <f t="shared" si="295"/>
        <v>5.882352941176471</v>
      </c>
      <c r="Q390" s="66">
        <f t="shared" si="295"/>
        <v>5.882352941176471</v>
      </c>
      <c r="R390" s="66">
        <f t="shared" si="295"/>
        <v>5.882352941176471</v>
      </c>
      <c r="S390" s="66">
        <f t="shared" si="295"/>
        <v>5.882352941176471</v>
      </c>
      <c r="T390" s="66">
        <f t="shared" si="295"/>
        <v>5.882352941176471</v>
      </c>
      <c r="U390" s="66">
        <f t="shared" si="295"/>
        <v>5.882352941176471</v>
      </c>
      <c r="V390" s="66">
        <f t="shared" si="295"/>
        <v>5.882352941176471</v>
      </c>
      <c r="W390" s="66">
        <f t="shared" si="295"/>
        <v>5.882352941176471</v>
      </c>
      <c r="X390" s="66">
        <f t="shared" si="295"/>
        <v>5.882352941176471</v>
      </c>
      <c r="Y390" s="66">
        <f t="shared" si="295"/>
        <v>5.882352941176471</v>
      </c>
      <c r="Z390" s="66">
        <f t="shared" si="295"/>
        <v>5.882352941176471</v>
      </c>
      <c r="AA390" s="66">
        <f t="shared" si="295"/>
        <v>5.882352941176471</v>
      </c>
      <c r="AB390" s="66">
        <f t="shared" si="295"/>
        <v>5.882352941176471</v>
      </c>
      <c r="AC390" s="66">
        <f t="shared" si="295"/>
        <v>5.882352941176471</v>
      </c>
    </row>
    <row r="391" spans="1:29" x14ac:dyDescent="0.3">
      <c r="A391" s="30" t="str">
        <f t="shared" si="289"/>
        <v>Opex var (mode-fees, shunting)</v>
      </c>
      <c r="B391" s="66">
        <f>B361*B370/B370</f>
        <v>8.9635854341736696</v>
      </c>
      <c r="C391" s="66">
        <f t="shared" ref="C391:AC391" si="296">C361*C370/C370</f>
        <v>8.9635854341736696</v>
      </c>
      <c r="D391" s="66">
        <f t="shared" si="296"/>
        <v>8.9635854341736696</v>
      </c>
      <c r="E391" s="66">
        <f t="shared" si="296"/>
        <v>8.9635854341736696</v>
      </c>
      <c r="F391" s="66">
        <f t="shared" si="296"/>
        <v>8.9635854341736696</v>
      </c>
      <c r="G391" s="66">
        <f t="shared" si="296"/>
        <v>8.9635854341736696</v>
      </c>
      <c r="H391" s="66">
        <f t="shared" si="296"/>
        <v>8.9635854341736696</v>
      </c>
      <c r="I391" s="66">
        <f t="shared" si="296"/>
        <v>8.9635854341736696</v>
      </c>
      <c r="J391" s="66">
        <f t="shared" si="296"/>
        <v>8.9635854341736696</v>
      </c>
      <c r="K391" s="66">
        <f t="shared" si="296"/>
        <v>8.9635854341736696</v>
      </c>
      <c r="L391" s="66">
        <f t="shared" si="296"/>
        <v>8.9635854341736696</v>
      </c>
      <c r="M391" s="66">
        <f t="shared" si="296"/>
        <v>8.9635854341736696</v>
      </c>
      <c r="N391" s="66">
        <f t="shared" si="296"/>
        <v>8.9635854341736696</v>
      </c>
      <c r="O391" s="66">
        <f t="shared" si="296"/>
        <v>8.9635854341736696</v>
      </c>
      <c r="P391" s="66">
        <f t="shared" si="296"/>
        <v>8.9635854341736696</v>
      </c>
      <c r="Q391" s="66">
        <f t="shared" si="296"/>
        <v>8.9635854341736696</v>
      </c>
      <c r="R391" s="66">
        <f t="shared" si="296"/>
        <v>8.9635854341736696</v>
      </c>
      <c r="S391" s="66">
        <f t="shared" si="296"/>
        <v>8.9635854341736696</v>
      </c>
      <c r="T391" s="66">
        <f t="shared" si="296"/>
        <v>8.9635854341736696</v>
      </c>
      <c r="U391" s="66">
        <f t="shared" si="296"/>
        <v>8.9635854341736696</v>
      </c>
      <c r="V391" s="66">
        <f t="shared" si="296"/>
        <v>8.9635854341736696</v>
      </c>
      <c r="W391" s="66">
        <f t="shared" si="296"/>
        <v>8.9635854341736696</v>
      </c>
      <c r="X391" s="66">
        <f t="shared" si="296"/>
        <v>8.9635854341736696</v>
      </c>
      <c r="Y391" s="66">
        <f t="shared" si="296"/>
        <v>8.9635854341736696</v>
      </c>
      <c r="Z391" s="66">
        <f t="shared" si="296"/>
        <v>8.9635854341736696</v>
      </c>
      <c r="AA391" s="66">
        <f t="shared" si="296"/>
        <v>8.9635854341736696</v>
      </c>
      <c r="AB391" s="66">
        <f t="shared" si="296"/>
        <v>8.9635854341736696</v>
      </c>
      <c r="AC391" s="66">
        <f t="shared" si="296"/>
        <v>8.9635854341736696</v>
      </c>
    </row>
    <row r="392" spans="1:29" x14ac:dyDescent="0.3">
      <c r="A392" s="30" t="str">
        <f t="shared" si="289"/>
        <v>Fuel Cost</v>
      </c>
      <c r="B392" s="66">
        <f>B362*B363*B370/B370</f>
        <v>6.2083200000000005</v>
      </c>
      <c r="C392" s="66">
        <f t="shared" ref="C392:AC392" si="297">C362*C363*C370/C370</f>
        <v>6.2083200000000005</v>
      </c>
      <c r="D392" s="66">
        <f t="shared" si="297"/>
        <v>6.2083200000000005</v>
      </c>
      <c r="E392" s="66">
        <f t="shared" si="297"/>
        <v>6.2083200000000005</v>
      </c>
      <c r="F392" s="66">
        <f t="shared" si="297"/>
        <v>6.2083200000000005</v>
      </c>
      <c r="G392" s="66">
        <f t="shared" si="297"/>
        <v>6.2083200000000005</v>
      </c>
      <c r="H392" s="66">
        <f t="shared" si="297"/>
        <v>6.2083200000000005</v>
      </c>
      <c r="I392" s="66">
        <f t="shared" si="297"/>
        <v>6.2083200000000005</v>
      </c>
      <c r="J392" s="66">
        <f t="shared" si="297"/>
        <v>6.2083200000000005</v>
      </c>
      <c r="K392" s="66">
        <f t="shared" si="297"/>
        <v>6.2083200000000005</v>
      </c>
      <c r="L392" s="66">
        <f t="shared" si="297"/>
        <v>6.2083200000000005</v>
      </c>
      <c r="M392" s="66">
        <f t="shared" si="297"/>
        <v>6.2083200000000005</v>
      </c>
      <c r="N392" s="66">
        <f t="shared" si="297"/>
        <v>6.2083200000000005</v>
      </c>
      <c r="O392" s="66">
        <f t="shared" si="297"/>
        <v>6.2083200000000005</v>
      </c>
      <c r="P392" s="66">
        <f t="shared" si="297"/>
        <v>6.2083200000000005</v>
      </c>
      <c r="Q392" s="66">
        <f t="shared" si="297"/>
        <v>6.2083200000000005</v>
      </c>
      <c r="R392" s="66">
        <f t="shared" si="297"/>
        <v>6.2083200000000005</v>
      </c>
      <c r="S392" s="66">
        <f t="shared" si="297"/>
        <v>6.2083200000000005</v>
      </c>
      <c r="T392" s="66">
        <f t="shared" si="297"/>
        <v>6.2083200000000005</v>
      </c>
      <c r="U392" s="66">
        <f t="shared" si="297"/>
        <v>6.2083200000000005</v>
      </c>
      <c r="V392" s="66">
        <f t="shared" si="297"/>
        <v>6.2083200000000005</v>
      </c>
      <c r="W392" s="66">
        <f t="shared" si="297"/>
        <v>6.2083200000000005</v>
      </c>
      <c r="X392" s="66">
        <f t="shared" si="297"/>
        <v>6.2083200000000005</v>
      </c>
      <c r="Y392" s="66">
        <f t="shared" si="297"/>
        <v>6.2083200000000005</v>
      </c>
      <c r="Z392" s="66">
        <f t="shared" si="297"/>
        <v>6.2083200000000005</v>
      </c>
      <c r="AA392" s="66">
        <f t="shared" si="297"/>
        <v>6.2083200000000005</v>
      </c>
      <c r="AB392" s="66">
        <f t="shared" si="297"/>
        <v>6.2083200000000005</v>
      </c>
      <c r="AC392" s="66">
        <f t="shared" si="297"/>
        <v>6.2083200000000005</v>
      </c>
    </row>
    <row r="393" spans="1:29" ht="15" thickBot="1" x14ac:dyDescent="0.35">
      <c r="A393" s="59" t="str">
        <f>A344</f>
        <v>Emission Cost</v>
      </c>
      <c r="B393" s="66">
        <f>B364</f>
        <v>1.6642920252567563</v>
      </c>
      <c r="C393" s="66">
        <f t="shared" ref="C393:AC393" si="298">C364</f>
        <v>1.668223764670367</v>
      </c>
      <c r="D393" s="66">
        <f t="shared" si="298"/>
        <v>1.6738519620685159</v>
      </c>
      <c r="E393" s="66">
        <f t="shared" si="298"/>
        <v>1.681903494239102</v>
      </c>
      <c r="F393" s="66">
        <f t="shared" si="298"/>
        <v>1.6934109103696515</v>
      </c>
      <c r="G393" s="66">
        <f t="shared" si="298"/>
        <v>1.7098344800436978</v>
      </c>
      <c r="H393" s="66">
        <f t="shared" si="298"/>
        <v>1.733225672402217</v>
      </c>
      <c r="I393" s="66">
        <f t="shared" si="298"/>
        <v>1.7664378123820623</v>
      </c>
      <c r="J393" s="66">
        <f t="shared" si="298"/>
        <v>1.8133799807606898</v>
      </c>
      <c r="K393" s="66">
        <f t="shared" si="298"/>
        <v>1.8792859382574125</v>
      </c>
      <c r="L393" s="66">
        <f t="shared" si="298"/>
        <v>1.9709191437812768</v>
      </c>
      <c r="M393" s="66">
        <f t="shared" si="298"/>
        <v>2.0965448405494573</v>
      </c>
      <c r="N393" s="66">
        <f t="shared" si="298"/>
        <v>2.2653723155004584</v>
      </c>
      <c r="O393" s="66">
        <f t="shared" si="298"/>
        <v>2.4860624403309455</v>
      </c>
      <c r="P393" s="66">
        <f t="shared" si="298"/>
        <v>2.7639843510823718</v>
      </c>
      <c r="Q393" s="66">
        <f t="shared" si="298"/>
        <v>3.0974826662343866</v>
      </c>
      <c r="R393" s="66">
        <f t="shared" si="298"/>
        <v>3.4745937746662614</v>
      </c>
      <c r="S393" s="66">
        <f t="shared" si="298"/>
        <v>3.8727084245898471</v>
      </c>
      <c r="T393" s="66">
        <f t="shared" si="298"/>
        <v>4.2629889228555031</v>
      </c>
      <c r="U393" s="66">
        <f t="shared" si="298"/>
        <v>4.6182692937866285</v>
      </c>
      <c r="V393" s="66">
        <f t="shared" si="298"/>
        <v>4.9202070161803482</v>
      </c>
      <c r="W393" s="66">
        <f t="shared" si="298"/>
        <v>5.1620050578353283</v>
      </c>
      <c r="X393" s="66">
        <f t="shared" si="298"/>
        <v>5.3465076953810016</v>
      </c>
      <c r="Y393" s="66">
        <f t="shared" si="298"/>
        <v>5.4821319311099916</v>
      </c>
      <c r="Z393" s="66">
        <f t="shared" si="298"/>
        <v>5.5791012976259244</v>
      </c>
      <c r="AA393" s="66">
        <f t="shared" si="298"/>
        <v>5.6470625031514352</v>
      </c>
      <c r="AB393" s="66">
        <f t="shared" si="298"/>
        <v>5.6940278733917111</v>
      </c>
      <c r="AC393" s="66">
        <f t="shared" si="298"/>
        <v>5.7261686166213002</v>
      </c>
    </row>
    <row r="394" spans="1:29" ht="15" thickBot="1" x14ac:dyDescent="0.35">
      <c r="A394" s="31" t="s">
        <v>63</v>
      </c>
      <c r="B394" s="76">
        <f>B385+B386+B387-B388+B389+B390+B391+B392+B393</f>
        <v>34.091988017322038</v>
      </c>
      <c r="C394" s="76">
        <f t="shared" ref="C394:AC394" si="299">C385+C386+C387-C388+C389+C390+C391+C392+C393</f>
        <v>34.096886097363772</v>
      </c>
      <c r="D394" s="76">
        <f t="shared" si="299"/>
        <v>34.103886359927223</v>
      </c>
      <c r="E394" s="76">
        <f t="shared" si="299"/>
        <v>34.11387717436191</v>
      </c>
      <c r="F394" s="76">
        <f t="shared" si="299"/>
        <v>34.128107307803702</v>
      </c>
      <c r="G394" s="76">
        <f t="shared" si="299"/>
        <v>34.148316442917377</v>
      </c>
      <c r="H394" s="76">
        <f t="shared" si="299"/>
        <v>34.176897503875331</v>
      </c>
      <c r="I394" s="76">
        <f t="shared" si="299"/>
        <v>34.217084271128982</v>
      </c>
      <c r="J394" s="76">
        <f t="shared" si="299"/>
        <v>34.273143624753374</v>
      </c>
      <c r="K394" s="76">
        <f t="shared" si="299"/>
        <v>34.350531136062813</v>
      </c>
      <c r="L394" s="76">
        <f t="shared" si="299"/>
        <v>34.455941876583893</v>
      </c>
      <c r="M394" s="76">
        <f t="shared" si="299"/>
        <v>34.59714684694417</v>
      </c>
      <c r="N394" s="76">
        <f t="shared" si="299"/>
        <v>34.782421297106211</v>
      </c>
      <c r="O394" s="76">
        <f t="shared" si="299"/>
        <v>35.019234751438781</v>
      </c>
      <c r="P394" s="76">
        <f t="shared" si="299"/>
        <v>35.31183406091138</v>
      </c>
      <c r="Q394" s="76">
        <f t="shared" si="299"/>
        <v>35.657806074874614</v>
      </c>
      <c r="R394" s="76">
        <f t="shared" si="299"/>
        <v>36.044906382141392</v>
      </c>
      <c r="S394" s="76">
        <f t="shared" si="299"/>
        <v>36.450643234128293</v>
      </c>
      <c r="T394" s="76">
        <f t="shared" si="299"/>
        <v>36.846526662211978</v>
      </c>
      <c r="U394" s="76">
        <f t="shared" si="299"/>
        <v>37.205813046907281</v>
      </c>
      <c r="V394" s="76">
        <f t="shared" si="299"/>
        <v>37.510558393342983</v>
      </c>
      <c r="W394" s="76">
        <f t="shared" si="299"/>
        <v>37.754296675781035</v>
      </c>
      <c r="X394" s="76">
        <f t="shared" si="299"/>
        <v>37.940127116780467</v>
      </c>
      <c r="Y394" s="76">
        <f t="shared" si="299"/>
        <v>38.076653969611208</v>
      </c>
      <c r="Z394" s="76">
        <f t="shared" si="299"/>
        <v>38.174234127076112</v>
      </c>
      <c r="AA394" s="76">
        <f t="shared" si="299"/>
        <v>38.242607372813467</v>
      </c>
      <c r="AB394" s="76">
        <f t="shared" si="299"/>
        <v>38.289850126477525</v>
      </c>
      <c r="AC394" s="76">
        <f t="shared" si="299"/>
        <v>38.322177340607631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300">A373</f>
        <v>Capex vehicle</v>
      </c>
      <c r="B397" s="65">
        <f>((1+B358)^B365)*B358/(((1+B358)^B365)-1)*(B354)/B370/(B367)</f>
        <v>7.6317014160409149E-4</v>
      </c>
      <c r="C397" s="65">
        <f t="shared" ref="C397:AC397" si="301">((1+C358)^C365)*C358/(((1+C358)^C365)-1)*(C354)/C370/(C367)</f>
        <v>7.6317014160409149E-4</v>
      </c>
      <c r="D397" s="65">
        <f t="shared" si="301"/>
        <v>7.6317014160409149E-4</v>
      </c>
      <c r="E397" s="65">
        <f t="shared" si="301"/>
        <v>7.6317014160409149E-4</v>
      </c>
      <c r="F397" s="65">
        <f t="shared" si="301"/>
        <v>7.6317014160409149E-4</v>
      </c>
      <c r="G397" s="65">
        <f t="shared" si="301"/>
        <v>7.6317014160409149E-4</v>
      </c>
      <c r="H397" s="65">
        <f t="shared" si="301"/>
        <v>7.6317014160409149E-4</v>
      </c>
      <c r="I397" s="65">
        <f t="shared" si="301"/>
        <v>7.6317014160409149E-4</v>
      </c>
      <c r="J397" s="65">
        <f t="shared" si="301"/>
        <v>7.6317014160409149E-4</v>
      </c>
      <c r="K397" s="65">
        <f t="shared" si="301"/>
        <v>7.6317014160409149E-4</v>
      </c>
      <c r="L397" s="65">
        <f t="shared" si="301"/>
        <v>7.6317014160409149E-4</v>
      </c>
      <c r="M397" s="65">
        <f t="shared" si="301"/>
        <v>7.6317014160409149E-4</v>
      </c>
      <c r="N397" s="65">
        <f t="shared" si="301"/>
        <v>7.6317014160409149E-4</v>
      </c>
      <c r="O397" s="65">
        <f t="shared" si="301"/>
        <v>7.6317014160409149E-4</v>
      </c>
      <c r="P397" s="65">
        <f t="shared" si="301"/>
        <v>7.6317014160409149E-4</v>
      </c>
      <c r="Q397" s="65">
        <f t="shared" si="301"/>
        <v>7.6317014160409149E-4</v>
      </c>
      <c r="R397" s="65">
        <f t="shared" si="301"/>
        <v>7.6317014160409149E-4</v>
      </c>
      <c r="S397" s="65">
        <f t="shared" si="301"/>
        <v>7.6317014160409149E-4</v>
      </c>
      <c r="T397" s="65">
        <f t="shared" si="301"/>
        <v>7.6317014160409149E-4</v>
      </c>
      <c r="U397" s="65">
        <f t="shared" si="301"/>
        <v>7.6317014160409149E-4</v>
      </c>
      <c r="V397" s="65">
        <f t="shared" si="301"/>
        <v>7.6317014160409149E-4</v>
      </c>
      <c r="W397" s="65">
        <f t="shared" si="301"/>
        <v>7.6317014160409149E-4</v>
      </c>
      <c r="X397" s="65">
        <f t="shared" si="301"/>
        <v>7.6317014160409149E-4</v>
      </c>
      <c r="Y397" s="65">
        <f t="shared" si="301"/>
        <v>7.6317014160409149E-4</v>
      </c>
      <c r="Z397" s="65">
        <f t="shared" si="301"/>
        <v>7.6317014160409149E-4</v>
      </c>
      <c r="AA397" s="65">
        <f t="shared" si="301"/>
        <v>7.6317014160409149E-4</v>
      </c>
      <c r="AB397" s="65">
        <f t="shared" si="301"/>
        <v>7.6317014160409149E-4</v>
      </c>
      <c r="AC397" s="65">
        <f t="shared" si="301"/>
        <v>7.6317014160409149E-4</v>
      </c>
    </row>
    <row r="398" spans="1:29" x14ac:dyDescent="0.3">
      <c r="A398" s="30" t="str">
        <f t="shared" si="300"/>
        <v>Residual value (vehicle)</v>
      </c>
      <c r="B398" s="68">
        <f>((1+B358)^B365)*B358/(((1+B358)^B365)-1)*(B355)/B370/(B367)</f>
        <v>-1.1346797345547289E-4</v>
      </c>
      <c r="C398" s="68">
        <f t="shared" ref="C398:AC398" si="302">((1+C358)^C365)*C358/(((1+C358)^C365)-1)*(C355)/C370/(C367)</f>
        <v>-1.1303657138934111E-4</v>
      </c>
      <c r="D398" s="68">
        <f t="shared" si="302"/>
        <v>-1.1242404229769157E-4</v>
      </c>
      <c r="E398" s="68">
        <f t="shared" si="302"/>
        <v>-1.1155829128693258E-4</v>
      </c>
      <c r="F398" s="68">
        <f t="shared" si="302"/>
        <v>-1.1034279248726903E-4</v>
      </c>
      <c r="G398" s="68">
        <f t="shared" si="302"/>
        <v>-1.0865280791600897E-4</v>
      </c>
      <c r="H398" s="68">
        <f t="shared" si="302"/>
        <v>-1.0633590229126001E-4</v>
      </c>
      <c r="I398" s="68">
        <f t="shared" si="302"/>
        <v>-1.0322222940116694E-4</v>
      </c>
      <c r="J398" s="68">
        <f t="shared" si="302"/>
        <v>-9.9152057416450692E-5</v>
      </c>
      <c r="K398" s="68">
        <f t="shared" si="302"/>
        <v>-9.4026363750057009E-5</v>
      </c>
      <c r="L398" s="68">
        <f t="shared" si="302"/>
        <v>-8.7875678483444322E-5</v>
      </c>
      <c r="M398" s="68">
        <f t="shared" si="302"/>
        <v>-8.0920645629828101E-5</v>
      </c>
      <c r="N398" s="68">
        <f t="shared" si="302"/>
        <v>-7.357824598204721E-5</v>
      </c>
      <c r="O398" s="68">
        <f t="shared" si="302"/>
        <v>-6.6380331025761298E-5</v>
      </c>
      <c r="P398" s="68">
        <f t="shared" si="302"/>
        <v>-5.982792088237961E-5</v>
      </c>
      <c r="Q398" s="68">
        <f t="shared" si="302"/>
        <v>-5.4259305341653007E-5</v>
      </c>
      <c r="R398" s="68">
        <f t="shared" si="302"/>
        <v>-4.9799841576070884E-5</v>
      </c>
      <c r="S398" s="68">
        <f t="shared" si="302"/>
        <v>-4.6397072797805602E-5</v>
      </c>
      <c r="T398" s="68">
        <f t="shared" si="302"/>
        <v>-4.3895764843330094E-5</v>
      </c>
      <c r="U398" s="68">
        <f t="shared" si="302"/>
        <v>-4.2107365841462744E-5</v>
      </c>
      <c r="V398" s="68">
        <f t="shared" si="302"/>
        <v>-4.0853962251293284E-5</v>
      </c>
      <c r="W398" s="68">
        <f t="shared" si="302"/>
        <v>-3.9987783330280735E-5</v>
      </c>
      <c r="X398" s="68">
        <f t="shared" si="302"/>
        <v>-3.93950139312806E-5</v>
      </c>
      <c r="Y398" s="68">
        <f t="shared" si="302"/>
        <v>-3.8992059867999029E-5</v>
      </c>
      <c r="Z398" s="68">
        <f t="shared" si="302"/>
        <v>-3.8719385337209372E-5</v>
      </c>
      <c r="AA398" s="68">
        <f t="shared" si="302"/>
        <v>-3.8535438814060903E-5</v>
      </c>
      <c r="AB398" s="68">
        <f t="shared" si="302"/>
        <v>-3.8411606928446129E-5</v>
      </c>
      <c r="AC398" s="68">
        <f t="shared" si="302"/>
        <v>-3.832836099071531E-5</v>
      </c>
    </row>
    <row r="399" spans="1:29" x14ac:dyDescent="0.3">
      <c r="A399" s="30" t="str">
        <f t="shared" si="300"/>
        <v>Capex costumization</v>
      </c>
      <c r="B399" s="66">
        <f>((1+B358)^B366)*B358/(((1+B358)^B366)-1)*(B356)/B370/(B367)</f>
        <v>7.6311881817276459E-4</v>
      </c>
      <c r="C399" s="66">
        <f t="shared" ref="C399:AC399" si="303">((1+C358)^C366)*C358/(((1+C358)^C366)-1)*(C356)/C370/(C367)</f>
        <v>7.6311881817276459E-4</v>
      </c>
      <c r="D399" s="66">
        <f t="shared" si="303"/>
        <v>7.6311881817276459E-4</v>
      </c>
      <c r="E399" s="66">
        <f t="shared" si="303"/>
        <v>7.6311881817276459E-4</v>
      </c>
      <c r="F399" s="66">
        <f t="shared" si="303"/>
        <v>7.6311881817276459E-4</v>
      </c>
      <c r="G399" s="66">
        <f t="shared" si="303"/>
        <v>7.6311881817276459E-4</v>
      </c>
      <c r="H399" s="66">
        <f t="shared" si="303"/>
        <v>7.6311881817276459E-4</v>
      </c>
      <c r="I399" s="66">
        <f t="shared" si="303"/>
        <v>7.6311881817276459E-4</v>
      </c>
      <c r="J399" s="66">
        <f t="shared" si="303"/>
        <v>7.6311881817276459E-4</v>
      </c>
      <c r="K399" s="66">
        <f t="shared" si="303"/>
        <v>7.6311881817276459E-4</v>
      </c>
      <c r="L399" s="66">
        <f t="shared" si="303"/>
        <v>7.6311881817276459E-4</v>
      </c>
      <c r="M399" s="66">
        <f t="shared" si="303"/>
        <v>7.6311881817276459E-4</v>
      </c>
      <c r="N399" s="66">
        <f t="shared" si="303"/>
        <v>7.6311881817276459E-4</v>
      </c>
      <c r="O399" s="66">
        <f t="shared" si="303"/>
        <v>7.6311881817276459E-4</v>
      </c>
      <c r="P399" s="66">
        <f t="shared" si="303"/>
        <v>7.6311881817276459E-4</v>
      </c>
      <c r="Q399" s="66">
        <f t="shared" si="303"/>
        <v>7.6311881817276459E-4</v>
      </c>
      <c r="R399" s="66">
        <f t="shared" si="303"/>
        <v>7.6311881817276459E-4</v>
      </c>
      <c r="S399" s="66">
        <f t="shared" si="303"/>
        <v>7.6311881817276459E-4</v>
      </c>
      <c r="T399" s="66">
        <f t="shared" si="303"/>
        <v>7.6311881817276459E-4</v>
      </c>
      <c r="U399" s="66">
        <f t="shared" si="303"/>
        <v>7.6311881817276459E-4</v>
      </c>
      <c r="V399" s="66">
        <f t="shared" si="303"/>
        <v>7.6311881817276459E-4</v>
      </c>
      <c r="W399" s="66">
        <f t="shared" si="303"/>
        <v>7.6311881817276459E-4</v>
      </c>
      <c r="X399" s="66">
        <f t="shared" si="303"/>
        <v>7.6311881817276459E-4</v>
      </c>
      <c r="Y399" s="66">
        <f t="shared" si="303"/>
        <v>7.6311881817276459E-4</v>
      </c>
      <c r="Z399" s="66">
        <f t="shared" si="303"/>
        <v>7.6311881817276459E-4</v>
      </c>
      <c r="AA399" s="66">
        <f t="shared" si="303"/>
        <v>7.6311881817276459E-4</v>
      </c>
      <c r="AB399" s="66">
        <f t="shared" si="303"/>
        <v>7.6311881817276459E-4</v>
      </c>
      <c r="AC399" s="66">
        <f t="shared" si="303"/>
        <v>7.6311881817276459E-4</v>
      </c>
    </row>
    <row r="400" spans="1:29" x14ac:dyDescent="0.3">
      <c r="A400" s="30" t="str">
        <f t="shared" si="300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04">((1+C358)^C366)*C358/(((1+C358)^C366)-1)*(C357)/C370/(C367)</f>
        <v>-3.8155940908638231E-5</v>
      </c>
      <c r="D400" s="69">
        <f t="shared" si="304"/>
        <v>-3.8155940908638231E-5</v>
      </c>
      <c r="E400" s="69">
        <f t="shared" si="304"/>
        <v>-3.8155940908638231E-5</v>
      </c>
      <c r="F400" s="69">
        <f t="shared" si="304"/>
        <v>-3.8155940908638231E-5</v>
      </c>
      <c r="G400" s="69">
        <f t="shared" si="304"/>
        <v>-3.8155940908638231E-5</v>
      </c>
      <c r="H400" s="69">
        <f t="shared" si="304"/>
        <v>-3.8155940908638231E-5</v>
      </c>
      <c r="I400" s="69">
        <f t="shared" si="304"/>
        <v>-3.8155940908638231E-5</v>
      </c>
      <c r="J400" s="69">
        <f t="shared" si="304"/>
        <v>-3.8155940908638231E-5</v>
      </c>
      <c r="K400" s="69">
        <f t="shared" si="304"/>
        <v>-3.8155940908638231E-5</v>
      </c>
      <c r="L400" s="69">
        <f t="shared" si="304"/>
        <v>-3.8155940908638231E-5</v>
      </c>
      <c r="M400" s="69">
        <f t="shared" si="304"/>
        <v>-3.8155940908638231E-5</v>
      </c>
      <c r="N400" s="69">
        <f t="shared" si="304"/>
        <v>-3.8155940908638231E-5</v>
      </c>
      <c r="O400" s="69">
        <f t="shared" si="304"/>
        <v>-3.8155940908638231E-5</v>
      </c>
      <c r="P400" s="69">
        <f t="shared" si="304"/>
        <v>-3.8155940908638231E-5</v>
      </c>
      <c r="Q400" s="69">
        <f t="shared" si="304"/>
        <v>-3.8155940908638231E-5</v>
      </c>
      <c r="R400" s="69">
        <f t="shared" si="304"/>
        <v>-3.8155940908638231E-5</v>
      </c>
      <c r="S400" s="69">
        <f t="shared" si="304"/>
        <v>-3.8155940908638231E-5</v>
      </c>
      <c r="T400" s="69">
        <f t="shared" si="304"/>
        <v>-3.8155940908638231E-5</v>
      </c>
      <c r="U400" s="69">
        <f t="shared" si="304"/>
        <v>-3.8155940908638231E-5</v>
      </c>
      <c r="V400" s="69">
        <f t="shared" si="304"/>
        <v>-3.8155940908638231E-5</v>
      </c>
      <c r="W400" s="69">
        <f t="shared" si="304"/>
        <v>-3.8155940908638231E-5</v>
      </c>
      <c r="X400" s="69">
        <f t="shared" si="304"/>
        <v>-3.8155940908638231E-5</v>
      </c>
      <c r="Y400" s="69">
        <f t="shared" si="304"/>
        <v>-3.8155940908638231E-5</v>
      </c>
      <c r="Z400" s="69">
        <f t="shared" si="304"/>
        <v>-3.8155940908638231E-5</v>
      </c>
      <c r="AA400" s="69">
        <f t="shared" si="304"/>
        <v>-3.8155940908638231E-5</v>
      </c>
      <c r="AB400" s="69">
        <f t="shared" si="304"/>
        <v>-3.8155940908638231E-5</v>
      </c>
      <c r="AC400" s="69">
        <f t="shared" si="304"/>
        <v>-3.8155940908638231E-5</v>
      </c>
    </row>
    <row r="401" spans="1:29" x14ac:dyDescent="0.3">
      <c r="A401" s="30" t="str">
        <f t="shared" si="300"/>
        <v>Opex fix (admin, crew, insurance)</v>
      </c>
      <c r="B401" s="66">
        <f>B359/B370/(B367)</f>
        <v>3.6264505802320927E-3</v>
      </c>
      <c r="C401" s="66">
        <f t="shared" ref="C401:AC401" si="305">C359/C370/(C367)</f>
        <v>3.6264505802320927E-3</v>
      </c>
      <c r="D401" s="66">
        <f t="shared" si="305"/>
        <v>3.6264505802320927E-3</v>
      </c>
      <c r="E401" s="66">
        <f t="shared" si="305"/>
        <v>3.6264505802320927E-3</v>
      </c>
      <c r="F401" s="66">
        <f t="shared" si="305"/>
        <v>3.6264505802320927E-3</v>
      </c>
      <c r="G401" s="66">
        <f t="shared" si="305"/>
        <v>3.6264505802320927E-3</v>
      </c>
      <c r="H401" s="66">
        <f t="shared" si="305"/>
        <v>3.6264505802320927E-3</v>
      </c>
      <c r="I401" s="66">
        <f t="shared" si="305"/>
        <v>3.6264505802320927E-3</v>
      </c>
      <c r="J401" s="66">
        <f t="shared" si="305"/>
        <v>3.6264505802320927E-3</v>
      </c>
      <c r="K401" s="66">
        <f t="shared" si="305"/>
        <v>3.6264505802320927E-3</v>
      </c>
      <c r="L401" s="66">
        <f t="shared" si="305"/>
        <v>3.6264505802320927E-3</v>
      </c>
      <c r="M401" s="66">
        <f t="shared" si="305"/>
        <v>3.6264505802320927E-3</v>
      </c>
      <c r="N401" s="66">
        <f t="shared" si="305"/>
        <v>3.6264505802320927E-3</v>
      </c>
      <c r="O401" s="66">
        <f t="shared" si="305"/>
        <v>3.6264505802320927E-3</v>
      </c>
      <c r="P401" s="66">
        <f t="shared" si="305"/>
        <v>3.6264505802320927E-3</v>
      </c>
      <c r="Q401" s="66">
        <f t="shared" si="305"/>
        <v>3.6264505802320927E-3</v>
      </c>
      <c r="R401" s="66">
        <f t="shared" si="305"/>
        <v>3.6264505802320927E-3</v>
      </c>
      <c r="S401" s="66">
        <f t="shared" si="305"/>
        <v>3.6264505802320927E-3</v>
      </c>
      <c r="T401" s="66">
        <f t="shared" si="305"/>
        <v>3.6264505802320927E-3</v>
      </c>
      <c r="U401" s="66">
        <f t="shared" si="305"/>
        <v>3.6264505802320927E-3</v>
      </c>
      <c r="V401" s="66">
        <f t="shared" si="305"/>
        <v>3.6264505802320927E-3</v>
      </c>
      <c r="W401" s="66">
        <f t="shared" si="305"/>
        <v>3.6264505802320927E-3</v>
      </c>
      <c r="X401" s="66">
        <f t="shared" si="305"/>
        <v>3.6264505802320927E-3</v>
      </c>
      <c r="Y401" s="66">
        <f t="shared" si="305"/>
        <v>3.6264505802320927E-3</v>
      </c>
      <c r="Z401" s="66">
        <f t="shared" si="305"/>
        <v>3.6264505802320927E-3</v>
      </c>
      <c r="AA401" s="66">
        <f t="shared" si="305"/>
        <v>3.6264505802320927E-3</v>
      </c>
      <c r="AB401" s="66">
        <f t="shared" si="305"/>
        <v>3.6264505802320927E-3</v>
      </c>
      <c r="AC401" s="66">
        <f t="shared" si="305"/>
        <v>3.6264505802320927E-3</v>
      </c>
    </row>
    <row r="402" spans="1:29" x14ac:dyDescent="0.3">
      <c r="A402" s="30" t="str">
        <f t="shared" si="300"/>
        <v>Opex maintenance &amp; repair</v>
      </c>
      <c r="B402" s="66">
        <f>B360/B370/(B367)</f>
        <v>2.6260504201680674E-3</v>
      </c>
      <c r="C402" s="66">
        <f t="shared" ref="C402:AC402" si="306">C360/C370/(C367)</f>
        <v>2.6260504201680674E-3</v>
      </c>
      <c r="D402" s="66">
        <f t="shared" si="306"/>
        <v>2.6260504201680674E-3</v>
      </c>
      <c r="E402" s="66">
        <f t="shared" si="306"/>
        <v>2.6260504201680674E-3</v>
      </c>
      <c r="F402" s="66">
        <f t="shared" si="306"/>
        <v>2.6260504201680674E-3</v>
      </c>
      <c r="G402" s="66">
        <f t="shared" si="306"/>
        <v>2.6260504201680674E-3</v>
      </c>
      <c r="H402" s="66">
        <f t="shared" si="306"/>
        <v>2.6260504201680674E-3</v>
      </c>
      <c r="I402" s="66">
        <f t="shared" si="306"/>
        <v>2.6260504201680674E-3</v>
      </c>
      <c r="J402" s="66">
        <f t="shared" si="306"/>
        <v>2.6260504201680674E-3</v>
      </c>
      <c r="K402" s="66">
        <f t="shared" si="306"/>
        <v>2.6260504201680674E-3</v>
      </c>
      <c r="L402" s="66">
        <f t="shared" si="306"/>
        <v>2.6260504201680674E-3</v>
      </c>
      <c r="M402" s="66">
        <f t="shared" si="306"/>
        <v>2.6260504201680674E-3</v>
      </c>
      <c r="N402" s="66">
        <f t="shared" si="306"/>
        <v>2.6260504201680674E-3</v>
      </c>
      <c r="O402" s="66">
        <f t="shared" si="306"/>
        <v>2.6260504201680674E-3</v>
      </c>
      <c r="P402" s="66">
        <f t="shared" si="306"/>
        <v>2.6260504201680674E-3</v>
      </c>
      <c r="Q402" s="66">
        <f t="shared" si="306"/>
        <v>2.6260504201680674E-3</v>
      </c>
      <c r="R402" s="66">
        <f t="shared" si="306"/>
        <v>2.6260504201680674E-3</v>
      </c>
      <c r="S402" s="66">
        <f t="shared" si="306"/>
        <v>2.6260504201680674E-3</v>
      </c>
      <c r="T402" s="66">
        <f t="shared" si="306"/>
        <v>2.6260504201680674E-3</v>
      </c>
      <c r="U402" s="66">
        <f t="shared" si="306"/>
        <v>2.6260504201680674E-3</v>
      </c>
      <c r="V402" s="66">
        <f t="shared" si="306"/>
        <v>2.6260504201680674E-3</v>
      </c>
      <c r="W402" s="66">
        <f t="shared" si="306"/>
        <v>2.6260504201680674E-3</v>
      </c>
      <c r="X402" s="66">
        <f t="shared" si="306"/>
        <v>2.6260504201680674E-3</v>
      </c>
      <c r="Y402" s="66">
        <f t="shared" si="306"/>
        <v>2.6260504201680674E-3</v>
      </c>
      <c r="Z402" s="66">
        <f t="shared" si="306"/>
        <v>2.6260504201680674E-3</v>
      </c>
      <c r="AA402" s="66">
        <f t="shared" si="306"/>
        <v>2.6260504201680674E-3</v>
      </c>
      <c r="AB402" s="66">
        <f t="shared" si="306"/>
        <v>2.6260504201680674E-3</v>
      </c>
      <c r="AC402" s="66">
        <f t="shared" si="306"/>
        <v>2.6260504201680674E-3</v>
      </c>
    </row>
    <row r="403" spans="1:29" x14ac:dyDescent="0.3">
      <c r="A403" s="30" t="str">
        <f t="shared" si="300"/>
        <v>Opex var (mode-fees, shunting)</v>
      </c>
      <c r="B403" s="66">
        <f>B361*B370/B370/(B367)</f>
        <v>4.0016006402561026E-3</v>
      </c>
      <c r="C403" s="66">
        <f t="shared" ref="C403:AC403" si="307">C361*C370/C370/(C367)</f>
        <v>4.0016006402561026E-3</v>
      </c>
      <c r="D403" s="66">
        <f t="shared" si="307"/>
        <v>4.0016006402561026E-3</v>
      </c>
      <c r="E403" s="66">
        <f t="shared" si="307"/>
        <v>4.0016006402561026E-3</v>
      </c>
      <c r="F403" s="66">
        <f t="shared" si="307"/>
        <v>4.0016006402561026E-3</v>
      </c>
      <c r="G403" s="66">
        <f t="shared" si="307"/>
        <v>4.0016006402561026E-3</v>
      </c>
      <c r="H403" s="66">
        <f t="shared" si="307"/>
        <v>4.0016006402561026E-3</v>
      </c>
      <c r="I403" s="66">
        <f t="shared" si="307"/>
        <v>4.0016006402561026E-3</v>
      </c>
      <c r="J403" s="66">
        <f t="shared" si="307"/>
        <v>4.0016006402561026E-3</v>
      </c>
      <c r="K403" s="66">
        <f t="shared" si="307"/>
        <v>4.0016006402561026E-3</v>
      </c>
      <c r="L403" s="66">
        <f t="shared" si="307"/>
        <v>4.0016006402561026E-3</v>
      </c>
      <c r="M403" s="66">
        <f t="shared" si="307"/>
        <v>4.0016006402561026E-3</v>
      </c>
      <c r="N403" s="66">
        <f t="shared" si="307"/>
        <v>4.0016006402561026E-3</v>
      </c>
      <c r="O403" s="66">
        <f t="shared" si="307"/>
        <v>4.0016006402561026E-3</v>
      </c>
      <c r="P403" s="66">
        <f t="shared" si="307"/>
        <v>4.0016006402561026E-3</v>
      </c>
      <c r="Q403" s="66">
        <f t="shared" si="307"/>
        <v>4.0016006402561026E-3</v>
      </c>
      <c r="R403" s="66">
        <f t="shared" si="307"/>
        <v>4.0016006402561026E-3</v>
      </c>
      <c r="S403" s="66">
        <f t="shared" si="307"/>
        <v>4.0016006402561026E-3</v>
      </c>
      <c r="T403" s="66">
        <f t="shared" si="307"/>
        <v>4.0016006402561026E-3</v>
      </c>
      <c r="U403" s="66">
        <f t="shared" si="307"/>
        <v>4.0016006402561026E-3</v>
      </c>
      <c r="V403" s="66">
        <f t="shared" si="307"/>
        <v>4.0016006402561026E-3</v>
      </c>
      <c r="W403" s="66">
        <f t="shared" si="307"/>
        <v>4.0016006402561026E-3</v>
      </c>
      <c r="X403" s="66">
        <f t="shared" si="307"/>
        <v>4.0016006402561026E-3</v>
      </c>
      <c r="Y403" s="66">
        <f t="shared" si="307"/>
        <v>4.0016006402561026E-3</v>
      </c>
      <c r="Z403" s="66">
        <f t="shared" si="307"/>
        <v>4.0016006402561026E-3</v>
      </c>
      <c r="AA403" s="66">
        <f t="shared" si="307"/>
        <v>4.0016006402561026E-3</v>
      </c>
      <c r="AB403" s="66">
        <f t="shared" si="307"/>
        <v>4.0016006402561026E-3</v>
      </c>
      <c r="AC403" s="66">
        <f t="shared" si="307"/>
        <v>4.0016006402561026E-3</v>
      </c>
    </row>
    <row r="404" spans="1:29" x14ac:dyDescent="0.3">
      <c r="A404" s="30" t="str">
        <f t="shared" si="300"/>
        <v>Fuel Cost</v>
      </c>
      <c r="B404" s="66">
        <f>B362*B363*B370/B370/(B367)</f>
        <v>2.7715714285714288E-3</v>
      </c>
      <c r="C404" s="66">
        <f t="shared" ref="C404:AC404" si="308">C362*C363*C370/C370/(C367)</f>
        <v>2.7715714285714288E-3</v>
      </c>
      <c r="D404" s="66">
        <f t="shared" si="308"/>
        <v>2.7715714285714288E-3</v>
      </c>
      <c r="E404" s="66">
        <f t="shared" si="308"/>
        <v>2.7715714285714288E-3</v>
      </c>
      <c r="F404" s="66">
        <f t="shared" si="308"/>
        <v>2.7715714285714288E-3</v>
      </c>
      <c r="G404" s="66">
        <f t="shared" si="308"/>
        <v>2.7715714285714288E-3</v>
      </c>
      <c r="H404" s="66">
        <f t="shared" si="308"/>
        <v>2.7715714285714288E-3</v>
      </c>
      <c r="I404" s="66">
        <f t="shared" si="308"/>
        <v>2.7715714285714288E-3</v>
      </c>
      <c r="J404" s="66">
        <f t="shared" si="308"/>
        <v>2.7715714285714288E-3</v>
      </c>
      <c r="K404" s="66">
        <f t="shared" si="308"/>
        <v>2.7715714285714288E-3</v>
      </c>
      <c r="L404" s="66">
        <f t="shared" si="308"/>
        <v>2.7715714285714288E-3</v>
      </c>
      <c r="M404" s="66">
        <f t="shared" si="308"/>
        <v>2.7715714285714288E-3</v>
      </c>
      <c r="N404" s="66">
        <f t="shared" si="308"/>
        <v>2.7715714285714288E-3</v>
      </c>
      <c r="O404" s="66">
        <f t="shared" si="308"/>
        <v>2.7715714285714288E-3</v>
      </c>
      <c r="P404" s="66">
        <f t="shared" si="308"/>
        <v>2.7715714285714288E-3</v>
      </c>
      <c r="Q404" s="66">
        <f t="shared" si="308"/>
        <v>2.7715714285714288E-3</v>
      </c>
      <c r="R404" s="66">
        <f t="shared" si="308"/>
        <v>2.7715714285714288E-3</v>
      </c>
      <c r="S404" s="66">
        <f t="shared" si="308"/>
        <v>2.7715714285714288E-3</v>
      </c>
      <c r="T404" s="66">
        <f t="shared" si="308"/>
        <v>2.7715714285714288E-3</v>
      </c>
      <c r="U404" s="66">
        <f t="shared" si="308"/>
        <v>2.7715714285714288E-3</v>
      </c>
      <c r="V404" s="66">
        <f t="shared" si="308"/>
        <v>2.7715714285714288E-3</v>
      </c>
      <c r="W404" s="66">
        <f t="shared" si="308"/>
        <v>2.7715714285714288E-3</v>
      </c>
      <c r="X404" s="66">
        <f t="shared" si="308"/>
        <v>2.7715714285714288E-3</v>
      </c>
      <c r="Y404" s="66">
        <f t="shared" si="308"/>
        <v>2.7715714285714288E-3</v>
      </c>
      <c r="Z404" s="66">
        <f t="shared" si="308"/>
        <v>2.7715714285714288E-3</v>
      </c>
      <c r="AA404" s="66">
        <f t="shared" si="308"/>
        <v>2.7715714285714288E-3</v>
      </c>
      <c r="AB404" s="66">
        <f t="shared" si="308"/>
        <v>2.7715714285714288E-3</v>
      </c>
      <c r="AC404" s="66">
        <f t="shared" si="308"/>
        <v>2.7715714285714288E-3</v>
      </c>
    </row>
    <row r="405" spans="1:29" x14ac:dyDescent="0.3">
      <c r="A405" s="59" t="str">
        <f>A368</f>
        <v>Market failure (av. utilization)</v>
      </c>
      <c r="B405" s="66">
        <f t="shared" ref="B405:AC405" si="309">B394/B368-B394/B367</f>
        <v>1.2964876395476299E-2</v>
      </c>
      <c r="C405" s="66">
        <f t="shared" si="309"/>
        <v>1.296673909125937E-2</v>
      </c>
      <c r="D405" s="66">
        <f t="shared" si="309"/>
        <v>1.2969401228146923E-2</v>
      </c>
      <c r="E405" s="66">
        <f t="shared" si="309"/>
        <v>1.2973200645011966E-2</v>
      </c>
      <c r="F405" s="66">
        <f t="shared" si="309"/>
        <v>1.2978612236763972E-2</v>
      </c>
      <c r="G405" s="66">
        <f t="shared" si="309"/>
        <v>1.2986297589072413E-2</v>
      </c>
      <c r="H405" s="66">
        <f t="shared" si="309"/>
        <v>1.2997166709476397E-2</v>
      </c>
      <c r="I405" s="66">
        <f t="shared" si="309"/>
        <v>1.3012449375594681E-2</v>
      </c>
      <c r="J405" s="66">
        <f t="shared" si="309"/>
        <v>1.3033768243540465E-2</v>
      </c>
      <c r="K405" s="66">
        <f t="shared" si="309"/>
        <v>1.3063198018013302E-2</v>
      </c>
      <c r="L405" s="66">
        <f t="shared" si="309"/>
        <v>1.3103284774494533E-2</v>
      </c>
      <c r="M405" s="66">
        <f t="shared" si="309"/>
        <v>1.3156983754624931E-2</v>
      </c>
      <c r="N405" s="66">
        <f t="shared" si="309"/>
        <v>1.3227441961531791E-2</v>
      </c>
      <c r="O405" s="66">
        <f t="shared" si="309"/>
        <v>1.331749998814636E-2</v>
      </c>
      <c r="P405" s="66">
        <f t="shared" si="309"/>
        <v>1.3428772873693148E-2</v>
      </c>
      <c r="Q405" s="66">
        <f t="shared" si="309"/>
        <v>1.356034291868578E-2</v>
      </c>
      <c r="R405" s="66">
        <f t="shared" si="309"/>
        <v>1.3707553683684721E-2</v>
      </c>
      <c r="S405" s="66">
        <f t="shared" si="309"/>
        <v>1.3861851759010425E-2</v>
      </c>
      <c r="T405" s="66">
        <f t="shared" si="309"/>
        <v>1.4012402665854417E-2</v>
      </c>
      <c r="U405" s="66">
        <f t="shared" si="309"/>
        <v>1.4149036046277565E-2</v>
      </c>
      <c r="V405" s="66">
        <f t="shared" si="309"/>
        <v>1.4264927960431356E-2</v>
      </c>
      <c r="W405" s="66">
        <f t="shared" si="309"/>
        <v>1.4357619436887625E-2</v>
      </c>
      <c r="X405" s="66">
        <f t="shared" si="309"/>
        <v>1.4428289082108973E-2</v>
      </c>
      <c r="Y405" s="66">
        <f t="shared" si="309"/>
        <v>1.4480209016221188E-2</v>
      </c>
      <c r="Z405" s="66">
        <f t="shared" si="309"/>
        <v>1.451731787239997E-2</v>
      </c>
      <c r="AA405" s="66">
        <f t="shared" si="309"/>
        <v>1.4543319602756441E-2</v>
      </c>
      <c r="AB405" s="66">
        <f t="shared" si="309"/>
        <v>1.4561285597040063E-2</v>
      </c>
      <c r="AC405" s="66">
        <f t="shared" si="309"/>
        <v>1.4573579345799854E-2</v>
      </c>
    </row>
    <row r="406" spans="1:29" x14ac:dyDescent="0.3">
      <c r="A406" s="59" t="str">
        <f>A369</f>
        <v>Payload loss (fuel)</v>
      </c>
      <c r="B406" s="66">
        <f>B394/(B367-B369)-B394/B367</f>
        <v>0</v>
      </c>
      <c r="C406" s="66">
        <f t="shared" ref="C406:AC406" si="310">C394/(C367-C369)-C394/C367</f>
        <v>0</v>
      </c>
      <c r="D406" s="66">
        <f t="shared" si="310"/>
        <v>0</v>
      </c>
      <c r="E406" s="66">
        <f t="shared" si="310"/>
        <v>0</v>
      </c>
      <c r="F406" s="66">
        <f t="shared" si="310"/>
        <v>0</v>
      </c>
      <c r="G406" s="66">
        <f t="shared" si="310"/>
        <v>0</v>
      </c>
      <c r="H406" s="66">
        <f t="shared" si="310"/>
        <v>0</v>
      </c>
      <c r="I406" s="66">
        <f t="shared" si="310"/>
        <v>0</v>
      </c>
      <c r="J406" s="66">
        <f t="shared" si="310"/>
        <v>0</v>
      </c>
      <c r="K406" s="66">
        <f t="shared" si="310"/>
        <v>0</v>
      </c>
      <c r="L406" s="66">
        <f t="shared" si="310"/>
        <v>0</v>
      </c>
      <c r="M406" s="66">
        <f t="shared" si="310"/>
        <v>0</v>
      </c>
      <c r="N406" s="66">
        <f t="shared" si="310"/>
        <v>0</v>
      </c>
      <c r="O406" s="66">
        <f t="shared" si="310"/>
        <v>0</v>
      </c>
      <c r="P406" s="66">
        <f t="shared" si="310"/>
        <v>0</v>
      </c>
      <c r="Q406" s="66">
        <f t="shared" si="310"/>
        <v>0</v>
      </c>
      <c r="R406" s="66">
        <f t="shared" si="310"/>
        <v>0</v>
      </c>
      <c r="S406" s="66">
        <f t="shared" si="310"/>
        <v>0</v>
      </c>
      <c r="T406" s="66">
        <f t="shared" si="310"/>
        <v>0</v>
      </c>
      <c r="U406" s="66">
        <f t="shared" si="310"/>
        <v>0</v>
      </c>
      <c r="V406" s="66">
        <f t="shared" si="310"/>
        <v>0</v>
      </c>
      <c r="W406" s="66">
        <f t="shared" si="310"/>
        <v>0</v>
      </c>
      <c r="X406" s="66">
        <f t="shared" si="310"/>
        <v>0</v>
      </c>
      <c r="Y406" s="66">
        <f t="shared" si="310"/>
        <v>0</v>
      </c>
      <c r="Z406" s="66">
        <f t="shared" si="310"/>
        <v>0</v>
      </c>
      <c r="AA406" s="66">
        <f t="shared" si="310"/>
        <v>0</v>
      </c>
      <c r="AB406" s="66">
        <f t="shared" si="310"/>
        <v>0</v>
      </c>
      <c r="AC406" s="66">
        <f t="shared" si="310"/>
        <v>0</v>
      </c>
    </row>
    <row r="407" spans="1:29" ht="15" thickBot="1" x14ac:dyDescent="0.35">
      <c r="A407" s="59" t="str">
        <f>A344</f>
        <v>Emission Cost</v>
      </c>
      <c r="B407" s="66">
        <f>B364*B370/B370/(B367)</f>
        <v>7.4298751127533757E-4</v>
      </c>
      <c r="C407" s="66">
        <f t="shared" ref="C407:AC407" si="311">C364*C370/C370/(C367)</f>
        <v>7.4474275208498528E-4</v>
      </c>
      <c r="D407" s="66">
        <f t="shared" si="311"/>
        <v>7.4725534020915886E-4</v>
      </c>
      <c r="E407" s="66">
        <f t="shared" si="311"/>
        <v>7.5084977421388478E-4</v>
      </c>
      <c r="F407" s="66">
        <f t="shared" si="311"/>
        <v>7.5598701355788014E-4</v>
      </c>
      <c r="G407" s="66">
        <f t="shared" si="311"/>
        <v>7.6331896430522207E-4</v>
      </c>
      <c r="H407" s="66">
        <f t="shared" si="311"/>
        <v>7.7376146089384694E-4</v>
      </c>
      <c r="I407" s="66">
        <f t="shared" si="311"/>
        <v>7.8858830909913486E-4</v>
      </c>
      <c r="J407" s="66">
        <f t="shared" si="311"/>
        <v>8.0954463426816516E-4</v>
      </c>
      <c r="K407" s="66">
        <f t="shared" si="311"/>
        <v>8.389669367220592E-4</v>
      </c>
      <c r="L407" s="66">
        <f t="shared" si="311"/>
        <v>8.798746177594985E-4</v>
      </c>
      <c r="M407" s="66">
        <f t="shared" si="311"/>
        <v>9.3595751810243634E-4</v>
      </c>
      <c r="N407" s="66">
        <f t="shared" si="311"/>
        <v>1.0113269265627047E-3</v>
      </c>
      <c r="O407" s="66">
        <f t="shared" si="311"/>
        <v>1.109849303719172E-3</v>
      </c>
      <c r="P407" s="66">
        <f t="shared" si="311"/>
        <v>1.2339215853046303E-3</v>
      </c>
      <c r="Q407" s="66">
        <f t="shared" si="311"/>
        <v>1.3828047617117797E-3</v>
      </c>
      <c r="R407" s="66">
        <f t="shared" si="311"/>
        <v>1.5511579351188669E-3</v>
      </c>
      <c r="S407" s="66">
        <f t="shared" si="311"/>
        <v>1.7288876895490389E-3</v>
      </c>
      <c r="T407" s="66">
        <f t="shared" si="311"/>
        <v>1.9031200548462067E-3</v>
      </c>
      <c r="U407" s="66">
        <f t="shared" si="311"/>
        <v>2.0617273632976018E-3</v>
      </c>
      <c r="V407" s="66">
        <f t="shared" si="311"/>
        <v>2.1965209893662269E-3</v>
      </c>
      <c r="W407" s="66">
        <f t="shared" si="311"/>
        <v>2.304466543676486E-3</v>
      </c>
      <c r="X407" s="66">
        <f t="shared" si="311"/>
        <v>2.3868337925808045E-3</v>
      </c>
      <c r="Y407" s="66">
        <f t="shared" si="311"/>
        <v>2.4473803263883893E-3</v>
      </c>
      <c r="Z407" s="66">
        <f t="shared" si="311"/>
        <v>2.4906702221544307E-3</v>
      </c>
      <c r="AA407" s="66">
        <f t="shared" si="311"/>
        <v>2.521010046049748E-3</v>
      </c>
      <c r="AB407" s="66">
        <f t="shared" si="311"/>
        <v>2.5419767291927284E-3</v>
      </c>
      <c r="AC407" s="66">
        <f t="shared" si="311"/>
        <v>2.5563252752773664E-3</v>
      </c>
    </row>
    <row r="408" spans="1:29" ht="15" thickBot="1" x14ac:dyDescent="0.35">
      <c r="A408" s="31" t="s">
        <v>210</v>
      </c>
      <c r="B408" s="67">
        <f>B397+B398+B399+B400+B401+B402+B403+B404+B405+B406+B407</f>
        <v>2.8108202021392074E-2</v>
      </c>
      <c r="C408" s="67">
        <f t="shared" ref="C408:AC408" si="312">C397+C398+C399+C400+C401+C402+C403+C404+C405+C406+C407</f>
        <v>2.8112251360050921E-2</v>
      </c>
      <c r="D408" s="67">
        <f t="shared" si="312"/>
        <v>2.8118038614154298E-2</v>
      </c>
      <c r="E408" s="67">
        <f t="shared" si="312"/>
        <v>2.812629821603483E-2</v>
      </c>
      <c r="F408" s="67">
        <f t="shared" si="312"/>
        <v>2.813806254593049E-2</v>
      </c>
      <c r="G408" s="67">
        <f t="shared" si="312"/>
        <v>2.8154769833557535E-2</v>
      </c>
      <c r="H408" s="67">
        <f t="shared" si="312"/>
        <v>2.8178398356174895E-2</v>
      </c>
      <c r="I408" s="67">
        <f t="shared" si="312"/>
        <v>2.8211621543388556E-2</v>
      </c>
      <c r="J408" s="67">
        <f t="shared" si="312"/>
        <v>2.8257966908488089E-2</v>
      </c>
      <c r="K408" s="67">
        <f t="shared" si="312"/>
        <v>2.832194467908121E-2</v>
      </c>
      <c r="L408" s="67">
        <f t="shared" si="312"/>
        <v>2.8409089801866495E-2</v>
      </c>
      <c r="M408" s="67">
        <f t="shared" si="312"/>
        <v>2.852582671519345E-2</v>
      </c>
      <c r="N408" s="67">
        <f t="shared" si="312"/>
        <v>2.8678996730208357E-2</v>
      </c>
      <c r="O408" s="67">
        <f t="shared" si="312"/>
        <v>2.887477504893568E-2</v>
      </c>
      <c r="P408" s="67">
        <f t="shared" si="312"/>
        <v>2.9116672626211308E-2</v>
      </c>
      <c r="Q408" s="67">
        <f t="shared" si="312"/>
        <v>2.9402694463151816E-2</v>
      </c>
      <c r="R408" s="67">
        <f t="shared" si="312"/>
        <v>2.9722717865323427E-2</v>
      </c>
      <c r="S408" s="67">
        <f t="shared" si="312"/>
        <v>3.0058148463857567E-2</v>
      </c>
      <c r="T408" s="67">
        <f t="shared" si="312"/>
        <v>3.0385433043953202E-2</v>
      </c>
      <c r="U408" s="67">
        <f t="shared" si="312"/>
        <v>3.0682462131829614E-2</v>
      </c>
      <c r="V408" s="67">
        <f t="shared" si="312"/>
        <v>3.0934401075642201E-2</v>
      </c>
      <c r="W408" s="67">
        <f t="shared" si="312"/>
        <v>3.1135904285329741E-2</v>
      </c>
      <c r="X408" s="67">
        <f t="shared" si="312"/>
        <v>3.1289533948854406E-2</v>
      </c>
      <c r="Y408" s="67">
        <f t="shared" si="312"/>
        <v>3.1402403370837488E-2</v>
      </c>
      <c r="Z408" s="67">
        <f t="shared" si="312"/>
        <v>3.1483074797313104E-2</v>
      </c>
      <c r="AA408" s="67">
        <f t="shared" si="312"/>
        <v>3.1539600298088041E-2</v>
      </c>
      <c r="AB408" s="67">
        <f t="shared" si="312"/>
        <v>3.1578656807400254E-2</v>
      </c>
      <c r="AC408" s="67">
        <f t="shared" si="312"/>
        <v>3.1605382348182415E-2</v>
      </c>
    </row>
    <row r="410" spans="1:29" x14ac:dyDescent="0.3">
      <c r="B410" s="40"/>
    </row>
    <row r="429" spans="1:1" s="3" customFormat="1" ht="21" x14ac:dyDescent="0.4">
      <c r="A429" s="2" t="str">
        <f>'Parameter Input'!A123</f>
        <v>Railway long-haul:  Neo bulk</v>
      </c>
    </row>
    <row r="430" spans="1:1" s="3" customFormat="1" ht="21" x14ac:dyDescent="0.4">
      <c r="A430" s="2" t="s">
        <v>11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Input'!$L$77</f>
        <v>3500000</v>
      </c>
      <c r="C439" s="42">
        <f>'Parameter Input'!$M$77</f>
        <v>3500000</v>
      </c>
      <c r="D439" s="1" t="s">
        <v>15</v>
      </c>
      <c r="L439" s="51">
        <f>'Parameter Input'!$O$77</f>
        <v>12</v>
      </c>
      <c r="M439" s="52">
        <v>0</v>
      </c>
      <c r="N439" s="52">
        <v>1</v>
      </c>
      <c r="O439" s="52">
        <f>'Parameter Input'!$P$77</f>
        <v>0.9</v>
      </c>
      <c r="P439" s="53">
        <f>'Parameter Input'!$Q$77</f>
        <v>0.4</v>
      </c>
      <c r="Q439" s="4">
        <f t="shared" ref="Q439:AR448" si="313">$N439+($M439-$N439)*((1/(1+EXP(-$P439*(Q$9-$L439)))^$O439))</f>
        <v>0.9867978615748374</v>
      </c>
      <c r="R439" s="4">
        <f t="shared" si="313"/>
        <v>0.98114509762858249</v>
      </c>
      <c r="S439" s="4">
        <f t="shared" si="313"/>
        <v>0.97311898315872036</v>
      </c>
      <c r="T439" s="4">
        <f t="shared" si="313"/>
        <v>0.96177484161592774</v>
      </c>
      <c r="U439" s="4">
        <f t="shared" si="313"/>
        <v>0.94584787155511363</v>
      </c>
      <c r="V439" s="4">
        <f t="shared" si="313"/>
        <v>0.92370360150141495</v>
      </c>
      <c r="W439" s="4">
        <f t="shared" si="313"/>
        <v>0.89334463567658451</v>
      </c>
      <c r="X439" s="4">
        <f t="shared" si="313"/>
        <v>0.85254543874327005</v>
      </c>
      <c r="Y439" s="4">
        <f t="shared" si="313"/>
        <v>0.79921300652623883</v>
      </c>
      <c r="Z439" s="4">
        <f t="shared" si="313"/>
        <v>0.73204982249993378</v>
      </c>
      <c r="AA439" s="4">
        <f t="shared" si="313"/>
        <v>0.65145592958786691</v>
      </c>
      <c r="AB439" s="4">
        <f t="shared" si="313"/>
        <v>0.56032247880849573</v>
      </c>
      <c r="AC439" s="4">
        <f t="shared" si="313"/>
        <v>0.46411326873185343</v>
      </c>
      <c r="AD439" s="4">
        <f t="shared" si="313"/>
        <v>0.36979727595523937</v>
      </c>
      <c r="AE439" s="4">
        <f t="shared" si="313"/>
        <v>0.28393948637231203</v>
      </c>
      <c r="AF439" s="4">
        <f t="shared" si="313"/>
        <v>0.21097259161117732</v>
      </c>
      <c r="AG439" s="4">
        <f t="shared" si="313"/>
        <v>0.15253917653798199</v>
      </c>
      <c r="AH439" s="4">
        <f t="shared" si="313"/>
        <v>0.10795188737709993</v>
      </c>
      <c r="AI439" s="4">
        <f t="shared" si="313"/>
        <v>7.5176653938091809E-2</v>
      </c>
      <c r="AJ439" s="4">
        <f t="shared" si="313"/>
        <v>5.1742836177502194E-2</v>
      </c>
      <c r="AK439" s="4">
        <f t="shared" si="313"/>
        <v>3.5319190625345942E-2</v>
      </c>
      <c r="AL439" s="4">
        <f t="shared" si="313"/>
        <v>2.3969442072658165E-2</v>
      </c>
      <c r="AM439" s="4">
        <f t="shared" si="313"/>
        <v>1.6202243558389728E-2</v>
      </c>
      <c r="AN439" s="4">
        <f t="shared" si="313"/>
        <v>1.0922240564108399E-2</v>
      </c>
      <c r="AO439" s="4">
        <f t="shared" si="313"/>
        <v>7.3493212906090566E-3</v>
      </c>
      <c r="AP439" s="4">
        <f t="shared" si="313"/>
        <v>4.9390262185057265E-3</v>
      </c>
      <c r="AQ439" s="4">
        <f t="shared" si="313"/>
        <v>3.3164275492956197E-3</v>
      </c>
      <c r="AR439" s="4">
        <f t="shared" si="313"/>
        <v>2.2256362146679809E-3</v>
      </c>
    </row>
    <row r="440" spans="1:44" x14ac:dyDescent="0.3">
      <c r="A440" s="24" t="s">
        <v>28</v>
      </c>
      <c r="B440" s="60">
        <f>'Parameter Input'!$L$78</f>
        <v>-525000</v>
      </c>
      <c r="C440" s="61">
        <f>'Parameter Input'!$M$78</f>
        <v>-175000</v>
      </c>
      <c r="D440" s="1" t="s">
        <v>15</v>
      </c>
      <c r="L440" s="54">
        <f>'Parameter Input'!$O$78</f>
        <v>12</v>
      </c>
      <c r="M440" s="37">
        <v>0</v>
      </c>
      <c r="N440" s="37">
        <v>1</v>
      </c>
      <c r="O440" s="37">
        <f>'Parameter Input'!$P$78</f>
        <v>0.9</v>
      </c>
      <c r="P440" s="55">
        <f>'Parameter Input'!$Q$78</f>
        <v>0.4</v>
      </c>
      <c r="Q440" s="4">
        <f t="shared" si="313"/>
        <v>0.9867978615748374</v>
      </c>
      <c r="R440" s="4">
        <f t="shared" si="313"/>
        <v>0.98114509762858249</v>
      </c>
      <c r="S440" s="4">
        <f t="shared" si="313"/>
        <v>0.97311898315872036</v>
      </c>
      <c r="T440" s="4">
        <f t="shared" si="313"/>
        <v>0.96177484161592774</v>
      </c>
      <c r="U440" s="4">
        <f t="shared" si="313"/>
        <v>0.94584787155511363</v>
      </c>
      <c r="V440" s="4">
        <f t="shared" si="313"/>
        <v>0.92370360150141495</v>
      </c>
      <c r="W440" s="4">
        <f t="shared" si="313"/>
        <v>0.89334463567658451</v>
      </c>
      <c r="X440" s="4">
        <f t="shared" si="313"/>
        <v>0.85254543874327005</v>
      </c>
      <c r="Y440" s="4">
        <f t="shared" si="313"/>
        <v>0.79921300652623883</v>
      </c>
      <c r="Z440" s="4">
        <f t="shared" si="313"/>
        <v>0.73204982249993378</v>
      </c>
      <c r="AA440" s="4">
        <f t="shared" si="313"/>
        <v>0.65145592958786691</v>
      </c>
      <c r="AB440" s="4">
        <f t="shared" si="313"/>
        <v>0.56032247880849573</v>
      </c>
      <c r="AC440" s="4">
        <f t="shared" si="313"/>
        <v>0.46411326873185343</v>
      </c>
      <c r="AD440" s="4">
        <f t="shared" si="313"/>
        <v>0.36979727595523937</v>
      </c>
      <c r="AE440" s="4">
        <f t="shared" si="313"/>
        <v>0.28393948637231203</v>
      </c>
      <c r="AF440" s="4">
        <f t="shared" si="313"/>
        <v>0.21097259161117732</v>
      </c>
      <c r="AG440" s="4">
        <f t="shared" si="313"/>
        <v>0.15253917653798199</v>
      </c>
      <c r="AH440" s="4">
        <f t="shared" si="313"/>
        <v>0.10795188737709993</v>
      </c>
      <c r="AI440" s="4">
        <f t="shared" si="313"/>
        <v>7.5176653938091809E-2</v>
      </c>
      <c r="AJ440" s="4">
        <f t="shared" si="313"/>
        <v>5.1742836177502194E-2</v>
      </c>
      <c r="AK440" s="4">
        <f t="shared" si="313"/>
        <v>3.5319190625345942E-2</v>
      </c>
      <c r="AL440" s="4">
        <f t="shared" si="313"/>
        <v>2.3969442072658165E-2</v>
      </c>
      <c r="AM440" s="4">
        <f t="shared" si="313"/>
        <v>1.6202243558389728E-2</v>
      </c>
      <c r="AN440" s="4">
        <f t="shared" si="313"/>
        <v>1.0922240564108399E-2</v>
      </c>
      <c r="AO440" s="4">
        <f t="shared" si="313"/>
        <v>7.3493212906090566E-3</v>
      </c>
      <c r="AP440" s="4">
        <f t="shared" si="313"/>
        <v>4.9390262185057265E-3</v>
      </c>
      <c r="AQ440" s="4">
        <f t="shared" si="313"/>
        <v>3.3164275492956197E-3</v>
      </c>
      <c r="AR440" s="4">
        <f t="shared" si="313"/>
        <v>2.2256362146679809E-3</v>
      </c>
    </row>
    <row r="441" spans="1:44" x14ac:dyDescent="0.3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13"/>
        <v>0.9867978615748374</v>
      </c>
      <c r="R441" s="4">
        <f t="shared" si="313"/>
        <v>0.98114509762858249</v>
      </c>
      <c r="S441" s="4">
        <f t="shared" si="313"/>
        <v>0.97311898315872036</v>
      </c>
      <c r="T441" s="4">
        <f t="shared" si="313"/>
        <v>0.96177484161592774</v>
      </c>
      <c r="U441" s="4">
        <f t="shared" si="313"/>
        <v>0.94584787155511363</v>
      </c>
      <c r="V441" s="4">
        <f t="shared" si="313"/>
        <v>0.92370360150141495</v>
      </c>
      <c r="W441" s="4">
        <f t="shared" si="313"/>
        <v>0.89334463567658451</v>
      </c>
      <c r="X441" s="4">
        <f t="shared" si="313"/>
        <v>0.85254543874327005</v>
      </c>
      <c r="Y441" s="4">
        <f t="shared" si="313"/>
        <v>0.79921300652623883</v>
      </c>
      <c r="Z441" s="4">
        <f t="shared" si="313"/>
        <v>0.73204982249993378</v>
      </c>
      <c r="AA441" s="4">
        <f t="shared" si="313"/>
        <v>0.65145592958786691</v>
      </c>
      <c r="AB441" s="4">
        <f t="shared" si="313"/>
        <v>0.56032247880849573</v>
      </c>
      <c r="AC441" s="4">
        <f t="shared" si="313"/>
        <v>0.46411326873185343</v>
      </c>
      <c r="AD441" s="4">
        <f t="shared" si="313"/>
        <v>0.36979727595523937</v>
      </c>
      <c r="AE441" s="4">
        <f t="shared" si="313"/>
        <v>0.28393948637231203</v>
      </c>
      <c r="AF441" s="4">
        <f t="shared" si="313"/>
        <v>0.21097259161117732</v>
      </c>
      <c r="AG441" s="4">
        <f t="shared" si="313"/>
        <v>0.15253917653798199</v>
      </c>
      <c r="AH441" s="4">
        <f t="shared" si="313"/>
        <v>0.10795188737709993</v>
      </c>
      <c r="AI441" s="4">
        <f t="shared" si="313"/>
        <v>7.5176653938091809E-2</v>
      </c>
      <c r="AJ441" s="4">
        <f t="shared" si="313"/>
        <v>5.1742836177502194E-2</v>
      </c>
      <c r="AK441" s="4">
        <f t="shared" si="313"/>
        <v>3.5319190625345942E-2</v>
      </c>
      <c r="AL441" s="4">
        <f t="shared" si="313"/>
        <v>2.3969442072658165E-2</v>
      </c>
      <c r="AM441" s="4">
        <f t="shared" si="313"/>
        <v>1.6202243558389728E-2</v>
      </c>
      <c r="AN441" s="4">
        <f t="shared" si="313"/>
        <v>1.0922240564108399E-2</v>
      </c>
      <c r="AO441" s="4">
        <f t="shared" si="313"/>
        <v>7.3493212906090566E-3</v>
      </c>
      <c r="AP441" s="4">
        <f t="shared" si="313"/>
        <v>4.9390262185057265E-3</v>
      </c>
      <c r="AQ441" s="4">
        <f t="shared" si="313"/>
        <v>3.3164275492956197E-3</v>
      </c>
      <c r="AR441" s="4">
        <f t="shared" si="313"/>
        <v>2.2256362146679809E-3</v>
      </c>
    </row>
    <row r="442" spans="1:44" x14ac:dyDescent="0.3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13"/>
        <v>0.9867978615748374</v>
      </c>
      <c r="R442" s="4">
        <f t="shared" si="313"/>
        <v>0.98114509762858249</v>
      </c>
      <c r="S442" s="4">
        <f t="shared" si="313"/>
        <v>0.97311898315872036</v>
      </c>
      <c r="T442" s="4">
        <f t="shared" si="313"/>
        <v>0.96177484161592774</v>
      </c>
      <c r="U442" s="4">
        <f t="shared" si="313"/>
        <v>0.94584787155511363</v>
      </c>
      <c r="V442" s="4">
        <f t="shared" si="313"/>
        <v>0.92370360150141495</v>
      </c>
      <c r="W442" s="4">
        <f t="shared" si="313"/>
        <v>0.89334463567658451</v>
      </c>
      <c r="X442" s="4">
        <f t="shared" si="313"/>
        <v>0.85254543874327005</v>
      </c>
      <c r="Y442" s="4">
        <f t="shared" si="313"/>
        <v>0.79921300652623883</v>
      </c>
      <c r="Z442" s="4">
        <f t="shared" si="313"/>
        <v>0.73204982249993378</v>
      </c>
      <c r="AA442" s="4">
        <f t="shared" si="313"/>
        <v>0.65145592958786691</v>
      </c>
      <c r="AB442" s="4">
        <f t="shared" si="313"/>
        <v>0.56032247880849573</v>
      </c>
      <c r="AC442" s="4">
        <f t="shared" si="313"/>
        <v>0.46411326873185343</v>
      </c>
      <c r="AD442" s="4">
        <f t="shared" si="313"/>
        <v>0.36979727595523937</v>
      </c>
      <c r="AE442" s="4">
        <f t="shared" si="313"/>
        <v>0.28393948637231203</v>
      </c>
      <c r="AF442" s="4">
        <f t="shared" si="313"/>
        <v>0.21097259161117732</v>
      </c>
      <c r="AG442" s="4">
        <f t="shared" si="313"/>
        <v>0.15253917653798199</v>
      </c>
      <c r="AH442" s="4">
        <f t="shared" si="313"/>
        <v>0.10795188737709993</v>
      </c>
      <c r="AI442" s="4">
        <f t="shared" si="313"/>
        <v>7.5176653938091809E-2</v>
      </c>
      <c r="AJ442" s="4">
        <f t="shared" si="313"/>
        <v>5.1742836177502194E-2</v>
      </c>
      <c r="AK442" s="4">
        <f t="shared" si="313"/>
        <v>3.5319190625345942E-2</v>
      </c>
      <c r="AL442" s="4">
        <f t="shared" si="313"/>
        <v>2.3969442072658165E-2</v>
      </c>
      <c r="AM442" s="4">
        <f t="shared" si="313"/>
        <v>1.6202243558389728E-2</v>
      </c>
      <c r="AN442" s="4">
        <f t="shared" si="313"/>
        <v>1.0922240564108399E-2</v>
      </c>
      <c r="AO442" s="4">
        <f t="shared" si="313"/>
        <v>7.3493212906090566E-3</v>
      </c>
      <c r="AP442" s="4">
        <f t="shared" si="313"/>
        <v>4.9390262185057265E-3</v>
      </c>
      <c r="AQ442" s="4">
        <f t="shared" si="313"/>
        <v>3.3164275492956197E-3</v>
      </c>
      <c r="AR442" s="4">
        <f t="shared" si="313"/>
        <v>2.2256362146679809E-3</v>
      </c>
    </row>
    <row r="443" spans="1:44" x14ac:dyDescent="0.3">
      <c r="A443" s="24" t="s">
        <v>79</v>
      </c>
      <c r="B443" s="45">
        <f>'Parameter Input'!$L$84</f>
        <v>0.06</v>
      </c>
      <c r="C443" s="46">
        <f>'Parameter Input'!$M$84</f>
        <v>0.06</v>
      </c>
      <c r="D443" s="1" t="s">
        <v>57</v>
      </c>
      <c r="L443" s="54">
        <f>'Parameter Input'!$O$84</f>
        <v>12</v>
      </c>
      <c r="M443" s="37">
        <v>0</v>
      </c>
      <c r="N443" s="37">
        <v>1</v>
      </c>
      <c r="O443" s="37">
        <f>'Parameter Input'!$P$84</f>
        <v>0.9</v>
      </c>
      <c r="P443" s="55">
        <f>'Parameter Input'!$Q$84</f>
        <v>0.4</v>
      </c>
      <c r="Q443" s="4">
        <f t="shared" si="313"/>
        <v>0.9867978615748374</v>
      </c>
      <c r="R443" s="4">
        <f t="shared" si="313"/>
        <v>0.98114509762858249</v>
      </c>
      <c r="S443" s="4">
        <f t="shared" si="313"/>
        <v>0.97311898315872036</v>
      </c>
      <c r="T443" s="4">
        <f t="shared" si="313"/>
        <v>0.96177484161592774</v>
      </c>
      <c r="U443" s="4">
        <f t="shared" si="313"/>
        <v>0.94584787155511363</v>
      </c>
      <c r="V443" s="4">
        <f t="shared" si="313"/>
        <v>0.92370360150141495</v>
      </c>
      <c r="W443" s="4">
        <f t="shared" si="313"/>
        <v>0.89334463567658451</v>
      </c>
      <c r="X443" s="4">
        <f t="shared" si="313"/>
        <v>0.85254543874327005</v>
      </c>
      <c r="Y443" s="4">
        <f t="shared" si="313"/>
        <v>0.79921300652623883</v>
      </c>
      <c r="Z443" s="4">
        <f t="shared" si="313"/>
        <v>0.73204982249993378</v>
      </c>
      <c r="AA443" s="4">
        <f t="shared" si="313"/>
        <v>0.65145592958786691</v>
      </c>
      <c r="AB443" s="4">
        <f t="shared" si="313"/>
        <v>0.56032247880849573</v>
      </c>
      <c r="AC443" s="4">
        <f t="shared" si="313"/>
        <v>0.46411326873185343</v>
      </c>
      <c r="AD443" s="4">
        <f t="shared" si="313"/>
        <v>0.36979727595523937</v>
      </c>
      <c r="AE443" s="4">
        <f t="shared" si="313"/>
        <v>0.28393948637231203</v>
      </c>
      <c r="AF443" s="4">
        <f t="shared" si="313"/>
        <v>0.21097259161117732</v>
      </c>
      <c r="AG443" s="4">
        <f t="shared" si="313"/>
        <v>0.15253917653798199</v>
      </c>
      <c r="AH443" s="4">
        <f t="shared" si="313"/>
        <v>0.10795188737709993</v>
      </c>
      <c r="AI443" s="4">
        <f t="shared" si="313"/>
        <v>7.5176653938091809E-2</v>
      </c>
      <c r="AJ443" s="4">
        <f t="shared" si="313"/>
        <v>5.1742836177502194E-2</v>
      </c>
      <c r="AK443" s="4">
        <f t="shared" si="313"/>
        <v>3.5319190625345942E-2</v>
      </c>
      <c r="AL443" s="4">
        <f t="shared" si="313"/>
        <v>2.3969442072658165E-2</v>
      </c>
      <c r="AM443" s="4">
        <f t="shared" si="313"/>
        <v>1.6202243558389728E-2</v>
      </c>
      <c r="AN443" s="4">
        <f t="shared" si="313"/>
        <v>1.0922240564108399E-2</v>
      </c>
      <c r="AO443" s="4">
        <f t="shared" si="313"/>
        <v>7.3493212906090566E-3</v>
      </c>
      <c r="AP443" s="4">
        <f t="shared" si="313"/>
        <v>4.9390262185057265E-3</v>
      </c>
      <c r="AQ443" s="4">
        <f t="shared" si="313"/>
        <v>3.3164275492956197E-3</v>
      </c>
      <c r="AR443" s="4">
        <f t="shared" si="313"/>
        <v>2.2256362146679809E-3</v>
      </c>
    </row>
    <row r="444" spans="1:44" x14ac:dyDescent="0.3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13"/>
        <v>0.9867978615748374</v>
      </c>
      <c r="R444" s="4">
        <f t="shared" si="313"/>
        <v>0.98114509762858249</v>
      </c>
      <c r="S444" s="4">
        <f t="shared" si="313"/>
        <v>0.97311898315872036</v>
      </c>
      <c r="T444" s="4">
        <f t="shared" si="313"/>
        <v>0.96177484161592774</v>
      </c>
      <c r="U444" s="4">
        <f t="shared" si="313"/>
        <v>0.94584787155511363</v>
      </c>
      <c r="V444" s="4">
        <f t="shared" si="313"/>
        <v>0.92370360150141495</v>
      </c>
      <c r="W444" s="4">
        <f t="shared" si="313"/>
        <v>0.89334463567658451</v>
      </c>
      <c r="X444" s="4">
        <f t="shared" si="313"/>
        <v>0.85254543874327005</v>
      </c>
      <c r="Y444" s="4">
        <f t="shared" si="313"/>
        <v>0.79921300652623883</v>
      </c>
      <c r="Z444" s="4">
        <f t="shared" si="313"/>
        <v>0.73204982249993378</v>
      </c>
      <c r="AA444" s="4">
        <f t="shared" si="313"/>
        <v>0.65145592958786691</v>
      </c>
      <c r="AB444" s="4">
        <f t="shared" si="313"/>
        <v>0.56032247880849573</v>
      </c>
      <c r="AC444" s="4">
        <f t="shared" si="313"/>
        <v>0.46411326873185343</v>
      </c>
      <c r="AD444" s="4">
        <f t="shared" si="313"/>
        <v>0.36979727595523937</v>
      </c>
      <c r="AE444" s="4">
        <f t="shared" si="313"/>
        <v>0.28393948637231203</v>
      </c>
      <c r="AF444" s="4">
        <f t="shared" si="313"/>
        <v>0.21097259161117732</v>
      </c>
      <c r="AG444" s="4">
        <f t="shared" si="313"/>
        <v>0.15253917653798199</v>
      </c>
      <c r="AH444" s="4">
        <f t="shared" si="313"/>
        <v>0.10795188737709993</v>
      </c>
      <c r="AI444" s="4">
        <f t="shared" si="313"/>
        <v>7.5176653938091809E-2</v>
      </c>
      <c r="AJ444" s="4">
        <f t="shared" si="313"/>
        <v>5.1742836177502194E-2</v>
      </c>
      <c r="AK444" s="4">
        <f t="shared" si="313"/>
        <v>3.5319190625345942E-2</v>
      </c>
      <c r="AL444" s="4">
        <f t="shared" si="313"/>
        <v>2.3969442072658165E-2</v>
      </c>
      <c r="AM444" s="4">
        <f t="shared" si="313"/>
        <v>1.6202243558389728E-2</v>
      </c>
      <c r="AN444" s="4">
        <f t="shared" si="313"/>
        <v>1.0922240564108399E-2</v>
      </c>
      <c r="AO444" s="4">
        <f t="shared" si="313"/>
        <v>7.3493212906090566E-3</v>
      </c>
      <c r="AP444" s="4">
        <f t="shared" si="313"/>
        <v>4.9390262185057265E-3</v>
      </c>
      <c r="AQ444" s="4">
        <f t="shared" si="313"/>
        <v>3.3164275492956197E-3</v>
      </c>
      <c r="AR444" s="4">
        <f t="shared" si="313"/>
        <v>2.2256362146679809E-3</v>
      </c>
    </row>
    <row r="445" spans="1:44" x14ac:dyDescent="0.3">
      <c r="A445" s="24" t="s">
        <v>52</v>
      </c>
      <c r="B445" s="43">
        <f>'Parameter Input'!$L$80</f>
        <v>1050000</v>
      </c>
      <c r="C445" s="44">
        <f>'Parameter Input'!$M$80</f>
        <v>1050000</v>
      </c>
      <c r="D445" s="1" t="s">
        <v>38</v>
      </c>
      <c r="L445" s="54">
        <f>'Parameter Input'!$O$80</f>
        <v>12</v>
      </c>
      <c r="M445" s="37">
        <v>0</v>
      </c>
      <c r="N445" s="37">
        <v>1</v>
      </c>
      <c r="O445" s="37">
        <f>'Parameter Input'!$P$80</f>
        <v>0.9</v>
      </c>
      <c r="P445" s="55">
        <f>'Parameter Input'!$Q$80</f>
        <v>0.4</v>
      </c>
      <c r="Q445" s="4">
        <f t="shared" si="313"/>
        <v>0.9867978615748374</v>
      </c>
      <c r="R445" s="4">
        <f t="shared" si="313"/>
        <v>0.98114509762858249</v>
      </c>
      <c r="S445" s="4">
        <f t="shared" si="313"/>
        <v>0.97311898315872036</v>
      </c>
      <c r="T445" s="4">
        <f t="shared" si="313"/>
        <v>0.96177484161592774</v>
      </c>
      <c r="U445" s="4">
        <f t="shared" si="313"/>
        <v>0.94584787155511363</v>
      </c>
      <c r="V445" s="4">
        <f t="shared" si="313"/>
        <v>0.92370360150141495</v>
      </c>
      <c r="W445" s="4">
        <f t="shared" si="313"/>
        <v>0.89334463567658451</v>
      </c>
      <c r="X445" s="4">
        <f t="shared" si="313"/>
        <v>0.85254543874327005</v>
      </c>
      <c r="Y445" s="4">
        <f t="shared" si="313"/>
        <v>0.79921300652623883</v>
      </c>
      <c r="Z445" s="4">
        <f t="shared" si="313"/>
        <v>0.73204982249993378</v>
      </c>
      <c r="AA445" s="4">
        <f t="shared" si="313"/>
        <v>0.65145592958786691</v>
      </c>
      <c r="AB445" s="4">
        <f t="shared" si="313"/>
        <v>0.56032247880849573</v>
      </c>
      <c r="AC445" s="4">
        <f t="shared" si="313"/>
        <v>0.46411326873185343</v>
      </c>
      <c r="AD445" s="4">
        <f t="shared" si="313"/>
        <v>0.36979727595523937</v>
      </c>
      <c r="AE445" s="4">
        <f t="shared" si="313"/>
        <v>0.28393948637231203</v>
      </c>
      <c r="AF445" s="4">
        <f t="shared" si="313"/>
        <v>0.21097259161117732</v>
      </c>
      <c r="AG445" s="4">
        <f t="shared" si="313"/>
        <v>0.15253917653798199</v>
      </c>
      <c r="AH445" s="4">
        <f t="shared" si="313"/>
        <v>0.10795188737709993</v>
      </c>
      <c r="AI445" s="4">
        <f t="shared" si="313"/>
        <v>7.5176653938091809E-2</v>
      </c>
      <c r="AJ445" s="4">
        <f t="shared" si="313"/>
        <v>5.1742836177502194E-2</v>
      </c>
      <c r="AK445" s="4">
        <f t="shared" si="313"/>
        <v>3.5319190625345942E-2</v>
      </c>
      <c r="AL445" s="4">
        <f t="shared" si="313"/>
        <v>2.3969442072658165E-2</v>
      </c>
      <c r="AM445" s="4">
        <f t="shared" si="313"/>
        <v>1.6202243558389728E-2</v>
      </c>
      <c r="AN445" s="4">
        <f t="shared" si="313"/>
        <v>1.0922240564108399E-2</v>
      </c>
      <c r="AO445" s="4">
        <f t="shared" si="313"/>
        <v>7.3493212906090566E-3</v>
      </c>
      <c r="AP445" s="4">
        <f t="shared" si="313"/>
        <v>4.9390262185057265E-3</v>
      </c>
      <c r="AQ445" s="4">
        <f t="shared" si="313"/>
        <v>3.3164275492956197E-3</v>
      </c>
      <c r="AR445" s="4">
        <f t="shared" si="313"/>
        <v>2.2256362146679809E-3</v>
      </c>
    </row>
    <row r="446" spans="1:44" x14ac:dyDescent="0.3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13"/>
        <v>0.9867978615748374</v>
      </c>
      <c r="R446" s="4">
        <f t="shared" si="313"/>
        <v>0.98114509762858249</v>
      </c>
      <c r="S446" s="4">
        <f t="shared" si="313"/>
        <v>0.97311898315872036</v>
      </c>
      <c r="T446" s="4">
        <f t="shared" si="313"/>
        <v>0.96177484161592774</v>
      </c>
      <c r="U446" s="4">
        <f t="shared" si="313"/>
        <v>0.94584787155511363</v>
      </c>
      <c r="V446" s="4">
        <f t="shared" si="313"/>
        <v>0.92370360150141495</v>
      </c>
      <c r="W446" s="4">
        <f t="shared" si="313"/>
        <v>0.89334463567658451</v>
      </c>
      <c r="X446" s="4">
        <f t="shared" si="313"/>
        <v>0.85254543874327005</v>
      </c>
      <c r="Y446" s="4">
        <f t="shared" si="313"/>
        <v>0.79921300652623883</v>
      </c>
      <c r="Z446" s="4">
        <f t="shared" si="313"/>
        <v>0.73204982249993378</v>
      </c>
      <c r="AA446" s="4">
        <f t="shared" si="313"/>
        <v>0.65145592958786691</v>
      </c>
      <c r="AB446" s="4">
        <f t="shared" si="313"/>
        <v>0.56032247880849573</v>
      </c>
      <c r="AC446" s="4">
        <f t="shared" si="313"/>
        <v>0.46411326873185343</v>
      </c>
      <c r="AD446" s="4">
        <f t="shared" si="313"/>
        <v>0.36979727595523937</v>
      </c>
      <c r="AE446" s="4">
        <f t="shared" si="313"/>
        <v>0.28393948637231203</v>
      </c>
      <c r="AF446" s="4">
        <f t="shared" si="313"/>
        <v>0.21097259161117732</v>
      </c>
      <c r="AG446" s="4">
        <f t="shared" si="313"/>
        <v>0.15253917653798199</v>
      </c>
      <c r="AH446" s="4">
        <f t="shared" si="313"/>
        <v>0.10795188737709993</v>
      </c>
      <c r="AI446" s="4">
        <f t="shared" si="313"/>
        <v>7.5176653938091809E-2</v>
      </c>
      <c r="AJ446" s="4">
        <f t="shared" si="313"/>
        <v>5.1742836177502194E-2</v>
      </c>
      <c r="AK446" s="4">
        <f t="shared" si="313"/>
        <v>3.5319190625345942E-2</v>
      </c>
      <c r="AL446" s="4">
        <f t="shared" si="313"/>
        <v>2.3969442072658165E-2</v>
      </c>
      <c r="AM446" s="4">
        <f t="shared" si="313"/>
        <v>1.6202243558389728E-2</v>
      </c>
      <c r="AN446" s="4">
        <f t="shared" si="313"/>
        <v>1.0922240564108399E-2</v>
      </c>
      <c r="AO446" s="4">
        <f t="shared" si="313"/>
        <v>7.3493212906090566E-3</v>
      </c>
      <c r="AP446" s="4">
        <f t="shared" si="313"/>
        <v>4.9390262185057265E-3</v>
      </c>
      <c r="AQ446" s="4">
        <f t="shared" si="313"/>
        <v>3.3164275492956197E-3</v>
      </c>
      <c r="AR446" s="4">
        <f t="shared" si="313"/>
        <v>2.2256362146679809E-3</v>
      </c>
    </row>
    <row r="447" spans="1:44" x14ac:dyDescent="0.3">
      <c r="A447" s="24" t="s">
        <v>59</v>
      </c>
      <c r="B447" s="47">
        <f>'Parameter Input'!$L$81</f>
        <v>62.083200000000005</v>
      </c>
      <c r="C447" s="48">
        <f>'Parameter Input'!$M$81</f>
        <v>62.083200000000005</v>
      </c>
      <c r="D447" s="1" t="s">
        <v>60</v>
      </c>
      <c r="L447" s="54">
        <f>'Parameter Input'!$O$81</f>
        <v>12</v>
      </c>
      <c r="M447" s="37">
        <v>0</v>
      </c>
      <c r="N447" s="37">
        <v>1</v>
      </c>
      <c r="O447" s="37">
        <f>'Parameter Input'!$P$81</f>
        <v>0.9</v>
      </c>
      <c r="P447" s="55">
        <f>'Parameter Input'!$Q$81</f>
        <v>0.4</v>
      </c>
      <c r="Q447" s="4">
        <f t="shared" si="313"/>
        <v>0.9867978615748374</v>
      </c>
      <c r="R447" s="4">
        <f t="shared" si="313"/>
        <v>0.98114509762858249</v>
      </c>
      <c r="S447" s="4">
        <f t="shared" si="313"/>
        <v>0.97311898315872036</v>
      </c>
      <c r="T447" s="4">
        <f t="shared" si="313"/>
        <v>0.96177484161592774</v>
      </c>
      <c r="U447" s="4">
        <f t="shared" si="313"/>
        <v>0.94584787155511363</v>
      </c>
      <c r="V447" s="4">
        <f t="shared" si="313"/>
        <v>0.92370360150141495</v>
      </c>
      <c r="W447" s="4">
        <f t="shared" si="313"/>
        <v>0.89334463567658451</v>
      </c>
      <c r="X447" s="4">
        <f t="shared" si="313"/>
        <v>0.85254543874327005</v>
      </c>
      <c r="Y447" s="4">
        <f t="shared" si="313"/>
        <v>0.79921300652623883</v>
      </c>
      <c r="Z447" s="4">
        <f t="shared" si="313"/>
        <v>0.73204982249993378</v>
      </c>
      <c r="AA447" s="4">
        <f t="shared" si="313"/>
        <v>0.65145592958786691</v>
      </c>
      <c r="AB447" s="4">
        <f t="shared" si="313"/>
        <v>0.56032247880849573</v>
      </c>
      <c r="AC447" s="4">
        <f t="shared" si="313"/>
        <v>0.46411326873185343</v>
      </c>
      <c r="AD447" s="4">
        <f t="shared" si="313"/>
        <v>0.36979727595523937</v>
      </c>
      <c r="AE447" s="4">
        <f t="shared" si="313"/>
        <v>0.28393948637231203</v>
      </c>
      <c r="AF447" s="4">
        <f t="shared" si="313"/>
        <v>0.21097259161117732</v>
      </c>
      <c r="AG447" s="4">
        <f t="shared" si="313"/>
        <v>0.15253917653798199</v>
      </c>
      <c r="AH447" s="4">
        <f t="shared" si="313"/>
        <v>0.10795188737709993</v>
      </c>
      <c r="AI447" s="4">
        <f t="shared" si="313"/>
        <v>7.5176653938091809E-2</v>
      </c>
      <c r="AJ447" s="4">
        <f t="shared" si="313"/>
        <v>5.1742836177502194E-2</v>
      </c>
      <c r="AK447" s="4">
        <f t="shared" si="313"/>
        <v>3.5319190625345942E-2</v>
      </c>
      <c r="AL447" s="4">
        <f t="shared" si="313"/>
        <v>2.3969442072658165E-2</v>
      </c>
      <c r="AM447" s="4">
        <f t="shared" si="313"/>
        <v>1.6202243558389728E-2</v>
      </c>
      <c r="AN447" s="4">
        <f t="shared" si="313"/>
        <v>1.0922240564108399E-2</v>
      </c>
      <c r="AO447" s="4">
        <f t="shared" si="313"/>
        <v>7.3493212906090566E-3</v>
      </c>
      <c r="AP447" s="4">
        <f t="shared" si="313"/>
        <v>4.9390262185057265E-3</v>
      </c>
      <c r="AQ447" s="4">
        <f t="shared" si="313"/>
        <v>3.3164275492956197E-3</v>
      </c>
      <c r="AR447" s="4">
        <f t="shared" si="313"/>
        <v>2.2256362146679809E-3</v>
      </c>
    </row>
    <row r="448" spans="1:44" x14ac:dyDescent="0.3">
      <c r="A448" s="24" t="s">
        <v>67</v>
      </c>
      <c r="B448" s="45">
        <f>'Parameter Input'!$L$82</f>
        <v>0.1</v>
      </c>
      <c r="C448" s="46">
        <f>'Parameter Input'!$M$82</f>
        <v>0.1</v>
      </c>
      <c r="D448" s="1" t="s">
        <v>68</v>
      </c>
      <c r="L448" s="54">
        <f>'Parameter Input'!$O$82</f>
        <v>12</v>
      </c>
      <c r="M448" s="37">
        <v>0</v>
      </c>
      <c r="N448" s="37">
        <v>1</v>
      </c>
      <c r="O448" s="37">
        <f>'Parameter Input'!$P$82</f>
        <v>0.9</v>
      </c>
      <c r="P448" s="55">
        <f>'Parameter Input'!$Q$82</f>
        <v>0.4</v>
      </c>
      <c r="Q448" s="4">
        <f t="shared" si="313"/>
        <v>0.9867978615748374</v>
      </c>
      <c r="R448" s="4">
        <f t="shared" si="313"/>
        <v>0.98114509762858249</v>
      </c>
      <c r="S448" s="4">
        <f t="shared" si="313"/>
        <v>0.97311898315872036</v>
      </c>
      <c r="T448" s="4">
        <f t="shared" ref="T448:AI455" si="314">$N448+($M448-$N448)*((1/(1+EXP(-$P448*(T$9-$L448)))^$O448))</f>
        <v>0.96177484161592774</v>
      </c>
      <c r="U448" s="4">
        <f t="shared" si="314"/>
        <v>0.94584787155511363</v>
      </c>
      <c r="V448" s="4">
        <f t="shared" si="314"/>
        <v>0.92370360150141495</v>
      </c>
      <c r="W448" s="4">
        <f t="shared" si="314"/>
        <v>0.89334463567658451</v>
      </c>
      <c r="X448" s="4">
        <f t="shared" si="314"/>
        <v>0.85254543874327005</v>
      </c>
      <c r="Y448" s="4">
        <f t="shared" si="314"/>
        <v>0.79921300652623883</v>
      </c>
      <c r="Z448" s="4">
        <f t="shared" si="314"/>
        <v>0.73204982249993378</v>
      </c>
      <c r="AA448" s="4">
        <f t="shared" si="314"/>
        <v>0.65145592958786691</v>
      </c>
      <c r="AB448" s="4">
        <f t="shared" si="314"/>
        <v>0.56032247880849573</v>
      </c>
      <c r="AC448" s="4">
        <f t="shared" si="314"/>
        <v>0.46411326873185343</v>
      </c>
      <c r="AD448" s="4">
        <f t="shared" si="314"/>
        <v>0.36979727595523937</v>
      </c>
      <c r="AE448" s="4">
        <f t="shared" si="314"/>
        <v>0.28393948637231203</v>
      </c>
      <c r="AF448" s="4">
        <f t="shared" si="314"/>
        <v>0.21097259161117732</v>
      </c>
      <c r="AG448" s="4">
        <f t="shared" si="314"/>
        <v>0.15253917653798199</v>
      </c>
      <c r="AH448" s="4">
        <f t="shared" si="314"/>
        <v>0.10795188737709993</v>
      </c>
      <c r="AI448" s="4">
        <f t="shared" si="314"/>
        <v>7.5176653938091809E-2</v>
      </c>
      <c r="AJ448" s="4">
        <f t="shared" ref="AJ448:AR455" si="315">$N448+($M448-$N448)*((1/(1+EXP(-$P448*(AJ$9-$L448)))^$O448))</f>
        <v>5.1742836177502194E-2</v>
      </c>
      <c r="AK448" s="4">
        <f t="shared" si="315"/>
        <v>3.5319190625345942E-2</v>
      </c>
      <c r="AL448" s="4">
        <f t="shared" si="315"/>
        <v>2.3969442072658165E-2</v>
      </c>
      <c r="AM448" s="4">
        <f t="shared" si="315"/>
        <v>1.6202243558389728E-2</v>
      </c>
      <c r="AN448" s="4">
        <f t="shared" si="315"/>
        <v>1.0922240564108399E-2</v>
      </c>
      <c r="AO448" s="4">
        <f t="shared" si="315"/>
        <v>7.3493212906090566E-3</v>
      </c>
      <c r="AP448" s="4">
        <f t="shared" si="315"/>
        <v>4.9390262185057265E-3</v>
      </c>
      <c r="AQ448" s="4">
        <f t="shared" si="315"/>
        <v>3.3164275492956197E-3</v>
      </c>
      <c r="AR448" s="4">
        <f t="shared" si="315"/>
        <v>2.2256362146679809E-3</v>
      </c>
    </row>
    <row r="449" spans="1:44" x14ac:dyDescent="0.3">
      <c r="A449" s="24" t="s">
        <v>206</v>
      </c>
      <c r="B449" s="45">
        <f>'Parameter Input'!L85</f>
        <v>1.6552039024390244</v>
      </c>
      <c r="C449" s="46">
        <f>'Parameter Input'!M85</f>
        <v>5.7932136585365859</v>
      </c>
      <c r="D449" s="1"/>
      <c r="L449" s="54">
        <f>'Parameter Input'!O85</f>
        <v>17</v>
      </c>
      <c r="M449" s="37">
        <v>0</v>
      </c>
      <c r="N449" s="37">
        <v>1</v>
      </c>
      <c r="O449" s="37">
        <f>'Parameter Input'!P85</f>
        <v>0.9</v>
      </c>
      <c r="P449" s="55">
        <f>'Parameter Input'!Q85</f>
        <v>0.4</v>
      </c>
      <c r="Q449" s="4">
        <f t="shared" ref="Q449:AR449" si="316">$N449+($M449-$N449)*((1/(1+EXP(-$P449*(Q$9-$L449)))^$O449))</f>
        <v>0.99780374543478534</v>
      </c>
      <c r="R449" s="4">
        <f t="shared" si="316"/>
        <v>0.99685359315256394</v>
      </c>
      <c r="S449" s="4">
        <f t="shared" si="316"/>
        <v>0.99549347132349975</v>
      </c>
      <c r="T449" s="4">
        <f t="shared" si="316"/>
        <v>0.99354772139898062</v>
      </c>
      <c r="U449" s="4">
        <f t="shared" si="316"/>
        <v>0.99076681540580536</v>
      </c>
      <c r="V449" s="4">
        <f t="shared" si="316"/>
        <v>0.9867978615748374</v>
      </c>
      <c r="W449" s="4">
        <f t="shared" si="316"/>
        <v>0.98114509762858249</v>
      </c>
      <c r="X449" s="4">
        <f t="shared" si="316"/>
        <v>0.97311898315872036</v>
      </c>
      <c r="Y449" s="4">
        <f t="shared" si="316"/>
        <v>0.96177484161592774</v>
      </c>
      <c r="Z449" s="4">
        <f t="shared" si="316"/>
        <v>0.94584787155511363</v>
      </c>
      <c r="AA449" s="4">
        <f t="shared" si="316"/>
        <v>0.92370360150141495</v>
      </c>
      <c r="AB449" s="4">
        <f t="shared" si="316"/>
        <v>0.89334463567658451</v>
      </c>
      <c r="AC449" s="4">
        <f t="shared" si="316"/>
        <v>0.85254543874327005</v>
      </c>
      <c r="AD449" s="4">
        <f t="shared" si="316"/>
        <v>0.79921300652623883</v>
      </c>
      <c r="AE449" s="4">
        <f t="shared" si="316"/>
        <v>0.73204982249993378</v>
      </c>
      <c r="AF449" s="4">
        <f t="shared" si="316"/>
        <v>0.65145592958786691</v>
      </c>
      <c r="AG449" s="4">
        <f t="shared" si="316"/>
        <v>0.56032247880849573</v>
      </c>
      <c r="AH449" s="4">
        <f t="shared" si="316"/>
        <v>0.46411326873185343</v>
      </c>
      <c r="AI449" s="4">
        <f t="shared" si="316"/>
        <v>0.36979727595523937</v>
      </c>
      <c r="AJ449" s="4">
        <f t="shared" si="316"/>
        <v>0.28393948637231203</v>
      </c>
      <c r="AK449" s="4">
        <f t="shared" si="316"/>
        <v>0.21097259161117732</v>
      </c>
      <c r="AL449" s="4">
        <f t="shared" si="316"/>
        <v>0.15253917653798199</v>
      </c>
      <c r="AM449" s="4">
        <f t="shared" si="316"/>
        <v>0.10795188737709993</v>
      </c>
      <c r="AN449" s="4">
        <f t="shared" si="316"/>
        <v>7.5176653938091809E-2</v>
      </c>
      <c r="AO449" s="4">
        <f t="shared" si="316"/>
        <v>5.1742836177502194E-2</v>
      </c>
      <c r="AP449" s="4">
        <f t="shared" si="316"/>
        <v>3.5319190625345942E-2</v>
      </c>
      <c r="AQ449" s="4">
        <f t="shared" si="316"/>
        <v>2.3969442072658165E-2</v>
      </c>
      <c r="AR449" s="4">
        <f t="shared" si="316"/>
        <v>1.6202243558389728E-2</v>
      </c>
    </row>
    <row r="450" spans="1:44" x14ac:dyDescent="0.3">
      <c r="A450" s="24" t="s">
        <v>41</v>
      </c>
      <c r="B450" s="43">
        <f>'Parameter Input'!$L$79</f>
        <v>20</v>
      </c>
      <c r="C450" s="44">
        <f>'Parameter Input'!$M$79</f>
        <v>20</v>
      </c>
      <c r="D450" s="1" t="s">
        <v>42</v>
      </c>
      <c r="L450" s="54">
        <f>'Parameter Input'!$O$79</f>
        <v>12</v>
      </c>
      <c r="M450" s="37">
        <v>0</v>
      </c>
      <c r="N450" s="37">
        <v>1</v>
      </c>
      <c r="O450" s="37">
        <f>'Parameter Input'!$P$79</f>
        <v>0.9</v>
      </c>
      <c r="P450" s="55">
        <f>'Parameter Input'!$Q$79</f>
        <v>0.4</v>
      </c>
      <c r="Q450" s="4">
        <f t="shared" ref="Q450:AF455" si="317">$N450+($M450-$N450)*((1/(1+EXP(-$P450*(Q$9-$L450)))^$O450))</f>
        <v>0.9867978615748374</v>
      </c>
      <c r="R450" s="4">
        <f t="shared" si="317"/>
        <v>0.98114509762858249</v>
      </c>
      <c r="S450" s="4">
        <f t="shared" si="317"/>
        <v>0.97311898315872036</v>
      </c>
      <c r="T450" s="4">
        <f t="shared" si="317"/>
        <v>0.96177484161592774</v>
      </c>
      <c r="U450" s="4">
        <f t="shared" si="317"/>
        <v>0.94584787155511363</v>
      </c>
      <c r="V450" s="4">
        <f t="shared" si="317"/>
        <v>0.92370360150141495</v>
      </c>
      <c r="W450" s="4">
        <f t="shared" si="317"/>
        <v>0.89334463567658451</v>
      </c>
      <c r="X450" s="4">
        <f t="shared" si="317"/>
        <v>0.85254543874327005</v>
      </c>
      <c r="Y450" s="4">
        <f t="shared" si="317"/>
        <v>0.79921300652623883</v>
      </c>
      <c r="Z450" s="4">
        <f t="shared" si="317"/>
        <v>0.73204982249993378</v>
      </c>
      <c r="AA450" s="4">
        <f t="shared" si="317"/>
        <v>0.65145592958786691</v>
      </c>
      <c r="AB450" s="4">
        <f t="shared" si="317"/>
        <v>0.56032247880849573</v>
      </c>
      <c r="AC450" s="4">
        <f t="shared" si="317"/>
        <v>0.46411326873185343</v>
      </c>
      <c r="AD450" s="4">
        <f t="shared" si="317"/>
        <v>0.36979727595523937</v>
      </c>
      <c r="AE450" s="4">
        <f t="shared" si="317"/>
        <v>0.28393948637231203</v>
      </c>
      <c r="AF450" s="4">
        <f t="shared" si="317"/>
        <v>0.21097259161117732</v>
      </c>
      <c r="AG450" s="4">
        <f t="shared" si="314"/>
        <v>0.15253917653798199</v>
      </c>
      <c r="AH450" s="4">
        <f t="shared" si="314"/>
        <v>0.10795188737709993</v>
      </c>
      <c r="AI450" s="4">
        <f t="shared" si="314"/>
        <v>7.5176653938091809E-2</v>
      </c>
      <c r="AJ450" s="4">
        <f t="shared" si="315"/>
        <v>5.1742836177502194E-2</v>
      </c>
      <c r="AK450" s="4">
        <f t="shared" si="315"/>
        <v>3.5319190625345942E-2</v>
      </c>
      <c r="AL450" s="4">
        <f t="shared" si="315"/>
        <v>2.3969442072658165E-2</v>
      </c>
      <c r="AM450" s="4">
        <f t="shared" si="315"/>
        <v>1.6202243558389728E-2</v>
      </c>
      <c r="AN450" s="4">
        <f t="shared" si="315"/>
        <v>1.0922240564108399E-2</v>
      </c>
      <c r="AO450" s="4">
        <f t="shared" si="315"/>
        <v>7.3493212906090566E-3</v>
      </c>
      <c r="AP450" s="4">
        <f t="shared" si="315"/>
        <v>4.9390262185057265E-3</v>
      </c>
      <c r="AQ450" s="4">
        <f t="shared" si="315"/>
        <v>3.3164275492956197E-3</v>
      </c>
      <c r="AR450" s="4">
        <f t="shared" si="315"/>
        <v>2.2256362146679809E-3</v>
      </c>
    </row>
    <row r="451" spans="1:44" x14ac:dyDescent="0.3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317"/>
        <v>0.9867978615748374</v>
      </c>
      <c r="R451" s="4">
        <f t="shared" si="317"/>
        <v>0.98114509762858249</v>
      </c>
      <c r="S451" s="4">
        <f t="shared" si="317"/>
        <v>0.97311898315872036</v>
      </c>
      <c r="T451" s="4">
        <f t="shared" si="317"/>
        <v>0.96177484161592774</v>
      </c>
      <c r="U451" s="4">
        <f t="shared" si="317"/>
        <v>0.94584787155511363</v>
      </c>
      <c r="V451" s="4">
        <f t="shared" si="317"/>
        <v>0.92370360150141495</v>
      </c>
      <c r="W451" s="4">
        <f t="shared" si="317"/>
        <v>0.89334463567658451</v>
      </c>
      <c r="X451" s="4">
        <f t="shared" si="317"/>
        <v>0.85254543874327005</v>
      </c>
      <c r="Y451" s="4">
        <f t="shared" si="317"/>
        <v>0.79921300652623883</v>
      </c>
      <c r="Z451" s="4">
        <f t="shared" si="317"/>
        <v>0.73204982249993378</v>
      </c>
      <c r="AA451" s="4">
        <f t="shared" si="317"/>
        <v>0.65145592958786691</v>
      </c>
      <c r="AB451" s="4">
        <f t="shared" si="317"/>
        <v>0.56032247880849573</v>
      </c>
      <c r="AC451" s="4">
        <f t="shared" si="317"/>
        <v>0.46411326873185343</v>
      </c>
      <c r="AD451" s="4">
        <f t="shared" si="317"/>
        <v>0.36979727595523937</v>
      </c>
      <c r="AE451" s="4">
        <f t="shared" si="317"/>
        <v>0.28393948637231203</v>
      </c>
      <c r="AF451" s="4">
        <f t="shared" si="317"/>
        <v>0.21097259161117732</v>
      </c>
      <c r="AG451" s="4">
        <f t="shared" si="314"/>
        <v>0.15253917653798199</v>
      </c>
      <c r="AH451" s="4">
        <f t="shared" si="314"/>
        <v>0.10795188737709993</v>
      </c>
      <c r="AI451" s="4">
        <f t="shared" si="314"/>
        <v>7.5176653938091809E-2</v>
      </c>
      <c r="AJ451" s="4">
        <f t="shared" si="315"/>
        <v>5.1742836177502194E-2</v>
      </c>
      <c r="AK451" s="4">
        <f t="shared" si="315"/>
        <v>3.5319190625345942E-2</v>
      </c>
      <c r="AL451" s="4">
        <f t="shared" si="315"/>
        <v>2.3969442072658165E-2</v>
      </c>
      <c r="AM451" s="4">
        <f t="shared" si="315"/>
        <v>1.6202243558389728E-2</v>
      </c>
      <c r="AN451" s="4">
        <f t="shared" si="315"/>
        <v>1.0922240564108399E-2</v>
      </c>
      <c r="AO451" s="4">
        <f t="shared" si="315"/>
        <v>7.3493212906090566E-3</v>
      </c>
      <c r="AP451" s="4">
        <f t="shared" si="315"/>
        <v>4.9390262185057265E-3</v>
      </c>
      <c r="AQ451" s="4">
        <f t="shared" si="315"/>
        <v>3.3164275492956197E-3</v>
      </c>
      <c r="AR451" s="4">
        <f t="shared" si="315"/>
        <v>2.2256362146679809E-3</v>
      </c>
    </row>
    <row r="452" spans="1:44" x14ac:dyDescent="0.3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317"/>
        <v>0.9867978615748374</v>
      </c>
      <c r="R452" s="4">
        <f t="shared" si="317"/>
        <v>0.98114509762858249</v>
      </c>
      <c r="S452" s="4">
        <f t="shared" si="317"/>
        <v>0.97311898315872036</v>
      </c>
      <c r="T452" s="4">
        <f t="shared" si="317"/>
        <v>0.96177484161592774</v>
      </c>
      <c r="U452" s="4">
        <f t="shared" si="317"/>
        <v>0.94584787155511363</v>
      </c>
      <c r="V452" s="4">
        <f t="shared" si="317"/>
        <v>0.92370360150141495</v>
      </c>
      <c r="W452" s="4">
        <f t="shared" si="317"/>
        <v>0.89334463567658451</v>
      </c>
      <c r="X452" s="4">
        <f t="shared" si="317"/>
        <v>0.85254543874327005</v>
      </c>
      <c r="Y452" s="4">
        <f t="shared" si="317"/>
        <v>0.79921300652623883</v>
      </c>
      <c r="Z452" s="4">
        <f t="shared" si="317"/>
        <v>0.73204982249993378</v>
      </c>
      <c r="AA452" s="4">
        <f t="shared" si="317"/>
        <v>0.65145592958786691</v>
      </c>
      <c r="AB452" s="4">
        <f t="shared" si="317"/>
        <v>0.56032247880849573</v>
      </c>
      <c r="AC452" s="4">
        <f t="shared" si="317"/>
        <v>0.46411326873185343</v>
      </c>
      <c r="AD452" s="4">
        <f t="shared" si="317"/>
        <v>0.36979727595523937</v>
      </c>
      <c r="AE452" s="4">
        <f t="shared" si="317"/>
        <v>0.28393948637231203</v>
      </c>
      <c r="AF452" s="4">
        <f t="shared" si="317"/>
        <v>0.21097259161117732</v>
      </c>
      <c r="AG452" s="4">
        <f t="shared" si="314"/>
        <v>0.15253917653798199</v>
      </c>
      <c r="AH452" s="4">
        <f t="shared" si="314"/>
        <v>0.10795188737709993</v>
      </c>
      <c r="AI452" s="4">
        <f t="shared" si="314"/>
        <v>7.5176653938091809E-2</v>
      </c>
      <c r="AJ452" s="4">
        <f t="shared" si="315"/>
        <v>5.1742836177502194E-2</v>
      </c>
      <c r="AK452" s="4">
        <f t="shared" si="315"/>
        <v>3.5319190625345942E-2</v>
      </c>
      <c r="AL452" s="4">
        <f t="shared" si="315"/>
        <v>2.3969442072658165E-2</v>
      </c>
      <c r="AM452" s="4">
        <f t="shared" si="315"/>
        <v>1.6202243558389728E-2</v>
      </c>
      <c r="AN452" s="4">
        <f t="shared" si="315"/>
        <v>1.0922240564108399E-2</v>
      </c>
      <c r="AO452" s="4">
        <f t="shared" si="315"/>
        <v>7.3493212906090566E-3</v>
      </c>
      <c r="AP452" s="4">
        <f t="shared" si="315"/>
        <v>4.9390262185057265E-3</v>
      </c>
      <c r="AQ452" s="4">
        <f t="shared" si="315"/>
        <v>3.3164275492956197E-3</v>
      </c>
      <c r="AR452" s="4">
        <f t="shared" si="315"/>
        <v>2.2256362146679809E-3</v>
      </c>
    </row>
    <row r="453" spans="1:44" x14ac:dyDescent="0.3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317"/>
        <v>0.9867978615748374</v>
      </c>
      <c r="R453" s="4">
        <f t="shared" si="317"/>
        <v>0.98114509762858249</v>
      </c>
      <c r="S453" s="4">
        <f t="shared" si="317"/>
        <v>0.97311898315872036</v>
      </c>
      <c r="T453" s="4">
        <f t="shared" si="317"/>
        <v>0.96177484161592774</v>
      </c>
      <c r="U453" s="4">
        <f t="shared" si="317"/>
        <v>0.94584787155511363</v>
      </c>
      <c r="V453" s="4">
        <f t="shared" si="317"/>
        <v>0.92370360150141495</v>
      </c>
      <c r="W453" s="4">
        <f t="shared" si="317"/>
        <v>0.89334463567658451</v>
      </c>
      <c r="X453" s="4">
        <f t="shared" si="317"/>
        <v>0.85254543874327005</v>
      </c>
      <c r="Y453" s="4">
        <f t="shared" si="317"/>
        <v>0.79921300652623883</v>
      </c>
      <c r="Z453" s="4">
        <f t="shared" si="317"/>
        <v>0.73204982249993378</v>
      </c>
      <c r="AA453" s="4">
        <f t="shared" si="317"/>
        <v>0.65145592958786691</v>
      </c>
      <c r="AB453" s="4">
        <f t="shared" si="317"/>
        <v>0.56032247880849573</v>
      </c>
      <c r="AC453" s="4">
        <f t="shared" si="317"/>
        <v>0.46411326873185343</v>
      </c>
      <c r="AD453" s="4">
        <f t="shared" si="317"/>
        <v>0.36979727595523937</v>
      </c>
      <c r="AE453" s="4">
        <f t="shared" si="317"/>
        <v>0.28393948637231203</v>
      </c>
      <c r="AF453" s="4">
        <f t="shared" si="317"/>
        <v>0.21097259161117732</v>
      </c>
      <c r="AG453" s="4">
        <f t="shared" si="314"/>
        <v>0.15253917653798199</v>
      </c>
      <c r="AH453" s="4">
        <f t="shared" si="314"/>
        <v>0.10795188737709993</v>
      </c>
      <c r="AI453" s="4">
        <f t="shared" si="314"/>
        <v>7.5176653938091809E-2</v>
      </c>
      <c r="AJ453" s="4">
        <f t="shared" si="315"/>
        <v>5.1742836177502194E-2</v>
      </c>
      <c r="AK453" s="4">
        <f t="shared" si="315"/>
        <v>3.5319190625345942E-2</v>
      </c>
      <c r="AL453" s="4">
        <f t="shared" si="315"/>
        <v>2.3969442072658165E-2</v>
      </c>
      <c r="AM453" s="4">
        <f t="shared" si="315"/>
        <v>1.6202243558389728E-2</v>
      </c>
      <c r="AN453" s="4">
        <f t="shared" si="315"/>
        <v>1.0922240564108399E-2</v>
      </c>
      <c r="AO453" s="4">
        <f t="shared" si="315"/>
        <v>7.3493212906090566E-3</v>
      </c>
      <c r="AP453" s="4">
        <f t="shared" si="315"/>
        <v>4.9390262185057265E-3</v>
      </c>
      <c r="AQ453" s="4">
        <f t="shared" si="315"/>
        <v>3.3164275492956197E-3</v>
      </c>
      <c r="AR453" s="4">
        <f t="shared" si="315"/>
        <v>2.2256362146679809E-3</v>
      </c>
    </row>
    <row r="454" spans="1:44" x14ac:dyDescent="0.3">
      <c r="A454" s="24" t="s">
        <v>73</v>
      </c>
      <c r="B454" s="72">
        <f>'Parameter Input'!$L$83</f>
        <v>0</v>
      </c>
      <c r="C454" s="73">
        <f>'Parameter Input'!$M$83</f>
        <v>0</v>
      </c>
      <c r="D454" s="1" t="s">
        <v>57</v>
      </c>
      <c r="L454" s="54">
        <f>'Parameter Input'!$O$83</f>
        <v>12</v>
      </c>
      <c r="M454" s="37">
        <v>0</v>
      </c>
      <c r="N454" s="37">
        <v>1</v>
      </c>
      <c r="O454" s="37">
        <f>'Parameter Input'!$P$83</f>
        <v>0.9</v>
      </c>
      <c r="P454" s="55">
        <f>'Parameter Input'!$Q$83</f>
        <v>0.4</v>
      </c>
      <c r="Q454" s="4">
        <f t="shared" si="317"/>
        <v>0.9867978615748374</v>
      </c>
      <c r="R454" s="4">
        <f t="shared" si="317"/>
        <v>0.98114509762858249</v>
      </c>
      <c r="S454" s="4">
        <f t="shared" si="317"/>
        <v>0.97311898315872036</v>
      </c>
      <c r="T454" s="4">
        <f t="shared" si="317"/>
        <v>0.96177484161592774</v>
      </c>
      <c r="U454" s="4">
        <f t="shared" si="317"/>
        <v>0.94584787155511363</v>
      </c>
      <c r="V454" s="4">
        <f t="shared" si="317"/>
        <v>0.92370360150141495</v>
      </c>
      <c r="W454" s="4">
        <f t="shared" si="317"/>
        <v>0.89334463567658451</v>
      </c>
      <c r="X454" s="4">
        <f t="shared" si="317"/>
        <v>0.85254543874327005</v>
      </c>
      <c r="Y454" s="4">
        <f t="shared" si="317"/>
        <v>0.79921300652623883</v>
      </c>
      <c r="Z454" s="4">
        <f t="shared" si="317"/>
        <v>0.73204982249993378</v>
      </c>
      <c r="AA454" s="4">
        <f t="shared" si="317"/>
        <v>0.65145592958786691</v>
      </c>
      <c r="AB454" s="4">
        <f t="shared" si="317"/>
        <v>0.56032247880849573</v>
      </c>
      <c r="AC454" s="4">
        <f t="shared" si="317"/>
        <v>0.46411326873185343</v>
      </c>
      <c r="AD454" s="4">
        <f t="shared" si="317"/>
        <v>0.36979727595523937</v>
      </c>
      <c r="AE454" s="4">
        <f t="shared" si="317"/>
        <v>0.28393948637231203</v>
      </c>
      <c r="AF454" s="4">
        <f t="shared" si="317"/>
        <v>0.21097259161117732</v>
      </c>
      <c r="AG454" s="4">
        <f t="shared" si="314"/>
        <v>0.15253917653798199</v>
      </c>
      <c r="AH454" s="4">
        <f t="shared" si="314"/>
        <v>0.10795188737709993</v>
      </c>
      <c r="AI454" s="4">
        <f t="shared" si="314"/>
        <v>7.5176653938091809E-2</v>
      </c>
      <c r="AJ454" s="4">
        <f t="shared" si="315"/>
        <v>5.1742836177502194E-2</v>
      </c>
      <c r="AK454" s="4">
        <f t="shared" si="315"/>
        <v>3.5319190625345942E-2</v>
      </c>
      <c r="AL454" s="4">
        <f t="shared" si="315"/>
        <v>2.3969442072658165E-2</v>
      </c>
      <c r="AM454" s="4">
        <f t="shared" si="315"/>
        <v>1.6202243558389728E-2</v>
      </c>
      <c r="AN454" s="4">
        <f t="shared" si="315"/>
        <v>1.0922240564108399E-2</v>
      </c>
      <c r="AO454" s="4">
        <f t="shared" si="315"/>
        <v>7.3493212906090566E-3</v>
      </c>
      <c r="AP454" s="4">
        <f t="shared" si="315"/>
        <v>4.9390262185057265E-3</v>
      </c>
      <c r="AQ454" s="4">
        <f t="shared" si="315"/>
        <v>3.3164275492956197E-3</v>
      </c>
      <c r="AR454" s="4">
        <f t="shared" si="315"/>
        <v>2.2256362146679809E-3</v>
      </c>
    </row>
    <row r="455" spans="1:44" ht="15" thickBot="1" x14ac:dyDescent="0.35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317"/>
        <v>0.9867978615748374</v>
      </c>
      <c r="R455" s="4">
        <f t="shared" si="317"/>
        <v>0.98114509762858249</v>
      </c>
      <c r="S455" s="4">
        <f t="shared" si="317"/>
        <v>0.97311898315872036</v>
      </c>
      <c r="T455" s="4">
        <f t="shared" si="317"/>
        <v>0.96177484161592774</v>
      </c>
      <c r="U455" s="4">
        <f t="shared" si="317"/>
        <v>0.94584787155511363</v>
      </c>
      <c r="V455" s="4">
        <f t="shared" si="317"/>
        <v>0.92370360150141495</v>
      </c>
      <c r="W455" s="4">
        <f t="shared" si="317"/>
        <v>0.89334463567658451</v>
      </c>
      <c r="X455" s="4">
        <f t="shared" si="317"/>
        <v>0.85254543874327005</v>
      </c>
      <c r="Y455" s="4">
        <f t="shared" si="317"/>
        <v>0.79921300652623883</v>
      </c>
      <c r="Z455" s="4">
        <f t="shared" si="317"/>
        <v>0.73204982249993378</v>
      </c>
      <c r="AA455" s="4">
        <f t="shared" si="317"/>
        <v>0.65145592958786691</v>
      </c>
      <c r="AB455" s="4">
        <f t="shared" si="317"/>
        <v>0.56032247880849573</v>
      </c>
      <c r="AC455" s="4">
        <f t="shared" si="317"/>
        <v>0.46411326873185343</v>
      </c>
      <c r="AD455" s="4">
        <f t="shared" si="317"/>
        <v>0.36979727595523937</v>
      </c>
      <c r="AE455" s="4">
        <f t="shared" si="317"/>
        <v>0.28393948637231203</v>
      </c>
      <c r="AF455" s="4">
        <f t="shared" si="317"/>
        <v>0.21097259161117732</v>
      </c>
      <c r="AG455" s="4">
        <f t="shared" si="314"/>
        <v>0.15253917653798199</v>
      </c>
      <c r="AH455" s="4">
        <f t="shared" si="314"/>
        <v>0.10795188737709993</v>
      </c>
      <c r="AI455" s="4">
        <f t="shared" si="314"/>
        <v>7.5176653938091809E-2</v>
      </c>
      <c r="AJ455" s="4">
        <f t="shared" si="315"/>
        <v>5.1742836177502194E-2</v>
      </c>
      <c r="AK455" s="4">
        <f t="shared" si="315"/>
        <v>3.5319190625345942E-2</v>
      </c>
      <c r="AL455" s="4">
        <f t="shared" si="315"/>
        <v>2.3969442072658165E-2</v>
      </c>
      <c r="AM455" s="4">
        <f t="shared" si="315"/>
        <v>1.6202243558389728E-2</v>
      </c>
      <c r="AN455" s="4">
        <f t="shared" si="315"/>
        <v>1.0922240564108399E-2</v>
      </c>
      <c r="AO455" s="4">
        <f t="shared" si="315"/>
        <v>7.3493212906090566E-3</v>
      </c>
      <c r="AP455" s="4">
        <f t="shared" si="315"/>
        <v>4.9390262185057265E-3</v>
      </c>
      <c r="AQ455" s="4">
        <f t="shared" si="315"/>
        <v>3.3164275492956197E-3</v>
      </c>
      <c r="AR455" s="4">
        <f t="shared" si="315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73" si="318">A439</f>
        <v>Capex vehicle</v>
      </c>
      <c r="B459" s="62">
        <f t="shared" ref="B459:B468" si="319">$B439+($C439-$B439)*(1-Q439)</f>
        <v>3500000</v>
      </c>
      <c r="C459" s="62">
        <f t="shared" ref="C459:C468" si="320">$B439+($C439-$B439)*(1-R439)</f>
        <v>3500000</v>
      </c>
      <c r="D459" s="62">
        <f t="shared" ref="D459:D468" si="321">$B439+($C439-$B439)*(1-S439)</f>
        <v>3500000</v>
      </c>
      <c r="E459" s="62">
        <f t="shared" ref="E459:E468" si="322">$B439+($C439-$B439)*(1-T439)</f>
        <v>3500000</v>
      </c>
      <c r="F459" s="62">
        <f t="shared" ref="F459:F468" si="323">$B439+($C439-$B439)*(1-U439)</f>
        <v>3500000</v>
      </c>
      <c r="G459" s="62">
        <f t="shared" ref="G459:G468" si="324">$B439+($C439-$B439)*(1-V439)</f>
        <v>3500000</v>
      </c>
      <c r="H459" s="62">
        <f t="shared" ref="H459:H468" si="325">$B439+($C439-$B439)*(1-W439)</f>
        <v>3500000</v>
      </c>
      <c r="I459" s="62">
        <f t="shared" ref="I459:I468" si="326">$B439+($C439-$B439)*(1-X439)</f>
        <v>3500000</v>
      </c>
      <c r="J459" s="62">
        <f t="shared" ref="J459:J468" si="327">$B439+($C439-$B439)*(1-Y439)</f>
        <v>3500000</v>
      </c>
      <c r="K459" s="62">
        <f t="shared" ref="K459:K468" si="328">$B439+($C439-$B439)*(1-Z439)</f>
        <v>3500000</v>
      </c>
      <c r="L459" s="62">
        <f t="shared" ref="L459:L468" si="329">$B439+($C439-$B439)*(1-AA439)</f>
        <v>3500000</v>
      </c>
      <c r="M459" s="62">
        <f t="shared" ref="M459:M468" si="330">$B439+($C439-$B439)*(1-AB439)</f>
        <v>3500000</v>
      </c>
      <c r="N459" s="62">
        <f t="shared" ref="N459:N468" si="331">$B439+($C439-$B439)*(1-AC439)</f>
        <v>3500000</v>
      </c>
      <c r="O459" s="62">
        <f t="shared" ref="O459:O468" si="332">$B439+($C439-$B439)*(1-AD439)</f>
        <v>3500000</v>
      </c>
      <c r="P459" s="62">
        <f t="shared" ref="P459:P468" si="333">$B439+($C439-$B439)*(1-AE439)</f>
        <v>3500000</v>
      </c>
      <c r="Q459" s="62">
        <f t="shared" ref="Q459:Q468" si="334">$B439+($C439-$B439)*(1-AF439)</f>
        <v>3500000</v>
      </c>
      <c r="R459" s="62">
        <f t="shared" ref="R459:R468" si="335">$B439+($C439-$B439)*(1-AG439)</f>
        <v>3500000</v>
      </c>
      <c r="S459" s="62">
        <f t="shared" ref="S459:S468" si="336">$B439+($C439-$B439)*(1-AH439)</f>
        <v>3500000</v>
      </c>
      <c r="T459" s="62">
        <f t="shared" ref="T459:T468" si="337">$B439+($C439-$B439)*(1-AI439)</f>
        <v>3500000</v>
      </c>
      <c r="U459" s="62">
        <f t="shared" ref="U459:U468" si="338">$B439+($C439-$B439)*(1-AJ439)</f>
        <v>3500000</v>
      </c>
      <c r="V459" s="62">
        <f t="shared" ref="V459:V468" si="339">$B439+($C439-$B439)*(1-AK439)</f>
        <v>3500000</v>
      </c>
      <c r="W459" s="62">
        <f t="shared" ref="W459:W468" si="340">$B439+($C439-$B439)*(1-AL439)</f>
        <v>3500000</v>
      </c>
      <c r="X459" s="62">
        <f t="shared" ref="X459:X468" si="341">$B439+($C439-$B439)*(1-AM439)</f>
        <v>3500000</v>
      </c>
      <c r="Y459" s="62">
        <f t="shared" ref="Y459:Y468" si="342">$B439+($C439-$B439)*(1-AN439)</f>
        <v>3500000</v>
      </c>
      <c r="Z459" s="62">
        <f t="shared" ref="Z459:Z468" si="343">$B439+($C439-$B439)*(1-AO439)</f>
        <v>3500000</v>
      </c>
      <c r="AA459" s="62">
        <f t="shared" ref="AA459:AA468" si="344">$B439+($C439-$B439)*(1-AP439)</f>
        <v>3500000</v>
      </c>
      <c r="AB459" s="62">
        <f t="shared" ref="AB459:AB468" si="345">$B439+($C439-$B439)*(1-AQ439)</f>
        <v>3500000</v>
      </c>
      <c r="AC459" s="62">
        <f t="shared" ref="AC459:AC468" si="346">$B439+($C439-$B439)*(1-AR439)</f>
        <v>3500000</v>
      </c>
    </row>
    <row r="460" spans="1:44" x14ac:dyDescent="0.3">
      <c r="A460" s="30" t="str">
        <f t="shared" si="318"/>
        <v>Residual value (vehicle)</v>
      </c>
      <c r="B460" s="62">
        <f t="shared" si="319"/>
        <v>-520379.25155119307</v>
      </c>
      <c r="C460" s="62">
        <f t="shared" si="320"/>
        <v>-518400.78417000384</v>
      </c>
      <c r="D460" s="62">
        <f t="shared" si="321"/>
        <v>-515591.64410555211</v>
      </c>
      <c r="E460" s="62">
        <f t="shared" si="322"/>
        <v>-511621.1945655747</v>
      </c>
      <c r="F460" s="62">
        <f t="shared" si="323"/>
        <v>-506046.75504428975</v>
      </c>
      <c r="G460" s="62">
        <f t="shared" si="324"/>
        <v>-498296.26052549522</v>
      </c>
      <c r="H460" s="62">
        <f t="shared" si="325"/>
        <v>-487670.62248680455</v>
      </c>
      <c r="I460" s="62">
        <f t="shared" si="326"/>
        <v>-473390.90356014454</v>
      </c>
      <c r="J460" s="62">
        <f t="shared" si="327"/>
        <v>-454724.55228418356</v>
      </c>
      <c r="K460" s="62">
        <f t="shared" si="328"/>
        <v>-431217.43787497684</v>
      </c>
      <c r="L460" s="62">
        <f t="shared" si="329"/>
        <v>-403009.57535575342</v>
      </c>
      <c r="M460" s="62">
        <f t="shared" si="330"/>
        <v>-371112.8675829735</v>
      </c>
      <c r="N460" s="62">
        <f t="shared" si="331"/>
        <v>-337439.64405614871</v>
      </c>
      <c r="O460" s="62">
        <f t="shared" si="332"/>
        <v>-304429.04658433376</v>
      </c>
      <c r="P460" s="62">
        <f t="shared" si="333"/>
        <v>-274378.82023030921</v>
      </c>
      <c r="Q460" s="62">
        <f t="shared" si="334"/>
        <v>-248840.40706391208</v>
      </c>
      <c r="R460" s="62">
        <f t="shared" si="335"/>
        <v>-228388.71178829367</v>
      </c>
      <c r="S460" s="62">
        <f t="shared" si="336"/>
        <v>-212783.16058198496</v>
      </c>
      <c r="T460" s="62">
        <f t="shared" si="337"/>
        <v>-201311.8288783321</v>
      </c>
      <c r="U460" s="62">
        <f t="shared" si="338"/>
        <v>-193109.99266212579</v>
      </c>
      <c r="V460" s="62">
        <f t="shared" si="339"/>
        <v>-187361.71671887109</v>
      </c>
      <c r="W460" s="62">
        <f t="shared" si="340"/>
        <v>-183389.30472543038</v>
      </c>
      <c r="X460" s="62">
        <f t="shared" si="341"/>
        <v>-180670.78524543642</v>
      </c>
      <c r="Y460" s="62">
        <f t="shared" si="342"/>
        <v>-178822.78419743793</v>
      </c>
      <c r="Z460" s="62">
        <f t="shared" si="343"/>
        <v>-177572.26245171315</v>
      </c>
      <c r="AA460" s="62">
        <f t="shared" si="344"/>
        <v>-176728.659176477</v>
      </c>
      <c r="AB460" s="62">
        <f t="shared" si="345"/>
        <v>-176160.74964225345</v>
      </c>
      <c r="AC460" s="62">
        <f t="shared" si="346"/>
        <v>-175778.97267513379</v>
      </c>
    </row>
    <row r="461" spans="1:44" x14ac:dyDescent="0.3">
      <c r="A461" s="30" t="str">
        <f t="shared" si="318"/>
        <v>Capex costumization</v>
      </c>
      <c r="B461" s="62">
        <f t="shared" si="319"/>
        <v>3500000</v>
      </c>
      <c r="C461" s="62">
        <f t="shared" si="320"/>
        <v>3500000</v>
      </c>
      <c r="D461" s="62">
        <f t="shared" si="321"/>
        <v>3500000</v>
      </c>
      <c r="E461" s="62">
        <f t="shared" si="322"/>
        <v>3500000</v>
      </c>
      <c r="F461" s="62">
        <f t="shared" si="323"/>
        <v>3500000</v>
      </c>
      <c r="G461" s="62">
        <f t="shared" si="324"/>
        <v>3500000</v>
      </c>
      <c r="H461" s="62">
        <f t="shared" si="325"/>
        <v>3500000</v>
      </c>
      <c r="I461" s="62">
        <f t="shared" si="326"/>
        <v>3500000</v>
      </c>
      <c r="J461" s="62">
        <f t="shared" si="327"/>
        <v>3500000</v>
      </c>
      <c r="K461" s="62">
        <f t="shared" si="328"/>
        <v>3500000</v>
      </c>
      <c r="L461" s="62">
        <f t="shared" si="329"/>
        <v>3500000</v>
      </c>
      <c r="M461" s="62">
        <f t="shared" si="330"/>
        <v>3500000</v>
      </c>
      <c r="N461" s="62">
        <f t="shared" si="331"/>
        <v>3500000</v>
      </c>
      <c r="O461" s="62">
        <f t="shared" si="332"/>
        <v>3500000</v>
      </c>
      <c r="P461" s="62">
        <f t="shared" si="333"/>
        <v>3500000</v>
      </c>
      <c r="Q461" s="62">
        <f t="shared" si="334"/>
        <v>3500000</v>
      </c>
      <c r="R461" s="62">
        <f t="shared" si="335"/>
        <v>3500000</v>
      </c>
      <c r="S461" s="62">
        <f t="shared" si="336"/>
        <v>3500000</v>
      </c>
      <c r="T461" s="62">
        <f t="shared" si="337"/>
        <v>3500000</v>
      </c>
      <c r="U461" s="62">
        <f t="shared" si="338"/>
        <v>3500000</v>
      </c>
      <c r="V461" s="62">
        <f t="shared" si="339"/>
        <v>3500000</v>
      </c>
      <c r="W461" s="62">
        <f t="shared" si="340"/>
        <v>3500000</v>
      </c>
      <c r="X461" s="62">
        <f t="shared" si="341"/>
        <v>3500000</v>
      </c>
      <c r="Y461" s="62">
        <f t="shared" si="342"/>
        <v>3500000</v>
      </c>
      <c r="Z461" s="62">
        <f t="shared" si="343"/>
        <v>3500000</v>
      </c>
      <c r="AA461" s="62">
        <f t="shared" si="344"/>
        <v>3500000</v>
      </c>
      <c r="AB461" s="62">
        <f t="shared" si="345"/>
        <v>3500000</v>
      </c>
      <c r="AC461" s="62">
        <f t="shared" si="346"/>
        <v>3500000</v>
      </c>
    </row>
    <row r="462" spans="1:44" x14ac:dyDescent="0.3">
      <c r="A462" s="30" t="str">
        <f t="shared" si="318"/>
        <v>Residual value (costumization)</v>
      </c>
      <c r="B462" s="62">
        <f t="shared" si="319"/>
        <v>-175000</v>
      </c>
      <c r="C462" s="62">
        <f t="shared" si="320"/>
        <v>-175000</v>
      </c>
      <c r="D462" s="62">
        <f t="shared" si="321"/>
        <v>-175000</v>
      </c>
      <c r="E462" s="62">
        <f t="shared" si="322"/>
        <v>-175000</v>
      </c>
      <c r="F462" s="62">
        <f t="shared" si="323"/>
        <v>-175000</v>
      </c>
      <c r="G462" s="62">
        <f t="shared" si="324"/>
        <v>-175000</v>
      </c>
      <c r="H462" s="62">
        <f t="shared" si="325"/>
        <v>-175000</v>
      </c>
      <c r="I462" s="62">
        <f t="shared" si="326"/>
        <v>-175000</v>
      </c>
      <c r="J462" s="62">
        <f t="shared" si="327"/>
        <v>-175000</v>
      </c>
      <c r="K462" s="62">
        <f t="shared" si="328"/>
        <v>-175000</v>
      </c>
      <c r="L462" s="62">
        <f t="shared" si="329"/>
        <v>-175000</v>
      </c>
      <c r="M462" s="62">
        <f t="shared" si="330"/>
        <v>-175000</v>
      </c>
      <c r="N462" s="62">
        <f t="shared" si="331"/>
        <v>-175000</v>
      </c>
      <c r="O462" s="62">
        <f t="shared" si="332"/>
        <v>-175000</v>
      </c>
      <c r="P462" s="62">
        <f t="shared" si="333"/>
        <v>-175000</v>
      </c>
      <c r="Q462" s="62">
        <f t="shared" si="334"/>
        <v>-175000</v>
      </c>
      <c r="R462" s="62">
        <f t="shared" si="335"/>
        <v>-175000</v>
      </c>
      <c r="S462" s="62">
        <f t="shared" si="336"/>
        <v>-175000</v>
      </c>
      <c r="T462" s="62">
        <f t="shared" si="337"/>
        <v>-175000</v>
      </c>
      <c r="U462" s="62">
        <f t="shared" si="338"/>
        <v>-175000</v>
      </c>
      <c r="V462" s="62">
        <f t="shared" si="339"/>
        <v>-175000</v>
      </c>
      <c r="W462" s="62">
        <f t="shared" si="340"/>
        <v>-175000</v>
      </c>
      <c r="X462" s="62">
        <f t="shared" si="341"/>
        <v>-175000</v>
      </c>
      <c r="Y462" s="62">
        <f t="shared" si="342"/>
        <v>-175000</v>
      </c>
      <c r="Z462" s="62">
        <f t="shared" si="343"/>
        <v>-175000</v>
      </c>
      <c r="AA462" s="62">
        <f t="shared" si="344"/>
        <v>-175000</v>
      </c>
      <c r="AB462" s="62">
        <f t="shared" si="345"/>
        <v>-175000</v>
      </c>
      <c r="AC462" s="62">
        <f t="shared" si="346"/>
        <v>-175000</v>
      </c>
    </row>
    <row r="463" spans="1:44" x14ac:dyDescent="0.3">
      <c r="A463" s="30" t="str">
        <f t="shared" si="318"/>
        <v>WACC</v>
      </c>
      <c r="B463" s="62">
        <f t="shared" si="319"/>
        <v>0.06</v>
      </c>
      <c r="C463" s="62">
        <f t="shared" si="320"/>
        <v>0.06</v>
      </c>
      <c r="D463" s="62">
        <f t="shared" si="321"/>
        <v>0.06</v>
      </c>
      <c r="E463" s="62">
        <f t="shared" si="322"/>
        <v>0.06</v>
      </c>
      <c r="F463" s="62">
        <f t="shared" si="323"/>
        <v>0.06</v>
      </c>
      <c r="G463" s="62">
        <f t="shared" si="324"/>
        <v>0.06</v>
      </c>
      <c r="H463" s="62">
        <f t="shared" si="325"/>
        <v>0.06</v>
      </c>
      <c r="I463" s="62">
        <f t="shared" si="326"/>
        <v>0.06</v>
      </c>
      <c r="J463" s="62">
        <f t="shared" si="327"/>
        <v>0.06</v>
      </c>
      <c r="K463" s="62">
        <f t="shared" si="328"/>
        <v>0.06</v>
      </c>
      <c r="L463" s="62">
        <f t="shared" si="329"/>
        <v>0.06</v>
      </c>
      <c r="M463" s="62">
        <f t="shared" si="330"/>
        <v>0.06</v>
      </c>
      <c r="N463" s="62">
        <f t="shared" si="331"/>
        <v>0.06</v>
      </c>
      <c r="O463" s="62">
        <f t="shared" si="332"/>
        <v>0.06</v>
      </c>
      <c r="P463" s="62">
        <f t="shared" si="333"/>
        <v>0.06</v>
      </c>
      <c r="Q463" s="62">
        <f t="shared" si="334"/>
        <v>0.06</v>
      </c>
      <c r="R463" s="62">
        <f t="shared" si="335"/>
        <v>0.06</v>
      </c>
      <c r="S463" s="62">
        <f t="shared" si="336"/>
        <v>0.06</v>
      </c>
      <c r="T463" s="62">
        <f t="shared" si="337"/>
        <v>0.06</v>
      </c>
      <c r="U463" s="62">
        <f t="shared" si="338"/>
        <v>0.06</v>
      </c>
      <c r="V463" s="62">
        <f t="shared" si="339"/>
        <v>0.06</v>
      </c>
      <c r="W463" s="62">
        <f t="shared" si="340"/>
        <v>0.06</v>
      </c>
      <c r="X463" s="62">
        <f t="shared" si="341"/>
        <v>0.06</v>
      </c>
      <c r="Y463" s="62">
        <f t="shared" si="342"/>
        <v>0.06</v>
      </c>
      <c r="Z463" s="62">
        <f t="shared" si="343"/>
        <v>0.06</v>
      </c>
      <c r="AA463" s="62">
        <f t="shared" si="344"/>
        <v>0.06</v>
      </c>
      <c r="AB463" s="62">
        <f t="shared" si="345"/>
        <v>0.06</v>
      </c>
      <c r="AC463" s="62">
        <f t="shared" si="346"/>
        <v>0.06</v>
      </c>
    </row>
    <row r="464" spans="1:44" x14ac:dyDescent="0.3">
      <c r="A464" s="30" t="str">
        <f t="shared" si="318"/>
        <v>Opex fix (admin, crew, insurance)</v>
      </c>
      <c r="B464" s="62">
        <f t="shared" si="319"/>
        <v>650000</v>
      </c>
      <c r="C464" s="62">
        <f t="shared" si="320"/>
        <v>650000</v>
      </c>
      <c r="D464" s="62">
        <f t="shared" si="321"/>
        <v>650000</v>
      </c>
      <c r="E464" s="62">
        <f t="shared" si="322"/>
        <v>650000</v>
      </c>
      <c r="F464" s="62">
        <f t="shared" si="323"/>
        <v>650000</v>
      </c>
      <c r="G464" s="62">
        <f t="shared" si="324"/>
        <v>650000</v>
      </c>
      <c r="H464" s="62">
        <f t="shared" si="325"/>
        <v>650000</v>
      </c>
      <c r="I464" s="62">
        <f t="shared" si="326"/>
        <v>650000</v>
      </c>
      <c r="J464" s="62">
        <f t="shared" si="327"/>
        <v>650000</v>
      </c>
      <c r="K464" s="62">
        <f t="shared" si="328"/>
        <v>650000</v>
      </c>
      <c r="L464" s="62">
        <f t="shared" si="329"/>
        <v>650000</v>
      </c>
      <c r="M464" s="62">
        <f t="shared" si="330"/>
        <v>650000</v>
      </c>
      <c r="N464" s="62">
        <f t="shared" si="331"/>
        <v>650000</v>
      </c>
      <c r="O464" s="62">
        <f t="shared" si="332"/>
        <v>650000</v>
      </c>
      <c r="P464" s="62">
        <f t="shared" si="333"/>
        <v>650000</v>
      </c>
      <c r="Q464" s="62">
        <f t="shared" si="334"/>
        <v>650000</v>
      </c>
      <c r="R464" s="62">
        <f t="shared" si="335"/>
        <v>650000</v>
      </c>
      <c r="S464" s="62">
        <f t="shared" si="336"/>
        <v>650000</v>
      </c>
      <c r="T464" s="62">
        <f t="shared" si="337"/>
        <v>650000</v>
      </c>
      <c r="U464" s="62">
        <f t="shared" si="338"/>
        <v>650000</v>
      </c>
      <c r="V464" s="62">
        <f t="shared" si="339"/>
        <v>650000</v>
      </c>
      <c r="W464" s="62">
        <f t="shared" si="340"/>
        <v>650000</v>
      </c>
      <c r="X464" s="62">
        <f t="shared" si="341"/>
        <v>650000</v>
      </c>
      <c r="Y464" s="62">
        <f t="shared" si="342"/>
        <v>650000</v>
      </c>
      <c r="Z464" s="62">
        <f t="shared" si="343"/>
        <v>650000</v>
      </c>
      <c r="AA464" s="62">
        <f t="shared" si="344"/>
        <v>650000</v>
      </c>
      <c r="AB464" s="62">
        <f t="shared" si="345"/>
        <v>650000</v>
      </c>
      <c r="AC464" s="62">
        <f t="shared" si="346"/>
        <v>650000</v>
      </c>
    </row>
    <row r="465" spans="1:29" x14ac:dyDescent="0.3">
      <c r="A465" s="30" t="str">
        <f t="shared" si="318"/>
        <v>Opex maintenance &amp; repair</v>
      </c>
      <c r="B465" s="62">
        <f t="shared" si="319"/>
        <v>1050000</v>
      </c>
      <c r="C465" s="62">
        <f t="shared" si="320"/>
        <v>1050000</v>
      </c>
      <c r="D465" s="62">
        <f t="shared" si="321"/>
        <v>1050000</v>
      </c>
      <c r="E465" s="62">
        <f t="shared" si="322"/>
        <v>1050000</v>
      </c>
      <c r="F465" s="62">
        <f t="shared" si="323"/>
        <v>1050000</v>
      </c>
      <c r="G465" s="62">
        <f t="shared" si="324"/>
        <v>1050000</v>
      </c>
      <c r="H465" s="62">
        <f t="shared" si="325"/>
        <v>1050000</v>
      </c>
      <c r="I465" s="62">
        <f t="shared" si="326"/>
        <v>1050000</v>
      </c>
      <c r="J465" s="62">
        <f t="shared" si="327"/>
        <v>1050000</v>
      </c>
      <c r="K465" s="62">
        <f t="shared" si="328"/>
        <v>1050000</v>
      </c>
      <c r="L465" s="62">
        <f t="shared" si="329"/>
        <v>1050000</v>
      </c>
      <c r="M465" s="62">
        <f t="shared" si="330"/>
        <v>1050000</v>
      </c>
      <c r="N465" s="62">
        <f t="shared" si="331"/>
        <v>1050000</v>
      </c>
      <c r="O465" s="62">
        <f t="shared" si="332"/>
        <v>1050000</v>
      </c>
      <c r="P465" s="62">
        <f t="shared" si="333"/>
        <v>1050000</v>
      </c>
      <c r="Q465" s="62">
        <f t="shared" si="334"/>
        <v>1050000</v>
      </c>
      <c r="R465" s="62">
        <f t="shared" si="335"/>
        <v>1050000</v>
      </c>
      <c r="S465" s="62">
        <f t="shared" si="336"/>
        <v>1050000</v>
      </c>
      <c r="T465" s="62">
        <f t="shared" si="337"/>
        <v>1050000</v>
      </c>
      <c r="U465" s="62">
        <f t="shared" si="338"/>
        <v>1050000</v>
      </c>
      <c r="V465" s="62">
        <f t="shared" si="339"/>
        <v>1050000</v>
      </c>
      <c r="W465" s="62">
        <f t="shared" si="340"/>
        <v>1050000</v>
      </c>
      <c r="X465" s="62">
        <f t="shared" si="341"/>
        <v>1050000</v>
      </c>
      <c r="Y465" s="62">
        <f t="shared" si="342"/>
        <v>1050000</v>
      </c>
      <c r="Z465" s="62">
        <f t="shared" si="343"/>
        <v>1050000</v>
      </c>
      <c r="AA465" s="62">
        <f t="shared" si="344"/>
        <v>1050000</v>
      </c>
      <c r="AB465" s="62">
        <f t="shared" si="345"/>
        <v>1050000</v>
      </c>
      <c r="AC465" s="62">
        <f t="shared" si="346"/>
        <v>1050000</v>
      </c>
    </row>
    <row r="466" spans="1:29" x14ac:dyDescent="0.3">
      <c r="A466" s="30" t="str">
        <f t="shared" si="318"/>
        <v>Opex var (mode-fees, shunting)</v>
      </c>
      <c r="B466" s="62">
        <f t="shared" si="319"/>
        <v>3.9215686274509802</v>
      </c>
      <c r="C466" s="62">
        <f t="shared" si="320"/>
        <v>3.9215686274509802</v>
      </c>
      <c r="D466" s="62">
        <f t="shared" si="321"/>
        <v>3.9215686274509802</v>
      </c>
      <c r="E466" s="62">
        <f t="shared" si="322"/>
        <v>3.9215686274509802</v>
      </c>
      <c r="F466" s="62">
        <f t="shared" si="323"/>
        <v>3.9215686274509802</v>
      </c>
      <c r="G466" s="62">
        <f t="shared" si="324"/>
        <v>3.9215686274509802</v>
      </c>
      <c r="H466" s="62">
        <f t="shared" si="325"/>
        <v>3.9215686274509802</v>
      </c>
      <c r="I466" s="62">
        <f t="shared" si="326"/>
        <v>3.9215686274509802</v>
      </c>
      <c r="J466" s="62">
        <f t="shared" si="327"/>
        <v>3.9215686274509802</v>
      </c>
      <c r="K466" s="62">
        <f t="shared" si="328"/>
        <v>3.9215686274509802</v>
      </c>
      <c r="L466" s="62">
        <f t="shared" si="329"/>
        <v>3.9215686274509802</v>
      </c>
      <c r="M466" s="62">
        <f t="shared" si="330"/>
        <v>3.9215686274509802</v>
      </c>
      <c r="N466" s="62">
        <f t="shared" si="331"/>
        <v>3.9215686274509802</v>
      </c>
      <c r="O466" s="62">
        <f t="shared" si="332"/>
        <v>3.9215686274509802</v>
      </c>
      <c r="P466" s="62">
        <f t="shared" si="333"/>
        <v>3.9215686274509802</v>
      </c>
      <c r="Q466" s="62">
        <f t="shared" si="334"/>
        <v>3.9215686274509802</v>
      </c>
      <c r="R466" s="62">
        <f t="shared" si="335"/>
        <v>3.9215686274509802</v>
      </c>
      <c r="S466" s="62">
        <f t="shared" si="336"/>
        <v>3.9215686274509802</v>
      </c>
      <c r="T466" s="62">
        <f t="shared" si="337"/>
        <v>3.9215686274509802</v>
      </c>
      <c r="U466" s="62">
        <f t="shared" si="338"/>
        <v>3.9215686274509802</v>
      </c>
      <c r="V466" s="62">
        <f t="shared" si="339"/>
        <v>3.9215686274509802</v>
      </c>
      <c r="W466" s="62">
        <f t="shared" si="340"/>
        <v>3.9215686274509802</v>
      </c>
      <c r="X466" s="62">
        <f t="shared" si="341"/>
        <v>3.9215686274509802</v>
      </c>
      <c r="Y466" s="62">
        <f t="shared" si="342"/>
        <v>3.9215686274509802</v>
      </c>
      <c r="Z466" s="62">
        <f t="shared" si="343"/>
        <v>3.9215686274509802</v>
      </c>
      <c r="AA466" s="62">
        <f t="shared" si="344"/>
        <v>3.9215686274509802</v>
      </c>
      <c r="AB466" s="62">
        <f t="shared" si="345"/>
        <v>3.9215686274509802</v>
      </c>
      <c r="AC466" s="62">
        <f t="shared" si="346"/>
        <v>3.9215686274509802</v>
      </c>
    </row>
    <row r="467" spans="1:29" x14ac:dyDescent="0.3">
      <c r="A467" s="30" t="str">
        <f t="shared" si="318"/>
        <v>Fuel Economy</v>
      </c>
      <c r="B467" s="62">
        <f t="shared" si="319"/>
        <v>62.083200000000005</v>
      </c>
      <c r="C467" s="62">
        <f t="shared" si="320"/>
        <v>62.083200000000005</v>
      </c>
      <c r="D467" s="62">
        <f t="shared" si="321"/>
        <v>62.083200000000005</v>
      </c>
      <c r="E467" s="62">
        <f t="shared" si="322"/>
        <v>62.083200000000005</v>
      </c>
      <c r="F467" s="62">
        <f t="shared" si="323"/>
        <v>62.083200000000005</v>
      </c>
      <c r="G467" s="62">
        <f t="shared" si="324"/>
        <v>62.083200000000005</v>
      </c>
      <c r="H467" s="62">
        <f t="shared" si="325"/>
        <v>62.083200000000005</v>
      </c>
      <c r="I467" s="62">
        <f t="shared" si="326"/>
        <v>62.083200000000005</v>
      </c>
      <c r="J467" s="62">
        <f t="shared" si="327"/>
        <v>62.083200000000005</v>
      </c>
      <c r="K467" s="62">
        <f t="shared" si="328"/>
        <v>62.083200000000005</v>
      </c>
      <c r="L467" s="62">
        <f t="shared" si="329"/>
        <v>62.083200000000005</v>
      </c>
      <c r="M467" s="62">
        <f t="shared" si="330"/>
        <v>62.083200000000005</v>
      </c>
      <c r="N467" s="62">
        <f t="shared" si="331"/>
        <v>62.083200000000005</v>
      </c>
      <c r="O467" s="62">
        <f t="shared" si="332"/>
        <v>62.083200000000005</v>
      </c>
      <c r="P467" s="62">
        <f t="shared" si="333"/>
        <v>62.083200000000005</v>
      </c>
      <c r="Q467" s="62">
        <f t="shared" si="334"/>
        <v>62.083200000000005</v>
      </c>
      <c r="R467" s="62">
        <f t="shared" si="335"/>
        <v>62.083200000000005</v>
      </c>
      <c r="S467" s="62">
        <f t="shared" si="336"/>
        <v>62.083200000000005</v>
      </c>
      <c r="T467" s="62">
        <f t="shared" si="337"/>
        <v>62.083200000000005</v>
      </c>
      <c r="U467" s="62">
        <f t="shared" si="338"/>
        <v>62.083200000000005</v>
      </c>
      <c r="V467" s="62">
        <f t="shared" si="339"/>
        <v>62.083200000000005</v>
      </c>
      <c r="W467" s="62">
        <f t="shared" si="340"/>
        <v>62.083200000000005</v>
      </c>
      <c r="X467" s="62">
        <f t="shared" si="341"/>
        <v>62.083200000000005</v>
      </c>
      <c r="Y467" s="62">
        <f t="shared" si="342"/>
        <v>62.083200000000005</v>
      </c>
      <c r="Z467" s="62">
        <f t="shared" si="343"/>
        <v>62.083200000000005</v>
      </c>
      <c r="AA467" s="62">
        <f t="shared" si="344"/>
        <v>62.083200000000005</v>
      </c>
      <c r="AB467" s="62">
        <f t="shared" si="345"/>
        <v>62.083200000000005</v>
      </c>
      <c r="AC467" s="62">
        <f t="shared" si="346"/>
        <v>62.083200000000005</v>
      </c>
    </row>
    <row r="468" spans="1:29" x14ac:dyDescent="0.3">
      <c r="A468" s="30" t="str">
        <f t="shared" si="318"/>
        <v>Fuel Cost</v>
      </c>
      <c r="B468" s="62">
        <f t="shared" si="319"/>
        <v>0.1</v>
      </c>
      <c r="C468" s="62">
        <f t="shared" si="320"/>
        <v>0.1</v>
      </c>
      <c r="D468" s="62">
        <f t="shared" si="321"/>
        <v>0.1</v>
      </c>
      <c r="E468" s="62">
        <f t="shared" si="322"/>
        <v>0.1</v>
      </c>
      <c r="F468" s="62">
        <f t="shared" si="323"/>
        <v>0.1</v>
      </c>
      <c r="G468" s="62">
        <f t="shared" si="324"/>
        <v>0.1</v>
      </c>
      <c r="H468" s="62">
        <f t="shared" si="325"/>
        <v>0.1</v>
      </c>
      <c r="I468" s="62">
        <f t="shared" si="326"/>
        <v>0.1</v>
      </c>
      <c r="J468" s="62">
        <f t="shared" si="327"/>
        <v>0.1</v>
      </c>
      <c r="K468" s="62">
        <f t="shared" si="328"/>
        <v>0.1</v>
      </c>
      <c r="L468" s="62">
        <f t="shared" si="329"/>
        <v>0.1</v>
      </c>
      <c r="M468" s="62">
        <f t="shared" si="330"/>
        <v>0.1</v>
      </c>
      <c r="N468" s="62">
        <f t="shared" si="331"/>
        <v>0.1</v>
      </c>
      <c r="O468" s="62">
        <f t="shared" si="332"/>
        <v>0.1</v>
      </c>
      <c r="P468" s="62">
        <f t="shared" si="333"/>
        <v>0.1</v>
      </c>
      <c r="Q468" s="62">
        <f t="shared" si="334"/>
        <v>0.1</v>
      </c>
      <c r="R468" s="62">
        <f t="shared" si="335"/>
        <v>0.1</v>
      </c>
      <c r="S468" s="62">
        <f t="shared" si="336"/>
        <v>0.1</v>
      </c>
      <c r="T468" s="62">
        <f t="shared" si="337"/>
        <v>0.1</v>
      </c>
      <c r="U468" s="62">
        <f t="shared" si="338"/>
        <v>0.1</v>
      </c>
      <c r="V468" s="62">
        <f t="shared" si="339"/>
        <v>0.1</v>
      </c>
      <c r="W468" s="62">
        <f t="shared" si="340"/>
        <v>0.1</v>
      </c>
      <c r="X468" s="62">
        <f t="shared" si="341"/>
        <v>0.1</v>
      </c>
      <c r="Y468" s="62">
        <f t="shared" si="342"/>
        <v>0.1</v>
      </c>
      <c r="Z468" s="62">
        <f t="shared" si="343"/>
        <v>0.1</v>
      </c>
      <c r="AA468" s="62">
        <f t="shared" si="344"/>
        <v>0.1</v>
      </c>
      <c r="AB468" s="62">
        <f t="shared" si="345"/>
        <v>0.1</v>
      </c>
      <c r="AC468" s="62">
        <f t="shared" si="346"/>
        <v>0.1</v>
      </c>
    </row>
    <row r="469" spans="1:29" x14ac:dyDescent="0.3">
      <c r="A469" s="30" t="str">
        <f t="shared" si="318"/>
        <v>Emission Cost</v>
      </c>
      <c r="B469" s="66">
        <f>$B449+($C449-$B449)*(1-Q449)</f>
        <v>1.6642920252567563</v>
      </c>
      <c r="C469" s="66">
        <f t="shared" ref="C469:AC469" si="347">$B449+($C449-$B449)*(1-R449)</f>
        <v>1.668223764670367</v>
      </c>
      <c r="D469" s="66">
        <f t="shared" si="347"/>
        <v>1.6738519620685159</v>
      </c>
      <c r="E469" s="66">
        <f t="shared" si="347"/>
        <v>1.681903494239102</v>
      </c>
      <c r="F469" s="66">
        <f t="shared" si="347"/>
        <v>1.6934109103696515</v>
      </c>
      <c r="G469" s="66">
        <f t="shared" si="347"/>
        <v>1.7098344800436978</v>
      </c>
      <c r="H469" s="66">
        <f t="shared" si="347"/>
        <v>1.733225672402217</v>
      </c>
      <c r="I469" s="66">
        <f t="shared" si="347"/>
        <v>1.7664378123820623</v>
      </c>
      <c r="J469" s="66">
        <f t="shared" si="347"/>
        <v>1.8133799807606898</v>
      </c>
      <c r="K469" s="66">
        <f t="shared" si="347"/>
        <v>1.8792859382574125</v>
      </c>
      <c r="L469" s="66">
        <f t="shared" si="347"/>
        <v>1.9709191437812768</v>
      </c>
      <c r="M469" s="66">
        <f t="shared" si="347"/>
        <v>2.0965448405494573</v>
      </c>
      <c r="N469" s="66">
        <f t="shared" si="347"/>
        <v>2.2653723155004584</v>
      </c>
      <c r="O469" s="66">
        <f t="shared" si="347"/>
        <v>2.4860624403309455</v>
      </c>
      <c r="P469" s="66">
        <f t="shared" si="347"/>
        <v>2.7639843510823718</v>
      </c>
      <c r="Q469" s="66">
        <f t="shared" si="347"/>
        <v>3.0974826662343866</v>
      </c>
      <c r="R469" s="66">
        <f t="shared" si="347"/>
        <v>3.4745937746662614</v>
      </c>
      <c r="S469" s="66">
        <f t="shared" si="347"/>
        <v>3.8727084245898471</v>
      </c>
      <c r="T469" s="66">
        <f t="shared" si="347"/>
        <v>4.2629889228555031</v>
      </c>
      <c r="U469" s="66">
        <f t="shared" si="347"/>
        <v>4.6182692937866285</v>
      </c>
      <c r="V469" s="66">
        <f t="shared" si="347"/>
        <v>4.9202070161803482</v>
      </c>
      <c r="W469" s="66">
        <f t="shared" si="347"/>
        <v>5.1620050578353283</v>
      </c>
      <c r="X469" s="66">
        <f t="shared" si="347"/>
        <v>5.3465076953810016</v>
      </c>
      <c r="Y469" s="66">
        <f t="shared" si="347"/>
        <v>5.4821319311099916</v>
      </c>
      <c r="Z469" s="66">
        <f t="shared" si="347"/>
        <v>5.5791012976259244</v>
      </c>
      <c r="AA469" s="66">
        <f t="shared" si="347"/>
        <v>5.6470625031514352</v>
      </c>
      <c r="AB469" s="66">
        <f t="shared" si="347"/>
        <v>5.6940278733917111</v>
      </c>
      <c r="AC469" s="66">
        <f t="shared" si="347"/>
        <v>5.7261686166213002</v>
      </c>
    </row>
    <row r="470" spans="1:29" x14ac:dyDescent="0.3">
      <c r="A470" s="30" t="str">
        <f t="shared" si="318"/>
        <v>Lifetime vehicle</v>
      </c>
      <c r="B470" s="62">
        <f>$B450+($C450-$B450)*(1-Q450)</f>
        <v>20</v>
      </c>
      <c r="C470" s="62">
        <f t="shared" ref="C470:L472" si="348">$B450+($C450-$B450)*(1-R450)</f>
        <v>20</v>
      </c>
      <c r="D470" s="62">
        <f t="shared" si="348"/>
        <v>20</v>
      </c>
      <c r="E470" s="62">
        <f t="shared" si="348"/>
        <v>20</v>
      </c>
      <c r="F470" s="62">
        <f t="shared" si="348"/>
        <v>20</v>
      </c>
      <c r="G470" s="62">
        <f t="shared" si="348"/>
        <v>20</v>
      </c>
      <c r="H470" s="62">
        <f t="shared" si="348"/>
        <v>20</v>
      </c>
      <c r="I470" s="62">
        <f t="shared" si="348"/>
        <v>20</v>
      </c>
      <c r="J470" s="62">
        <f t="shared" si="348"/>
        <v>20</v>
      </c>
      <c r="K470" s="62">
        <f t="shared" si="348"/>
        <v>20</v>
      </c>
      <c r="L470" s="62">
        <f t="shared" si="348"/>
        <v>20</v>
      </c>
      <c r="M470" s="62">
        <f t="shared" ref="M470:V472" si="349">$B450+($C450-$B450)*(1-AB450)</f>
        <v>20</v>
      </c>
      <c r="N470" s="62">
        <f t="shared" si="349"/>
        <v>20</v>
      </c>
      <c r="O470" s="62">
        <f t="shared" si="349"/>
        <v>20</v>
      </c>
      <c r="P470" s="62">
        <f t="shared" si="349"/>
        <v>20</v>
      </c>
      <c r="Q470" s="62">
        <f t="shared" si="349"/>
        <v>20</v>
      </c>
      <c r="R470" s="62">
        <f t="shared" si="349"/>
        <v>20</v>
      </c>
      <c r="S470" s="62">
        <f t="shared" si="349"/>
        <v>20</v>
      </c>
      <c r="T470" s="62">
        <f t="shared" si="349"/>
        <v>20</v>
      </c>
      <c r="U470" s="62">
        <f t="shared" si="349"/>
        <v>20</v>
      </c>
      <c r="V470" s="62">
        <f t="shared" si="349"/>
        <v>20</v>
      </c>
      <c r="W470" s="62">
        <f t="shared" ref="W470:AC472" si="350">$B450+($C450-$B450)*(1-AL450)</f>
        <v>20</v>
      </c>
      <c r="X470" s="62">
        <f t="shared" si="350"/>
        <v>20</v>
      </c>
      <c r="Y470" s="62">
        <f t="shared" si="350"/>
        <v>20</v>
      </c>
      <c r="Z470" s="62">
        <f t="shared" si="350"/>
        <v>20</v>
      </c>
      <c r="AA470" s="62">
        <f t="shared" si="350"/>
        <v>20</v>
      </c>
      <c r="AB470" s="62">
        <f t="shared" si="350"/>
        <v>20</v>
      </c>
      <c r="AC470" s="62">
        <f t="shared" si="350"/>
        <v>20</v>
      </c>
    </row>
    <row r="471" spans="1:29" x14ac:dyDescent="0.3">
      <c r="A471" s="30" t="str">
        <f t="shared" si="318"/>
        <v>Lifetime costumization</v>
      </c>
      <c r="B471" s="62">
        <f>$B451+($C451-$B451)*(1-Q451)</f>
        <v>30</v>
      </c>
      <c r="C471" s="62">
        <f t="shared" si="348"/>
        <v>30</v>
      </c>
      <c r="D471" s="62">
        <f t="shared" si="348"/>
        <v>30</v>
      </c>
      <c r="E471" s="62">
        <f t="shared" si="348"/>
        <v>30</v>
      </c>
      <c r="F471" s="62">
        <f t="shared" si="348"/>
        <v>30</v>
      </c>
      <c r="G471" s="62">
        <f t="shared" si="348"/>
        <v>30</v>
      </c>
      <c r="H471" s="62">
        <f t="shared" si="348"/>
        <v>30</v>
      </c>
      <c r="I471" s="62">
        <f t="shared" si="348"/>
        <v>30</v>
      </c>
      <c r="J471" s="62">
        <f t="shared" si="348"/>
        <v>30</v>
      </c>
      <c r="K471" s="62">
        <f t="shared" si="348"/>
        <v>30</v>
      </c>
      <c r="L471" s="62">
        <f t="shared" si="348"/>
        <v>30</v>
      </c>
      <c r="M471" s="62">
        <f t="shared" si="349"/>
        <v>30</v>
      </c>
      <c r="N471" s="62">
        <f t="shared" si="349"/>
        <v>30</v>
      </c>
      <c r="O471" s="62">
        <f t="shared" si="349"/>
        <v>30</v>
      </c>
      <c r="P471" s="62">
        <f t="shared" si="349"/>
        <v>30</v>
      </c>
      <c r="Q471" s="62">
        <f t="shared" si="349"/>
        <v>30</v>
      </c>
      <c r="R471" s="62">
        <f t="shared" si="349"/>
        <v>30</v>
      </c>
      <c r="S471" s="62">
        <f t="shared" si="349"/>
        <v>30</v>
      </c>
      <c r="T471" s="62">
        <f t="shared" si="349"/>
        <v>30</v>
      </c>
      <c r="U471" s="62">
        <f t="shared" si="349"/>
        <v>30</v>
      </c>
      <c r="V471" s="62">
        <f t="shared" si="349"/>
        <v>30</v>
      </c>
      <c r="W471" s="62">
        <f t="shared" si="350"/>
        <v>30</v>
      </c>
      <c r="X471" s="62">
        <f t="shared" si="350"/>
        <v>30</v>
      </c>
      <c r="Y471" s="62">
        <f t="shared" si="350"/>
        <v>30</v>
      </c>
      <c r="Z471" s="62">
        <f t="shared" si="350"/>
        <v>30</v>
      </c>
      <c r="AA471" s="62">
        <f t="shared" si="350"/>
        <v>30</v>
      </c>
      <c r="AB471" s="62">
        <f t="shared" si="350"/>
        <v>30</v>
      </c>
      <c r="AC471" s="62">
        <f t="shared" si="350"/>
        <v>30</v>
      </c>
    </row>
    <row r="472" spans="1:29" x14ac:dyDescent="0.3">
      <c r="A472" s="30" t="str">
        <f t="shared" si="318"/>
        <v>Tonnage .</v>
      </c>
      <c r="B472" s="62">
        <f>$B452+($C452-$B452)*(1-Q452)</f>
        <v>2800</v>
      </c>
      <c r="C472" s="62">
        <f t="shared" si="348"/>
        <v>2800</v>
      </c>
      <c r="D472" s="62">
        <f t="shared" si="348"/>
        <v>2800</v>
      </c>
      <c r="E472" s="62">
        <f t="shared" si="348"/>
        <v>2800</v>
      </c>
      <c r="F472" s="62">
        <f t="shared" si="348"/>
        <v>2800</v>
      </c>
      <c r="G472" s="62">
        <f t="shared" si="348"/>
        <v>2800</v>
      </c>
      <c r="H472" s="62">
        <f t="shared" si="348"/>
        <v>2800</v>
      </c>
      <c r="I472" s="62">
        <f t="shared" si="348"/>
        <v>2800</v>
      </c>
      <c r="J472" s="62">
        <f t="shared" si="348"/>
        <v>2800</v>
      </c>
      <c r="K472" s="62">
        <f t="shared" si="348"/>
        <v>2800</v>
      </c>
      <c r="L472" s="62">
        <f t="shared" si="348"/>
        <v>2800</v>
      </c>
      <c r="M472" s="62">
        <f t="shared" si="349"/>
        <v>2800</v>
      </c>
      <c r="N472" s="62">
        <f t="shared" si="349"/>
        <v>2800</v>
      </c>
      <c r="O472" s="62">
        <f t="shared" si="349"/>
        <v>2800</v>
      </c>
      <c r="P472" s="62">
        <f t="shared" si="349"/>
        <v>2800</v>
      </c>
      <c r="Q472" s="62">
        <f t="shared" si="349"/>
        <v>2800</v>
      </c>
      <c r="R472" s="62">
        <f t="shared" si="349"/>
        <v>2800</v>
      </c>
      <c r="S472" s="62">
        <f t="shared" si="349"/>
        <v>2800</v>
      </c>
      <c r="T472" s="62">
        <f t="shared" si="349"/>
        <v>2800</v>
      </c>
      <c r="U472" s="62">
        <f t="shared" si="349"/>
        <v>2800</v>
      </c>
      <c r="V472" s="62">
        <f t="shared" si="349"/>
        <v>2800</v>
      </c>
      <c r="W472" s="62">
        <f t="shared" si="350"/>
        <v>2800</v>
      </c>
      <c r="X472" s="62">
        <f t="shared" si="350"/>
        <v>2800</v>
      </c>
      <c r="Y472" s="62">
        <f t="shared" si="350"/>
        <v>2800</v>
      </c>
      <c r="Z472" s="62">
        <f t="shared" si="350"/>
        <v>2800</v>
      </c>
      <c r="AA472" s="62">
        <f t="shared" si="350"/>
        <v>2800</v>
      </c>
      <c r="AB472" s="62">
        <f t="shared" si="350"/>
        <v>2800</v>
      </c>
      <c r="AC472" s="62">
        <f t="shared" si="350"/>
        <v>2800</v>
      </c>
    </row>
    <row r="473" spans="1:29" x14ac:dyDescent="0.3">
      <c r="A473" s="30" t="str">
        <f t="shared" si="318"/>
        <v>Market failure (av. utilization)</v>
      </c>
      <c r="B473" s="62">
        <f t="shared" ref="B473:K474" si="351">($B453+($C453-$B453)*(1-Q453))*B$44</f>
        <v>716.80000000000007</v>
      </c>
      <c r="C473" s="62">
        <f t="shared" si="351"/>
        <v>716.80000000000007</v>
      </c>
      <c r="D473" s="62">
        <f t="shared" si="351"/>
        <v>716.80000000000007</v>
      </c>
      <c r="E473" s="62">
        <f t="shared" si="351"/>
        <v>716.80000000000007</v>
      </c>
      <c r="F473" s="62">
        <f t="shared" si="351"/>
        <v>716.80000000000007</v>
      </c>
      <c r="G473" s="62">
        <f t="shared" si="351"/>
        <v>716.80000000000007</v>
      </c>
      <c r="H473" s="62">
        <f t="shared" si="351"/>
        <v>716.80000000000007</v>
      </c>
      <c r="I473" s="62">
        <f t="shared" si="351"/>
        <v>716.80000000000007</v>
      </c>
      <c r="J473" s="62">
        <f t="shared" si="351"/>
        <v>716.80000000000007</v>
      </c>
      <c r="K473" s="62">
        <f t="shared" si="351"/>
        <v>716.80000000000007</v>
      </c>
      <c r="L473" s="62">
        <f t="shared" ref="L473:U474" si="352">($B453+($C453-$B453)*(1-AA453))*L$44</f>
        <v>716.80000000000007</v>
      </c>
      <c r="M473" s="62">
        <f t="shared" si="352"/>
        <v>716.80000000000007</v>
      </c>
      <c r="N473" s="62">
        <f t="shared" si="352"/>
        <v>716.80000000000007</v>
      </c>
      <c r="O473" s="62">
        <f t="shared" si="352"/>
        <v>716.80000000000007</v>
      </c>
      <c r="P473" s="62">
        <f t="shared" si="352"/>
        <v>716.80000000000007</v>
      </c>
      <c r="Q473" s="62">
        <f t="shared" si="352"/>
        <v>716.80000000000007</v>
      </c>
      <c r="R473" s="62">
        <f t="shared" si="352"/>
        <v>716.80000000000007</v>
      </c>
      <c r="S473" s="62">
        <f t="shared" si="352"/>
        <v>716.80000000000007</v>
      </c>
      <c r="T473" s="62">
        <f t="shared" si="352"/>
        <v>716.80000000000007</v>
      </c>
      <c r="U473" s="62">
        <f t="shared" si="352"/>
        <v>716.80000000000007</v>
      </c>
      <c r="V473" s="62">
        <f t="shared" ref="V473:AC474" si="353">($B453+($C453-$B453)*(1-AK453))*V$44</f>
        <v>716.80000000000007</v>
      </c>
      <c r="W473" s="62">
        <f t="shared" si="353"/>
        <v>716.80000000000007</v>
      </c>
      <c r="X473" s="62">
        <f t="shared" si="353"/>
        <v>716.80000000000007</v>
      </c>
      <c r="Y473" s="62">
        <f t="shared" si="353"/>
        <v>716.80000000000007</v>
      </c>
      <c r="Z473" s="62">
        <f t="shared" si="353"/>
        <v>716.80000000000007</v>
      </c>
      <c r="AA473" s="62">
        <f t="shared" si="353"/>
        <v>716.80000000000007</v>
      </c>
      <c r="AB473" s="62">
        <f t="shared" si="353"/>
        <v>716.80000000000007</v>
      </c>
      <c r="AC473" s="62">
        <f t="shared" si="353"/>
        <v>716.80000000000007</v>
      </c>
    </row>
    <row r="474" spans="1:29" x14ac:dyDescent="0.3">
      <c r="A474" s="30" t="s">
        <v>73</v>
      </c>
      <c r="B474" s="62">
        <f t="shared" si="351"/>
        <v>0</v>
      </c>
      <c r="C474" s="62">
        <f t="shared" si="351"/>
        <v>0</v>
      </c>
      <c r="D474" s="62">
        <f t="shared" si="351"/>
        <v>0</v>
      </c>
      <c r="E474" s="62">
        <f t="shared" si="351"/>
        <v>0</v>
      </c>
      <c r="F474" s="62">
        <f t="shared" si="351"/>
        <v>0</v>
      </c>
      <c r="G474" s="62">
        <f t="shared" si="351"/>
        <v>0</v>
      </c>
      <c r="H474" s="62">
        <f t="shared" si="351"/>
        <v>0</v>
      </c>
      <c r="I474" s="62">
        <f t="shared" si="351"/>
        <v>0</v>
      </c>
      <c r="J474" s="62">
        <f t="shared" si="351"/>
        <v>0</v>
      </c>
      <c r="K474" s="62">
        <f t="shared" si="351"/>
        <v>0</v>
      </c>
      <c r="L474" s="62">
        <f t="shared" si="352"/>
        <v>0</v>
      </c>
      <c r="M474" s="62">
        <f t="shared" si="352"/>
        <v>0</v>
      </c>
      <c r="N474" s="62">
        <f t="shared" si="352"/>
        <v>0</v>
      </c>
      <c r="O474" s="62">
        <f t="shared" si="352"/>
        <v>0</v>
      </c>
      <c r="P474" s="62">
        <f t="shared" si="352"/>
        <v>0</v>
      </c>
      <c r="Q474" s="62">
        <f t="shared" si="352"/>
        <v>0</v>
      </c>
      <c r="R474" s="62">
        <f t="shared" si="352"/>
        <v>0</v>
      </c>
      <c r="S474" s="62">
        <f t="shared" si="352"/>
        <v>0</v>
      </c>
      <c r="T474" s="62">
        <f t="shared" si="352"/>
        <v>0</v>
      </c>
      <c r="U474" s="62">
        <f t="shared" si="352"/>
        <v>0</v>
      </c>
      <c r="V474" s="62">
        <f t="shared" si="353"/>
        <v>0</v>
      </c>
      <c r="W474" s="62">
        <f t="shared" si="353"/>
        <v>0</v>
      </c>
      <c r="X474" s="62">
        <f t="shared" si="353"/>
        <v>0</v>
      </c>
      <c r="Y474" s="62">
        <f t="shared" si="353"/>
        <v>0</v>
      </c>
      <c r="Z474" s="62">
        <f t="shared" si="353"/>
        <v>0</v>
      </c>
      <c r="AA474" s="62">
        <f t="shared" si="353"/>
        <v>0</v>
      </c>
      <c r="AB474" s="62">
        <f t="shared" si="353"/>
        <v>0</v>
      </c>
      <c r="AC474" s="62">
        <f t="shared" si="353"/>
        <v>0</v>
      </c>
    </row>
    <row r="475" spans="1:29" x14ac:dyDescent="0.3">
      <c r="A475" s="30" t="str">
        <f>A455</f>
        <v>Annual Mileage</v>
      </c>
      <c r="B475" s="62">
        <f t="shared" ref="B475:AC475" si="354">$B455+($C455-$B455)*(1-Q455)</f>
        <v>178500</v>
      </c>
      <c r="C475" s="62">
        <f t="shared" si="354"/>
        <v>178500</v>
      </c>
      <c r="D475" s="62">
        <f t="shared" si="354"/>
        <v>178500</v>
      </c>
      <c r="E475" s="62">
        <f t="shared" si="354"/>
        <v>178500</v>
      </c>
      <c r="F475" s="62">
        <f t="shared" si="354"/>
        <v>178500</v>
      </c>
      <c r="G475" s="62">
        <f t="shared" si="354"/>
        <v>178500</v>
      </c>
      <c r="H475" s="62">
        <f t="shared" si="354"/>
        <v>178500</v>
      </c>
      <c r="I475" s="62">
        <f t="shared" si="354"/>
        <v>178500</v>
      </c>
      <c r="J475" s="62">
        <f t="shared" si="354"/>
        <v>178500</v>
      </c>
      <c r="K475" s="62">
        <f t="shared" si="354"/>
        <v>178500</v>
      </c>
      <c r="L475" s="62">
        <f t="shared" si="354"/>
        <v>178500</v>
      </c>
      <c r="M475" s="62">
        <f t="shared" si="354"/>
        <v>178500</v>
      </c>
      <c r="N475" s="62">
        <f t="shared" si="354"/>
        <v>178500</v>
      </c>
      <c r="O475" s="62">
        <f t="shared" si="354"/>
        <v>178500</v>
      </c>
      <c r="P475" s="62">
        <f t="shared" si="354"/>
        <v>178500</v>
      </c>
      <c r="Q475" s="62">
        <f t="shared" si="354"/>
        <v>178500</v>
      </c>
      <c r="R475" s="62">
        <f t="shared" si="354"/>
        <v>178500</v>
      </c>
      <c r="S475" s="62">
        <f t="shared" si="354"/>
        <v>178500</v>
      </c>
      <c r="T475" s="62">
        <f t="shared" si="354"/>
        <v>178500</v>
      </c>
      <c r="U475" s="62">
        <f t="shared" si="354"/>
        <v>178500</v>
      </c>
      <c r="V475" s="62">
        <f t="shared" si="354"/>
        <v>178500</v>
      </c>
      <c r="W475" s="62">
        <f t="shared" si="354"/>
        <v>178500</v>
      </c>
      <c r="X475" s="62">
        <f t="shared" si="354"/>
        <v>178500</v>
      </c>
      <c r="Y475" s="62">
        <f t="shared" si="354"/>
        <v>178500</v>
      </c>
      <c r="Z475" s="62">
        <f t="shared" si="354"/>
        <v>178500</v>
      </c>
      <c r="AA475" s="62">
        <f t="shared" si="354"/>
        <v>178500</v>
      </c>
      <c r="AB475" s="62">
        <f t="shared" si="354"/>
        <v>178500</v>
      </c>
      <c r="AC475" s="62">
        <f t="shared" si="354"/>
        <v>178500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305145.94941897993</v>
      </c>
      <c r="C478" s="63">
        <f t="shared" ref="C478:AC478" si="355">((1+C463)^C470)*C463/(((1+C463)^C470)-1)*(C459)</f>
        <v>305145.94941897993</v>
      </c>
      <c r="D478" s="63">
        <f t="shared" si="355"/>
        <v>305145.94941897993</v>
      </c>
      <c r="E478" s="63">
        <f t="shared" si="355"/>
        <v>305145.94941897993</v>
      </c>
      <c r="F478" s="63">
        <f t="shared" si="355"/>
        <v>305145.94941897993</v>
      </c>
      <c r="G478" s="63">
        <f t="shared" si="355"/>
        <v>305145.94941897993</v>
      </c>
      <c r="H478" s="63">
        <f t="shared" si="355"/>
        <v>305145.94941897993</v>
      </c>
      <c r="I478" s="63">
        <f t="shared" si="355"/>
        <v>305145.94941897993</v>
      </c>
      <c r="J478" s="63">
        <f t="shared" si="355"/>
        <v>305145.94941897993</v>
      </c>
      <c r="K478" s="63">
        <f t="shared" si="355"/>
        <v>305145.94941897993</v>
      </c>
      <c r="L478" s="63">
        <f t="shared" si="355"/>
        <v>305145.94941897993</v>
      </c>
      <c r="M478" s="63">
        <f t="shared" si="355"/>
        <v>305145.94941897993</v>
      </c>
      <c r="N478" s="63">
        <f t="shared" si="355"/>
        <v>305145.94941897993</v>
      </c>
      <c r="O478" s="63">
        <f t="shared" si="355"/>
        <v>305145.94941897993</v>
      </c>
      <c r="P478" s="63">
        <f t="shared" si="355"/>
        <v>305145.94941897993</v>
      </c>
      <c r="Q478" s="63">
        <f t="shared" si="355"/>
        <v>305145.94941897993</v>
      </c>
      <c r="R478" s="63">
        <f t="shared" si="355"/>
        <v>305145.94941897993</v>
      </c>
      <c r="S478" s="63">
        <f t="shared" si="355"/>
        <v>305145.94941897993</v>
      </c>
      <c r="T478" s="63">
        <f t="shared" si="355"/>
        <v>305145.94941897993</v>
      </c>
      <c r="U478" s="63">
        <f t="shared" si="355"/>
        <v>305145.94941897993</v>
      </c>
      <c r="V478" s="63">
        <f t="shared" si="355"/>
        <v>305145.94941897993</v>
      </c>
      <c r="W478" s="63">
        <f t="shared" si="355"/>
        <v>305145.94941897993</v>
      </c>
      <c r="X478" s="63">
        <f t="shared" si="355"/>
        <v>305145.94941897993</v>
      </c>
      <c r="Y478" s="63">
        <f t="shared" si="355"/>
        <v>305145.94941897993</v>
      </c>
      <c r="Z478" s="63">
        <f t="shared" si="355"/>
        <v>305145.94941897993</v>
      </c>
      <c r="AA478" s="63">
        <f t="shared" si="355"/>
        <v>305145.94941897993</v>
      </c>
      <c r="AB478" s="63">
        <f t="shared" si="355"/>
        <v>305145.94941897993</v>
      </c>
      <c r="AC478" s="63">
        <f t="shared" si="355"/>
        <v>305145.94941897993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-45369.034506436277</v>
      </c>
      <c r="C479" s="62">
        <f t="shared" ref="C479:AC479" si="356">((1+C463)^C470)*C463/(((1+C463)^C470)-1)*(C460)</f>
        <v>-45196.542704314146</v>
      </c>
      <c r="D479" s="62">
        <f t="shared" si="356"/>
        <v>-44951.629072308999</v>
      </c>
      <c r="E479" s="62">
        <f t="shared" si="356"/>
        <v>-44605.467188167124</v>
      </c>
      <c r="F479" s="62">
        <f t="shared" si="356"/>
        <v>-44119.462148109647</v>
      </c>
      <c r="G479" s="62">
        <f t="shared" si="356"/>
        <v>-43443.738717137028</v>
      </c>
      <c r="H479" s="62">
        <f t="shared" si="356"/>
        <v>-42517.347172137401</v>
      </c>
      <c r="I479" s="62">
        <f t="shared" si="356"/>
        <v>-41272.376203762586</v>
      </c>
      <c r="J479" s="62">
        <f t="shared" si="356"/>
        <v>-39644.958637393647</v>
      </c>
      <c r="K479" s="62">
        <f t="shared" si="356"/>
        <v>-37595.501281822799</v>
      </c>
      <c r="L479" s="62">
        <f t="shared" si="356"/>
        <v>-35136.211284820376</v>
      </c>
      <c r="M479" s="62">
        <f t="shared" si="356"/>
        <v>-32355.310948630464</v>
      </c>
      <c r="N479" s="62">
        <f t="shared" si="356"/>
        <v>-29419.525873461753</v>
      </c>
      <c r="O479" s="62">
        <f t="shared" si="356"/>
        <v>-26541.511557340396</v>
      </c>
      <c r="P479" s="62">
        <f t="shared" si="356"/>
        <v>-23921.595885610663</v>
      </c>
      <c r="Q479" s="62">
        <f t="shared" si="356"/>
        <v>-21695.040647806538</v>
      </c>
      <c r="R479" s="62">
        <f t="shared" si="356"/>
        <v>-19911.968655776182</v>
      </c>
      <c r="S479" s="62">
        <f t="shared" si="356"/>
        <v>-18551.40558747459</v>
      </c>
      <c r="T479" s="62">
        <f t="shared" si="356"/>
        <v>-17551.282614957105</v>
      </c>
      <c r="U479" s="62">
        <f t="shared" si="356"/>
        <v>-16836.209158050464</v>
      </c>
      <c r="V479" s="62">
        <f t="shared" si="356"/>
        <v>-16335.048266557109</v>
      </c>
      <c r="W479" s="62">
        <f t="shared" si="356"/>
        <v>-15988.715286779448</v>
      </c>
      <c r="X479" s="62">
        <f t="shared" si="356"/>
        <v>-15751.702370283236</v>
      </c>
      <c r="Y479" s="62">
        <f t="shared" si="356"/>
        <v>-15590.58521762073</v>
      </c>
      <c r="Z479" s="62">
        <f t="shared" si="356"/>
        <v>-15481.559033229796</v>
      </c>
      <c r="AA479" s="62">
        <f t="shared" si="356"/>
        <v>-15408.009855414111</v>
      </c>
      <c r="AB479" s="62">
        <f t="shared" si="356"/>
        <v>-15358.496914269901</v>
      </c>
      <c r="AC479" s="62">
        <f t="shared" si="356"/>
        <v>-15325.211858527608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357">((1+C463)^C471)*C463/(((1+C463)^C471)-1)*(C461)</f>
        <v>254271.19021516517</v>
      </c>
      <c r="D480" s="62">
        <f t="shared" si="357"/>
        <v>254271.19021516517</v>
      </c>
      <c r="E480" s="62">
        <f t="shared" si="357"/>
        <v>254271.19021516517</v>
      </c>
      <c r="F480" s="62">
        <f t="shared" si="357"/>
        <v>254271.19021516517</v>
      </c>
      <c r="G480" s="62">
        <f t="shared" si="357"/>
        <v>254271.19021516517</v>
      </c>
      <c r="H480" s="62">
        <f t="shared" si="357"/>
        <v>254271.19021516517</v>
      </c>
      <c r="I480" s="62">
        <f t="shared" si="357"/>
        <v>254271.19021516517</v>
      </c>
      <c r="J480" s="62">
        <f t="shared" si="357"/>
        <v>254271.19021516517</v>
      </c>
      <c r="K480" s="62">
        <f t="shared" si="357"/>
        <v>254271.19021516517</v>
      </c>
      <c r="L480" s="62">
        <f t="shared" si="357"/>
        <v>254271.19021516517</v>
      </c>
      <c r="M480" s="62">
        <f t="shared" si="357"/>
        <v>254271.19021516517</v>
      </c>
      <c r="N480" s="62">
        <f t="shared" si="357"/>
        <v>254271.19021516517</v>
      </c>
      <c r="O480" s="62">
        <f t="shared" si="357"/>
        <v>254271.19021516517</v>
      </c>
      <c r="P480" s="62">
        <f t="shared" si="357"/>
        <v>254271.19021516517</v>
      </c>
      <c r="Q480" s="62">
        <f t="shared" si="357"/>
        <v>254271.19021516517</v>
      </c>
      <c r="R480" s="62">
        <f t="shared" si="357"/>
        <v>254271.19021516517</v>
      </c>
      <c r="S480" s="62">
        <f t="shared" si="357"/>
        <v>254271.19021516517</v>
      </c>
      <c r="T480" s="62">
        <f t="shared" si="357"/>
        <v>254271.19021516517</v>
      </c>
      <c r="U480" s="62">
        <f t="shared" si="357"/>
        <v>254271.19021516517</v>
      </c>
      <c r="V480" s="62">
        <f t="shared" si="357"/>
        <v>254271.19021516517</v>
      </c>
      <c r="W480" s="62">
        <f t="shared" si="357"/>
        <v>254271.19021516517</v>
      </c>
      <c r="X480" s="62">
        <f t="shared" si="357"/>
        <v>254271.19021516517</v>
      </c>
      <c r="Y480" s="62">
        <f t="shared" si="357"/>
        <v>254271.19021516517</v>
      </c>
      <c r="Z480" s="62">
        <f t="shared" si="357"/>
        <v>254271.19021516517</v>
      </c>
      <c r="AA480" s="62">
        <f t="shared" si="357"/>
        <v>254271.19021516517</v>
      </c>
      <c r="AB480" s="62">
        <f t="shared" si="357"/>
        <v>254271.19021516517</v>
      </c>
      <c r="AC480" s="62">
        <f t="shared" si="357"/>
        <v>254271.19021516517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358">((1+C463)^C471)*C463/(((1+C463)^C471)-1)*(C462)</f>
        <v>-12713.559510758259</v>
      </c>
      <c r="D481" s="62">
        <f t="shared" si="358"/>
        <v>-12713.559510758259</v>
      </c>
      <c r="E481" s="62">
        <f t="shared" si="358"/>
        <v>-12713.559510758259</v>
      </c>
      <c r="F481" s="62">
        <f t="shared" si="358"/>
        <v>-12713.559510758259</v>
      </c>
      <c r="G481" s="62">
        <f t="shared" si="358"/>
        <v>-12713.559510758259</v>
      </c>
      <c r="H481" s="62">
        <f t="shared" si="358"/>
        <v>-12713.559510758259</v>
      </c>
      <c r="I481" s="62">
        <f t="shared" si="358"/>
        <v>-12713.559510758259</v>
      </c>
      <c r="J481" s="62">
        <f t="shared" si="358"/>
        <v>-12713.559510758259</v>
      </c>
      <c r="K481" s="62">
        <f t="shared" si="358"/>
        <v>-12713.559510758259</v>
      </c>
      <c r="L481" s="62">
        <f t="shared" si="358"/>
        <v>-12713.559510758259</v>
      </c>
      <c r="M481" s="62">
        <f t="shared" si="358"/>
        <v>-12713.559510758259</v>
      </c>
      <c r="N481" s="62">
        <f t="shared" si="358"/>
        <v>-12713.559510758259</v>
      </c>
      <c r="O481" s="62">
        <f t="shared" si="358"/>
        <v>-12713.559510758259</v>
      </c>
      <c r="P481" s="62">
        <f t="shared" si="358"/>
        <v>-12713.559510758259</v>
      </c>
      <c r="Q481" s="62">
        <f t="shared" si="358"/>
        <v>-12713.559510758259</v>
      </c>
      <c r="R481" s="62">
        <f t="shared" si="358"/>
        <v>-12713.559510758259</v>
      </c>
      <c r="S481" s="62">
        <f t="shared" si="358"/>
        <v>-12713.559510758259</v>
      </c>
      <c r="T481" s="62">
        <f t="shared" si="358"/>
        <v>-12713.559510758259</v>
      </c>
      <c r="U481" s="62">
        <f t="shared" si="358"/>
        <v>-12713.559510758259</v>
      </c>
      <c r="V481" s="62">
        <f t="shared" si="358"/>
        <v>-12713.559510758259</v>
      </c>
      <c r="W481" s="62">
        <f t="shared" si="358"/>
        <v>-12713.559510758259</v>
      </c>
      <c r="X481" s="62">
        <f t="shared" si="358"/>
        <v>-12713.559510758259</v>
      </c>
      <c r="Y481" s="62">
        <f t="shared" si="358"/>
        <v>-12713.559510758259</v>
      </c>
      <c r="Z481" s="62">
        <f t="shared" si="358"/>
        <v>-12713.559510758259</v>
      </c>
      <c r="AA481" s="62">
        <f t="shared" si="358"/>
        <v>-12713.559510758259</v>
      </c>
      <c r="AB481" s="62">
        <f t="shared" si="358"/>
        <v>-12713.559510758259</v>
      </c>
      <c r="AC481" s="62">
        <f t="shared" si="358"/>
        <v>-12713.559510758259</v>
      </c>
    </row>
    <row r="482" spans="1:29" x14ac:dyDescent="0.3">
      <c r="A482" s="30" t="str">
        <f t="shared" ref="A482:AC482" si="359">A464</f>
        <v>Opex fix (admin, crew, insurance)</v>
      </c>
      <c r="B482" s="62">
        <f t="shared" si="359"/>
        <v>650000</v>
      </c>
      <c r="C482" s="62">
        <f t="shared" si="359"/>
        <v>650000</v>
      </c>
      <c r="D482" s="62">
        <f t="shared" si="359"/>
        <v>650000</v>
      </c>
      <c r="E482" s="62">
        <f t="shared" si="359"/>
        <v>650000</v>
      </c>
      <c r="F482" s="62">
        <f t="shared" si="359"/>
        <v>650000</v>
      </c>
      <c r="G482" s="62">
        <f t="shared" si="359"/>
        <v>650000</v>
      </c>
      <c r="H482" s="62">
        <f t="shared" si="359"/>
        <v>650000</v>
      </c>
      <c r="I482" s="62">
        <f t="shared" si="359"/>
        <v>650000</v>
      </c>
      <c r="J482" s="62">
        <f t="shared" si="359"/>
        <v>650000</v>
      </c>
      <c r="K482" s="62">
        <f t="shared" si="359"/>
        <v>650000</v>
      </c>
      <c r="L482" s="62">
        <f t="shared" si="359"/>
        <v>650000</v>
      </c>
      <c r="M482" s="62">
        <f t="shared" si="359"/>
        <v>650000</v>
      </c>
      <c r="N482" s="62">
        <f t="shared" si="359"/>
        <v>650000</v>
      </c>
      <c r="O482" s="62">
        <f t="shared" si="359"/>
        <v>650000</v>
      </c>
      <c r="P482" s="62">
        <f t="shared" si="359"/>
        <v>650000</v>
      </c>
      <c r="Q482" s="62">
        <f t="shared" si="359"/>
        <v>650000</v>
      </c>
      <c r="R482" s="62">
        <f t="shared" si="359"/>
        <v>650000</v>
      </c>
      <c r="S482" s="62">
        <f t="shared" si="359"/>
        <v>650000</v>
      </c>
      <c r="T482" s="62">
        <f t="shared" si="359"/>
        <v>650000</v>
      </c>
      <c r="U482" s="62">
        <f t="shared" si="359"/>
        <v>650000</v>
      </c>
      <c r="V482" s="62">
        <f t="shared" si="359"/>
        <v>650000</v>
      </c>
      <c r="W482" s="62">
        <f t="shared" si="359"/>
        <v>650000</v>
      </c>
      <c r="X482" s="62">
        <f t="shared" si="359"/>
        <v>650000</v>
      </c>
      <c r="Y482" s="62">
        <f t="shared" si="359"/>
        <v>650000</v>
      </c>
      <c r="Z482" s="62">
        <f t="shared" si="359"/>
        <v>650000</v>
      </c>
      <c r="AA482" s="62">
        <f t="shared" si="359"/>
        <v>650000</v>
      </c>
      <c r="AB482" s="62">
        <f t="shared" si="359"/>
        <v>650000</v>
      </c>
      <c r="AC482" s="62">
        <f t="shared" si="359"/>
        <v>650000</v>
      </c>
    </row>
    <row r="483" spans="1:29" x14ac:dyDescent="0.3">
      <c r="A483" s="30" t="str">
        <f t="shared" ref="A483:AC483" si="360">A465</f>
        <v>Opex maintenance &amp; repair</v>
      </c>
      <c r="B483" s="62">
        <f t="shared" si="360"/>
        <v>1050000</v>
      </c>
      <c r="C483" s="62">
        <f t="shared" si="360"/>
        <v>1050000</v>
      </c>
      <c r="D483" s="62">
        <f t="shared" si="360"/>
        <v>1050000</v>
      </c>
      <c r="E483" s="62">
        <f t="shared" si="360"/>
        <v>1050000</v>
      </c>
      <c r="F483" s="62">
        <f t="shared" si="360"/>
        <v>1050000</v>
      </c>
      <c r="G483" s="62">
        <f t="shared" si="360"/>
        <v>1050000</v>
      </c>
      <c r="H483" s="62">
        <f t="shared" si="360"/>
        <v>1050000</v>
      </c>
      <c r="I483" s="62">
        <f t="shared" si="360"/>
        <v>1050000</v>
      </c>
      <c r="J483" s="62">
        <f t="shared" si="360"/>
        <v>1050000</v>
      </c>
      <c r="K483" s="62">
        <f t="shared" si="360"/>
        <v>1050000</v>
      </c>
      <c r="L483" s="62">
        <f t="shared" si="360"/>
        <v>1050000</v>
      </c>
      <c r="M483" s="62">
        <f t="shared" si="360"/>
        <v>1050000</v>
      </c>
      <c r="N483" s="62">
        <f t="shared" si="360"/>
        <v>1050000</v>
      </c>
      <c r="O483" s="62">
        <f t="shared" si="360"/>
        <v>1050000</v>
      </c>
      <c r="P483" s="62">
        <f t="shared" si="360"/>
        <v>1050000</v>
      </c>
      <c r="Q483" s="62">
        <f t="shared" si="360"/>
        <v>1050000</v>
      </c>
      <c r="R483" s="62">
        <f t="shared" si="360"/>
        <v>1050000</v>
      </c>
      <c r="S483" s="62">
        <f t="shared" si="360"/>
        <v>1050000</v>
      </c>
      <c r="T483" s="62">
        <f t="shared" si="360"/>
        <v>1050000</v>
      </c>
      <c r="U483" s="62">
        <f t="shared" si="360"/>
        <v>1050000</v>
      </c>
      <c r="V483" s="62">
        <f t="shared" si="360"/>
        <v>1050000</v>
      </c>
      <c r="W483" s="62">
        <f t="shared" si="360"/>
        <v>1050000</v>
      </c>
      <c r="X483" s="62">
        <f t="shared" si="360"/>
        <v>1050000</v>
      </c>
      <c r="Y483" s="62">
        <f t="shared" si="360"/>
        <v>1050000</v>
      </c>
      <c r="Z483" s="62">
        <f t="shared" si="360"/>
        <v>1050000</v>
      </c>
      <c r="AA483" s="62">
        <f t="shared" si="360"/>
        <v>1050000</v>
      </c>
      <c r="AB483" s="62">
        <f t="shared" si="360"/>
        <v>1050000</v>
      </c>
      <c r="AC483" s="62">
        <f t="shared" si="360"/>
        <v>1050000</v>
      </c>
    </row>
    <row r="484" spans="1:29" x14ac:dyDescent="0.3">
      <c r="A484" s="30" t="str">
        <f>A466</f>
        <v>Opex var (mode-fees, shunting)</v>
      </c>
      <c r="B484" s="62">
        <f>B466*B475</f>
        <v>700000</v>
      </c>
      <c r="C484" s="62">
        <f t="shared" ref="C484:AC484" si="361">C466*C475</f>
        <v>700000</v>
      </c>
      <c r="D484" s="62">
        <f t="shared" si="361"/>
        <v>700000</v>
      </c>
      <c r="E484" s="62">
        <f t="shared" si="361"/>
        <v>700000</v>
      </c>
      <c r="F484" s="62">
        <f t="shared" si="361"/>
        <v>700000</v>
      </c>
      <c r="G484" s="62">
        <f t="shared" si="361"/>
        <v>700000</v>
      </c>
      <c r="H484" s="62">
        <f t="shared" si="361"/>
        <v>700000</v>
      </c>
      <c r="I484" s="62">
        <f t="shared" si="361"/>
        <v>700000</v>
      </c>
      <c r="J484" s="62">
        <f t="shared" si="361"/>
        <v>700000</v>
      </c>
      <c r="K484" s="62">
        <f t="shared" si="361"/>
        <v>700000</v>
      </c>
      <c r="L484" s="62">
        <f t="shared" si="361"/>
        <v>700000</v>
      </c>
      <c r="M484" s="62">
        <f t="shared" si="361"/>
        <v>700000</v>
      </c>
      <c r="N484" s="62">
        <f t="shared" si="361"/>
        <v>700000</v>
      </c>
      <c r="O484" s="62">
        <f t="shared" si="361"/>
        <v>700000</v>
      </c>
      <c r="P484" s="62">
        <f t="shared" si="361"/>
        <v>700000</v>
      </c>
      <c r="Q484" s="62">
        <f t="shared" si="361"/>
        <v>700000</v>
      </c>
      <c r="R484" s="62">
        <f t="shared" si="361"/>
        <v>700000</v>
      </c>
      <c r="S484" s="62">
        <f t="shared" si="361"/>
        <v>700000</v>
      </c>
      <c r="T484" s="62">
        <f t="shared" si="361"/>
        <v>700000</v>
      </c>
      <c r="U484" s="62">
        <f t="shared" si="361"/>
        <v>700000</v>
      </c>
      <c r="V484" s="62">
        <f t="shared" si="361"/>
        <v>700000</v>
      </c>
      <c r="W484" s="62">
        <f t="shared" si="361"/>
        <v>700000</v>
      </c>
      <c r="X484" s="62">
        <f t="shared" si="361"/>
        <v>700000</v>
      </c>
      <c r="Y484" s="62">
        <f t="shared" si="361"/>
        <v>700000</v>
      </c>
      <c r="Z484" s="62">
        <f t="shared" si="361"/>
        <v>700000</v>
      </c>
      <c r="AA484" s="62">
        <f t="shared" si="361"/>
        <v>700000</v>
      </c>
      <c r="AB484" s="62">
        <f t="shared" si="361"/>
        <v>700000</v>
      </c>
      <c r="AC484" s="62">
        <f t="shared" si="361"/>
        <v>700000</v>
      </c>
    </row>
    <row r="485" spans="1:29" x14ac:dyDescent="0.3">
      <c r="A485" s="30" t="str">
        <f>A468</f>
        <v>Fuel Cost</v>
      </c>
      <c r="B485" s="62">
        <f>B467*B468*B475</f>
        <v>1108185.1200000001</v>
      </c>
      <c r="C485" s="62">
        <f t="shared" ref="C485:AC485" si="362">C467*C468*C475</f>
        <v>1108185.1200000001</v>
      </c>
      <c r="D485" s="62">
        <f t="shared" si="362"/>
        <v>1108185.1200000001</v>
      </c>
      <c r="E485" s="62">
        <f t="shared" si="362"/>
        <v>1108185.1200000001</v>
      </c>
      <c r="F485" s="62">
        <f t="shared" si="362"/>
        <v>1108185.1200000001</v>
      </c>
      <c r="G485" s="62">
        <f t="shared" si="362"/>
        <v>1108185.1200000001</v>
      </c>
      <c r="H485" s="62">
        <f t="shared" si="362"/>
        <v>1108185.1200000001</v>
      </c>
      <c r="I485" s="62">
        <f t="shared" si="362"/>
        <v>1108185.1200000001</v>
      </c>
      <c r="J485" s="62">
        <f t="shared" si="362"/>
        <v>1108185.1200000001</v>
      </c>
      <c r="K485" s="62">
        <f t="shared" si="362"/>
        <v>1108185.1200000001</v>
      </c>
      <c r="L485" s="62">
        <f t="shared" si="362"/>
        <v>1108185.1200000001</v>
      </c>
      <c r="M485" s="62">
        <f t="shared" si="362"/>
        <v>1108185.1200000001</v>
      </c>
      <c r="N485" s="62">
        <f t="shared" si="362"/>
        <v>1108185.1200000001</v>
      </c>
      <c r="O485" s="62">
        <f t="shared" si="362"/>
        <v>1108185.1200000001</v>
      </c>
      <c r="P485" s="62">
        <f t="shared" si="362"/>
        <v>1108185.1200000001</v>
      </c>
      <c r="Q485" s="62">
        <f t="shared" si="362"/>
        <v>1108185.1200000001</v>
      </c>
      <c r="R485" s="62">
        <f t="shared" si="362"/>
        <v>1108185.1200000001</v>
      </c>
      <c r="S485" s="62">
        <f t="shared" si="362"/>
        <v>1108185.1200000001</v>
      </c>
      <c r="T485" s="62">
        <f t="shared" si="362"/>
        <v>1108185.1200000001</v>
      </c>
      <c r="U485" s="62">
        <f t="shared" si="362"/>
        <v>1108185.1200000001</v>
      </c>
      <c r="V485" s="62">
        <f t="shared" si="362"/>
        <v>1108185.1200000001</v>
      </c>
      <c r="W485" s="62">
        <f t="shared" si="362"/>
        <v>1108185.1200000001</v>
      </c>
      <c r="X485" s="62">
        <f t="shared" si="362"/>
        <v>1108185.1200000001</v>
      </c>
      <c r="Y485" s="62">
        <f t="shared" si="362"/>
        <v>1108185.1200000001</v>
      </c>
      <c r="Z485" s="62">
        <f t="shared" si="362"/>
        <v>1108185.1200000001</v>
      </c>
      <c r="AA485" s="62">
        <f t="shared" si="362"/>
        <v>1108185.1200000001</v>
      </c>
      <c r="AB485" s="62">
        <f t="shared" si="362"/>
        <v>1108185.1200000001</v>
      </c>
      <c r="AC485" s="62">
        <f t="shared" si="362"/>
        <v>1108185.1200000001</v>
      </c>
    </row>
    <row r="486" spans="1:29" ht="15" thickBot="1" x14ac:dyDescent="0.35">
      <c r="A486" s="59" t="str">
        <f>A449</f>
        <v>Emission Cost</v>
      </c>
      <c r="B486" s="62">
        <f>B469*B475</f>
        <v>297076.12650833098</v>
      </c>
      <c r="C486" s="62">
        <f t="shared" ref="C486:AC486" si="363">C469*C475</f>
        <v>297777.94199366053</v>
      </c>
      <c r="D486" s="62">
        <f t="shared" si="363"/>
        <v>298782.5752292301</v>
      </c>
      <c r="E486" s="62">
        <f t="shared" si="363"/>
        <v>300219.7737216797</v>
      </c>
      <c r="F486" s="62">
        <f t="shared" si="363"/>
        <v>302273.84750098281</v>
      </c>
      <c r="G486" s="62">
        <f t="shared" si="363"/>
        <v>305205.45468780003</v>
      </c>
      <c r="H486" s="62">
        <f t="shared" si="363"/>
        <v>309380.78252379573</v>
      </c>
      <c r="I486" s="62">
        <f t="shared" si="363"/>
        <v>315309.1495101981</v>
      </c>
      <c r="J486" s="62">
        <f t="shared" si="363"/>
        <v>323688.32656578312</v>
      </c>
      <c r="K486" s="62">
        <f t="shared" si="363"/>
        <v>335452.53997894813</v>
      </c>
      <c r="L486" s="62">
        <f t="shared" si="363"/>
        <v>351809.06716495787</v>
      </c>
      <c r="M486" s="62">
        <f t="shared" si="363"/>
        <v>374233.25403807813</v>
      </c>
      <c r="N486" s="62">
        <f t="shared" si="363"/>
        <v>404368.95831683179</v>
      </c>
      <c r="O486" s="62">
        <f t="shared" si="363"/>
        <v>443762.14559907379</v>
      </c>
      <c r="P486" s="62">
        <f t="shared" si="363"/>
        <v>493371.20666820335</v>
      </c>
      <c r="Q486" s="62">
        <f t="shared" si="363"/>
        <v>552900.65592283802</v>
      </c>
      <c r="R486" s="62">
        <f t="shared" si="363"/>
        <v>620214.98877792771</v>
      </c>
      <c r="S486" s="62">
        <f t="shared" si="363"/>
        <v>691278.45378928771</v>
      </c>
      <c r="T486" s="62">
        <f t="shared" si="363"/>
        <v>760943.5227297073</v>
      </c>
      <c r="U486" s="62">
        <f t="shared" si="363"/>
        <v>824361.06894091319</v>
      </c>
      <c r="V486" s="62">
        <f t="shared" si="363"/>
        <v>878256.95238819218</v>
      </c>
      <c r="W486" s="62">
        <f t="shared" si="363"/>
        <v>921417.90282360604</v>
      </c>
      <c r="X486" s="62">
        <f t="shared" si="363"/>
        <v>954351.62362550874</v>
      </c>
      <c r="Y486" s="62">
        <f t="shared" si="363"/>
        <v>978560.54970313353</v>
      </c>
      <c r="Z486" s="62">
        <f t="shared" si="363"/>
        <v>995869.58162622747</v>
      </c>
      <c r="AA486" s="62">
        <f t="shared" si="363"/>
        <v>1008000.6568125312</v>
      </c>
      <c r="AB486" s="62">
        <f t="shared" si="363"/>
        <v>1016383.9754004205</v>
      </c>
      <c r="AC486" s="62">
        <f t="shared" si="363"/>
        <v>1022121.0980669021</v>
      </c>
    </row>
    <row r="487" spans="1:29" ht="15" thickBot="1" x14ac:dyDescent="0.35">
      <c r="A487" s="31" t="s">
        <v>209</v>
      </c>
      <c r="B487" s="64">
        <f>B478+B479+B480+B481+B482+B483+B484+B485+B486</f>
        <v>4306595.7921252819</v>
      </c>
      <c r="C487" s="64">
        <f t="shared" ref="C487:AC487" si="364">C478+C479+C480+C481+C482+C483+C484+C485+C486</f>
        <v>4307470.0994127337</v>
      </c>
      <c r="D487" s="64">
        <f t="shared" si="364"/>
        <v>4308719.6462803083</v>
      </c>
      <c r="E487" s="64">
        <f t="shared" si="364"/>
        <v>4310503.0066569</v>
      </c>
      <c r="F487" s="64">
        <f t="shared" si="364"/>
        <v>4313043.0854762597</v>
      </c>
      <c r="G487" s="64">
        <f t="shared" si="364"/>
        <v>4316650.4160940498</v>
      </c>
      <c r="H487" s="64">
        <f t="shared" si="364"/>
        <v>4321752.1354750451</v>
      </c>
      <c r="I487" s="64">
        <f t="shared" si="364"/>
        <v>4328925.4734298224</v>
      </c>
      <c r="J487" s="64">
        <f t="shared" si="364"/>
        <v>4338932.0680517768</v>
      </c>
      <c r="K487" s="64">
        <f t="shared" si="364"/>
        <v>4352745.7388205128</v>
      </c>
      <c r="L487" s="64">
        <f t="shared" si="364"/>
        <v>4371561.556003524</v>
      </c>
      <c r="M487" s="64">
        <f t="shared" si="364"/>
        <v>4396766.6432128344</v>
      </c>
      <c r="N487" s="64">
        <f t="shared" si="364"/>
        <v>4429838.1325667566</v>
      </c>
      <c r="O487" s="64">
        <f t="shared" si="364"/>
        <v>4472109.3341651205</v>
      </c>
      <c r="P487" s="64">
        <f t="shared" si="364"/>
        <v>4524338.3109059799</v>
      </c>
      <c r="Q487" s="64">
        <f t="shared" si="364"/>
        <v>4586094.3153984183</v>
      </c>
      <c r="R487" s="64">
        <f t="shared" si="364"/>
        <v>4655191.7202455383</v>
      </c>
      <c r="S487" s="64">
        <f t="shared" si="364"/>
        <v>4727615.7483252008</v>
      </c>
      <c r="T487" s="64">
        <f t="shared" si="364"/>
        <v>4798280.9402381368</v>
      </c>
      <c r="U487" s="64">
        <f t="shared" si="364"/>
        <v>4862413.5599062499</v>
      </c>
      <c r="V487" s="64">
        <f t="shared" si="364"/>
        <v>4916810.6042450219</v>
      </c>
      <c r="W487" s="64">
        <f t="shared" si="364"/>
        <v>4960317.8876602128</v>
      </c>
      <c r="X487" s="64">
        <f t="shared" si="364"/>
        <v>4993488.6213786127</v>
      </c>
      <c r="Y487" s="64">
        <f t="shared" si="364"/>
        <v>5017858.6646088995</v>
      </c>
      <c r="Z487" s="64">
        <f t="shared" si="364"/>
        <v>5035276.7227163846</v>
      </c>
      <c r="AA487" s="64">
        <f t="shared" si="364"/>
        <v>5047481.3470805036</v>
      </c>
      <c r="AB487" s="64">
        <f t="shared" si="364"/>
        <v>5055914.1786095379</v>
      </c>
      <c r="AC487" s="64">
        <f t="shared" si="364"/>
        <v>5061684.5863317614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365">A478</f>
        <v>Capex vehicle</v>
      </c>
      <c r="B490" s="65">
        <f>((1+B463)^B470)*B463/(((1+B463)^B470)-1)*(B459)/B475</f>
        <v>1.7095011171931649</v>
      </c>
      <c r="C490" s="65">
        <f t="shared" ref="C490:AC490" si="366">((1+C463)^C470)*C463/(((1+C463)^C470)-1)*(C459)/C475</f>
        <v>1.7095011171931649</v>
      </c>
      <c r="D490" s="65">
        <f t="shared" si="366"/>
        <v>1.7095011171931649</v>
      </c>
      <c r="E490" s="65">
        <f t="shared" si="366"/>
        <v>1.7095011171931649</v>
      </c>
      <c r="F490" s="65">
        <f t="shared" si="366"/>
        <v>1.7095011171931649</v>
      </c>
      <c r="G490" s="65">
        <f t="shared" si="366"/>
        <v>1.7095011171931649</v>
      </c>
      <c r="H490" s="65">
        <f t="shared" si="366"/>
        <v>1.7095011171931649</v>
      </c>
      <c r="I490" s="65">
        <f t="shared" si="366"/>
        <v>1.7095011171931649</v>
      </c>
      <c r="J490" s="65">
        <f t="shared" si="366"/>
        <v>1.7095011171931649</v>
      </c>
      <c r="K490" s="65">
        <f t="shared" si="366"/>
        <v>1.7095011171931649</v>
      </c>
      <c r="L490" s="65">
        <f t="shared" si="366"/>
        <v>1.7095011171931649</v>
      </c>
      <c r="M490" s="65">
        <f t="shared" si="366"/>
        <v>1.7095011171931649</v>
      </c>
      <c r="N490" s="65">
        <f t="shared" si="366"/>
        <v>1.7095011171931649</v>
      </c>
      <c r="O490" s="65">
        <f t="shared" si="366"/>
        <v>1.7095011171931649</v>
      </c>
      <c r="P490" s="65">
        <f t="shared" si="366"/>
        <v>1.7095011171931649</v>
      </c>
      <c r="Q490" s="65">
        <f t="shared" si="366"/>
        <v>1.7095011171931649</v>
      </c>
      <c r="R490" s="65">
        <f t="shared" si="366"/>
        <v>1.7095011171931649</v>
      </c>
      <c r="S490" s="65">
        <f t="shared" si="366"/>
        <v>1.7095011171931649</v>
      </c>
      <c r="T490" s="65">
        <f t="shared" si="366"/>
        <v>1.7095011171931649</v>
      </c>
      <c r="U490" s="65">
        <f t="shared" si="366"/>
        <v>1.7095011171931649</v>
      </c>
      <c r="V490" s="65">
        <f t="shared" si="366"/>
        <v>1.7095011171931649</v>
      </c>
      <c r="W490" s="65">
        <f t="shared" si="366"/>
        <v>1.7095011171931649</v>
      </c>
      <c r="X490" s="65">
        <f t="shared" si="366"/>
        <v>1.7095011171931649</v>
      </c>
      <c r="Y490" s="65">
        <f t="shared" si="366"/>
        <v>1.7095011171931649</v>
      </c>
      <c r="Z490" s="65">
        <f t="shared" si="366"/>
        <v>1.7095011171931649</v>
      </c>
      <c r="AA490" s="65">
        <f t="shared" si="366"/>
        <v>1.7095011171931649</v>
      </c>
      <c r="AB490" s="65">
        <f t="shared" si="366"/>
        <v>1.7095011171931649</v>
      </c>
      <c r="AC490" s="65">
        <f t="shared" si="366"/>
        <v>1.7095011171931649</v>
      </c>
    </row>
    <row r="491" spans="1:29" x14ac:dyDescent="0.3">
      <c r="A491" s="30" t="str">
        <f t="shared" si="365"/>
        <v>Residual value (vehicle)</v>
      </c>
      <c r="B491" s="66">
        <f>((1+B463)^B470)*B463/(((1+B463)^B470)-1)*(B460)/B475</f>
        <v>-0.25416826054025926</v>
      </c>
      <c r="C491" s="66">
        <f t="shared" ref="C491:AC491" si="367">((1+C463)^C470)*C463/(((1+C463)^C470)-1)*(C460)/C475</f>
        <v>-0.2532019199121241</v>
      </c>
      <c r="D491" s="66">
        <f t="shared" si="367"/>
        <v>-0.25182985474682912</v>
      </c>
      <c r="E491" s="66">
        <f t="shared" si="367"/>
        <v>-0.24989057248272897</v>
      </c>
      <c r="F491" s="66">
        <f t="shared" si="367"/>
        <v>-0.24716785517148263</v>
      </c>
      <c r="G491" s="66">
        <f t="shared" si="367"/>
        <v>-0.2433822897318601</v>
      </c>
      <c r="H491" s="66">
        <f t="shared" si="367"/>
        <v>-0.23819242113242242</v>
      </c>
      <c r="I491" s="66">
        <f t="shared" si="367"/>
        <v>-0.23121779385861393</v>
      </c>
      <c r="J491" s="66">
        <f t="shared" si="367"/>
        <v>-0.22210060861284955</v>
      </c>
      <c r="K491" s="66">
        <f t="shared" si="367"/>
        <v>-0.21061905480012771</v>
      </c>
      <c r="L491" s="66">
        <f t="shared" si="367"/>
        <v>-0.19684151980291528</v>
      </c>
      <c r="M491" s="66">
        <f t="shared" si="367"/>
        <v>-0.18126224621081494</v>
      </c>
      <c r="N491" s="66">
        <f t="shared" si="367"/>
        <v>-0.16481527099978574</v>
      </c>
      <c r="O491" s="66">
        <f t="shared" si="367"/>
        <v>-0.14869194149770532</v>
      </c>
      <c r="P491" s="66">
        <f t="shared" si="367"/>
        <v>-0.13401454277653033</v>
      </c>
      <c r="Q491" s="66">
        <f t="shared" si="367"/>
        <v>-0.12154084396530274</v>
      </c>
      <c r="R491" s="66">
        <f t="shared" si="367"/>
        <v>-0.11155164513039878</v>
      </c>
      <c r="S491" s="66">
        <f t="shared" si="367"/>
        <v>-0.10392944306708454</v>
      </c>
      <c r="T491" s="66">
        <f t="shared" si="367"/>
        <v>-9.8326513249059416E-2</v>
      </c>
      <c r="U491" s="66">
        <f t="shared" si="367"/>
        <v>-9.4320499484876544E-2</v>
      </c>
      <c r="V491" s="66">
        <f t="shared" si="367"/>
        <v>-9.1512875442896963E-2</v>
      </c>
      <c r="W491" s="66">
        <f t="shared" si="367"/>
        <v>-8.9572634659828843E-2</v>
      </c>
      <c r="X491" s="66">
        <f t="shared" si="367"/>
        <v>-8.8244831206068547E-2</v>
      </c>
      <c r="Y491" s="66">
        <f t="shared" si="367"/>
        <v>-8.734221410431782E-2</v>
      </c>
      <c r="Z491" s="66">
        <f t="shared" si="367"/>
        <v>-8.6731423155348999E-2</v>
      </c>
      <c r="AA491" s="66">
        <f t="shared" si="367"/>
        <v>-8.631938294349642E-2</v>
      </c>
      <c r="AB491" s="66">
        <f t="shared" si="367"/>
        <v>-8.6041999519719331E-2</v>
      </c>
      <c r="AC491" s="66">
        <f t="shared" si="367"/>
        <v>-8.5855528619202287E-2</v>
      </c>
    </row>
    <row r="492" spans="1:29" x14ac:dyDescent="0.3">
      <c r="A492" s="30" t="str">
        <f t="shared" si="365"/>
        <v>Capex costumization</v>
      </c>
      <c r="B492" s="66">
        <f>((1+B463)^B471)*B463/(((1+B463)^B471)-1)*(B461)/B475</f>
        <v>1.4244884605891606</v>
      </c>
      <c r="C492" s="66">
        <f t="shared" ref="C492:AC492" si="368">((1+C463)^C471)*C463/(((1+C463)^C471)-1)*(C461)/C475</f>
        <v>1.4244884605891606</v>
      </c>
      <c r="D492" s="66">
        <f t="shared" si="368"/>
        <v>1.4244884605891606</v>
      </c>
      <c r="E492" s="66">
        <f t="shared" si="368"/>
        <v>1.4244884605891606</v>
      </c>
      <c r="F492" s="66">
        <f t="shared" si="368"/>
        <v>1.4244884605891606</v>
      </c>
      <c r="G492" s="66">
        <f t="shared" si="368"/>
        <v>1.4244884605891606</v>
      </c>
      <c r="H492" s="66">
        <f t="shared" si="368"/>
        <v>1.4244884605891606</v>
      </c>
      <c r="I492" s="66">
        <f t="shared" si="368"/>
        <v>1.4244884605891606</v>
      </c>
      <c r="J492" s="66">
        <f t="shared" si="368"/>
        <v>1.4244884605891606</v>
      </c>
      <c r="K492" s="66">
        <f t="shared" si="368"/>
        <v>1.4244884605891606</v>
      </c>
      <c r="L492" s="66">
        <f t="shared" si="368"/>
        <v>1.4244884605891606</v>
      </c>
      <c r="M492" s="66">
        <f t="shared" si="368"/>
        <v>1.4244884605891606</v>
      </c>
      <c r="N492" s="66">
        <f t="shared" si="368"/>
        <v>1.4244884605891606</v>
      </c>
      <c r="O492" s="66">
        <f t="shared" si="368"/>
        <v>1.4244884605891606</v>
      </c>
      <c r="P492" s="66">
        <f t="shared" si="368"/>
        <v>1.4244884605891606</v>
      </c>
      <c r="Q492" s="66">
        <f t="shared" si="368"/>
        <v>1.4244884605891606</v>
      </c>
      <c r="R492" s="66">
        <f t="shared" si="368"/>
        <v>1.4244884605891606</v>
      </c>
      <c r="S492" s="66">
        <f t="shared" si="368"/>
        <v>1.4244884605891606</v>
      </c>
      <c r="T492" s="66">
        <f t="shared" si="368"/>
        <v>1.4244884605891606</v>
      </c>
      <c r="U492" s="66">
        <f t="shared" si="368"/>
        <v>1.4244884605891606</v>
      </c>
      <c r="V492" s="66">
        <f t="shared" si="368"/>
        <v>1.4244884605891606</v>
      </c>
      <c r="W492" s="66">
        <f t="shared" si="368"/>
        <v>1.4244884605891606</v>
      </c>
      <c r="X492" s="66">
        <f t="shared" si="368"/>
        <v>1.4244884605891606</v>
      </c>
      <c r="Y492" s="66">
        <f t="shared" si="368"/>
        <v>1.4244884605891606</v>
      </c>
      <c r="Z492" s="66">
        <f t="shared" si="368"/>
        <v>1.4244884605891606</v>
      </c>
      <c r="AA492" s="66">
        <f t="shared" si="368"/>
        <v>1.4244884605891606</v>
      </c>
      <c r="AB492" s="66">
        <f t="shared" si="368"/>
        <v>1.4244884605891606</v>
      </c>
      <c r="AC492" s="66">
        <f t="shared" si="368"/>
        <v>1.4244884605891606</v>
      </c>
    </row>
    <row r="493" spans="1:29" x14ac:dyDescent="0.3">
      <c r="A493" s="30" t="str">
        <f t="shared" si="365"/>
        <v>Residual value (costumization)</v>
      </c>
      <c r="B493" s="66">
        <f>((1+B463)^B471)*B463/(((1+B463)^B471)-1)*(B462)/B475</f>
        <v>-7.1224423029458042E-2</v>
      </c>
      <c r="C493" s="66">
        <f t="shared" ref="C493:AC493" si="369">((1+C463)^C471)*C463/(((1+C463)^C471)-1)*(C462)/C475</f>
        <v>-7.1224423029458042E-2</v>
      </c>
      <c r="D493" s="66">
        <f t="shared" si="369"/>
        <v>-7.1224423029458042E-2</v>
      </c>
      <c r="E493" s="66">
        <f t="shared" si="369"/>
        <v>-7.1224423029458042E-2</v>
      </c>
      <c r="F493" s="66">
        <f t="shared" si="369"/>
        <v>-7.1224423029458042E-2</v>
      </c>
      <c r="G493" s="66">
        <f t="shared" si="369"/>
        <v>-7.1224423029458042E-2</v>
      </c>
      <c r="H493" s="66">
        <f t="shared" si="369"/>
        <v>-7.1224423029458042E-2</v>
      </c>
      <c r="I493" s="66">
        <f t="shared" si="369"/>
        <v>-7.1224423029458042E-2</v>
      </c>
      <c r="J493" s="66">
        <f t="shared" si="369"/>
        <v>-7.1224423029458042E-2</v>
      </c>
      <c r="K493" s="66">
        <f t="shared" si="369"/>
        <v>-7.1224423029458042E-2</v>
      </c>
      <c r="L493" s="66">
        <f t="shared" si="369"/>
        <v>-7.1224423029458042E-2</v>
      </c>
      <c r="M493" s="66">
        <f t="shared" si="369"/>
        <v>-7.1224423029458042E-2</v>
      </c>
      <c r="N493" s="66">
        <f t="shared" si="369"/>
        <v>-7.1224423029458042E-2</v>
      </c>
      <c r="O493" s="66">
        <f t="shared" si="369"/>
        <v>-7.1224423029458042E-2</v>
      </c>
      <c r="P493" s="66">
        <f t="shared" si="369"/>
        <v>-7.1224423029458042E-2</v>
      </c>
      <c r="Q493" s="66">
        <f t="shared" si="369"/>
        <v>-7.1224423029458042E-2</v>
      </c>
      <c r="R493" s="66">
        <f t="shared" si="369"/>
        <v>-7.1224423029458042E-2</v>
      </c>
      <c r="S493" s="66">
        <f t="shared" si="369"/>
        <v>-7.1224423029458042E-2</v>
      </c>
      <c r="T493" s="66">
        <f t="shared" si="369"/>
        <v>-7.1224423029458042E-2</v>
      </c>
      <c r="U493" s="66">
        <f t="shared" si="369"/>
        <v>-7.1224423029458042E-2</v>
      </c>
      <c r="V493" s="66">
        <f t="shared" si="369"/>
        <v>-7.1224423029458042E-2</v>
      </c>
      <c r="W493" s="66">
        <f t="shared" si="369"/>
        <v>-7.1224423029458042E-2</v>
      </c>
      <c r="X493" s="66">
        <f t="shared" si="369"/>
        <v>-7.1224423029458042E-2</v>
      </c>
      <c r="Y493" s="66">
        <f t="shared" si="369"/>
        <v>-7.1224423029458042E-2</v>
      </c>
      <c r="Z493" s="66">
        <f t="shared" si="369"/>
        <v>-7.1224423029458042E-2</v>
      </c>
      <c r="AA493" s="66">
        <f t="shared" si="369"/>
        <v>-7.1224423029458042E-2</v>
      </c>
      <c r="AB493" s="66">
        <f t="shared" si="369"/>
        <v>-7.1224423029458042E-2</v>
      </c>
      <c r="AC493" s="66">
        <f t="shared" si="369"/>
        <v>-7.1224423029458042E-2</v>
      </c>
    </row>
    <row r="494" spans="1:29" x14ac:dyDescent="0.3">
      <c r="A494" s="30" t="str">
        <f t="shared" si="365"/>
        <v>Opex fix (admin, crew, insurance)</v>
      </c>
      <c r="B494" s="66">
        <f>B464/B475</f>
        <v>3.6414565826330532</v>
      </c>
      <c r="C494" s="66">
        <f t="shared" ref="C494:AC494" si="370">C464/C475</f>
        <v>3.6414565826330532</v>
      </c>
      <c r="D494" s="66">
        <f t="shared" si="370"/>
        <v>3.6414565826330532</v>
      </c>
      <c r="E494" s="66">
        <f t="shared" si="370"/>
        <v>3.6414565826330532</v>
      </c>
      <c r="F494" s="66">
        <f t="shared" si="370"/>
        <v>3.6414565826330532</v>
      </c>
      <c r="G494" s="66">
        <f t="shared" si="370"/>
        <v>3.6414565826330532</v>
      </c>
      <c r="H494" s="66">
        <f t="shared" si="370"/>
        <v>3.6414565826330532</v>
      </c>
      <c r="I494" s="66">
        <f t="shared" si="370"/>
        <v>3.6414565826330532</v>
      </c>
      <c r="J494" s="66">
        <f t="shared" si="370"/>
        <v>3.6414565826330532</v>
      </c>
      <c r="K494" s="66">
        <f t="shared" si="370"/>
        <v>3.6414565826330532</v>
      </c>
      <c r="L494" s="66">
        <f t="shared" si="370"/>
        <v>3.6414565826330532</v>
      </c>
      <c r="M494" s="66">
        <f t="shared" si="370"/>
        <v>3.6414565826330532</v>
      </c>
      <c r="N494" s="66">
        <f t="shared" si="370"/>
        <v>3.6414565826330532</v>
      </c>
      <c r="O494" s="66">
        <f t="shared" si="370"/>
        <v>3.6414565826330532</v>
      </c>
      <c r="P494" s="66">
        <f t="shared" si="370"/>
        <v>3.6414565826330532</v>
      </c>
      <c r="Q494" s="66">
        <f t="shared" si="370"/>
        <v>3.6414565826330532</v>
      </c>
      <c r="R494" s="66">
        <f t="shared" si="370"/>
        <v>3.6414565826330532</v>
      </c>
      <c r="S494" s="66">
        <f t="shared" si="370"/>
        <v>3.6414565826330532</v>
      </c>
      <c r="T494" s="66">
        <f t="shared" si="370"/>
        <v>3.6414565826330532</v>
      </c>
      <c r="U494" s="66">
        <f t="shared" si="370"/>
        <v>3.6414565826330532</v>
      </c>
      <c r="V494" s="66">
        <f t="shared" si="370"/>
        <v>3.6414565826330532</v>
      </c>
      <c r="W494" s="66">
        <f t="shared" si="370"/>
        <v>3.6414565826330532</v>
      </c>
      <c r="X494" s="66">
        <f t="shared" si="370"/>
        <v>3.6414565826330532</v>
      </c>
      <c r="Y494" s="66">
        <f t="shared" si="370"/>
        <v>3.6414565826330532</v>
      </c>
      <c r="Z494" s="66">
        <f t="shared" si="370"/>
        <v>3.6414565826330532</v>
      </c>
      <c r="AA494" s="66">
        <f t="shared" si="370"/>
        <v>3.6414565826330532</v>
      </c>
      <c r="AB494" s="66">
        <f t="shared" si="370"/>
        <v>3.6414565826330532</v>
      </c>
      <c r="AC494" s="66">
        <f t="shared" si="370"/>
        <v>3.6414565826330532</v>
      </c>
    </row>
    <row r="495" spans="1:29" x14ac:dyDescent="0.3">
      <c r="A495" s="30" t="str">
        <f t="shared" si="365"/>
        <v>Opex maintenance &amp; repair</v>
      </c>
      <c r="B495" s="66">
        <f>B465/B475</f>
        <v>5.882352941176471</v>
      </c>
      <c r="C495" s="66">
        <f t="shared" ref="C495:AC495" si="371">C465/C475</f>
        <v>5.882352941176471</v>
      </c>
      <c r="D495" s="66">
        <f t="shared" si="371"/>
        <v>5.882352941176471</v>
      </c>
      <c r="E495" s="66">
        <f t="shared" si="371"/>
        <v>5.882352941176471</v>
      </c>
      <c r="F495" s="66">
        <f t="shared" si="371"/>
        <v>5.882352941176471</v>
      </c>
      <c r="G495" s="66">
        <f t="shared" si="371"/>
        <v>5.882352941176471</v>
      </c>
      <c r="H495" s="66">
        <f t="shared" si="371"/>
        <v>5.882352941176471</v>
      </c>
      <c r="I495" s="66">
        <f t="shared" si="371"/>
        <v>5.882352941176471</v>
      </c>
      <c r="J495" s="66">
        <f t="shared" si="371"/>
        <v>5.882352941176471</v>
      </c>
      <c r="K495" s="66">
        <f t="shared" si="371"/>
        <v>5.882352941176471</v>
      </c>
      <c r="L495" s="66">
        <f t="shared" si="371"/>
        <v>5.882352941176471</v>
      </c>
      <c r="M495" s="66">
        <f t="shared" si="371"/>
        <v>5.882352941176471</v>
      </c>
      <c r="N495" s="66">
        <f t="shared" si="371"/>
        <v>5.882352941176471</v>
      </c>
      <c r="O495" s="66">
        <f t="shared" si="371"/>
        <v>5.882352941176471</v>
      </c>
      <c r="P495" s="66">
        <f t="shared" si="371"/>
        <v>5.882352941176471</v>
      </c>
      <c r="Q495" s="66">
        <f t="shared" si="371"/>
        <v>5.882352941176471</v>
      </c>
      <c r="R495" s="66">
        <f t="shared" si="371"/>
        <v>5.882352941176471</v>
      </c>
      <c r="S495" s="66">
        <f t="shared" si="371"/>
        <v>5.882352941176471</v>
      </c>
      <c r="T495" s="66">
        <f t="shared" si="371"/>
        <v>5.882352941176471</v>
      </c>
      <c r="U495" s="66">
        <f t="shared" si="371"/>
        <v>5.882352941176471</v>
      </c>
      <c r="V495" s="66">
        <f t="shared" si="371"/>
        <v>5.882352941176471</v>
      </c>
      <c r="W495" s="66">
        <f t="shared" si="371"/>
        <v>5.882352941176471</v>
      </c>
      <c r="X495" s="66">
        <f t="shared" si="371"/>
        <v>5.882352941176471</v>
      </c>
      <c r="Y495" s="66">
        <f t="shared" si="371"/>
        <v>5.882352941176471</v>
      </c>
      <c r="Z495" s="66">
        <f t="shared" si="371"/>
        <v>5.882352941176471</v>
      </c>
      <c r="AA495" s="66">
        <f t="shared" si="371"/>
        <v>5.882352941176471</v>
      </c>
      <c r="AB495" s="66">
        <f t="shared" si="371"/>
        <v>5.882352941176471</v>
      </c>
      <c r="AC495" s="66">
        <f t="shared" si="371"/>
        <v>5.882352941176471</v>
      </c>
    </row>
    <row r="496" spans="1:29" x14ac:dyDescent="0.3">
      <c r="A496" s="30" t="str">
        <f t="shared" si="365"/>
        <v>Opex var (mode-fees, shunting)</v>
      </c>
      <c r="B496" s="66">
        <f>B466*B475/B475</f>
        <v>3.9215686274509802</v>
      </c>
      <c r="C496" s="66">
        <f t="shared" ref="C496:AC496" si="372">C466*C475/C475</f>
        <v>3.9215686274509802</v>
      </c>
      <c r="D496" s="66">
        <f t="shared" si="372"/>
        <v>3.9215686274509802</v>
      </c>
      <c r="E496" s="66">
        <f t="shared" si="372"/>
        <v>3.9215686274509802</v>
      </c>
      <c r="F496" s="66">
        <f t="shared" si="372"/>
        <v>3.9215686274509802</v>
      </c>
      <c r="G496" s="66">
        <f t="shared" si="372"/>
        <v>3.9215686274509802</v>
      </c>
      <c r="H496" s="66">
        <f t="shared" si="372"/>
        <v>3.9215686274509802</v>
      </c>
      <c r="I496" s="66">
        <f t="shared" si="372"/>
        <v>3.9215686274509802</v>
      </c>
      <c r="J496" s="66">
        <f t="shared" si="372"/>
        <v>3.9215686274509802</v>
      </c>
      <c r="K496" s="66">
        <f t="shared" si="372"/>
        <v>3.9215686274509802</v>
      </c>
      <c r="L496" s="66">
        <f t="shared" si="372"/>
        <v>3.9215686274509802</v>
      </c>
      <c r="M496" s="66">
        <f t="shared" si="372"/>
        <v>3.9215686274509802</v>
      </c>
      <c r="N496" s="66">
        <f t="shared" si="372"/>
        <v>3.9215686274509802</v>
      </c>
      <c r="O496" s="66">
        <f t="shared" si="372"/>
        <v>3.9215686274509802</v>
      </c>
      <c r="P496" s="66">
        <f t="shared" si="372"/>
        <v>3.9215686274509802</v>
      </c>
      <c r="Q496" s="66">
        <f t="shared" si="372"/>
        <v>3.9215686274509802</v>
      </c>
      <c r="R496" s="66">
        <f t="shared" si="372"/>
        <v>3.9215686274509802</v>
      </c>
      <c r="S496" s="66">
        <f t="shared" si="372"/>
        <v>3.9215686274509802</v>
      </c>
      <c r="T496" s="66">
        <f t="shared" si="372"/>
        <v>3.9215686274509802</v>
      </c>
      <c r="U496" s="66">
        <f t="shared" si="372"/>
        <v>3.9215686274509802</v>
      </c>
      <c r="V496" s="66">
        <f t="shared" si="372"/>
        <v>3.9215686274509802</v>
      </c>
      <c r="W496" s="66">
        <f t="shared" si="372"/>
        <v>3.9215686274509802</v>
      </c>
      <c r="X496" s="66">
        <f t="shared" si="372"/>
        <v>3.9215686274509802</v>
      </c>
      <c r="Y496" s="66">
        <f t="shared" si="372"/>
        <v>3.9215686274509802</v>
      </c>
      <c r="Z496" s="66">
        <f t="shared" si="372"/>
        <v>3.9215686274509802</v>
      </c>
      <c r="AA496" s="66">
        <f t="shared" si="372"/>
        <v>3.9215686274509802</v>
      </c>
      <c r="AB496" s="66">
        <f t="shared" si="372"/>
        <v>3.9215686274509802</v>
      </c>
      <c r="AC496" s="66">
        <f t="shared" si="372"/>
        <v>3.9215686274509802</v>
      </c>
    </row>
    <row r="497" spans="1:29" x14ac:dyDescent="0.3">
      <c r="A497" s="30" t="str">
        <f t="shared" si="365"/>
        <v>Fuel Cost</v>
      </c>
      <c r="B497" s="66">
        <f>B467*B468*B475/B475</f>
        <v>6.2083200000000005</v>
      </c>
      <c r="C497" s="66">
        <f t="shared" ref="C497:AC497" si="373">C467*C468*C475/C475</f>
        <v>6.2083200000000005</v>
      </c>
      <c r="D497" s="66">
        <f t="shared" si="373"/>
        <v>6.2083200000000005</v>
      </c>
      <c r="E497" s="66">
        <f t="shared" si="373"/>
        <v>6.2083200000000005</v>
      </c>
      <c r="F497" s="66">
        <f t="shared" si="373"/>
        <v>6.2083200000000005</v>
      </c>
      <c r="G497" s="66">
        <f t="shared" si="373"/>
        <v>6.2083200000000005</v>
      </c>
      <c r="H497" s="66">
        <f t="shared" si="373"/>
        <v>6.2083200000000005</v>
      </c>
      <c r="I497" s="66">
        <f t="shared" si="373"/>
        <v>6.2083200000000005</v>
      </c>
      <c r="J497" s="66">
        <f t="shared" si="373"/>
        <v>6.2083200000000005</v>
      </c>
      <c r="K497" s="66">
        <f t="shared" si="373"/>
        <v>6.2083200000000005</v>
      </c>
      <c r="L497" s="66">
        <f t="shared" si="373"/>
        <v>6.2083200000000005</v>
      </c>
      <c r="M497" s="66">
        <f t="shared" si="373"/>
        <v>6.2083200000000005</v>
      </c>
      <c r="N497" s="66">
        <f t="shared" si="373"/>
        <v>6.2083200000000005</v>
      </c>
      <c r="O497" s="66">
        <f t="shared" si="373"/>
        <v>6.2083200000000005</v>
      </c>
      <c r="P497" s="66">
        <f t="shared" si="373"/>
        <v>6.2083200000000005</v>
      </c>
      <c r="Q497" s="66">
        <f t="shared" si="373"/>
        <v>6.2083200000000005</v>
      </c>
      <c r="R497" s="66">
        <f t="shared" si="373"/>
        <v>6.2083200000000005</v>
      </c>
      <c r="S497" s="66">
        <f t="shared" si="373"/>
        <v>6.2083200000000005</v>
      </c>
      <c r="T497" s="66">
        <f t="shared" si="373"/>
        <v>6.2083200000000005</v>
      </c>
      <c r="U497" s="66">
        <f t="shared" si="373"/>
        <v>6.2083200000000005</v>
      </c>
      <c r="V497" s="66">
        <f t="shared" si="373"/>
        <v>6.2083200000000005</v>
      </c>
      <c r="W497" s="66">
        <f t="shared" si="373"/>
        <v>6.2083200000000005</v>
      </c>
      <c r="X497" s="66">
        <f t="shared" si="373"/>
        <v>6.2083200000000005</v>
      </c>
      <c r="Y497" s="66">
        <f t="shared" si="373"/>
        <v>6.2083200000000005</v>
      </c>
      <c r="Z497" s="66">
        <f t="shared" si="373"/>
        <v>6.2083200000000005</v>
      </c>
      <c r="AA497" s="66">
        <f t="shared" si="373"/>
        <v>6.2083200000000005</v>
      </c>
      <c r="AB497" s="66">
        <f t="shared" si="373"/>
        <v>6.2083200000000005</v>
      </c>
      <c r="AC497" s="66">
        <f t="shared" si="373"/>
        <v>6.2083200000000005</v>
      </c>
    </row>
    <row r="498" spans="1:29" ht="15" thickBot="1" x14ac:dyDescent="0.35">
      <c r="A498" s="59" t="str">
        <f>A449</f>
        <v>Emission Cost</v>
      </c>
      <c r="B498" s="66">
        <f>B469</f>
        <v>1.6642920252567563</v>
      </c>
      <c r="C498" s="66">
        <f t="shared" ref="C498:AC498" si="374">C469</f>
        <v>1.668223764670367</v>
      </c>
      <c r="D498" s="66">
        <f t="shared" si="374"/>
        <v>1.6738519620685159</v>
      </c>
      <c r="E498" s="66">
        <f t="shared" si="374"/>
        <v>1.681903494239102</v>
      </c>
      <c r="F498" s="66">
        <f t="shared" si="374"/>
        <v>1.6934109103696515</v>
      </c>
      <c r="G498" s="66">
        <f t="shared" si="374"/>
        <v>1.7098344800436978</v>
      </c>
      <c r="H498" s="66">
        <f t="shared" si="374"/>
        <v>1.733225672402217</v>
      </c>
      <c r="I498" s="66">
        <f t="shared" si="374"/>
        <v>1.7664378123820623</v>
      </c>
      <c r="J498" s="66">
        <f t="shared" si="374"/>
        <v>1.8133799807606898</v>
      </c>
      <c r="K498" s="66">
        <f t="shared" si="374"/>
        <v>1.8792859382574125</v>
      </c>
      <c r="L498" s="66">
        <f t="shared" si="374"/>
        <v>1.9709191437812768</v>
      </c>
      <c r="M498" s="66">
        <f t="shared" si="374"/>
        <v>2.0965448405494573</v>
      </c>
      <c r="N498" s="66">
        <f t="shared" si="374"/>
        <v>2.2653723155004584</v>
      </c>
      <c r="O498" s="66">
        <f t="shared" si="374"/>
        <v>2.4860624403309455</v>
      </c>
      <c r="P498" s="66">
        <f t="shared" si="374"/>
        <v>2.7639843510823718</v>
      </c>
      <c r="Q498" s="66">
        <f t="shared" si="374"/>
        <v>3.0974826662343866</v>
      </c>
      <c r="R498" s="66">
        <f t="shared" si="374"/>
        <v>3.4745937746662614</v>
      </c>
      <c r="S498" s="66">
        <f t="shared" si="374"/>
        <v>3.8727084245898471</v>
      </c>
      <c r="T498" s="66">
        <f t="shared" si="374"/>
        <v>4.2629889228555031</v>
      </c>
      <c r="U498" s="66">
        <f t="shared" si="374"/>
        <v>4.6182692937866285</v>
      </c>
      <c r="V498" s="66">
        <f t="shared" si="374"/>
        <v>4.9202070161803482</v>
      </c>
      <c r="W498" s="66">
        <f t="shared" si="374"/>
        <v>5.1620050578353283</v>
      </c>
      <c r="X498" s="66">
        <f t="shared" si="374"/>
        <v>5.3465076953810016</v>
      </c>
      <c r="Y498" s="66">
        <f t="shared" si="374"/>
        <v>5.4821319311099916</v>
      </c>
      <c r="Z498" s="66">
        <f t="shared" si="374"/>
        <v>5.5791012976259244</v>
      </c>
      <c r="AA498" s="66">
        <f t="shared" si="374"/>
        <v>5.6470625031514352</v>
      </c>
      <c r="AB498" s="66">
        <f t="shared" si="374"/>
        <v>5.6940278733917111</v>
      </c>
      <c r="AC498" s="66">
        <f t="shared" si="374"/>
        <v>5.7261686166213002</v>
      </c>
    </row>
    <row r="499" spans="1:29" ht="15" thickBot="1" x14ac:dyDescent="0.35">
      <c r="A499" s="31" t="s">
        <v>63</v>
      </c>
      <c r="B499" s="76">
        <f>B490+B491+B492-B493+B494+B495+B496+B497+B498</f>
        <v>24.269035916788784</v>
      </c>
      <c r="C499" s="76">
        <f t="shared" ref="C499:AC499" si="375">C490+C491+C492-C493+C494+C495+C496+C497+C498</f>
        <v>24.273933996830529</v>
      </c>
      <c r="D499" s="76">
        <f t="shared" si="375"/>
        <v>24.280934259393973</v>
      </c>
      <c r="E499" s="76">
        <f t="shared" si="375"/>
        <v>24.29092507382866</v>
      </c>
      <c r="F499" s="76">
        <f t="shared" si="375"/>
        <v>24.305155207270456</v>
      </c>
      <c r="G499" s="76">
        <f t="shared" si="375"/>
        <v>24.325364342384123</v>
      </c>
      <c r="H499" s="76">
        <f t="shared" si="375"/>
        <v>24.353945403342081</v>
      </c>
      <c r="I499" s="76">
        <f t="shared" si="375"/>
        <v>24.394132170595736</v>
      </c>
      <c r="J499" s="76">
        <f t="shared" si="375"/>
        <v>24.450191524220127</v>
      </c>
      <c r="K499" s="76">
        <f t="shared" si="375"/>
        <v>24.52757903552957</v>
      </c>
      <c r="L499" s="76">
        <f t="shared" si="375"/>
        <v>24.63298977605065</v>
      </c>
      <c r="M499" s="76">
        <f t="shared" si="375"/>
        <v>24.774194746410927</v>
      </c>
      <c r="N499" s="76">
        <f t="shared" si="375"/>
        <v>24.959469196572961</v>
      </c>
      <c r="O499" s="76">
        <f t="shared" si="375"/>
        <v>25.19628265090553</v>
      </c>
      <c r="P499" s="76">
        <f t="shared" si="375"/>
        <v>25.48888196037813</v>
      </c>
      <c r="Q499" s="76">
        <f t="shared" si="375"/>
        <v>25.834853974341375</v>
      </c>
      <c r="R499" s="76">
        <f t="shared" si="375"/>
        <v>26.221954281608149</v>
      </c>
      <c r="S499" s="76">
        <f t="shared" si="375"/>
        <v>26.62769113359505</v>
      </c>
      <c r="T499" s="76">
        <f t="shared" si="375"/>
        <v>27.023574561678732</v>
      </c>
      <c r="U499" s="76">
        <f t="shared" si="375"/>
        <v>27.382860946374041</v>
      </c>
      <c r="V499" s="76">
        <f t="shared" si="375"/>
        <v>27.68760629280974</v>
      </c>
      <c r="W499" s="76">
        <f t="shared" si="375"/>
        <v>27.931344575247785</v>
      </c>
      <c r="X499" s="76">
        <f t="shared" si="375"/>
        <v>28.117175016247224</v>
      </c>
      <c r="Y499" s="76">
        <f t="shared" si="375"/>
        <v>28.253701869077965</v>
      </c>
      <c r="Z499" s="76">
        <f t="shared" si="375"/>
        <v>28.351282026542865</v>
      </c>
      <c r="AA499" s="76">
        <f t="shared" si="375"/>
        <v>28.419655272280227</v>
      </c>
      <c r="AB499" s="76">
        <f t="shared" si="375"/>
        <v>28.466898025944282</v>
      </c>
      <c r="AC499" s="76">
        <f t="shared" si="375"/>
        <v>28.499225240074388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376">A478</f>
        <v>Capex vehicle</v>
      </c>
      <c r="B502" s="65">
        <f>((1+B463)^B470)*B463/(((1+B463)^B470)-1)*(B459)/B475/(B472)</f>
        <v>6.1053611328327313E-4</v>
      </c>
      <c r="C502" s="65">
        <f t="shared" ref="C502:AC502" si="377">((1+C463)^C470)*C463/(((1+C463)^C470)-1)*(C459)/C475/(C472)</f>
        <v>6.1053611328327313E-4</v>
      </c>
      <c r="D502" s="65">
        <f t="shared" si="377"/>
        <v>6.1053611328327313E-4</v>
      </c>
      <c r="E502" s="65">
        <f t="shared" si="377"/>
        <v>6.1053611328327313E-4</v>
      </c>
      <c r="F502" s="65">
        <f t="shared" si="377"/>
        <v>6.1053611328327313E-4</v>
      </c>
      <c r="G502" s="65">
        <f t="shared" si="377"/>
        <v>6.1053611328327313E-4</v>
      </c>
      <c r="H502" s="65">
        <f t="shared" si="377"/>
        <v>6.1053611328327313E-4</v>
      </c>
      <c r="I502" s="65">
        <f t="shared" si="377"/>
        <v>6.1053611328327313E-4</v>
      </c>
      <c r="J502" s="65">
        <f t="shared" si="377"/>
        <v>6.1053611328327313E-4</v>
      </c>
      <c r="K502" s="65">
        <f t="shared" si="377"/>
        <v>6.1053611328327313E-4</v>
      </c>
      <c r="L502" s="65">
        <f t="shared" si="377"/>
        <v>6.1053611328327313E-4</v>
      </c>
      <c r="M502" s="65">
        <f t="shared" si="377"/>
        <v>6.1053611328327313E-4</v>
      </c>
      <c r="N502" s="65">
        <f t="shared" si="377"/>
        <v>6.1053611328327313E-4</v>
      </c>
      <c r="O502" s="65">
        <f t="shared" si="377"/>
        <v>6.1053611328327313E-4</v>
      </c>
      <c r="P502" s="65">
        <f t="shared" si="377"/>
        <v>6.1053611328327313E-4</v>
      </c>
      <c r="Q502" s="65">
        <f t="shared" si="377"/>
        <v>6.1053611328327313E-4</v>
      </c>
      <c r="R502" s="65">
        <f t="shared" si="377"/>
        <v>6.1053611328327313E-4</v>
      </c>
      <c r="S502" s="65">
        <f t="shared" si="377"/>
        <v>6.1053611328327313E-4</v>
      </c>
      <c r="T502" s="65">
        <f t="shared" si="377"/>
        <v>6.1053611328327313E-4</v>
      </c>
      <c r="U502" s="65">
        <f t="shared" si="377"/>
        <v>6.1053611328327313E-4</v>
      </c>
      <c r="V502" s="65">
        <f t="shared" si="377"/>
        <v>6.1053611328327313E-4</v>
      </c>
      <c r="W502" s="65">
        <f t="shared" si="377"/>
        <v>6.1053611328327313E-4</v>
      </c>
      <c r="X502" s="65">
        <f t="shared" si="377"/>
        <v>6.1053611328327313E-4</v>
      </c>
      <c r="Y502" s="65">
        <f t="shared" si="377"/>
        <v>6.1053611328327313E-4</v>
      </c>
      <c r="Z502" s="65">
        <f t="shared" si="377"/>
        <v>6.1053611328327313E-4</v>
      </c>
      <c r="AA502" s="65">
        <f t="shared" si="377"/>
        <v>6.1053611328327313E-4</v>
      </c>
      <c r="AB502" s="65">
        <f t="shared" si="377"/>
        <v>6.1053611328327313E-4</v>
      </c>
      <c r="AC502" s="65">
        <f t="shared" si="377"/>
        <v>6.1053611328327313E-4</v>
      </c>
    </row>
    <row r="503" spans="1:29" x14ac:dyDescent="0.3">
      <c r="A503" s="30" t="str">
        <f t="shared" si="376"/>
        <v>Residual value (vehicle)</v>
      </c>
      <c r="B503" s="68">
        <f>((1+B463)^B470)*B463/(((1+B463)^B470)-1)*(B460)/B475/(B472)</f>
        <v>-9.0774378764378309E-5</v>
      </c>
      <c r="C503" s="68">
        <f t="shared" ref="C503:AC503" si="378">((1+C463)^C470)*C463/(((1+C463)^C470)-1)*(C460)/C475/(C472)</f>
        <v>-9.0429257111472898E-5</v>
      </c>
      <c r="D503" s="68">
        <f t="shared" si="378"/>
        <v>-8.9939233838153262E-5</v>
      </c>
      <c r="E503" s="68">
        <f t="shared" si="378"/>
        <v>-8.9246633029546065E-5</v>
      </c>
      <c r="F503" s="68">
        <f t="shared" si="378"/>
        <v>-8.8274233989815224E-5</v>
      </c>
      <c r="G503" s="68">
        <f t="shared" si="378"/>
        <v>-8.6922246332807185E-5</v>
      </c>
      <c r="H503" s="68">
        <f t="shared" si="378"/>
        <v>-8.5068721833008004E-5</v>
      </c>
      <c r="I503" s="68">
        <f t="shared" si="378"/>
        <v>-8.2577783520933551E-5</v>
      </c>
      <c r="J503" s="68">
        <f t="shared" si="378"/>
        <v>-7.9321645933160551E-5</v>
      </c>
      <c r="K503" s="68">
        <f t="shared" si="378"/>
        <v>-7.522109100004561E-5</v>
      </c>
      <c r="L503" s="68">
        <f t="shared" si="378"/>
        <v>-7.0300542786755457E-5</v>
      </c>
      <c r="M503" s="68">
        <f t="shared" si="378"/>
        <v>-6.4736516503862478E-5</v>
      </c>
      <c r="N503" s="68">
        <f t="shared" si="378"/>
        <v>-5.8862596785637767E-5</v>
      </c>
      <c r="O503" s="68">
        <f t="shared" si="378"/>
        <v>-5.3104264820609044E-5</v>
      </c>
      <c r="P503" s="68">
        <f t="shared" si="378"/>
        <v>-4.7862336705903688E-5</v>
      </c>
      <c r="Q503" s="68">
        <f t="shared" si="378"/>
        <v>-4.3407444273322408E-5</v>
      </c>
      <c r="R503" s="68">
        <f t="shared" si="378"/>
        <v>-3.9839873260856709E-5</v>
      </c>
      <c r="S503" s="68">
        <f t="shared" si="378"/>
        <v>-3.711765823824448E-5</v>
      </c>
      <c r="T503" s="68">
        <f t="shared" si="378"/>
        <v>-3.5116611874664075E-5</v>
      </c>
      <c r="U503" s="68">
        <f t="shared" si="378"/>
        <v>-3.3685892673170192E-5</v>
      </c>
      <c r="V503" s="68">
        <f t="shared" si="378"/>
        <v>-3.2683169801034627E-5</v>
      </c>
      <c r="W503" s="68">
        <f t="shared" si="378"/>
        <v>-3.1990226664224584E-5</v>
      </c>
      <c r="X503" s="68">
        <f t="shared" si="378"/>
        <v>-3.151601114502448E-5</v>
      </c>
      <c r="Y503" s="68">
        <f t="shared" si="378"/>
        <v>-3.119364789439922E-5</v>
      </c>
      <c r="Z503" s="68">
        <f t="shared" si="378"/>
        <v>-3.0975508269767502E-5</v>
      </c>
      <c r="AA503" s="68">
        <f t="shared" si="378"/>
        <v>-3.0828351051248723E-5</v>
      </c>
      <c r="AB503" s="68">
        <f t="shared" si="378"/>
        <v>-3.0729285542756903E-5</v>
      </c>
      <c r="AC503" s="68">
        <f t="shared" si="378"/>
        <v>-3.0662688792572247E-5</v>
      </c>
    </row>
    <row r="504" spans="1:29" x14ac:dyDescent="0.3">
      <c r="A504" s="30" t="str">
        <f t="shared" si="376"/>
        <v>Capex costumization</v>
      </c>
      <c r="B504" s="66">
        <f>((1+B463)^B471)*B463/(((1+B463)^B471)-1)*(B461)/B475/(B472)</f>
        <v>5.0874587878184309E-4</v>
      </c>
      <c r="C504" s="66">
        <f t="shared" ref="C504:AC504" si="379">((1+C463)^C471)*C463/(((1+C463)^C471)-1)*(C461)/C475/(C472)</f>
        <v>5.0874587878184309E-4</v>
      </c>
      <c r="D504" s="66">
        <f t="shared" si="379"/>
        <v>5.0874587878184309E-4</v>
      </c>
      <c r="E504" s="66">
        <f t="shared" si="379"/>
        <v>5.0874587878184309E-4</v>
      </c>
      <c r="F504" s="66">
        <f t="shared" si="379"/>
        <v>5.0874587878184309E-4</v>
      </c>
      <c r="G504" s="66">
        <f t="shared" si="379"/>
        <v>5.0874587878184309E-4</v>
      </c>
      <c r="H504" s="66">
        <f t="shared" si="379"/>
        <v>5.0874587878184309E-4</v>
      </c>
      <c r="I504" s="66">
        <f t="shared" si="379"/>
        <v>5.0874587878184309E-4</v>
      </c>
      <c r="J504" s="66">
        <f t="shared" si="379"/>
        <v>5.0874587878184309E-4</v>
      </c>
      <c r="K504" s="66">
        <f t="shared" si="379"/>
        <v>5.0874587878184309E-4</v>
      </c>
      <c r="L504" s="66">
        <f t="shared" si="379"/>
        <v>5.0874587878184309E-4</v>
      </c>
      <c r="M504" s="66">
        <f t="shared" si="379"/>
        <v>5.0874587878184309E-4</v>
      </c>
      <c r="N504" s="66">
        <f t="shared" si="379"/>
        <v>5.0874587878184309E-4</v>
      </c>
      <c r="O504" s="66">
        <f t="shared" si="379"/>
        <v>5.0874587878184309E-4</v>
      </c>
      <c r="P504" s="66">
        <f t="shared" si="379"/>
        <v>5.0874587878184309E-4</v>
      </c>
      <c r="Q504" s="66">
        <f t="shared" si="379"/>
        <v>5.0874587878184309E-4</v>
      </c>
      <c r="R504" s="66">
        <f t="shared" si="379"/>
        <v>5.0874587878184309E-4</v>
      </c>
      <c r="S504" s="66">
        <f t="shared" si="379"/>
        <v>5.0874587878184309E-4</v>
      </c>
      <c r="T504" s="66">
        <f t="shared" si="379"/>
        <v>5.0874587878184309E-4</v>
      </c>
      <c r="U504" s="66">
        <f t="shared" si="379"/>
        <v>5.0874587878184309E-4</v>
      </c>
      <c r="V504" s="66">
        <f t="shared" si="379"/>
        <v>5.0874587878184309E-4</v>
      </c>
      <c r="W504" s="66">
        <f t="shared" si="379"/>
        <v>5.0874587878184309E-4</v>
      </c>
      <c r="X504" s="66">
        <f t="shared" si="379"/>
        <v>5.0874587878184309E-4</v>
      </c>
      <c r="Y504" s="66">
        <f t="shared" si="379"/>
        <v>5.0874587878184309E-4</v>
      </c>
      <c r="Z504" s="66">
        <f t="shared" si="379"/>
        <v>5.0874587878184309E-4</v>
      </c>
      <c r="AA504" s="66">
        <f t="shared" si="379"/>
        <v>5.0874587878184309E-4</v>
      </c>
      <c r="AB504" s="66">
        <f t="shared" si="379"/>
        <v>5.0874587878184309E-4</v>
      </c>
      <c r="AC504" s="66">
        <f t="shared" si="379"/>
        <v>5.0874587878184309E-4</v>
      </c>
    </row>
    <row r="505" spans="1:29" x14ac:dyDescent="0.3">
      <c r="A505" s="30" t="str">
        <f t="shared" si="376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380">((1+C463)^C471)*C463/(((1+C463)^C471)-1)*(C462)/C475/(C472)</f>
        <v>-2.5437293939092159E-5</v>
      </c>
      <c r="D505" s="69">
        <f t="shared" si="380"/>
        <v>-2.5437293939092159E-5</v>
      </c>
      <c r="E505" s="69">
        <f t="shared" si="380"/>
        <v>-2.5437293939092159E-5</v>
      </c>
      <c r="F505" s="69">
        <f t="shared" si="380"/>
        <v>-2.5437293939092159E-5</v>
      </c>
      <c r="G505" s="69">
        <f t="shared" si="380"/>
        <v>-2.5437293939092159E-5</v>
      </c>
      <c r="H505" s="69">
        <f t="shared" si="380"/>
        <v>-2.5437293939092159E-5</v>
      </c>
      <c r="I505" s="69">
        <f t="shared" si="380"/>
        <v>-2.5437293939092159E-5</v>
      </c>
      <c r="J505" s="69">
        <f t="shared" si="380"/>
        <v>-2.5437293939092159E-5</v>
      </c>
      <c r="K505" s="69">
        <f t="shared" si="380"/>
        <v>-2.5437293939092159E-5</v>
      </c>
      <c r="L505" s="69">
        <f t="shared" si="380"/>
        <v>-2.5437293939092159E-5</v>
      </c>
      <c r="M505" s="69">
        <f t="shared" si="380"/>
        <v>-2.5437293939092159E-5</v>
      </c>
      <c r="N505" s="69">
        <f t="shared" si="380"/>
        <v>-2.5437293939092159E-5</v>
      </c>
      <c r="O505" s="69">
        <f t="shared" si="380"/>
        <v>-2.5437293939092159E-5</v>
      </c>
      <c r="P505" s="69">
        <f t="shared" si="380"/>
        <v>-2.5437293939092159E-5</v>
      </c>
      <c r="Q505" s="69">
        <f t="shared" si="380"/>
        <v>-2.5437293939092159E-5</v>
      </c>
      <c r="R505" s="69">
        <f t="shared" si="380"/>
        <v>-2.5437293939092159E-5</v>
      </c>
      <c r="S505" s="69">
        <f t="shared" si="380"/>
        <v>-2.5437293939092159E-5</v>
      </c>
      <c r="T505" s="69">
        <f t="shared" si="380"/>
        <v>-2.5437293939092159E-5</v>
      </c>
      <c r="U505" s="69">
        <f t="shared" si="380"/>
        <v>-2.5437293939092159E-5</v>
      </c>
      <c r="V505" s="69">
        <f t="shared" si="380"/>
        <v>-2.5437293939092159E-5</v>
      </c>
      <c r="W505" s="69">
        <f t="shared" si="380"/>
        <v>-2.5437293939092159E-5</v>
      </c>
      <c r="X505" s="69">
        <f t="shared" si="380"/>
        <v>-2.5437293939092159E-5</v>
      </c>
      <c r="Y505" s="69">
        <f t="shared" si="380"/>
        <v>-2.5437293939092159E-5</v>
      </c>
      <c r="Z505" s="69">
        <f t="shared" si="380"/>
        <v>-2.5437293939092159E-5</v>
      </c>
      <c r="AA505" s="69">
        <f t="shared" si="380"/>
        <v>-2.5437293939092159E-5</v>
      </c>
      <c r="AB505" s="69">
        <f t="shared" si="380"/>
        <v>-2.5437293939092159E-5</v>
      </c>
      <c r="AC505" s="69">
        <f t="shared" si="380"/>
        <v>-2.5437293939092159E-5</v>
      </c>
    </row>
    <row r="506" spans="1:29" x14ac:dyDescent="0.3">
      <c r="A506" s="30" t="str">
        <f t="shared" si="376"/>
        <v>Opex fix (admin, crew, insurance)</v>
      </c>
      <c r="B506" s="66">
        <f>B464/B475/(B472)</f>
        <v>1.3005202080832333E-3</v>
      </c>
      <c r="C506" s="66">
        <f t="shared" ref="C506:AC506" si="381">C464/C475/(C472)</f>
        <v>1.3005202080832333E-3</v>
      </c>
      <c r="D506" s="66">
        <f t="shared" si="381"/>
        <v>1.3005202080832333E-3</v>
      </c>
      <c r="E506" s="66">
        <f t="shared" si="381"/>
        <v>1.3005202080832333E-3</v>
      </c>
      <c r="F506" s="66">
        <f t="shared" si="381"/>
        <v>1.3005202080832333E-3</v>
      </c>
      <c r="G506" s="66">
        <f t="shared" si="381"/>
        <v>1.3005202080832333E-3</v>
      </c>
      <c r="H506" s="66">
        <f t="shared" si="381"/>
        <v>1.3005202080832333E-3</v>
      </c>
      <c r="I506" s="66">
        <f t="shared" si="381"/>
        <v>1.3005202080832333E-3</v>
      </c>
      <c r="J506" s="66">
        <f t="shared" si="381"/>
        <v>1.3005202080832333E-3</v>
      </c>
      <c r="K506" s="66">
        <f t="shared" si="381"/>
        <v>1.3005202080832333E-3</v>
      </c>
      <c r="L506" s="66">
        <f t="shared" si="381"/>
        <v>1.3005202080832333E-3</v>
      </c>
      <c r="M506" s="66">
        <f t="shared" si="381"/>
        <v>1.3005202080832333E-3</v>
      </c>
      <c r="N506" s="66">
        <f t="shared" si="381"/>
        <v>1.3005202080832333E-3</v>
      </c>
      <c r="O506" s="66">
        <f t="shared" si="381"/>
        <v>1.3005202080832333E-3</v>
      </c>
      <c r="P506" s="66">
        <f t="shared" si="381"/>
        <v>1.3005202080832333E-3</v>
      </c>
      <c r="Q506" s="66">
        <f t="shared" si="381"/>
        <v>1.3005202080832333E-3</v>
      </c>
      <c r="R506" s="66">
        <f t="shared" si="381"/>
        <v>1.3005202080832333E-3</v>
      </c>
      <c r="S506" s="66">
        <f t="shared" si="381"/>
        <v>1.3005202080832333E-3</v>
      </c>
      <c r="T506" s="66">
        <f t="shared" si="381"/>
        <v>1.3005202080832333E-3</v>
      </c>
      <c r="U506" s="66">
        <f t="shared" si="381"/>
        <v>1.3005202080832333E-3</v>
      </c>
      <c r="V506" s="66">
        <f t="shared" si="381"/>
        <v>1.3005202080832333E-3</v>
      </c>
      <c r="W506" s="66">
        <f t="shared" si="381"/>
        <v>1.3005202080832333E-3</v>
      </c>
      <c r="X506" s="66">
        <f t="shared" si="381"/>
        <v>1.3005202080832333E-3</v>
      </c>
      <c r="Y506" s="66">
        <f t="shared" si="381"/>
        <v>1.3005202080832333E-3</v>
      </c>
      <c r="Z506" s="66">
        <f t="shared" si="381"/>
        <v>1.3005202080832333E-3</v>
      </c>
      <c r="AA506" s="66">
        <f t="shared" si="381"/>
        <v>1.3005202080832333E-3</v>
      </c>
      <c r="AB506" s="66">
        <f t="shared" si="381"/>
        <v>1.3005202080832333E-3</v>
      </c>
      <c r="AC506" s="66">
        <f t="shared" si="381"/>
        <v>1.3005202080832333E-3</v>
      </c>
    </row>
    <row r="507" spans="1:29" x14ac:dyDescent="0.3">
      <c r="A507" s="30" t="str">
        <f t="shared" si="376"/>
        <v>Opex maintenance &amp; repair</v>
      </c>
      <c r="B507" s="66">
        <f>B465/B475/(B472)</f>
        <v>2.1008403361344541E-3</v>
      </c>
      <c r="C507" s="66">
        <f t="shared" ref="C507:AC507" si="382">C465/C475/(C472)</f>
        <v>2.1008403361344541E-3</v>
      </c>
      <c r="D507" s="66">
        <f t="shared" si="382"/>
        <v>2.1008403361344541E-3</v>
      </c>
      <c r="E507" s="66">
        <f t="shared" si="382"/>
        <v>2.1008403361344541E-3</v>
      </c>
      <c r="F507" s="66">
        <f t="shared" si="382"/>
        <v>2.1008403361344541E-3</v>
      </c>
      <c r="G507" s="66">
        <f t="shared" si="382"/>
        <v>2.1008403361344541E-3</v>
      </c>
      <c r="H507" s="66">
        <f t="shared" si="382"/>
        <v>2.1008403361344541E-3</v>
      </c>
      <c r="I507" s="66">
        <f t="shared" si="382"/>
        <v>2.1008403361344541E-3</v>
      </c>
      <c r="J507" s="66">
        <f t="shared" si="382"/>
        <v>2.1008403361344541E-3</v>
      </c>
      <c r="K507" s="66">
        <f t="shared" si="382"/>
        <v>2.1008403361344541E-3</v>
      </c>
      <c r="L507" s="66">
        <f t="shared" si="382"/>
        <v>2.1008403361344541E-3</v>
      </c>
      <c r="M507" s="66">
        <f t="shared" si="382"/>
        <v>2.1008403361344541E-3</v>
      </c>
      <c r="N507" s="66">
        <f t="shared" si="382"/>
        <v>2.1008403361344541E-3</v>
      </c>
      <c r="O507" s="66">
        <f t="shared" si="382"/>
        <v>2.1008403361344541E-3</v>
      </c>
      <c r="P507" s="66">
        <f t="shared" si="382"/>
        <v>2.1008403361344541E-3</v>
      </c>
      <c r="Q507" s="66">
        <f t="shared" si="382"/>
        <v>2.1008403361344541E-3</v>
      </c>
      <c r="R507" s="66">
        <f t="shared" si="382"/>
        <v>2.1008403361344541E-3</v>
      </c>
      <c r="S507" s="66">
        <f t="shared" si="382"/>
        <v>2.1008403361344541E-3</v>
      </c>
      <c r="T507" s="66">
        <f t="shared" si="382"/>
        <v>2.1008403361344541E-3</v>
      </c>
      <c r="U507" s="66">
        <f t="shared" si="382"/>
        <v>2.1008403361344541E-3</v>
      </c>
      <c r="V507" s="66">
        <f t="shared" si="382"/>
        <v>2.1008403361344541E-3</v>
      </c>
      <c r="W507" s="66">
        <f t="shared" si="382"/>
        <v>2.1008403361344541E-3</v>
      </c>
      <c r="X507" s="66">
        <f t="shared" si="382"/>
        <v>2.1008403361344541E-3</v>
      </c>
      <c r="Y507" s="66">
        <f t="shared" si="382"/>
        <v>2.1008403361344541E-3</v>
      </c>
      <c r="Z507" s="66">
        <f t="shared" si="382"/>
        <v>2.1008403361344541E-3</v>
      </c>
      <c r="AA507" s="66">
        <f t="shared" si="382"/>
        <v>2.1008403361344541E-3</v>
      </c>
      <c r="AB507" s="66">
        <f t="shared" si="382"/>
        <v>2.1008403361344541E-3</v>
      </c>
      <c r="AC507" s="66">
        <f t="shared" si="382"/>
        <v>2.1008403361344541E-3</v>
      </c>
    </row>
    <row r="508" spans="1:29" x14ac:dyDescent="0.3">
      <c r="A508" s="30" t="str">
        <f t="shared" si="376"/>
        <v>Opex var (mode-fees, shunting)</v>
      </c>
      <c r="B508" s="66">
        <f>B466*B475/B475/(B472)</f>
        <v>1.4005602240896359E-3</v>
      </c>
      <c r="C508" s="66">
        <f t="shared" ref="C508:AC508" si="383">C466*C475/C475/(C472)</f>
        <v>1.4005602240896359E-3</v>
      </c>
      <c r="D508" s="66">
        <f t="shared" si="383"/>
        <v>1.4005602240896359E-3</v>
      </c>
      <c r="E508" s="66">
        <f t="shared" si="383"/>
        <v>1.4005602240896359E-3</v>
      </c>
      <c r="F508" s="66">
        <f t="shared" si="383"/>
        <v>1.4005602240896359E-3</v>
      </c>
      <c r="G508" s="66">
        <f t="shared" si="383"/>
        <v>1.4005602240896359E-3</v>
      </c>
      <c r="H508" s="66">
        <f t="shared" si="383"/>
        <v>1.4005602240896359E-3</v>
      </c>
      <c r="I508" s="66">
        <f t="shared" si="383"/>
        <v>1.4005602240896359E-3</v>
      </c>
      <c r="J508" s="66">
        <f t="shared" si="383"/>
        <v>1.4005602240896359E-3</v>
      </c>
      <c r="K508" s="66">
        <f t="shared" si="383"/>
        <v>1.4005602240896359E-3</v>
      </c>
      <c r="L508" s="66">
        <f t="shared" si="383"/>
        <v>1.4005602240896359E-3</v>
      </c>
      <c r="M508" s="66">
        <f t="shared" si="383"/>
        <v>1.4005602240896359E-3</v>
      </c>
      <c r="N508" s="66">
        <f t="shared" si="383"/>
        <v>1.4005602240896359E-3</v>
      </c>
      <c r="O508" s="66">
        <f t="shared" si="383"/>
        <v>1.4005602240896359E-3</v>
      </c>
      <c r="P508" s="66">
        <f t="shared" si="383"/>
        <v>1.4005602240896359E-3</v>
      </c>
      <c r="Q508" s="66">
        <f t="shared" si="383"/>
        <v>1.4005602240896359E-3</v>
      </c>
      <c r="R508" s="66">
        <f t="shared" si="383"/>
        <v>1.4005602240896359E-3</v>
      </c>
      <c r="S508" s="66">
        <f t="shared" si="383"/>
        <v>1.4005602240896359E-3</v>
      </c>
      <c r="T508" s="66">
        <f t="shared" si="383"/>
        <v>1.4005602240896359E-3</v>
      </c>
      <c r="U508" s="66">
        <f t="shared" si="383"/>
        <v>1.4005602240896359E-3</v>
      </c>
      <c r="V508" s="66">
        <f t="shared" si="383"/>
        <v>1.4005602240896359E-3</v>
      </c>
      <c r="W508" s="66">
        <f t="shared" si="383"/>
        <v>1.4005602240896359E-3</v>
      </c>
      <c r="X508" s="66">
        <f t="shared" si="383"/>
        <v>1.4005602240896359E-3</v>
      </c>
      <c r="Y508" s="66">
        <f t="shared" si="383"/>
        <v>1.4005602240896359E-3</v>
      </c>
      <c r="Z508" s="66">
        <f t="shared" si="383"/>
        <v>1.4005602240896359E-3</v>
      </c>
      <c r="AA508" s="66">
        <f t="shared" si="383"/>
        <v>1.4005602240896359E-3</v>
      </c>
      <c r="AB508" s="66">
        <f t="shared" si="383"/>
        <v>1.4005602240896359E-3</v>
      </c>
      <c r="AC508" s="66">
        <f t="shared" si="383"/>
        <v>1.4005602240896359E-3</v>
      </c>
    </row>
    <row r="509" spans="1:29" x14ac:dyDescent="0.3">
      <c r="A509" s="30" t="str">
        <f t="shared" si="376"/>
        <v>Fuel Cost</v>
      </c>
      <c r="B509" s="66">
        <f>B467*B468*B475/B475/(B472)</f>
        <v>2.217257142857143E-3</v>
      </c>
      <c r="C509" s="66">
        <f t="shared" ref="C509:AC509" si="384">C467*C468*C475/C475/(C472)</f>
        <v>2.217257142857143E-3</v>
      </c>
      <c r="D509" s="66">
        <f t="shared" si="384"/>
        <v>2.217257142857143E-3</v>
      </c>
      <c r="E509" s="66">
        <f t="shared" si="384"/>
        <v>2.217257142857143E-3</v>
      </c>
      <c r="F509" s="66">
        <f t="shared" si="384"/>
        <v>2.217257142857143E-3</v>
      </c>
      <c r="G509" s="66">
        <f t="shared" si="384"/>
        <v>2.217257142857143E-3</v>
      </c>
      <c r="H509" s="66">
        <f t="shared" si="384"/>
        <v>2.217257142857143E-3</v>
      </c>
      <c r="I509" s="66">
        <f t="shared" si="384"/>
        <v>2.217257142857143E-3</v>
      </c>
      <c r="J509" s="66">
        <f t="shared" si="384"/>
        <v>2.217257142857143E-3</v>
      </c>
      <c r="K509" s="66">
        <f t="shared" si="384"/>
        <v>2.217257142857143E-3</v>
      </c>
      <c r="L509" s="66">
        <f t="shared" si="384"/>
        <v>2.217257142857143E-3</v>
      </c>
      <c r="M509" s="66">
        <f t="shared" si="384"/>
        <v>2.217257142857143E-3</v>
      </c>
      <c r="N509" s="66">
        <f t="shared" si="384"/>
        <v>2.217257142857143E-3</v>
      </c>
      <c r="O509" s="66">
        <f t="shared" si="384"/>
        <v>2.217257142857143E-3</v>
      </c>
      <c r="P509" s="66">
        <f t="shared" si="384"/>
        <v>2.217257142857143E-3</v>
      </c>
      <c r="Q509" s="66">
        <f t="shared" si="384"/>
        <v>2.217257142857143E-3</v>
      </c>
      <c r="R509" s="66">
        <f t="shared" si="384"/>
        <v>2.217257142857143E-3</v>
      </c>
      <c r="S509" s="66">
        <f t="shared" si="384"/>
        <v>2.217257142857143E-3</v>
      </c>
      <c r="T509" s="66">
        <f t="shared" si="384"/>
        <v>2.217257142857143E-3</v>
      </c>
      <c r="U509" s="66">
        <f t="shared" si="384"/>
        <v>2.217257142857143E-3</v>
      </c>
      <c r="V509" s="66">
        <f t="shared" si="384"/>
        <v>2.217257142857143E-3</v>
      </c>
      <c r="W509" s="66">
        <f t="shared" si="384"/>
        <v>2.217257142857143E-3</v>
      </c>
      <c r="X509" s="66">
        <f t="shared" si="384"/>
        <v>2.217257142857143E-3</v>
      </c>
      <c r="Y509" s="66">
        <f t="shared" si="384"/>
        <v>2.217257142857143E-3</v>
      </c>
      <c r="Z509" s="66">
        <f t="shared" si="384"/>
        <v>2.217257142857143E-3</v>
      </c>
      <c r="AA509" s="66">
        <f t="shared" si="384"/>
        <v>2.217257142857143E-3</v>
      </c>
      <c r="AB509" s="66">
        <f t="shared" si="384"/>
        <v>2.217257142857143E-3</v>
      </c>
      <c r="AC509" s="66">
        <f t="shared" si="384"/>
        <v>2.217257142857143E-3</v>
      </c>
    </row>
    <row r="510" spans="1:29" x14ac:dyDescent="0.3">
      <c r="A510" s="59" t="str">
        <f>A473</f>
        <v>Market failure (av. utilization)</v>
      </c>
      <c r="B510" s="66">
        <f t="shared" ref="B510:AC510" si="385">B499/B473-B499/B472</f>
        <v>2.5189959154702641E-2</v>
      </c>
      <c r="C510" s="66">
        <f t="shared" si="385"/>
        <v>2.5195043099388824E-2</v>
      </c>
      <c r="D510" s="66">
        <f t="shared" si="385"/>
        <v>2.5202308996915612E-2</v>
      </c>
      <c r="E510" s="66">
        <f t="shared" si="385"/>
        <v>2.5212678927076623E-2</v>
      </c>
      <c r="F510" s="66">
        <f t="shared" si="385"/>
        <v>2.5227449043260627E-2</v>
      </c>
      <c r="G510" s="66">
        <f t="shared" si="385"/>
        <v>2.5248425042876374E-2</v>
      </c>
      <c r="H510" s="66">
        <f t="shared" si="385"/>
        <v>2.5278090653022472E-2</v>
      </c>
      <c r="I510" s="66">
        <f t="shared" si="385"/>
        <v>2.5319802364569231E-2</v>
      </c>
      <c r="J510" s="66">
        <f t="shared" si="385"/>
        <v>2.5377988970451692E-2</v>
      </c>
      <c r="K510" s="66">
        <f t="shared" si="385"/>
        <v>2.5458313061431356E-2</v>
      </c>
      <c r="L510" s="66">
        <f t="shared" si="385"/>
        <v>2.5567723763088281E-2</v>
      </c>
      <c r="M510" s="66">
        <f t="shared" si="385"/>
        <v>2.5714286957770269E-2</v>
      </c>
      <c r="N510" s="66">
        <f t="shared" si="385"/>
        <v>2.5906591911621486E-2</v>
      </c>
      <c r="O510" s="66">
        <f t="shared" si="385"/>
        <v>2.6152391590783641E-2</v>
      </c>
      <c r="P510" s="66">
        <f t="shared" si="385"/>
        <v>2.6456093999053187E-2</v>
      </c>
      <c r="Q510" s="66">
        <f t="shared" si="385"/>
        <v>2.6815194415332005E-2</v>
      </c>
      <c r="R510" s="66">
        <f t="shared" si="385"/>
        <v>2.7216983796758451E-2</v>
      </c>
      <c r="S510" s="66">
        <f t="shared" si="385"/>
        <v>2.7638116913218071E-2</v>
      </c>
      <c r="T510" s="66">
        <f t="shared" si="385"/>
        <v>2.8049022703528142E-2</v>
      </c>
      <c r="U510" s="66">
        <f t="shared" si="385"/>
        <v>2.8421942723356984E-2</v>
      </c>
      <c r="V510" s="66">
        <f t="shared" si="385"/>
        <v>2.8738252067313674E-2</v>
      </c>
      <c r="W510" s="66">
        <f t="shared" si="385"/>
        <v>2.899123934707638E-2</v>
      </c>
      <c r="X510" s="66">
        <f t="shared" si="385"/>
        <v>2.9184121389631598E-2</v>
      </c>
      <c r="Y510" s="66">
        <f t="shared" si="385"/>
        <v>2.9325828948931362E-2</v>
      </c>
      <c r="Z510" s="66">
        <f t="shared" si="385"/>
        <v>2.9427111924871498E-2</v>
      </c>
      <c r="AA510" s="66">
        <f t="shared" si="385"/>
        <v>2.9498079691094428E-2</v>
      </c>
      <c r="AB510" s="66">
        <f t="shared" si="385"/>
        <v>2.9547115138535918E-2</v>
      </c>
      <c r="AC510" s="66">
        <f t="shared" si="385"/>
        <v>2.9580669054987924E-2</v>
      </c>
    </row>
    <row r="511" spans="1:29" x14ac:dyDescent="0.3">
      <c r="A511" s="59" t="str">
        <f>A474</f>
        <v>Payload loss (fuel)</v>
      </c>
      <c r="B511" s="66">
        <f>B499/(B472-B474)-B499/B472</f>
        <v>0</v>
      </c>
      <c r="C511" s="66">
        <f t="shared" ref="C511:AC511" si="386">C499/(C472-C474)-C499/C472</f>
        <v>0</v>
      </c>
      <c r="D511" s="66">
        <f t="shared" si="386"/>
        <v>0</v>
      </c>
      <c r="E511" s="66">
        <f t="shared" si="386"/>
        <v>0</v>
      </c>
      <c r="F511" s="66">
        <f t="shared" si="386"/>
        <v>0</v>
      </c>
      <c r="G511" s="66">
        <f t="shared" si="386"/>
        <v>0</v>
      </c>
      <c r="H511" s="66">
        <f t="shared" si="386"/>
        <v>0</v>
      </c>
      <c r="I511" s="66">
        <f t="shared" si="386"/>
        <v>0</v>
      </c>
      <c r="J511" s="66">
        <f t="shared" si="386"/>
        <v>0</v>
      </c>
      <c r="K511" s="66">
        <f t="shared" si="386"/>
        <v>0</v>
      </c>
      <c r="L511" s="66">
        <f t="shared" si="386"/>
        <v>0</v>
      </c>
      <c r="M511" s="66">
        <f t="shared" si="386"/>
        <v>0</v>
      </c>
      <c r="N511" s="66">
        <f t="shared" si="386"/>
        <v>0</v>
      </c>
      <c r="O511" s="66">
        <f t="shared" si="386"/>
        <v>0</v>
      </c>
      <c r="P511" s="66">
        <f t="shared" si="386"/>
        <v>0</v>
      </c>
      <c r="Q511" s="66">
        <f t="shared" si="386"/>
        <v>0</v>
      </c>
      <c r="R511" s="66">
        <f t="shared" si="386"/>
        <v>0</v>
      </c>
      <c r="S511" s="66">
        <f t="shared" si="386"/>
        <v>0</v>
      </c>
      <c r="T511" s="66">
        <f t="shared" si="386"/>
        <v>0</v>
      </c>
      <c r="U511" s="66">
        <f t="shared" si="386"/>
        <v>0</v>
      </c>
      <c r="V511" s="66">
        <f t="shared" si="386"/>
        <v>0</v>
      </c>
      <c r="W511" s="66">
        <f t="shared" si="386"/>
        <v>0</v>
      </c>
      <c r="X511" s="66">
        <f t="shared" si="386"/>
        <v>0</v>
      </c>
      <c r="Y511" s="66">
        <f t="shared" si="386"/>
        <v>0</v>
      </c>
      <c r="Z511" s="66">
        <f t="shared" si="386"/>
        <v>0</v>
      </c>
      <c r="AA511" s="66">
        <f t="shared" si="386"/>
        <v>0</v>
      </c>
      <c r="AB511" s="66">
        <f t="shared" si="386"/>
        <v>0</v>
      </c>
      <c r="AC511" s="66">
        <f t="shared" si="386"/>
        <v>0</v>
      </c>
    </row>
    <row r="512" spans="1:29" ht="15" thickBot="1" x14ac:dyDescent="0.35">
      <c r="A512" s="59" t="str">
        <f>A449</f>
        <v>Emission Cost</v>
      </c>
      <c r="B512" s="69">
        <f>B469*B475/B475/(B472)</f>
        <v>5.9439000902027008E-4</v>
      </c>
      <c r="C512" s="69">
        <f t="shared" ref="C512:AC512" si="387">C469*C475/C475/(C472)</f>
        <v>5.9579420166798827E-4</v>
      </c>
      <c r="D512" s="69">
        <f t="shared" si="387"/>
        <v>5.9780427216732715E-4</v>
      </c>
      <c r="E512" s="69">
        <f t="shared" si="387"/>
        <v>6.0067981937110787E-4</v>
      </c>
      <c r="F512" s="69">
        <f t="shared" si="387"/>
        <v>6.0478961084630409E-4</v>
      </c>
      <c r="G512" s="69">
        <f t="shared" si="387"/>
        <v>6.1065517144417774E-4</v>
      </c>
      <c r="H512" s="69">
        <f t="shared" si="387"/>
        <v>6.1900916871507751E-4</v>
      </c>
      <c r="I512" s="69">
        <f t="shared" si="387"/>
        <v>6.3087064727930791E-4</v>
      </c>
      <c r="J512" s="69">
        <f t="shared" si="387"/>
        <v>6.4763570741453204E-4</v>
      </c>
      <c r="K512" s="69">
        <f t="shared" si="387"/>
        <v>6.7117354937764738E-4</v>
      </c>
      <c r="L512" s="69">
        <f t="shared" si="387"/>
        <v>7.0389969420759876E-4</v>
      </c>
      <c r="M512" s="69">
        <f t="shared" si="387"/>
        <v>7.4876601448194905E-4</v>
      </c>
      <c r="N512" s="69">
        <f t="shared" si="387"/>
        <v>8.0906154125016375E-4</v>
      </c>
      <c r="O512" s="69">
        <f t="shared" si="387"/>
        <v>8.8787944297533767E-4</v>
      </c>
      <c r="P512" s="69">
        <f t="shared" si="387"/>
        <v>9.8713726824370429E-4</v>
      </c>
      <c r="Q512" s="69">
        <f t="shared" si="387"/>
        <v>1.1062438093694237E-3</v>
      </c>
      <c r="R512" s="69">
        <f t="shared" si="387"/>
        <v>1.2409263480950936E-3</v>
      </c>
      <c r="S512" s="69">
        <f t="shared" si="387"/>
        <v>1.383110151639231E-3</v>
      </c>
      <c r="T512" s="69">
        <f t="shared" si="387"/>
        <v>1.5224960438769653E-3</v>
      </c>
      <c r="U512" s="69">
        <f t="shared" si="387"/>
        <v>1.6493818906380816E-3</v>
      </c>
      <c r="V512" s="69">
        <f t="shared" si="387"/>
        <v>1.7572167914929814E-3</v>
      </c>
      <c r="W512" s="69">
        <f t="shared" si="387"/>
        <v>1.8435732349411887E-3</v>
      </c>
      <c r="X512" s="69">
        <f t="shared" si="387"/>
        <v>1.9094670340646434E-3</v>
      </c>
      <c r="Y512" s="69">
        <f t="shared" si="387"/>
        <v>1.9579042611107115E-3</v>
      </c>
      <c r="Z512" s="69">
        <f t="shared" si="387"/>
        <v>1.9925361777235443E-3</v>
      </c>
      <c r="AA512" s="69">
        <f t="shared" si="387"/>
        <v>2.0168080368397983E-3</v>
      </c>
      <c r="AB512" s="69">
        <f t="shared" si="387"/>
        <v>2.0335813833541826E-3</v>
      </c>
      <c r="AC512" s="69">
        <f t="shared" si="387"/>
        <v>2.0450602202218928E-3</v>
      </c>
    </row>
    <row r="513" spans="1:29" ht="15" thickBot="1" x14ac:dyDescent="0.35">
      <c r="A513" s="31" t="s">
        <v>210</v>
      </c>
      <c r="B513" s="67">
        <f>B502+B503+B504+B505+B506+B507+B508+B509+B510+B511+B512</f>
        <v>3.3806597394249023E-2</v>
      </c>
      <c r="C513" s="67">
        <f t="shared" ref="C513:AC513" si="388">C502+C503+C504+C505+C506+C507+C508+C509+C510+C511+C512</f>
        <v>3.3813430653235832E-2</v>
      </c>
      <c r="D513" s="67">
        <f t="shared" si="388"/>
        <v>3.3823196644535272E-2</v>
      </c>
      <c r="E513" s="67">
        <f t="shared" si="388"/>
        <v>3.3837134722708676E-2</v>
      </c>
      <c r="F513" s="67">
        <f t="shared" si="388"/>
        <v>3.3856987029407606E-2</v>
      </c>
      <c r="G513" s="67">
        <f t="shared" si="388"/>
        <v>3.388518057727824E-2</v>
      </c>
      <c r="H513" s="67">
        <f t="shared" si="388"/>
        <v>3.392505370919504E-2</v>
      </c>
      <c r="I513" s="67">
        <f t="shared" si="388"/>
        <v>3.3981117837618091E-2</v>
      </c>
      <c r="J513" s="67">
        <f t="shared" si="388"/>
        <v>3.4059325641223555E-2</v>
      </c>
      <c r="K513" s="67">
        <f t="shared" si="388"/>
        <v>3.416728812909945E-2</v>
      </c>
      <c r="L513" s="67">
        <f t="shared" si="388"/>
        <v>3.4314345523799618E-2</v>
      </c>
      <c r="M513" s="67">
        <f t="shared" si="388"/>
        <v>3.4511339065038844E-2</v>
      </c>
      <c r="N513" s="67">
        <f t="shared" si="388"/>
        <v>3.4769813465376505E-2</v>
      </c>
      <c r="O513" s="67">
        <f t="shared" si="388"/>
        <v>3.5100189378228862E-2</v>
      </c>
      <c r="P513" s="67">
        <f t="shared" si="388"/>
        <v>3.550839153988148E-2</v>
      </c>
      <c r="Q513" s="67">
        <f t="shared" si="388"/>
        <v>3.59910533897186E-2</v>
      </c>
      <c r="R513" s="67">
        <f t="shared" si="388"/>
        <v>3.653109288088318E-2</v>
      </c>
      <c r="S513" s="67">
        <f t="shared" si="388"/>
        <v>3.7097132015909549E-2</v>
      </c>
      <c r="T513" s="67">
        <f t="shared" si="388"/>
        <v>3.7649424744820935E-2</v>
      </c>
      <c r="U513" s="67">
        <f t="shared" si="388"/>
        <v>3.8150661330612387E-2</v>
      </c>
      <c r="V513" s="67">
        <f t="shared" si="388"/>
        <v>3.8575808298296113E-2</v>
      </c>
      <c r="W513" s="67">
        <f t="shared" si="388"/>
        <v>3.8915844964643835E-2</v>
      </c>
      <c r="X513" s="67">
        <f t="shared" si="388"/>
        <v>3.9175095021841709E-2</v>
      </c>
      <c r="Y513" s="67">
        <f t="shared" si="388"/>
        <v>3.9365562171438162E-2</v>
      </c>
      <c r="Z513" s="67">
        <f t="shared" si="388"/>
        <v>3.9501695203615766E-2</v>
      </c>
      <c r="AA513" s="67">
        <f t="shared" si="388"/>
        <v>3.9597081986173469E-2</v>
      </c>
      <c r="AB513" s="67">
        <f t="shared" si="388"/>
        <v>3.9662989845637833E-2</v>
      </c>
      <c r="AC513" s="67">
        <f t="shared" si="388"/>
        <v>3.9708089195707737E-2</v>
      </c>
    </row>
    <row r="515" spans="1:29" x14ac:dyDescent="0.3">
      <c r="B515" s="40"/>
    </row>
  </sheetData>
  <conditionalFormatting sqref="Q11:AR27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33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41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50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55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92F4-8B85-4C35-A61E-7ED29B09ED85}">
  <sheetPr>
    <tabColor rgb="FFC00000"/>
  </sheetPr>
  <dimension ref="A1:BA515"/>
  <sheetViews>
    <sheetView zoomScale="70" zoomScaleNormal="70" workbookViewId="0">
      <selection activeCell="A446" sqref="A446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45" width="9.109375" style="4"/>
    <col min="46" max="46" width="35.109375" style="4" bestFit="1" customWidth="1"/>
    <col min="47" max="48" width="11.33203125" style="4" bestFit="1" customWidth="1"/>
    <col min="49" max="49" width="8.5546875" style="4" bestFit="1" customWidth="1"/>
    <col min="50" max="50" width="21.33203125" style="4" bestFit="1" customWidth="1"/>
    <col min="51" max="52" width="4.44140625" style="4" bestFit="1" customWidth="1"/>
    <col min="53" max="53" width="7" style="4" bestFit="1" customWidth="1"/>
    <col min="54" max="54" width="9.109375" style="4"/>
    <col min="55" max="55" width="31.5546875" style="4" bestFit="1" customWidth="1"/>
    <col min="56" max="57" width="9.5546875" style="4" bestFit="1" customWidth="1"/>
    <col min="58" max="58" width="11.44140625" style="4" bestFit="1" customWidth="1"/>
    <col min="59" max="59" width="8" style="4" bestFit="1" customWidth="1"/>
    <col min="60" max="61" width="4.44140625" style="4" bestFit="1" customWidth="1"/>
    <col min="62" max="62" width="7" style="4" bestFit="1" customWidth="1"/>
    <col min="63" max="63" width="9.109375" style="4"/>
    <col min="64" max="64" width="31.5546875" style="4" bestFit="1" customWidth="1"/>
    <col min="65" max="66" width="9.5546875" style="4" bestFit="1" customWidth="1"/>
    <col min="67" max="67" width="8.5546875" style="4" bestFit="1" customWidth="1"/>
    <col min="68" max="68" width="3.44140625" style="4" bestFit="1" customWidth="1"/>
    <col min="69" max="70" width="4.44140625" style="4" bestFit="1" customWidth="1"/>
    <col min="71" max="16384" width="9.109375" style="4"/>
  </cols>
  <sheetData>
    <row r="1" spans="1:53" s="3" customFormat="1" ht="21" x14ac:dyDescent="0.4">
      <c r="A1" s="2" t="str">
        <f>'Parameter Input'!A76</f>
        <v>Railway long-haul: Dry bulk</v>
      </c>
    </row>
    <row r="2" spans="1:53" s="3" customFormat="1" ht="21" x14ac:dyDescent="0.4">
      <c r="A2" s="2" t="s">
        <v>136</v>
      </c>
    </row>
    <row r="3" spans="1:53" x14ac:dyDescent="0.3">
      <c r="A3" s="33" t="s">
        <v>195</v>
      </c>
    </row>
    <row r="4" spans="1:53" x14ac:dyDescent="0.3">
      <c r="A4" s="33" t="s">
        <v>196</v>
      </c>
    </row>
    <row r="5" spans="1:53" ht="15" thickBot="1" x14ac:dyDescent="0.35">
      <c r="A5" s="34" t="s">
        <v>197</v>
      </c>
      <c r="B5" s="34"/>
    </row>
    <row r="6" spans="1:53" ht="15" thickBot="1" x14ac:dyDescent="0.35">
      <c r="A6" s="39" t="s">
        <v>198</v>
      </c>
      <c r="B6" s="35"/>
    </row>
    <row r="7" spans="1:53" ht="15" thickBot="1" x14ac:dyDescent="0.35">
      <c r="A7" s="38" t="s">
        <v>199</v>
      </c>
      <c r="B7" s="36"/>
    </row>
    <row r="8" spans="1:53" ht="15" thickBot="1" x14ac:dyDescent="0.35"/>
    <row r="9" spans="1:53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3">
      <c r="A11" s="24" t="s">
        <v>18</v>
      </c>
      <c r="B11" s="41">
        <f>'Parameter Input'!$L$89</f>
        <v>5000000</v>
      </c>
      <c r="C11" s="42">
        <f>'Parameter Input'!$M$89</f>
        <v>5000000</v>
      </c>
      <c r="D11" s="1" t="s">
        <v>15</v>
      </c>
      <c r="L11" s="51">
        <f>'Parameter Input'!$O$89</f>
        <v>12</v>
      </c>
      <c r="M11" s="52">
        <v>0</v>
      </c>
      <c r="N11" s="52">
        <v>1</v>
      </c>
      <c r="O11" s="52">
        <f>'Parameter Input'!$P$89</f>
        <v>0.9</v>
      </c>
      <c r="P11" s="53">
        <f>'Parameter Input'!$Q$89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5000000</v>
      </c>
      <c r="AV11" s="81">
        <f t="shared" si="2"/>
        <v>5000000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3">
      <c r="A12" s="24" t="s">
        <v>28</v>
      </c>
      <c r="B12" s="60">
        <f>'Parameter Input'!$L$90</f>
        <v>-750000</v>
      </c>
      <c r="C12" s="61">
        <f>'Parameter Input'!$M$90</f>
        <v>-750000</v>
      </c>
      <c r="D12" s="1" t="s">
        <v>15</v>
      </c>
      <c r="L12" s="54">
        <f>'Parameter Input'!$O$90</f>
        <v>12</v>
      </c>
      <c r="M12" s="37">
        <v>0</v>
      </c>
      <c r="N12" s="37">
        <v>1</v>
      </c>
      <c r="O12" s="37">
        <f>'Parameter Input'!$P$90</f>
        <v>0.9</v>
      </c>
      <c r="P12" s="55">
        <f>'Parameter Input'!$Q$90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-750000</v>
      </c>
      <c r="AV12" s="81">
        <f t="shared" si="2"/>
        <v>-750000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3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3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3">
      <c r="A15" s="24" t="s">
        <v>79</v>
      </c>
      <c r="B15" s="45">
        <f>'Parameter Input'!$L$96</f>
        <v>0.06</v>
      </c>
      <c r="C15" s="46">
        <f>'Parameter Input'!$M$96</f>
        <v>0.06</v>
      </c>
      <c r="D15" s="1" t="s">
        <v>57</v>
      </c>
      <c r="L15" s="54">
        <f>'Parameter Input'!$O$96</f>
        <v>12</v>
      </c>
      <c r="M15" s="37">
        <v>0</v>
      </c>
      <c r="N15" s="37">
        <v>1</v>
      </c>
      <c r="O15" s="37">
        <f>'Parameter Input'!$P$96</f>
        <v>0.9</v>
      </c>
      <c r="P15" s="55">
        <f>'Parameter Input'!$Q$96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3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3">
      <c r="A17" s="24" t="s">
        <v>52</v>
      </c>
      <c r="B17" s="43">
        <f>'Parameter Input'!$L$92</f>
        <v>650000</v>
      </c>
      <c r="C17" s="44">
        <f>'Parameter Input'!$M$92</f>
        <v>650000</v>
      </c>
      <c r="D17" s="1" t="s">
        <v>38</v>
      </c>
      <c r="L17" s="54">
        <f>'Parameter Input'!$O$92</f>
        <v>12</v>
      </c>
      <c r="M17" s="37">
        <v>0</v>
      </c>
      <c r="N17" s="37">
        <v>1</v>
      </c>
      <c r="O17" s="37">
        <f>'Parameter Input'!$P$92</f>
        <v>0.9</v>
      </c>
      <c r="P17" s="55">
        <f>'Parameter Input'!$Q$92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" thickBot="1" x14ac:dyDescent="0.35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3">
      <c r="A19" s="24" t="s">
        <v>59</v>
      </c>
      <c r="B19" s="47">
        <f>'Parameter Input'!$L$93</f>
        <v>25.563670588235297</v>
      </c>
      <c r="C19" s="48">
        <f>'Parameter Input'!$M$93</f>
        <v>25.563670588235297</v>
      </c>
      <c r="D19" s="1" t="s">
        <v>60</v>
      </c>
      <c r="L19" s="54">
        <f>'Parameter Input'!$O$93</f>
        <v>12</v>
      </c>
      <c r="M19" s="37">
        <v>0</v>
      </c>
      <c r="N19" s="37">
        <v>1</v>
      </c>
      <c r="O19" s="37">
        <f>'Parameter Input'!$P$93</f>
        <v>0.9</v>
      </c>
      <c r="P19" s="55">
        <f>'Parameter Input'!$Q$93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3">
      <c r="A20" s="24" t="s">
        <v>67</v>
      </c>
      <c r="B20" s="45">
        <f>'Parameter Input'!$L$94</f>
        <v>9.2586511082899101E-2</v>
      </c>
      <c r="C20" s="46">
        <f>'Parameter Input'!$M$94</f>
        <v>7.3304790352502799E-2</v>
      </c>
      <c r="D20" s="1" t="s">
        <v>68</v>
      </c>
      <c r="L20" s="54">
        <f>'Parameter Input'!$O$94</f>
        <v>12</v>
      </c>
      <c r="M20" s="37">
        <v>0</v>
      </c>
      <c r="N20" s="37">
        <v>1</v>
      </c>
      <c r="O20" s="37">
        <f>'Parameter Input'!$P$94</f>
        <v>0.9</v>
      </c>
      <c r="P20" s="55">
        <f>'Parameter Input'!$Q$94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Catenary</v>
      </c>
      <c r="AU20" s="80"/>
      <c r="AV20" s="80"/>
      <c r="AW20" s="80"/>
      <c r="AX20" s="80"/>
      <c r="AY20" s="80"/>
      <c r="AZ20" s="80"/>
      <c r="BA20" s="86"/>
    </row>
    <row r="21" spans="1:53" x14ac:dyDescent="0.3">
      <c r="A21" s="24" t="s">
        <v>206</v>
      </c>
      <c r="B21" s="115">
        <f>'Parameter Input'!$L$97</f>
        <v>5.9200079256965958E-2</v>
      </c>
      <c r="C21" s="116">
        <f>'Parameter Input'!$M$97</f>
        <v>0</v>
      </c>
      <c r="D21" s="1" t="s">
        <v>76</v>
      </c>
      <c r="L21" s="54">
        <f>'Parameter Input'!$O$97</f>
        <v>17</v>
      </c>
      <c r="M21" s="37">
        <v>0</v>
      </c>
      <c r="N21" s="37">
        <v>1</v>
      </c>
      <c r="O21" s="37">
        <f>'Parameter Input'!$P$97</f>
        <v>0.9</v>
      </c>
      <c r="P21" s="55">
        <f>'Parameter Input'!$Q$97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</row>
    <row r="22" spans="1:53" x14ac:dyDescent="0.3">
      <c r="A22" s="24" t="s">
        <v>41</v>
      </c>
      <c r="B22" s="43">
        <f>'Parameter Input'!$L$91</f>
        <v>20</v>
      </c>
      <c r="C22" s="44">
        <f>'Parameter Input'!$M$91</f>
        <v>20</v>
      </c>
      <c r="D22" s="1" t="s">
        <v>42</v>
      </c>
      <c r="L22" s="54">
        <f>'Parameter Input'!$O$91</f>
        <v>12</v>
      </c>
      <c r="M22" s="37">
        <v>0</v>
      </c>
      <c r="N22" s="37">
        <v>1</v>
      </c>
      <c r="O22" s="37">
        <f>'Parameter Input'!$P$91</f>
        <v>0.9</v>
      </c>
      <c r="P22" s="55">
        <f>'Parameter Input'!$Q$91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3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3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3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3">
      <c r="A26" s="24" t="s">
        <v>73</v>
      </c>
      <c r="B26" s="72">
        <f>'Parameter Input'!$L$95</f>
        <v>0</v>
      </c>
      <c r="C26" s="73">
        <f>'Parameter Input'!$M$95</f>
        <v>0</v>
      </c>
      <c r="D26" s="1" t="s">
        <v>57</v>
      </c>
      <c r="L26" s="54">
        <f>'Parameter Input'!$O$95</f>
        <v>12</v>
      </c>
      <c r="M26" s="37">
        <v>0</v>
      </c>
      <c r="N26" s="37">
        <v>1</v>
      </c>
      <c r="O26" s="37">
        <f>'Parameter Input'!$P$95</f>
        <v>0.9</v>
      </c>
      <c r="P26" s="55">
        <f>'Parameter Input'!$Q$95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0</v>
      </c>
      <c r="AV26" s="81">
        <f t="shared" si="9"/>
        <v>0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" thickBot="1" x14ac:dyDescent="0.35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" thickBot="1" x14ac:dyDescent="0.35">
      <c r="A28" s="25"/>
      <c r="B28" s="40"/>
    </row>
    <row r="29" spans="1:53" ht="15" thickBot="1" x14ac:dyDescent="0.35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Catenary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3">
      <c r="A31" s="29" t="str">
        <f t="shared" ref="A31:A40" si="11">A11</f>
        <v>Capex vehicle</v>
      </c>
      <c r="B31" s="62">
        <f t="shared" ref="B31:B39" si="12">$B11+($C11-$B11)*(1-Q11)</f>
        <v>5000000</v>
      </c>
      <c r="C31" s="62">
        <f t="shared" ref="C31:C39" si="13">$B11+($C11-$B11)*(1-R11)</f>
        <v>5000000</v>
      </c>
      <c r="D31" s="62">
        <f t="shared" ref="D31:D39" si="14">$B11+($C11-$B11)*(1-S11)</f>
        <v>5000000</v>
      </c>
      <c r="E31" s="62">
        <f t="shared" ref="E31:E39" si="15">$B11+($C11-$B11)*(1-T11)</f>
        <v>5000000</v>
      </c>
      <c r="F31" s="62">
        <f t="shared" ref="F31:F39" si="16">$B11+($C11-$B11)*(1-U11)</f>
        <v>5000000</v>
      </c>
      <c r="G31" s="62">
        <f t="shared" ref="G31:G39" si="17">$B11+($C11-$B11)*(1-V11)</f>
        <v>5000000</v>
      </c>
      <c r="H31" s="62">
        <f t="shared" ref="H31:H39" si="18">$B11+($C11-$B11)*(1-W11)</f>
        <v>5000000</v>
      </c>
      <c r="I31" s="62">
        <f t="shared" ref="I31:I39" si="19">$B11+($C11-$B11)*(1-X11)</f>
        <v>5000000</v>
      </c>
      <c r="J31" s="62">
        <f t="shared" ref="J31:J39" si="20">$B11+($C11-$B11)*(1-Y11)</f>
        <v>5000000</v>
      </c>
      <c r="K31" s="62">
        <f t="shared" ref="K31:K39" si="21">$B11+($C11-$B11)*(1-Z11)</f>
        <v>5000000</v>
      </c>
      <c r="L31" s="62">
        <f t="shared" ref="L31:L39" si="22">$B11+($C11-$B11)*(1-AA11)</f>
        <v>5000000</v>
      </c>
      <c r="M31" s="62">
        <f t="shared" ref="M31:M39" si="23">$B11+($C11-$B11)*(1-AB11)</f>
        <v>5000000</v>
      </c>
      <c r="N31" s="62">
        <f t="shared" ref="N31:N39" si="24">$B11+($C11-$B11)*(1-AC11)</f>
        <v>5000000</v>
      </c>
      <c r="O31" s="62">
        <f t="shared" ref="O31:O39" si="25">$B11+($C11-$B11)*(1-AD11)</f>
        <v>5000000</v>
      </c>
      <c r="P31" s="62">
        <f t="shared" ref="P31:P39" si="26">$B11+($C11-$B11)*(1-AE11)</f>
        <v>5000000</v>
      </c>
      <c r="Q31" s="62">
        <f t="shared" ref="Q31:Q39" si="27">$B11+($C11-$B11)*(1-AF11)</f>
        <v>5000000</v>
      </c>
      <c r="R31" s="62">
        <f t="shared" ref="R31:R39" si="28">$B11+($C11-$B11)*(1-AG11)</f>
        <v>5000000</v>
      </c>
      <c r="S31" s="62">
        <f t="shared" ref="S31:S39" si="29">$B11+($C11-$B11)*(1-AH11)</f>
        <v>5000000</v>
      </c>
      <c r="T31" s="62">
        <f t="shared" ref="T31:T39" si="30">$B11+($C11-$B11)*(1-AI11)</f>
        <v>5000000</v>
      </c>
      <c r="U31" s="62">
        <f t="shared" ref="U31:U39" si="31">$B11+($C11-$B11)*(1-AJ11)</f>
        <v>5000000</v>
      </c>
      <c r="V31" s="62">
        <f t="shared" ref="V31:V39" si="32">$B11+($C11-$B11)*(1-AK11)</f>
        <v>5000000</v>
      </c>
      <c r="W31" s="62">
        <f t="shared" ref="W31:W39" si="33">$B11+($C11-$B11)*(1-AL11)</f>
        <v>5000000</v>
      </c>
      <c r="X31" s="62">
        <f t="shared" ref="X31:X39" si="34">$B11+($C11-$B11)*(1-AM11)</f>
        <v>5000000</v>
      </c>
      <c r="Y31" s="62">
        <f t="shared" ref="Y31:Y39" si="35">$B11+($C11-$B11)*(1-AN11)</f>
        <v>5000000</v>
      </c>
      <c r="Z31" s="62">
        <f t="shared" ref="Z31:Z39" si="36">$B11+($C11-$B11)*(1-AO11)</f>
        <v>5000000</v>
      </c>
      <c r="AA31" s="62">
        <f t="shared" ref="AA31:AA39" si="37">$B11+($C11-$B11)*(1-AP11)</f>
        <v>5000000</v>
      </c>
      <c r="AB31" s="62">
        <f t="shared" ref="AB31:AB39" si="38">$B11+($C11-$B11)*(1-AQ11)</f>
        <v>5000000</v>
      </c>
      <c r="AC31" s="62">
        <f t="shared" ref="AC31:AC39" si="39">$B11+($C11-$B11)*(1-AR11)</f>
        <v>5000000</v>
      </c>
      <c r="AT31" s="85" t="str">
        <f>A17</f>
        <v>Opex maintenance &amp; repair</v>
      </c>
      <c r="AU31" s="81">
        <f>B17</f>
        <v>650000</v>
      </c>
      <c r="AV31" s="81">
        <f>C17</f>
        <v>650000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3">
      <c r="A32" s="30" t="str">
        <f t="shared" si="11"/>
        <v>Residual value (vehicle)</v>
      </c>
      <c r="B32" s="62">
        <f t="shared" si="12"/>
        <v>-750000</v>
      </c>
      <c r="C32" s="62">
        <f t="shared" si="13"/>
        <v>-750000</v>
      </c>
      <c r="D32" s="62">
        <f t="shared" si="14"/>
        <v>-750000</v>
      </c>
      <c r="E32" s="62">
        <f t="shared" si="15"/>
        <v>-750000</v>
      </c>
      <c r="F32" s="62">
        <f t="shared" si="16"/>
        <v>-750000</v>
      </c>
      <c r="G32" s="62">
        <f t="shared" si="17"/>
        <v>-750000</v>
      </c>
      <c r="H32" s="62">
        <f t="shared" si="18"/>
        <v>-750000</v>
      </c>
      <c r="I32" s="62">
        <f t="shared" si="19"/>
        <v>-750000</v>
      </c>
      <c r="J32" s="62">
        <f t="shared" si="20"/>
        <v>-750000</v>
      </c>
      <c r="K32" s="62">
        <f t="shared" si="21"/>
        <v>-750000</v>
      </c>
      <c r="L32" s="62">
        <f t="shared" si="22"/>
        <v>-750000</v>
      </c>
      <c r="M32" s="62">
        <f t="shared" si="23"/>
        <v>-750000</v>
      </c>
      <c r="N32" s="62">
        <f t="shared" si="24"/>
        <v>-750000</v>
      </c>
      <c r="O32" s="62">
        <f t="shared" si="25"/>
        <v>-750000</v>
      </c>
      <c r="P32" s="62">
        <f t="shared" si="26"/>
        <v>-750000</v>
      </c>
      <c r="Q32" s="62">
        <f t="shared" si="27"/>
        <v>-750000</v>
      </c>
      <c r="R32" s="62">
        <f t="shared" si="28"/>
        <v>-750000</v>
      </c>
      <c r="S32" s="62">
        <f t="shared" si="29"/>
        <v>-750000</v>
      </c>
      <c r="T32" s="62">
        <f t="shared" si="30"/>
        <v>-750000</v>
      </c>
      <c r="U32" s="62">
        <f t="shared" si="31"/>
        <v>-750000</v>
      </c>
      <c r="V32" s="62">
        <f t="shared" si="32"/>
        <v>-750000</v>
      </c>
      <c r="W32" s="62">
        <f t="shared" si="33"/>
        <v>-750000</v>
      </c>
      <c r="X32" s="62">
        <f t="shared" si="34"/>
        <v>-750000</v>
      </c>
      <c r="Y32" s="62">
        <f t="shared" si="35"/>
        <v>-750000</v>
      </c>
      <c r="Z32" s="62">
        <f t="shared" si="36"/>
        <v>-750000</v>
      </c>
      <c r="AA32" s="62">
        <f t="shared" si="37"/>
        <v>-750000</v>
      </c>
      <c r="AB32" s="62">
        <f t="shared" si="38"/>
        <v>-750000</v>
      </c>
      <c r="AC32" s="62">
        <f t="shared" si="39"/>
        <v>-750000</v>
      </c>
      <c r="AT32" s="85" t="str">
        <f t="shared" ref="AT32:AW33" si="40">A19</f>
        <v>Fuel Economy</v>
      </c>
      <c r="AU32" s="81">
        <f t="shared" si="40"/>
        <v>25.563670588235297</v>
      </c>
      <c r="AV32" s="81">
        <f t="shared" si="40"/>
        <v>25.563670588235297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3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9.2586511082899101E-2</v>
      </c>
      <c r="AV33" s="81">
        <f t="shared" si="40"/>
        <v>7.3304790352502799E-2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3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3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3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3">
      <c r="A37" s="30" t="str">
        <f t="shared" si="11"/>
        <v>Opex maintenance &amp; repair</v>
      </c>
      <c r="B37" s="62">
        <f t="shared" si="12"/>
        <v>650000</v>
      </c>
      <c r="C37" s="62">
        <f t="shared" si="13"/>
        <v>650000</v>
      </c>
      <c r="D37" s="62">
        <f t="shared" si="14"/>
        <v>650000</v>
      </c>
      <c r="E37" s="62">
        <f t="shared" si="15"/>
        <v>650000</v>
      </c>
      <c r="F37" s="62">
        <f t="shared" si="16"/>
        <v>650000</v>
      </c>
      <c r="G37" s="62">
        <f t="shared" si="17"/>
        <v>650000</v>
      </c>
      <c r="H37" s="62">
        <f t="shared" si="18"/>
        <v>650000</v>
      </c>
      <c r="I37" s="62">
        <f t="shared" si="19"/>
        <v>650000</v>
      </c>
      <c r="J37" s="62">
        <f t="shared" si="20"/>
        <v>650000</v>
      </c>
      <c r="K37" s="62">
        <f t="shared" si="21"/>
        <v>650000</v>
      </c>
      <c r="L37" s="62">
        <f t="shared" si="22"/>
        <v>650000</v>
      </c>
      <c r="M37" s="62">
        <f t="shared" si="23"/>
        <v>650000</v>
      </c>
      <c r="N37" s="62">
        <f t="shared" si="24"/>
        <v>650000</v>
      </c>
      <c r="O37" s="62">
        <f t="shared" si="25"/>
        <v>650000</v>
      </c>
      <c r="P37" s="62">
        <f t="shared" si="26"/>
        <v>650000</v>
      </c>
      <c r="Q37" s="62">
        <f t="shared" si="27"/>
        <v>650000</v>
      </c>
      <c r="R37" s="62">
        <f t="shared" si="28"/>
        <v>650000</v>
      </c>
      <c r="S37" s="62">
        <f t="shared" si="29"/>
        <v>650000</v>
      </c>
      <c r="T37" s="62">
        <f t="shared" si="30"/>
        <v>650000</v>
      </c>
      <c r="U37" s="62">
        <f t="shared" si="31"/>
        <v>650000</v>
      </c>
      <c r="V37" s="62">
        <f t="shared" si="32"/>
        <v>650000</v>
      </c>
      <c r="W37" s="62">
        <f t="shared" si="33"/>
        <v>650000</v>
      </c>
      <c r="X37" s="62">
        <f t="shared" si="34"/>
        <v>650000</v>
      </c>
      <c r="Y37" s="62">
        <f t="shared" si="35"/>
        <v>650000</v>
      </c>
      <c r="Z37" s="62">
        <f t="shared" si="36"/>
        <v>650000</v>
      </c>
      <c r="AA37" s="62">
        <f t="shared" si="37"/>
        <v>650000</v>
      </c>
      <c r="AB37" s="62">
        <f t="shared" si="38"/>
        <v>650000</v>
      </c>
      <c r="AC37" s="62">
        <f t="shared" si="39"/>
        <v>650000</v>
      </c>
    </row>
    <row r="38" spans="1:53" x14ac:dyDescent="0.3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3">
      <c r="A39" s="30" t="str">
        <f t="shared" si="11"/>
        <v>Fuel Economy</v>
      </c>
      <c r="B39" s="62">
        <f t="shared" si="12"/>
        <v>25.563670588235297</v>
      </c>
      <c r="C39" s="62">
        <f t="shared" si="13"/>
        <v>25.563670588235297</v>
      </c>
      <c r="D39" s="62">
        <f t="shared" si="14"/>
        <v>25.563670588235297</v>
      </c>
      <c r="E39" s="62">
        <f t="shared" si="15"/>
        <v>25.563670588235297</v>
      </c>
      <c r="F39" s="62">
        <f t="shared" si="16"/>
        <v>25.563670588235297</v>
      </c>
      <c r="G39" s="62">
        <f t="shared" si="17"/>
        <v>25.563670588235297</v>
      </c>
      <c r="H39" s="62">
        <f t="shared" si="18"/>
        <v>25.563670588235297</v>
      </c>
      <c r="I39" s="62">
        <f t="shared" si="19"/>
        <v>25.563670588235297</v>
      </c>
      <c r="J39" s="62">
        <f t="shared" si="20"/>
        <v>25.563670588235297</v>
      </c>
      <c r="K39" s="62">
        <f t="shared" si="21"/>
        <v>25.563670588235297</v>
      </c>
      <c r="L39" s="62">
        <f t="shared" si="22"/>
        <v>25.563670588235297</v>
      </c>
      <c r="M39" s="62">
        <f t="shared" si="23"/>
        <v>25.563670588235297</v>
      </c>
      <c r="N39" s="62">
        <f t="shared" si="24"/>
        <v>25.563670588235297</v>
      </c>
      <c r="O39" s="62">
        <f t="shared" si="25"/>
        <v>25.563670588235297</v>
      </c>
      <c r="P39" s="62">
        <f t="shared" si="26"/>
        <v>25.563670588235297</v>
      </c>
      <c r="Q39" s="62">
        <f t="shared" si="27"/>
        <v>25.563670588235297</v>
      </c>
      <c r="R39" s="62">
        <f t="shared" si="28"/>
        <v>25.563670588235297</v>
      </c>
      <c r="S39" s="62">
        <f t="shared" si="29"/>
        <v>25.563670588235297</v>
      </c>
      <c r="T39" s="62">
        <f t="shared" si="30"/>
        <v>25.563670588235297</v>
      </c>
      <c r="U39" s="62">
        <f t="shared" si="31"/>
        <v>25.563670588235297</v>
      </c>
      <c r="V39" s="62">
        <f t="shared" si="32"/>
        <v>25.563670588235297</v>
      </c>
      <c r="W39" s="62">
        <f t="shared" si="33"/>
        <v>25.563670588235297</v>
      </c>
      <c r="X39" s="62">
        <f t="shared" si="34"/>
        <v>25.563670588235297</v>
      </c>
      <c r="Y39" s="62">
        <f t="shared" si="35"/>
        <v>25.563670588235297</v>
      </c>
      <c r="Z39" s="62">
        <f t="shared" si="36"/>
        <v>25.563670588235297</v>
      </c>
      <c r="AA39" s="62">
        <f t="shared" si="37"/>
        <v>25.563670588235297</v>
      </c>
      <c r="AB39" s="62">
        <f t="shared" si="38"/>
        <v>25.563670588235297</v>
      </c>
      <c r="AC39" s="62">
        <f t="shared" si="39"/>
        <v>25.563670588235297</v>
      </c>
    </row>
    <row r="40" spans="1:53" x14ac:dyDescent="0.3">
      <c r="A40" s="30" t="str">
        <f t="shared" si="11"/>
        <v>Fuel Cost</v>
      </c>
      <c r="B40" s="62">
        <f>$B20+($C20-$B20)*(1-Q20)</f>
        <v>9.2331951136741086E-2</v>
      </c>
      <c r="C40" s="62">
        <f>$B20+($C20-$B20)*(1-R20)</f>
        <v>9.2222956120974545E-2</v>
      </c>
      <c r="D40" s="62">
        <f>$B20+($C20-$B20)*(1-S20)</f>
        <v>9.2068198823216471E-2</v>
      </c>
      <c r="E40" s="62">
        <f t="shared" ref="E40:AC40" si="41">$B20+($C20-$B20)*(1-T20)</f>
        <v>9.1849464254062249E-2</v>
      </c>
      <c r="F40" s="62">
        <f t="shared" si="41"/>
        <v>9.1542364865268247E-2</v>
      </c>
      <c r="G40" s="62">
        <f t="shared" si="41"/>
        <v>9.1115385234314353E-2</v>
      </c>
      <c r="H40" s="62">
        <f t="shared" si="41"/>
        <v>9.0530012133616333E-2</v>
      </c>
      <c r="I40" s="62">
        <f t="shared" si="41"/>
        <v>8.9743333412323725E-2</v>
      </c>
      <c r="J40" s="62">
        <f t="shared" si="41"/>
        <v>8.8714992348442129E-2</v>
      </c>
      <c r="K40" s="62">
        <f t="shared" si="41"/>
        <v>8.7419970590682711E-2</v>
      </c>
      <c r="L40" s="62">
        <f t="shared" si="41"/>
        <v>8.5865981654976761E-2</v>
      </c>
      <c r="M40" s="62">
        <f t="shared" si="41"/>
        <v>8.4108771907851612E-2</v>
      </c>
      <c r="N40" s="62">
        <f t="shared" si="41"/>
        <v>8.2253692787461766E-2</v>
      </c>
      <c r="O40" s="62">
        <f t="shared" si="41"/>
        <v>8.0435118154333018E-2</v>
      </c>
      <c r="P40" s="62">
        <f t="shared" si="41"/>
        <v>7.8779632233065888E-2</v>
      </c>
      <c r="Q40" s="62">
        <f t="shared" si="41"/>
        <v>7.7372704945717463E-2</v>
      </c>
      <c r="R40" s="62">
        <f t="shared" si="41"/>
        <v>7.6246008154952791E-2</v>
      </c>
      <c r="S40" s="62">
        <f t="shared" si="41"/>
        <v>7.5386288497227227E-2</v>
      </c>
      <c r="T40" s="62">
        <f t="shared" si="41"/>
        <v>7.4754325599182742E-2</v>
      </c>
      <c r="U40" s="62">
        <f t="shared" si="41"/>
        <v>7.4302481269476042E-2</v>
      </c>
      <c r="V40" s="62">
        <f t="shared" si="41"/>
        <v>7.3985805122564349E-2</v>
      </c>
      <c r="W40" s="62">
        <f t="shared" si="41"/>
        <v>7.3766962440611206E-2</v>
      </c>
      <c r="X40" s="62">
        <f t="shared" si="41"/>
        <v>7.3617197488001537E-2</v>
      </c>
      <c r="Y40" s="62">
        <f t="shared" si="41"/>
        <v>7.3515389944810147E-2</v>
      </c>
      <c r="Z40" s="62">
        <f t="shared" si="41"/>
        <v>7.3446497913186276E-2</v>
      </c>
      <c r="AA40" s="62">
        <f t="shared" si="41"/>
        <v>7.3400023276728135E-2</v>
      </c>
      <c r="AB40" s="62">
        <f t="shared" si="41"/>
        <v>7.3368736782330912E-2</v>
      </c>
      <c r="AC40" s="62">
        <f t="shared" si="41"/>
        <v>7.3347704448441492E-2</v>
      </c>
    </row>
    <row r="41" spans="1:53" x14ac:dyDescent="0.3">
      <c r="A41" s="30" t="str">
        <f t="shared" ref="A41" si="42">A21</f>
        <v>Emission Cost</v>
      </c>
      <c r="B41" s="66">
        <f>$B21+($C21-$B21)*(1-Q21)</f>
        <v>5.9070060812636778E-2</v>
      </c>
      <c r="C41" s="66">
        <f t="shared" ref="C41:AC41" si="43">$B21+($C21-$B21)*(1-R21)</f>
        <v>5.9013811722223086E-2</v>
      </c>
      <c r="D41" s="66">
        <f t="shared" si="43"/>
        <v>5.8933292402143352E-2</v>
      </c>
      <c r="E41" s="66">
        <f t="shared" si="43"/>
        <v>5.8818103852397587E-2</v>
      </c>
      <c r="F41" s="66">
        <f t="shared" si="43"/>
        <v>5.8653473997195435E-2</v>
      </c>
      <c r="G41" s="66">
        <f t="shared" si="43"/>
        <v>5.8418511615834896E-2</v>
      </c>
      <c r="H41" s="66">
        <f t="shared" si="43"/>
        <v>5.8083867542195688E-2</v>
      </c>
      <c r="I41" s="66">
        <f t="shared" si="43"/>
        <v>5.760872092945437E-2</v>
      </c>
      <c r="J41" s="66">
        <f t="shared" si="43"/>
        <v>5.6937146851018805E-2</v>
      </c>
      <c r="K41" s="66">
        <f t="shared" si="43"/>
        <v>5.5994268961095287E-2</v>
      </c>
      <c r="L41" s="66">
        <f t="shared" si="43"/>
        <v>5.4683326418828664E-2</v>
      </c>
      <c r="M41" s="66">
        <f t="shared" si="43"/>
        <v>5.288607323583918E-2</v>
      </c>
      <c r="N41" s="66">
        <f t="shared" si="43"/>
        <v>5.0470757543766405E-2</v>
      </c>
      <c r="O41" s="66">
        <f t="shared" si="43"/>
        <v>4.7313473329551395E-2</v>
      </c>
      <c r="P41" s="66">
        <f t="shared" si="43"/>
        <v>4.3337407512043943E-2</v>
      </c>
      <c r="Q41" s="66">
        <f t="shared" si="43"/>
        <v>3.8566242664022157E-2</v>
      </c>
      <c r="R41" s="66">
        <f t="shared" si="43"/>
        <v>3.3171135154922579E-2</v>
      </c>
      <c r="S41" s="66">
        <f t="shared" si="43"/>
        <v>2.7475542293135265E-2</v>
      </c>
      <c r="T41" s="66">
        <f t="shared" si="43"/>
        <v>2.1892028045560286E-2</v>
      </c>
      <c r="U41" s="66">
        <f t="shared" si="43"/>
        <v>1.680924009742308E-2</v>
      </c>
      <c r="V41" s="66">
        <f t="shared" si="43"/>
        <v>1.2489594144429211E-2</v>
      </c>
      <c r="W41" s="66">
        <f t="shared" si="43"/>
        <v>9.0303313408408581E-3</v>
      </c>
      <c r="X41" s="66">
        <f t="shared" si="43"/>
        <v>6.3907602886633802E-3</v>
      </c>
      <c r="Y41" s="66">
        <f t="shared" si="43"/>
        <v>4.4504638714085373E-3</v>
      </c>
      <c r="Z41" s="66">
        <f t="shared" si="43"/>
        <v>3.0631800026883343E-3</v>
      </c>
      <c r="AA41" s="66">
        <f t="shared" si="43"/>
        <v>2.0908988843123671E-3</v>
      </c>
      <c r="AB41" s="66">
        <f t="shared" si="43"/>
        <v>1.4189928704466184E-3</v>
      </c>
      <c r="AC41" s="66">
        <f t="shared" si="43"/>
        <v>9.5917410279734022E-4</v>
      </c>
    </row>
    <row r="42" spans="1:53" x14ac:dyDescent="0.3">
      <c r="A42" s="30" t="str">
        <f>A22</f>
        <v>Lifetime vehicle</v>
      </c>
      <c r="B42" s="62">
        <f>$B22+($C22-$B22)*(1-Q22)</f>
        <v>20</v>
      </c>
      <c r="C42" s="62">
        <f t="shared" ref="C42:L44" si="44">$B22+($C22-$B22)*(1-R22)</f>
        <v>20</v>
      </c>
      <c r="D42" s="62">
        <f t="shared" si="44"/>
        <v>20</v>
      </c>
      <c r="E42" s="62">
        <f t="shared" si="44"/>
        <v>20</v>
      </c>
      <c r="F42" s="62">
        <f t="shared" si="44"/>
        <v>20</v>
      </c>
      <c r="G42" s="62">
        <f t="shared" si="44"/>
        <v>20</v>
      </c>
      <c r="H42" s="62">
        <f t="shared" si="44"/>
        <v>20</v>
      </c>
      <c r="I42" s="62">
        <f t="shared" si="44"/>
        <v>20</v>
      </c>
      <c r="J42" s="62">
        <f t="shared" si="44"/>
        <v>20</v>
      </c>
      <c r="K42" s="62">
        <f t="shared" si="44"/>
        <v>20</v>
      </c>
      <c r="L42" s="62">
        <f t="shared" si="44"/>
        <v>20</v>
      </c>
      <c r="M42" s="62">
        <f t="shared" ref="M42:V44" si="45">$B22+($C22-$B22)*(1-AB22)</f>
        <v>20</v>
      </c>
      <c r="N42" s="62">
        <f t="shared" si="45"/>
        <v>20</v>
      </c>
      <c r="O42" s="62">
        <f t="shared" si="45"/>
        <v>20</v>
      </c>
      <c r="P42" s="62">
        <f t="shared" si="45"/>
        <v>20</v>
      </c>
      <c r="Q42" s="62">
        <f t="shared" si="45"/>
        <v>20</v>
      </c>
      <c r="R42" s="62">
        <f t="shared" si="45"/>
        <v>20</v>
      </c>
      <c r="S42" s="62">
        <f t="shared" si="45"/>
        <v>20</v>
      </c>
      <c r="T42" s="62">
        <f t="shared" si="45"/>
        <v>20</v>
      </c>
      <c r="U42" s="62">
        <f t="shared" si="45"/>
        <v>20</v>
      </c>
      <c r="V42" s="62">
        <f t="shared" si="45"/>
        <v>20</v>
      </c>
      <c r="W42" s="62">
        <f t="shared" ref="W42:AC44" si="46">$B22+($C22-$B22)*(1-AL22)</f>
        <v>20</v>
      </c>
      <c r="X42" s="62">
        <f t="shared" si="46"/>
        <v>20</v>
      </c>
      <c r="Y42" s="62">
        <f t="shared" si="46"/>
        <v>20</v>
      </c>
      <c r="Z42" s="62">
        <f t="shared" si="46"/>
        <v>20</v>
      </c>
      <c r="AA42" s="62">
        <f t="shared" si="46"/>
        <v>20</v>
      </c>
      <c r="AB42" s="62">
        <f t="shared" si="46"/>
        <v>20</v>
      </c>
      <c r="AC42" s="62">
        <f t="shared" si="46"/>
        <v>20</v>
      </c>
    </row>
    <row r="43" spans="1:53" x14ac:dyDescent="0.3">
      <c r="A43" s="30" t="str">
        <f>A23</f>
        <v>Lifetime costumization</v>
      </c>
      <c r="B43" s="62">
        <f>$B23+($C23-$B23)*(1-Q23)</f>
        <v>30</v>
      </c>
      <c r="C43" s="62">
        <f t="shared" si="44"/>
        <v>30</v>
      </c>
      <c r="D43" s="62">
        <f t="shared" si="44"/>
        <v>30</v>
      </c>
      <c r="E43" s="62">
        <f t="shared" si="44"/>
        <v>30</v>
      </c>
      <c r="F43" s="62">
        <f t="shared" si="44"/>
        <v>30</v>
      </c>
      <c r="G43" s="62">
        <f t="shared" si="44"/>
        <v>30</v>
      </c>
      <c r="H43" s="62">
        <f t="shared" si="44"/>
        <v>30</v>
      </c>
      <c r="I43" s="62">
        <f t="shared" si="44"/>
        <v>30</v>
      </c>
      <c r="J43" s="62">
        <f t="shared" si="44"/>
        <v>30</v>
      </c>
      <c r="K43" s="62">
        <f t="shared" si="44"/>
        <v>30</v>
      </c>
      <c r="L43" s="62">
        <f t="shared" si="44"/>
        <v>30</v>
      </c>
      <c r="M43" s="62">
        <f t="shared" si="45"/>
        <v>30</v>
      </c>
      <c r="N43" s="62">
        <f t="shared" si="45"/>
        <v>30</v>
      </c>
      <c r="O43" s="62">
        <f t="shared" si="45"/>
        <v>30</v>
      </c>
      <c r="P43" s="62">
        <f t="shared" si="45"/>
        <v>30</v>
      </c>
      <c r="Q43" s="62">
        <f t="shared" si="45"/>
        <v>30</v>
      </c>
      <c r="R43" s="62">
        <f t="shared" si="45"/>
        <v>30</v>
      </c>
      <c r="S43" s="62">
        <f t="shared" si="45"/>
        <v>30</v>
      </c>
      <c r="T43" s="62">
        <f t="shared" si="45"/>
        <v>30</v>
      </c>
      <c r="U43" s="62">
        <f t="shared" si="45"/>
        <v>30</v>
      </c>
      <c r="V43" s="62">
        <f t="shared" si="45"/>
        <v>30</v>
      </c>
      <c r="W43" s="62">
        <f t="shared" si="46"/>
        <v>30</v>
      </c>
      <c r="X43" s="62">
        <f t="shared" si="46"/>
        <v>30</v>
      </c>
      <c r="Y43" s="62">
        <f t="shared" si="46"/>
        <v>30</v>
      </c>
      <c r="Z43" s="62">
        <f t="shared" si="46"/>
        <v>30</v>
      </c>
      <c r="AA43" s="62">
        <f t="shared" si="46"/>
        <v>30</v>
      </c>
      <c r="AB43" s="62">
        <f t="shared" si="46"/>
        <v>30</v>
      </c>
      <c r="AC43" s="62">
        <f t="shared" si="46"/>
        <v>30</v>
      </c>
    </row>
    <row r="44" spans="1:53" x14ac:dyDescent="0.3">
      <c r="A44" s="30" t="str">
        <f>A24</f>
        <v xml:space="preserve">Tonnage </v>
      </c>
      <c r="B44" s="62">
        <f>$B24+($C24-$B24)*(1-Q24)</f>
        <v>2240</v>
      </c>
      <c r="C44" s="62">
        <f t="shared" si="44"/>
        <v>2240</v>
      </c>
      <c r="D44" s="62">
        <f t="shared" si="44"/>
        <v>2240</v>
      </c>
      <c r="E44" s="62">
        <f t="shared" si="44"/>
        <v>2240</v>
      </c>
      <c r="F44" s="62">
        <f t="shared" si="44"/>
        <v>2240</v>
      </c>
      <c r="G44" s="62">
        <f t="shared" si="44"/>
        <v>2240</v>
      </c>
      <c r="H44" s="62">
        <f t="shared" si="44"/>
        <v>2240</v>
      </c>
      <c r="I44" s="62">
        <f t="shared" si="44"/>
        <v>2240</v>
      </c>
      <c r="J44" s="62">
        <f t="shared" si="44"/>
        <v>2240</v>
      </c>
      <c r="K44" s="62">
        <f t="shared" si="44"/>
        <v>2240</v>
      </c>
      <c r="L44" s="62">
        <f t="shared" si="44"/>
        <v>2240</v>
      </c>
      <c r="M44" s="62">
        <f t="shared" si="45"/>
        <v>2240</v>
      </c>
      <c r="N44" s="62">
        <f t="shared" si="45"/>
        <v>2240</v>
      </c>
      <c r="O44" s="62">
        <f t="shared" si="45"/>
        <v>2240</v>
      </c>
      <c r="P44" s="62">
        <f t="shared" si="45"/>
        <v>2240</v>
      </c>
      <c r="Q44" s="62">
        <f t="shared" si="45"/>
        <v>2240</v>
      </c>
      <c r="R44" s="62">
        <f t="shared" si="45"/>
        <v>2240</v>
      </c>
      <c r="S44" s="62">
        <f t="shared" si="45"/>
        <v>2240</v>
      </c>
      <c r="T44" s="62">
        <f t="shared" si="45"/>
        <v>2240</v>
      </c>
      <c r="U44" s="62">
        <f t="shared" si="45"/>
        <v>2240</v>
      </c>
      <c r="V44" s="62">
        <f t="shared" si="45"/>
        <v>2240</v>
      </c>
      <c r="W44" s="62">
        <f t="shared" si="46"/>
        <v>2240</v>
      </c>
      <c r="X44" s="62">
        <f t="shared" si="46"/>
        <v>2240</v>
      </c>
      <c r="Y44" s="62">
        <f t="shared" si="46"/>
        <v>2240</v>
      </c>
      <c r="Z44" s="62">
        <f t="shared" si="46"/>
        <v>2240</v>
      </c>
      <c r="AA44" s="62">
        <f t="shared" si="46"/>
        <v>2240</v>
      </c>
      <c r="AB44" s="62">
        <f t="shared" si="46"/>
        <v>2240</v>
      </c>
      <c r="AC44" s="62">
        <f t="shared" si="46"/>
        <v>2240</v>
      </c>
    </row>
    <row r="45" spans="1:53" x14ac:dyDescent="0.3">
      <c r="A45" s="30" t="str">
        <f>A25</f>
        <v>Market failure (av. utilization)</v>
      </c>
      <c r="B45" s="62">
        <f t="shared" ref="B45:K46" si="47">($B25+($C25-$B25)*(1-Q25))*B$44</f>
        <v>1075.2</v>
      </c>
      <c r="C45" s="62">
        <f t="shared" si="47"/>
        <v>1075.2</v>
      </c>
      <c r="D45" s="62">
        <f t="shared" si="47"/>
        <v>1075.2</v>
      </c>
      <c r="E45" s="62">
        <f t="shared" si="47"/>
        <v>1075.2</v>
      </c>
      <c r="F45" s="62">
        <f t="shared" si="47"/>
        <v>1075.2</v>
      </c>
      <c r="G45" s="62">
        <f t="shared" si="47"/>
        <v>1075.2</v>
      </c>
      <c r="H45" s="62">
        <f t="shared" si="47"/>
        <v>1075.2</v>
      </c>
      <c r="I45" s="62">
        <f t="shared" si="47"/>
        <v>1075.2</v>
      </c>
      <c r="J45" s="62">
        <f t="shared" si="47"/>
        <v>1075.2</v>
      </c>
      <c r="K45" s="62">
        <f t="shared" si="47"/>
        <v>1075.2</v>
      </c>
      <c r="L45" s="62">
        <f t="shared" ref="L45:U46" si="48">($B25+($C25-$B25)*(1-AA25))*L$44</f>
        <v>1075.2</v>
      </c>
      <c r="M45" s="62">
        <f t="shared" si="48"/>
        <v>1075.2</v>
      </c>
      <c r="N45" s="62">
        <f t="shared" si="48"/>
        <v>1075.2</v>
      </c>
      <c r="O45" s="62">
        <f t="shared" si="48"/>
        <v>1075.2</v>
      </c>
      <c r="P45" s="62">
        <f t="shared" si="48"/>
        <v>1075.2</v>
      </c>
      <c r="Q45" s="62">
        <f t="shared" si="48"/>
        <v>1075.2</v>
      </c>
      <c r="R45" s="62">
        <f t="shared" si="48"/>
        <v>1075.2</v>
      </c>
      <c r="S45" s="62">
        <f t="shared" si="48"/>
        <v>1075.2</v>
      </c>
      <c r="T45" s="62">
        <f t="shared" si="48"/>
        <v>1075.2</v>
      </c>
      <c r="U45" s="62">
        <f t="shared" si="48"/>
        <v>1075.2</v>
      </c>
      <c r="V45" s="62">
        <f t="shared" ref="V45:AC46" si="49">($B25+($C25-$B25)*(1-AK25))*V$44</f>
        <v>1075.2</v>
      </c>
      <c r="W45" s="62">
        <f t="shared" si="49"/>
        <v>1075.2</v>
      </c>
      <c r="X45" s="62">
        <f t="shared" si="49"/>
        <v>1075.2</v>
      </c>
      <c r="Y45" s="62">
        <f t="shared" si="49"/>
        <v>1075.2</v>
      </c>
      <c r="Z45" s="62">
        <f t="shared" si="49"/>
        <v>1075.2</v>
      </c>
      <c r="AA45" s="62">
        <f t="shared" si="49"/>
        <v>1075.2</v>
      </c>
      <c r="AB45" s="62">
        <f t="shared" si="49"/>
        <v>1075.2</v>
      </c>
      <c r="AC45" s="62">
        <f t="shared" si="49"/>
        <v>1075.2</v>
      </c>
    </row>
    <row r="46" spans="1:53" x14ac:dyDescent="0.3">
      <c r="A46" s="30" t="s">
        <v>73</v>
      </c>
      <c r="B46" s="62">
        <f t="shared" si="47"/>
        <v>0</v>
      </c>
      <c r="C46" s="62">
        <f t="shared" si="47"/>
        <v>0</v>
      </c>
      <c r="D46" s="62">
        <f t="shared" si="47"/>
        <v>0</v>
      </c>
      <c r="E46" s="62">
        <f t="shared" si="47"/>
        <v>0</v>
      </c>
      <c r="F46" s="62">
        <f t="shared" si="47"/>
        <v>0</v>
      </c>
      <c r="G46" s="62">
        <f t="shared" si="47"/>
        <v>0</v>
      </c>
      <c r="H46" s="62">
        <f t="shared" si="47"/>
        <v>0</v>
      </c>
      <c r="I46" s="62">
        <f t="shared" si="47"/>
        <v>0</v>
      </c>
      <c r="J46" s="62">
        <f t="shared" si="47"/>
        <v>0</v>
      </c>
      <c r="K46" s="62">
        <f t="shared" si="47"/>
        <v>0</v>
      </c>
      <c r="L46" s="62">
        <f t="shared" si="48"/>
        <v>0</v>
      </c>
      <c r="M46" s="62">
        <f t="shared" si="48"/>
        <v>0</v>
      </c>
      <c r="N46" s="62">
        <f t="shared" si="48"/>
        <v>0</v>
      </c>
      <c r="O46" s="62">
        <f t="shared" si="48"/>
        <v>0</v>
      </c>
      <c r="P46" s="62">
        <f t="shared" si="48"/>
        <v>0</v>
      </c>
      <c r="Q46" s="62">
        <f t="shared" si="48"/>
        <v>0</v>
      </c>
      <c r="R46" s="62">
        <f t="shared" si="48"/>
        <v>0</v>
      </c>
      <c r="S46" s="62">
        <f t="shared" si="48"/>
        <v>0</v>
      </c>
      <c r="T46" s="62">
        <f t="shared" si="48"/>
        <v>0</v>
      </c>
      <c r="U46" s="62">
        <f t="shared" si="48"/>
        <v>0</v>
      </c>
      <c r="V46" s="62">
        <f t="shared" si="49"/>
        <v>0</v>
      </c>
      <c r="W46" s="62">
        <f t="shared" si="49"/>
        <v>0</v>
      </c>
      <c r="X46" s="62">
        <f t="shared" si="49"/>
        <v>0</v>
      </c>
      <c r="Y46" s="62">
        <f t="shared" si="49"/>
        <v>0</v>
      </c>
      <c r="Z46" s="62">
        <f t="shared" si="49"/>
        <v>0</v>
      </c>
      <c r="AA46" s="62">
        <f t="shared" si="49"/>
        <v>0</v>
      </c>
      <c r="AB46" s="62">
        <f t="shared" si="49"/>
        <v>0</v>
      </c>
      <c r="AC46" s="62">
        <f t="shared" si="49"/>
        <v>0</v>
      </c>
    </row>
    <row r="47" spans="1:53" x14ac:dyDescent="0.3">
      <c r="A47" s="30" t="str">
        <f>A27</f>
        <v>Annual Mileage</v>
      </c>
      <c r="B47" s="62">
        <f t="shared" ref="B47:AC47" si="50">$B27+($C27-$B27)*(1-Q27)</f>
        <v>178500</v>
      </c>
      <c r="C47" s="62">
        <f t="shared" si="50"/>
        <v>178500</v>
      </c>
      <c r="D47" s="62">
        <f t="shared" si="50"/>
        <v>178500</v>
      </c>
      <c r="E47" s="62">
        <f t="shared" si="50"/>
        <v>178500</v>
      </c>
      <c r="F47" s="62">
        <f t="shared" si="50"/>
        <v>178500</v>
      </c>
      <c r="G47" s="62">
        <f t="shared" si="50"/>
        <v>178500</v>
      </c>
      <c r="H47" s="62">
        <f t="shared" si="50"/>
        <v>178500</v>
      </c>
      <c r="I47" s="62">
        <f t="shared" si="50"/>
        <v>178500</v>
      </c>
      <c r="J47" s="62">
        <f t="shared" si="50"/>
        <v>178500</v>
      </c>
      <c r="K47" s="62">
        <f t="shared" si="50"/>
        <v>178500</v>
      </c>
      <c r="L47" s="62">
        <f t="shared" si="50"/>
        <v>178500</v>
      </c>
      <c r="M47" s="62">
        <f t="shared" si="50"/>
        <v>178500</v>
      </c>
      <c r="N47" s="62">
        <f t="shared" si="50"/>
        <v>178500</v>
      </c>
      <c r="O47" s="62">
        <f t="shared" si="50"/>
        <v>178500</v>
      </c>
      <c r="P47" s="62">
        <f t="shared" si="50"/>
        <v>178500</v>
      </c>
      <c r="Q47" s="62">
        <f t="shared" si="50"/>
        <v>178500</v>
      </c>
      <c r="R47" s="62">
        <f t="shared" si="50"/>
        <v>178500</v>
      </c>
      <c r="S47" s="62">
        <f t="shared" si="50"/>
        <v>178500</v>
      </c>
      <c r="T47" s="62">
        <f t="shared" si="50"/>
        <v>178500</v>
      </c>
      <c r="U47" s="62">
        <f t="shared" si="50"/>
        <v>178500</v>
      </c>
      <c r="V47" s="62">
        <f t="shared" si="50"/>
        <v>178500</v>
      </c>
      <c r="W47" s="62">
        <f t="shared" si="50"/>
        <v>178500</v>
      </c>
      <c r="X47" s="62">
        <f t="shared" si="50"/>
        <v>178500</v>
      </c>
      <c r="Y47" s="62">
        <f t="shared" si="50"/>
        <v>178500</v>
      </c>
      <c r="Z47" s="62">
        <f t="shared" si="50"/>
        <v>178500</v>
      </c>
      <c r="AA47" s="62">
        <f t="shared" si="50"/>
        <v>178500</v>
      </c>
      <c r="AB47" s="62">
        <f t="shared" si="50"/>
        <v>178500</v>
      </c>
      <c r="AC47" s="62">
        <f t="shared" si="50"/>
        <v>178500</v>
      </c>
    </row>
    <row r="48" spans="1:53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435922.78488425701</v>
      </c>
      <c r="C50" s="63">
        <f t="shared" ref="C50:AC50" si="51">((1+C35)^C42)*C35/(((1+C35)^C42)-1)*(C31)</f>
        <v>435922.78488425701</v>
      </c>
      <c r="D50" s="63">
        <f t="shared" si="51"/>
        <v>435922.78488425701</v>
      </c>
      <c r="E50" s="63">
        <f t="shared" si="51"/>
        <v>435922.78488425701</v>
      </c>
      <c r="F50" s="63">
        <f t="shared" si="51"/>
        <v>435922.78488425701</v>
      </c>
      <c r="G50" s="63">
        <f t="shared" si="51"/>
        <v>435922.78488425701</v>
      </c>
      <c r="H50" s="63">
        <f t="shared" si="51"/>
        <v>435922.78488425701</v>
      </c>
      <c r="I50" s="63">
        <f t="shared" si="51"/>
        <v>435922.78488425701</v>
      </c>
      <c r="J50" s="63">
        <f t="shared" si="51"/>
        <v>435922.78488425701</v>
      </c>
      <c r="K50" s="63">
        <f t="shared" si="51"/>
        <v>435922.78488425701</v>
      </c>
      <c r="L50" s="63">
        <f t="shared" si="51"/>
        <v>435922.78488425701</v>
      </c>
      <c r="M50" s="63">
        <f t="shared" si="51"/>
        <v>435922.78488425701</v>
      </c>
      <c r="N50" s="63">
        <f t="shared" si="51"/>
        <v>435922.78488425701</v>
      </c>
      <c r="O50" s="63">
        <f t="shared" si="51"/>
        <v>435922.78488425701</v>
      </c>
      <c r="P50" s="63">
        <f t="shared" si="51"/>
        <v>435922.78488425701</v>
      </c>
      <c r="Q50" s="63">
        <f t="shared" si="51"/>
        <v>435922.78488425701</v>
      </c>
      <c r="R50" s="63">
        <f t="shared" si="51"/>
        <v>435922.78488425701</v>
      </c>
      <c r="S50" s="63">
        <f t="shared" si="51"/>
        <v>435922.78488425701</v>
      </c>
      <c r="T50" s="63">
        <f t="shared" si="51"/>
        <v>435922.78488425701</v>
      </c>
      <c r="U50" s="63">
        <f t="shared" si="51"/>
        <v>435922.78488425701</v>
      </c>
      <c r="V50" s="63">
        <f t="shared" si="51"/>
        <v>435922.78488425701</v>
      </c>
      <c r="W50" s="63">
        <f t="shared" si="51"/>
        <v>435922.78488425701</v>
      </c>
      <c r="X50" s="63">
        <f t="shared" si="51"/>
        <v>435922.78488425701</v>
      </c>
      <c r="Y50" s="63">
        <f t="shared" si="51"/>
        <v>435922.78488425701</v>
      </c>
      <c r="Z50" s="63">
        <f t="shared" si="51"/>
        <v>435922.78488425701</v>
      </c>
      <c r="AA50" s="63">
        <f t="shared" si="51"/>
        <v>435922.78488425701</v>
      </c>
      <c r="AB50" s="63">
        <f t="shared" si="51"/>
        <v>435922.78488425701</v>
      </c>
      <c r="AC50" s="63">
        <f t="shared" si="51"/>
        <v>435922.78488425701</v>
      </c>
    </row>
    <row r="51" spans="1:29" x14ac:dyDescent="0.3">
      <c r="A51" s="30" t="str">
        <f>A32</f>
        <v>Residual value (vehicle)</v>
      </c>
      <c r="B51" s="62">
        <f>((1+B35)^B42)*B35/(((1+B35)^B42)-1)*(B32)</f>
        <v>-65388.417732638554</v>
      </c>
      <c r="C51" s="62">
        <f t="shared" ref="C51:AC51" si="52">((1+C35)^C42)*C35/(((1+C35)^C42)-1)*(C32)</f>
        <v>-65388.417732638554</v>
      </c>
      <c r="D51" s="62">
        <f t="shared" si="52"/>
        <v>-65388.417732638554</v>
      </c>
      <c r="E51" s="62">
        <f t="shared" si="52"/>
        <v>-65388.417732638554</v>
      </c>
      <c r="F51" s="62">
        <f t="shared" si="52"/>
        <v>-65388.417732638554</v>
      </c>
      <c r="G51" s="62">
        <f t="shared" si="52"/>
        <v>-65388.417732638554</v>
      </c>
      <c r="H51" s="62">
        <f t="shared" si="52"/>
        <v>-65388.417732638554</v>
      </c>
      <c r="I51" s="62">
        <f t="shared" si="52"/>
        <v>-65388.417732638554</v>
      </c>
      <c r="J51" s="62">
        <f t="shared" si="52"/>
        <v>-65388.417732638554</v>
      </c>
      <c r="K51" s="62">
        <f t="shared" si="52"/>
        <v>-65388.417732638554</v>
      </c>
      <c r="L51" s="62">
        <f t="shared" si="52"/>
        <v>-65388.417732638554</v>
      </c>
      <c r="M51" s="62">
        <f t="shared" si="52"/>
        <v>-65388.417732638554</v>
      </c>
      <c r="N51" s="62">
        <f t="shared" si="52"/>
        <v>-65388.417732638554</v>
      </c>
      <c r="O51" s="62">
        <f t="shared" si="52"/>
        <v>-65388.417732638554</v>
      </c>
      <c r="P51" s="62">
        <f t="shared" si="52"/>
        <v>-65388.417732638554</v>
      </c>
      <c r="Q51" s="62">
        <f t="shared" si="52"/>
        <v>-65388.417732638554</v>
      </c>
      <c r="R51" s="62">
        <f t="shared" si="52"/>
        <v>-65388.417732638554</v>
      </c>
      <c r="S51" s="62">
        <f t="shared" si="52"/>
        <v>-65388.417732638554</v>
      </c>
      <c r="T51" s="62">
        <f t="shared" si="52"/>
        <v>-65388.417732638554</v>
      </c>
      <c r="U51" s="62">
        <f t="shared" si="52"/>
        <v>-65388.417732638554</v>
      </c>
      <c r="V51" s="62">
        <f t="shared" si="52"/>
        <v>-65388.417732638554</v>
      </c>
      <c r="W51" s="62">
        <f t="shared" si="52"/>
        <v>-65388.417732638554</v>
      </c>
      <c r="X51" s="62">
        <f t="shared" si="52"/>
        <v>-65388.417732638554</v>
      </c>
      <c r="Y51" s="62">
        <f t="shared" si="52"/>
        <v>-65388.417732638554</v>
      </c>
      <c r="Z51" s="62">
        <f t="shared" si="52"/>
        <v>-65388.417732638554</v>
      </c>
      <c r="AA51" s="62">
        <f t="shared" si="52"/>
        <v>-65388.417732638554</v>
      </c>
      <c r="AB51" s="62">
        <f t="shared" si="52"/>
        <v>-65388.417732638554</v>
      </c>
      <c r="AC51" s="62">
        <f t="shared" si="52"/>
        <v>-65388.417732638554</v>
      </c>
    </row>
    <row r="52" spans="1:29" x14ac:dyDescent="0.3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3">((1+C35)^C43)*C35/(((1+C35)^C43)-1)*(C33)</f>
        <v>305125.4282581982</v>
      </c>
      <c r="D52" s="62">
        <f t="shared" si="53"/>
        <v>305125.4282581982</v>
      </c>
      <c r="E52" s="62">
        <f t="shared" si="53"/>
        <v>305125.4282581982</v>
      </c>
      <c r="F52" s="62">
        <f t="shared" si="53"/>
        <v>305125.4282581982</v>
      </c>
      <c r="G52" s="62">
        <f t="shared" si="53"/>
        <v>305125.4282581982</v>
      </c>
      <c r="H52" s="62">
        <f t="shared" si="53"/>
        <v>305125.4282581982</v>
      </c>
      <c r="I52" s="62">
        <f t="shared" si="53"/>
        <v>305125.4282581982</v>
      </c>
      <c r="J52" s="62">
        <f t="shared" si="53"/>
        <v>305125.4282581982</v>
      </c>
      <c r="K52" s="62">
        <f t="shared" si="53"/>
        <v>305125.4282581982</v>
      </c>
      <c r="L52" s="62">
        <f t="shared" si="53"/>
        <v>305125.4282581982</v>
      </c>
      <c r="M52" s="62">
        <f t="shared" si="53"/>
        <v>305125.4282581982</v>
      </c>
      <c r="N52" s="62">
        <f t="shared" si="53"/>
        <v>305125.4282581982</v>
      </c>
      <c r="O52" s="62">
        <f t="shared" si="53"/>
        <v>305125.4282581982</v>
      </c>
      <c r="P52" s="62">
        <f t="shared" si="53"/>
        <v>305125.4282581982</v>
      </c>
      <c r="Q52" s="62">
        <f t="shared" si="53"/>
        <v>305125.4282581982</v>
      </c>
      <c r="R52" s="62">
        <f t="shared" si="53"/>
        <v>305125.4282581982</v>
      </c>
      <c r="S52" s="62">
        <f t="shared" si="53"/>
        <v>305125.4282581982</v>
      </c>
      <c r="T52" s="62">
        <f t="shared" si="53"/>
        <v>305125.4282581982</v>
      </c>
      <c r="U52" s="62">
        <f t="shared" si="53"/>
        <v>305125.4282581982</v>
      </c>
      <c r="V52" s="62">
        <f t="shared" si="53"/>
        <v>305125.4282581982</v>
      </c>
      <c r="W52" s="62">
        <f t="shared" si="53"/>
        <v>305125.4282581982</v>
      </c>
      <c r="X52" s="62">
        <f t="shared" si="53"/>
        <v>305125.4282581982</v>
      </c>
      <c r="Y52" s="62">
        <f t="shared" si="53"/>
        <v>305125.4282581982</v>
      </c>
      <c r="Z52" s="62">
        <f t="shared" si="53"/>
        <v>305125.4282581982</v>
      </c>
      <c r="AA52" s="62">
        <f t="shared" si="53"/>
        <v>305125.4282581982</v>
      </c>
      <c r="AB52" s="62">
        <f t="shared" si="53"/>
        <v>305125.4282581982</v>
      </c>
      <c r="AC52" s="62">
        <f t="shared" si="53"/>
        <v>305125.4282581982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4">((1+C35)^C43)*C35/(((1+C35)^C43)-1)*(C34)</f>
        <v>-15256.271412909911</v>
      </c>
      <c r="D53" s="62">
        <f t="shared" si="54"/>
        <v>-15256.271412909911</v>
      </c>
      <c r="E53" s="62">
        <f t="shared" si="54"/>
        <v>-15256.271412909911</v>
      </c>
      <c r="F53" s="62">
        <f t="shared" si="54"/>
        <v>-15256.271412909911</v>
      </c>
      <c r="G53" s="62">
        <f t="shared" si="54"/>
        <v>-15256.271412909911</v>
      </c>
      <c r="H53" s="62">
        <f t="shared" si="54"/>
        <v>-15256.271412909911</v>
      </c>
      <c r="I53" s="62">
        <f t="shared" si="54"/>
        <v>-15256.271412909911</v>
      </c>
      <c r="J53" s="62">
        <f t="shared" si="54"/>
        <v>-15256.271412909911</v>
      </c>
      <c r="K53" s="62">
        <f t="shared" si="54"/>
        <v>-15256.271412909911</v>
      </c>
      <c r="L53" s="62">
        <f t="shared" si="54"/>
        <v>-15256.271412909911</v>
      </c>
      <c r="M53" s="62">
        <f t="shared" si="54"/>
        <v>-15256.271412909911</v>
      </c>
      <c r="N53" s="62">
        <f t="shared" si="54"/>
        <v>-15256.271412909911</v>
      </c>
      <c r="O53" s="62">
        <f t="shared" si="54"/>
        <v>-15256.271412909911</v>
      </c>
      <c r="P53" s="62">
        <f t="shared" si="54"/>
        <v>-15256.271412909911</v>
      </c>
      <c r="Q53" s="62">
        <f t="shared" si="54"/>
        <v>-15256.271412909911</v>
      </c>
      <c r="R53" s="62">
        <f t="shared" si="54"/>
        <v>-15256.271412909911</v>
      </c>
      <c r="S53" s="62">
        <f t="shared" si="54"/>
        <v>-15256.271412909911</v>
      </c>
      <c r="T53" s="62">
        <f t="shared" si="54"/>
        <v>-15256.271412909911</v>
      </c>
      <c r="U53" s="62">
        <f t="shared" si="54"/>
        <v>-15256.271412909911</v>
      </c>
      <c r="V53" s="62">
        <f t="shared" si="54"/>
        <v>-15256.271412909911</v>
      </c>
      <c r="W53" s="62">
        <f t="shared" si="54"/>
        <v>-15256.271412909911</v>
      </c>
      <c r="X53" s="62">
        <f t="shared" si="54"/>
        <v>-15256.271412909911</v>
      </c>
      <c r="Y53" s="62">
        <f t="shared" si="54"/>
        <v>-15256.271412909911</v>
      </c>
      <c r="Z53" s="62">
        <f t="shared" si="54"/>
        <v>-15256.271412909911</v>
      </c>
      <c r="AA53" s="62">
        <f t="shared" si="54"/>
        <v>-15256.271412909911</v>
      </c>
      <c r="AB53" s="62">
        <f t="shared" si="54"/>
        <v>-15256.271412909911</v>
      </c>
      <c r="AC53" s="62">
        <f t="shared" si="54"/>
        <v>-15256.271412909911</v>
      </c>
    </row>
    <row r="54" spans="1:29" x14ac:dyDescent="0.3">
      <c r="A54" s="30" t="str">
        <f t="shared" ref="A54:AC54" si="55">A36</f>
        <v>Opex fix (admin, crew, insurance)</v>
      </c>
      <c r="B54" s="62">
        <f t="shared" si="55"/>
        <v>650000</v>
      </c>
      <c r="C54" s="62">
        <f t="shared" si="55"/>
        <v>650000</v>
      </c>
      <c r="D54" s="62">
        <f t="shared" si="55"/>
        <v>650000</v>
      </c>
      <c r="E54" s="62">
        <f t="shared" si="55"/>
        <v>650000</v>
      </c>
      <c r="F54" s="62">
        <f t="shared" si="55"/>
        <v>650000</v>
      </c>
      <c r="G54" s="62">
        <f t="shared" si="55"/>
        <v>650000</v>
      </c>
      <c r="H54" s="62">
        <f t="shared" si="55"/>
        <v>650000</v>
      </c>
      <c r="I54" s="62">
        <f t="shared" si="55"/>
        <v>650000</v>
      </c>
      <c r="J54" s="62">
        <f t="shared" si="55"/>
        <v>650000</v>
      </c>
      <c r="K54" s="62">
        <f t="shared" si="55"/>
        <v>650000</v>
      </c>
      <c r="L54" s="62">
        <f t="shared" si="55"/>
        <v>650000</v>
      </c>
      <c r="M54" s="62">
        <f t="shared" si="55"/>
        <v>650000</v>
      </c>
      <c r="N54" s="62">
        <f t="shared" si="55"/>
        <v>650000</v>
      </c>
      <c r="O54" s="62">
        <f t="shared" si="55"/>
        <v>650000</v>
      </c>
      <c r="P54" s="62">
        <f t="shared" si="55"/>
        <v>650000</v>
      </c>
      <c r="Q54" s="62">
        <f t="shared" si="55"/>
        <v>650000</v>
      </c>
      <c r="R54" s="62">
        <f t="shared" si="55"/>
        <v>650000</v>
      </c>
      <c r="S54" s="62">
        <f t="shared" si="55"/>
        <v>650000</v>
      </c>
      <c r="T54" s="62">
        <f t="shared" si="55"/>
        <v>650000</v>
      </c>
      <c r="U54" s="62">
        <f t="shared" si="55"/>
        <v>650000</v>
      </c>
      <c r="V54" s="62">
        <f t="shared" si="55"/>
        <v>650000</v>
      </c>
      <c r="W54" s="62">
        <f t="shared" si="55"/>
        <v>650000</v>
      </c>
      <c r="X54" s="62">
        <f t="shared" si="55"/>
        <v>650000</v>
      </c>
      <c r="Y54" s="62">
        <f t="shared" si="55"/>
        <v>650000</v>
      </c>
      <c r="Z54" s="62">
        <f t="shared" si="55"/>
        <v>650000</v>
      </c>
      <c r="AA54" s="62">
        <f t="shared" si="55"/>
        <v>650000</v>
      </c>
      <c r="AB54" s="62">
        <f t="shared" si="55"/>
        <v>650000</v>
      </c>
      <c r="AC54" s="62">
        <f t="shared" si="55"/>
        <v>650000</v>
      </c>
    </row>
    <row r="55" spans="1:29" x14ac:dyDescent="0.3">
      <c r="A55" s="30" t="str">
        <f t="shared" ref="A55:AC55" si="56">A37</f>
        <v>Opex maintenance &amp; repair</v>
      </c>
      <c r="B55" s="62">
        <f t="shared" si="56"/>
        <v>650000</v>
      </c>
      <c r="C55" s="62">
        <f t="shared" si="56"/>
        <v>650000</v>
      </c>
      <c r="D55" s="62">
        <f t="shared" si="56"/>
        <v>650000</v>
      </c>
      <c r="E55" s="62">
        <f t="shared" si="56"/>
        <v>650000</v>
      </c>
      <c r="F55" s="62">
        <f t="shared" si="56"/>
        <v>650000</v>
      </c>
      <c r="G55" s="62">
        <f t="shared" si="56"/>
        <v>650000</v>
      </c>
      <c r="H55" s="62">
        <f t="shared" si="56"/>
        <v>650000</v>
      </c>
      <c r="I55" s="62">
        <f t="shared" si="56"/>
        <v>650000</v>
      </c>
      <c r="J55" s="62">
        <f t="shared" si="56"/>
        <v>650000</v>
      </c>
      <c r="K55" s="62">
        <f t="shared" si="56"/>
        <v>650000</v>
      </c>
      <c r="L55" s="62">
        <f t="shared" si="56"/>
        <v>650000</v>
      </c>
      <c r="M55" s="62">
        <f t="shared" si="56"/>
        <v>650000</v>
      </c>
      <c r="N55" s="62">
        <f t="shared" si="56"/>
        <v>650000</v>
      </c>
      <c r="O55" s="62">
        <f t="shared" si="56"/>
        <v>650000</v>
      </c>
      <c r="P55" s="62">
        <f t="shared" si="56"/>
        <v>650000</v>
      </c>
      <c r="Q55" s="62">
        <f t="shared" si="56"/>
        <v>650000</v>
      </c>
      <c r="R55" s="62">
        <f t="shared" si="56"/>
        <v>650000</v>
      </c>
      <c r="S55" s="62">
        <f t="shared" si="56"/>
        <v>650000</v>
      </c>
      <c r="T55" s="62">
        <f t="shared" si="56"/>
        <v>650000</v>
      </c>
      <c r="U55" s="62">
        <f t="shared" si="56"/>
        <v>650000</v>
      </c>
      <c r="V55" s="62">
        <f t="shared" si="56"/>
        <v>650000</v>
      </c>
      <c r="W55" s="62">
        <f t="shared" si="56"/>
        <v>650000</v>
      </c>
      <c r="X55" s="62">
        <f t="shared" si="56"/>
        <v>650000</v>
      </c>
      <c r="Y55" s="62">
        <f t="shared" si="56"/>
        <v>650000</v>
      </c>
      <c r="Z55" s="62">
        <f t="shared" si="56"/>
        <v>650000</v>
      </c>
      <c r="AA55" s="62">
        <f t="shared" si="56"/>
        <v>650000</v>
      </c>
      <c r="AB55" s="62">
        <f t="shared" si="56"/>
        <v>650000</v>
      </c>
      <c r="AC55" s="62">
        <f t="shared" si="56"/>
        <v>650000</v>
      </c>
    </row>
    <row r="56" spans="1:29" x14ac:dyDescent="0.3">
      <c r="A56" s="30" t="str">
        <f>A38</f>
        <v>Opex var (mode-fees, shunting)</v>
      </c>
      <c r="B56" s="62">
        <f>B38*B47</f>
        <v>700000</v>
      </c>
      <c r="C56" s="62">
        <f t="shared" ref="C56:AC56" si="57">C38*C47</f>
        <v>700000</v>
      </c>
      <c r="D56" s="62">
        <f t="shared" si="57"/>
        <v>700000</v>
      </c>
      <c r="E56" s="62">
        <f t="shared" si="57"/>
        <v>700000</v>
      </c>
      <c r="F56" s="62">
        <f t="shared" si="57"/>
        <v>700000</v>
      </c>
      <c r="G56" s="62">
        <f t="shared" si="57"/>
        <v>700000</v>
      </c>
      <c r="H56" s="62">
        <f t="shared" si="57"/>
        <v>700000</v>
      </c>
      <c r="I56" s="62">
        <f t="shared" si="57"/>
        <v>700000</v>
      </c>
      <c r="J56" s="62">
        <f t="shared" si="57"/>
        <v>700000</v>
      </c>
      <c r="K56" s="62">
        <f t="shared" si="57"/>
        <v>700000</v>
      </c>
      <c r="L56" s="62">
        <f t="shared" si="57"/>
        <v>700000</v>
      </c>
      <c r="M56" s="62">
        <f t="shared" si="57"/>
        <v>700000</v>
      </c>
      <c r="N56" s="62">
        <f t="shared" si="57"/>
        <v>700000</v>
      </c>
      <c r="O56" s="62">
        <f t="shared" si="57"/>
        <v>700000</v>
      </c>
      <c r="P56" s="62">
        <f t="shared" si="57"/>
        <v>700000</v>
      </c>
      <c r="Q56" s="62">
        <f t="shared" si="57"/>
        <v>700000</v>
      </c>
      <c r="R56" s="62">
        <f t="shared" si="57"/>
        <v>700000</v>
      </c>
      <c r="S56" s="62">
        <f t="shared" si="57"/>
        <v>700000</v>
      </c>
      <c r="T56" s="62">
        <f t="shared" si="57"/>
        <v>700000</v>
      </c>
      <c r="U56" s="62">
        <f t="shared" si="57"/>
        <v>700000</v>
      </c>
      <c r="V56" s="62">
        <f t="shared" si="57"/>
        <v>700000</v>
      </c>
      <c r="W56" s="62">
        <f t="shared" si="57"/>
        <v>700000</v>
      </c>
      <c r="X56" s="62">
        <f t="shared" si="57"/>
        <v>700000</v>
      </c>
      <c r="Y56" s="62">
        <f t="shared" si="57"/>
        <v>700000</v>
      </c>
      <c r="Z56" s="62">
        <f t="shared" si="57"/>
        <v>700000</v>
      </c>
      <c r="AA56" s="62">
        <f t="shared" si="57"/>
        <v>700000</v>
      </c>
      <c r="AB56" s="62">
        <f t="shared" si="57"/>
        <v>700000</v>
      </c>
      <c r="AC56" s="62">
        <f t="shared" si="57"/>
        <v>700000</v>
      </c>
    </row>
    <row r="57" spans="1:29" x14ac:dyDescent="0.3">
      <c r="A57" s="30" t="str">
        <f>A40</f>
        <v>Fuel Cost</v>
      </c>
      <c r="B57" s="62">
        <f>B39*B40*B47</f>
        <v>421321.32967772055</v>
      </c>
      <c r="C57" s="62">
        <f t="shared" ref="C57:AC57" si="58">C39*C40*C47</f>
        <v>420823.97286455205</v>
      </c>
      <c r="D57" s="62">
        <f t="shared" si="58"/>
        <v>420117.79748684121</v>
      </c>
      <c r="E57" s="62">
        <f t="shared" si="58"/>
        <v>419119.68644956814</v>
      </c>
      <c r="F57" s="62">
        <f t="shared" si="58"/>
        <v>417718.35656065156</v>
      </c>
      <c r="G57" s="62">
        <f t="shared" si="58"/>
        <v>415769.99931655545</v>
      </c>
      <c r="H57" s="62">
        <f t="shared" si="58"/>
        <v>413098.8744230892</v>
      </c>
      <c r="I57" s="62">
        <f t="shared" si="58"/>
        <v>409509.1687924423</v>
      </c>
      <c r="J57" s="62">
        <f t="shared" si="58"/>
        <v>404816.73005306005</v>
      </c>
      <c r="K57" s="62">
        <f t="shared" si="58"/>
        <v>398907.39658589731</v>
      </c>
      <c r="L57" s="62">
        <f t="shared" si="58"/>
        <v>391816.36605274561</v>
      </c>
      <c r="M57" s="62">
        <f t="shared" si="58"/>
        <v>383798.01554605074</v>
      </c>
      <c r="N57" s="62">
        <f t="shared" si="58"/>
        <v>375333.07581459719</v>
      </c>
      <c r="O57" s="62">
        <f t="shared" si="58"/>
        <v>367034.710263833</v>
      </c>
      <c r="P57" s="62">
        <f t="shared" si="58"/>
        <v>359480.53729311289</v>
      </c>
      <c r="Q57" s="62">
        <f t="shared" si="58"/>
        <v>353060.56600291858</v>
      </c>
      <c r="R57" s="62">
        <f t="shared" si="58"/>
        <v>347919.3187511891</v>
      </c>
      <c r="S57" s="62">
        <f t="shared" si="58"/>
        <v>343996.31891328277</v>
      </c>
      <c r="T57" s="62">
        <f t="shared" si="58"/>
        <v>341112.59940737992</v>
      </c>
      <c r="U57" s="62">
        <f t="shared" si="58"/>
        <v>339050.78167846147</v>
      </c>
      <c r="V57" s="62">
        <f t="shared" si="58"/>
        <v>337605.75193901127</v>
      </c>
      <c r="W57" s="62">
        <f t="shared" si="58"/>
        <v>336607.14757058211</v>
      </c>
      <c r="X57" s="62">
        <f t="shared" si="58"/>
        <v>335923.75283890165</v>
      </c>
      <c r="Y57" s="62">
        <f t="shared" si="58"/>
        <v>335459.19329109037</v>
      </c>
      <c r="Z57" s="62">
        <f t="shared" si="58"/>
        <v>335144.83101442864</v>
      </c>
      <c r="AA57" s="62">
        <f t="shared" si="58"/>
        <v>334932.76189439202</v>
      </c>
      <c r="AB57" s="62">
        <f t="shared" si="58"/>
        <v>334789.99801625329</v>
      </c>
      <c r="AC57" s="62">
        <f t="shared" si="58"/>
        <v>334694.02505379106</v>
      </c>
    </row>
    <row r="58" spans="1:29" ht="15" thickBot="1" x14ac:dyDescent="0.35">
      <c r="A58" s="59" t="str">
        <f>A21</f>
        <v>Emission Cost</v>
      </c>
      <c r="B58" s="62">
        <f>B41*B47</f>
        <v>10544.005855055664</v>
      </c>
      <c r="C58" s="62">
        <f t="shared" ref="C58:AC58" si="59">C41*C47</f>
        <v>10533.965392416821</v>
      </c>
      <c r="D58" s="62">
        <f t="shared" si="59"/>
        <v>10519.592693782588</v>
      </c>
      <c r="E58" s="62">
        <f t="shared" si="59"/>
        <v>10499.031537652969</v>
      </c>
      <c r="F58" s="62">
        <f t="shared" si="59"/>
        <v>10469.645108499386</v>
      </c>
      <c r="G58" s="62">
        <f t="shared" si="59"/>
        <v>10427.704323426529</v>
      </c>
      <c r="H58" s="62">
        <f t="shared" si="59"/>
        <v>10367.97035628193</v>
      </c>
      <c r="I58" s="62">
        <f t="shared" si="59"/>
        <v>10283.156685907605</v>
      </c>
      <c r="J58" s="62">
        <f t="shared" si="59"/>
        <v>10163.280712906857</v>
      </c>
      <c r="K58" s="62">
        <f t="shared" si="59"/>
        <v>9994.9770095555086</v>
      </c>
      <c r="L58" s="62">
        <f t="shared" si="59"/>
        <v>9760.9737657609166</v>
      </c>
      <c r="M58" s="62">
        <f t="shared" si="59"/>
        <v>9440.1640725972939</v>
      </c>
      <c r="N58" s="62">
        <f t="shared" si="59"/>
        <v>9009.0302215623033</v>
      </c>
      <c r="O58" s="62">
        <f t="shared" si="59"/>
        <v>8445.4549893249241</v>
      </c>
      <c r="P58" s="62">
        <f t="shared" si="59"/>
        <v>7735.7272408998442</v>
      </c>
      <c r="Q58" s="62">
        <f t="shared" si="59"/>
        <v>6884.0743155279552</v>
      </c>
      <c r="R58" s="62">
        <f t="shared" si="59"/>
        <v>5921.0476251536802</v>
      </c>
      <c r="S58" s="62">
        <f t="shared" si="59"/>
        <v>4904.3842993246444</v>
      </c>
      <c r="T58" s="62">
        <f t="shared" si="59"/>
        <v>3907.7270061325112</v>
      </c>
      <c r="U58" s="62">
        <f t="shared" si="59"/>
        <v>3000.4493573900195</v>
      </c>
      <c r="V58" s="62">
        <f t="shared" si="59"/>
        <v>2229.3925547806143</v>
      </c>
      <c r="W58" s="62">
        <f t="shared" si="59"/>
        <v>1611.9141443400931</v>
      </c>
      <c r="X58" s="62">
        <f t="shared" si="59"/>
        <v>1140.7507115264134</v>
      </c>
      <c r="Y58" s="62">
        <f t="shared" si="59"/>
        <v>794.40780104642397</v>
      </c>
      <c r="Z58" s="62">
        <f t="shared" si="59"/>
        <v>546.77763047986764</v>
      </c>
      <c r="AA58" s="62">
        <f t="shared" si="59"/>
        <v>373.22545084975752</v>
      </c>
      <c r="AB58" s="62">
        <f t="shared" si="59"/>
        <v>253.29022737472138</v>
      </c>
      <c r="AC58" s="62">
        <f t="shared" si="59"/>
        <v>171.21257734932524</v>
      </c>
    </row>
    <row r="59" spans="1:29" ht="15" thickBot="1" x14ac:dyDescent="0.35">
      <c r="A59" s="31" t="s">
        <v>209</v>
      </c>
      <c r="B59" s="64">
        <f>B50+B51+B52+B53+B54+B55+B56+B57+B58</f>
        <v>3092268.8595296829</v>
      </c>
      <c r="C59" s="64">
        <f t="shared" ref="C59:AC59" si="60">C50+C51+C52+C53+C54+C55+C56+C57+C58</f>
        <v>3091761.4622538756</v>
      </c>
      <c r="D59" s="64">
        <f t="shared" si="60"/>
        <v>3091040.9141775304</v>
      </c>
      <c r="E59" s="64">
        <f t="shared" si="60"/>
        <v>3090022.241984128</v>
      </c>
      <c r="F59" s="64">
        <f t="shared" si="60"/>
        <v>3088591.5256660581</v>
      </c>
      <c r="G59" s="64">
        <f t="shared" si="60"/>
        <v>3086601.2276368886</v>
      </c>
      <c r="H59" s="64">
        <f t="shared" si="60"/>
        <v>3083870.3687762776</v>
      </c>
      <c r="I59" s="64">
        <f t="shared" si="60"/>
        <v>3080195.8494752566</v>
      </c>
      <c r="J59" s="64">
        <f t="shared" si="60"/>
        <v>3075383.5347628738</v>
      </c>
      <c r="K59" s="64">
        <f t="shared" si="60"/>
        <v>3069305.8975923592</v>
      </c>
      <c r="L59" s="64">
        <f t="shared" si="60"/>
        <v>3061980.8638154133</v>
      </c>
      <c r="M59" s="64">
        <f t="shared" si="60"/>
        <v>3053641.7036155551</v>
      </c>
      <c r="N59" s="64">
        <f t="shared" si="60"/>
        <v>3044745.6300330665</v>
      </c>
      <c r="O59" s="64">
        <f t="shared" si="60"/>
        <v>3035883.6892500645</v>
      </c>
      <c r="P59" s="64">
        <f t="shared" si="60"/>
        <v>3027619.7885309197</v>
      </c>
      <c r="Q59" s="64">
        <f t="shared" si="60"/>
        <v>3020348.1643153531</v>
      </c>
      <c r="R59" s="64">
        <f t="shared" si="60"/>
        <v>3014243.8903732495</v>
      </c>
      <c r="S59" s="64">
        <f t="shared" si="60"/>
        <v>3009304.2272095145</v>
      </c>
      <c r="T59" s="64">
        <f t="shared" si="60"/>
        <v>3005423.8504104195</v>
      </c>
      <c r="U59" s="64">
        <f t="shared" si="60"/>
        <v>3002454.7550327582</v>
      </c>
      <c r="V59" s="64">
        <f t="shared" si="60"/>
        <v>3000238.6684906986</v>
      </c>
      <c r="W59" s="64">
        <f t="shared" si="60"/>
        <v>2998622.5857118289</v>
      </c>
      <c r="X59" s="64">
        <f t="shared" si="60"/>
        <v>2997468.0275473348</v>
      </c>
      <c r="Y59" s="64">
        <f t="shared" si="60"/>
        <v>2996657.1250890438</v>
      </c>
      <c r="Z59" s="64">
        <f t="shared" si="60"/>
        <v>2996095.1326418156</v>
      </c>
      <c r="AA59" s="64">
        <f t="shared" si="60"/>
        <v>2995709.5113421483</v>
      </c>
      <c r="AB59" s="64">
        <f t="shared" si="60"/>
        <v>2995446.8122405345</v>
      </c>
      <c r="AC59" s="64">
        <f t="shared" si="60"/>
        <v>2995268.7616280476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61">A50</f>
        <v>Capex vehicle</v>
      </c>
      <c r="B62" s="65">
        <f>((1+B35)^B42)*B35/(((1+B35)^B42)-1)*(B31)/B47</f>
        <v>2.4421444531330927</v>
      </c>
      <c r="C62" s="65">
        <f t="shared" ref="C62:AC62" si="62">((1+C35)^C42)*C35/(((1+C35)^C42)-1)*(C31)/C47</f>
        <v>2.4421444531330927</v>
      </c>
      <c r="D62" s="65">
        <f t="shared" si="62"/>
        <v>2.4421444531330927</v>
      </c>
      <c r="E62" s="65">
        <f t="shared" si="62"/>
        <v>2.4421444531330927</v>
      </c>
      <c r="F62" s="65">
        <f t="shared" si="62"/>
        <v>2.4421444531330927</v>
      </c>
      <c r="G62" s="65">
        <f t="shared" si="62"/>
        <v>2.4421444531330927</v>
      </c>
      <c r="H62" s="65">
        <f t="shared" si="62"/>
        <v>2.4421444531330927</v>
      </c>
      <c r="I62" s="65">
        <f t="shared" si="62"/>
        <v>2.4421444531330927</v>
      </c>
      <c r="J62" s="65">
        <f t="shared" si="62"/>
        <v>2.4421444531330927</v>
      </c>
      <c r="K62" s="65">
        <f t="shared" si="62"/>
        <v>2.4421444531330927</v>
      </c>
      <c r="L62" s="65">
        <f t="shared" si="62"/>
        <v>2.4421444531330927</v>
      </c>
      <c r="M62" s="65">
        <f t="shared" si="62"/>
        <v>2.4421444531330927</v>
      </c>
      <c r="N62" s="65">
        <f t="shared" si="62"/>
        <v>2.4421444531330927</v>
      </c>
      <c r="O62" s="65">
        <f t="shared" si="62"/>
        <v>2.4421444531330927</v>
      </c>
      <c r="P62" s="65">
        <f t="shared" si="62"/>
        <v>2.4421444531330927</v>
      </c>
      <c r="Q62" s="65">
        <f t="shared" si="62"/>
        <v>2.4421444531330927</v>
      </c>
      <c r="R62" s="65">
        <f t="shared" si="62"/>
        <v>2.4421444531330927</v>
      </c>
      <c r="S62" s="65">
        <f t="shared" si="62"/>
        <v>2.4421444531330927</v>
      </c>
      <c r="T62" s="65">
        <f t="shared" si="62"/>
        <v>2.4421444531330927</v>
      </c>
      <c r="U62" s="65">
        <f t="shared" si="62"/>
        <v>2.4421444531330927</v>
      </c>
      <c r="V62" s="65">
        <f t="shared" si="62"/>
        <v>2.4421444531330927</v>
      </c>
      <c r="W62" s="65">
        <f t="shared" si="62"/>
        <v>2.4421444531330927</v>
      </c>
      <c r="X62" s="65">
        <f t="shared" si="62"/>
        <v>2.4421444531330927</v>
      </c>
      <c r="Y62" s="65">
        <f t="shared" si="62"/>
        <v>2.4421444531330927</v>
      </c>
      <c r="Z62" s="65">
        <f t="shared" si="62"/>
        <v>2.4421444531330927</v>
      </c>
      <c r="AA62" s="65">
        <f t="shared" si="62"/>
        <v>2.4421444531330927</v>
      </c>
      <c r="AB62" s="65">
        <f t="shared" si="62"/>
        <v>2.4421444531330927</v>
      </c>
      <c r="AC62" s="65">
        <f t="shared" si="62"/>
        <v>2.4421444531330927</v>
      </c>
    </row>
    <row r="63" spans="1:29" x14ac:dyDescent="0.3">
      <c r="A63" s="30" t="str">
        <f t="shared" si="61"/>
        <v>Residual value (vehicle)</v>
      </c>
      <c r="B63" s="66">
        <f>((1+B35)^B42)*B35/(((1+B35)^B42)-1)*(B32)/B47</f>
        <v>-0.3663216679699639</v>
      </c>
      <c r="C63" s="66">
        <f t="shared" ref="C63:AC63" si="63">((1+C35)^C42)*C35/(((1+C35)^C42)-1)*(C32)/C47</f>
        <v>-0.3663216679699639</v>
      </c>
      <c r="D63" s="66">
        <f t="shared" si="63"/>
        <v>-0.3663216679699639</v>
      </c>
      <c r="E63" s="66">
        <f t="shared" si="63"/>
        <v>-0.3663216679699639</v>
      </c>
      <c r="F63" s="66">
        <f t="shared" si="63"/>
        <v>-0.3663216679699639</v>
      </c>
      <c r="G63" s="66">
        <f t="shared" si="63"/>
        <v>-0.3663216679699639</v>
      </c>
      <c r="H63" s="66">
        <f t="shared" si="63"/>
        <v>-0.3663216679699639</v>
      </c>
      <c r="I63" s="66">
        <f t="shared" si="63"/>
        <v>-0.3663216679699639</v>
      </c>
      <c r="J63" s="66">
        <f t="shared" si="63"/>
        <v>-0.3663216679699639</v>
      </c>
      <c r="K63" s="66">
        <f t="shared" si="63"/>
        <v>-0.3663216679699639</v>
      </c>
      <c r="L63" s="66">
        <f t="shared" si="63"/>
        <v>-0.3663216679699639</v>
      </c>
      <c r="M63" s="66">
        <f t="shared" si="63"/>
        <v>-0.3663216679699639</v>
      </c>
      <c r="N63" s="66">
        <f t="shared" si="63"/>
        <v>-0.3663216679699639</v>
      </c>
      <c r="O63" s="66">
        <f t="shared" si="63"/>
        <v>-0.3663216679699639</v>
      </c>
      <c r="P63" s="66">
        <f t="shared" si="63"/>
        <v>-0.3663216679699639</v>
      </c>
      <c r="Q63" s="66">
        <f t="shared" si="63"/>
        <v>-0.3663216679699639</v>
      </c>
      <c r="R63" s="66">
        <f t="shared" si="63"/>
        <v>-0.3663216679699639</v>
      </c>
      <c r="S63" s="66">
        <f t="shared" si="63"/>
        <v>-0.3663216679699639</v>
      </c>
      <c r="T63" s="66">
        <f t="shared" si="63"/>
        <v>-0.3663216679699639</v>
      </c>
      <c r="U63" s="66">
        <f t="shared" si="63"/>
        <v>-0.3663216679699639</v>
      </c>
      <c r="V63" s="66">
        <f t="shared" si="63"/>
        <v>-0.3663216679699639</v>
      </c>
      <c r="W63" s="66">
        <f t="shared" si="63"/>
        <v>-0.3663216679699639</v>
      </c>
      <c r="X63" s="66">
        <f t="shared" si="63"/>
        <v>-0.3663216679699639</v>
      </c>
      <c r="Y63" s="66">
        <f t="shared" si="63"/>
        <v>-0.3663216679699639</v>
      </c>
      <c r="Z63" s="66">
        <f t="shared" si="63"/>
        <v>-0.3663216679699639</v>
      </c>
      <c r="AA63" s="66">
        <f t="shared" si="63"/>
        <v>-0.3663216679699639</v>
      </c>
      <c r="AB63" s="66">
        <f t="shared" si="63"/>
        <v>-0.3663216679699639</v>
      </c>
      <c r="AC63" s="66">
        <f t="shared" si="63"/>
        <v>-0.3663216679699639</v>
      </c>
    </row>
    <row r="64" spans="1:29" x14ac:dyDescent="0.3">
      <c r="A64" s="30" t="str">
        <f t="shared" si="61"/>
        <v>Capex costumization</v>
      </c>
      <c r="B64" s="66">
        <f>((1+B35)^B43)*B35/(((1+B35)^B43)-1)*(B33)/B47</f>
        <v>1.7093861527069927</v>
      </c>
      <c r="C64" s="66">
        <f t="shared" ref="C64:AC64" si="64">((1+C35)^C43)*C35/(((1+C35)^C43)-1)*(C33)/C47</f>
        <v>1.7093861527069927</v>
      </c>
      <c r="D64" s="66">
        <f t="shared" si="64"/>
        <v>1.7093861527069927</v>
      </c>
      <c r="E64" s="66">
        <f t="shared" si="64"/>
        <v>1.7093861527069927</v>
      </c>
      <c r="F64" s="66">
        <f t="shared" si="64"/>
        <v>1.7093861527069927</v>
      </c>
      <c r="G64" s="66">
        <f t="shared" si="64"/>
        <v>1.7093861527069927</v>
      </c>
      <c r="H64" s="66">
        <f t="shared" si="64"/>
        <v>1.7093861527069927</v>
      </c>
      <c r="I64" s="66">
        <f t="shared" si="64"/>
        <v>1.7093861527069927</v>
      </c>
      <c r="J64" s="66">
        <f t="shared" si="64"/>
        <v>1.7093861527069927</v>
      </c>
      <c r="K64" s="66">
        <f t="shared" si="64"/>
        <v>1.7093861527069927</v>
      </c>
      <c r="L64" s="66">
        <f t="shared" si="64"/>
        <v>1.7093861527069927</v>
      </c>
      <c r="M64" s="66">
        <f t="shared" si="64"/>
        <v>1.7093861527069927</v>
      </c>
      <c r="N64" s="66">
        <f t="shared" si="64"/>
        <v>1.7093861527069927</v>
      </c>
      <c r="O64" s="66">
        <f t="shared" si="64"/>
        <v>1.7093861527069927</v>
      </c>
      <c r="P64" s="66">
        <f t="shared" si="64"/>
        <v>1.7093861527069927</v>
      </c>
      <c r="Q64" s="66">
        <f t="shared" si="64"/>
        <v>1.7093861527069927</v>
      </c>
      <c r="R64" s="66">
        <f t="shared" si="64"/>
        <v>1.7093861527069927</v>
      </c>
      <c r="S64" s="66">
        <f t="shared" si="64"/>
        <v>1.7093861527069927</v>
      </c>
      <c r="T64" s="66">
        <f t="shared" si="64"/>
        <v>1.7093861527069927</v>
      </c>
      <c r="U64" s="66">
        <f t="shared" si="64"/>
        <v>1.7093861527069927</v>
      </c>
      <c r="V64" s="66">
        <f t="shared" si="64"/>
        <v>1.7093861527069927</v>
      </c>
      <c r="W64" s="66">
        <f t="shared" si="64"/>
        <v>1.7093861527069927</v>
      </c>
      <c r="X64" s="66">
        <f t="shared" si="64"/>
        <v>1.7093861527069927</v>
      </c>
      <c r="Y64" s="66">
        <f t="shared" si="64"/>
        <v>1.7093861527069927</v>
      </c>
      <c r="Z64" s="66">
        <f t="shared" si="64"/>
        <v>1.7093861527069927</v>
      </c>
      <c r="AA64" s="66">
        <f t="shared" si="64"/>
        <v>1.7093861527069927</v>
      </c>
      <c r="AB64" s="66">
        <f t="shared" si="64"/>
        <v>1.7093861527069927</v>
      </c>
      <c r="AC64" s="66">
        <f t="shared" si="64"/>
        <v>1.7093861527069927</v>
      </c>
    </row>
    <row r="65" spans="1:29" x14ac:dyDescent="0.3">
      <c r="A65" s="30" t="str">
        <f t="shared" si="61"/>
        <v>Residual value (costumization)</v>
      </c>
      <c r="B65" s="66">
        <f>((1+B35)^B43)*B35/(((1+B35)^B43)-1)*(B34)/B47</f>
        <v>-8.5469307635349642E-2</v>
      </c>
      <c r="C65" s="66">
        <f t="shared" ref="C65:AC65" si="65">((1+C35)^C43)*C35/(((1+C35)^C43)-1)*(C34)/C47</f>
        <v>-8.5469307635349642E-2</v>
      </c>
      <c r="D65" s="66">
        <f t="shared" si="65"/>
        <v>-8.5469307635349642E-2</v>
      </c>
      <c r="E65" s="66">
        <f t="shared" si="65"/>
        <v>-8.5469307635349642E-2</v>
      </c>
      <c r="F65" s="66">
        <f t="shared" si="65"/>
        <v>-8.5469307635349642E-2</v>
      </c>
      <c r="G65" s="66">
        <f t="shared" si="65"/>
        <v>-8.5469307635349642E-2</v>
      </c>
      <c r="H65" s="66">
        <f t="shared" si="65"/>
        <v>-8.5469307635349642E-2</v>
      </c>
      <c r="I65" s="66">
        <f t="shared" si="65"/>
        <v>-8.5469307635349642E-2</v>
      </c>
      <c r="J65" s="66">
        <f t="shared" si="65"/>
        <v>-8.5469307635349642E-2</v>
      </c>
      <c r="K65" s="66">
        <f t="shared" si="65"/>
        <v>-8.5469307635349642E-2</v>
      </c>
      <c r="L65" s="66">
        <f t="shared" si="65"/>
        <v>-8.5469307635349642E-2</v>
      </c>
      <c r="M65" s="66">
        <f t="shared" si="65"/>
        <v>-8.5469307635349642E-2</v>
      </c>
      <c r="N65" s="66">
        <f t="shared" si="65"/>
        <v>-8.5469307635349642E-2</v>
      </c>
      <c r="O65" s="66">
        <f t="shared" si="65"/>
        <v>-8.5469307635349642E-2</v>
      </c>
      <c r="P65" s="66">
        <f t="shared" si="65"/>
        <v>-8.5469307635349642E-2</v>
      </c>
      <c r="Q65" s="66">
        <f t="shared" si="65"/>
        <v>-8.5469307635349642E-2</v>
      </c>
      <c r="R65" s="66">
        <f t="shared" si="65"/>
        <v>-8.5469307635349642E-2</v>
      </c>
      <c r="S65" s="66">
        <f t="shared" si="65"/>
        <v>-8.5469307635349642E-2</v>
      </c>
      <c r="T65" s="66">
        <f t="shared" si="65"/>
        <v>-8.5469307635349642E-2</v>
      </c>
      <c r="U65" s="66">
        <f t="shared" si="65"/>
        <v>-8.5469307635349642E-2</v>
      </c>
      <c r="V65" s="66">
        <f t="shared" si="65"/>
        <v>-8.5469307635349642E-2</v>
      </c>
      <c r="W65" s="66">
        <f t="shared" si="65"/>
        <v>-8.5469307635349642E-2</v>
      </c>
      <c r="X65" s="66">
        <f t="shared" si="65"/>
        <v>-8.5469307635349642E-2</v>
      </c>
      <c r="Y65" s="66">
        <f t="shared" si="65"/>
        <v>-8.5469307635349642E-2</v>
      </c>
      <c r="Z65" s="66">
        <f t="shared" si="65"/>
        <v>-8.5469307635349642E-2</v>
      </c>
      <c r="AA65" s="66">
        <f t="shared" si="65"/>
        <v>-8.5469307635349642E-2</v>
      </c>
      <c r="AB65" s="66">
        <f t="shared" si="65"/>
        <v>-8.5469307635349642E-2</v>
      </c>
      <c r="AC65" s="66">
        <f t="shared" si="65"/>
        <v>-8.5469307635349642E-2</v>
      </c>
    </row>
    <row r="66" spans="1:29" x14ac:dyDescent="0.3">
      <c r="A66" s="30" t="str">
        <f t="shared" si="61"/>
        <v>Opex fix (admin, crew, insurance)</v>
      </c>
      <c r="B66" s="66">
        <f>B36/B47</f>
        <v>3.6414565826330532</v>
      </c>
      <c r="C66" s="66">
        <f t="shared" ref="C66:AC66" si="66">C36/C47</f>
        <v>3.6414565826330532</v>
      </c>
      <c r="D66" s="66">
        <f t="shared" si="66"/>
        <v>3.6414565826330532</v>
      </c>
      <c r="E66" s="66">
        <f t="shared" si="66"/>
        <v>3.6414565826330532</v>
      </c>
      <c r="F66" s="66">
        <f t="shared" si="66"/>
        <v>3.6414565826330532</v>
      </c>
      <c r="G66" s="66">
        <f t="shared" si="66"/>
        <v>3.6414565826330532</v>
      </c>
      <c r="H66" s="66">
        <f t="shared" si="66"/>
        <v>3.6414565826330532</v>
      </c>
      <c r="I66" s="66">
        <f t="shared" si="66"/>
        <v>3.6414565826330532</v>
      </c>
      <c r="J66" s="66">
        <f t="shared" si="66"/>
        <v>3.6414565826330532</v>
      </c>
      <c r="K66" s="66">
        <f t="shared" si="66"/>
        <v>3.6414565826330532</v>
      </c>
      <c r="L66" s="66">
        <f t="shared" si="66"/>
        <v>3.6414565826330532</v>
      </c>
      <c r="M66" s="66">
        <f t="shared" si="66"/>
        <v>3.6414565826330532</v>
      </c>
      <c r="N66" s="66">
        <f t="shared" si="66"/>
        <v>3.6414565826330532</v>
      </c>
      <c r="O66" s="66">
        <f t="shared" si="66"/>
        <v>3.6414565826330532</v>
      </c>
      <c r="P66" s="66">
        <f t="shared" si="66"/>
        <v>3.6414565826330532</v>
      </c>
      <c r="Q66" s="66">
        <f t="shared" si="66"/>
        <v>3.6414565826330532</v>
      </c>
      <c r="R66" s="66">
        <f t="shared" si="66"/>
        <v>3.6414565826330532</v>
      </c>
      <c r="S66" s="66">
        <f t="shared" si="66"/>
        <v>3.6414565826330532</v>
      </c>
      <c r="T66" s="66">
        <f t="shared" si="66"/>
        <v>3.6414565826330532</v>
      </c>
      <c r="U66" s="66">
        <f t="shared" si="66"/>
        <v>3.6414565826330532</v>
      </c>
      <c r="V66" s="66">
        <f t="shared" si="66"/>
        <v>3.6414565826330532</v>
      </c>
      <c r="W66" s="66">
        <f t="shared" si="66"/>
        <v>3.6414565826330532</v>
      </c>
      <c r="X66" s="66">
        <f t="shared" si="66"/>
        <v>3.6414565826330532</v>
      </c>
      <c r="Y66" s="66">
        <f t="shared" si="66"/>
        <v>3.6414565826330532</v>
      </c>
      <c r="Z66" s="66">
        <f t="shared" si="66"/>
        <v>3.6414565826330532</v>
      </c>
      <c r="AA66" s="66">
        <f t="shared" si="66"/>
        <v>3.6414565826330532</v>
      </c>
      <c r="AB66" s="66">
        <f t="shared" si="66"/>
        <v>3.6414565826330532</v>
      </c>
      <c r="AC66" s="66">
        <f t="shared" si="66"/>
        <v>3.6414565826330532</v>
      </c>
    </row>
    <row r="67" spans="1:29" x14ac:dyDescent="0.3">
      <c r="A67" s="30" t="str">
        <f t="shared" si="61"/>
        <v>Opex maintenance &amp; repair</v>
      </c>
      <c r="B67" s="66">
        <f>B37/B47</f>
        <v>3.6414565826330532</v>
      </c>
      <c r="C67" s="66">
        <f t="shared" ref="C67:AC67" si="67">C37/C47</f>
        <v>3.6414565826330532</v>
      </c>
      <c r="D67" s="66">
        <f t="shared" si="67"/>
        <v>3.6414565826330532</v>
      </c>
      <c r="E67" s="66">
        <f t="shared" si="67"/>
        <v>3.6414565826330532</v>
      </c>
      <c r="F67" s="66">
        <f t="shared" si="67"/>
        <v>3.6414565826330532</v>
      </c>
      <c r="G67" s="66">
        <f t="shared" si="67"/>
        <v>3.6414565826330532</v>
      </c>
      <c r="H67" s="66">
        <f t="shared" si="67"/>
        <v>3.6414565826330532</v>
      </c>
      <c r="I67" s="66">
        <f t="shared" si="67"/>
        <v>3.6414565826330532</v>
      </c>
      <c r="J67" s="66">
        <f t="shared" si="67"/>
        <v>3.6414565826330532</v>
      </c>
      <c r="K67" s="66">
        <f t="shared" si="67"/>
        <v>3.6414565826330532</v>
      </c>
      <c r="L67" s="66">
        <f t="shared" si="67"/>
        <v>3.6414565826330532</v>
      </c>
      <c r="M67" s="66">
        <f t="shared" si="67"/>
        <v>3.6414565826330532</v>
      </c>
      <c r="N67" s="66">
        <f t="shared" si="67"/>
        <v>3.6414565826330532</v>
      </c>
      <c r="O67" s="66">
        <f t="shared" si="67"/>
        <v>3.6414565826330532</v>
      </c>
      <c r="P67" s="66">
        <f t="shared" si="67"/>
        <v>3.6414565826330532</v>
      </c>
      <c r="Q67" s="66">
        <f t="shared" si="67"/>
        <v>3.6414565826330532</v>
      </c>
      <c r="R67" s="66">
        <f t="shared" si="67"/>
        <v>3.6414565826330532</v>
      </c>
      <c r="S67" s="66">
        <f t="shared" si="67"/>
        <v>3.6414565826330532</v>
      </c>
      <c r="T67" s="66">
        <f t="shared" si="67"/>
        <v>3.6414565826330532</v>
      </c>
      <c r="U67" s="66">
        <f t="shared" si="67"/>
        <v>3.6414565826330532</v>
      </c>
      <c r="V67" s="66">
        <f t="shared" si="67"/>
        <v>3.6414565826330532</v>
      </c>
      <c r="W67" s="66">
        <f t="shared" si="67"/>
        <v>3.6414565826330532</v>
      </c>
      <c r="X67" s="66">
        <f t="shared" si="67"/>
        <v>3.6414565826330532</v>
      </c>
      <c r="Y67" s="66">
        <f t="shared" si="67"/>
        <v>3.6414565826330532</v>
      </c>
      <c r="Z67" s="66">
        <f t="shared" si="67"/>
        <v>3.6414565826330532</v>
      </c>
      <c r="AA67" s="66">
        <f t="shared" si="67"/>
        <v>3.6414565826330532</v>
      </c>
      <c r="AB67" s="66">
        <f t="shared" si="67"/>
        <v>3.6414565826330532</v>
      </c>
      <c r="AC67" s="66">
        <f t="shared" si="67"/>
        <v>3.6414565826330532</v>
      </c>
    </row>
    <row r="68" spans="1:29" x14ac:dyDescent="0.3">
      <c r="A68" s="30" t="str">
        <f t="shared" si="61"/>
        <v>Opex var (mode-fees, shunting)</v>
      </c>
      <c r="B68" s="66">
        <f>B38*B47/B47</f>
        <v>3.9215686274509802</v>
      </c>
      <c r="C68" s="66">
        <f t="shared" ref="C68:AC68" si="68">C38*C47/C47</f>
        <v>3.9215686274509802</v>
      </c>
      <c r="D68" s="66">
        <f t="shared" si="68"/>
        <v>3.9215686274509802</v>
      </c>
      <c r="E68" s="66">
        <f t="shared" si="68"/>
        <v>3.9215686274509802</v>
      </c>
      <c r="F68" s="66">
        <f t="shared" si="68"/>
        <v>3.9215686274509802</v>
      </c>
      <c r="G68" s="66">
        <f t="shared" si="68"/>
        <v>3.9215686274509802</v>
      </c>
      <c r="H68" s="66">
        <f t="shared" si="68"/>
        <v>3.9215686274509802</v>
      </c>
      <c r="I68" s="66">
        <f t="shared" si="68"/>
        <v>3.9215686274509802</v>
      </c>
      <c r="J68" s="66">
        <f t="shared" si="68"/>
        <v>3.9215686274509802</v>
      </c>
      <c r="K68" s="66">
        <f t="shared" si="68"/>
        <v>3.9215686274509802</v>
      </c>
      <c r="L68" s="66">
        <f t="shared" si="68"/>
        <v>3.9215686274509802</v>
      </c>
      <c r="M68" s="66">
        <f t="shared" si="68"/>
        <v>3.9215686274509802</v>
      </c>
      <c r="N68" s="66">
        <f t="shared" si="68"/>
        <v>3.9215686274509802</v>
      </c>
      <c r="O68" s="66">
        <f t="shared" si="68"/>
        <v>3.9215686274509802</v>
      </c>
      <c r="P68" s="66">
        <f t="shared" si="68"/>
        <v>3.9215686274509802</v>
      </c>
      <c r="Q68" s="66">
        <f t="shared" si="68"/>
        <v>3.9215686274509802</v>
      </c>
      <c r="R68" s="66">
        <f t="shared" si="68"/>
        <v>3.9215686274509802</v>
      </c>
      <c r="S68" s="66">
        <f t="shared" si="68"/>
        <v>3.9215686274509802</v>
      </c>
      <c r="T68" s="66">
        <f t="shared" si="68"/>
        <v>3.9215686274509802</v>
      </c>
      <c r="U68" s="66">
        <f t="shared" si="68"/>
        <v>3.9215686274509802</v>
      </c>
      <c r="V68" s="66">
        <f t="shared" si="68"/>
        <v>3.9215686274509802</v>
      </c>
      <c r="W68" s="66">
        <f t="shared" si="68"/>
        <v>3.9215686274509802</v>
      </c>
      <c r="X68" s="66">
        <f t="shared" si="68"/>
        <v>3.9215686274509802</v>
      </c>
      <c r="Y68" s="66">
        <f t="shared" si="68"/>
        <v>3.9215686274509802</v>
      </c>
      <c r="Z68" s="66">
        <f t="shared" si="68"/>
        <v>3.9215686274509802</v>
      </c>
      <c r="AA68" s="66">
        <f t="shared" si="68"/>
        <v>3.9215686274509802</v>
      </c>
      <c r="AB68" s="66">
        <f t="shared" si="68"/>
        <v>3.9215686274509802</v>
      </c>
      <c r="AC68" s="66">
        <f t="shared" si="68"/>
        <v>3.9215686274509802</v>
      </c>
    </row>
    <row r="69" spans="1:29" x14ac:dyDescent="0.3">
      <c r="A69" s="30" t="str">
        <f t="shared" si="61"/>
        <v>Fuel Cost</v>
      </c>
      <c r="B69" s="66">
        <f>B39*B40*B47/B47</f>
        <v>2.3603435836286866</v>
      </c>
      <c r="C69" s="66">
        <f t="shared" ref="C69:AC69" si="69">C39*C40*C47/C47</f>
        <v>2.3575572709498713</v>
      </c>
      <c r="D69" s="66">
        <f t="shared" si="69"/>
        <v>2.3536011063688584</v>
      </c>
      <c r="E69" s="66">
        <f t="shared" si="69"/>
        <v>2.3480094478967404</v>
      </c>
      <c r="F69" s="66">
        <f t="shared" si="69"/>
        <v>2.3401588602837622</v>
      </c>
      <c r="G69" s="66">
        <f t="shared" si="69"/>
        <v>2.3292436936501706</v>
      </c>
      <c r="H69" s="66">
        <f t="shared" si="69"/>
        <v>2.3142794085327125</v>
      </c>
      <c r="I69" s="66">
        <f t="shared" si="69"/>
        <v>2.294169012842814</v>
      </c>
      <c r="J69" s="66">
        <f t="shared" si="69"/>
        <v>2.2678808406333895</v>
      </c>
      <c r="K69" s="66">
        <f t="shared" si="69"/>
        <v>2.2347753310134304</v>
      </c>
      <c r="L69" s="66">
        <f t="shared" si="69"/>
        <v>2.1950496697632809</v>
      </c>
      <c r="M69" s="66">
        <f t="shared" si="69"/>
        <v>2.1501289386333373</v>
      </c>
      <c r="N69" s="66">
        <f t="shared" si="69"/>
        <v>2.1027063070845782</v>
      </c>
      <c r="O69" s="66">
        <f t="shared" si="69"/>
        <v>2.056216864223154</v>
      </c>
      <c r="P69" s="66">
        <f t="shared" si="69"/>
        <v>2.0138965674684197</v>
      </c>
      <c r="Q69" s="66">
        <f t="shared" si="69"/>
        <v>1.9779303417530454</v>
      </c>
      <c r="R69" s="66">
        <f t="shared" si="69"/>
        <v>1.9491278361411155</v>
      </c>
      <c r="S69" s="66">
        <f t="shared" si="69"/>
        <v>1.9271502460127887</v>
      </c>
      <c r="T69" s="66">
        <f t="shared" si="69"/>
        <v>1.9109949546631928</v>
      </c>
      <c r="U69" s="66">
        <f t="shared" si="69"/>
        <v>1.8994441550614087</v>
      </c>
      <c r="V69" s="66">
        <f t="shared" si="69"/>
        <v>1.8913487503586066</v>
      </c>
      <c r="W69" s="66">
        <f t="shared" si="69"/>
        <v>1.8857543281265103</v>
      </c>
      <c r="X69" s="66">
        <f t="shared" si="69"/>
        <v>1.8819257862123342</v>
      </c>
      <c r="Y69" s="66">
        <f t="shared" si="69"/>
        <v>1.879323211714792</v>
      </c>
      <c r="Z69" s="66">
        <f t="shared" si="69"/>
        <v>1.8775620785122054</v>
      </c>
      <c r="AA69" s="66">
        <f t="shared" si="69"/>
        <v>1.8763740162150813</v>
      </c>
      <c r="AB69" s="66">
        <f t="shared" si="69"/>
        <v>1.8755742185784499</v>
      </c>
      <c r="AC69" s="66">
        <f t="shared" si="69"/>
        <v>1.8750365549231993</v>
      </c>
    </row>
    <row r="70" spans="1:29" ht="15" thickBot="1" x14ac:dyDescent="0.35">
      <c r="A70" s="59" t="str">
        <f t="shared" ref="A70" si="70">A58</f>
        <v>Emission Cost</v>
      </c>
      <c r="B70" s="66">
        <f>B41</f>
        <v>5.9070060812636778E-2</v>
      </c>
      <c r="C70" s="66">
        <f t="shared" ref="C70:AC70" si="71">C41</f>
        <v>5.9013811722223086E-2</v>
      </c>
      <c r="D70" s="66">
        <f t="shared" si="71"/>
        <v>5.8933292402143352E-2</v>
      </c>
      <c r="E70" s="66">
        <f t="shared" si="71"/>
        <v>5.8818103852397587E-2</v>
      </c>
      <c r="F70" s="66">
        <f t="shared" si="71"/>
        <v>5.8653473997195435E-2</v>
      </c>
      <c r="G70" s="66">
        <f t="shared" si="71"/>
        <v>5.8418511615834896E-2</v>
      </c>
      <c r="H70" s="66">
        <f t="shared" si="71"/>
        <v>5.8083867542195688E-2</v>
      </c>
      <c r="I70" s="66">
        <f t="shared" si="71"/>
        <v>5.760872092945437E-2</v>
      </c>
      <c r="J70" s="66">
        <f t="shared" si="71"/>
        <v>5.6937146851018805E-2</v>
      </c>
      <c r="K70" s="66">
        <f t="shared" si="71"/>
        <v>5.5994268961095287E-2</v>
      </c>
      <c r="L70" s="66">
        <f t="shared" si="71"/>
        <v>5.4683326418828664E-2</v>
      </c>
      <c r="M70" s="66">
        <f t="shared" si="71"/>
        <v>5.288607323583918E-2</v>
      </c>
      <c r="N70" s="66">
        <f t="shared" si="71"/>
        <v>5.0470757543766405E-2</v>
      </c>
      <c r="O70" s="66">
        <f t="shared" si="71"/>
        <v>4.7313473329551395E-2</v>
      </c>
      <c r="P70" s="66">
        <f t="shared" si="71"/>
        <v>4.3337407512043943E-2</v>
      </c>
      <c r="Q70" s="66">
        <f t="shared" si="71"/>
        <v>3.8566242664022157E-2</v>
      </c>
      <c r="R70" s="66">
        <f t="shared" si="71"/>
        <v>3.3171135154922579E-2</v>
      </c>
      <c r="S70" s="66">
        <f t="shared" si="71"/>
        <v>2.7475542293135265E-2</v>
      </c>
      <c r="T70" s="66">
        <f t="shared" si="71"/>
        <v>2.1892028045560286E-2</v>
      </c>
      <c r="U70" s="66">
        <f t="shared" si="71"/>
        <v>1.680924009742308E-2</v>
      </c>
      <c r="V70" s="66">
        <f t="shared" si="71"/>
        <v>1.2489594144429211E-2</v>
      </c>
      <c r="W70" s="66">
        <f t="shared" si="71"/>
        <v>9.0303313408408581E-3</v>
      </c>
      <c r="X70" s="66">
        <f t="shared" si="71"/>
        <v>6.3907602886633802E-3</v>
      </c>
      <c r="Y70" s="66">
        <f t="shared" si="71"/>
        <v>4.4504638714085373E-3</v>
      </c>
      <c r="Z70" s="66">
        <f t="shared" si="71"/>
        <v>3.0631800026883343E-3</v>
      </c>
      <c r="AA70" s="66">
        <f t="shared" si="71"/>
        <v>2.0908988843123671E-3</v>
      </c>
      <c r="AB70" s="66">
        <f t="shared" si="71"/>
        <v>1.4189928704466184E-3</v>
      </c>
      <c r="AC70" s="66">
        <f t="shared" si="71"/>
        <v>9.5917410279734022E-4</v>
      </c>
    </row>
    <row r="71" spans="1:29" ht="15" thickBot="1" x14ac:dyDescent="0.35">
      <c r="A71" s="31" t="s">
        <v>63</v>
      </c>
      <c r="B71" s="76">
        <f>B62+B63+B64-B65+B66+B67+B68+B69+B70</f>
        <v>17.49457368266388</v>
      </c>
      <c r="C71" s="76">
        <f t="shared" ref="C71:AC71" si="72">C62+C63+C64-C65+C66+C67+C68+C69+C70</f>
        <v>17.491731120894652</v>
      </c>
      <c r="D71" s="76">
        <f t="shared" si="72"/>
        <v>17.487694436993561</v>
      </c>
      <c r="E71" s="76">
        <f t="shared" si="72"/>
        <v>17.481987589971698</v>
      </c>
      <c r="F71" s="76">
        <f t="shared" si="72"/>
        <v>17.473972372503518</v>
      </c>
      <c r="G71" s="76">
        <f t="shared" si="72"/>
        <v>17.462822243488564</v>
      </c>
      <c r="H71" s="76">
        <f t="shared" si="72"/>
        <v>17.447523314297463</v>
      </c>
      <c r="I71" s="76">
        <f t="shared" si="72"/>
        <v>17.426937771994826</v>
      </c>
      <c r="J71" s="76">
        <f t="shared" si="72"/>
        <v>17.399978025706968</v>
      </c>
      <c r="K71" s="76">
        <f t="shared" si="72"/>
        <v>17.365929638197084</v>
      </c>
      <c r="L71" s="76">
        <f t="shared" si="72"/>
        <v>17.324893034404667</v>
      </c>
      <c r="M71" s="76">
        <f t="shared" si="72"/>
        <v>17.278175050091736</v>
      </c>
      <c r="N71" s="76">
        <f t="shared" si="72"/>
        <v>17.228337102850904</v>
      </c>
      <c r="O71" s="76">
        <f t="shared" si="72"/>
        <v>17.178690375775265</v>
      </c>
      <c r="P71" s="76">
        <f t="shared" si="72"/>
        <v>17.132394013203022</v>
      </c>
      <c r="Q71" s="76">
        <f t="shared" si="72"/>
        <v>17.091656622639626</v>
      </c>
      <c r="R71" s="76">
        <f t="shared" si="72"/>
        <v>17.057459009518595</v>
      </c>
      <c r="S71" s="76">
        <f t="shared" si="72"/>
        <v>17.029785826528482</v>
      </c>
      <c r="T71" s="76">
        <f t="shared" si="72"/>
        <v>17.008047020931311</v>
      </c>
      <c r="U71" s="76">
        <f t="shared" si="72"/>
        <v>16.991413433381389</v>
      </c>
      <c r="V71" s="76">
        <f t="shared" si="72"/>
        <v>16.978998382725596</v>
      </c>
      <c r="W71" s="76">
        <f t="shared" si="72"/>
        <v>16.969944697689911</v>
      </c>
      <c r="X71" s="76">
        <f t="shared" si="72"/>
        <v>16.963476584723555</v>
      </c>
      <c r="Y71" s="76">
        <f t="shared" si="72"/>
        <v>16.958933713808758</v>
      </c>
      <c r="Z71" s="76">
        <f t="shared" si="72"/>
        <v>16.955785296737449</v>
      </c>
      <c r="AA71" s="76">
        <f t="shared" si="72"/>
        <v>16.953624953321953</v>
      </c>
      <c r="AB71" s="76">
        <f t="shared" si="72"/>
        <v>16.952153249671454</v>
      </c>
      <c r="AC71" s="76">
        <f t="shared" si="72"/>
        <v>16.951155767248554</v>
      </c>
    </row>
    <row r="72" spans="1:29" ht="15" thickBot="1" x14ac:dyDescent="0.35"/>
    <row r="73" spans="1:29" ht="15" thickBot="1" x14ac:dyDescent="0.35">
      <c r="A73" s="26" t="s">
        <v>208</v>
      </c>
      <c r="B73" s="161">
        <v>2023</v>
      </c>
      <c r="C73" s="161">
        <v>2024</v>
      </c>
      <c r="D73" s="161">
        <v>2025</v>
      </c>
      <c r="E73" s="161">
        <v>2026</v>
      </c>
      <c r="F73" s="161">
        <v>2027</v>
      </c>
      <c r="G73" s="161">
        <v>2028</v>
      </c>
      <c r="H73" s="161">
        <v>2029</v>
      </c>
      <c r="I73" s="161">
        <v>2030</v>
      </c>
      <c r="J73" s="161">
        <v>2031</v>
      </c>
      <c r="K73" s="161">
        <v>2032</v>
      </c>
      <c r="L73" s="161">
        <v>2033</v>
      </c>
      <c r="M73" s="161">
        <v>2034</v>
      </c>
      <c r="N73" s="161">
        <v>2035</v>
      </c>
      <c r="O73" s="161">
        <v>2036</v>
      </c>
      <c r="P73" s="161">
        <v>2037</v>
      </c>
      <c r="Q73" s="161">
        <v>2038</v>
      </c>
      <c r="R73" s="161">
        <v>2039</v>
      </c>
      <c r="S73" s="161">
        <v>2040</v>
      </c>
      <c r="T73" s="161">
        <v>2041</v>
      </c>
      <c r="U73" s="161">
        <v>2042</v>
      </c>
      <c r="V73" s="161">
        <v>2043</v>
      </c>
      <c r="W73" s="161">
        <v>2044</v>
      </c>
      <c r="X73" s="161">
        <v>2045</v>
      </c>
      <c r="Y73" s="161">
        <v>2046</v>
      </c>
      <c r="Z73" s="161">
        <v>2047</v>
      </c>
      <c r="AA73" s="161">
        <v>2048</v>
      </c>
      <c r="AB73" s="161">
        <v>2049</v>
      </c>
      <c r="AC73" s="162">
        <v>2050</v>
      </c>
    </row>
    <row r="74" spans="1:29" x14ac:dyDescent="0.3">
      <c r="A74" s="29" t="str">
        <f t="shared" ref="A74:A81" si="73">A50</f>
        <v>Capex vehicle</v>
      </c>
      <c r="B74" s="65">
        <f>((1+B35)^B42)*B35/(((1+B35)^B42)-1)*(B31)/B47/(B44)</f>
        <v>1.0902430594344164E-3</v>
      </c>
      <c r="C74" s="65">
        <f t="shared" ref="C74:AC74" si="74">((1+C35)^C42)*C35/(((1+C35)^C42)-1)*(C31)/C47/(C44)</f>
        <v>1.0902430594344164E-3</v>
      </c>
      <c r="D74" s="65">
        <f t="shared" si="74"/>
        <v>1.0902430594344164E-3</v>
      </c>
      <c r="E74" s="65">
        <f t="shared" si="74"/>
        <v>1.0902430594344164E-3</v>
      </c>
      <c r="F74" s="65">
        <f t="shared" si="74"/>
        <v>1.0902430594344164E-3</v>
      </c>
      <c r="G74" s="65">
        <f t="shared" si="74"/>
        <v>1.0902430594344164E-3</v>
      </c>
      <c r="H74" s="65">
        <f t="shared" si="74"/>
        <v>1.0902430594344164E-3</v>
      </c>
      <c r="I74" s="65">
        <f t="shared" si="74"/>
        <v>1.0902430594344164E-3</v>
      </c>
      <c r="J74" s="65">
        <f t="shared" si="74"/>
        <v>1.0902430594344164E-3</v>
      </c>
      <c r="K74" s="65">
        <f t="shared" si="74"/>
        <v>1.0902430594344164E-3</v>
      </c>
      <c r="L74" s="65">
        <f t="shared" si="74"/>
        <v>1.0902430594344164E-3</v>
      </c>
      <c r="M74" s="65">
        <f t="shared" si="74"/>
        <v>1.0902430594344164E-3</v>
      </c>
      <c r="N74" s="65">
        <f t="shared" si="74"/>
        <v>1.0902430594344164E-3</v>
      </c>
      <c r="O74" s="65">
        <f t="shared" si="74"/>
        <v>1.0902430594344164E-3</v>
      </c>
      <c r="P74" s="65">
        <f t="shared" si="74"/>
        <v>1.0902430594344164E-3</v>
      </c>
      <c r="Q74" s="65">
        <f t="shared" si="74"/>
        <v>1.0902430594344164E-3</v>
      </c>
      <c r="R74" s="65">
        <f t="shared" si="74"/>
        <v>1.0902430594344164E-3</v>
      </c>
      <c r="S74" s="65">
        <f t="shared" si="74"/>
        <v>1.0902430594344164E-3</v>
      </c>
      <c r="T74" s="65">
        <f t="shared" si="74"/>
        <v>1.0902430594344164E-3</v>
      </c>
      <c r="U74" s="65">
        <f t="shared" si="74"/>
        <v>1.0902430594344164E-3</v>
      </c>
      <c r="V74" s="65">
        <f t="shared" si="74"/>
        <v>1.0902430594344164E-3</v>
      </c>
      <c r="W74" s="65">
        <f t="shared" si="74"/>
        <v>1.0902430594344164E-3</v>
      </c>
      <c r="X74" s="65">
        <f t="shared" si="74"/>
        <v>1.0902430594344164E-3</v>
      </c>
      <c r="Y74" s="65">
        <f t="shared" si="74"/>
        <v>1.0902430594344164E-3</v>
      </c>
      <c r="Z74" s="65">
        <f t="shared" si="74"/>
        <v>1.0902430594344164E-3</v>
      </c>
      <c r="AA74" s="65">
        <f t="shared" si="74"/>
        <v>1.0902430594344164E-3</v>
      </c>
      <c r="AB74" s="65">
        <f t="shared" si="74"/>
        <v>1.0902430594344164E-3</v>
      </c>
      <c r="AC74" s="65">
        <f t="shared" si="74"/>
        <v>1.0902430594344164E-3</v>
      </c>
    </row>
    <row r="75" spans="1:29" x14ac:dyDescent="0.3">
      <c r="A75" s="30" t="str">
        <f t="shared" si="73"/>
        <v>Residual value (vehicle)</v>
      </c>
      <c r="B75" s="68">
        <f>((1+B35)^B42)*B35/(((1+B35)^B42)-1)*(B32)/B47/(B44)</f>
        <v>-1.6353645891516245E-4</v>
      </c>
      <c r="C75" s="68">
        <f t="shared" ref="C75:AC75" si="75">((1+C35)^C42)*C35/(((1+C35)^C42)-1)*(C32)/C47/(C44)</f>
        <v>-1.6353645891516245E-4</v>
      </c>
      <c r="D75" s="68">
        <f t="shared" si="75"/>
        <v>-1.6353645891516245E-4</v>
      </c>
      <c r="E75" s="68">
        <f t="shared" si="75"/>
        <v>-1.6353645891516245E-4</v>
      </c>
      <c r="F75" s="68">
        <f t="shared" si="75"/>
        <v>-1.6353645891516245E-4</v>
      </c>
      <c r="G75" s="68">
        <f t="shared" si="75"/>
        <v>-1.6353645891516245E-4</v>
      </c>
      <c r="H75" s="68">
        <f t="shared" si="75"/>
        <v>-1.6353645891516245E-4</v>
      </c>
      <c r="I75" s="68">
        <f t="shared" si="75"/>
        <v>-1.6353645891516245E-4</v>
      </c>
      <c r="J75" s="68">
        <f t="shared" si="75"/>
        <v>-1.6353645891516245E-4</v>
      </c>
      <c r="K75" s="68">
        <f t="shared" si="75"/>
        <v>-1.6353645891516245E-4</v>
      </c>
      <c r="L75" s="68">
        <f t="shared" si="75"/>
        <v>-1.6353645891516245E-4</v>
      </c>
      <c r="M75" s="68">
        <f t="shared" si="75"/>
        <v>-1.6353645891516245E-4</v>
      </c>
      <c r="N75" s="68">
        <f t="shared" si="75"/>
        <v>-1.6353645891516245E-4</v>
      </c>
      <c r="O75" s="68">
        <f t="shared" si="75"/>
        <v>-1.6353645891516245E-4</v>
      </c>
      <c r="P75" s="68">
        <f t="shared" si="75"/>
        <v>-1.6353645891516245E-4</v>
      </c>
      <c r="Q75" s="68">
        <f t="shared" si="75"/>
        <v>-1.6353645891516245E-4</v>
      </c>
      <c r="R75" s="68">
        <f t="shared" si="75"/>
        <v>-1.6353645891516245E-4</v>
      </c>
      <c r="S75" s="68">
        <f t="shared" si="75"/>
        <v>-1.6353645891516245E-4</v>
      </c>
      <c r="T75" s="68">
        <f t="shared" si="75"/>
        <v>-1.6353645891516245E-4</v>
      </c>
      <c r="U75" s="68">
        <f t="shared" si="75"/>
        <v>-1.6353645891516245E-4</v>
      </c>
      <c r="V75" s="68">
        <f t="shared" si="75"/>
        <v>-1.6353645891516245E-4</v>
      </c>
      <c r="W75" s="68">
        <f t="shared" si="75"/>
        <v>-1.6353645891516245E-4</v>
      </c>
      <c r="X75" s="68">
        <f t="shared" si="75"/>
        <v>-1.6353645891516245E-4</v>
      </c>
      <c r="Y75" s="68">
        <f t="shared" si="75"/>
        <v>-1.6353645891516245E-4</v>
      </c>
      <c r="Z75" s="68">
        <f t="shared" si="75"/>
        <v>-1.6353645891516245E-4</v>
      </c>
      <c r="AA75" s="68">
        <f t="shared" si="75"/>
        <v>-1.6353645891516245E-4</v>
      </c>
      <c r="AB75" s="68">
        <f t="shared" si="75"/>
        <v>-1.6353645891516245E-4</v>
      </c>
      <c r="AC75" s="68">
        <f t="shared" si="75"/>
        <v>-1.6353645891516245E-4</v>
      </c>
    </row>
    <row r="76" spans="1:29" x14ac:dyDescent="0.3">
      <c r="A76" s="30" t="str">
        <f t="shared" si="73"/>
        <v>Capex costumization</v>
      </c>
      <c r="B76" s="66">
        <f>((1+B35)^B43)*B35/(((1+B35)^B43)-1)*(B33)/B47/(B44)</f>
        <v>7.6311881817276459E-4</v>
      </c>
      <c r="C76" s="66">
        <f t="shared" ref="C76:AC76" si="76">((1+C35)^C43)*C35/(((1+C35)^C43)-1)*(C33)/C47/(C44)</f>
        <v>7.6311881817276459E-4</v>
      </c>
      <c r="D76" s="66">
        <f t="shared" si="76"/>
        <v>7.6311881817276459E-4</v>
      </c>
      <c r="E76" s="66">
        <f t="shared" si="76"/>
        <v>7.6311881817276459E-4</v>
      </c>
      <c r="F76" s="66">
        <f t="shared" si="76"/>
        <v>7.6311881817276459E-4</v>
      </c>
      <c r="G76" s="66">
        <f t="shared" si="76"/>
        <v>7.6311881817276459E-4</v>
      </c>
      <c r="H76" s="66">
        <f t="shared" si="76"/>
        <v>7.6311881817276459E-4</v>
      </c>
      <c r="I76" s="66">
        <f t="shared" si="76"/>
        <v>7.6311881817276459E-4</v>
      </c>
      <c r="J76" s="66">
        <f t="shared" si="76"/>
        <v>7.6311881817276459E-4</v>
      </c>
      <c r="K76" s="66">
        <f t="shared" si="76"/>
        <v>7.6311881817276459E-4</v>
      </c>
      <c r="L76" s="66">
        <f t="shared" si="76"/>
        <v>7.6311881817276459E-4</v>
      </c>
      <c r="M76" s="66">
        <f t="shared" si="76"/>
        <v>7.6311881817276459E-4</v>
      </c>
      <c r="N76" s="66">
        <f t="shared" si="76"/>
        <v>7.6311881817276459E-4</v>
      </c>
      <c r="O76" s="66">
        <f t="shared" si="76"/>
        <v>7.6311881817276459E-4</v>
      </c>
      <c r="P76" s="66">
        <f t="shared" si="76"/>
        <v>7.6311881817276459E-4</v>
      </c>
      <c r="Q76" s="66">
        <f t="shared" si="76"/>
        <v>7.6311881817276459E-4</v>
      </c>
      <c r="R76" s="66">
        <f t="shared" si="76"/>
        <v>7.6311881817276459E-4</v>
      </c>
      <c r="S76" s="66">
        <f t="shared" si="76"/>
        <v>7.6311881817276459E-4</v>
      </c>
      <c r="T76" s="66">
        <f t="shared" si="76"/>
        <v>7.6311881817276459E-4</v>
      </c>
      <c r="U76" s="66">
        <f t="shared" si="76"/>
        <v>7.6311881817276459E-4</v>
      </c>
      <c r="V76" s="66">
        <f t="shared" si="76"/>
        <v>7.6311881817276459E-4</v>
      </c>
      <c r="W76" s="66">
        <f t="shared" si="76"/>
        <v>7.6311881817276459E-4</v>
      </c>
      <c r="X76" s="66">
        <f t="shared" si="76"/>
        <v>7.6311881817276459E-4</v>
      </c>
      <c r="Y76" s="66">
        <f t="shared" si="76"/>
        <v>7.6311881817276459E-4</v>
      </c>
      <c r="Z76" s="66">
        <f t="shared" si="76"/>
        <v>7.6311881817276459E-4</v>
      </c>
      <c r="AA76" s="66">
        <f t="shared" si="76"/>
        <v>7.6311881817276459E-4</v>
      </c>
      <c r="AB76" s="66">
        <f t="shared" si="76"/>
        <v>7.6311881817276459E-4</v>
      </c>
      <c r="AC76" s="66">
        <f t="shared" si="76"/>
        <v>7.6311881817276459E-4</v>
      </c>
    </row>
    <row r="77" spans="1:29" x14ac:dyDescent="0.3">
      <c r="A77" s="30" t="str">
        <f t="shared" si="73"/>
        <v>Residual value (costumization)</v>
      </c>
      <c r="B77" s="69">
        <f>((1+B35)^B43)*B35/(((1+B35)^B43)-1)*(B34)/B47/(B44)</f>
        <v>-3.8155940908638231E-5</v>
      </c>
      <c r="C77" s="69">
        <f t="shared" ref="C77:AC77" si="77">((1+C35)^C43)*C35/(((1+C35)^C43)-1)*(C34)/C47/(C44)</f>
        <v>-3.8155940908638231E-5</v>
      </c>
      <c r="D77" s="69">
        <f t="shared" si="77"/>
        <v>-3.8155940908638231E-5</v>
      </c>
      <c r="E77" s="69">
        <f t="shared" si="77"/>
        <v>-3.8155940908638231E-5</v>
      </c>
      <c r="F77" s="69">
        <f t="shared" si="77"/>
        <v>-3.8155940908638231E-5</v>
      </c>
      <c r="G77" s="69">
        <f t="shared" si="77"/>
        <v>-3.8155940908638231E-5</v>
      </c>
      <c r="H77" s="69">
        <f t="shared" si="77"/>
        <v>-3.8155940908638231E-5</v>
      </c>
      <c r="I77" s="69">
        <f t="shared" si="77"/>
        <v>-3.8155940908638231E-5</v>
      </c>
      <c r="J77" s="69">
        <f t="shared" si="77"/>
        <v>-3.8155940908638231E-5</v>
      </c>
      <c r="K77" s="69">
        <f t="shared" si="77"/>
        <v>-3.8155940908638231E-5</v>
      </c>
      <c r="L77" s="69">
        <f t="shared" si="77"/>
        <v>-3.8155940908638231E-5</v>
      </c>
      <c r="M77" s="69">
        <f t="shared" si="77"/>
        <v>-3.8155940908638231E-5</v>
      </c>
      <c r="N77" s="69">
        <f t="shared" si="77"/>
        <v>-3.8155940908638231E-5</v>
      </c>
      <c r="O77" s="69">
        <f t="shared" si="77"/>
        <v>-3.8155940908638231E-5</v>
      </c>
      <c r="P77" s="69">
        <f t="shared" si="77"/>
        <v>-3.8155940908638231E-5</v>
      </c>
      <c r="Q77" s="69">
        <f t="shared" si="77"/>
        <v>-3.8155940908638231E-5</v>
      </c>
      <c r="R77" s="69">
        <f t="shared" si="77"/>
        <v>-3.8155940908638231E-5</v>
      </c>
      <c r="S77" s="69">
        <f t="shared" si="77"/>
        <v>-3.8155940908638231E-5</v>
      </c>
      <c r="T77" s="69">
        <f t="shared" si="77"/>
        <v>-3.8155940908638231E-5</v>
      </c>
      <c r="U77" s="69">
        <f t="shared" si="77"/>
        <v>-3.8155940908638231E-5</v>
      </c>
      <c r="V77" s="69">
        <f t="shared" si="77"/>
        <v>-3.8155940908638231E-5</v>
      </c>
      <c r="W77" s="69">
        <f t="shared" si="77"/>
        <v>-3.8155940908638231E-5</v>
      </c>
      <c r="X77" s="69">
        <f t="shared" si="77"/>
        <v>-3.8155940908638231E-5</v>
      </c>
      <c r="Y77" s="69">
        <f t="shared" si="77"/>
        <v>-3.8155940908638231E-5</v>
      </c>
      <c r="Z77" s="69">
        <f t="shared" si="77"/>
        <v>-3.8155940908638231E-5</v>
      </c>
      <c r="AA77" s="69">
        <f t="shared" si="77"/>
        <v>-3.8155940908638231E-5</v>
      </c>
      <c r="AB77" s="69">
        <f t="shared" si="77"/>
        <v>-3.8155940908638231E-5</v>
      </c>
      <c r="AC77" s="69">
        <f t="shared" si="77"/>
        <v>-3.8155940908638231E-5</v>
      </c>
    </row>
    <row r="78" spans="1:29" x14ac:dyDescent="0.3">
      <c r="A78" s="30" t="str">
        <f t="shared" si="73"/>
        <v>Opex fix (admin, crew, insurance)</v>
      </c>
      <c r="B78" s="66">
        <f>B36/B47/(B44)</f>
        <v>1.6256502601040416E-3</v>
      </c>
      <c r="C78" s="66">
        <f t="shared" ref="C78:AC78" si="78">C36/C47/(C44)</f>
        <v>1.6256502601040416E-3</v>
      </c>
      <c r="D78" s="66">
        <f t="shared" si="78"/>
        <v>1.6256502601040416E-3</v>
      </c>
      <c r="E78" s="66">
        <f t="shared" si="78"/>
        <v>1.6256502601040416E-3</v>
      </c>
      <c r="F78" s="66">
        <f t="shared" si="78"/>
        <v>1.6256502601040416E-3</v>
      </c>
      <c r="G78" s="66">
        <f t="shared" si="78"/>
        <v>1.6256502601040416E-3</v>
      </c>
      <c r="H78" s="66">
        <f t="shared" si="78"/>
        <v>1.6256502601040416E-3</v>
      </c>
      <c r="I78" s="66">
        <f t="shared" si="78"/>
        <v>1.6256502601040416E-3</v>
      </c>
      <c r="J78" s="66">
        <f t="shared" si="78"/>
        <v>1.6256502601040416E-3</v>
      </c>
      <c r="K78" s="66">
        <f t="shared" si="78"/>
        <v>1.6256502601040416E-3</v>
      </c>
      <c r="L78" s="66">
        <f t="shared" si="78"/>
        <v>1.6256502601040416E-3</v>
      </c>
      <c r="M78" s="66">
        <f t="shared" si="78"/>
        <v>1.6256502601040416E-3</v>
      </c>
      <c r="N78" s="66">
        <f t="shared" si="78"/>
        <v>1.6256502601040416E-3</v>
      </c>
      <c r="O78" s="66">
        <f t="shared" si="78"/>
        <v>1.6256502601040416E-3</v>
      </c>
      <c r="P78" s="66">
        <f t="shared" si="78"/>
        <v>1.6256502601040416E-3</v>
      </c>
      <c r="Q78" s="66">
        <f t="shared" si="78"/>
        <v>1.6256502601040416E-3</v>
      </c>
      <c r="R78" s="66">
        <f t="shared" si="78"/>
        <v>1.6256502601040416E-3</v>
      </c>
      <c r="S78" s="66">
        <f t="shared" si="78"/>
        <v>1.6256502601040416E-3</v>
      </c>
      <c r="T78" s="66">
        <f t="shared" si="78"/>
        <v>1.6256502601040416E-3</v>
      </c>
      <c r="U78" s="66">
        <f t="shared" si="78"/>
        <v>1.6256502601040416E-3</v>
      </c>
      <c r="V78" s="66">
        <f t="shared" si="78"/>
        <v>1.6256502601040416E-3</v>
      </c>
      <c r="W78" s="66">
        <f t="shared" si="78"/>
        <v>1.6256502601040416E-3</v>
      </c>
      <c r="X78" s="66">
        <f t="shared" si="78"/>
        <v>1.6256502601040416E-3</v>
      </c>
      <c r="Y78" s="66">
        <f t="shared" si="78"/>
        <v>1.6256502601040416E-3</v>
      </c>
      <c r="Z78" s="66">
        <f t="shared" si="78"/>
        <v>1.6256502601040416E-3</v>
      </c>
      <c r="AA78" s="66">
        <f t="shared" si="78"/>
        <v>1.6256502601040416E-3</v>
      </c>
      <c r="AB78" s="66">
        <f t="shared" si="78"/>
        <v>1.6256502601040416E-3</v>
      </c>
      <c r="AC78" s="66">
        <f t="shared" si="78"/>
        <v>1.6256502601040416E-3</v>
      </c>
    </row>
    <row r="79" spans="1:29" x14ac:dyDescent="0.3">
      <c r="A79" s="30" t="str">
        <f t="shared" si="73"/>
        <v>Opex maintenance &amp; repair</v>
      </c>
      <c r="B79" s="66">
        <f>B37/B47/(B44)</f>
        <v>1.6256502601040416E-3</v>
      </c>
      <c r="C79" s="66">
        <f t="shared" ref="C79:AC79" si="79">C37/C47/(C44)</f>
        <v>1.6256502601040416E-3</v>
      </c>
      <c r="D79" s="66">
        <f t="shared" si="79"/>
        <v>1.6256502601040416E-3</v>
      </c>
      <c r="E79" s="66">
        <f t="shared" si="79"/>
        <v>1.6256502601040416E-3</v>
      </c>
      <c r="F79" s="66">
        <f t="shared" si="79"/>
        <v>1.6256502601040416E-3</v>
      </c>
      <c r="G79" s="66">
        <f t="shared" si="79"/>
        <v>1.6256502601040416E-3</v>
      </c>
      <c r="H79" s="66">
        <f t="shared" si="79"/>
        <v>1.6256502601040416E-3</v>
      </c>
      <c r="I79" s="66">
        <f t="shared" si="79"/>
        <v>1.6256502601040416E-3</v>
      </c>
      <c r="J79" s="66">
        <f t="shared" si="79"/>
        <v>1.6256502601040416E-3</v>
      </c>
      <c r="K79" s="66">
        <f t="shared" si="79"/>
        <v>1.6256502601040416E-3</v>
      </c>
      <c r="L79" s="66">
        <f t="shared" si="79"/>
        <v>1.6256502601040416E-3</v>
      </c>
      <c r="M79" s="66">
        <f t="shared" si="79"/>
        <v>1.6256502601040416E-3</v>
      </c>
      <c r="N79" s="66">
        <f t="shared" si="79"/>
        <v>1.6256502601040416E-3</v>
      </c>
      <c r="O79" s="66">
        <f t="shared" si="79"/>
        <v>1.6256502601040416E-3</v>
      </c>
      <c r="P79" s="66">
        <f t="shared" si="79"/>
        <v>1.6256502601040416E-3</v>
      </c>
      <c r="Q79" s="66">
        <f t="shared" si="79"/>
        <v>1.6256502601040416E-3</v>
      </c>
      <c r="R79" s="66">
        <f t="shared" si="79"/>
        <v>1.6256502601040416E-3</v>
      </c>
      <c r="S79" s="66">
        <f t="shared" si="79"/>
        <v>1.6256502601040416E-3</v>
      </c>
      <c r="T79" s="66">
        <f t="shared" si="79"/>
        <v>1.6256502601040416E-3</v>
      </c>
      <c r="U79" s="66">
        <f t="shared" si="79"/>
        <v>1.6256502601040416E-3</v>
      </c>
      <c r="V79" s="66">
        <f t="shared" si="79"/>
        <v>1.6256502601040416E-3</v>
      </c>
      <c r="W79" s="66">
        <f t="shared" si="79"/>
        <v>1.6256502601040416E-3</v>
      </c>
      <c r="X79" s="66">
        <f t="shared" si="79"/>
        <v>1.6256502601040416E-3</v>
      </c>
      <c r="Y79" s="66">
        <f t="shared" si="79"/>
        <v>1.6256502601040416E-3</v>
      </c>
      <c r="Z79" s="66">
        <f t="shared" si="79"/>
        <v>1.6256502601040416E-3</v>
      </c>
      <c r="AA79" s="66">
        <f t="shared" si="79"/>
        <v>1.6256502601040416E-3</v>
      </c>
      <c r="AB79" s="66">
        <f t="shared" si="79"/>
        <v>1.6256502601040416E-3</v>
      </c>
      <c r="AC79" s="66">
        <f t="shared" si="79"/>
        <v>1.6256502601040416E-3</v>
      </c>
    </row>
    <row r="80" spans="1:29" x14ac:dyDescent="0.3">
      <c r="A80" s="30" t="str">
        <f t="shared" si="73"/>
        <v>Opex var (mode-fees, shunting)</v>
      </c>
      <c r="B80" s="66">
        <f>B38*B47/B47/(B44)</f>
        <v>1.7507002801120447E-3</v>
      </c>
      <c r="C80" s="66">
        <f t="shared" ref="C80:AC80" si="80">C38*C47/C47/(C44)</f>
        <v>1.7507002801120447E-3</v>
      </c>
      <c r="D80" s="66">
        <f t="shared" si="80"/>
        <v>1.7507002801120447E-3</v>
      </c>
      <c r="E80" s="66">
        <f t="shared" si="80"/>
        <v>1.7507002801120447E-3</v>
      </c>
      <c r="F80" s="66">
        <f t="shared" si="80"/>
        <v>1.7507002801120447E-3</v>
      </c>
      <c r="G80" s="66">
        <f t="shared" si="80"/>
        <v>1.7507002801120447E-3</v>
      </c>
      <c r="H80" s="66">
        <f t="shared" si="80"/>
        <v>1.7507002801120447E-3</v>
      </c>
      <c r="I80" s="66">
        <f t="shared" si="80"/>
        <v>1.7507002801120447E-3</v>
      </c>
      <c r="J80" s="66">
        <f t="shared" si="80"/>
        <v>1.7507002801120447E-3</v>
      </c>
      <c r="K80" s="66">
        <f t="shared" si="80"/>
        <v>1.7507002801120447E-3</v>
      </c>
      <c r="L80" s="66">
        <f t="shared" si="80"/>
        <v>1.7507002801120447E-3</v>
      </c>
      <c r="M80" s="66">
        <f t="shared" si="80"/>
        <v>1.7507002801120447E-3</v>
      </c>
      <c r="N80" s="66">
        <f t="shared" si="80"/>
        <v>1.7507002801120447E-3</v>
      </c>
      <c r="O80" s="66">
        <f t="shared" si="80"/>
        <v>1.7507002801120447E-3</v>
      </c>
      <c r="P80" s="66">
        <f t="shared" si="80"/>
        <v>1.7507002801120447E-3</v>
      </c>
      <c r="Q80" s="66">
        <f t="shared" si="80"/>
        <v>1.7507002801120447E-3</v>
      </c>
      <c r="R80" s="66">
        <f t="shared" si="80"/>
        <v>1.7507002801120447E-3</v>
      </c>
      <c r="S80" s="66">
        <f t="shared" si="80"/>
        <v>1.7507002801120447E-3</v>
      </c>
      <c r="T80" s="66">
        <f t="shared" si="80"/>
        <v>1.7507002801120447E-3</v>
      </c>
      <c r="U80" s="66">
        <f t="shared" si="80"/>
        <v>1.7507002801120447E-3</v>
      </c>
      <c r="V80" s="66">
        <f t="shared" si="80"/>
        <v>1.7507002801120447E-3</v>
      </c>
      <c r="W80" s="66">
        <f t="shared" si="80"/>
        <v>1.7507002801120447E-3</v>
      </c>
      <c r="X80" s="66">
        <f t="shared" si="80"/>
        <v>1.7507002801120447E-3</v>
      </c>
      <c r="Y80" s="66">
        <f t="shared" si="80"/>
        <v>1.7507002801120447E-3</v>
      </c>
      <c r="Z80" s="66">
        <f t="shared" si="80"/>
        <v>1.7507002801120447E-3</v>
      </c>
      <c r="AA80" s="66">
        <f t="shared" si="80"/>
        <v>1.7507002801120447E-3</v>
      </c>
      <c r="AB80" s="66">
        <f t="shared" si="80"/>
        <v>1.7507002801120447E-3</v>
      </c>
      <c r="AC80" s="66">
        <f t="shared" si="80"/>
        <v>1.7507002801120447E-3</v>
      </c>
    </row>
    <row r="81" spans="1:29" x14ac:dyDescent="0.3">
      <c r="A81" s="30" t="str">
        <f t="shared" si="73"/>
        <v>Fuel Cost</v>
      </c>
      <c r="B81" s="66">
        <f>B39*B40*B47/B47/(B44)</f>
        <v>1.0537248141199494E-3</v>
      </c>
      <c r="C81" s="66">
        <f t="shared" ref="C81:AC81" si="81">C39*C40*C47/C47/(C44)</f>
        <v>1.0524809245311927E-3</v>
      </c>
      <c r="D81" s="66">
        <f t="shared" si="81"/>
        <v>1.0507147796289546E-3</v>
      </c>
      <c r="E81" s="66">
        <f t="shared" si="81"/>
        <v>1.0482185035253304E-3</v>
      </c>
      <c r="F81" s="66">
        <f t="shared" si="81"/>
        <v>1.0447137769123939E-3</v>
      </c>
      <c r="G81" s="66">
        <f t="shared" si="81"/>
        <v>1.0398409346652547E-3</v>
      </c>
      <c r="H81" s="66">
        <f t="shared" si="81"/>
        <v>1.0331604502378181E-3</v>
      </c>
      <c r="I81" s="66">
        <f t="shared" si="81"/>
        <v>1.0241825950191134E-3</v>
      </c>
      <c r="J81" s="66">
        <f t="shared" si="81"/>
        <v>1.0124468038541917E-3</v>
      </c>
      <c r="K81" s="66">
        <f t="shared" si="81"/>
        <v>9.9766755848813859E-4</v>
      </c>
      <c r="L81" s="66">
        <f t="shared" si="81"/>
        <v>9.7993288828717904E-4</v>
      </c>
      <c r="M81" s="66">
        <f t="shared" si="81"/>
        <v>9.5987899046131133E-4</v>
      </c>
      <c r="N81" s="66">
        <f t="shared" si="81"/>
        <v>9.3870817280561521E-4</v>
      </c>
      <c r="O81" s="66">
        <f t="shared" si="81"/>
        <v>9.179539572424794E-4</v>
      </c>
      <c r="P81" s="66">
        <f t="shared" si="81"/>
        <v>8.9906096761983021E-4</v>
      </c>
      <c r="Q81" s="66">
        <f t="shared" si="81"/>
        <v>8.8300461685403807E-4</v>
      </c>
      <c r="R81" s="66">
        <f t="shared" si="81"/>
        <v>8.7014635542014083E-4</v>
      </c>
      <c r="S81" s="66">
        <f t="shared" si="81"/>
        <v>8.603349312557093E-4</v>
      </c>
      <c r="T81" s="66">
        <f t="shared" si="81"/>
        <v>8.5312274761749677E-4</v>
      </c>
      <c r="U81" s="66">
        <f t="shared" si="81"/>
        <v>8.4796614065241465E-4</v>
      </c>
      <c r="V81" s="66">
        <f t="shared" si="81"/>
        <v>8.4435212069580658E-4</v>
      </c>
      <c r="W81" s="66">
        <f t="shared" si="81"/>
        <v>8.4185461077076356E-4</v>
      </c>
      <c r="X81" s="66">
        <f t="shared" si="81"/>
        <v>8.4014544027336349E-4</v>
      </c>
      <c r="Y81" s="66">
        <f t="shared" si="81"/>
        <v>8.3898357665838929E-4</v>
      </c>
      <c r="Z81" s="66">
        <f t="shared" si="81"/>
        <v>8.3819735647866316E-4</v>
      </c>
      <c r="AA81" s="66">
        <f t="shared" si="81"/>
        <v>8.3766697152458987E-4</v>
      </c>
      <c r="AB81" s="66">
        <f t="shared" si="81"/>
        <v>8.3730991900823654E-4</v>
      </c>
      <c r="AC81" s="66">
        <f t="shared" si="81"/>
        <v>8.3706989059071399E-4</v>
      </c>
    </row>
    <row r="82" spans="1:29" x14ac:dyDescent="0.3">
      <c r="A82" s="59" t="str">
        <f>A45</f>
        <v>Market failure (av. utilization)</v>
      </c>
      <c r="B82" s="66">
        <f t="shared" ref="B82:AC82" si="82">B71/B45-B71/B44</f>
        <v>8.4609173316454768E-3</v>
      </c>
      <c r="C82" s="66">
        <f t="shared" si="82"/>
        <v>8.4595425807898229E-3</v>
      </c>
      <c r="D82" s="66">
        <f t="shared" si="82"/>
        <v>8.4575903155102786E-3</v>
      </c>
      <c r="E82" s="66">
        <f t="shared" si="82"/>
        <v>8.4548303076500009E-3</v>
      </c>
      <c r="F82" s="66">
        <f t="shared" si="82"/>
        <v>8.4509539003923273E-3</v>
      </c>
      <c r="G82" s="66">
        <f t="shared" si="82"/>
        <v>8.4455613528776532E-3</v>
      </c>
      <c r="H82" s="66">
        <f t="shared" si="82"/>
        <v>8.4381623171825536E-3</v>
      </c>
      <c r="I82" s="66">
        <f t="shared" si="82"/>
        <v>8.4282065117534492E-3</v>
      </c>
      <c r="J82" s="66">
        <f t="shared" si="82"/>
        <v>8.4151679439803048E-3</v>
      </c>
      <c r="K82" s="66">
        <f t="shared" si="82"/>
        <v>8.3987010899018617E-3</v>
      </c>
      <c r="L82" s="66">
        <f t="shared" si="82"/>
        <v>8.3788545181272545E-3</v>
      </c>
      <c r="M82" s="66">
        <f t="shared" si="82"/>
        <v>8.3562602548806764E-3</v>
      </c>
      <c r="N82" s="66">
        <f t="shared" si="82"/>
        <v>8.3321570809918796E-3</v>
      </c>
      <c r="O82" s="66">
        <f t="shared" si="82"/>
        <v>8.3081463870936928E-3</v>
      </c>
      <c r="P82" s="66">
        <f t="shared" si="82"/>
        <v>8.285756033171103E-3</v>
      </c>
      <c r="Q82" s="66">
        <f t="shared" si="82"/>
        <v>8.2660541701754138E-3</v>
      </c>
      <c r="R82" s="66">
        <f t="shared" si="82"/>
        <v>8.2495151459725351E-3</v>
      </c>
      <c r="S82" s="66">
        <f t="shared" si="82"/>
        <v>8.2361315381276126E-3</v>
      </c>
      <c r="T82" s="66">
        <f t="shared" si="82"/>
        <v>8.2256179788730288E-3</v>
      </c>
      <c r="U82" s="66">
        <f t="shared" si="82"/>
        <v>8.2175734610847491E-3</v>
      </c>
      <c r="V82" s="66">
        <f t="shared" si="82"/>
        <v>8.2115691583122298E-3</v>
      </c>
      <c r="W82" s="66">
        <f t="shared" si="82"/>
        <v>8.2071905159958637E-3</v>
      </c>
      <c r="X82" s="66">
        <f t="shared" si="82"/>
        <v>8.2040623363618375E-3</v>
      </c>
      <c r="Y82" s="66">
        <f t="shared" si="82"/>
        <v>8.2018652633747691E-3</v>
      </c>
      <c r="Z82" s="66">
        <f t="shared" si="82"/>
        <v>8.2003425914280829E-3</v>
      </c>
      <c r="AA82" s="66">
        <f t="shared" si="82"/>
        <v>8.1992977824845749E-3</v>
      </c>
      <c r="AB82" s="66">
        <f t="shared" si="82"/>
        <v>8.1985860210464622E-3</v>
      </c>
      <c r="AC82" s="66">
        <f t="shared" si="82"/>
        <v>8.1981036076722927E-3</v>
      </c>
    </row>
    <row r="83" spans="1:29" x14ac:dyDescent="0.3">
      <c r="A83" s="59" t="str">
        <f>A46</f>
        <v>Payload loss (fuel)</v>
      </c>
      <c r="B83" s="66">
        <f>B71/(B44-B46)-B71/B44</f>
        <v>0</v>
      </c>
      <c r="C83" s="66">
        <f t="shared" ref="C83:AC83" si="83">C71/(C44-C46)-C71/C44</f>
        <v>0</v>
      </c>
      <c r="D83" s="66">
        <f t="shared" si="83"/>
        <v>0</v>
      </c>
      <c r="E83" s="66">
        <f t="shared" si="83"/>
        <v>0</v>
      </c>
      <c r="F83" s="66">
        <f t="shared" si="83"/>
        <v>0</v>
      </c>
      <c r="G83" s="66">
        <f t="shared" si="83"/>
        <v>0</v>
      </c>
      <c r="H83" s="66">
        <f t="shared" si="83"/>
        <v>0</v>
      </c>
      <c r="I83" s="66">
        <f t="shared" si="83"/>
        <v>0</v>
      </c>
      <c r="J83" s="66">
        <f t="shared" si="83"/>
        <v>0</v>
      </c>
      <c r="K83" s="66">
        <f t="shared" si="83"/>
        <v>0</v>
      </c>
      <c r="L83" s="66">
        <f t="shared" si="83"/>
        <v>0</v>
      </c>
      <c r="M83" s="66">
        <f t="shared" si="83"/>
        <v>0</v>
      </c>
      <c r="N83" s="66">
        <f t="shared" si="83"/>
        <v>0</v>
      </c>
      <c r="O83" s="66">
        <f t="shared" si="83"/>
        <v>0</v>
      </c>
      <c r="P83" s="66">
        <f t="shared" si="83"/>
        <v>0</v>
      </c>
      <c r="Q83" s="66">
        <f t="shared" si="83"/>
        <v>0</v>
      </c>
      <c r="R83" s="66">
        <f t="shared" si="83"/>
        <v>0</v>
      </c>
      <c r="S83" s="66">
        <f t="shared" si="83"/>
        <v>0</v>
      </c>
      <c r="T83" s="66">
        <f t="shared" si="83"/>
        <v>0</v>
      </c>
      <c r="U83" s="66">
        <f t="shared" si="83"/>
        <v>0</v>
      </c>
      <c r="V83" s="66">
        <f t="shared" si="83"/>
        <v>0</v>
      </c>
      <c r="W83" s="66">
        <f t="shared" si="83"/>
        <v>0</v>
      </c>
      <c r="X83" s="66">
        <f t="shared" si="83"/>
        <v>0</v>
      </c>
      <c r="Y83" s="66">
        <f t="shared" si="83"/>
        <v>0</v>
      </c>
      <c r="Z83" s="66">
        <f t="shared" si="83"/>
        <v>0</v>
      </c>
      <c r="AA83" s="66">
        <f t="shared" si="83"/>
        <v>0</v>
      </c>
      <c r="AB83" s="66">
        <f t="shared" si="83"/>
        <v>0</v>
      </c>
      <c r="AC83" s="66">
        <f t="shared" si="83"/>
        <v>0</v>
      </c>
    </row>
    <row r="84" spans="1:29" ht="15" thickBot="1" x14ac:dyDescent="0.35">
      <c r="A84" s="59" t="str">
        <f>A21</f>
        <v>Emission Cost</v>
      </c>
      <c r="B84" s="68">
        <f>B41*B47/B47/(B44)</f>
        <v>2.6370562862784274E-5</v>
      </c>
      <c r="C84" s="68">
        <f t="shared" ref="C84:AC84" si="84">C41*C47/C47/(C44)</f>
        <v>2.6345451661706736E-5</v>
      </c>
      <c r="D84" s="68">
        <f t="shared" si="84"/>
        <v>2.6309505536671141E-5</v>
      </c>
      <c r="E84" s="68">
        <f t="shared" si="84"/>
        <v>2.6258082076963209E-5</v>
      </c>
      <c r="F84" s="68">
        <f t="shared" si="84"/>
        <v>2.6184586605890821E-5</v>
      </c>
      <c r="G84" s="68">
        <f t="shared" si="84"/>
        <v>2.6079692685640579E-5</v>
      </c>
      <c r="H84" s="68">
        <f t="shared" si="84"/>
        <v>2.5930298009908791E-5</v>
      </c>
      <c r="I84" s="68">
        <f t="shared" si="84"/>
        <v>2.5718178986363559E-5</v>
      </c>
      <c r="J84" s="68">
        <f t="shared" si="84"/>
        <v>2.5418369129919108E-5</v>
      </c>
      <c r="K84" s="68">
        <f t="shared" si="84"/>
        <v>2.4997441500488967E-5</v>
      </c>
      <c r="L84" s="68">
        <f t="shared" si="84"/>
        <v>2.441219929411994E-5</v>
      </c>
      <c r="M84" s="68">
        <f t="shared" si="84"/>
        <v>2.360985412314249E-5</v>
      </c>
      <c r="N84" s="68">
        <f t="shared" si="84"/>
        <v>2.2531588189181431E-5</v>
      </c>
      <c r="O84" s="68">
        <f t="shared" si="84"/>
        <v>2.1122086307835443E-5</v>
      </c>
      <c r="P84" s="68">
        <f t="shared" si="84"/>
        <v>1.9347056925019619E-5</v>
      </c>
      <c r="Q84" s="68">
        <f t="shared" si="84"/>
        <v>1.7217072617867033E-5</v>
      </c>
      <c r="R84" s="68">
        <f t="shared" si="84"/>
        <v>1.4808542479876151E-5</v>
      </c>
      <c r="S84" s="68">
        <f t="shared" si="84"/>
        <v>1.2265867095149669E-5</v>
      </c>
      <c r="T84" s="68">
        <f t="shared" si="84"/>
        <v>9.7732268060536993E-6</v>
      </c>
      <c r="U84" s="68">
        <f t="shared" si="84"/>
        <v>7.5041250434924465E-6</v>
      </c>
      <c r="V84" s="68">
        <f t="shared" si="84"/>
        <v>5.5757116716201835E-6</v>
      </c>
      <c r="W84" s="68">
        <f t="shared" si="84"/>
        <v>4.0313979200182401E-6</v>
      </c>
      <c r="X84" s="68">
        <f t="shared" si="84"/>
        <v>2.8530179860104374E-6</v>
      </c>
      <c r="Y84" s="68">
        <f t="shared" si="84"/>
        <v>1.9868142283073829E-6</v>
      </c>
      <c r="Z84" s="68">
        <f t="shared" si="84"/>
        <v>1.3674910726287204E-6</v>
      </c>
      <c r="AA84" s="68">
        <f t="shared" si="84"/>
        <v>9.334370019251639E-7</v>
      </c>
      <c r="AB84" s="68">
        <f t="shared" si="84"/>
        <v>6.3347896002081178E-7</v>
      </c>
      <c r="AC84" s="68">
        <f t="shared" si="84"/>
        <v>4.2820272446309834E-7</v>
      </c>
    </row>
    <row r="85" spans="1:29" ht="15" thickBot="1" x14ac:dyDescent="0.35">
      <c r="A85" s="31" t="s">
        <v>210</v>
      </c>
      <c r="B85" s="76">
        <f>B74+B75+B76+B77+B78+B79+B80+B81+B82+B83+B84</f>
        <v>1.6194682986731719E-2</v>
      </c>
      <c r="C85" s="76">
        <f t="shared" ref="C85:AC85" si="85">C74+C75+C76+C77+C78+C79+C80+C81+C82+C83+C84</f>
        <v>1.619203923508623E-2</v>
      </c>
      <c r="D85" s="76">
        <f t="shared" si="85"/>
        <v>1.6188284878779411E-2</v>
      </c>
      <c r="E85" s="76">
        <f t="shared" si="85"/>
        <v>1.6182977171355806E-2</v>
      </c>
      <c r="F85" s="76">
        <f t="shared" si="85"/>
        <v>1.6175522542014122E-2</v>
      </c>
      <c r="G85" s="76">
        <f t="shared" si="85"/>
        <v>1.6165152258332056E-2</v>
      </c>
      <c r="H85" s="76">
        <f t="shared" si="85"/>
        <v>1.6150923343533789E-2</v>
      </c>
      <c r="I85" s="76">
        <f t="shared" si="85"/>
        <v>1.6131777563862436E-2</v>
      </c>
      <c r="J85" s="76">
        <f t="shared" si="85"/>
        <v>1.6106703395067926E-2</v>
      </c>
      <c r="K85" s="76">
        <f t="shared" si="85"/>
        <v>1.6075036367993997E-2</v>
      </c>
      <c r="L85" s="76">
        <f t="shared" si="85"/>
        <v>1.6036869883812064E-2</v>
      </c>
      <c r="M85" s="76">
        <f t="shared" si="85"/>
        <v>1.5993419377568638E-2</v>
      </c>
      <c r="N85" s="76">
        <f t="shared" si="85"/>
        <v>1.5947067120090183E-2</v>
      </c>
      <c r="O85" s="76">
        <f t="shared" si="85"/>
        <v>1.5900892708747515E-2</v>
      </c>
      <c r="P85" s="76">
        <f t="shared" si="85"/>
        <v>1.585783433581946E-2</v>
      </c>
      <c r="Q85" s="76">
        <f t="shared" si="85"/>
        <v>1.5819946137750826E-2</v>
      </c>
      <c r="R85" s="76">
        <f t="shared" si="85"/>
        <v>1.578814032197606E-2</v>
      </c>
      <c r="S85" s="76">
        <f t="shared" si="85"/>
        <v>1.5762402614581981E-2</v>
      </c>
      <c r="T85" s="76">
        <f t="shared" si="85"/>
        <v>1.5742184231400089E-2</v>
      </c>
      <c r="U85" s="76">
        <f t="shared" si="85"/>
        <v>1.5726714004884162E-2</v>
      </c>
      <c r="V85" s="76">
        <f t="shared" si="85"/>
        <v>1.5715167268783168E-2</v>
      </c>
      <c r="W85" s="76">
        <f t="shared" si="85"/>
        <v>1.5706746802790154E-2</v>
      </c>
      <c r="X85" s="76">
        <f t="shared" si="85"/>
        <v>1.5700731072724718E-2</v>
      </c>
      <c r="Y85" s="76">
        <f t="shared" si="85"/>
        <v>1.5696505932364976E-2</v>
      </c>
      <c r="Z85" s="76">
        <f t="shared" si="85"/>
        <v>1.5693577717082883E-2</v>
      </c>
      <c r="AA85" s="76">
        <f t="shared" si="85"/>
        <v>1.5691568469114601E-2</v>
      </c>
      <c r="AB85" s="76">
        <f t="shared" si="85"/>
        <v>1.569019969711823E-2</v>
      </c>
      <c r="AC85" s="76">
        <f t="shared" si="85"/>
        <v>1.5689271979090976E-2</v>
      </c>
    </row>
    <row r="87" spans="1:29" x14ac:dyDescent="0.3">
      <c r="B87" s="40"/>
    </row>
    <row r="107" spans="1:2" s="3" customFormat="1" ht="21" x14ac:dyDescent="0.4">
      <c r="A107" s="2" t="str">
        <f>'Parameter Input'!A88</f>
        <v>Railway long-haul: Liquid bulk</v>
      </c>
    </row>
    <row r="108" spans="1:2" s="3" customFormat="1" ht="21" x14ac:dyDescent="0.4">
      <c r="A108" s="2" t="s">
        <v>136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Input'!$L$89</f>
        <v>5000000</v>
      </c>
      <c r="C117" s="42">
        <f>'Parameter Input'!$M$89</f>
        <v>5000000</v>
      </c>
      <c r="D117" s="1" t="s">
        <v>15</v>
      </c>
      <c r="L117" s="51">
        <f>'Parameter Input'!$O$89</f>
        <v>12</v>
      </c>
      <c r="M117" s="52">
        <v>0</v>
      </c>
      <c r="N117" s="52">
        <v>1</v>
      </c>
      <c r="O117" s="52">
        <f>'Parameter Input'!$P$89</f>
        <v>0.9</v>
      </c>
      <c r="P117" s="53">
        <f>'Parameter Input'!$Q$89</f>
        <v>0.4</v>
      </c>
      <c r="Q117" s="4">
        <f t="shared" ref="Q117:AR126" si="86">$N117+($M117-$N117)*((1/(1+EXP(-$P117*(Q$9-$L117)))^$O117))</f>
        <v>0.9867978615748374</v>
      </c>
      <c r="R117" s="4">
        <f t="shared" si="86"/>
        <v>0.98114509762858249</v>
      </c>
      <c r="S117" s="4">
        <f t="shared" si="86"/>
        <v>0.97311898315872036</v>
      </c>
      <c r="T117" s="4">
        <f t="shared" si="86"/>
        <v>0.96177484161592774</v>
      </c>
      <c r="U117" s="4">
        <f t="shared" si="86"/>
        <v>0.94584787155511363</v>
      </c>
      <c r="V117" s="4">
        <f t="shared" si="86"/>
        <v>0.92370360150141495</v>
      </c>
      <c r="W117" s="4">
        <f t="shared" si="86"/>
        <v>0.89334463567658451</v>
      </c>
      <c r="X117" s="4">
        <f t="shared" si="86"/>
        <v>0.85254543874327005</v>
      </c>
      <c r="Y117" s="4">
        <f t="shared" si="86"/>
        <v>0.79921300652623883</v>
      </c>
      <c r="Z117" s="4">
        <f t="shared" si="86"/>
        <v>0.73204982249993378</v>
      </c>
      <c r="AA117" s="4">
        <f t="shared" si="86"/>
        <v>0.65145592958786691</v>
      </c>
      <c r="AB117" s="4">
        <f t="shared" si="86"/>
        <v>0.56032247880849573</v>
      </c>
      <c r="AC117" s="4">
        <f t="shared" si="86"/>
        <v>0.46411326873185343</v>
      </c>
      <c r="AD117" s="4">
        <f t="shared" si="86"/>
        <v>0.36979727595523937</v>
      </c>
      <c r="AE117" s="4">
        <f t="shared" si="86"/>
        <v>0.28393948637231203</v>
      </c>
      <c r="AF117" s="4">
        <f t="shared" si="86"/>
        <v>0.21097259161117732</v>
      </c>
      <c r="AG117" s="4">
        <f t="shared" si="86"/>
        <v>0.15253917653798199</v>
      </c>
      <c r="AH117" s="4">
        <f t="shared" si="86"/>
        <v>0.10795188737709993</v>
      </c>
      <c r="AI117" s="4">
        <f t="shared" si="86"/>
        <v>7.5176653938091809E-2</v>
      </c>
      <c r="AJ117" s="4">
        <f t="shared" si="86"/>
        <v>5.1742836177502194E-2</v>
      </c>
      <c r="AK117" s="4">
        <f t="shared" si="86"/>
        <v>3.5319190625345942E-2</v>
      </c>
      <c r="AL117" s="4">
        <f t="shared" si="86"/>
        <v>2.3969442072658165E-2</v>
      </c>
      <c r="AM117" s="4">
        <f t="shared" si="86"/>
        <v>1.6202243558389728E-2</v>
      </c>
      <c r="AN117" s="4">
        <f t="shared" si="86"/>
        <v>1.0922240564108399E-2</v>
      </c>
      <c r="AO117" s="4">
        <f t="shared" si="86"/>
        <v>7.3493212906090566E-3</v>
      </c>
      <c r="AP117" s="4">
        <f t="shared" si="86"/>
        <v>4.9390262185057265E-3</v>
      </c>
      <c r="AQ117" s="4">
        <f t="shared" si="86"/>
        <v>3.3164275492956197E-3</v>
      </c>
      <c r="AR117" s="4">
        <f t="shared" si="86"/>
        <v>2.2256362146679809E-3</v>
      </c>
    </row>
    <row r="118" spans="1:44" x14ac:dyDescent="0.3">
      <c r="A118" s="24" t="s">
        <v>28</v>
      </c>
      <c r="B118" s="60">
        <f>'Parameter Input'!$L$90</f>
        <v>-750000</v>
      </c>
      <c r="C118" s="61">
        <f>'Parameter Input'!$M$90</f>
        <v>-750000</v>
      </c>
      <c r="D118" s="1" t="s">
        <v>15</v>
      </c>
      <c r="L118" s="54">
        <f>'Parameter Input'!$O$90</f>
        <v>12</v>
      </c>
      <c r="M118" s="37">
        <v>0</v>
      </c>
      <c r="N118" s="37">
        <v>1</v>
      </c>
      <c r="O118" s="37">
        <f>'Parameter Input'!$P$90</f>
        <v>0.9</v>
      </c>
      <c r="P118" s="55">
        <f>'Parameter Input'!$Q$90</f>
        <v>0.4</v>
      </c>
      <c r="Q118" s="4">
        <f t="shared" si="86"/>
        <v>0.9867978615748374</v>
      </c>
      <c r="R118" s="4">
        <f t="shared" si="86"/>
        <v>0.98114509762858249</v>
      </c>
      <c r="S118" s="4">
        <f t="shared" si="86"/>
        <v>0.97311898315872036</v>
      </c>
      <c r="T118" s="4">
        <f t="shared" si="86"/>
        <v>0.96177484161592774</v>
      </c>
      <c r="U118" s="4">
        <f t="shared" si="86"/>
        <v>0.94584787155511363</v>
      </c>
      <c r="V118" s="4">
        <f t="shared" si="86"/>
        <v>0.92370360150141495</v>
      </c>
      <c r="W118" s="4">
        <f t="shared" si="86"/>
        <v>0.89334463567658451</v>
      </c>
      <c r="X118" s="4">
        <f t="shared" si="86"/>
        <v>0.85254543874327005</v>
      </c>
      <c r="Y118" s="4">
        <f t="shared" si="86"/>
        <v>0.79921300652623883</v>
      </c>
      <c r="Z118" s="4">
        <f t="shared" si="86"/>
        <v>0.73204982249993378</v>
      </c>
      <c r="AA118" s="4">
        <f t="shared" si="86"/>
        <v>0.65145592958786691</v>
      </c>
      <c r="AB118" s="4">
        <f t="shared" si="86"/>
        <v>0.56032247880849573</v>
      </c>
      <c r="AC118" s="4">
        <f t="shared" si="86"/>
        <v>0.46411326873185343</v>
      </c>
      <c r="AD118" s="4">
        <f t="shared" si="86"/>
        <v>0.36979727595523937</v>
      </c>
      <c r="AE118" s="4">
        <f t="shared" si="86"/>
        <v>0.28393948637231203</v>
      </c>
      <c r="AF118" s="4">
        <f t="shared" si="86"/>
        <v>0.21097259161117732</v>
      </c>
      <c r="AG118" s="4">
        <f t="shared" si="86"/>
        <v>0.15253917653798199</v>
      </c>
      <c r="AH118" s="4">
        <f t="shared" si="86"/>
        <v>0.10795188737709993</v>
      </c>
      <c r="AI118" s="4">
        <f t="shared" si="86"/>
        <v>7.5176653938091809E-2</v>
      </c>
      <c r="AJ118" s="4">
        <f t="shared" si="86"/>
        <v>5.1742836177502194E-2</v>
      </c>
      <c r="AK118" s="4">
        <f t="shared" si="86"/>
        <v>3.5319190625345942E-2</v>
      </c>
      <c r="AL118" s="4">
        <f t="shared" si="86"/>
        <v>2.3969442072658165E-2</v>
      </c>
      <c r="AM118" s="4">
        <f t="shared" si="86"/>
        <v>1.6202243558389728E-2</v>
      </c>
      <c r="AN118" s="4">
        <f t="shared" si="86"/>
        <v>1.0922240564108399E-2</v>
      </c>
      <c r="AO118" s="4">
        <f t="shared" si="86"/>
        <v>7.3493212906090566E-3</v>
      </c>
      <c r="AP118" s="4">
        <f t="shared" si="86"/>
        <v>4.9390262185057265E-3</v>
      </c>
      <c r="AQ118" s="4">
        <f t="shared" si="86"/>
        <v>3.3164275492956197E-3</v>
      </c>
      <c r="AR118" s="4">
        <f t="shared" si="86"/>
        <v>2.2256362146679809E-3</v>
      </c>
    </row>
    <row r="119" spans="1:44" x14ac:dyDescent="0.3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6"/>
        <v>0.9867978615748374</v>
      </c>
      <c r="R119" s="4">
        <f t="shared" si="86"/>
        <v>0.98114509762858249</v>
      </c>
      <c r="S119" s="4">
        <f t="shared" si="86"/>
        <v>0.97311898315872036</v>
      </c>
      <c r="T119" s="4">
        <f t="shared" si="86"/>
        <v>0.96177484161592774</v>
      </c>
      <c r="U119" s="4">
        <f t="shared" si="86"/>
        <v>0.94584787155511363</v>
      </c>
      <c r="V119" s="4">
        <f t="shared" si="86"/>
        <v>0.92370360150141495</v>
      </c>
      <c r="W119" s="4">
        <f t="shared" si="86"/>
        <v>0.89334463567658451</v>
      </c>
      <c r="X119" s="4">
        <f t="shared" si="86"/>
        <v>0.85254543874327005</v>
      </c>
      <c r="Y119" s="4">
        <f t="shared" si="86"/>
        <v>0.79921300652623883</v>
      </c>
      <c r="Z119" s="4">
        <f t="shared" si="86"/>
        <v>0.73204982249993378</v>
      </c>
      <c r="AA119" s="4">
        <f t="shared" si="86"/>
        <v>0.65145592958786691</v>
      </c>
      <c r="AB119" s="4">
        <f t="shared" si="86"/>
        <v>0.56032247880849573</v>
      </c>
      <c r="AC119" s="4">
        <f t="shared" si="86"/>
        <v>0.46411326873185343</v>
      </c>
      <c r="AD119" s="4">
        <f t="shared" si="86"/>
        <v>0.36979727595523937</v>
      </c>
      <c r="AE119" s="4">
        <f t="shared" si="86"/>
        <v>0.28393948637231203</v>
      </c>
      <c r="AF119" s="4">
        <f t="shared" si="86"/>
        <v>0.21097259161117732</v>
      </c>
      <c r="AG119" s="4">
        <f t="shared" si="86"/>
        <v>0.15253917653798199</v>
      </c>
      <c r="AH119" s="4">
        <f t="shared" si="86"/>
        <v>0.10795188737709993</v>
      </c>
      <c r="AI119" s="4">
        <f t="shared" si="86"/>
        <v>7.5176653938091809E-2</v>
      </c>
      <c r="AJ119" s="4">
        <f t="shared" si="86"/>
        <v>5.1742836177502194E-2</v>
      </c>
      <c r="AK119" s="4">
        <f t="shared" si="86"/>
        <v>3.5319190625345942E-2</v>
      </c>
      <c r="AL119" s="4">
        <f t="shared" si="86"/>
        <v>2.3969442072658165E-2</v>
      </c>
      <c r="AM119" s="4">
        <f t="shared" si="86"/>
        <v>1.6202243558389728E-2</v>
      </c>
      <c r="AN119" s="4">
        <f t="shared" si="86"/>
        <v>1.0922240564108399E-2</v>
      </c>
      <c r="AO119" s="4">
        <f t="shared" si="86"/>
        <v>7.3493212906090566E-3</v>
      </c>
      <c r="AP119" s="4">
        <f t="shared" si="86"/>
        <v>4.9390262185057265E-3</v>
      </c>
      <c r="AQ119" s="4">
        <f t="shared" si="86"/>
        <v>3.3164275492956197E-3</v>
      </c>
      <c r="AR119" s="4">
        <f t="shared" si="86"/>
        <v>2.2256362146679809E-3</v>
      </c>
    </row>
    <row r="120" spans="1:44" x14ac:dyDescent="0.3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6"/>
        <v>0.9867978615748374</v>
      </c>
      <c r="R120" s="4">
        <f t="shared" si="86"/>
        <v>0.98114509762858249</v>
      </c>
      <c r="S120" s="4">
        <f t="shared" si="86"/>
        <v>0.97311898315872036</v>
      </c>
      <c r="T120" s="4">
        <f t="shared" si="86"/>
        <v>0.96177484161592774</v>
      </c>
      <c r="U120" s="4">
        <f t="shared" si="86"/>
        <v>0.94584787155511363</v>
      </c>
      <c r="V120" s="4">
        <f t="shared" si="86"/>
        <v>0.92370360150141495</v>
      </c>
      <c r="W120" s="4">
        <f t="shared" si="86"/>
        <v>0.89334463567658451</v>
      </c>
      <c r="X120" s="4">
        <f t="shared" si="86"/>
        <v>0.85254543874327005</v>
      </c>
      <c r="Y120" s="4">
        <f t="shared" si="86"/>
        <v>0.79921300652623883</v>
      </c>
      <c r="Z120" s="4">
        <f t="shared" si="86"/>
        <v>0.73204982249993378</v>
      </c>
      <c r="AA120" s="4">
        <f t="shared" si="86"/>
        <v>0.65145592958786691</v>
      </c>
      <c r="AB120" s="4">
        <f t="shared" si="86"/>
        <v>0.56032247880849573</v>
      </c>
      <c r="AC120" s="4">
        <f t="shared" si="86"/>
        <v>0.46411326873185343</v>
      </c>
      <c r="AD120" s="4">
        <f t="shared" si="86"/>
        <v>0.36979727595523937</v>
      </c>
      <c r="AE120" s="4">
        <f t="shared" si="86"/>
        <v>0.28393948637231203</v>
      </c>
      <c r="AF120" s="4">
        <f t="shared" si="86"/>
        <v>0.21097259161117732</v>
      </c>
      <c r="AG120" s="4">
        <f t="shared" si="86"/>
        <v>0.15253917653798199</v>
      </c>
      <c r="AH120" s="4">
        <f t="shared" si="86"/>
        <v>0.10795188737709993</v>
      </c>
      <c r="AI120" s="4">
        <f t="shared" si="86"/>
        <v>7.5176653938091809E-2</v>
      </c>
      <c r="AJ120" s="4">
        <f t="shared" si="86"/>
        <v>5.1742836177502194E-2</v>
      </c>
      <c r="AK120" s="4">
        <f t="shared" si="86"/>
        <v>3.5319190625345942E-2</v>
      </c>
      <c r="AL120" s="4">
        <f t="shared" si="86"/>
        <v>2.3969442072658165E-2</v>
      </c>
      <c r="AM120" s="4">
        <f t="shared" si="86"/>
        <v>1.6202243558389728E-2</v>
      </c>
      <c r="AN120" s="4">
        <f t="shared" si="86"/>
        <v>1.0922240564108399E-2</v>
      </c>
      <c r="AO120" s="4">
        <f t="shared" si="86"/>
        <v>7.3493212906090566E-3</v>
      </c>
      <c r="AP120" s="4">
        <f t="shared" si="86"/>
        <v>4.9390262185057265E-3</v>
      </c>
      <c r="AQ120" s="4">
        <f t="shared" si="86"/>
        <v>3.3164275492956197E-3</v>
      </c>
      <c r="AR120" s="4">
        <f t="shared" si="86"/>
        <v>2.2256362146679809E-3</v>
      </c>
    </row>
    <row r="121" spans="1:44" x14ac:dyDescent="0.3">
      <c r="A121" s="24" t="s">
        <v>79</v>
      </c>
      <c r="B121" s="45">
        <f>'Parameter Input'!$L$96</f>
        <v>0.06</v>
      </c>
      <c r="C121" s="46">
        <f>'Parameter Input'!$M$96</f>
        <v>0.06</v>
      </c>
      <c r="D121" s="1" t="s">
        <v>57</v>
      </c>
      <c r="L121" s="54">
        <f>'Parameter Input'!$O$96</f>
        <v>12</v>
      </c>
      <c r="M121" s="37">
        <v>0</v>
      </c>
      <c r="N121" s="37">
        <v>1</v>
      </c>
      <c r="O121" s="37">
        <f>'Parameter Input'!$P$96</f>
        <v>0.9</v>
      </c>
      <c r="P121" s="55">
        <f>'Parameter Input'!$Q$96</f>
        <v>0.4</v>
      </c>
      <c r="Q121" s="4">
        <f t="shared" si="86"/>
        <v>0.9867978615748374</v>
      </c>
      <c r="R121" s="4">
        <f t="shared" si="86"/>
        <v>0.98114509762858249</v>
      </c>
      <c r="S121" s="4">
        <f t="shared" si="86"/>
        <v>0.97311898315872036</v>
      </c>
      <c r="T121" s="4">
        <f t="shared" si="86"/>
        <v>0.96177484161592774</v>
      </c>
      <c r="U121" s="4">
        <f t="shared" si="86"/>
        <v>0.94584787155511363</v>
      </c>
      <c r="V121" s="4">
        <f t="shared" si="86"/>
        <v>0.92370360150141495</v>
      </c>
      <c r="W121" s="4">
        <f t="shared" si="86"/>
        <v>0.89334463567658451</v>
      </c>
      <c r="X121" s="4">
        <f t="shared" si="86"/>
        <v>0.85254543874327005</v>
      </c>
      <c r="Y121" s="4">
        <f t="shared" si="86"/>
        <v>0.79921300652623883</v>
      </c>
      <c r="Z121" s="4">
        <f t="shared" si="86"/>
        <v>0.73204982249993378</v>
      </c>
      <c r="AA121" s="4">
        <f t="shared" si="86"/>
        <v>0.65145592958786691</v>
      </c>
      <c r="AB121" s="4">
        <f t="shared" si="86"/>
        <v>0.56032247880849573</v>
      </c>
      <c r="AC121" s="4">
        <f t="shared" si="86"/>
        <v>0.46411326873185343</v>
      </c>
      <c r="AD121" s="4">
        <f t="shared" si="86"/>
        <v>0.36979727595523937</v>
      </c>
      <c r="AE121" s="4">
        <f t="shared" si="86"/>
        <v>0.28393948637231203</v>
      </c>
      <c r="AF121" s="4">
        <f t="shared" si="86"/>
        <v>0.21097259161117732</v>
      </c>
      <c r="AG121" s="4">
        <f t="shared" si="86"/>
        <v>0.15253917653798199</v>
      </c>
      <c r="AH121" s="4">
        <f t="shared" si="86"/>
        <v>0.10795188737709993</v>
      </c>
      <c r="AI121" s="4">
        <f t="shared" si="86"/>
        <v>7.5176653938091809E-2</v>
      </c>
      <c r="AJ121" s="4">
        <f t="shared" si="86"/>
        <v>5.1742836177502194E-2</v>
      </c>
      <c r="AK121" s="4">
        <f t="shared" si="86"/>
        <v>3.5319190625345942E-2</v>
      </c>
      <c r="AL121" s="4">
        <f t="shared" si="86"/>
        <v>2.3969442072658165E-2</v>
      </c>
      <c r="AM121" s="4">
        <f t="shared" si="86"/>
        <v>1.6202243558389728E-2</v>
      </c>
      <c r="AN121" s="4">
        <f t="shared" si="86"/>
        <v>1.0922240564108399E-2</v>
      </c>
      <c r="AO121" s="4">
        <f t="shared" si="86"/>
        <v>7.3493212906090566E-3</v>
      </c>
      <c r="AP121" s="4">
        <f t="shared" si="86"/>
        <v>4.9390262185057265E-3</v>
      </c>
      <c r="AQ121" s="4">
        <f t="shared" si="86"/>
        <v>3.3164275492956197E-3</v>
      </c>
      <c r="AR121" s="4">
        <f t="shared" si="86"/>
        <v>2.2256362146679809E-3</v>
      </c>
    </row>
    <row r="122" spans="1:44" x14ac:dyDescent="0.3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6"/>
        <v>0.9867978615748374</v>
      </c>
      <c r="R122" s="4">
        <f t="shared" si="86"/>
        <v>0.98114509762858249</v>
      </c>
      <c r="S122" s="4">
        <f t="shared" si="86"/>
        <v>0.97311898315872036</v>
      </c>
      <c r="T122" s="4">
        <f t="shared" si="86"/>
        <v>0.96177484161592774</v>
      </c>
      <c r="U122" s="4">
        <f t="shared" si="86"/>
        <v>0.94584787155511363</v>
      </c>
      <c r="V122" s="4">
        <f t="shared" si="86"/>
        <v>0.92370360150141495</v>
      </c>
      <c r="W122" s="4">
        <f t="shared" si="86"/>
        <v>0.89334463567658451</v>
      </c>
      <c r="X122" s="4">
        <f t="shared" si="86"/>
        <v>0.85254543874327005</v>
      </c>
      <c r="Y122" s="4">
        <f t="shared" si="86"/>
        <v>0.79921300652623883</v>
      </c>
      <c r="Z122" s="4">
        <f t="shared" si="86"/>
        <v>0.73204982249993378</v>
      </c>
      <c r="AA122" s="4">
        <f t="shared" si="86"/>
        <v>0.65145592958786691</v>
      </c>
      <c r="AB122" s="4">
        <f t="shared" si="86"/>
        <v>0.56032247880849573</v>
      </c>
      <c r="AC122" s="4">
        <f t="shared" si="86"/>
        <v>0.46411326873185343</v>
      </c>
      <c r="AD122" s="4">
        <f t="shared" si="86"/>
        <v>0.36979727595523937</v>
      </c>
      <c r="AE122" s="4">
        <f t="shared" si="86"/>
        <v>0.28393948637231203</v>
      </c>
      <c r="AF122" s="4">
        <f t="shared" si="86"/>
        <v>0.21097259161117732</v>
      </c>
      <c r="AG122" s="4">
        <f t="shared" si="86"/>
        <v>0.15253917653798199</v>
      </c>
      <c r="AH122" s="4">
        <f t="shared" si="86"/>
        <v>0.10795188737709993</v>
      </c>
      <c r="AI122" s="4">
        <f t="shared" si="86"/>
        <v>7.5176653938091809E-2</v>
      </c>
      <c r="AJ122" s="4">
        <f t="shared" si="86"/>
        <v>5.1742836177502194E-2</v>
      </c>
      <c r="AK122" s="4">
        <f t="shared" si="86"/>
        <v>3.5319190625345942E-2</v>
      </c>
      <c r="AL122" s="4">
        <f t="shared" si="86"/>
        <v>2.3969442072658165E-2</v>
      </c>
      <c r="AM122" s="4">
        <f t="shared" si="86"/>
        <v>1.6202243558389728E-2</v>
      </c>
      <c r="AN122" s="4">
        <f t="shared" si="86"/>
        <v>1.0922240564108399E-2</v>
      </c>
      <c r="AO122" s="4">
        <f t="shared" si="86"/>
        <v>7.3493212906090566E-3</v>
      </c>
      <c r="AP122" s="4">
        <f t="shared" si="86"/>
        <v>4.9390262185057265E-3</v>
      </c>
      <c r="AQ122" s="4">
        <f t="shared" si="86"/>
        <v>3.3164275492956197E-3</v>
      </c>
      <c r="AR122" s="4">
        <f t="shared" si="86"/>
        <v>2.2256362146679809E-3</v>
      </c>
    </row>
    <row r="123" spans="1:44" x14ac:dyDescent="0.3">
      <c r="A123" s="24" t="s">
        <v>52</v>
      </c>
      <c r="B123" s="43">
        <f>'Parameter Input'!$L$92</f>
        <v>650000</v>
      </c>
      <c r="C123" s="44">
        <f>'Parameter Input'!$M$92</f>
        <v>650000</v>
      </c>
      <c r="D123" s="1" t="s">
        <v>38</v>
      </c>
      <c r="L123" s="54">
        <f>'Parameter Input'!$O$92</f>
        <v>12</v>
      </c>
      <c r="M123" s="37">
        <v>0</v>
      </c>
      <c r="N123" s="37">
        <v>1</v>
      </c>
      <c r="O123" s="37">
        <f>'Parameter Input'!$P$92</f>
        <v>0.9</v>
      </c>
      <c r="P123" s="55">
        <f>'Parameter Input'!$Q$92</f>
        <v>0.4</v>
      </c>
      <c r="Q123" s="4">
        <f t="shared" si="86"/>
        <v>0.9867978615748374</v>
      </c>
      <c r="R123" s="4">
        <f t="shared" si="86"/>
        <v>0.98114509762858249</v>
      </c>
      <c r="S123" s="4">
        <f t="shared" si="86"/>
        <v>0.97311898315872036</v>
      </c>
      <c r="T123" s="4">
        <f t="shared" si="86"/>
        <v>0.96177484161592774</v>
      </c>
      <c r="U123" s="4">
        <f t="shared" si="86"/>
        <v>0.94584787155511363</v>
      </c>
      <c r="V123" s="4">
        <f t="shared" si="86"/>
        <v>0.92370360150141495</v>
      </c>
      <c r="W123" s="4">
        <f t="shared" si="86"/>
        <v>0.89334463567658451</v>
      </c>
      <c r="X123" s="4">
        <f t="shared" si="86"/>
        <v>0.85254543874327005</v>
      </c>
      <c r="Y123" s="4">
        <f t="shared" si="86"/>
        <v>0.79921300652623883</v>
      </c>
      <c r="Z123" s="4">
        <f t="shared" si="86"/>
        <v>0.73204982249993378</v>
      </c>
      <c r="AA123" s="4">
        <f t="shared" si="86"/>
        <v>0.65145592958786691</v>
      </c>
      <c r="AB123" s="4">
        <f t="shared" si="86"/>
        <v>0.56032247880849573</v>
      </c>
      <c r="AC123" s="4">
        <f t="shared" si="86"/>
        <v>0.46411326873185343</v>
      </c>
      <c r="AD123" s="4">
        <f t="shared" si="86"/>
        <v>0.36979727595523937</v>
      </c>
      <c r="AE123" s="4">
        <f t="shared" si="86"/>
        <v>0.28393948637231203</v>
      </c>
      <c r="AF123" s="4">
        <f t="shared" si="86"/>
        <v>0.21097259161117732</v>
      </c>
      <c r="AG123" s="4">
        <f t="shared" si="86"/>
        <v>0.15253917653798199</v>
      </c>
      <c r="AH123" s="4">
        <f t="shared" si="86"/>
        <v>0.10795188737709993</v>
      </c>
      <c r="AI123" s="4">
        <f t="shared" si="86"/>
        <v>7.5176653938091809E-2</v>
      </c>
      <c r="AJ123" s="4">
        <f t="shared" si="86"/>
        <v>5.1742836177502194E-2</v>
      </c>
      <c r="AK123" s="4">
        <f t="shared" si="86"/>
        <v>3.5319190625345942E-2</v>
      </c>
      <c r="AL123" s="4">
        <f t="shared" si="86"/>
        <v>2.3969442072658165E-2</v>
      </c>
      <c r="AM123" s="4">
        <f t="shared" si="86"/>
        <v>1.6202243558389728E-2</v>
      </c>
      <c r="AN123" s="4">
        <f t="shared" si="86"/>
        <v>1.0922240564108399E-2</v>
      </c>
      <c r="AO123" s="4">
        <f t="shared" si="86"/>
        <v>7.3493212906090566E-3</v>
      </c>
      <c r="AP123" s="4">
        <f t="shared" si="86"/>
        <v>4.9390262185057265E-3</v>
      </c>
      <c r="AQ123" s="4">
        <f t="shared" si="86"/>
        <v>3.3164275492956197E-3</v>
      </c>
      <c r="AR123" s="4">
        <f t="shared" si="86"/>
        <v>2.2256362146679809E-3</v>
      </c>
    </row>
    <row r="124" spans="1:44" x14ac:dyDescent="0.3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6"/>
        <v>0.9867978615748374</v>
      </c>
      <c r="R124" s="4">
        <f t="shared" si="86"/>
        <v>0.98114509762858249</v>
      </c>
      <c r="S124" s="4">
        <f t="shared" si="86"/>
        <v>0.97311898315872036</v>
      </c>
      <c r="T124" s="4">
        <f t="shared" si="86"/>
        <v>0.96177484161592774</v>
      </c>
      <c r="U124" s="4">
        <f t="shared" si="86"/>
        <v>0.94584787155511363</v>
      </c>
      <c r="V124" s="4">
        <f t="shared" si="86"/>
        <v>0.92370360150141495</v>
      </c>
      <c r="W124" s="4">
        <f t="shared" si="86"/>
        <v>0.89334463567658451</v>
      </c>
      <c r="X124" s="4">
        <f t="shared" si="86"/>
        <v>0.85254543874327005</v>
      </c>
      <c r="Y124" s="4">
        <f t="shared" si="86"/>
        <v>0.79921300652623883</v>
      </c>
      <c r="Z124" s="4">
        <f t="shared" si="86"/>
        <v>0.73204982249993378</v>
      </c>
      <c r="AA124" s="4">
        <f t="shared" si="86"/>
        <v>0.65145592958786691</v>
      </c>
      <c r="AB124" s="4">
        <f t="shared" si="86"/>
        <v>0.56032247880849573</v>
      </c>
      <c r="AC124" s="4">
        <f t="shared" si="86"/>
        <v>0.46411326873185343</v>
      </c>
      <c r="AD124" s="4">
        <f t="shared" si="86"/>
        <v>0.36979727595523937</v>
      </c>
      <c r="AE124" s="4">
        <f t="shared" si="86"/>
        <v>0.28393948637231203</v>
      </c>
      <c r="AF124" s="4">
        <f t="shared" si="86"/>
        <v>0.21097259161117732</v>
      </c>
      <c r="AG124" s="4">
        <f t="shared" si="86"/>
        <v>0.15253917653798199</v>
      </c>
      <c r="AH124" s="4">
        <f t="shared" si="86"/>
        <v>0.10795188737709993</v>
      </c>
      <c r="AI124" s="4">
        <f t="shared" si="86"/>
        <v>7.5176653938091809E-2</v>
      </c>
      <c r="AJ124" s="4">
        <f t="shared" si="86"/>
        <v>5.1742836177502194E-2</v>
      </c>
      <c r="AK124" s="4">
        <f t="shared" si="86"/>
        <v>3.5319190625345942E-2</v>
      </c>
      <c r="AL124" s="4">
        <f t="shared" si="86"/>
        <v>2.3969442072658165E-2</v>
      </c>
      <c r="AM124" s="4">
        <f t="shared" si="86"/>
        <v>1.6202243558389728E-2</v>
      </c>
      <c r="AN124" s="4">
        <f t="shared" si="86"/>
        <v>1.0922240564108399E-2</v>
      </c>
      <c r="AO124" s="4">
        <f t="shared" si="86"/>
        <v>7.3493212906090566E-3</v>
      </c>
      <c r="AP124" s="4">
        <f t="shared" si="86"/>
        <v>4.9390262185057265E-3</v>
      </c>
      <c r="AQ124" s="4">
        <f t="shared" si="86"/>
        <v>3.3164275492956197E-3</v>
      </c>
      <c r="AR124" s="4">
        <f t="shared" si="86"/>
        <v>2.2256362146679809E-3</v>
      </c>
    </row>
    <row r="125" spans="1:44" x14ac:dyDescent="0.3">
      <c r="A125" s="24" t="s">
        <v>59</v>
      </c>
      <c r="B125" s="47">
        <f>'Parameter Input'!$L$93</f>
        <v>25.563670588235297</v>
      </c>
      <c r="C125" s="48">
        <f>'Parameter Input'!$M$93</f>
        <v>25.563670588235297</v>
      </c>
      <c r="D125" s="1" t="s">
        <v>60</v>
      </c>
      <c r="L125" s="54">
        <f>'Parameter Input'!$O$93</f>
        <v>12</v>
      </c>
      <c r="M125" s="37">
        <v>0</v>
      </c>
      <c r="N125" s="37">
        <v>1</v>
      </c>
      <c r="O125" s="37">
        <f>'Parameter Input'!$P$93</f>
        <v>0.9</v>
      </c>
      <c r="P125" s="55">
        <f>'Parameter Input'!$Q$93</f>
        <v>0.4</v>
      </c>
      <c r="Q125" s="4">
        <f t="shared" si="86"/>
        <v>0.9867978615748374</v>
      </c>
      <c r="R125" s="4">
        <f t="shared" si="86"/>
        <v>0.98114509762858249</v>
      </c>
      <c r="S125" s="4">
        <f t="shared" si="86"/>
        <v>0.97311898315872036</v>
      </c>
      <c r="T125" s="4">
        <f t="shared" si="86"/>
        <v>0.96177484161592774</v>
      </c>
      <c r="U125" s="4">
        <f t="shared" si="86"/>
        <v>0.94584787155511363</v>
      </c>
      <c r="V125" s="4">
        <f t="shared" si="86"/>
        <v>0.92370360150141495</v>
      </c>
      <c r="W125" s="4">
        <f t="shared" si="86"/>
        <v>0.89334463567658451</v>
      </c>
      <c r="X125" s="4">
        <f t="shared" si="86"/>
        <v>0.85254543874327005</v>
      </c>
      <c r="Y125" s="4">
        <f t="shared" si="86"/>
        <v>0.79921300652623883</v>
      </c>
      <c r="Z125" s="4">
        <f t="shared" si="86"/>
        <v>0.73204982249993378</v>
      </c>
      <c r="AA125" s="4">
        <f t="shared" si="86"/>
        <v>0.65145592958786691</v>
      </c>
      <c r="AB125" s="4">
        <f t="shared" si="86"/>
        <v>0.56032247880849573</v>
      </c>
      <c r="AC125" s="4">
        <f t="shared" si="86"/>
        <v>0.46411326873185343</v>
      </c>
      <c r="AD125" s="4">
        <f t="shared" si="86"/>
        <v>0.36979727595523937</v>
      </c>
      <c r="AE125" s="4">
        <f t="shared" si="86"/>
        <v>0.28393948637231203</v>
      </c>
      <c r="AF125" s="4">
        <f t="shared" si="86"/>
        <v>0.21097259161117732</v>
      </c>
      <c r="AG125" s="4">
        <f t="shared" si="86"/>
        <v>0.15253917653798199</v>
      </c>
      <c r="AH125" s="4">
        <f t="shared" si="86"/>
        <v>0.10795188737709993</v>
      </c>
      <c r="AI125" s="4">
        <f t="shared" si="86"/>
        <v>7.5176653938091809E-2</v>
      </c>
      <c r="AJ125" s="4">
        <f t="shared" si="86"/>
        <v>5.1742836177502194E-2</v>
      </c>
      <c r="AK125" s="4">
        <f t="shared" si="86"/>
        <v>3.5319190625345942E-2</v>
      </c>
      <c r="AL125" s="4">
        <f t="shared" si="86"/>
        <v>2.3969442072658165E-2</v>
      </c>
      <c r="AM125" s="4">
        <f t="shared" si="86"/>
        <v>1.6202243558389728E-2</v>
      </c>
      <c r="AN125" s="4">
        <f t="shared" si="86"/>
        <v>1.0922240564108399E-2</v>
      </c>
      <c r="AO125" s="4">
        <f t="shared" si="86"/>
        <v>7.3493212906090566E-3</v>
      </c>
      <c r="AP125" s="4">
        <f t="shared" si="86"/>
        <v>4.9390262185057265E-3</v>
      </c>
      <c r="AQ125" s="4">
        <f t="shared" si="86"/>
        <v>3.3164275492956197E-3</v>
      </c>
      <c r="AR125" s="4">
        <f t="shared" si="86"/>
        <v>2.2256362146679809E-3</v>
      </c>
    </row>
    <row r="126" spans="1:44" x14ac:dyDescent="0.3">
      <c r="A126" s="24" t="s">
        <v>67</v>
      </c>
      <c r="B126" s="45">
        <f>'Parameter Input'!$L$94</f>
        <v>9.2586511082899101E-2</v>
      </c>
      <c r="C126" s="46">
        <f>'Parameter Input'!$M$94</f>
        <v>7.3304790352502799E-2</v>
      </c>
      <c r="D126" s="1" t="s">
        <v>68</v>
      </c>
      <c r="L126" s="54">
        <f>'Parameter Input'!$O$94</f>
        <v>12</v>
      </c>
      <c r="M126" s="37">
        <v>0</v>
      </c>
      <c r="N126" s="37">
        <v>1</v>
      </c>
      <c r="O126" s="37">
        <f>'Parameter Input'!$P$94</f>
        <v>0.9</v>
      </c>
      <c r="P126" s="55">
        <f>'Parameter Input'!$Q$94</f>
        <v>0.4</v>
      </c>
      <c r="Q126" s="4">
        <f t="shared" si="86"/>
        <v>0.9867978615748374</v>
      </c>
      <c r="R126" s="4">
        <f t="shared" si="86"/>
        <v>0.98114509762858249</v>
      </c>
      <c r="S126" s="4">
        <f t="shared" si="86"/>
        <v>0.97311898315872036</v>
      </c>
      <c r="T126" s="4">
        <f t="shared" ref="T126:AI133" si="87">$N126+($M126-$N126)*((1/(1+EXP(-$P126*(T$9-$L126)))^$O126))</f>
        <v>0.96177484161592774</v>
      </c>
      <c r="U126" s="4">
        <f t="shared" si="87"/>
        <v>0.94584787155511363</v>
      </c>
      <c r="V126" s="4">
        <f t="shared" si="87"/>
        <v>0.92370360150141495</v>
      </c>
      <c r="W126" s="4">
        <f t="shared" si="87"/>
        <v>0.89334463567658451</v>
      </c>
      <c r="X126" s="4">
        <f t="shared" si="87"/>
        <v>0.85254543874327005</v>
      </c>
      <c r="Y126" s="4">
        <f t="shared" si="87"/>
        <v>0.79921300652623883</v>
      </c>
      <c r="Z126" s="4">
        <f t="shared" si="87"/>
        <v>0.73204982249993378</v>
      </c>
      <c r="AA126" s="4">
        <f t="shared" si="87"/>
        <v>0.65145592958786691</v>
      </c>
      <c r="AB126" s="4">
        <f t="shared" si="87"/>
        <v>0.56032247880849573</v>
      </c>
      <c r="AC126" s="4">
        <f t="shared" si="87"/>
        <v>0.46411326873185343</v>
      </c>
      <c r="AD126" s="4">
        <f t="shared" si="87"/>
        <v>0.36979727595523937</v>
      </c>
      <c r="AE126" s="4">
        <f t="shared" si="87"/>
        <v>0.28393948637231203</v>
      </c>
      <c r="AF126" s="4">
        <f t="shared" si="87"/>
        <v>0.21097259161117732</v>
      </c>
      <c r="AG126" s="4">
        <f t="shared" si="87"/>
        <v>0.15253917653798199</v>
      </c>
      <c r="AH126" s="4">
        <f t="shared" si="87"/>
        <v>0.10795188737709993</v>
      </c>
      <c r="AI126" s="4">
        <f t="shared" si="87"/>
        <v>7.5176653938091809E-2</v>
      </c>
      <c r="AJ126" s="4">
        <f t="shared" ref="AJ126:AR133" si="88">$N126+($M126-$N126)*((1/(1+EXP(-$P126*(AJ$9-$L126)))^$O126))</f>
        <v>5.1742836177502194E-2</v>
      </c>
      <c r="AK126" s="4">
        <f t="shared" si="88"/>
        <v>3.5319190625345942E-2</v>
      </c>
      <c r="AL126" s="4">
        <f t="shared" si="88"/>
        <v>2.3969442072658165E-2</v>
      </c>
      <c r="AM126" s="4">
        <f t="shared" si="88"/>
        <v>1.6202243558389728E-2</v>
      </c>
      <c r="AN126" s="4">
        <f t="shared" si="88"/>
        <v>1.0922240564108399E-2</v>
      </c>
      <c r="AO126" s="4">
        <f t="shared" si="88"/>
        <v>7.3493212906090566E-3</v>
      </c>
      <c r="AP126" s="4">
        <f t="shared" si="88"/>
        <v>4.9390262185057265E-3</v>
      </c>
      <c r="AQ126" s="4">
        <f t="shared" si="88"/>
        <v>3.3164275492956197E-3</v>
      </c>
      <c r="AR126" s="4">
        <f t="shared" si="88"/>
        <v>2.2256362146679809E-3</v>
      </c>
    </row>
    <row r="127" spans="1:44" x14ac:dyDescent="0.3">
      <c r="A127" s="24" t="s">
        <v>206</v>
      </c>
      <c r="B127" s="115">
        <f>'Parameter Input'!$L$97</f>
        <v>5.9200079256965958E-2</v>
      </c>
      <c r="C127" s="116">
        <f>'Parameter Input'!$M$97</f>
        <v>0</v>
      </c>
      <c r="D127" s="1" t="s">
        <v>76</v>
      </c>
      <c r="L127" s="54">
        <f>'Parameter Input'!$O$97</f>
        <v>17</v>
      </c>
      <c r="M127" s="37">
        <v>0</v>
      </c>
      <c r="N127" s="37">
        <v>1</v>
      </c>
      <c r="O127" s="37">
        <f>'Parameter Input'!$P$97</f>
        <v>0.9</v>
      </c>
      <c r="P127" s="55">
        <f>'Parameter Input'!$Q$97</f>
        <v>0.4</v>
      </c>
      <c r="Q127" s="4">
        <f t="shared" ref="Q127:AR127" si="89">$N127+($M127-$N127)*((1/(1+EXP(-$P127*(Q$9-$L127)))^$O127))</f>
        <v>0.99780374543478534</v>
      </c>
      <c r="R127" s="4">
        <f t="shared" si="89"/>
        <v>0.99685359315256394</v>
      </c>
      <c r="S127" s="4">
        <f t="shared" si="89"/>
        <v>0.99549347132349975</v>
      </c>
      <c r="T127" s="4">
        <f t="shared" si="89"/>
        <v>0.99354772139898062</v>
      </c>
      <c r="U127" s="4">
        <f t="shared" si="89"/>
        <v>0.99076681540580536</v>
      </c>
      <c r="V127" s="4">
        <f t="shared" si="89"/>
        <v>0.9867978615748374</v>
      </c>
      <c r="W127" s="4">
        <f t="shared" si="89"/>
        <v>0.98114509762858249</v>
      </c>
      <c r="X127" s="4">
        <f t="shared" si="89"/>
        <v>0.97311898315872036</v>
      </c>
      <c r="Y127" s="4">
        <f t="shared" si="89"/>
        <v>0.96177484161592774</v>
      </c>
      <c r="Z127" s="4">
        <f t="shared" si="89"/>
        <v>0.94584787155511363</v>
      </c>
      <c r="AA127" s="4">
        <f t="shared" si="89"/>
        <v>0.92370360150141495</v>
      </c>
      <c r="AB127" s="4">
        <f t="shared" si="89"/>
        <v>0.89334463567658451</v>
      </c>
      <c r="AC127" s="4">
        <f t="shared" si="89"/>
        <v>0.85254543874327005</v>
      </c>
      <c r="AD127" s="4">
        <f t="shared" si="89"/>
        <v>0.79921300652623883</v>
      </c>
      <c r="AE127" s="4">
        <f t="shared" si="89"/>
        <v>0.73204982249993378</v>
      </c>
      <c r="AF127" s="4">
        <f t="shared" si="89"/>
        <v>0.65145592958786691</v>
      </c>
      <c r="AG127" s="4">
        <f t="shared" si="89"/>
        <v>0.56032247880849573</v>
      </c>
      <c r="AH127" s="4">
        <f t="shared" si="89"/>
        <v>0.46411326873185343</v>
      </c>
      <c r="AI127" s="4">
        <f t="shared" si="89"/>
        <v>0.36979727595523937</v>
      </c>
      <c r="AJ127" s="4">
        <f t="shared" si="89"/>
        <v>0.28393948637231203</v>
      </c>
      <c r="AK127" s="4">
        <f t="shared" si="89"/>
        <v>0.21097259161117732</v>
      </c>
      <c r="AL127" s="4">
        <f t="shared" si="89"/>
        <v>0.15253917653798199</v>
      </c>
      <c r="AM127" s="4">
        <f t="shared" si="89"/>
        <v>0.10795188737709993</v>
      </c>
      <c r="AN127" s="4">
        <f t="shared" si="89"/>
        <v>7.5176653938091809E-2</v>
      </c>
      <c r="AO127" s="4">
        <f t="shared" si="89"/>
        <v>5.1742836177502194E-2</v>
      </c>
      <c r="AP127" s="4">
        <f t="shared" si="89"/>
        <v>3.5319190625345942E-2</v>
      </c>
      <c r="AQ127" s="4">
        <f t="shared" si="89"/>
        <v>2.3969442072658165E-2</v>
      </c>
      <c r="AR127" s="4">
        <f t="shared" si="89"/>
        <v>1.6202243558389728E-2</v>
      </c>
    </row>
    <row r="128" spans="1:44" x14ac:dyDescent="0.3">
      <c r="A128" s="24" t="s">
        <v>41</v>
      </c>
      <c r="B128" s="43">
        <f>'Parameter Input'!$L$91</f>
        <v>20</v>
      </c>
      <c r="C128" s="44">
        <f>'Parameter Input'!$M$91</f>
        <v>20</v>
      </c>
      <c r="D128" s="1" t="s">
        <v>42</v>
      </c>
      <c r="L128" s="54">
        <f>'Parameter Input'!$O$91</f>
        <v>12</v>
      </c>
      <c r="M128" s="37">
        <v>0</v>
      </c>
      <c r="N128" s="37">
        <v>1</v>
      </c>
      <c r="O128" s="37">
        <f>'Parameter Input'!$P$91</f>
        <v>0.9</v>
      </c>
      <c r="P128" s="55">
        <f>'Parameter Input'!$Q$91</f>
        <v>0.4</v>
      </c>
      <c r="Q128" s="4">
        <f t="shared" ref="Q128:AF133" si="90">$N128+($M128-$N128)*((1/(1+EXP(-$P128*(Q$9-$L128)))^$O128))</f>
        <v>0.9867978615748374</v>
      </c>
      <c r="R128" s="4">
        <f t="shared" si="90"/>
        <v>0.98114509762858249</v>
      </c>
      <c r="S128" s="4">
        <f t="shared" si="90"/>
        <v>0.97311898315872036</v>
      </c>
      <c r="T128" s="4">
        <f t="shared" si="90"/>
        <v>0.96177484161592774</v>
      </c>
      <c r="U128" s="4">
        <f t="shared" si="90"/>
        <v>0.94584787155511363</v>
      </c>
      <c r="V128" s="4">
        <f t="shared" si="90"/>
        <v>0.92370360150141495</v>
      </c>
      <c r="W128" s="4">
        <f t="shared" si="90"/>
        <v>0.89334463567658451</v>
      </c>
      <c r="X128" s="4">
        <f t="shared" si="90"/>
        <v>0.85254543874327005</v>
      </c>
      <c r="Y128" s="4">
        <f t="shared" si="90"/>
        <v>0.79921300652623883</v>
      </c>
      <c r="Z128" s="4">
        <f t="shared" si="90"/>
        <v>0.73204982249993378</v>
      </c>
      <c r="AA128" s="4">
        <f t="shared" si="90"/>
        <v>0.65145592958786691</v>
      </c>
      <c r="AB128" s="4">
        <f t="shared" si="90"/>
        <v>0.56032247880849573</v>
      </c>
      <c r="AC128" s="4">
        <f t="shared" si="90"/>
        <v>0.46411326873185343</v>
      </c>
      <c r="AD128" s="4">
        <f t="shared" si="90"/>
        <v>0.36979727595523937</v>
      </c>
      <c r="AE128" s="4">
        <f t="shared" si="90"/>
        <v>0.28393948637231203</v>
      </c>
      <c r="AF128" s="4">
        <f t="shared" si="90"/>
        <v>0.21097259161117732</v>
      </c>
      <c r="AG128" s="4">
        <f t="shared" si="87"/>
        <v>0.15253917653798199</v>
      </c>
      <c r="AH128" s="4">
        <f t="shared" si="87"/>
        <v>0.10795188737709993</v>
      </c>
      <c r="AI128" s="4">
        <f t="shared" si="87"/>
        <v>7.5176653938091809E-2</v>
      </c>
      <c r="AJ128" s="4">
        <f t="shared" si="88"/>
        <v>5.1742836177502194E-2</v>
      </c>
      <c r="AK128" s="4">
        <f t="shared" si="88"/>
        <v>3.5319190625345942E-2</v>
      </c>
      <c r="AL128" s="4">
        <f t="shared" si="88"/>
        <v>2.3969442072658165E-2</v>
      </c>
      <c r="AM128" s="4">
        <f t="shared" si="88"/>
        <v>1.6202243558389728E-2</v>
      </c>
      <c r="AN128" s="4">
        <f t="shared" si="88"/>
        <v>1.0922240564108399E-2</v>
      </c>
      <c r="AO128" s="4">
        <f t="shared" si="88"/>
        <v>7.3493212906090566E-3</v>
      </c>
      <c r="AP128" s="4">
        <f t="shared" si="88"/>
        <v>4.9390262185057265E-3</v>
      </c>
      <c r="AQ128" s="4">
        <f t="shared" si="88"/>
        <v>3.3164275492956197E-3</v>
      </c>
      <c r="AR128" s="4">
        <f t="shared" si="88"/>
        <v>2.2256362146679809E-3</v>
      </c>
    </row>
    <row r="129" spans="1:44" x14ac:dyDescent="0.3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90"/>
        <v>0.9867978615748374</v>
      </c>
      <c r="R129" s="4">
        <f t="shared" si="90"/>
        <v>0.98114509762858249</v>
      </c>
      <c r="S129" s="4">
        <f t="shared" si="90"/>
        <v>0.97311898315872036</v>
      </c>
      <c r="T129" s="4">
        <f t="shared" si="90"/>
        <v>0.96177484161592774</v>
      </c>
      <c r="U129" s="4">
        <f t="shared" si="90"/>
        <v>0.94584787155511363</v>
      </c>
      <c r="V129" s="4">
        <f t="shared" si="90"/>
        <v>0.92370360150141495</v>
      </c>
      <c r="W129" s="4">
        <f t="shared" si="90"/>
        <v>0.89334463567658451</v>
      </c>
      <c r="X129" s="4">
        <f t="shared" si="90"/>
        <v>0.85254543874327005</v>
      </c>
      <c r="Y129" s="4">
        <f t="shared" si="90"/>
        <v>0.79921300652623883</v>
      </c>
      <c r="Z129" s="4">
        <f t="shared" si="90"/>
        <v>0.73204982249993378</v>
      </c>
      <c r="AA129" s="4">
        <f t="shared" si="90"/>
        <v>0.65145592958786691</v>
      </c>
      <c r="AB129" s="4">
        <f t="shared" si="90"/>
        <v>0.56032247880849573</v>
      </c>
      <c r="AC129" s="4">
        <f t="shared" si="90"/>
        <v>0.46411326873185343</v>
      </c>
      <c r="AD129" s="4">
        <f t="shared" si="90"/>
        <v>0.36979727595523937</v>
      </c>
      <c r="AE129" s="4">
        <f t="shared" si="90"/>
        <v>0.28393948637231203</v>
      </c>
      <c r="AF129" s="4">
        <f t="shared" si="90"/>
        <v>0.21097259161117732</v>
      </c>
      <c r="AG129" s="4">
        <f t="shared" si="87"/>
        <v>0.15253917653798199</v>
      </c>
      <c r="AH129" s="4">
        <f t="shared" si="87"/>
        <v>0.10795188737709993</v>
      </c>
      <c r="AI129" s="4">
        <f t="shared" si="87"/>
        <v>7.5176653938091809E-2</v>
      </c>
      <c r="AJ129" s="4">
        <f t="shared" si="88"/>
        <v>5.1742836177502194E-2</v>
      </c>
      <c r="AK129" s="4">
        <f t="shared" si="88"/>
        <v>3.5319190625345942E-2</v>
      </c>
      <c r="AL129" s="4">
        <f t="shared" si="88"/>
        <v>2.3969442072658165E-2</v>
      </c>
      <c r="AM129" s="4">
        <f t="shared" si="88"/>
        <v>1.6202243558389728E-2</v>
      </c>
      <c r="AN129" s="4">
        <f t="shared" si="88"/>
        <v>1.0922240564108399E-2</v>
      </c>
      <c r="AO129" s="4">
        <f t="shared" si="88"/>
        <v>7.3493212906090566E-3</v>
      </c>
      <c r="AP129" s="4">
        <f t="shared" si="88"/>
        <v>4.9390262185057265E-3</v>
      </c>
      <c r="AQ129" s="4">
        <f t="shared" si="88"/>
        <v>3.3164275492956197E-3</v>
      </c>
      <c r="AR129" s="4">
        <f t="shared" si="88"/>
        <v>2.2256362146679809E-3</v>
      </c>
    </row>
    <row r="130" spans="1:44" x14ac:dyDescent="0.3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90"/>
        <v>0.9867978615748374</v>
      </c>
      <c r="R130" s="4">
        <f t="shared" si="90"/>
        <v>0.98114509762858249</v>
      </c>
      <c r="S130" s="4">
        <f t="shared" si="90"/>
        <v>0.97311898315872036</v>
      </c>
      <c r="T130" s="4">
        <f t="shared" si="90"/>
        <v>0.96177484161592774</v>
      </c>
      <c r="U130" s="4">
        <f t="shared" si="90"/>
        <v>0.94584787155511363</v>
      </c>
      <c r="V130" s="4">
        <f t="shared" si="90"/>
        <v>0.92370360150141495</v>
      </c>
      <c r="W130" s="4">
        <f t="shared" si="90"/>
        <v>0.89334463567658451</v>
      </c>
      <c r="X130" s="4">
        <f t="shared" si="90"/>
        <v>0.85254543874327005</v>
      </c>
      <c r="Y130" s="4">
        <f t="shared" si="90"/>
        <v>0.79921300652623883</v>
      </c>
      <c r="Z130" s="4">
        <f t="shared" si="90"/>
        <v>0.73204982249993378</v>
      </c>
      <c r="AA130" s="4">
        <f t="shared" si="90"/>
        <v>0.65145592958786691</v>
      </c>
      <c r="AB130" s="4">
        <f t="shared" si="90"/>
        <v>0.56032247880849573</v>
      </c>
      <c r="AC130" s="4">
        <f t="shared" si="90"/>
        <v>0.46411326873185343</v>
      </c>
      <c r="AD130" s="4">
        <f t="shared" si="90"/>
        <v>0.36979727595523937</v>
      </c>
      <c r="AE130" s="4">
        <f t="shared" si="90"/>
        <v>0.28393948637231203</v>
      </c>
      <c r="AF130" s="4">
        <f t="shared" si="90"/>
        <v>0.21097259161117732</v>
      </c>
      <c r="AG130" s="4">
        <f t="shared" si="87"/>
        <v>0.15253917653798199</v>
      </c>
      <c r="AH130" s="4">
        <f t="shared" si="87"/>
        <v>0.10795188737709993</v>
      </c>
      <c r="AI130" s="4">
        <f t="shared" si="87"/>
        <v>7.5176653938091809E-2</v>
      </c>
      <c r="AJ130" s="4">
        <f t="shared" si="88"/>
        <v>5.1742836177502194E-2</v>
      </c>
      <c r="AK130" s="4">
        <f t="shared" si="88"/>
        <v>3.5319190625345942E-2</v>
      </c>
      <c r="AL130" s="4">
        <f t="shared" si="88"/>
        <v>2.3969442072658165E-2</v>
      </c>
      <c r="AM130" s="4">
        <f t="shared" si="88"/>
        <v>1.6202243558389728E-2</v>
      </c>
      <c r="AN130" s="4">
        <f t="shared" si="88"/>
        <v>1.0922240564108399E-2</v>
      </c>
      <c r="AO130" s="4">
        <f t="shared" si="88"/>
        <v>7.3493212906090566E-3</v>
      </c>
      <c r="AP130" s="4">
        <f t="shared" si="88"/>
        <v>4.9390262185057265E-3</v>
      </c>
      <c r="AQ130" s="4">
        <f t="shared" si="88"/>
        <v>3.3164275492956197E-3</v>
      </c>
      <c r="AR130" s="4">
        <f t="shared" si="88"/>
        <v>2.2256362146679809E-3</v>
      </c>
    </row>
    <row r="131" spans="1:44" x14ac:dyDescent="0.3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90"/>
        <v>0.9867978615748374</v>
      </c>
      <c r="R131" s="4">
        <f t="shared" si="90"/>
        <v>0.98114509762858249</v>
      </c>
      <c r="S131" s="4">
        <f t="shared" si="90"/>
        <v>0.97311898315872036</v>
      </c>
      <c r="T131" s="4">
        <f t="shared" si="90"/>
        <v>0.96177484161592774</v>
      </c>
      <c r="U131" s="4">
        <f t="shared" si="90"/>
        <v>0.94584787155511363</v>
      </c>
      <c r="V131" s="4">
        <f t="shared" si="90"/>
        <v>0.92370360150141495</v>
      </c>
      <c r="W131" s="4">
        <f t="shared" si="90"/>
        <v>0.89334463567658451</v>
      </c>
      <c r="X131" s="4">
        <f t="shared" si="90"/>
        <v>0.85254543874327005</v>
      </c>
      <c r="Y131" s="4">
        <f t="shared" si="90"/>
        <v>0.79921300652623883</v>
      </c>
      <c r="Z131" s="4">
        <f t="shared" si="90"/>
        <v>0.73204982249993378</v>
      </c>
      <c r="AA131" s="4">
        <f t="shared" si="90"/>
        <v>0.65145592958786691</v>
      </c>
      <c r="AB131" s="4">
        <f t="shared" si="90"/>
        <v>0.56032247880849573</v>
      </c>
      <c r="AC131" s="4">
        <f t="shared" si="90"/>
        <v>0.46411326873185343</v>
      </c>
      <c r="AD131" s="4">
        <f t="shared" si="90"/>
        <v>0.36979727595523937</v>
      </c>
      <c r="AE131" s="4">
        <f t="shared" si="90"/>
        <v>0.28393948637231203</v>
      </c>
      <c r="AF131" s="4">
        <f t="shared" si="90"/>
        <v>0.21097259161117732</v>
      </c>
      <c r="AG131" s="4">
        <f t="shared" si="87"/>
        <v>0.15253917653798199</v>
      </c>
      <c r="AH131" s="4">
        <f t="shared" si="87"/>
        <v>0.10795188737709993</v>
      </c>
      <c r="AI131" s="4">
        <f t="shared" si="87"/>
        <v>7.5176653938091809E-2</v>
      </c>
      <c r="AJ131" s="4">
        <f t="shared" si="88"/>
        <v>5.1742836177502194E-2</v>
      </c>
      <c r="AK131" s="4">
        <f t="shared" si="88"/>
        <v>3.5319190625345942E-2</v>
      </c>
      <c r="AL131" s="4">
        <f t="shared" si="88"/>
        <v>2.3969442072658165E-2</v>
      </c>
      <c r="AM131" s="4">
        <f t="shared" si="88"/>
        <v>1.6202243558389728E-2</v>
      </c>
      <c r="AN131" s="4">
        <f t="shared" si="88"/>
        <v>1.0922240564108399E-2</v>
      </c>
      <c r="AO131" s="4">
        <f t="shared" si="88"/>
        <v>7.3493212906090566E-3</v>
      </c>
      <c r="AP131" s="4">
        <f t="shared" si="88"/>
        <v>4.9390262185057265E-3</v>
      </c>
      <c r="AQ131" s="4">
        <f t="shared" si="88"/>
        <v>3.3164275492956197E-3</v>
      </c>
      <c r="AR131" s="4">
        <f t="shared" si="88"/>
        <v>2.2256362146679809E-3</v>
      </c>
    </row>
    <row r="132" spans="1:44" x14ac:dyDescent="0.3">
      <c r="A132" s="24" t="s">
        <v>73</v>
      </c>
      <c r="B132" s="72">
        <f>'Parameter Input'!$L$95</f>
        <v>0</v>
      </c>
      <c r="C132" s="73">
        <f>'Parameter Input'!$M$95</f>
        <v>0</v>
      </c>
      <c r="D132" s="1" t="s">
        <v>57</v>
      </c>
      <c r="L132" s="54">
        <f>'Parameter Input'!$O$95</f>
        <v>12</v>
      </c>
      <c r="M132" s="37">
        <v>0</v>
      </c>
      <c r="N132" s="37">
        <v>1</v>
      </c>
      <c r="O132" s="37">
        <f>'Parameter Input'!$P$95</f>
        <v>0.9</v>
      </c>
      <c r="P132" s="55">
        <f>'Parameter Input'!$Q$95</f>
        <v>0.4</v>
      </c>
      <c r="Q132" s="4">
        <f t="shared" si="90"/>
        <v>0.9867978615748374</v>
      </c>
      <c r="R132" s="4">
        <f t="shared" si="90"/>
        <v>0.98114509762858249</v>
      </c>
      <c r="S132" s="4">
        <f t="shared" si="90"/>
        <v>0.97311898315872036</v>
      </c>
      <c r="T132" s="4">
        <f t="shared" si="90"/>
        <v>0.96177484161592774</v>
      </c>
      <c r="U132" s="4">
        <f t="shared" si="90"/>
        <v>0.94584787155511363</v>
      </c>
      <c r="V132" s="4">
        <f t="shared" si="90"/>
        <v>0.92370360150141495</v>
      </c>
      <c r="W132" s="4">
        <f t="shared" si="90"/>
        <v>0.89334463567658451</v>
      </c>
      <c r="X132" s="4">
        <f t="shared" si="90"/>
        <v>0.85254543874327005</v>
      </c>
      <c r="Y132" s="4">
        <f t="shared" si="90"/>
        <v>0.79921300652623883</v>
      </c>
      <c r="Z132" s="4">
        <f t="shared" si="90"/>
        <v>0.73204982249993378</v>
      </c>
      <c r="AA132" s="4">
        <f t="shared" si="90"/>
        <v>0.65145592958786691</v>
      </c>
      <c r="AB132" s="4">
        <f t="shared" si="90"/>
        <v>0.56032247880849573</v>
      </c>
      <c r="AC132" s="4">
        <f t="shared" si="90"/>
        <v>0.46411326873185343</v>
      </c>
      <c r="AD132" s="4">
        <f t="shared" si="90"/>
        <v>0.36979727595523937</v>
      </c>
      <c r="AE132" s="4">
        <f t="shared" si="90"/>
        <v>0.28393948637231203</v>
      </c>
      <c r="AF132" s="4">
        <f t="shared" si="90"/>
        <v>0.21097259161117732</v>
      </c>
      <c r="AG132" s="4">
        <f t="shared" si="87"/>
        <v>0.15253917653798199</v>
      </c>
      <c r="AH132" s="4">
        <f t="shared" si="87"/>
        <v>0.10795188737709993</v>
      </c>
      <c r="AI132" s="4">
        <f t="shared" si="87"/>
        <v>7.5176653938091809E-2</v>
      </c>
      <c r="AJ132" s="4">
        <f t="shared" si="88"/>
        <v>5.1742836177502194E-2</v>
      </c>
      <c r="AK132" s="4">
        <f t="shared" si="88"/>
        <v>3.5319190625345942E-2</v>
      </c>
      <c r="AL132" s="4">
        <f t="shared" si="88"/>
        <v>2.3969442072658165E-2</v>
      </c>
      <c r="AM132" s="4">
        <f t="shared" si="88"/>
        <v>1.6202243558389728E-2</v>
      </c>
      <c r="AN132" s="4">
        <f t="shared" si="88"/>
        <v>1.0922240564108399E-2</v>
      </c>
      <c r="AO132" s="4">
        <f t="shared" si="88"/>
        <v>7.3493212906090566E-3</v>
      </c>
      <c r="AP132" s="4">
        <f t="shared" si="88"/>
        <v>4.9390262185057265E-3</v>
      </c>
      <c r="AQ132" s="4">
        <f t="shared" si="88"/>
        <v>3.3164275492956197E-3</v>
      </c>
      <c r="AR132" s="4">
        <f t="shared" si="88"/>
        <v>2.2256362146679809E-3</v>
      </c>
    </row>
    <row r="133" spans="1:44" ht="15" thickBot="1" x14ac:dyDescent="0.35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90"/>
        <v>0.9867978615748374</v>
      </c>
      <c r="R133" s="4">
        <f t="shared" si="90"/>
        <v>0.98114509762858249</v>
      </c>
      <c r="S133" s="4">
        <f t="shared" si="90"/>
        <v>0.97311898315872036</v>
      </c>
      <c r="T133" s="4">
        <f t="shared" si="90"/>
        <v>0.96177484161592774</v>
      </c>
      <c r="U133" s="4">
        <f t="shared" si="90"/>
        <v>0.94584787155511363</v>
      </c>
      <c r="V133" s="4">
        <f t="shared" si="90"/>
        <v>0.92370360150141495</v>
      </c>
      <c r="W133" s="4">
        <f t="shared" si="90"/>
        <v>0.89334463567658451</v>
      </c>
      <c r="X133" s="4">
        <f t="shared" si="90"/>
        <v>0.85254543874327005</v>
      </c>
      <c r="Y133" s="4">
        <f t="shared" si="90"/>
        <v>0.79921300652623883</v>
      </c>
      <c r="Z133" s="4">
        <f t="shared" si="90"/>
        <v>0.73204982249993378</v>
      </c>
      <c r="AA133" s="4">
        <f t="shared" si="90"/>
        <v>0.65145592958786691</v>
      </c>
      <c r="AB133" s="4">
        <f t="shared" si="90"/>
        <v>0.56032247880849573</v>
      </c>
      <c r="AC133" s="4">
        <f t="shared" si="90"/>
        <v>0.46411326873185343</v>
      </c>
      <c r="AD133" s="4">
        <f t="shared" si="90"/>
        <v>0.36979727595523937</v>
      </c>
      <c r="AE133" s="4">
        <f t="shared" si="90"/>
        <v>0.28393948637231203</v>
      </c>
      <c r="AF133" s="4">
        <f t="shared" si="90"/>
        <v>0.21097259161117732</v>
      </c>
      <c r="AG133" s="4">
        <f t="shared" si="87"/>
        <v>0.15253917653798199</v>
      </c>
      <c r="AH133" s="4">
        <f t="shared" si="87"/>
        <v>0.10795188737709993</v>
      </c>
      <c r="AI133" s="4">
        <f t="shared" si="87"/>
        <v>7.5176653938091809E-2</v>
      </c>
      <c r="AJ133" s="4">
        <f t="shared" si="88"/>
        <v>5.1742836177502194E-2</v>
      </c>
      <c r="AK133" s="4">
        <f t="shared" si="88"/>
        <v>3.5319190625345942E-2</v>
      </c>
      <c r="AL133" s="4">
        <f t="shared" si="88"/>
        <v>2.3969442072658165E-2</v>
      </c>
      <c r="AM133" s="4">
        <f t="shared" si="88"/>
        <v>1.6202243558389728E-2</v>
      </c>
      <c r="AN133" s="4">
        <f t="shared" si="88"/>
        <v>1.0922240564108399E-2</v>
      </c>
      <c r="AO133" s="4">
        <f t="shared" si="88"/>
        <v>7.3493212906090566E-3</v>
      </c>
      <c r="AP133" s="4">
        <f t="shared" si="88"/>
        <v>4.9390262185057265E-3</v>
      </c>
      <c r="AQ133" s="4">
        <f t="shared" si="88"/>
        <v>3.3164275492956197E-3</v>
      </c>
      <c r="AR133" s="4">
        <f t="shared" si="88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91">A117</f>
        <v>Capex vehicle</v>
      </c>
      <c r="B137" s="62">
        <f t="shared" ref="B137:B146" si="92">$B117+($C117-$B117)*(1-Q117)</f>
        <v>5000000</v>
      </c>
      <c r="C137" s="62">
        <f t="shared" ref="C137:C146" si="93">$B117+($C117-$B117)*(1-R117)</f>
        <v>5000000</v>
      </c>
      <c r="D137" s="62">
        <f t="shared" ref="D137:D146" si="94">$B117+($C117-$B117)*(1-S117)</f>
        <v>5000000</v>
      </c>
      <c r="E137" s="62">
        <f t="shared" ref="E137:E146" si="95">$B117+($C117-$B117)*(1-T117)</f>
        <v>5000000</v>
      </c>
      <c r="F137" s="62">
        <f t="shared" ref="F137:F146" si="96">$B117+($C117-$B117)*(1-U117)</f>
        <v>5000000</v>
      </c>
      <c r="G137" s="62">
        <f t="shared" ref="G137:G146" si="97">$B117+($C117-$B117)*(1-V117)</f>
        <v>5000000</v>
      </c>
      <c r="H137" s="62">
        <f t="shared" ref="H137:H146" si="98">$B117+($C117-$B117)*(1-W117)</f>
        <v>5000000</v>
      </c>
      <c r="I137" s="62">
        <f t="shared" ref="I137:I146" si="99">$B117+($C117-$B117)*(1-X117)</f>
        <v>5000000</v>
      </c>
      <c r="J137" s="62">
        <f t="shared" ref="J137:J146" si="100">$B117+($C117-$B117)*(1-Y117)</f>
        <v>5000000</v>
      </c>
      <c r="K137" s="62">
        <f t="shared" ref="K137:K146" si="101">$B117+($C117-$B117)*(1-Z117)</f>
        <v>5000000</v>
      </c>
      <c r="L137" s="62">
        <f t="shared" ref="L137:L146" si="102">$B117+($C117-$B117)*(1-AA117)</f>
        <v>5000000</v>
      </c>
      <c r="M137" s="62">
        <f t="shared" ref="M137:M146" si="103">$B117+($C117-$B117)*(1-AB117)</f>
        <v>5000000</v>
      </c>
      <c r="N137" s="62">
        <f t="shared" ref="N137:N146" si="104">$B117+($C117-$B117)*(1-AC117)</f>
        <v>5000000</v>
      </c>
      <c r="O137" s="62">
        <f t="shared" ref="O137:O146" si="105">$B117+($C117-$B117)*(1-AD117)</f>
        <v>5000000</v>
      </c>
      <c r="P137" s="62">
        <f t="shared" ref="P137:P146" si="106">$B117+($C117-$B117)*(1-AE117)</f>
        <v>5000000</v>
      </c>
      <c r="Q137" s="62">
        <f t="shared" ref="Q137:Q146" si="107">$B117+($C117-$B117)*(1-AF117)</f>
        <v>5000000</v>
      </c>
      <c r="R137" s="62">
        <f t="shared" ref="R137:R146" si="108">$B117+($C117-$B117)*(1-AG117)</f>
        <v>5000000</v>
      </c>
      <c r="S137" s="62">
        <f t="shared" ref="S137:S146" si="109">$B117+($C117-$B117)*(1-AH117)</f>
        <v>5000000</v>
      </c>
      <c r="T137" s="62">
        <f t="shared" ref="T137:T146" si="110">$B117+($C117-$B117)*(1-AI117)</f>
        <v>5000000</v>
      </c>
      <c r="U137" s="62">
        <f t="shared" ref="U137:U146" si="111">$B117+($C117-$B117)*(1-AJ117)</f>
        <v>5000000</v>
      </c>
      <c r="V137" s="62">
        <f t="shared" ref="V137:V146" si="112">$B117+($C117-$B117)*(1-AK117)</f>
        <v>5000000</v>
      </c>
      <c r="W137" s="62">
        <f t="shared" ref="W137:W146" si="113">$B117+($C117-$B117)*(1-AL117)</f>
        <v>5000000</v>
      </c>
      <c r="X137" s="62">
        <f t="shared" ref="X137:X146" si="114">$B117+($C117-$B117)*(1-AM117)</f>
        <v>5000000</v>
      </c>
      <c r="Y137" s="62">
        <f t="shared" ref="Y137:Y146" si="115">$B117+($C117-$B117)*(1-AN117)</f>
        <v>5000000</v>
      </c>
      <c r="Z137" s="62">
        <f t="shared" ref="Z137:Z146" si="116">$B117+($C117-$B117)*(1-AO117)</f>
        <v>5000000</v>
      </c>
      <c r="AA137" s="62">
        <f t="shared" ref="AA137:AA146" si="117">$B117+($C117-$B117)*(1-AP117)</f>
        <v>5000000</v>
      </c>
      <c r="AB137" s="62">
        <f t="shared" ref="AB137:AB146" si="118">$B117+($C117-$B117)*(1-AQ117)</f>
        <v>5000000</v>
      </c>
      <c r="AC137" s="62">
        <f t="shared" ref="AC137:AC146" si="119">$B117+($C117-$B117)*(1-AR117)</f>
        <v>5000000</v>
      </c>
    </row>
    <row r="138" spans="1:44" x14ac:dyDescent="0.3">
      <c r="A138" s="30" t="str">
        <f t="shared" si="91"/>
        <v>Residual value (vehicle)</v>
      </c>
      <c r="B138" s="62">
        <f t="shared" si="92"/>
        <v>-750000</v>
      </c>
      <c r="C138" s="62">
        <f t="shared" si="93"/>
        <v>-750000</v>
      </c>
      <c r="D138" s="62">
        <f t="shared" si="94"/>
        <v>-750000</v>
      </c>
      <c r="E138" s="62">
        <f t="shared" si="95"/>
        <v>-750000</v>
      </c>
      <c r="F138" s="62">
        <f t="shared" si="96"/>
        <v>-750000</v>
      </c>
      <c r="G138" s="62">
        <f t="shared" si="97"/>
        <v>-750000</v>
      </c>
      <c r="H138" s="62">
        <f t="shared" si="98"/>
        <v>-750000</v>
      </c>
      <c r="I138" s="62">
        <f t="shared" si="99"/>
        <v>-750000</v>
      </c>
      <c r="J138" s="62">
        <f t="shared" si="100"/>
        <v>-750000</v>
      </c>
      <c r="K138" s="62">
        <f t="shared" si="101"/>
        <v>-750000</v>
      </c>
      <c r="L138" s="62">
        <f t="shared" si="102"/>
        <v>-750000</v>
      </c>
      <c r="M138" s="62">
        <f t="shared" si="103"/>
        <v>-750000</v>
      </c>
      <c r="N138" s="62">
        <f t="shared" si="104"/>
        <v>-750000</v>
      </c>
      <c r="O138" s="62">
        <f t="shared" si="105"/>
        <v>-750000</v>
      </c>
      <c r="P138" s="62">
        <f t="shared" si="106"/>
        <v>-750000</v>
      </c>
      <c r="Q138" s="62">
        <f t="shared" si="107"/>
        <v>-750000</v>
      </c>
      <c r="R138" s="62">
        <f t="shared" si="108"/>
        <v>-750000</v>
      </c>
      <c r="S138" s="62">
        <f t="shared" si="109"/>
        <v>-750000</v>
      </c>
      <c r="T138" s="62">
        <f t="shared" si="110"/>
        <v>-750000</v>
      </c>
      <c r="U138" s="62">
        <f t="shared" si="111"/>
        <v>-750000</v>
      </c>
      <c r="V138" s="62">
        <f t="shared" si="112"/>
        <v>-750000</v>
      </c>
      <c r="W138" s="62">
        <f t="shared" si="113"/>
        <v>-750000</v>
      </c>
      <c r="X138" s="62">
        <f t="shared" si="114"/>
        <v>-750000</v>
      </c>
      <c r="Y138" s="62">
        <f t="shared" si="115"/>
        <v>-750000</v>
      </c>
      <c r="Z138" s="62">
        <f t="shared" si="116"/>
        <v>-750000</v>
      </c>
      <c r="AA138" s="62">
        <f t="shared" si="117"/>
        <v>-750000</v>
      </c>
      <c r="AB138" s="62">
        <f t="shared" si="118"/>
        <v>-750000</v>
      </c>
      <c r="AC138" s="62">
        <f t="shared" si="119"/>
        <v>-750000</v>
      </c>
    </row>
    <row r="139" spans="1:44" x14ac:dyDescent="0.3">
      <c r="A139" s="30" t="str">
        <f t="shared" si="91"/>
        <v>Capex costumization</v>
      </c>
      <c r="B139" s="62">
        <f t="shared" si="92"/>
        <v>5600000</v>
      </c>
      <c r="C139" s="62">
        <f t="shared" si="93"/>
        <v>5600000</v>
      </c>
      <c r="D139" s="62">
        <f t="shared" si="94"/>
        <v>5600000</v>
      </c>
      <c r="E139" s="62">
        <f t="shared" si="95"/>
        <v>5600000</v>
      </c>
      <c r="F139" s="62">
        <f t="shared" si="96"/>
        <v>5600000</v>
      </c>
      <c r="G139" s="62">
        <f t="shared" si="97"/>
        <v>5600000</v>
      </c>
      <c r="H139" s="62">
        <f t="shared" si="98"/>
        <v>5600000</v>
      </c>
      <c r="I139" s="62">
        <f t="shared" si="99"/>
        <v>5600000</v>
      </c>
      <c r="J139" s="62">
        <f t="shared" si="100"/>
        <v>5600000</v>
      </c>
      <c r="K139" s="62">
        <f t="shared" si="101"/>
        <v>5600000</v>
      </c>
      <c r="L139" s="62">
        <f t="shared" si="102"/>
        <v>5600000</v>
      </c>
      <c r="M139" s="62">
        <f t="shared" si="103"/>
        <v>5600000</v>
      </c>
      <c r="N139" s="62">
        <f t="shared" si="104"/>
        <v>5600000</v>
      </c>
      <c r="O139" s="62">
        <f t="shared" si="105"/>
        <v>5600000</v>
      </c>
      <c r="P139" s="62">
        <f t="shared" si="106"/>
        <v>5600000</v>
      </c>
      <c r="Q139" s="62">
        <f t="shared" si="107"/>
        <v>5600000</v>
      </c>
      <c r="R139" s="62">
        <f t="shared" si="108"/>
        <v>5600000</v>
      </c>
      <c r="S139" s="62">
        <f t="shared" si="109"/>
        <v>5600000</v>
      </c>
      <c r="T139" s="62">
        <f t="shared" si="110"/>
        <v>5600000</v>
      </c>
      <c r="U139" s="62">
        <f t="shared" si="111"/>
        <v>5600000</v>
      </c>
      <c r="V139" s="62">
        <f t="shared" si="112"/>
        <v>5600000</v>
      </c>
      <c r="W139" s="62">
        <f t="shared" si="113"/>
        <v>5600000</v>
      </c>
      <c r="X139" s="62">
        <f t="shared" si="114"/>
        <v>5600000</v>
      </c>
      <c r="Y139" s="62">
        <f t="shared" si="115"/>
        <v>5600000</v>
      </c>
      <c r="Z139" s="62">
        <f t="shared" si="116"/>
        <v>5600000</v>
      </c>
      <c r="AA139" s="62">
        <f t="shared" si="117"/>
        <v>5600000</v>
      </c>
      <c r="AB139" s="62">
        <f t="shared" si="118"/>
        <v>5600000</v>
      </c>
      <c r="AC139" s="62">
        <f t="shared" si="119"/>
        <v>5600000</v>
      </c>
    </row>
    <row r="140" spans="1:44" x14ac:dyDescent="0.3">
      <c r="A140" s="30" t="str">
        <f t="shared" si="91"/>
        <v>Residual value (costumization)</v>
      </c>
      <c r="B140" s="62">
        <f t="shared" si="92"/>
        <v>-280000</v>
      </c>
      <c r="C140" s="62">
        <f t="shared" si="93"/>
        <v>-280000</v>
      </c>
      <c r="D140" s="62">
        <f t="shared" si="94"/>
        <v>-280000</v>
      </c>
      <c r="E140" s="62">
        <f t="shared" si="95"/>
        <v>-280000</v>
      </c>
      <c r="F140" s="62">
        <f t="shared" si="96"/>
        <v>-280000</v>
      </c>
      <c r="G140" s="62">
        <f t="shared" si="97"/>
        <v>-280000</v>
      </c>
      <c r="H140" s="62">
        <f t="shared" si="98"/>
        <v>-280000</v>
      </c>
      <c r="I140" s="62">
        <f t="shared" si="99"/>
        <v>-280000</v>
      </c>
      <c r="J140" s="62">
        <f t="shared" si="100"/>
        <v>-280000</v>
      </c>
      <c r="K140" s="62">
        <f t="shared" si="101"/>
        <v>-280000</v>
      </c>
      <c r="L140" s="62">
        <f t="shared" si="102"/>
        <v>-280000</v>
      </c>
      <c r="M140" s="62">
        <f t="shared" si="103"/>
        <v>-280000</v>
      </c>
      <c r="N140" s="62">
        <f t="shared" si="104"/>
        <v>-280000</v>
      </c>
      <c r="O140" s="62">
        <f t="shared" si="105"/>
        <v>-280000</v>
      </c>
      <c r="P140" s="62">
        <f t="shared" si="106"/>
        <v>-280000</v>
      </c>
      <c r="Q140" s="62">
        <f t="shared" si="107"/>
        <v>-280000</v>
      </c>
      <c r="R140" s="62">
        <f t="shared" si="108"/>
        <v>-280000</v>
      </c>
      <c r="S140" s="62">
        <f t="shared" si="109"/>
        <v>-280000</v>
      </c>
      <c r="T140" s="62">
        <f t="shared" si="110"/>
        <v>-280000</v>
      </c>
      <c r="U140" s="62">
        <f t="shared" si="111"/>
        <v>-280000</v>
      </c>
      <c r="V140" s="62">
        <f t="shared" si="112"/>
        <v>-280000</v>
      </c>
      <c r="W140" s="62">
        <f t="shared" si="113"/>
        <v>-280000</v>
      </c>
      <c r="X140" s="62">
        <f t="shared" si="114"/>
        <v>-280000</v>
      </c>
      <c r="Y140" s="62">
        <f t="shared" si="115"/>
        <v>-280000</v>
      </c>
      <c r="Z140" s="62">
        <f t="shared" si="116"/>
        <v>-280000</v>
      </c>
      <c r="AA140" s="62">
        <f t="shared" si="117"/>
        <v>-280000</v>
      </c>
      <c r="AB140" s="62">
        <f t="shared" si="118"/>
        <v>-280000</v>
      </c>
      <c r="AC140" s="62">
        <f t="shared" si="119"/>
        <v>-280000</v>
      </c>
    </row>
    <row r="141" spans="1:44" x14ac:dyDescent="0.3">
      <c r="A141" s="30" t="str">
        <f t="shared" si="91"/>
        <v>WACC</v>
      </c>
      <c r="B141" s="62">
        <f t="shared" si="92"/>
        <v>0.06</v>
      </c>
      <c r="C141" s="62">
        <f t="shared" si="93"/>
        <v>0.06</v>
      </c>
      <c r="D141" s="62">
        <f t="shared" si="94"/>
        <v>0.06</v>
      </c>
      <c r="E141" s="62">
        <f t="shared" si="95"/>
        <v>0.06</v>
      </c>
      <c r="F141" s="62">
        <f t="shared" si="96"/>
        <v>0.06</v>
      </c>
      <c r="G141" s="62">
        <f t="shared" si="97"/>
        <v>0.06</v>
      </c>
      <c r="H141" s="62">
        <f t="shared" si="98"/>
        <v>0.06</v>
      </c>
      <c r="I141" s="62">
        <f t="shared" si="99"/>
        <v>0.06</v>
      </c>
      <c r="J141" s="62">
        <f t="shared" si="100"/>
        <v>0.06</v>
      </c>
      <c r="K141" s="62">
        <f t="shared" si="101"/>
        <v>0.06</v>
      </c>
      <c r="L141" s="62">
        <f t="shared" si="102"/>
        <v>0.06</v>
      </c>
      <c r="M141" s="62">
        <f t="shared" si="103"/>
        <v>0.06</v>
      </c>
      <c r="N141" s="62">
        <f t="shared" si="104"/>
        <v>0.06</v>
      </c>
      <c r="O141" s="62">
        <f t="shared" si="105"/>
        <v>0.06</v>
      </c>
      <c r="P141" s="62">
        <f t="shared" si="106"/>
        <v>0.06</v>
      </c>
      <c r="Q141" s="62">
        <f t="shared" si="107"/>
        <v>0.06</v>
      </c>
      <c r="R141" s="62">
        <f t="shared" si="108"/>
        <v>0.06</v>
      </c>
      <c r="S141" s="62">
        <f t="shared" si="109"/>
        <v>0.06</v>
      </c>
      <c r="T141" s="62">
        <f t="shared" si="110"/>
        <v>0.06</v>
      </c>
      <c r="U141" s="62">
        <f t="shared" si="111"/>
        <v>0.06</v>
      </c>
      <c r="V141" s="62">
        <f t="shared" si="112"/>
        <v>0.06</v>
      </c>
      <c r="W141" s="62">
        <f t="shared" si="113"/>
        <v>0.06</v>
      </c>
      <c r="X141" s="62">
        <f t="shared" si="114"/>
        <v>0.06</v>
      </c>
      <c r="Y141" s="62">
        <f t="shared" si="115"/>
        <v>0.06</v>
      </c>
      <c r="Z141" s="62">
        <f t="shared" si="116"/>
        <v>0.06</v>
      </c>
      <c r="AA141" s="62">
        <f t="shared" si="117"/>
        <v>0.06</v>
      </c>
      <c r="AB141" s="62">
        <f t="shared" si="118"/>
        <v>0.06</v>
      </c>
      <c r="AC141" s="62">
        <f t="shared" si="119"/>
        <v>0.06</v>
      </c>
    </row>
    <row r="142" spans="1:44" x14ac:dyDescent="0.3">
      <c r="A142" s="30" t="str">
        <f t="shared" si="91"/>
        <v>Opex fix (admin, crew, insurance)</v>
      </c>
      <c r="B142" s="62">
        <f t="shared" si="92"/>
        <v>620000</v>
      </c>
      <c r="C142" s="62">
        <f t="shared" si="93"/>
        <v>620000</v>
      </c>
      <c r="D142" s="62">
        <f t="shared" si="94"/>
        <v>620000</v>
      </c>
      <c r="E142" s="62">
        <f t="shared" si="95"/>
        <v>620000</v>
      </c>
      <c r="F142" s="62">
        <f t="shared" si="96"/>
        <v>620000</v>
      </c>
      <c r="G142" s="62">
        <f t="shared" si="97"/>
        <v>620000</v>
      </c>
      <c r="H142" s="62">
        <f t="shared" si="98"/>
        <v>620000</v>
      </c>
      <c r="I142" s="62">
        <f t="shared" si="99"/>
        <v>620000</v>
      </c>
      <c r="J142" s="62">
        <f t="shared" si="100"/>
        <v>620000</v>
      </c>
      <c r="K142" s="62">
        <f t="shared" si="101"/>
        <v>620000</v>
      </c>
      <c r="L142" s="62">
        <f t="shared" si="102"/>
        <v>620000</v>
      </c>
      <c r="M142" s="62">
        <f t="shared" si="103"/>
        <v>620000</v>
      </c>
      <c r="N142" s="62">
        <f t="shared" si="104"/>
        <v>620000</v>
      </c>
      <c r="O142" s="62">
        <f t="shared" si="105"/>
        <v>620000</v>
      </c>
      <c r="P142" s="62">
        <f t="shared" si="106"/>
        <v>620000</v>
      </c>
      <c r="Q142" s="62">
        <f t="shared" si="107"/>
        <v>620000</v>
      </c>
      <c r="R142" s="62">
        <f t="shared" si="108"/>
        <v>620000</v>
      </c>
      <c r="S142" s="62">
        <f t="shared" si="109"/>
        <v>620000</v>
      </c>
      <c r="T142" s="62">
        <f t="shared" si="110"/>
        <v>620000</v>
      </c>
      <c r="U142" s="62">
        <f t="shared" si="111"/>
        <v>620000</v>
      </c>
      <c r="V142" s="62">
        <f t="shared" si="112"/>
        <v>620000</v>
      </c>
      <c r="W142" s="62">
        <f t="shared" si="113"/>
        <v>620000</v>
      </c>
      <c r="X142" s="62">
        <f t="shared" si="114"/>
        <v>620000</v>
      </c>
      <c r="Y142" s="62">
        <f t="shared" si="115"/>
        <v>620000</v>
      </c>
      <c r="Z142" s="62">
        <f t="shared" si="116"/>
        <v>620000</v>
      </c>
      <c r="AA142" s="62">
        <f t="shared" si="117"/>
        <v>620000</v>
      </c>
      <c r="AB142" s="62">
        <f t="shared" si="118"/>
        <v>620000</v>
      </c>
      <c r="AC142" s="62">
        <f t="shared" si="119"/>
        <v>620000</v>
      </c>
    </row>
    <row r="143" spans="1:44" x14ac:dyDescent="0.3">
      <c r="A143" s="30" t="str">
        <f t="shared" si="91"/>
        <v>Opex maintenance &amp; repair</v>
      </c>
      <c r="B143" s="62">
        <f t="shared" si="92"/>
        <v>650000</v>
      </c>
      <c r="C143" s="62">
        <f t="shared" si="93"/>
        <v>650000</v>
      </c>
      <c r="D143" s="62">
        <f t="shared" si="94"/>
        <v>650000</v>
      </c>
      <c r="E143" s="62">
        <f t="shared" si="95"/>
        <v>650000</v>
      </c>
      <c r="F143" s="62">
        <f t="shared" si="96"/>
        <v>650000</v>
      </c>
      <c r="G143" s="62">
        <f t="shared" si="97"/>
        <v>650000</v>
      </c>
      <c r="H143" s="62">
        <f t="shared" si="98"/>
        <v>650000</v>
      </c>
      <c r="I143" s="62">
        <f t="shared" si="99"/>
        <v>650000</v>
      </c>
      <c r="J143" s="62">
        <f t="shared" si="100"/>
        <v>650000</v>
      </c>
      <c r="K143" s="62">
        <f t="shared" si="101"/>
        <v>650000</v>
      </c>
      <c r="L143" s="62">
        <f t="shared" si="102"/>
        <v>650000</v>
      </c>
      <c r="M143" s="62">
        <f t="shared" si="103"/>
        <v>650000</v>
      </c>
      <c r="N143" s="62">
        <f t="shared" si="104"/>
        <v>650000</v>
      </c>
      <c r="O143" s="62">
        <f t="shared" si="105"/>
        <v>650000</v>
      </c>
      <c r="P143" s="62">
        <f t="shared" si="106"/>
        <v>650000</v>
      </c>
      <c r="Q143" s="62">
        <f t="shared" si="107"/>
        <v>650000</v>
      </c>
      <c r="R143" s="62">
        <f t="shared" si="108"/>
        <v>650000</v>
      </c>
      <c r="S143" s="62">
        <f t="shared" si="109"/>
        <v>650000</v>
      </c>
      <c r="T143" s="62">
        <f t="shared" si="110"/>
        <v>650000</v>
      </c>
      <c r="U143" s="62">
        <f t="shared" si="111"/>
        <v>650000</v>
      </c>
      <c r="V143" s="62">
        <f t="shared" si="112"/>
        <v>650000</v>
      </c>
      <c r="W143" s="62">
        <f t="shared" si="113"/>
        <v>650000</v>
      </c>
      <c r="X143" s="62">
        <f t="shared" si="114"/>
        <v>650000</v>
      </c>
      <c r="Y143" s="62">
        <f t="shared" si="115"/>
        <v>650000</v>
      </c>
      <c r="Z143" s="62">
        <f t="shared" si="116"/>
        <v>650000</v>
      </c>
      <c r="AA143" s="62">
        <f t="shared" si="117"/>
        <v>650000</v>
      </c>
      <c r="AB143" s="62">
        <f t="shared" si="118"/>
        <v>650000</v>
      </c>
      <c r="AC143" s="62">
        <f t="shared" si="119"/>
        <v>650000</v>
      </c>
    </row>
    <row r="144" spans="1:44" x14ac:dyDescent="0.3">
      <c r="A144" s="30" t="str">
        <f t="shared" si="91"/>
        <v>Opex var (mode-fees, shunting)</v>
      </c>
      <c r="B144" s="62">
        <f t="shared" si="92"/>
        <v>3.6414565826330532</v>
      </c>
      <c r="C144" s="62">
        <f t="shared" si="93"/>
        <v>3.6414565826330532</v>
      </c>
      <c r="D144" s="62">
        <f t="shared" si="94"/>
        <v>3.6414565826330532</v>
      </c>
      <c r="E144" s="62">
        <f t="shared" si="95"/>
        <v>3.6414565826330532</v>
      </c>
      <c r="F144" s="62">
        <f t="shared" si="96"/>
        <v>3.6414565826330532</v>
      </c>
      <c r="G144" s="62">
        <f t="shared" si="97"/>
        <v>3.6414565826330532</v>
      </c>
      <c r="H144" s="62">
        <f t="shared" si="98"/>
        <v>3.6414565826330532</v>
      </c>
      <c r="I144" s="62">
        <f t="shared" si="99"/>
        <v>3.6414565826330532</v>
      </c>
      <c r="J144" s="62">
        <f t="shared" si="100"/>
        <v>3.6414565826330532</v>
      </c>
      <c r="K144" s="62">
        <f t="shared" si="101"/>
        <v>3.6414565826330532</v>
      </c>
      <c r="L144" s="62">
        <f t="shared" si="102"/>
        <v>3.6414565826330532</v>
      </c>
      <c r="M144" s="62">
        <f t="shared" si="103"/>
        <v>3.6414565826330532</v>
      </c>
      <c r="N144" s="62">
        <f t="shared" si="104"/>
        <v>3.6414565826330532</v>
      </c>
      <c r="O144" s="62">
        <f t="shared" si="105"/>
        <v>3.6414565826330532</v>
      </c>
      <c r="P144" s="62">
        <f t="shared" si="106"/>
        <v>3.6414565826330532</v>
      </c>
      <c r="Q144" s="62">
        <f t="shared" si="107"/>
        <v>3.6414565826330532</v>
      </c>
      <c r="R144" s="62">
        <f t="shared" si="108"/>
        <v>3.6414565826330532</v>
      </c>
      <c r="S144" s="62">
        <f t="shared" si="109"/>
        <v>3.6414565826330532</v>
      </c>
      <c r="T144" s="62">
        <f t="shared" si="110"/>
        <v>3.6414565826330532</v>
      </c>
      <c r="U144" s="62">
        <f t="shared" si="111"/>
        <v>3.6414565826330532</v>
      </c>
      <c r="V144" s="62">
        <f t="shared" si="112"/>
        <v>3.6414565826330532</v>
      </c>
      <c r="W144" s="62">
        <f t="shared" si="113"/>
        <v>3.6414565826330532</v>
      </c>
      <c r="X144" s="62">
        <f t="shared" si="114"/>
        <v>3.6414565826330532</v>
      </c>
      <c r="Y144" s="62">
        <f t="shared" si="115"/>
        <v>3.6414565826330532</v>
      </c>
      <c r="Z144" s="62">
        <f t="shared" si="116"/>
        <v>3.6414565826330532</v>
      </c>
      <c r="AA144" s="62">
        <f t="shared" si="117"/>
        <v>3.6414565826330532</v>
      </c>
      <c r="AB144" s="62">
        <f t="shared" si="118"/>
        <v>3.6414565826330532</v>
      </c>
      <c r="AC144" s="62">
        <f t="shared" si="119"/>
        <v>3.6414565826330532</v>
      </c>
    </row>
    <row r="145" spans="1:29" x14ac:dyDescent="0.3">
      <c r="A145" s="30" t="str">
        <f t="shared" si="91"/>
        <v>Fuel Economy</v>
      </c>
      <c r="B145" s="62">
        <f t="shared" si="92"/>
        <v>25.563670588235297</v>
      </c>
      <c r="C145" s="62">
        <f t="shared" si="93"/>
        <v>25.563670588235297</v>
      </c>
      <c r="D145" s="62">
        <f t="shared" si="94"/>
        <v>25.563670588235297</v>
      </c>
      <c r="E145" s="62">
        <f t="shared" si="95"/>
        <v>25.563670588235297</v>
      </c>
      <c r="F145" s="62">
        <f t="shared" si="96"/>
        <v>25.563670588235297</v>
      </c>
      <c r="G145" s="62">
        <f t="shared" si="97"/>
        <v>25.563670588235297</v>
      </c>
      <c r="H145" s="62">
        <f t="shared" si="98"/>
        <v>25.563670588235297</v>
      </c>
      <c r="I145" s="62">
        <f t="shared" si="99"/>
        <v>25.563670588235297</v>
      </c>
      <c r="J145" s="62">
        <f t="shared" si="100"/>
        <v>25.563670588235297</v>
      </c>
      <c r="K145" s="62">
        <f t="shared" si="101"/>
        <v>25.563670588235297</v>
      </c>
      <c r="L145" s="62">
        <f t="shared" si="102"/>
        <v>25.563670588235297</v>
      </c>
      <c r="M145" s="62">
        <f t="shared" si="103"/>
        <v>25.563670588235297</v>
      </c>
      <c r="N145" s="62">
        <f t="shared" si="104"/>
        <v>25.563670588235297</v>
      </c>
      <c r="O145" s="62">
        <f t="shared" si="105"/>
        <v>25.563670588235297</v>
      </c>
      <c r="P145" s="62">
        <f t="shared" si="106"/>
        <v>25.563670588235297</v>
      </c>
      <c r="Q145" s="62">
        <f t="shared" si="107"/>
        <v>25.563670588235297</v>
      </c>
      <c r="R145" s="62">
        <f t="shared" si="108"/>
        <v>25.563670588235297</v>
      </c>
      <c r="S145" s="62">
        <f t="shared" si="109"/>
        <v>25.563670588235297</v>
      </c>
      <c r="T145" s="62">
        <f t="shared" si="110"/>
        <v>25.563670588235297</v>
      </c>
      <c r="U145" s="62">
        <f t="shared" si="111"/>
        <v>25.563670588235297</v>
      </c>
      <c r="V145" s="62">
        <f t="shared" si="112"/>
        <v>25.563670588235297</v>
      </c>
      <c r="W145" s="62">
        <f t="shared" si="113"/>
        <v>25.563670588235297</v>
      </c>
      <c r="X145" s="62">
        <f t="shared" si="114"/>
        <v>25.563670588235297</v>
      </c>
      <c r="Y145" s="62">
        <f t="shared" si="115"/>
        <v>25.563670588235297</v>
      </c>
      <c r="Z145" s="62">
        <f t="shared" si="116"/>
        <v>25.563670588235297</v>
      </c>
      <c r="AA145" s="62">
        <f t="shared" si="117"/>
        <v>25.563670588235297</v>
      </c>
      <c r="AB145" s="62">
        <f t="shared" si="118"/>
        <v>25.563670588235297</v>
      </c>
      <c r="AC145" s="62">
        <f t="shared" si="119"/>
        <v>25.563670588235297</v>
      </c>
    </row>
    <row r="146" spans="1:29" x14ac:dyDescent="0.3">
      <c r="A146" s="30" t="str">
        <f t="shared" si="91"/>
        <v>Fuel Cost</v>
      </c>
      <c r="B146" s="62">
        <f t="shared" si="92"/>
        <v>9.2331951136741086E-2</v>
      </c>
      <c r="C146" s="62">
        <f t="shared" si="93"/>
        <v>9.2222956120974545E-2</v>
      </c>
      <c r="D146" s="62">
        <f t="shared" si="94"/>
        <v>9.2068198823216471E-2</v>
      </c>
      <c r="E146" s="62">
        <f t="shared" si="95"/>
        <v>9.1849464254062249E-2</v>
      </c>
      <c r="F146" s="62">
        <f t="shared" si="96"/>
        <v>9.1542364865268247E-2</v>
      </c>
      <c r="G146" s="62">
        <f t="shared" si="97"/>
        <v>9.1115385234314353E-2</v>
      </c>
      <c r="H146" s="62">
        <f t="shared" si="98"/>
        <v>9.0530012133616333E-2</v>
      </c>
      <c r="I146" s="62">
        <f t="shared" si="99"/>
        <v>8.9743333412323725E-2</v>
      </c>
      <c r="J146" s="62">
        <f t="shared" si="100"/>
        <v>8.8714992348442129E-2</v>
      </c>
      <c r="K146" s="62">
        <f t="shared" si="101"/>
        <v>8.7419970590682711E-2</v>
      </c>
      <c r="L146" s="62">
        <f t="shared" si="102"/>
        <v>8.5865981654976761E-2</v>
      </c>
      <c r="M146" s="62">
        <f t="shared" si="103"/>
        <v>8.4108771907851612E-2</v>
      </c>
      <c r="N146" s="62">
        <f t="shared" si="104"/>
        <v>8.2253692787461766E-2</v>
      </c>
      <c r="O146" s="62">
        <f t="shared" si="105"/>
        <v>8.0435118154333018E-2</v>
      </c>
      <c r="P146" s="62">
        <f t="shared" si="106"/>
        <v>7.8779632233065888E-2</v>
      </c>
      <c r="Q146" s="62">
        <f t="shared" si="107"/>
        <v>7.7372704945717463E-2</v>
      </c>
      <c r="R146" s="62">
        <f t="shared" si="108"/>
        <v>7.6246008154952791E-2</v>
      </c>
      <c r="S146" s="62">
        <f t="shared" si="109"/>
        <v>7.5386288497227227E-2</v>
      </c>
      <c r="T146" s="62">
        <f t="shared" si="110"/>
        <v>7.4754325599182742E-2</v>
      </c>
      <c r="U146" s="62">
        <f t="shared" si="111"/>
        <v>7.4302481269476042E-2</v>
      </c>
      <c r="V146" s="62">
        <f t="shared" si="112"/>
        <v>7.3985805122564349E-2</v>
      </c>
      <c r="W146" s="62">
        <f t="shared" si="113"/>
        <v>7.3766962440611206E-2</v>
      </c>
      <c r="X146" s="62">
        <f t="shared" si="114"/>
        <v>7.3617197488001537E-2</v>
      </c>
      <c r="Y146" s="62">
        <f t="shared" si="115"/>
        <v>7.3515389944810147E-2</v>
      </c>
      <c r="Z146" s="62">
        <f t="shared" si="116"/>
        <v>7.3446497913186276E-2</v>
      </c>
      <c r="AA146" s="62">
        <f t="shared" si="117"/>
        <v>7.3400023276728135E-2</v>
      </c>
      <c r="AB146" s="62">
        <f t="shared" si="118"/>
        <v>7.3368736782330912E-2</v>
      </c>
      <c r="AC146" s="62">
        <f t="shared" si="119"/>
        <v>7.3347704448441492E-2</v>
      </c>
    </row>
    <row r="147" spans="1:29" x14ac:dyDescent="0.3">
      <c r="A147" s="30" t="str">
        <f t="shared" ref="A147" si="120">A127</f>
        <v>Emission Cost</v>
      </c>
      <c r="B147" s="66">
        <f>$B127+($C127-$B127)*(1-Q127)</f>
        <v>5.9070060812636778E-2</v>
      </c>
      <c r="C147" s="66">
        <f t="shared" ref="C147" si="121">$B127+($C127-$B127)*(1-R127)</f>
        <v>5.9013811722223086E-2</v>
      </c>
      <c r="D147" s="66">
        <f t="shared" ref="D147" si="122">$B127+($C127-$B127)*(1-S127)</f>
        <v>5.8933292402143352E-2</v>
      </c>
      <c r="E147" s="66">
        <f t="shared" ref="E147" si="123">$B127+($C127-$B127)*(1-T127)</f>
        <v>5.8818103852397587E-2</v>
      </c>
      <c r="F147" s="66">
        <f t="shared" ref="F147" si="124">$B127+($C127-$B127)*(1-U127)</f>
        <v>5.8653473997195435E-2</v>
      </c>
      <c r="G147" s="66">
        <f t="shared" ref="G147" si="125">$B127+($C127-$B127)*(1-V127)</f>
        <v>5.8418511615834896E-2</v>
      </c>
      <c r="H147" s="66">
        <f t="shared" ref="H147" si="126">$B127+($C127-$B127)*(1-W127)</f>
        <v>5.8083867542195688E-2</v>
      </c>
      <c r="I147" s="66">
        <f t="shared" ref="I147" si="127">$B127+($C127-$B127)*(1-X127)</f>
        <v>5.760872092945437E-2</v>
      </c>
      <c r="J147" s="66">
        <f t="shared" ref="J147" si="128">$B127+($C127-$B127)*(1-Y127)</f>
        <v>5.6937146851018805E-2</v>
      </c>
      <c r="K147" s="66">
        <f t="shared" ref="K147" si="129">$B127+($C127-$B127)*(1-Z127)</f>
        <v>5.5994268961095287E-2</v>
      </c>
      <c r="L147" s="66">
        <f t="shared" ref="L147" si="130">$B127+($C127-$B127)*(1-AA127)</f>
        <v>5.4683326418828664E-2</v>
      </c>
      <c r="M147" s="66">
        <f t="shared" ref="M147" si="131">$B127+($C127-$B127)*(1-AB127)</f>
        <v>5.288607323583918E-2</v>
      </c>
      <c r="N147" s="66">
        <f t="shared" ref="N147" si="132">$B127+($C127-$B127)*(1-AC127)</f>
        <v>5.0470757543766405E-2</v>
      </c>
      <c r="O147" s="66">
        <f t="shared" ref="O147" si="133">$B127+($C127-$B127)*(1-AD127)</f>
        <v>4.7313473329551395E-2</v>
      </c>
      <c r="P147" s="66">
        <f t="shared" ref="P147" si="134">$B127+($C127-$B127)*(1-AE127)</f>
        <v>4.3337407512043943E-2</v>
      </c>
      <c r="Q147" s="66">
        <f t="shared" ref="Q147" si="135">$B127+($C127-$B127)*(1-AF127)</f>
        <v>3.8566242664022157E-2</v>
      </c>
      <c r="R147" s="66">
        <f t="shared" ref="R147" si="136">$B127+($C127-$B127)*(1-AG127)</f>
        <v>3.3171135154922579E-2</v>
      </c>
      <c r="S147" s="66">
        <f t="shared" ref="S147" si="137">$B127+($C127-$B127)*(1-AH127)</f>
        <v>2.7475542293135265E-2</v>
      </c>
      <c r="T147" s="66">
        <f t="shared" ref="T147" si="138">$B127+($C127-$B127)*(1-AI127)</f>
        <v>2.1892028045560286E-2</v>
      </c>
      <c r="U147" s="66">
        <f t="shared" ref="U147" si="139">$B127+($C127-$B127)*(1-AJ127)</f>
        <v>1.680924009742308E-2</v>
      </c>
      <c r="V147" s="66">
        <f t="shared" ref="V147" si="140">$B127+($C127-$B127)*(1-AK127)</f>
        <v>1.2489594144429211E-2</v>
      </c>
      <c r="W147" s="66">
        <f t="shared" ref="W147" si="141">$B127+($C127-$B127)*(1-AL127)</f>
        <v>9.0303313408408581E-3</v>
      </c>
      <c r="X147" s="66">
        <f t="shared" ref="X147" si="142">$B127+($C127-$B127)*(1-AM127)</f>
        <v>6.3907602886633802E-3</v>
      </c>
      <c r="Y147" s="66">
        <f t="shared" ref="Y147" si="143">$B127+($C127-$B127)*(1-AN127)</f>
        <v>4.4504638714085373E-3</v>
      </c>
      <c r="Z147" s="66">
        <f t="shared" ref="Z147" si="144">$B127+($C127-$B127)*(1-AO127)</f>
        <v>3.0631800026883343E-3</v>
      </c>
      <c r="AA147" s="66">
        <f t="shared" ref="AA147" si="145">$B127+($C127-$B127)*(1-AP127)</f>
        <v>2.0908988843123671E-3</v>
      </c>
      <c r="AB147" s="66">
        <f t="shared" ref="AB147" si="146">$B127+($C127-$B127)*(1-AQ127)</f>
        <v>1.4189928704466184E-3</v>
      </c>
      <c r="AC147" s="66">
        <f t="shared" ref="AC147" si="147">$B127+($C127-$B127)*(1-AR127)</f>
        <v>9.5917410279734022E-4</v>
      </c>
    </row>
    <row r="148" spans="1:29" x14ac:dyDescent="0.3">
      <c r="A148" s="30" t="str">
        <f>A128</f>
        <v>Lifetime vehicle</v>
      </c>
      <c r="B148" s="62">
        <f>$B128+($C128-$B128)*(1-Q128)</f>
        <v>20</v>
      </c>
      <c r="C148" s="62">
        <f t="shared" ref="C148:L150" si="148">$B128+($C128-$B128)*(1-R128)</f>
        <v>20</v>
      </c>
      <c r="D148" s="62">
        <f t="shared" si="148"/>
        <v>20</v>
      </c>
      <c r="E148" s="62">
        <f t="shared" si="148"/>
        <v>20</v>
      </c>
      <c r="F148" s="62">
        <f t="shared" si="148"/>
        <v>20</v>
      </c>
      <c r="G148" s="62">
        <f t="shared" si="148"/>
        <v>20</v>
      </c>
      <c r="H148" s="62">
        <f t="shared" si="148"/>
        <v>20</v>
      </c>
      <c r="I148" s="62">
        <f t="shared" si="148"/>
        <v>20</v>
      </c>
      <c r="J148" s="62">
        <f t="shared" si="148"/>
        <v>20</v>
      </c>
      <c r="K148" s="62">
        <f t="shared" si="148"/>
        <v>20</v>
      </c>
      <c r="L148" s="62">
        <f t="shared" si="148"/>
        <v>20</v>
      </c>
      <c r="M148" s="62">
        <f t="shared" ref="M148:V150" si="149">$B128+($C128-$B128)*(1-AB128)</f>
        <v>20</v>
      </c>
      <c r="N148" s="62">
        <f t="shared" si="149"/>
        <v>20</v>
      </c>
      <c r="O148" s="62">
        <f t="shared" si="149"/>
        <v>20</v>
      </c>
      <c r="P148" s="62">
        <f t="shared" si="149"/>
        <v>20</v>
      </c>
      <c r="Q148" s="62">
        <f t="shared" si="149"/>
        <v>20</v>
      </c>
      <c r="R148" s="62">
        <f t="shared" si="149"/>
        <v>20</v>
      </c>
      <c r="S148" s="62">
        <f t="shared" si="149"/>
        <v>20</v>
      </c>
      <c r="T148" s="62">
        <f t="shared" si="149"/>
        <v>20</v>
      </c>
      <c r="U148" s="62">
        <f t="shared" si="149"/>
        <v>20</v>
      </c>
      <c r="V148" s="62">
        <f t="shared" si="149"/>
        <v>20</v>
      </c>
      <c r="W148" s="62">
        <f t="shared" ref="W148:AC150" si="150">$B128+($C128-$B128)*(1-AL128)</f>
        <v>20</v>
      </c>
      <c r="X148" s="62">
        <f t="shared" si="150"/>
        <v>20</v>
      </c>
      <c r="Y148" s="62">
        <f t="shared" si="150"/>
        <v>20</v>
      </c>
      <c r="Z148" s="62">
        <f t="shared" si="150"/>
        <v>20</v>
      </c>
      <c r="AA148" s="62">
        <f t="shared" si="150"/>
        <v>20</v>
      </c>
      <c r="AB148" s="62">
        <f t="shared" si="150"/>
        <v>20</v>
      </c>
      <c r="AC148" s="62">
        <f t="shared" si="150"/>
        <v>20</v>
      </c>
    </row>
    <row r="149" spans="1:29" x14ac:dyDescent="0.3">
      <c r="A149" s="30" t="str">
        <f>A129</f>
        <v>Lifetime costumization</v>
      </c>
      <c r="B149" s="62">
        <f>$B129+($C129-$B129)*(1-Q129)</f>
        <v>30</v>
      </c>
      <c r="C149" s="62">
        <f t="shared" si="148"/>
        <v>30</v>
      </c>
      <c r="D149" s="62">
        <f t="shared" si="148"/>
        <v>30</v>
      </c>
      <c r="E149" s="62">
        <f t="shared" si="148"/>
        <v>30</v>
      </c>
      <c r="F149" s="62">
        <f t="shared" si="148"/>
        <v>30</v>
      </c>
      <c r="G149" s="62">
        <f t="shared" si="148"/>
        <v>30</v>
      </c>
      <c r="H149" s="62">
        <f t="shared" si="148"/>
        <v>30</v>
      </c>
      <c r="I149" s="62">
        <f t="shared" si="148"/>
        <v>30</v>
      </c>
      <c r="J149" s="62">
        <f t="shared" si="148"/>
        <v>30</v>
      </c>
      <c r="K149" s="62">
        <f t="shared" si="148"/>
        <v>30</v>
      </c>
      <c r="L149" s="62">
        <f t="shared" si="148"/>
        <v>30</v>
      </c>
      <c r="M149" s="62">
        <f t="shared" si="149"/>
        <v>30</v>
      </c>
      <c r="N149" s="62">
        <f t="shared" si="149"/>
        <v>30</v>
      </c>
      <c r="O149" s="62">
        <f t="shared" si="149"/>
        <v>30</v>
      </c>
      <c r="P149" s="62">
        <f t="shared" si="149"/>
        <v>30</v>
      </c>
      <c r="Q149" s="62">
        <f t="shared" si="149"/>
        <v>30</v>
      </c>
      <c r="R149" s="62">
        <f t="shared" si="149"/>
        <v>30</v>
      </c>
      <c r="S149" s="62">
        <f t="shared" si="149"/>
        <v>30</v>
      </c>
      <c r="T149" s="62">
        <f t="shared" si="149"/>
        <v>30</v>
      </c>
      <c r="U149" s="62">
        <f t="shared" si="149"/>
        <v>30</v>
      </c>
      <c r="V149" s="62">
        <f t="shared" si="149"/>
        <v>30</v>
      </c>
      <c r="W149" s="62">
        <f t="shared" si="150"/>
        <v>30</v>
      </c>
      <c r="X149" s="62">
        <f t="shared" si="150"/>
        <v>30</v>
      </c>
      <c r="Y149" s="62">
        <f t="shared" si="150"/>
        <v>30</v>
      </c>
      <c r="Z149" s="62">
        <f t="shared" si="150"/>
        <v>30</v>
      </c>
      <c r="AA149" s="62">
        <f t="shared" si="150"/>
        <v>30</v>
      </c>
      <c r="AB149" s="62">
        <f t="shared" si="150"/>
        <v>30</v>
      </c>
      <c r="AC149" s="62">
        <f t="shared" si="150"/>
        <v>30</v>
      </c>
    </row>
    <row r="150" spans="1:29" x14ac:dyDescent="0.3">
      <c r="A150" s="30" t="str">
        <f>A130</f>
        <v>Tonnage .</v>
      </c>
      <c r="B150" s="62">
        <f>$B130+($C130-$B130)*(1-Q130)</f>
        <v>2240</v>
      </c>
      <c r="C150" s="62">
        <f t="shared" si="148"/>
        <v>2240</v>
      </c>
      <c r="D150" s="62">
        <f t="shared" si="148"/>
        <v>2240</v>
      </c>
      <c r="E150" s="62">
        <f t="shared" si="148"/>
        <v>2240</v>
      </c>
      <c r="F150" s="62">
        <f t="shared" si="148"/>
        <v>2240</v>
      </c>
      <c r="G150" s="62">
        <f t="shared" si="148"/>
        <v>2240</v>
      </c>
      <c r="H150" s="62">
        <f t="shared" si="148"/>
        <v>2240</v>
      </c>
      <c r="I150" s="62">
        <f t="shared" si="148"/>
        <v>2240</v>
      </c>
      <c r="J150" s="62">
        <f t="shared" si="148"/>
        <v>2240</v>
      </c>
      <c r="K150" s="62">
        <f t="shared" si="148"/>
        <v>2240</v>
      </c>
      <c r="L150" s="62">
        <f t="shared" si="148"/>
        <v>2240</v>
      </c>
      <c r="M150" s="62">
        <f t="shared" si="149"/>
        <v>2240</v>
      </c>
      <c r="N150" s="62">
        <f t="shared" si="149"/>
        <v>2240</v>
      </c>
      <c r="O150" s="62">
        <f t="shared" si="149"/>
        <v>2240</v>
      </c>
      <c r="P150" s="62">
        <f t="shared" si="149"/>
        <v>2240</v>
      </c>
      <c r="Q150" s="62">
        <f t="shared" si="149"/>
        <v>2240</v>
      </c>
      <c r="R150" s="62">
        <f t="shared" si="149"/>
        <v>2240</v>
      </c>
      <c r="S150" s="62">
        <f t="shared" si="149"/>
        <v>2240</v>
      </c>
      <c r="T150" s="62">
        <f t="shared" si="149"/>
        <v>2240</v>
      </c>
      <c r="U150" s="62">
        <f t="shared" si="149"/>
        <v>2240</v>
      </c>
      <c r="V150" s="62">
        <f t="shared" si="149"/>
        <v>2240</v>
      </c>
      <c r="W150" s="62">
        <f t="shared" si="150"/>
        <v>2240</v>
      </c>
      <c r="X150" s="62">
        <f t="shared" si="150"/>
        <v>2240</v>
      </c>
      <c r="Y150" s="62">
        <f t="shared" si="150"/>
        <v>2240</v>
      </c>
      <c r="Z150" s="62">
        <f t="shared" si="150"/>
        <v>2240</v>
      </c>
      <c r="AA150" s="62">
        <f t="shared" si="150"/>
        <v>2240</v>
      </c>
      <c r="AB150" s="62">
        <f t="shared" si="150"/>
        <v>2240</v>
      </c>
      <c r="AC150" s="62">
        <f t="shared" si="150"/>
        <v>2240</v>
      </c>
    </row>
    <row r="151" spans="1:29" x14ac:dyDescent="0.3">
      <c r="A151" s="30" t="str">
        <f>A131</f>
        <v>Market failure (av. utilization)</v>
      </c>
      <c r="B151" s="62">
        <f t="shared" ref="B151:K152" si="151">($B131+($C131-$B131)*(1-Q131))*B$44</f>
        <v>716.80000000000007</v>
      </c>
      <c r="C151" s="62">
        <f t="shared" si="151"/>
        <v>716.80000000000007</v>
      </c>
      <c r="D151" s="62">
        <f t="shared" si="151"/>
        <v>716.80000000000007</v>
      </c>
      <c r="E151" s="62">
        <f t="shared" si="151"/>
        <v>716.80000000000007</v>
      </c>
      <c r="F151" s="62">
        <f t="shared" si="151"/>
        <v>716.80000000000007</v>
      </c>
      <c r="G151" s="62">
        <f t="shared" si="151"/>
        <v>716.80000000000007</v>
      </c>
      <c r="H151" s="62">
        <f t="shared" si="151"/>
        <v>716.80000000000007</v>
      </c>
      <c r="I151" s="62">
        <f t="shared" si="151"/>
        <v>716.80000000000007</v>
      </c>
      <c r="J151" s="62">
        <f t="shared" si="151"/>
        <v>716.80000000000007</v>
      </c>
      <c r="K151" s="62">
        <f t="shared" si="151"/>
        <v>716.80000000000007</v>
      </c>
      <c r="L151" s="62">
        <f t="shared" ref="L151:U152" si="152">($B131+($C131-$B131)*(1-AA131))*L$44</f>
        <v>716.80000000000007</v>
      </c>
      <c r="M151" s="62">
        <f t="shared" si="152"/>
        <v>716.80000000000007</v>
      </c>
      <c r="N151" s="62">
        <f t="shared" si="152"/>
        <v>716.80000000000007</v>
      </c>
      <c r="O151" s="62">
        <f t="shared" si="152"/>
        <v>716.80000000000007</v>
      </c>
      <c r="P151" s="62">
        <f t="shared" si="152"/>
        <v>716.80000000000007</v>
      </c>
      <c r="Q151" s="62">
        <f t="shared" si="152"/>
        <v>716.80000000000007</v>
      </c>
      <c r="R151" s="62">
        <f t="shared" si="152"/>
        <v>716.80000000000007</v>
      </c>
      <c r="S151" s="62">
        <f t="shared" si="152"/>
        <v>716.80000000000007</v>
      </c>
      <c r="T151" s="62">
        <f t="shared" si="152"/>
        <v>716.80000000000007</v>
      </c>
      <c r="U151" s="62">
        <f t="shared" si="152"/>
        <v>716.80000000000007</v>
      </c>
      <c r="V151" s="62">
        <f t="shared" ref="V151:AC152" si="153">($B131+($C131-$B131)*(1-AK131))*V$44</f>
        <v>716.80000000000007</v>
      </c>
      <c r="W151" s="62">
        <f t="shared" si="153"/>
        <v>716.80000000000007</v>
      </c>
      <c r="X151" s="62">
        <f t="shared" si="153"/>
        <v>716.80000000000007</v>
      </c>
      <c r="Y151" s="62">
        <f t="shared" si="153"/>
        <v>716.80000000000007</v>
      </c>
      <c r="Z151" s="62">
        <f t="shared" si="153"/>
        <v>716.80000000000007</v>
      </c>
      <c r="AA151" s="62">
        <f t="shared" si="153"/>
        <v>716.80000000000007</v>
      </c>
      <c r="AB151" s="62">
        <f t="shared" si="153"/>
        <v>716.80000000000007</v>
      </c>
      <c r="AC151" s="62">
        <f t="shared" si="153"/>
        <v>716.80000000000007</v>
      </c>
    </row>
    <row r="152" spans="1:29" x14ac:dyDescent="0.3">
      <c r="A152" s="30" t="s">
        <v>73</v>
      </c>
      <c r="B152" s="62">
        <f t="shared" si="151"/>
        <v>0</v>
      </c>
      <c r="C152" s="62">
        <f t="shared" si="151"/>
        <v>0</v>
      </c>
      <c r="D152" s="62">
        <f t="shared" si="151"/>
        <v>0</v>
      </c>
      <c r="E152" s="62">
        <f t="shared" si="151"/>
        <v>0</v>
      </c>
      <c r="F152" s="62">
        <f t="shared" si="151"/>
        <v>0</v>
      </c>
      <c r="G152" s="62">
        <f t="shared" si="151"/>
        <v>0</v>
      </c>
      <c r="H152" s="62">
        <f t="shared" si="151"/>
        <v>0</v>
      </c>
      <c r="I152" s="62">
        <f t="shared" si="151"/>
        <v>0</v>
      </c>
      <c r="J152" s="62">
        <f t="shared" si="151"/>
        <v>0</v>
      </c>
      <c r="K152" s="62">
        <f t="shared" si="151"/>
        <v>0</v>
      </c>
      <c r="L152" s="62">
        <f t="shared" si="152"/>
        <v>0</v>
      </c>
      <c r="M152" s="62">
        <f t="shared" si="152"/>
        <v>0</v>
      </c>
      <c r="N152" s="62">
        <f t="shared" si="152"/>
        <v>0</v>
      </c>
      <c r="O152" s="62">
        <f t="shared" si="152"/>
        <v>0</v>
      </c>
      <c r="P152" s="62">
        <f t="shared" si="152"/>
        <v>0</v>
      </c>
      <c r="Q152" s="62">
        <f t="shared" si="152"/>
        <v>0</v>
      </c>
      <c r="R152" s="62">
        <f t="shared" si="152"/>
        <v>0</v>
      </c>
      <c r="S152" s="62">
        <f t="shared" si="152"/>
        <v>0</v>
      </c>
      <c r="T152" s="62">
        <f t="shared" si="152"/>
        <v>0</v>
      </c>
      <c r="U152" s="62">
        <f t="shared" si="152"/>
        <v>0</v>
      </c>
      <c r="V152" s="62">
        <f t="shared" si="153"/>
        <v>0</v>
      </c>
      <c r="W152" s="62">
        <f t="shared" si="153"/>
        <v>0</v>
      </c>
      <c r="X152" s="62">
        <f t="shared" si="153"/>
        <v>0</v>
      </c>
      <c r="Y152" s="62">
        <f t="shared" si="153"/>
        <v>0</v>
      </c>
      <c r="Z152" s="62">
        <f t="shared" si="153"/>
        <v>0</v>
      </c>
      <c r="AA152" s="62">
        <f t="shared" si="153"/>
        <v>0</v>
      </c>
      <c r="AB152" s="62">
        <f t="shared" si="153"/>
        <v>0</v>
      </c>
      <c r="AC152" s="62">
        <f t="shared" si="153"/>
        <v>0</v>
      </c>
    </row>
    <row r="153" spans="1:29" x14ac:dyDescent="0.3">
      <c r="A153" s="30" t="str">
        <f>A133</f>
        <v>Annual Mileage</v>
      </c>
      <c r="B153" s="62">
        <f t="shared" ref="B153:AC153" si="154">$B133+($C133-$B133)*(1-Q133)</f>
        <v>178500</v>
      </c>
      <c r="C153" s="62">
        <f t="shared" si="154"/>
        <v>178500</v>
      </c>
      <c r="D153" s="62">
        <f t="shared" si="154"/>
        <v>178500</v>
      </c>
      <c r="E153" s="62">
        <f t="shared" si="154"/>
        <v>178500</v>
      </c>
      <c r="F153" s="62">
        <f t="shared" si="154"/>
        <v>178500</v>
      </c>
      <c r="G153" s="62">
        <f t="shared" si="154"/>
        <v>178500</v>
      </c>
      <c r="H153" s="62">
        <f t="shared" si="154"/>
        <v>178500</v>
      </c>
      <c r="I153" s="62">
        <f t="shared" si="154"/>
        <v>178500</v>
      </c>
      <c r="J153" s="62">
        <f t="shared" si="154"/>
        <v>178500</v>
      </c>
      <c r="K153" s="62">
        <f t="shared" si="154"/>
        <v>178500</v>
      </c>
      <c r="L153" s="62">
        <f t="shared" si="154"/>
        <v>178500</v>
      </c>
      <c r="M153" s="62">
        <f t="shared" si="154"/>
        <v>178500</v>
      </c>
      <c r="N153" s="62">
        <f t="shared" si="154"/>
        <v>178500</v>
      </c>
      <c r="O153" s="62">
        <f t="shared" si="154"/>
        <v>178500</v>
      </c>
      <c r="P153" s="62">
        <f t="shared" si="154"/>
        <v>178500</v>
      </c>
      <c r="Q153" s="62">
        <f t="shared" si="154"/>
        <v>178500</v>
      </c>
      <c r="R153" s="62">
        <f t="shared" si="154"/>
        <v>178500</v>
      </c>
      <c r="S153" s="62">
        <f t="shared" si="154"/>
        <v>178500</v>
      </c>
      <c r="T153" s="62">
        <f t="shared" si="154"/>
        <v>178500</v>
      </c>
      <c r="U153" s="62">
        <f t="shared" si="154"/>
        <v>178500</v>
      </c>
      <c r="V153" s="62">
        <f t="shared" si="154"/>
        <v>178500</v>
      </c>
      <c r="W153" s="62">
        <f t="shared" si="154"/>
        <v>178500</v>
      </c>
      <c r="X153" s="62">
        <f t="shared" si="154"/>
        <v>178500</v>
      </c>
      <c r="Y153" s="62">
        <f t="shared" si="154"/>
        <v>178500</v>
      </c>
      <c r="Z153" s="62">
        <f t="shared" si="154"/>
        <v>178500</v>
      </c>
      <c r="AA153" s="62">
        <f t="shared" si="154"/>
        <v>178500</v>
      </c>
      <c r="AB153" s="62">
        <f t="shared" si="154"/>
        <v>178500</v>
      </c>
      <c r="AC153" s="62">
        <f t="shared" si="154"/>
        <v>178500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435922.78488425701</v>
      </c>
      <c r="C156" s="63">
        <f t="shared" ref="C156:AC156" si="155">((1+C141)^C148)*C141/(((1+C141)^C148)-1)*(C137)</f>
        <v>435922.78488425701</v>
      </c>
      <c r="D156" s="63">
        <f t="shared" si="155"/>
        <v>435922.78488425701</v>
      </c>
      <c r="E156" s="63">
        <f t="shared" si="155"/>
        <v>435922.78488425701</v>
      </c>
      <c r="F156" s="63">
        <f t="shared" si="155"/>
        <v>435922.78488425701</v>
      </c>
      <c r="G156" s="63">
        <f t="shared" si="155"/>
        <v>435922.78488425701</v>
      </c>
      <c r="H156" s="63">
        <f t="shared" si="155"/>
        <v>435922.78488425701</v>
      </c>
      <c r="I156" s="63">
        <f t="shared" si="155"/>
        <v>435922.78488425701</v>
      </c>
      <c r="J156" s="63">
        <f t="shared" si="155"/>
        <v>435922.78488425701</v>
      </c>
      <c r="K156" s="63">
        <f t="shared" si="155"/>
        <v>435922.78488425701</v>
      </c>
      <c r="L156" s="63">
        <f t="shared" si="155"/>
        <v>435922.78488425701</v>
      </c>
      <c r="M156" s="63">
        <f t="shared" si="155"/>
        <v>435922.78488425701</v>
      </c>
      <c r="N156" s="63">
        <f t="shared" si="155"/>
        <v>435922.78488425701</v>
      </c>
      <c r="O156" s="63">
        <f t="shared" si="155"/>
        <v>435922.78488425701</v>
      </c>
      <c r="P156" s="63">
        <f t="shared" si="155"/>
        <v>435922.78488425701</v>
      </c>
      <c r="Q156" s="63">
        <f t="shared" si="155"/>
        <v>435922.78488425701</v>
      </c>
      <c r="R156" s="63">
        <f t="shared" si="155"/>
        <v>435922.78488425701</v>
      </c>
      <c r="S156" s="63">
        <f t="shared" si="155"/>
        <v>435922.78488425701</v>
      </c>
      <c r="T156" s="63">
        <f t="shared" si="155"/>
        <v>435922.78488425701</v>
      </c>
      <c r="U156" s="63">
        <f t="shared" si="155"/>
        <v>435922.78488425701</v>
      </c>
      <c r="V156" s="63">
        <f t="shared" si="155"/>
        <v>435922.78488425701</v>
      </c>
      <c r="W156" s="63">
        <f t="shared" si="155"/>
        <v>435922.78488425701</v>
      </c>
      <c r="X156" s="63">
        <f t="shared" si="155"/>
        <v>435922.78488425701</v>
      </c>
      <c r="Y156" s="63">
        <f t="shared" si="155"/>
        <v>435922.78488425701</v>
      </c>
      <c r="Z156" s="63">
        <f t="shared" si="155"/>
        <v>435922.78488425701</v>
      </c>
      <c r="AA156" s="63">
        <f t="shared" si="155"/>
        <v>435922.78488425701</v>
      </c>
      <c r="AB156" s="63">
        <f t="shared" si="155"/>
        <v>435922.78488425701</v>
      </c>
      <c r="AC156" s="63">
        <f t="shared" si="155"/>
        <v>435922.78488425701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-65388.417732638554</v>
      </c>
      <c r="C157" s="62">
        <f t="shared" ref="C157:AC157" si="156">((1+C141)^C148)*C141/(((1+C141)^C148)-1)*(C138)</f>
        <v>-65388.417732638554</v>
      </c>
      <c r="D157" s="62">
        <f t="shared" si="156"/>
        <v>-65388.417732638554</v>
      </c>
      <c r="E157" s="62">
        <f t="shared" si="156"/>
        <v>-65388.417732638554</v>
      </c>
      <c r="F157" s="62">
        <f t="shared" si="156"/>
        <v>-65388.417732638554</v>
      </c>
      <c r="G157" s="62">
        <f t="shared" si="156"/>
        <v>-65388.417732638554</v>
      </c>
      <c r="H157" s="62">
        <f t="shared" si="156"/>
        <v>-65388.417732638554</v>
      </c>
      <c r="I157" s="62">
        <f t="shared" si="156"/>
        <v>-65388.417732638554</v>
      </c>
      <c r="J157" s="62">
        <f t="shared" si="156"/>
        <v>-65388.417732638554</v>
      </c>
      <c r="K157" s="62">
        <f t="shared" si="156"/>
        <v>-65388.417732638554</v>
      </c>
      <c r="L157" s="62">
        <f t="shared" si="156"/>
        <v>-65388.417732638554</v>
      </c>
      <c r="M157" s="62">
        <f t="shared" si="156"/>
        <v>-65388.417732638554</v>
      </c>
      <c r="N157" s="62">
        <f t="shared" si="156"/>
        <v>-65388.417732638554</v>
      </c>
      <c r="O157" s="62">
        <f t="shared" si="156"/>
        <v>-65388.417732638554</v>
      </c>
      <c r="P157" s="62">
        <f t="shared" si="156"/>
        <v>-65388.417732638554</v>
      </c>
      <c r="Q157" s="62">
        <f t="shared" si="156"/>
        <v>-65388.417732638554</v>
      </c>
      <c r="R157" s="62">
        <f t="shared" si="156"/>
        <v>-65388.417732638554</v>
      </c>
      <c r="S157" s="62">
        <f t="shared" si="156"/>
        <v>-65388.417732638554</v>
      </c>
      <c r="T157" s="62">
        <f t="shared" si="156"/>
        <v>-65388.417732638554</v>
      </c>
      <c r="U157" s="62">
        <f t="shared" si="156"/>
        <v>-65388.417732638554</v>
      </c>
      <c r="V157" s="62">
        <f t="shared" si="156"/>
        <v>-65388.417732638554</v>
      </c>
      <c r="W157" s="62">
        <f t="shared" si="156"/>
        <v>-65388.417732638554</v>
      </c>
      <c r="X157" s="62">
        <f t="shared" si="156"/>
        <v>-65388.417732638554</v>
      </c>
      <c r="Y157" s="62">
        <f t="shared" si="156"/>
        <v>-65388.417732638554</v>
      </c>
      <c r="Z157" s="62">
        <f t="shared" si="156"/>
        <v>-65388.417732638554</v>
      </c>
      <c r="AA157" s="62">
        <f t="shared" si="156"/>
        <v>-65388.417732638554</v>
      </c>
      <c r="AB157" s="62">
        <f t="shared" si="156"/>
        <v>-65388.417732638554</v>
      </c>
      <c r="AC157" s="62">
        <f t="shared" si="156"/>
        <v>-65388.417732638554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57">((1+C141)^C149)*C141/(((1+C141)^C149)-1)*(C139)</f>
        <v>406833.9043442643</v>
      </c>
      <c r="D158" s="62">
        <f t="shared" si="157"/>
        <v>406833.9043442643</v>
      </c>
      <c r="E158" s="62">
        <f t="shared" si="157"/>
        <v>406833.9043442643</v>
      </c>
      <c r="F158" s="62">
        <f t="shared" si="157"/>
        <v>406833.9043442643</v>
      </c>
      <c r="G158" s="62">
        <f t="shared" si="157"/>
        <v>406833.9043442643</v>
      </c>
      <c r="H158" s="62">
        <f t="shared" si="157"/>
        <v>406833.9043442643</v>
      </c>
      <c r="I158" s="62">
        <f t="shared" si="157"/>
        <v>406833.9043442643</v>
      </c>
      <c r="J158" s="62">
        <f t="shared" si="157"/>
        <v>406833.9043442643</v>
      </c>
      <c r="K158" s="62">
        <f t="shared" si="157"/>
        <v>406833.9043442643</v>
      </c>
      <c r="L158" s="62">
        <f t="shared" si="157"/>
        <v>406833.9043442643</v>
      </c>
      <c r="M158" s="62">
        <f t="shared" si="157"/>
        <v>406833.9043442643</v>
      </c>
      <c r="N158" s="62">
        <f t="shared" si="157"/>
        <v>406833.9043442643</v>
      </c>
      <c r="O158" s="62">
        <f t="shared" si="157"/>
        <v>406833.9043442643</v>
      </c>
      <c r="P158" s="62">
        <f t="shared" si="157"/>
        <v>406833.9043442643</v>
      </c>
      <c r="Q158" s="62">
        <f t="shared" si="157"/>
        <v>406833.9043442643</v>
      </c>
      <c r="R158" s="62">
        <f t="shared" si="157"/>
        <v>406833.9043442643</v>
      </c>
      <c r="S158" s="62">
        <f t="shared" si="157"/>
        <v>406833.9043442643</v>
      </c>
      <c r="T158" s="62">
        <f t="shared" si="157"/>
        <v>406833.9043442643</v>
      </c>
      <c r="U158" s="62">
        <f t="shared" si="157"/>
        <v>406833.9043442643</v>
      </c>
      <c r="V158" s="62">
        <f t="shared" si="157"/>
        <v>406833.9043442643</v>
      </c>
      <c r="W158" s="62">
        <f t="shared" si="157"/>
        <v>406833.9043442643</v>
      </c>
      <c r="X158" s="62">
        <f t="shared" si="157"/>
        <v>406833.9043442643</v>
      </c>
      <c r="Y158" s="62">
        <f t="shared" si="157"/>
        <v>406833.9043442643</v>
      </c>
      <c r="Z158" s="62">
        <f t="shared" si="157"/>
        <v>406833.9043442643</v>
      </c>
      <c r="AA158" s="62">
        <f t="shared" si="157"/>
        <v>406833.9043442643</v>
      </c>
      <c r="AB158" s="62">
        <f t="shared" si="157"/>
        <v>406833.9043442643</v>
      </c>
      <c r="AC158" s="62">
        <f t="shared" si="157"/>
        <v>406833.9043442643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58">((1+C141)^C149)*C141/(((1+C141)^C149)-1)*(C140)</f>
        <v>-20341.695217213215</v>
      </c>
      <c r="D159" s="62">
        <f t="shared" si="158"/>
        <v>-20341.695217213215</v>
      </c>
      <c r="E159" s="62">
        <f t="shared" si="158"/>
        <v>-20341.695217213215</v>
      </c>
      <c r="F159" s="62">
        <f t="shared" si="158"/>
        <v>-20341.695217213215</v>
      </c>
      <c r="G159" s="62">
        <f t="shared" si="158"/>
        <v>-20341.695217213215</v>
      </c>
      <c r="H159" s="62">
        <f t="shared" si="158"/>
        <v>-20341.695217213215</v>
      </c>
      <c r="I159" s="62">
        <f t="shared" si="158"/>
        <v>-20341.695217213215</v>
      </c>
      <c r="J159" s="62">
        <f t="shared" si="158"/>
        <v>-20341.695217213215</v>
      </c>
      <c r="K159" s="62">
        <f t="shared" si="158"/>
        <v>-20341.695217213215</v>
      </c>
      <c r="L159" s="62">
        <f t="shared" si="158"/>
        <v>-20341.695217213215</v>
      </c>
      <c r="M159" s="62">
        <f t="shared" si="158"/>
        <v>-20341.695217213215</v>
      </c>
      <c r="N159" s="62">
        <f t="shared" si="158"/>
        <v>-20341.695217213215</v>
      </c>
      <c r="O159" s="62">
        <f t="shared" si="158"/>
        <v>-20341.695217213215</v>
      </c>
      <c r="P159" s="62">
        <f t="shared" si="158"/>
        <v>-20341.695217213215</v>
      </c>
      <c r="Q159" s="62">
        <f t="shared" si="158"/>
        <v>-20341.695217213215</v>
      </c>
      <c r="R159" s="62">
        <f t="shared" si="158"/>
        <v>-20341.695217213215</v>
      </c>
      <c r="S159" s="62">
        <f t="shared" si="158"/>
        <v>-20341.695217213215</v>
      </c>
      <c r="T159" s="62">
        <f t="shared" si="158"/>
        <v>-20341.695217213215</v>
      </c>
      <c r="U159" s="62">
        <f t="shared" si="158"/>
        <v>-20341.695217213215</v>
      </c>
      <c r="V159" s="62">
        <f t="shared" si="158"/>
        <v>-20341.695217213215</v>
      </c>
      <c r="W159" s="62">
        <f t="shared" si="158"/>
        <v>-20341.695217213215</v>
      </c>
      <c r="X159" s="62">
        <f t="shared" si="158"/>
        <v>-20341.695217213215</v>
      </c>
      <c r="Y159" s="62">
        <f t="shared" si="158"/>
        <v>-20341.695217213215</v>
      </c>
      <c r="Z159" s="62">
        <f t="shared" si="158"/>
        <v>-20341.695217213215</v>
      </c>
      <c r="AA159" s="62">
        <f t="shared" si="158"/>
        <v>-20341.695217213215</v>
      </c>
      <c r="AB159" s="62">
        <f t="shared" si="158"/>
        <v>-20341.695217213215</v>
      </c>
      <c r="AC159" s="62">
        <f t="shared" si="158"/>
        <v>-20341.695217213215</v>
      </c>
    </row>
    <row r="160" spans="1:29" x14ac:dyDescent="0.3">
      <c r="A160" s="30" t="str">
        <f t="shared" ref="A160:AC160" si="159">A142</f>
        <v>Opex fix (admin, crew, insurance)</v>
      </c>
      <c r="B160" s="62">
        <f t="shared" si="159"/>
        <v>620000</v>
      </c>
      <c r="C160" s="62">
        <f t="shared" si="159"/>
        <v>620000</v>
      </c>
      <c r="D160" s="62">
        <f t="shared" si="159"/>
        <v>620000</v>
      </c>
      <c r="E160" s="62">
        <f t="shared" si="159"/>
        <v>620000</v>
      </c>
      <c r="F160" s="62">
        <f t="shared" si="159"/>
        <v>620000</v>
      </c>
      <c r="G160" s="62">
        <f t="shared" si="159"/>
        <v>620000</v>
      </c>
      <c r="H160" s="62">
        <f t="shared" si="159"/>
        <v>620000</v>
      </c>
      <c r="I160" s="62">
        <f t="shared" si="159"/>
        <v>620000</v>
      </c>
      <c r="J160" s="62">
        <f t="shared" si="159"/>
        <v>620000</v>
      </c>
      <c r="K160" s="62">
        <f t="shared" si="159"/>
        <v>620000</v>
      </c>
      <c r="L160" s="62">
        <f t="shared" si="159"/>
        <v>620000</v>
      </c>
      <c r="M160" s="62">
        <f t="shared" si="159"/>
        <v>620000</v>
      </c>
      <c r="N160" s="62">
        <f t="shared" si="159"/>
        <v>620000</v>
      </c>
      <c r="O160" s="62">
        <f t="shared" si="159"/>
        <v>620000</v>
      </c>
      <c r="P160" s="62">
        <f t="shared" si="159"/>
        <v>620000</v>
      </c>
      <c r="Q160" s="62">
        <f t="shared" si="159"/>
        <v>620000</v>
      </c>
      <c r="R160" s="62">
        <f t="shared" si="159"/>
        <v>620000</v>
      </c>
      <c r="S160" s="62">
        <f t="shared" si="159"/>
        <v>620000</v>
      </c>
      <c r="T160" s="62">
        <f t="shared" si="159"/>
        <v>620000</v>
      </c>
      <c r="U160" s="62">
        <f t="shared" si="159"/>
        <v>620000</v>
      </c>
      <c r="V160" s="62">
        <f t="shared" si="159"/>
        <v>620000</v>
      </c>
      <c r="W160" s="62">
        <f t="shared" si="159"/>
        <v>620000</v>
      </c>
      <c r="X160" s="62">
        <f t="shared" si="159"/>
        <v>620000</v>
      </c>
      <c r="Y160" s="62">
        <f t="shared" si="159"/>
        <v>620000</v>
      </c>
      <c r="Z160" s="62">
        <f t="shared" si="159"/>
        <v>620000</v>
      </c>
      <c r="AA160" s="62">
        <f t="shared" si="159"/>
        <v>620000</v>
      </c>
      <c r="AB160" s="62">
        <f t="shared" si="159"/>
        <v>620000</v>
      </c>
      <c r="AC160" s="62">
        <f t="shared" si="159"/>
        <v>620000</v>
      </c>
    </row>
    <row r="161" spans="1:29" x14ac:dyDescent="0.3">
      <c r="A161" s="30" t="str">
        <f t="shared" ref="A161:AC161" si="160">A143</f>
        <v>Opex maintenance &amp; repair</v>
      </c>
      <c r="B161" s="62">
        <f t="shared" si="160"/>
        <v>650000</v>
      </c>
      <c r="C161" s="62">
        <f t="shared" si="160"/>
        <v>650000</v>
      </c>
      <c r="D161" s="62">
        <f t="shared" si="160"/>
        <v>650000</v>
      </c>
      <c r="E161" s="62">
        <f t="shared" si="160"/>
        <v>650000</v>
      </c>
      <c r="F161" s="62">
        <f t="shared" si="160"/>
        <v>650000</v>
      </c>
      <c r="G161" s="62">
        <f t="shared" si="160"/>
        <v>650000</v>
      </c>
      <c r="H161" s="62">
        <f t="shared" si="160"/>
        <v>650000</v>
      </c>
      <c r="I161" s="62">
        <f t="shared" si="160"/>
        <v>650000</v>
      </c>
      <c r="J161" s="62">
        <f t="shared" si="160"/>
        <v>650000</v>
      </c>
      <c r="K161" s="62">
        <f t="shared" si="160"/>
        <v>650000</v>
      </c>
      <c r="L161" s="62">
        <f t="shared" si="160"/>
        <v>650000</v>
      </c>
      <c r="M161" s="62">
        <f t="shared" si="160"/>
        <v>650000</v>
      </c>
      <c r="N161" s="62">
        <f t="shared" si="160"/>
        <v>650000</v>
      </c>
      <c r="O161" s="62">
        <f t="shared" si="160"/>
        <v>650000</v>
      </c>
      <c r="P161" s="62">
        <f t="shared" si="160"/>
        <v>650000</v>
      </c>
      <c r="Q161" s="62">
        <f t="shared" si="160"/>
        <v>650000</v>
      </c>
      <c r="R161" s="62">
        <f t="shared" si="160"/>
        <v>650000</v>
      </c>
      <c r="S161" s="62">
        <f t="shared" si="160"/>
        <v>650000</v>
      </c>
      <c r="T161" s="62">
        <f t="shared" si="160"/>
        <v>650000</v>
      </c>
      <c r="U161" s="62">
        <f t="shared" si="160"/>
        <v>650000</v>
      </c>
      <c r="V161" s="62">
        <f t="shared" si="160"/>
        <v>650000</v>
      </c>
      <c r="W161" s="62">
        <f t="shared" si="160"/>
        <v>650000</v>
      </c>
      <c r="X161" s="62">
        <f t="shared" si="160"/>
        <v>650000</v>
      </c>
      <c r="Y161" s="62">
        <f t="shared" si="160"/>
        <v>650000</v>
      </c>
      <c r="Z161" s="62">
        <f t="shared" si="160"/>
        <v>650000</v>
      </c>
      <c r="AA161" s="62">
        <f t="shared" si="160"/>
        <v>650000</v>
      </c>
      <c r="AB161" s="62">
        <f t="shared" si="160"/>
        <v>650000</v>
      </c>
      <c r="AC161" s="62">
        <f t="shared" si="160"/>
        <v>650000</v>
      </c>
    </row>
    <row r="162" spans="1:29" x14ac:dyDescent="0.3">
      <c r="A162" s="30" t="str">
        <f>A144</f>
        <v>Opex var (mode-fees, shunting)</v>
      </c>
      <c r="B162" s="62">
        <f>B144*B153</f>
        <v>650000</v>
      </c>
      <c r="C162" s="62">
        <f t="shared" ref="C162:AC162" si="161">C144*C153</f>
        <v>650000</v>
      </c>
      <c r="D162" s="62">
        <f t="shared" si="161"/>
        <v>650000</v>
      </c>
      <c r="E162" s="62">
        <f t="shared" si="161"/>
        <v>650000</v>
      </c>
      <c r="F162" s="62">
        <f t="shared" si="161"/>
        <v>650000</v>
      </c>
      <c r="G162" s="62">
        <f t="shared" si="161"/>
        <v>650000</v>
      </c>
      <c r="H162" s="62">
        <f t="shared" si="161"/>
        <v>650000</v>
      </c>
      <c r="I162" s="62">
        <f t="shared" si="161"/>
        <v>650000</v>
      </c>
      <c r="J162" s="62">
        <f t="shared" si="161"/>
        <v>650000</v>
      </c>
      <c r="K162" s="62">
        <f t="shared" si="161"/>
        <v>650000</v>
      </c>
      <c r="L162" s="62">
        <f t="shared" si="161"/>
        <v>650000</v>
      </c>
      <c r="M162" s="62">
        <f t="shared" si="161"/>
        <v>650000</v>
      </c>
      <c r="N162" s="62">
        <f t="shared" si="161"/>
        <v>650000</v>
      </c>
      <c r="O162" s="62">
        <f t="shared" si="161"/>
        <v>650000</v>
      </c>
      <c r="P162" s="62">
        <f t="shared" si="161"/>
        <v>650000</v>
      </c>
      <c r="Q162" s="62">
        <f t="shared" si="161"/>
        <v>650000</v>
      </c>
      <c r="R162" s="62">
        <f t="shared" si="161"/>
        <v>650000</v>
      </c>
      <c r="S162" s="62">
        <f t="shared" si="161"/>
        <v>650000</v>
      </c>
      <c r="T162" s="62">
        <f t="shared" si="161"/>
        <v>650000</v>
      </c>
      <c r="U162" s="62">
        <f t="shared" si="161"/>
        <v>650000</v>
      </c>
      <c r="V162" s="62">
        <f t="shared" si="161"/>
        <v>650000</v>
      </c>
      <c r="W162" s="62">
        <f t="shared" si="161"/>
        <v>650000</v>
      </c>
      <c r="X162" s="62">
        <f t="shared" si="161"/>
        <v>650000</v>
      </c>
      <c r="Y162" s="62">
        <f t="shared" si="161"/>
        <v>650000</v>
      </c>
      <c r="Z162" s="62">
        <f t="shared" si="161"/>
        <v>650000</v>
      </c>
      <c r="AA162" s="62">
        <f t="shared" si="161"/>
        <v>650000</v>
      </c>
      <c r="AB162" s="62">
        <f t="shared" si="161"/>
        <v>650000</v>
      </c>
      <c r="AC162" s="62">
        <f t="shared" si="161"/>
        <v>650000</v>
      </c>
    </row>
    <row r="163" spans="1:29" x14ac:dyDescent="0.3">
      <c r="A163" s="30" t="str">
        <f>A146</f>
        <v>Fuel Cost</v>
      </c>
      <c r="B163" s="62">
        <f>B145*B146*B153</f>
        <v>421321.32967772055</v>
      </c>
      <c r="C163" s="62">
        <f t="shared" ref="C163:AC163" si="162">C145*C146*C153</f>
        <v>420823.97286455205</v>
      </c>
      <c r="D163" s="62">
        <f t="shared" si="162"/>
        <v>420117.79748684121</v>
      </c>
      <c r="E163" s="62">
        <f t="shared" si="162"/>
        <v>419119.68644956814</v>
      </c>
      <c r="F163" s="62">
        <f t="shared" si="162"/>
        <v>417718.35656065156</v>
      </c>
      <c r="G163" s="62">
        <f t="shared" si="162"/>
        <v>415769.99931655545</v>
      </c>
      <c r="H163" s="62">
        <f t="shared" si="162"/>
        <v>413098.8744230892</v>
      </c>
      <c r="I163" s="62">
        <f t="shared" si="162"/>
        <v>409509.1687924423</v>
      </c>
      <c r="J163" s="62">
        <f t="shared" si="162"/>
        <v>404816.73005306005</v>
      </c>
      <c r="K163" s="62">
        <f t="shared" si="162"/>
        <v>398907.39658589731</v>
      </c>
      <c r="L163" s="62">
        <f t="shared" si="162"/>
        <v>391816.36605274561</v>
      </c>
      <c r="M163" s="62">
        <f t="shared" si="162"/>
        <v>383798.01554605074</v>
      </c>
      <c r="N163" s="62">
        <f t="shared" si="162"/>
        <v>375333.07581459719</v>
      </c>
      <c r="O163" s="62">
        <f t="shared" si="162"/>
        <v>367034.710263833</v>
      </c>
      <c r="P163" s="62">
        <f t="shared" si="162"/>
        <v>359480.53729311289</v>
      </c>
      <c r="Q163" s="62">
        <f t="shared" si="162"/>
        <v>353060.56600291858</v>
      </c>
      <c r="R163" s="62">
        <f t="shared" si="162"/>
        <v>347919.3187511891</v>
      </c>
      <c r="S163" s="62">
        <f t="shared" si="162"/>
        <v>343996.31891328277</v>
      </c>
      <c r="T163" s="62">
        <f t="shared" si="162"/>
        <v>341112.59940737992</v>
      </c>
      <c r="U163" s="62">
        <f t="shared" si="162"/>
        <v>339050.78167846147</v>
      </c>
      <c r="V163" s="62">
        <f t="shared" si="162"/>
        <v>337605.75193901127</v>
      </c>
      <c r="W163" s="62">
        <f t="shared" si="162"/>
        <v>336607.14757058211</v>
      </c>
      <c r="X163" s="62">
        <f t="shared" si="162"/>
        <v>335923.75283890165</v>
      </c>
      <c r="Y163" s="62">
        <f t="shared" si="162"/>
        <v>335459.19329109037</v>
      </c>
      <c r="Z163" s="62">
        <f t="shared" si="162"/>
        <v>335144.83101442864</v>
      </c>
      <c r="AA163" s="62">
        <f t="shared" si="162"/>
        <v>334932.76189439202</v>
      </c>
      <c r="AB163" s="62">
        <f t="shared" si="162"/>
        <v>334789.99801625329</v>
      </c>
      <c r="AC163" s="62">
        <f t="shared" si="162"/>
        <v>334694.02505379106</v>
      </c>
    </row>
    <row r="164" spans="1:29" ht="15" thickBot="1" x14ac:dyDescent="0.35">
      <c r="A164" s="59" t="str">
        <f>A127</f>
        <v>Emission Cost</v>
      </c>
      <c r="B164" s="62">
        <f>B147*B153</f>
        <v>10544.005855055664</v>
      </c>
      <c r="C164" s="62">
        <f t="shared" ref="C164:AC164" si="163">C147*C153</f>
        <v>10533.965392416821</v>
      </c>
      <c r="D164" s="62">
        <f t="shared" si="163"/>
        <v>10519.592693782588</v>
      </c>
      <c r="E164" s="62">
        <f t="shared" si="163"/>
        <v>10499.031537652969</v>
      </c>
      <c r="F164" s="62">
        <f t="shared" si="163"/>
        <v>10469.645108499386</v>
      </c>
      <c r="G164" s="62">
        <f t="shared" si="163"/>
        <v>10427.704323426529</v>
      </c>
      <c r="H164" s="62">
        <f t="shared" si="163"/>
        <v>10367.97035628193</v>
      </c>
      <c r="I164" s="62">
        <f t="shared" si="163"/>
        <v>10283.156685907605</v>
      </c>
      <c r="J164" s="62">
        <f t="shared" si="163"/>
        <v>10163.280712906857</v>
      </c>
      <c r="K164" s="62">
        <f t="shared" si="163"/>
        <v>9994.9770095555086</v>
      </c>
      <c r="L164" s="62">
        <f t="shared" si="163"/>
        <v>9760.9737657609166</v>
      </c>
      <c r="M164" s="62">
        <f t="shared" si="163"/>
        <v>9440.1640725972939</v>
      </c>
      <c r="N164" s="62">
        <f t="shared" si="163"/>
        <v>9009.0302215623033</v>
      </c>
      <c r="O164" s="62">
        <f t="shared" si="163"/>
        <v>8445.4549893249241</v>
      </c>
      <c r="P164" s="62">
        <f t="shared" si="163"/>
        <v>7735.7272408998442</v>
      </c>
      <c r="Q164" s="62">
        <f t="shared" si="163"/>
        <v>6884.0743155279552</v>
      </c>
      <c r="R164" s="62">
        <f t="shared" si="163"/>
        <v>5921.0476251536802</v>
      </c>
      <c r="S164" s="62">
        <f t="shared" si="163"/>
        <v>4904.3842993246444</v>
      </c>
      <c r="T164" s="62">
        <f t="shared" si="163"/>
        <v>3907.7270061325112</v>
      </c>
      <c r="U164" s="62">
        <f t="shared" si="163"/>
        <v>3000.4493573900195</v>
      </c>
      <c r="V164" s="62">
        <f t="shared" si="163"/>
        <v>2229.3925547806143</v>
      </c>
      <c r="W164" s="62">
        <f t="shared" si="163"/>
        <v>1611.9141443400931</v>
      </c>
      <c r="X164" s="62">
        <f t="shared" si="163"/>
        <v>1140.7507115264134</v>
      </c>
      <c r="Y164" s="62">
        <f t="shared" si="163"/>
        <v>794.40780104642397</v>
      </c>
      <c r="Z164" s="62">
        <f t="shared" si="163"/>
        <v>546.77763047986764</v>
      </c>
      <c r="AA164" s="62">
        <f t="shared" si="163"/>
        <v>373.22545084975752</v>
      </c>
      <c r="AB164" s="62">
        <f t="shared" si="163"/>
        <v>253.29022737472138</v>
      </c>
      <c r="AC164" s="62">
        <f t="shared" si="163"/>
        <v>171.21257734932524</v>
      </c>
    </row>
    <row r="165" spans="1:29" ht="15" thickBot="1" x14ac:dyDescent="0.35">
      <c r="A165" s="31" t="s">
        <v>209</v>
      </c>
      <c r="B165" s="64">
        <f>B156+B157+B158+B159+B160+B161+B162+B163+B164</f>
        <v>3108891.9118114458</v>
      </c>
      <c r="C165" s="64">
        <f t="shared" ref="C165:AC165" si="164">C156+C157+C158+C159+C160+C161+C162+C163+C164</f>
        <v>3108384.5145356385</v>
      </c>
      <c r="D165" s="64">
        <f t="shared" si="164"/>
        <v>3107663.9664592934</v>
      </c>
      <c r="E165" s="64">
        <f t="shared" si="164"/>
        <v>3106645.294265891</v>
      </c>
      <c r="F165" s="64">
        <f t="shared" si="164"/>
        <v>3105214.577947821</v>
      </c>
      <c r="G165" s="64">
        <f t="shared" si="164"/>
        <v>3103224.2799186516</v>
      </c>
      <c r="H165" s="64">
        <f t="shared" si="164"/>
        <v>3100493.421058041</v>
      </c>
      <c r="I165" s="64">
        <f t="shared" si="164"/>
        <v>3096818.9017570196</v>
      </c>
      <c r="J165" s="64">
        <f t="shared" si="164"/>
        <v>3092006.5870446367</v>
      </c>
      <c r="K165" s="64">
        <f t="shared" si="164"/>
        <v>3085928.9498741226</v>
      </c>
      <c r="L165" s="64">
        <f t="shared" si="164"/>
        <v>3078603.9160971767</v>
      </c>
      <c r="M165" s="64">
        <f t="shared" si="164"/>
        <v>3070264.755897318</v>
      </c>
      <c r="N165" s="64">
        <f t="shared" si="164"/>
        <v>3061368.6823148294</v>
      </c>
      <c r="O165" s="64">
        <f t="shared" si="164"/>
        <v>3052506.7415318275</v>
      </c>
      <c r="P165" s="64">
        <f t="shared" si="164"/>
        <v>3044242.8408126826</v>
      </c>
      <c r="Q165" s="64">
        <f t="shared" si="164"/>
        <v>3036971.2165971161</v>
      </c>
      <c r="R165" s="64">
        <f t="shared" si="164"/>
        <v>3030866.9426550125</v>
      </c>
      <c r="S165" s="64">
        <f t="shared" si="164"/>
        <v>3025927.2794912774</v>
      </c>
      <c r="T165" s="64">
        <f t="shared" si="164"/>
        <v>3022046.9026921825</v>
      </c>
      <c r="U165" s="64">
        <f t="shared" si="164"/>
        <v>3019077.8073145212</v>
      </c>
      <c r="V165" s="64">
        <f t="shared" si="164"/>
        <v>3016861.7207724615</v>
      </c>
      <c r="W165" s="64">
        <f t="shared" si="164"/>
        <v>3015245.6379935918</v>
      </c>
      <c r="X165" s="64">
        <f t="shared" si="164"/>
        <v>3014091.0798290977</v>
      </c>
      <c r="Y165" s="64">
        <f t="shared" si="164"/>
        <v>3013280.1773708067</v>
      </c>
      <c r="Z165" s="64">
        <f t="shared" si="164"/>
        <v>3012718.1849235785</v>
      </c>
      <c r="AA165" s="64">
        <f t="shared" si="164"/>
        <v>3012332.5636239112</v>
      </c>
      <c r="AB165" s="64">
        <f t="shared" si="164"/>
        <v>3012069.8645222974</v>
      </c>
      <c r="AC165" s="64">
        <f t="shared" si="164"/>
        <v>3011891.8139098105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65">A156</f>
        <v>Capex vehicle</v>
      </c>
      <c r="B168" s="65">
        <f>((1+B141)^B148)*B141/(((1+B141)^B148)-1)*(B137)/B153</f>
        <v>2.4421444531330927</v>
      </c>
      <c r="C168" s="65">
        <f t="shared" ref="C168:AC168" si="166">((1+C141)^C148)*C141/(((1+C141)^C148)-1)*(C137)/C153</f>
        <v>2.4421444531330927</v>
      </c>
      <c r="D168" s="65">
        <f t="shared" si="166"/>
        <v>2.4421444531330927</v>
      </c>
      <c r="E168" s="65">
        <f t="shared" si="166"/>
        <v>2.4421444531330927</v>
      </c>
      <c r="F168" s="65">
        <f t="shared" si="166"/>
        <v>2.4421444531330927</v>
      </c>
      <c r="G168" s="65">
        <f t="shared" si="166"/>
        <v>2.4421444531330927</v>
      </c>
      <c r="H168" s="65">
        <f t="shared" si="166"/>
        <v>2.4421444531330927</v>
      </c>
      <c r="I168" s="65">
        <f t="shared" si="166"/>
        <v>2.4421444531330927</v>
      </c>
      <c r="J168" s="65">
        <f t="shared" si="166"/>
        <v>2.4421444531330927</v>
      </c>
      <c r="K168" s="65">
        <f t="shared" si="166"/>
        <v>2.4421444531330927</v>
      </c>
      <c r="L168" s="65">
        <f t="shared" si="166"/>
        <v>2.4421444531330927</v>
      </c>
      <c r="M168" s="65">
        <f t="shared" si="166"/>
        <v>2.4421444531330927</v>
      </c>
      <c r="N168" s="65">
        <f t="shared" si="166"/>
        <v>2.4421444531330927</v>
      </c>
      <c r="O168" s="65">
        <f t="shared" si="166"/>
        <v>2.4421444531330927</v>
      </c>
      <c r="P168" s="65">
        <f t="shared" si="166"/>
        <v>2.4421444531330927</v>
      </c>
      <c r="Q168" s="65">
        <f t="shared" si="166"/>
        <v>2.4421444531330927</v>
      </c>
      <c r="R168" s="65">
        <f t="shared" si="166"/>
        <v>2.4421444531330927</v>
      </c>
      <c r="S168" s="65">
        <f t="shared" si="166"/>
        <v>2.4421444531330927</v>
      </c>
      <c r="T168" s="65">
        <f t="shared" si="166"/>
        <v>2.4421444531330927</v>
      </c>
      <c r="U168" s="65">
        <f t="shared" si="166"/>
        <v>2.4421444531330927</v>
      </c>
      <c r="V168" s="65">
        <f t="shared" si="166"/>
        <v>2.4421444531330927</v>
      </c>
      <c r="W168" s="65">
        <f t="shared" si="166"/>
        <v>2.4421444531330927</v>
      </c>
      <c r="X168" s="65">
        <f t="shared" si="166"/>
        <v>2.4421444531330927</v>
      </c>
      <c r="Y168" s="65">
        <f t="shared" si="166"/>
        <v>2.4421444531330927</v>
      </c>
      <c r="Z168" s="65">
        <f t="shared" si="166"/>
        <v>2.4421444531330927</v>
      </c>
      <c r="AA168" s="65">
        <f t="shared" si="166"/>
        <v>2.4421444531330927</v>
      </c>
      <c r="AB168" s="65">
        <f t="shared" si="166"/>
        <v>2.4421444531330927</v>
      </c>
      <c r="AC168" s="65">
        <f t="shared" si="166"/>
        <v>2.4421444531330927</v>
      </c>
    </row>
    <row r="169" spans="1:29" x14ac:dyDescent="0.3">
      <c r="A169" s="30" t="str">
        <f t="shared" si="165"/>
        <v>Residual value (vehicle)</v>
      </c>
      <c r="B169" s="66">
        <f>((1+B141)^B148)*B141/(((1+B141)^B148)-1)*(B138)/B153</f>
        <v>-0.3663216679699639</v>
      </c>
      <c r="C169" s="66">
        <f t="shared" ref="C169:AC169" si="167">((1+C141)^C148)*C141/(((1+C141)^C148)-1)*(C138)/C153</f>
        <v>-0.3663216679699639</v>
      </c>
      <c r="D169" s="66">
        <f t="shared" si="167"/>
        <v>-0.3663216679699639</v>
      </c>
      <c r="E169" s="66">
        <f t="shared" si="167"/>
        <v>-0.3663216679699639</v>
      </c>
      <c r="F169" s="66">
        <f t="shared" si="167"/>
        <v>-0.3663216679699639</v>
      </c>
      <c r="G169" s="66">
        <f t="shared" si="167"/>
        <v>-0.3663216679699639</v>
      </c>
      <c r="H169" s="66">
        <f t="shared" si="167"/>
        <v>-0.3663216679699639</v>
      </c>
      <c r="I169" s="66">
        <f t="shared" si="167"/>
        <v>-0.3663216679699639</v>
      </c>
      <c r="J169" s="66">
        <f t="shared" si="167"/>
        <v>-0.3663216679699639</v>
      </c>
      <c r="K169" s="66">
        <f t="shared" si="167"/>
        <v>-0.3663216679699639</v>
      </c>
      <c r="L169" s="66">
        <f t="shared" si="167"/>
        <v>-0.3663216679699639</v>
      </c>
      <c r="M169" s="66">
        <f t="shared" si="167"/>
        <v>-0.3663216679699639</v>
      </c>
      <c r="N169" s="66">
        <f t="shared" si="167"/>
        <v>-0.3663216679699639</v>
      </c>
      <c r="O169" s="66">
        <f t="shared" si="167"/>
        <v>-0.3663216679699639</v>
      </c>
      <c r="P169" s="66">
        <f t="shared" si="167"/>
        <v>-0.3663216679699639</v>
      </c>
      <c r="Q169" s="66">
        <f t="shared" si="167"/>
        <v>-0.3663216679699639</v>
      </c>
      <c r="R169" s="66">
        <f t="shared" si="167"/>
        <v>-0.3663216679699639</v>
      </c>
      <c r="S169" s="66">
        <f t="shared" si="167"/>
        <v>-0.3663216679699639</v>
      </c>
      <c r="T169" s="66">
        <f t="shared" si="167"/>
        <v>-0.3663216679699639</v>
      </c>
      <c r="U169" s="66">
        <f t="shared" si="167"/>
        <v>-0.3663216679699639</v>
      </c>
      <c r="V169" s="66">
        <f t="shared" si="167"/>
        <v>-0.3663216679699639</v>
      </c>
      <c r="W169" s="66">
        <f t="shared" si="167"/>
        <v>-0.3663216679699639</v>
      </c>
      <c r="X169" s="66">
        <f t="shared" si="167"/>
        <v>-0.3663216679699639</v>
      </c>
      <c r="Y169" s="66">
        <f t="shared" si="167"/>
        <v>-0.3663216679699639</v>
      </c>
      <c r="Z169" s="66">
        <f t="shared" si="167"/>
        <v>-0.3663216679699639</v>
      </c>
      <c r="AA169" s="66">
        <f t="shared" si="167"/>
        <v>-0.3663216679699639</v>
      </c>
      <c r="AB169" s="66">
        <f t="shared" si="167"/>
        <v>-0.3663216679699639</v>
      </c>
      <c r="AC169" s="66">
        <f t="shared" si="167"/>
        <v>-0.3663216679699639</v>
      </c>
    </row>
    <row r="170" spans="1:29" x14ac:dyDescent="0.3">
      <c r="A170" s="30" t="str">
        <f t="shared" si="165"/>
        <v>Capex costumization</v>
      </c>
      <c r="B170" s="66">
        <f>((1+B141)^B149)*B141/(((1+B141)^B149)-1)*(B139)/B153</f>
        <v>2.2791815369426573</v>
      </c>
      <c r="C170" s="66">
        <f t="shared" ref="C170:AC170" si="168">((1+C141)^C149)*C141/(((1+C141)^C149)-1)*(C139)/C153</f>
        <v>2.2791815369426573</v>
      </c>
      <c r="D170" s="66">
        <f t="shared" si="168"/>
        <v>2.2791815369426573</v>
      </c>
      <c r="E170" s="66">
        <f t="shared" si="168"/>
        <v>2.2791815369426573</v>
      </c>
      <c r="F170" s="66">
        <f t="shared" si="168"/>
        <v>2.2791815369426573</v>
      </c>
      <c r="G170" s="66">
        <f t="shared" si="168"/>
        <v>2.2791815369426573</v>
      </c>
      <c r="H170" s="66">
        <f t="shared" si="168"/>
        <v>2.2791815369426573</v>
      </c>
      <c r="I170" s="66">
        <f t="shared" si="168"/>
        <v>2.2791815369426573</v>
      </c>
      <c r="J170" s="66">
        <f t="shared" si="168"/>
        <v>2.2791815369426573</v>
      </c>
      <c r="K170" s="66">
        <f t="shared" si="168"/>
        <v>2.2791815369426573</v>
      </c>
      <c r="L170" s="66">
        <f t="shared" si="168"/>
        <v>2.2791815369426573</v>
      </c>
      <c r="M170" s="66">
        <f t="shared" si="168"/>
        <v>2.2791815369426573</v>
      </c>
      <c r="N170" s="66">
        <f t="shared" si="168"/>
        <v>2.2791815369426573</v>
      </c>
      <c r="O170" s="66">
        <f t="shared" si="168"/>
        <v>2.2791815369426573</v>
      </c>
      <c r="P170" s="66">
        <f t="shared" si="168"/>
        <v>2.2791815369426573</v>
      </c>
      <c r="Q170" s="66">
        <f t="shared" si="168"/>
        <v>2.2791815369426573</v>
      </c>
      <c r="R170" s="66">
        <f t="shared" si="168"/>
        <v>2.2791815369426573</v>
      </c>
      <c r="S170" s="66">
        <f t="shared" si="168"/>
        <v>2.2791815369426573</v>
      </c>
      <c r="T170" s="66">
        <f t="shared" si="168"/>
        <v>2.2791815369426573</v>
      </c>
      <c r="U170" s="66">
        <f t="shared" si="168"/>
        <v>2.2791815369426573</v>
      </c>
      <c r="V170" s="66">
        <f t="shared" si="168"/>
        <v>2.2791815369426573</v>
      </c>
      <c r="W170" s="66">
        <f t="shared" si="168"/>
        <v>2.2791815369426573</v>
      </c>
      <c r="X170" s="66">
        <f t="shared" si="168"/>
        <v>2.2791815369426573</v>
      </c>
      <c r="Y170" s="66">
        <f t="shared" si="168"/>
        <v>2.2791815369426573</v>
      </c>
      <c r="Z170" s="66">
        <f t="shared" si="168"/>
        <v>2.2791815369426573</v>
      </c>
      <c r="AA170" s="66">
        <f t="shared" si="168"/>
        <v>2.2791815369426573</v>
      </c>
      <c r="AB170" s="66">
        <f t="shared" si="168"/>
        <v>2.2791815369426573</v>
      </c>
      <c r="AC170" s="66">
        <f t="shared" si="168"/>
        <v>2.2791815369426573</v>
      </c>
    </row>
    <row r="171" spans="1:29" x14ac:dyDescent="0.3">
      <c r="A171" s="30" t="str">
        <f t="shared" si="165"/>
        <v>Residual value (costumization)</v>
      </c>
      <c r="B171" s="66">
        <f>((1+B141)^B149)*B141/(((1+B141)^B149)-1)*(B140)/B153</f>
        <v>-0.11395907684713286</v>
      </c>
      <c r="C171" s="66">
        <f t="shared" ref="C171:AC171" si="169">((1+C141)^C149)*C141/(((1+C141)^C149)-1)*(C140)/C153</f>
        <v>-0.11395907684713286</v>
      </c>
      <c r="D171" s="66">
        <f t="shared" si="169"/>
        <v>-0.11395907684713286</v>
      </c>
      <c r="E171" s="66">
        <f t="shared" si="169"/>
        <v>-0.11395907684713286</v>
      </c>
      <c r="F171" s="66">
        <f t="shared" si="169"/>
        <v>-0.11395907684713286</v>
      </c>
      <c r="G171" s="66">
        <f t="shared" si="169"/>
        <v>-0.11395907684713286</v>
      </c>
      <c r="H171" s="66">
        <f t="shared" si="169"/>
        <v>-0.11395907684713286</v>
      </c>
      <c r="I171" s="66">
        <f t="shared" si="169"/>
        <v>-0.11395907684713286</v>
      </c>
      <c r="J171" s="66">
        <f t="shared" si="169"/>
        <v>-0.11395907684713286</v>
      </c>
      <c r="K171" s="66">
        <f t="shared" si="169"/>
        <v>-0.11395907684713286</v>
      </c>
      <c r="L171" s="66">
        <f t="shared" si="169"/>
        <v>-0.11395907684713286</v>
      </c>
      <c r="M171" s="66">
        <f t="shared" si="169"/>
        <v>-0.11395907684713286</v>
      </c>
      <c r="N171" s="66">
        <f t="shared" si="169"/>
        <v>-0.11395907684713286</v>
      </c>
      <c r="O171" s="66">
        <f t="shared" si="169"/>
        <v>-0.11395907684713286</v>
      </c>
      <c r="P171" s="66">
        <f t="shared" si="169"/>
        <v>-0.11395907684713286</v>
      </c>
      <c r="Q171" s="66">
        <f t="shared" si="169"/>
        <v>-0.11395907684713286</v>
      </c>
      <c r="R171" s="66">
        <f t="shared" si="169"/>
        <v>-0.11395907684713286</v>
      </c>
      <c r="S171" s="66">
        <f t="shared" si="169"/>
        <v>-0.11395907684713286</v>
      </c>
      <c r="T171" s="66">
        <f t="shared" si="169"/>
        <v>-0.11395907684713286</v>
      </c>
      <c r="U171" s="66">
        <f t="shared" si="169"/>
        <v>-0.11395907684713286</v>
      </c>
      <c r="V171" s="66">
        <f t="shared" si="169"/>
        <v>-0.11395907684713286</v>
      </c>
      <c r="W171" s="66">
        <f t="shared" si="169"/>
        <v>-0.11395907684713286</v>
      </c>
      <c r="X171" s="66">
        <f t="shared" si="169"/>
        <v>-0.11395907684713286</v>
      </c>
      <c r="Y171" s="66">
        <f t="shared" si="169"/>
        <v>-0.11395907684713286</v>
      </c>
      <c r="Z171" s="66">
        <f t="shared" si="169"/>
        <v>-0.11395907684713286</v>
      </c>
      <c r="AA171" s="66">
        <f t="shared" si="169"/>
        <v>-0.11395907684713286</v>
      </c>
      <c r="AB171" s="66">
        <f t="shared" si="169"/>
        <v>-0.11395907684713286</v>
      </c>
      <c r="AC171" s="66">
        <f t="shared" si="169"/>
        <v>-0.11395907684713286</v>
      </c>
    </row>
    <row r="172" spans="1:29" x14ac:dyDescent="0.3">
      <c r="A172" s="30" t="str">
        <f t="shared" si="165"/>
        <v>Opex fix (admin, crew, insurance)</v>
      </c>
      <c r="B172" s="66">
        <f>B142/B153</f>
        <v>3.473389355742297</v>
      </c>
      <c r="C172" s="66">
        <f t="shared" ref="C172:AC172" si="170">C142/C153</f>
        <v>3.473389355742297</v>
      </c>
      <c r="D172" s="66">
        <f t="shared" si="170"/>
        <v>3.473389355742297</v>
      </c>
      <c r="E172" s="66">
        <f t="shared" si="170"/>
        <v>3.473389355742297</v>
      </c>
      <c r="F172" s="66">
        <f t="shared" si="170"/>
        <v>3.473389355742297</v>
      </c>
      <c r="G172" s="66">
        <f t="shared" si="170"/>
        <v>3.473389355742297</v>
      </c>
      <c r="H172" s="66">
        <f t="shared" si="170"/>
        <v>3.473389355742297</v>
      </c>
      <c r="I172" s="66">
        <f t="shared" si="170"/>
        <v>3.473389355742297</v>
      </c>
      <c r="J172" s="66">
        <f t="shared" si="170"/>
        <v>3.473389355742297</v>
      </c>
      <c r="K172" s="66">
        <f t="shared" si="170"/>
        <v>3.473389355742297</v>
      </c>
      <c r="L172" s="66">
        <f t="shared" si="170"/>
        <v>3.473389355742297</v>
      </c>
      <c r="M172" s="66">
        <f t="shared" si="170"/>
        <v>3.473389355742297</v>
      </c>
      <c r="N172" s="66">
        <f t="shared" si="170"/>
        <v>3.473389355742297</v>
      </c>
      <c r="O172" s="66">
        <f t="shared" si="170"/>
        <v>3.473389355742297</v>
      </c>
      <c r="P172" s="66">
        <f t="shared" si="170"/>
        <v>3.473389355742297</v>
      </c>
      <c r="Q172" s="66">
        <f t="shared" si="170"/>
        <v>3.473389355742297</v>
      </c>
      <c r="R172" s="66">
        <f t="shared" si="170"/>
        <v>3.473389355742297</v>
      </c>
      <c r="S172" s="66">
        <f t="shared" si="170"/>
        <v>3.473389355742297</v>
      </c>
      <c r="T172" s="66">
        <f t="shared" si="170"/>
        <v>3.473389355742297</v>
      </c>
      <c r="U172" s="66">
        <f t="shared" si="170"/>
        <v>3.473389355742297</v>
      </c>
      <c r="V172" s="66">
        <f t="shared" si="170"/>
        <v>3.473389355742297</v>
      </c>
      <c r="W172" s="66">
        <f t="shared" si="170"/>
        <v>3.473389355742297</v>
      </c>
      <c r="X172" s="66">
        <f t="shared" si="170"/>
        <v>3.473389355742297</v>
      </c>
      <c r="Y172" s="66">
        <f t="shared" si="170"/>
        <v>3.473389355742297</v>
      </c>
      <c r="Z172" s="66">
        <f t="shared" si="170"/>
        <v>3.473389355742297</v>
      </c>
      <c r="AA172" s="66">
        <f t="shared" si="170"/>
        <v>3.473389355742297</v>
      </c>
      <c r="AB172" s="66">
        <f t="shared" si="170"/>
        <v>3.473389355742297</v>
      </c>
      <c r="AC172" s="66">
        <f t="shared" si="170"/>
        <v>3.473389355742297</v>
      </c>
    </row>
    <row r="173" spans="1:29" x14ac:dyDescent="0.3">
      <c r="A173" s="30" t="str">
        <f t="shared" si="165"/>
        <v>Opex maintenance &amp; repair</v>
      </c>
      <c r="B173" s="66">
        <f>B143/B153</f>
        <v>3.6414565826330532</v>
      </c>
      <c r="C173" s="66">
        <f t="shared" ref="C173:AC173" si="171">C143/C153</f>
        <v>3.6414565826330532</v>
      </c>
      <c r="D173" s="66">
        <f t="shared" si="171"/>
        <v>3.6414565826330532</v>
      </c>
      <c r="E173" s="66">
        <f t="shared" si="171"/>
        <v>3.6414565826330532</v>
      </c>
      <c r="F173" s="66">
        <f t="shared" si="171"/>
        <v>3.6414565826330532</v>
      </c>
      <c r="G173" s="66">
        <f t="shared" si="171"/>
        <v>3.6414565826330532</v>
      </c>
      <c r="H173" s="66">
        <f t="shared" si="171"/>
        <v>3.6414565826330532</v>
      </c>
      <c r="I173" s="66">
        <f t="shared" si="171"/>
        <v>3.6414565826330532</v>
      </c>
      <c r="J173" s="66">
        <f t="shared" si="171"/>
        <v>3.6414565826330532</v>
      </c>
      <c r="K173" s="66">
        <f t="shared" si="171"/>
        <v>3.6414565826330532</v>
      </c>
      <c r="L173" s="66">
        <f t="shared" si="171"/>
        <v>3.6414565826330532</v>
      </c>
      <c r="M173" s="66">
        <f t="shared" si="171"/>
        <v>3.6414565826330532</v>
      </c>
      <c r="N173" s="66">
        <f t="shared" si="171"/>
        <v>3.6414565826330532</v>
      </c>
      <c r="O173" s="66">
        <f t="shared" si="171"/>
        <v>3.6414565826330532</v>
      </c>
      <c r="P173" s="66">
        <f t="shared" si="171"/>
        <v>3.6414565826330532</v>
      </c>
      <c r="Q173" s="66">
        <f t="shared" si="171"/>
        <v>3.6414565826330532</v>
      </c>
      <c r="R173" s="66">
        <f t="shared" si="171"/>
        <v>3.6414565826330532</v>
      </c>
      <c r="S173" s="66">
        <f t="shared" si="171"/>
        <v>3.6414565826330532</v>
      </c>
      <c r="T173" s="66">
        <f t="shared" si="171"/>
        <v>3.6414565826330532</v>
      </c>
      <c r="U173" s="66">
        <f t="shared" si="171"/>
        <v>3.6414565826330532</v>
      </c>
      <c r="V173" s="66">
        <f t="shared" si="171"/>
        <v>3.6414565826330532</v>
      </c>
      <c r="W173" s="66">
        <f t="shared" si="171"/>
        <v>3.6414565826330532</v>
      </c>
      <c r="X173" s="66">
        <f t="shared" si="171"/>
        <v>3.6414565826330532</v>
      </c>
      <c r="Y173" s="66">
        <f t="shared" si="171"/>
        <v>3.6414565826330532</v>
      </c>
      <c r="Z173" s="66">
        <f t="shared" si="171"/>
        <v>3.6414565826330532</v>
      </c>
      <c r="AA173" s="66">
        <f t="shared" si="171"/>
        <v>3.6414565826330532</v>
      </c>
      <c r="AB173" s="66">
        <f t="shared" si="171"/>
        <v>3.6414565826330532</v>
      </c>
      <c r="AC173" s="66">
        <f t="shared" si="171"/>
        <v>3.6414565826330532</v>
      </c>
    </row>
    <row r="174" spans="1:29" x14ac:dyDescent="0.3">
      <c r="A174" s="30" t="str">
        <f t="shared" si="165"/>
        <v>Opex var (mode-fees, shunting)</v>
      </c>
      <c r="B174" s="66">
        <f>B144*B153/B153</f>
        <v>3.6414565826330532</v>
      </c>
      <c r="C174" s="66">
        <f t="shared" ref="C174:AC174" si="172">C144*C153/C153</f>
        <v>3.6414565826330532</v>
      </c>
      <c r="D174" s="66">
        <f t="shared" si="172"/>
        <v>3.6414565826330532</v>
      </c>
      <c r="E174" s="66">
        <f t="shared" si="172"/>
        <v>3.6414565826330532</v>
      </c>
      <c r="F174" s="66">
        <f t="shared" si="172"/>
        <v>3.6414565826330532</v>
      </c>
      <c r="G174" s="66">
        <f t="shared" si="172"/>
        <v>3.6414565826330532</v>
      </c>
      <c r="H174" s="66">
        <f t="shared" si="172"/>
        <v>3.6414565826330532</v>
      </c>
      <c r="I174" s="66">
        <f t="shared" si="172"/>
        <v>3.6414565826330532</v>
      </c>
      <c r="J174" s="66">
        <f t="shared" si="172"/>
        <v>3.6414565826330532</v>
      </c>
      <c r="K174" s="66">
        <f t="shared" si="172"/>
        <v>3.6414565826330532</v>
      </c>
      <c r="L174" s="66">
        <f t="shared" si="172"/>
        <v>3.6414565826330532</v>
      </c>
      <c r="M174" s="66">
        <f t="shared" si="172"/>
        <v>3.6414565826330532</v>
      </c>
      <c r="N174" s="66">
        <f t="shared" si="172"/>
        <v>3.6414565826330532</v>
      </c>
      <c r="O174" s="66">
        <f t="shared" si="172"/>
        <v>3.6414565826330532</v>
      </c>
      <c r="P174" s="66">
        <f t="shared" si="172"/>
        <v>3.6414565826330532</v>
      </c>
      <c r="Q174" s="66">
        <f t="shared" si="172"/>
        <v>3.6414565826330532</v>
      </c>
      <c r="R174" s="66">
        <f t="shared" si="172"/>
        <v>3.6414565826330532</v>
      </c>
      <c r="S174" s="66">
        <f t="shared" si="172"/>
        <v>3.6414565826330532</v>
      </c>
      <c r="T174" s="66">
        <f t="shared" si="172"/>
        <v>3.6414565826330532</v>
      </c>
      <c r="U174" s="66">
        <f t="shared" si="172"/>
        <v>3.6414565826330532</v>
      </c>
      <c r="V174" s="66">
        <f t="shared" si="172"/>
        <v>3.6414565826330532</v>
      </c>
      <c r="W174" s="66">
        <f t="shared" si="172"/>
        <v>3.6414565826330532</v>
      </c>
      <c r="X174" s="66">
        <f t="shared" si="172"/>
        <v>3.6414565826330532</v>
      </c>
      <c r="Y174" s="66">
        <f t="shared" si="172"/>
        <v>3.6414565826330532</v>
      </c>
      <c r="Z174" s="66">
        <f t="shared" si="172"/>
        <v>3.6414565826330532</v>
      </c>
      <c r="AA174" s="66">
        <f t="shared" si="172"/>
        <v>3.6414565826330532</v>
      </c>
      <c r="AB174" s="66">
        <f t="shared" si="172"/>
        <v>3.6414565826330532</v>
      </c>
      <c r="AC174" s="66">
        <f t="shared" si="172"/>
        <v>3.6414565826330532</v>
      </c>
    </row>
    <row r="175" spans="1:29" x14ac:dyDescent="0.3">
      <c r="A175" s="30" t="str">
        <f t="shared" si="165"/>
        <v>Fuel Cost</v>
      </c>
      <c r="B175" s="66">
        <f>B145*B146*B153/B153</f>
        <v>2.3603435836286866</v>
      </c>
      <c r="C175" s="66">
        <f t="shared" ref="C175:AC175" si="173">C145*C146*C153/C153</f>
        <v>2.3575572709498713</v>
      </c>
      <c r="D175" s="66">
        <f t="shared" si="173"/>
        <v>2.3536011063688584</v>
      </c>
      <c r="E175" s="66">
        <f t="shared" si="173"/>
        <v>2.3480094478967404</v>
      </c>
      <c r="F175" s="66">
        <f t="shared" si="173"/>
        <v>2.3401588602837622</v>
      </c>
      <c r="G175" s="66">
        <f t="shared" si="173"/>
        <v>2.3292436936501706</v>
      </c>
      <c r="H175" s="66">
        <f t="shared" si="173"/>
        <v>2.3142794085327125</v>
      </c>
      <c r="I175" s="66">
        <f t="shared" si="173"/>
        <v>2.294169012842814</v>
      </c>
      <c r="J175" s="66">
        <f t="shared" si="173"/>
        <v>2.2678808406333895</v>
      </c>
      <c r="K175" s="66">
        <f t="shared" si="173"/>
        <v>2.2347753310134304</v>
      </c>
      <c r="L175" s="66">
        <f t="shared" si="173"/>
        <v>2.1950496697632809</v>
      </c>
      <c r="M175" s="66">
        <f t="shared" si="173"/>
        <v>2.1501289386333373</v>
      </c>
      <c r="N175" s="66">
        <f t="shared" si="173"/>
        <v>2.1027063070845782</v>
      </c>
      <c r="O175" s="66">
        <f t="shared" si="173"/>
        <v>2.056216864223154</v>
      </c>
      <c r="P175" s="66">
        <f t="shared" si="173"/>
        <v>2.0138965674684197</v>
      </c>
      <c r="Q175" s="66">
        <f t="shared" si="173"/>
        <v>1.9779303417530454</v>
      </c>
      <c r="R175" s="66">
        <f t="shared" si="173"/>
        <v>1.9491278361411155</v>
      </c>
      <c r="S175" s="66">
        <f t="shared" si="173"/>
        <v>1.9271502460127887</v>
      </c>
      <c r="T175" s="66">
        <f t="shared" si="173"/>
        <v>1.9109949546631928</v>
      </c>
      <c r="U175" s="66">
        <f t="shared" si="173"/>
        <v>1.8994441550614087</v>
      </c>
      <c r="V175" s="66">
        <f t="shared" si="173"/>
        <v>1.8913487503586066</v>
      </c>
      <c r="W175" s="66">
        <f t="shared" si="173"/>
        <v>1.8857543281265103</v>
      </c>
      <c r="X175" s="66">
        <f t="shared" si="173"/>
        <v>1.8819257862123342</v>
      </c>
      <c r="Y175" s="66">
        <f t="shared" si="173"/>
        <v>1.879323211714792</v>
      </c>
      <c r="Z175" s="66">
        <f t="shared" si="173"/>
        <v>1.8775620785122054</v>
      </c>
      <c r="AA175" s="66">
        <f t="shared" si="173"/>
        <v>1.8763740162150813</v>
      </c>
      <c r="AB175" s="66">
        <f t="shared" si="173"/>
        <v>1.8755742185784499</v>
      </c>
      <c r="AC175" s="66">
        <f t="shared" si="173"/>
        <v>1.8750365549231993</v>
      </c>
    </row>
    <row r="176" spans="1:29" ht="15" thickBot="1" x14ac:dyDescent="0.35">
      <c r="A176" s="59" t="str">
        <f t="shared" ref="A176" si="174">A164</f>
        <v>Emission Cost</v>
      </c>
      <c r="B176" s="66">
        <f>B147</f>
        <v>5.9070060812636778E-2</v>
      </c>
      <c r="C176" s="66">
        <f t="shared" ref="C176:AC176" si="175">C147</f>
        <v>5.9013811722223086E-2</v>
      </c>
      <c r="D176" s="66">
        <f t="shared" si="175"/>
        <v>5.8933292402143352E-2</v>
      </c>
      <c r="E176" s="66">
        <f t="shared" si="175"/>
        <v>5.8818103852397587E-2</v>
      </c>
      <c r="F176" s="66">
        <f t="shared" si="175"/>
        <v>5.8653473997195435E-2</v>
      </c>
      <c r="G176" s="66">
        <f t="shared" si="175"/>
        <v>5.8418511615834896E-2</v>
      </c>
      <c r="H176" s="66">
        <f t="shared" si="175"/>
        <v>5.8083867542195688E-2</v>
      </c>
      <c r="I176" s="66">
        <f t="shared" si="175"/>
        <v>5.760872092945437E-2</v>
      </c>
      <c r="J176" s="66">
        <f t="shared" si="175"/>
        <v>5.6937146851018805E-2</v>
      </c>
      <c r="K176" s="66">
        <f t="shared" si="175"/>
        <v>5.5994268961095287E-2</v>
      </c>
      <c r="L176" s="66">
        <f t="shared" si="175"/>
        <v>5.4683326418828664E-2</v>
      </c>
      <c r="M176" s="66">
        <f t="shared" si="175"/>
        <v>5.288607323583918E-2</v>
      </c>
      <c r="N176" s="66">
        <f t="shared" si="175"/>
        <v>5.0470757543766405E-2</v>
      </c>
      <c r="O176" s="66">
        <f t="shared" si="175"/>
        <v>4.7313473329551395E-2</v>
      </c>
      <c r="P176" s="66">
        <f t="shared" si="175"/>
        <v>4.3337407512043943E-2</v>
      </c>
      <c r="Q176" s="66">
        <f t="shared" si="175"/>
        <v>3.8566242664022157E-2</v>
      </c>
      <c r="R176" s="66">
        <f t="shared" si="175"/>
        <v>3.3171135154922579E-2</v>
      </c>
      <c r="S176" s="66">
        <f t="shared" si="175"/>
        <v>2.7475542293135265E-2</v>
      </c>
      <c r="T176" s="66">
        <f t="shared" si="175"/>
        <v>2.1892028045560286E-2</v>
      </c>
      <c r="U176" s="66">
        <f t="shared" si="175"/>
        <v>1.680924009742308E-2</v>
      </c>
      <c r="V176" s="66">
        <f t="shared" si="175"/>
        <v>1.2489594144429211E-2</v>
      </c>
      <c r="W176" s="66">
        <f t="shared" si="175"/>
        <v>9.0303313408408581E-3</v>
      </c>
      <c r="X176" s="66">
        <f t="shared" si="175"/>
        <v>6.3907602886633802E-3</v>
      </c>
      <c r="Y176" s="66">
        <f t="shared" si="175"/>
        <v>4.4504638714085373E-3</v>
      </c>
      <c r="Z176" s="66">
        <f t="shared" si="175"/>
        <v>3.0631800026883343E-3</v>
      </c>
      <c r="AA176" s="66">
        <f t="shared" si="175"/>
        <v>2.0908988843123671E-3</v>
      </c>
      <c r="AB176" s="66">
        <f t="shared" si="175"/>
        <v>1.4189928704466184E-3</v>
      </c>
      <c r="AC176" s="66">
        <f t="shared" si="175"/>
        <v>9.5917410279734022E-4</v>
      </c>
    </row>
    <row r="177" spans="1:29" ht="15" thickBot="1" x14ac:dyDescent="0.35">
      <c r="A177" s="31" t="s">
        <v>63</v>
      </c>
      <c r="B177" s="76">
        <f>B168+B169+B170-B171+B172+B173+B174+B175+B176</f>
        <v>17.644679564402644</v>
      </c>
      <c r="C177" s="76">
        <f t="shared" ref="C177:AC177" si="176">C168+C169+C170-C171+C172+C173+C174+C175+C176</f>
        <v>17.641837002633416</v>
      </c>
      <c r="D177" s="76">
        <f t="shared" si="176"/>
        <v>17.637800318732324</v>
      </c>
      <c r="E177" s="76">
        <f t="shared" si="176"/>
        <v>17.632093471710462</v>
      </c>
      <c r="F177" s="76">
        <f t="shared" si="176"/>
        <v>17.624078254242281</v>
      </c>
      <c r="G177" s="76">
        <f t="shared" si="176"/>
        <v>17.612928125227327</v>
      </c>
      <c r="H177" s="76">
        <f t="shared" si="176"/>
        <v>17.59762919603623</v>
      </c>
      <c r="I177" s="76">
        <f t="shared" si="176"/>
        <v>17.57704365373359</v>
      </c>
      <c r="J177" s="76">
        <f t="shared" si="176"/>
        <v>17.550083907445732</v>
      </c>
      <c r="K177" s="76">
        <f t="shared" si="176"/>
        <v>17.516035519935848</v>
      </c>
      <c r="L177" s="76">
        <f t="shared" si="176"/>
        <v>17.474998916143431</v>
      </c>
      <c r="M177" s="76">
        <f t="shared" si="176"/>
        <v>17.4282809318305</v>
      </c>
      <c r="N177" s="76">
        <f t="shared" si="176"/>
        <v>17.378442984589668</v>
      </c>
      <c r="O177" s="76">
        <f t="shared" si="176"/>
        <v>17.328796257514028</v>
      </c>
      <c r="P177" s="76">
        <f t="shared" si="176"/>
        <v>17.282499894941786</v>
      </c>
      <c r="Q177" s="76">
        <f t="shared" si="176"/>
        <v>17.241762504378389</v>
      </c>
      <c r="R177" s="76">
        <f t="shared" si="176"/>
        <v>17.207564891257359</v>
      </c>
      <c r="S177" s="76">
        <f t="shared" si="176"/>
        <v>17.179891708267245</v>
      </c>
      <c r="T177" s="76">
        <f t="shared" si="176"/>
        <v>17.158152902670075</v>
      </c>
      <c r="U177" s="76">
        <f t="shared" si="176"/>
        <v>17.141519315120153</v>
      </c>
      <c r="V177" s="76">
        <f t="shared" si="176"/>
        <v>17.12910426446436</v>
      </c>
      <c r="W177" s="76">
        <f t="shared" si="176"/>
        <v>17.120050579428675</v>
      </c>
      <c r="X177" s="76">
        <f t="shared" si="176"/>
        <v>17.113582466462319</v>
      </c>
      <c r="Y177" s="76">
        <f t="shared" si="176"/>
        <v>17.109039595547522</v>
      </c>
      <c r="Z177" s="76">
        <f t="shared" si="176"/>
        <v>17.105891178476213</v>
      </c>
      <c r="AA177" s="76">
        <f t="shared" si="176"/>
        <v>17.103730835060716</v>
      </c>
      <c r="AB177" s="76">
        <f t="shared" si="176"/>
        <v>17.102259131410221</v>
      </c>
      <c r="AC177" s="76">
        <f t="shared" si="176"/>
        <v>17.101261648987318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77">A156</f>
        <v>Capex vehicle</v>
      </c>
      <c r="B180" s="65">
        <f>((1+B141)^B148)*B141/(((1+B141)^B148)-1)*(B137)/B153/(B150)</f>
        <v>1.0902430594344164E-3</v>
      </c>
      <c r="C180" s="65">
        <f t="shared" ref="C180:AC180" si="178">((1+C141)^C148)*C141/(((1+C141)^C148)-1)*(C137)/C153/(C150)</f>
        <v>1.0902430594344164E-3</v>
      </c>
      <c r="D180" s="65">
        <f t="shared" si="178"/>
        <v>1.0902430594344164E-3</v>
      </c>
      <c r="E180" s="65">
        <f t="shared" si="178"/>
        <v>1.0902430594344164E-3</v>
      </c>
      <c r="F180" s="65">
        <f t="shared" si="178"/>
        <v>1.0902430594344164E-3</v>
      </c>
      <c r="G180" s="65">
        <f t="shared" si="178"/>
        <v>1.0902430594344164E-3</v>
      </c>
      <c r="H180" s="65">
        <f t="shared" si="178"/>
        <v>1.0902430594344164E-3</v>
      </c>
      <c r="I180" s="65">
        <f t="shared" si="178"/>
        <v>1.0902430594344164E-3</v>
      </c>
      <c r="J180" s="65">
        <f t="shared" si="178"/>
        <v>1.0902430594344164E-3</v>
      </c>
      <c r="K180" s="65">
        <f t="shared" si="178"/>
        <v>1.0902430594344164E-3</v>
      </c>
      <c r="L180" s="65">
        <f t="shared" si="178"/>
        <v>1.0902430594344164E-3</v>
      </c>
      <c r="M180" s="65">
        <f t="shared" si="178"/>
        <v>1.0902430594344164E-3</v>
      </c>
      <c r="N180" s="65">
        <f t="shared" si="178"/>
        <v>1.0902430594344164E-3</v>
      </c>
      <c r="O180" s="65">
        <f t="shared" si="178"/>
        <v>1.0902430594344164E-3</v>
      </c>
      <c r="P180" s="65">
        <f t="shared" si="178"/>
        <v>1.0902430594344164E-3</v>
      </c>
      <c r="Q180" s="65">
        <f t="shared" si="178"/>
        <v>1.0902430594344164E-3</v>
      </c>
      <c r="R180" s="65">
        <f t="shared" si="178"/>
        <v>1.0902430594344164E-3</v>
      </c>
      <c r="S180" s="65">
        <f t="shared" si="178"/>
        <v>1.0902430594344164E-3</v>
      </c>
      <c r="T180" s="65">
        <f t="shared" si="178"/>
        <v>1.0902430594344164E-3</v>
      </c>
      <c r="U180" s="65">
        <f t="shared" si="178"/>
        <v>1.0902430594344164E-3</v>
      </c>
      <c r="V180" s="65">
        <f t="shared" si="178"/>
        <v>1.0902430594344164E-3</v>
      </c>
      <c r="W180" s="65">
        <f t="shared" si="178"/>
        <v>1.0902430594344164E-3</v>
      </c>
      <c r="X180" s="65">
        <f t="shared" si="178"/>
        <v>1.0902430594344164E-3</v>
      </c>
      <c r="Y180" s="65">
        <f t="shared" si="178"/>
        <v>1.0902430594344164E-3</v>
      </c>
      <c r="Z180" s="65">
        <f t="shared" si="178"/>
        <v>1.0902430594344164E-3</v>
      </c>
      <c r="AA180" s="65">
        <f t="shared" si="178"/>
        <v>1.0902430594344164E-3</v>
      </c>
      <c r="AB180" s="65">
        <f t="shared" si="178"/>
        <v>1.0902430594344164E-3</v>
      </c>
      <c r="AC180" s="65">
        <f t="shared" si="178"/>
        <v>1.0902430594344164E-3</v>
      </c>
    </row>
    <row r="181" spans="1:29" x14ac:dyDescent="0.3">
      <c r="A181" s="30" t="str">
        <f t="shared" si="177"/>
        <v>Residual value (vehicle)</v>
      </c>
      <c r="B181" s="68">
        <f>((1+B141)^B148)*B141/(((1+B141)^B148)-1)*(B138)/B153/(B150)</f>
        <v>-1.6353645891516245E-4</v>
      </c>
      <c r="C181" s="68">
        <f t="shared" ref="C181:AC181" si="179">((1+C141)^C148)*C141/(((1+C141)^C148)-1)*(C138)/C153/(C150)</f>
        <v>-1.6353645891516245E-4</v>
      </c>
      <c r="D181" s="68">
        <f t="shared" si="179"/>
        <v>-1.6353645891516245E-4</v>
      </c>
      <c r="E181" s="68">
        <f t="shared" si="179"/>
        <v>-1.6353645891516245E-4</v>
      </c>
      <c r="F181" s="68">
        <f t="shared" si="179"/>
        <v>-1.6353645891516245E-4</v>
      </c>
      <c r="G181" s="68">
        <f t="shared" si="179"/>
        <v>-1.6353645891516245E-4</v>
      </c>
      <c r="H181" s="68">
        <f t="shared" si="179"/>
        <v>-1.6353645891516245E-4</v>
      </c>
      <c r="I181" s="68">
        <f t="shared" si="179"/>
        <v>-1.6353645891516245E-4</v>
      </c>
      <c r="J181" s="68">
        <f t="shared" si="179"/>
        <v>-1.6353645891516245E-4</v>
      </c>
      <c r="K181" s="68">
        <f t="shared" si="179"/>
        <v>-1.6353645891516245E-4</v>
      </c>
      <c r="L181" s="68">
        <f t="shared" si="179"/>
        <v>-1.6353645891516245E-4</v>
      </c>
      <c r="M181" s="68">
        <f t="shared" si="179"/>
        <v>-1.6353645891516245E-4</v>
      </c>
      <c r="N181" s="68">
        <f t="shared" si="179"/>
        <v>-1.6353645891516245E-4</v>
      </c>
      <c r="O181" s="68">
        <f t="shared" si="179"/>
        <v>-1.6353645891516245E-4</v>
      </c>
      <c r="P181" s="68">
        <f t="shared" si="179"/>
        <v>-1.6353645891516245E-4</v>
      </c>
      <c r="Q181" s="68">
        <f t="shared" si="179"/>
        <v>-1.6353645891516245E-4</v>
      </c>
      <c r="R181" s="68">
        <f t="shared" si="179"/>
        <v>-1.6353645891516245E-4</v>
      </c>
      <c r="S181" s="68">
        <f t="shared" si="179"/>
        <v>-1.6353645891516245E-4</v>
      </c>
      <c r="T181" s="68">
        <f t="shared" si="179"/>
        <v>-1.6353645891516245E-4</v>
      </c>
      <c r="U181" s="68">
        <f t="shared" si="179"/>
        <v>-1.6353645891516245E-4</v>
      </c>
      <c r="V181" s="68">
        <f t="shared" si="179"/>
        <v>-1.6353645891516245E-4</v>
      </c>
      <c r="W181" s="68">
        <f t="shared" si="179"/>
        <v>-1.6353645891516245E-4</v>
      </c>
      <c r="X181" s="68">
        <f t="shared" si="179"/>
        <v>-1.6353645891516245E-4</v>
      </c>
      <c r="Y181" s="68">
        <f t="shared" si="179"/>
        <v>-1.6353645891516245E-4</v>
      </c>
      <c r="Z181" s="68">
        <f t="shared" si="179"/>
        <v>-1.6353645891516245E-4</v>
      </c>
      <c r="AA181" s="68">
        <f t="shared" si="179"/>
        <v>-1.6353645891516245E-4</v>
      </c>
      <c r="AB181" s="68">
        <f t="shared" si="179"/>
        <v>-1.6353645891516245E-4</v>
      </c>
      <c r="AC181" s="68">
        <f t="shared" si="179"/>
        <v>-1.6353645891516245E-4</v>
      </c>
    </row>
    <row r="182" spans="1:29" x14ac:dyDescent="0.3">
      <c r="A182" s="30" t="str">
        <f t="shared" si="177"/>
        <v>Capex costumization</v>
      </c>
      <c r="B182" s="66">
        <f>((1+B141)^B149)*B141/(((1+B141)^B149)-1)*(B139)/B153/(B150)</f>
        <v>1.0174917575636864E-3</v>
      </c>
      <c r="C182" s="66">
        <f t="shared" ref="C182:AC182" si="180">((1+C141)^C149)*C141/(((1+C141)^C149)-1)*(C139)/C153/(C150)</f>
        <v>1.0174917575636864E-3</v>
      </c>
      <c r="D182" s="66">
        <f t="shared" si="180"/>
        <v>1.0174917575636864E-3</v>
      </c>
      <c r="E182" s="66">
        <f t="shared" si="180"/>
        <v>1.0174917575636864E-3</v>
      </c>
      <c r="F182" s="66">
        <f t="shared" si="180"/>
        <v>1.0174917575636864E-3</v>
      </c>
      <c r="G182" s="66">
        <f t="shared" si="180"/>
        <v>1.0174917575636864E-3</v>
      </c>
      <c r="H182" s="66">
        <f t="shared" si="180"/>
        <v>1.0174917575636864E-3</v>
      </c>
      <c r="I182" s="66">
        <f t="shared" si="180"/>
        <v>1.0174917575636864E-3</v>
      </c>
      <c r="J182" s="66">
        <f t="shared" si="180"/>
        <v>1.0174917575636864E-3</v>
      </c>
      <c r="K182" s="66">
        <f t="shared" si="180"/>
        <v>1.0174917575636864E-3</v>
      </c>
      <c r="L182" s="66">
        <f t="shared" si="180"/>
        <v>1.0174917575636864E-3</v>
      </c>
      <c r="M182" s="66">
        <f t="shared" si="180"/>
        <v>1.0174917575636864E-3</v>
      </c>
      <c r="N182" s="66">
        <f t="shared" si="180"/>
        <v>1.0174917575636864E-3</v>
      </c>
      <c r="O182" s="66">
        <f t="shared" si="180"/>
        <v>1.0174917575636864E-3</v>
      </c>
      <c r="P182" s="66">
        <f t="shared" si="180"/>
        <v>1.0174917575636864E-3</v>
      </c>
      <c r="Q182" s="66">
        <f t="shared" si="180"/>
        <v>1.0174917575636864E-3</v>
      </c>
      <c r="R182" s="66">
        <f t="shared" si="180"/>
        <v>1.0174917575636864E-3</v>
      </c>
      <c r="S182" s="66">
        <f t="shared" si="180"/>
        <v>1.0174917575636864E-3</v>
      </c>
      <c r="T182" s="66">
        <f t="shared" si="180"/>
        <v>1.0174917575636864E-3</v>
      </c>
      <c r="U182" s="66">
        <f t="shared" si="180"/>
        <v>1.0174917575636864E-3</v>
      </c>
      <c r="V182" s="66">
        <f t="shared" si="180"/>
        <v>1.0174917575636864E-3</v>
      </c>
      <c r="W182" s="66">
        <f t="shared" si="180"/>
        <v>1.0174917575636864E-3</v>
      </c>
      <c r="X182" s="66">
        <f t="shared" si="180"/>
        <v>1.0174917575636864E-3</v>
      </c>
      <c r="Y182" s="66">
        <f t="shared" si="180"/>
        <v>1.0174917575636864E-3</v>
      </c>
      <c r="Z182" s="66">
        <f t="shared" si="180"/>
        <v>1.0174917575636864E-3</v>
      </c>
      <c r="AA182" s="66">
        <f t="shared" si="180"/>
        <v>1.0174917575636864E-3</v>
      </c>
      <c r="AB182" s="66">
        <f t="shared" si="180"/>
        <v>1.0174917575636864E-3</v>
      </c>
      <c r="AC182" s="66">
        <f t="shared" si="180"/>
        <v>1.0174917575636864E-3</v>
      </c>
    </row>
    <row r="183" spans="1:29" x14ac:dyDescent="0.3">
      <c r="A183" s="30" t="str">
        <f t="shared" si="177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81">((1+C141)^C149)*C141/(((1+C141)^C149)-1)*(C140)/C153/(C150)</f>
        <v>-5.0874587878184312E-5</v>
      </c>
      <c r="D183" s="69">
        <f t="shared" si="181"/>
        <v>-5.0874587878184312E-5</v>
      </c>
      <c r="E183" s="69">
        <f t="shared" si="181"/>
        <v>-5.0874587878184312E-5</v>
      </c>
      <c r="F183" s="69">
        <f t="shared" si="181"/>
        <v>-5.0874587878184312E-5</v>
      </c>
      <c r="G183" s="69">
        <f t="shared" si="181"/>
        <v>-5.0874587878184312E-5</v>
      </c>
      <c r="H183" s="69">
        <f t="shared" si="181"/>
        <v>-5.0874587878184312E-5</v>
      </c>
      <c r="I183" s="69">
        <f t="shared" si="181"/>
        <v>-5.0874587878184312E-5</v>
      </c>
      <c r="J183" s="69">
        <f t="shared" si="181"/>
        <v>-5.0874587878184312E-5</v>
      </c>
      <c r="K183" s="69">
        <f t="shared" si="181"/>
        <v>-5.0874587878184312E-5</v>
      </c>
      <c r="L183" s="69">
        <f t="shared" si="181"/>
        <v>-5.0874587878184312E-5</v>
      </c>
      <c r="M183" s="69">
        <f t="shared" si="181"/>
        <v>-5.0874587878184312E-5</v>
      </c>
      <c r="N183" s="69">
        <f t="shared" si="181"/>
        <v>-5.0874587878184312E-5</v>
      </c>
      <c r="O183" s="69">
        <f t="shared" si="181"/>
        <v>-5.0874587878184312E-5</v>
      </c>
      <c r="P183" s="69">
        <f t="shared" si="181"/>
        <v>-5.0874587878184312E-5</v>
      </c>
      <c r="Q183" s="69">
        <f t="shared" si="181"/>
        <v>-5.0874587878184312E-5</v>
      </c>
      <c r="R183" s="69">
        <f t="shared" si="181"/>
        <v>-5.0874587878184312E-5</v>
      </c>
      <c r="S183" s="69">
        <f t="shared" si="181"/>
        <v>-5.0874587878184312E-5</v>
      </c>
      <c r="T183" s="69">
        <f t="shared" si="181"/>
        <v>-5.0874587878184312E-5</v>
      </c>
      <c r="U183" s="69">
        <f t="shared" si="181"/>
        <v>-5.0874587878184312E-5</v>
      </c>
      <c r="V183" s="69">
        <f t="shared" si="181"/>
        <v>-5.0874587878184312E-5</v>
      </c>
      <c r="W183" s="69">
        <f t="shared" si="181"/>
        <v>-5.0874587878184312E-5</v>
      </c>
      <c r="X183" s="69">
        <f t="shared" si="181"/>
        <v>-5.0874587878184312E-5</v>
      </c>
      <c r="Y183" s="69">
        <f t="shared" si="181"/>
        <v>-5.0874587878184312E-5</v>
      </c>
      <c r="Z183" s="69">
        <f t="shared" si="181"/>
        <v>-5.0874587878184312E-5</v>
      </c>
      <c r="AA183" s="69">
        <f t="shared" si="181"/>
        <v>-5.0874587878184312E-5</v>
      </c>
      <c r="AB183" s="69">
        <f t="shared" si="181"/>
        <v>-5.0874587878184312E-5</v>
      </c>
      <c r="AC183" s="69">
        <f t="shared" si="181"/>
        <v>-5.0874587878184312E-5</v>
      </c>
    </row>
    <row r="184" spans="1:29" x14ac:dyDescent="0.3">
      <c r="A184" s="30" t="str">
        <f t="shared" si="177"/>
        <v>Opex fix (admin, crew, insurance)</v>
      </c>
      <c r="B184" s="66">
        <f>B142/B153/(B150)</f>
        <v>1.5506202480992397E-3</v>
      </c>
      <c r="C184" s="66">
        <f t="shared" ref="C184:AC184" si="182">C142/C153/(C150)</f>
        <v>1.5506202480992397E-3</v>
      </c>
      <c r="D184" s="66">
        <f t="shared" si="182"/>
        <v>1.5506202480992397E-3</v>
      </c>
      <c r="E184" s="66">
        <f t="shared" si="182"/>
        <v>1.5506202480992397E-3</v>
      </c>
      <c r="F184" s="66">
        <f t="shared" si="182"/>
        <v>1.5506202480992397E-3</v>
      </c>
      <c r="G184" s="66">
        <f t="shared" si="182"/>
        <v>1.5506202480992397E-3</v>
      </c>
      <c r="H184" s="66">
        <f t="shared" si="182"/>
        <v>1.5506202480992397E-3</v>
      </c>
      <c r="I184" s="66">
        <f t="shared" si="182"/>
        <v>1.5506202480992397E-3</v>
      </c>
      <c r="J184" s="66">
        <f t="shared" si="182"/>
        <v>1.5506202480992397E-3</v>
      </c>
      <c r="K184" s="66">
        <f t="shared" si="182"/>
        <v>1.5506202480992397E-3</v>
      </c>
      <c r="L184" s="66">
        <f t="shared" si="182"/>
        <v>1.5506202480992397E-3</v>
      </c>
      <c r="M184" s="66">
        <f t="shared" si="182"/>
        <v>1.5506202480992397E-3</v>
      </c>
      <c r="N184" s="66">
        <f t="shared" si="182"/>
        <v>1.5506202480992397E-3</v>
      </c>
      <c r="O184" s="66">
        <f t="shared" si="182"/>
        <v>1.5506202480992397E-3</v>
      </c>
      <c r="P184" s="66">
        <f t="shared" si="182"/>
        <v>1.5506202480992397E-3</v>
      </c>
      <c r="Q184" s="66">
        <f t="shared" si="182"/>
        <v>1.5506202480992397E-3</v>
      </c>
      <c r="R184" s="66">
        <f t="shared" si="182"/>
        <v>1.5506202480992397E-3</v>
      </c>
      <c r="S184" s="66">
        <f t="shared" si="182"/>
        <v>1.5506202480992397E-3</v>
      </c>
      <c r="T184" s="66">
        <f t="shared" si="182"/>
        <v>1.5506202480992397E-3</v>
      </c>
      <c r="U184" s="66">
        <f t="shared" si="182"/>
        <v>1.5506202480992397E-3</v>
      </c>
      <c r="V184" s="66">
        <f t="shared" si="182"/>
        <v>1.5506202480992397E-3</v>
      </c>
      <c r="W184" s="66">
        <f t="shared" si="182"/>
        <v>1.5506202480992397E-3</v>
      </c>
      <c r="X184" s="66">
        <f t="shared" si="182"/>
        <v>1.5506202480992397E-3</v>
      </c>
      <c r="Y184" s="66">
        <f t="shared" si="182"/>
        <v>1.5506202480992397E-3</v>
      </c>
      <c r="Z184" s="66">
        <f t="shared" si="182"/>
        <v>1.5506202480992397E-3</v>
      </c>
      <c r="AA184" s="66">
        <f t="shared" si="182"/>
        <v>1.5506202480992397E-3</v>
      </c>
      <c r="AB184" s="66">
        <f t="shared" si="182"/>
        <v>1.5506202480992397E-3</v>
      </c>
      <c r="AC184" s="66">
        <f t="shared" si="182"/>
        <v>1.5506202480992397E-3</v>
      </c>
    </row>
    <row r="185" spans="1:29" x14ac:dyDescent="0.3">
      <c r="A185" s="30" t="str">
        <f t="shared" si="177"/>
        <v>Opex maintenance &amp; repair</v>
      </c>
      <c r="B185" s="66">
        <f>B143/B153/(B150)</f>
        <v>1.6256502601040416E-3</v>
      </c>
      <c r="C185" s="66">
        <f t="shared" ref="C185:AC185" si="183">C143/C153/(C150)</f>
        <v>1.6256502601040416E-3</v>
      </c>
      <c r="D185" s="66">
        <f t="shared" si="183"/>
        <v>1.6256502601040416E-3</v>
      </c>
      <c r="E185" s="66">
        <f t="shared" si="183"/>
        <v>1.6256502601040416E-3</v>
      </c>
      <c r="F185" s="66">
        <f t="shared" si="183"/>
        <v>1.6256502601040416E-3</v>
      </c>
      <c r="G185" s="66">
        <f t="shared" si="183"/>
        <v>1.6256502601040416E-3</v>
      </c>
      <c r="H185" s="66">
        <f t="shared" si="183"/>
        <v>1.6256502601040416E-3</v>
      </c>
      <c r="I185" s="66">
        <f t="shared" si="183"/>
        <v>1.6256502601040416E-3</v>
      </c>
      <c r="J185" s="66">
        <f t="shared" si="183"/>
        <v>1.6256502601040416E-3</v>
      </c>
      <c r="K185" s="66">
        <f t="shared" si="183"/>
        <v>1.6256502601040416E-3</v>
      </c>
      <c r="L185" s="66">
        <f t="shared" si="183"/>
        <v>1.6256502601040416E-3</v>
      </c>
      <c r="M185" s="66">
        <f t="shared" si="183"/>
        <v>1.6256502601040416E-3</v>
      </c>
      <c r="N185" s="66">
        <f t="shared" si="183"/>
        <v>1.6256502601040416E-3</v>
      </c>
      <c r="O185" s="66">
        <f t="shared" si="183"/>
        <v>1.6256502601040416E-3</v>
      </c>
      <c r="P185" s="66">
        <f t="shared" si="183"/>
        <v>1.6256502601040416E-3</v>
      </c>
      <c r="Q185" s="66">
        <f t="shared" si="183"/>
        <v>1.6256502601040416E-3</v>
      </c>
      <c r="R185" s="66">
        <f t="shared" si="183"/>
        <v>1.6256502601040416E-3</v>
      </c>
      <c r="S185" s="66">
        <f t="shared" si="183"/>
        <v>1.6256502601040416E-3</v>
      </c>
      <c r="T185" s="66">
        <f t="shared" si="183"/>
        <v>1.6256502601040416E-3</v>
      </c>
      <c r="U185" s="66">
        <f t="shared" si="183"/>
        <v>1.6256502601040416E-3</v>
      </c>
      <c r="V185" s="66">
        <f t="shared" si="183"/>
        <v>1.6256502601040416E-3</v>
      </c>
      <c r="W185" s="66">
        <f t="shared" si="183"/>
        <v>1.6256502601040416E-3</v>
      </c>
      <c r="X185" s="66">
        <f t="shared" si="183"/>
        <v>1.6256502601040416E-3</v>
      </c>
      <c r="Y185" s="66">
        <f t="shared" si="183"/>
        <v>1.6256502601040416E-3</v>
      </c>
      <c r="Z185" s="66">
        <f t="shared" si="183"/>
        <v>1.6256502601040416E-3</v>
      </c>
      <c r="AA185" s="66">
        <f t="shared" si="183"/>
        <v>1.6256502601040416E-3</v>
      </c>
      <c r="AB185" s="66">
        <f t="shared" si="183"/>
        <v>1.6256502601040416E-3</v>
      </c>
      <c r="AC185" s="66">
        <f t="shared" si="183"/>
        <v>1.6256502601040416E-3</v>
      </c>
    </row>
    <row r="186" spans="1:29" x14ac:dyDescent="0.3">
      <c r="A186" s="30" t="str">
        <f t="shared" si="177"/>
        <v>Opex var (mode-fees, shunting)</v>
      </c>
      <c r="B186" s="66">
        <f>B144*B153/B153/(B150)</f>
        <v>1.6256502601040416E-3</v>
      </c>
      <c r="C186" s="66">
        <f t="shared" ref="C186:AC186" si="184">C144*C153/C153/(C150)</f>
        <v>1.6256502601040416E-3</v>
      </c>
      <c r="D186" s="66">
        <f t="shared" si="184"/>
        <v>1.6256502601040416E-3</v>
      </c>
      <c r="E186" s="66">
        <f t="shared" si="184"/>
        <v>1.6256502601040416E-3</v>
      </c>
      <c r="F186" s="66">
        <f t="shared" si="184"/>
        <v>1.6256502601040416E-3</v>
      </c>
      <c r="G186" s="66">
        <f t="shared" si="184"/>
        <v>1.6256502601040416E-3</v>
      </c>
      <c r="H186" s="66">
        <f t="shared" si="184"/>
        <v>1.6256502601040416E-3</v>
      </c>
      <c r="I186" s="66">
        <f t="shared" si="184"/>
        <v>1.6256502601040416E-3</v>
      </c>
      <c r="J186" s="66">
        <f t="shared" si="184"/>
        <v>1.6256502601040416E-3</v>
      </c>
      <c r="K186" s="66">
        <f t="shared" si="184"/>
        <v>1.6256502601040416E-3</v>
      </c>
      <c r="L186" s="66">
        <f t="shared" si="184"/>
        <v>1.6256502601040416E-3</v>
      </c>
      <c r="M186" s="66">
        <f t="shared" si="184"/>
        <v>1.6256502601040416E-3</v>
      </c>
      <c r="N186" s="66">
        <f t="shared" si="184"/>
        <v>1.6256502601040416E-3</v>
      </c>
      <c r="O186" s="66">
        <f t="shared" si="184"/>
        <v>1.6256502601040416E-3</v>
      </c>
      <c r="P186" s="66">
        <f t="shared" si="184"/>
        <v>1.6256502601040416E-3</v>
      </c>
      <c r="Q186" s="66">
        <f t="shared" si="184"/>
        <v>1.6256502601040416E-3</v>
      </c>
      <c r="R186" s="66">
        <f t="shared" si="184"/>
        <v>1.6256502601040416E-3</v>
      </c>
      <c r="S186" s="66">
        <f t="shared" si="184"/>
        <v>1.6256502601040416E-3</v>
      </c>
      <c r="T186" s="66">
        <f t="shared" si="184"/>
        <v>1.6256502601040416E-3</v>
      </c>
      <c r="U186" s="66">
        <f t="shared" si="184"/>
        <v>1.6256502601040416E-3</v>
      </c>
      <c r="V186" s="66">
        <f t="shared" si="184"/>
        <v>1.6256502601040416E-3</v>
      </c>
      <c r="W186" s="66">
        <f t="shared" si="184"/>
        <v>1.6256502601040416E-3</v>
      </c>
      <c r="X186" s="66">
        <f t="shared" si="184"/>
        <v>1.6256502601040416E-3</v>
      </c>
      <c r="Y186" s="66">
        <f t="shared" si="184"/>
        <v>1.6256502601040416E-3</v>
      </c>
      <c r="Z186" s="66">
        <f t="shared" si="184"/>
        <v>1.6256502601040416E-3</v>
      </c>
      <c r="AA186" s="66">
        <f t="shared" si="184"/>
        <v>1.6256502601040416E-3</v>
      </c>
      <c r="AB186" s="66">
        <f t="shared" si="184"/>
        <v>1.6256502601040416E-3</v>
      </c>
      <c r="AC186" s="66">
        <f t="shared" si="184"/>
        <v>1.6256502601040416E-3</v>
      </c>
    </row>
    <row r="187" spans="1:29" x14ac:dyDescent="0.3">
      <c r="A187" s="30" t="str">
        <f t="shared" si="177"/>
        <v>Fuel Cost</v>
      </c>
      <c r="B187" s="66">
        <f>B145*B146*B153/B153/(B150)</f>
        <v>1.0537248141199494E-3</v>
      </c>
      <c r="C187" s="66">
        <f t="shared" ref="C187:AC187" si="185">C145*C146*C153/C153/(C150)</f>
        <v>1.0524809245311927E-3</v>
      </c>
      <c r="D187" s="66">
        <f t="shared" si="185"/>
        <v>1.0507147796289546E-3</v>
      </c>
      <c r="E187" s="66">
        <f t="shared" si="185"/>
        <v>1.0482185035253304E-3</v>
      </c>
      <c r="F187" s="66">
        <f t="shared" si="185"/>
        <v>1.0447137769123939E-3</v>
      </c>
      <c r="G187" s="66">
        <f t="shared" si="185"/>
        <v>1.0398409346652547E-3</v>
      </c>
      <c r="H187" s="66">
        <f t="shared" si="185"/>
        <v>1.0331604502378181E-3</v>
      </c>
      <c r="I187" s="66">
        <f t="shared" si="185"/>
        <v>1.0241825950191134E-3</v>
      </c>
      <c r="J187" s="66">
        <f t="shared" si="185"/>
        <v>1.0124468038541917E-3</v>
      </c>
      <c r="K187" s="66">
        <f t="shared" si="185"/>
        <v>9.9766755848813859E-4</v>
      </c>
      <c r="L187" s="66">
        <f t="shared" si="185"/>
        <v>9.7993288828717904E-4</v>
      </c>
      <c r="M187" s="66">
        <f t="shared" si="185"/>
        <v>9.5987899046131133E-4</v>
      </c>
      <c r="N187" s="66">
        <f t="shared" si="185"/>
        <v>9.3870817280561521E-4</v>
      </c>
      <c r="O187" s="66">
        <f t="shared" si="185"/>
        <v>9.179539572424794E-4</v>
      </c>
      <c r="P187" s="66">
        <f t="shared" si="185"/>
        <v>8.9906096761983021E-4</v>
      </c>
      <c r="Q187" s="66">
        <f t="shared" si="185"/>
        <v>8.8300461685403807E-4</v>
      </c>
      <c r="R187" s="66">
        <f t="shared" si="185"/>
        <v>8.7014635542014083E-4</v>
      </c>
      <c r="S187" s="66">
        <f t="shared" si="185"/>
        <v>8.603349312557093E-4</v>
      </c>
      <c r="T187" s="66">
        <f t="shared" si="185"/>
        <v>8.5312274761749677E-4</v>
      </c>
      <c r="U187" s="66">
        <f t="shared" si="185"/>
        <v>8.4796614065241465E-4</v>
      </c>
      <c r="V187" s="66">
        <f t="shared" si="185"/>
        <v>8.4435212069580658E-4</v>
      </c>
      <c r="W187" s="66">
        <f t="shared" si="185"/>
        <v>8.4185461077076356E-4</v>
      </c>
      <c r="X187" s="66">
        <f t="shared" si="185"/>
        <v>8.4014544027336349E-4</v>
      </c>
      <c r="Y187" s="66">
        <f t="shared" si="185"/>
        <v>8.3898357665838929E-4</v>
      </c>
      <c r="Z187" s="66">
        <f t="shared" si="185"/>
        <v>8.3819735647866316E-4</v>
      </c>
      <c r="AA187" s="66">
        <f t="shared" si="185"/>
        <v>8.3766697152458987E-4</v>
      </c>
      <c r="AB187" s="66">
        <f t="shared" si="185"/>
        <v>8.3730991900823654E-4</v>
      </c>
      <c r="AC187" s="66">
        <f t="shared" si="185"/>
        <v>8.3706989059071399E-4</v>
      </c>
    </row>
    <row r="188" spans="1:29" x14ac:dyDescent="0.3">
      <c r="A188" s="59" t="str">
        <f>A151</f>
        <v>Market failure (av. utilization)</v>
      </c>
      <c r="B188" s="66">
        <f t="shared" ref="B188:AC188" si="186">B177/B151-B177/B150</f>
        <v>1.6738814318908755E-2</v>
      </c>
      <c r="C188" s="66">
        <f t="shared" si="186"/>
        <v>1.6736117692230358E-2</v>
      </c>
      <c r="D188" s="66">
        <f t="shared" si="186"/>
        <v>1.6732288248797404E-2</v>
      </c>
      <c r="E188" s="66">
        <f t="shared" si="186"/>
        <v>1.6726874387225324E-2</v>
      </c>
      <c r="F188" s="66">
        <f t="shared" si="186"/>
        <v>1.6719270665296805E-2</v>
      </c>
      <c r="G188" s="66">
        <f t="shared" si="186"/>
        <v>1.6708692975941099E-2</v>
      </c>
      <c r="H188" s="66">
        <f t="shared" si="186"/>
        <v>1.6694179482846867E-2</v>
      </c>
      <c r="I188" s="66">
        <f t="shared" si="186"/>
        <v>1.6674650787582089E-2</v>
      </c>
      <c r="J188" s="66">
        <f t="shared" si="186"/>
        <v>1.6649075135411688E-2</v>
      </c>
      <c r="K188" s="66">
        <f t="shared" si="186"/>
        <v>1.6616774767796279E-2</v>
      </c>
      <c r="L188" s="66">
        <f t="shared" si="186"/>
        <v>1.6577844953930707E-2</v>
      </c>
      <c r="M188" s="66">
        <f t="shared" si="186"/>
        <v>1.6533525437562417E-2</v>
      </c>
      <c r="N188" s="66">
        <f t="shared" si="186"/>
        <v>1.6486246134934393E-2</v>
      </c>
      <c r="O188" s="66">
        <f t="shared" si="186"/>
        <v>1.6439148235364867E-2</v>
      </c>
      <c r="P188" s="66">
        <f t="shared" si="186"/>
        <v>1.6395228694978253E-2</v>
      </c>
      <c r="Q188" s="66">
        <f t="shared" si="186"/>
        <v>1.6356582732948245E-2</v>
      </c>
      <c r="R188" s="66">
        <f t="shared" si="186"/>
        <v>1.6324140800857985E-2</v>
      </c>
      <c r="S188" s="66">
        <f t="shared" si="186"/>
        <v>1.6297888339316023E-2</v>
      </c>
      <c r="T188" s="66">
        <f t="shared" si="186"/>
        <v>1.627726558847049E-2</v>
      </c>
      <c r="U188" s="66">
        <f t="shared" si="186"/>
        <v>1.626148595742425E-2</v>
      </c>
      <c r="V188" s="66">
        <f t="shared" si="186"/>
        <v>1.624970828660123E-2</v>
      </c>
      <c r="W188" s="66">
        <f t="shared" si="186"/>
        <v>1.6241119411288363E-2</v>
      </c>
      <c r="X188" s="66">
        <f t="shared" si="186"/>
        <v>1.6234983366621616E-2</v>
      </c>
      <c r="Y188" s="66">
        <f t="shared" si="186"/>
        <v>1.6230673723454679E-2</v>
      </c>
      <c r="Z188" s="66">
        <f t="shared" si="186"/>
        <v>1.6227686943866941E-2</v>
      </c>
      <c r="AA188" s="66">
        <f t="shared" si="186"/>
        <v>1.6225637510939292E-2</v>
      </c>
      <c r="AB188" s="66">
        <f t="shared" si="186"/>
        <v>1.6224241363502999E-2</v>
      </c>
      <c r="AC188" s="66">
        <f t="shared" si="186"/>
        <v>1.6223295091115197E-2</v>
      </c>
    </row>
    <row r="189" spans="1:29" x14ac:dyDescent="0.3">
      <c r="A189" s="59" t="str">
        <f>A152</f>
        <v>Payload loss (fuel)</v>
      </c>
      <c r="B189" s="66">
        <f>B177/(B150-B152)-B177/B150</f>
        <v>0</v>
      </c>
      <c r="C189" s="66">
        <f t="shared" ref="C189:AC189" si="187">C177/(C150-C152)-C177/C150</f>
        <v>0</v>
      </c>
      <c r="D189" s="66">
        <f t="shared" si="187"/>
        <v>0</v>
      </c>
      <c r="E189" s="66">
        <f t="shared" si="187"/>
        <v>0</v>
      </c>
      <c r="F189" s="66">
        <f t="shared" si="187"/>
        <v>0</v>
      </c>
      <c r="G189" s="66">
        <f t="shared" si="187"/>
        <v>0</v>
      </c>
      <c r="H189" s="66">
        <f t="shared" si="187"/>
        <v>0</v>
      </c>
      <c r="I189" s="66">
        <f t="shared" si="187"/>
        <v>0</v>
      </c>
      <c r="J189" s="66">
        <f t="shared" si="187"/>
        <v>0</v>
      </c>
      <c r="K189" s="66">
        <f t="shared" si="187"/>
        <v>0</v>
      </c>
      <c r="L189" s="66">
        <f t="shared" si="187"/>
        <v>0</v>
      </c>
      <c r="M189" s="66">
        <f t="shared" si="187"/>
        <v>0</v>
      </c>
      <c r="N189" s="66">
        <f t="shared" si="187"/>
        <v>0</v>
      </c>
      <c r="O189" s="66">
        <f t="shared" si="187"/>
        <v>0</v>
      </c>
      <c r="P189" s="66">
        <f t="shared" si="187"/>
        <v>0</v>
      </c>
      <c r="Q189" s="66">
        <f t="shared" si="187"/>
        <v>0</v>
      </c>
      <c r="R189" s="66">
        <f t="shared" si="187"/>
        <v>0</v>
      </c>
      <c r="S189" s="66">
        <f t="shared" si="187"/>
        <v>0</v>
      </c>
      <c r="T189" s="66">
        <f t="shared" si="187"/>
        <v>0</v>
      </c>
      <c r="U189" s="66">
        <f t="shared" si="187"/>
        <v>0</v>
      </c>
      <c r="V189" s="66">
        <f t="shared" si="187"/>
        <v>0</v>
      </c>
      <c r="W189" s="66">
        <f t="shared" si="187"/>
        <v>0</v>
      </c>
      <c r="X189" s="66">
        <f t="shared" si="187"/>
        <v>0</v>
      </c>
      <c r="Y189" s="66">
        <f t="shared" si="187"/>
        <v>0</v>
      </c>
      <c r="Z189" s="66">
        <f t="shared" si="187"/>
        <v>0</v>
      </c>
      <c r="AA189" s="66">
        <f t="shared" si="187"/>
        <v>0</v>
      </c>
      <c r="AB189" s="66">
        <f t="shared" si="187"/>
        <v>0</v>
      </c>
      <c r="AC189" s="66">
        <f t="shared" si="187"/>
        <v>0</v>
      </c>
    </row>
    <row r="190" spans="1:29" ht="15" thickBot="1" x14ac:dyDescent="0.35">
      <c r="A190" s="59" t="str">
        <f>A127</f>
        <v>Emission Cost</v>
      </c>
      <c r="B190" s="68">
        <f>B147*B153/B153/(B150)</f>
        <v>2.6370562862784274E-5</v>
      </c>
      <c r="C190" s="68">
        <f t="shared" ref="C190:AC190" si="188">C147*C153/C153/(C150)</f>
        <v>2.6345451661706736E-5</v>
      </c>
      <c r="D190" s="68">
        <f t="shared" si="188"/>
        <v>2.6309505536671141E-5</v>
      </c>
      <c r="E190" s="68">
        <f t="shared" si="188"/>
        <v>2.6258082076963209E-5</v>
      </c>
      <c r="F190" s="68">
        <f t="shared" si="188"/>
        <v>2.6184586605890821E-5</v>
      </c>
      <c r="G190" s="68">
        <f t="shared" si="188"/>
        <v>2.6079692685640579E-5</v>
      </c>
      <c r="H190" s="68">
        <f t="shared" si="188"/>
        <v>2.5930298009908791E-5</v>
      </c>
      <c r="I190" s="68">
        <f t="shared" si="188"/>
        <v>2.5718178986363559E-5</v>
      </c>
      <c r="J190" s="68">
        <f t="shared" si="188"/>
        <v>2.5418369129919108E-5</v>
      </c>
      <c r="K190" s="68">
        <f t="shared" si="188"/>
        <v>2.4997441500488967E-5</v>
      </c>
      <c r="L190" s="68">
        <f t="shared" si="188"/>
        <v>2.441219929411994E-5</v>
      </c>
      <c r="M190" s="68">
        <f t="shared" si="188"/>
        <v>2.360985412314249E-5</v>
      </c>
      <c r="N190" s="68">
        <f t="shared" si="188"/>
        <v>2.2531588189181431E-5</v>
      </c>
      <c r="O190" s="68">
        <f t="shared" si="188"/>
        <v>2.1122086307835443E-5</v>
      </c>
      <c r="P190" s="68">
        <f t="shared" si="188"/>
        <v>1.9347056925019619E-5</v>
      </c>
      <c r="Q190" s="68">
        <f t="shared" si="188"/>
        <v>1.7217072617867033E-5</v>
      </c>
      <c r="R190" s="68">
        <f t="shared" si="188"/>
        <v>1.4808542479876151E-5</v>
      </c>
      <c r="S190" s="68">
        <f t="shared" si="188"/>
        <v>1.2265867095149669E-5</v>
      </c>
      <c r="T190" s="68">
        <f t="shared" si="188"/>
        <v>9.7732268060536993E-6</v>
      </c>
      <c r="U190" s="68">
        <f t="shared" si="188"/>
        <v>7.5041250434924465E-6</v>
      </c>
      <c r="V190" s="68">
        <f t="shared" si="188"/>
        <v>5.5757116716201835E-6</v>
      </c>
      <c r="W190" s="68">
        <f t="shared" si="188"/>
        <v>4.0313979200182401E-6</v>
      </c>
      <c r="X190" s="68">
        <f t="shared" si="188"/>
        <v>2.8530179860104374E-6</v>
      </c>
      <c r="Y190" s="68">
        <f t="shared" si="188"/>
        <v>1.9868142283073829E-6</v>
      </c>
      <c r="Z190" s="68">
        <f t="shared" si="188"/>
        <v>1.3674910726287204E-6</v>
      </c>
      <c r="AA190" s="68">
        <f t="shared" si="188"/>
        <v>9.334370019251639E-7</v>
      </c>
      <c r="AB190" s="68">
        <f t="shared" si="188"/>
        <v>6.3347896002081178E-7</v>
      </c>
      <c r="AC190" s="68">
        <f t="shared" si="188"/>
        <v>4.2820272446309834E-7</v>
      </c>
    </row>
    <row r="191" spans="1:29" ht="15" thickBot="1" x14ac:dyDescent="0.35">
      <c r="A191" s="31" t="s">
        <v>210</v>
      </c>
      <c r="B191" s="76">
        <f>B180+B181+B182+B183+B184+B185+B186+B187+B188+B189+B190</f>
        <v>2.4514154234403569E-2</v>
      </c>
      <c r="C191" s="67">
        <f t="shared" ref="C191:AC191" si="189">C180+C181+C182+C183+C184+C185+C186+C187+C188+C189+C190</f>
        <v>2.4510188606935334E-2</v>
      </c>
      <c r="D191" s="67">
        <f t="shared" si="189"/>
        <v>2.4504557072475109E-2</v>
      </c>
      <c r="E191" s="67">
        <f t="shared" si="189"/>
        <v>2.4496595511339696E-2</v>
      </c>
      <c r="F191" s="67">
        <f t="shared" si="189"/>
        <v>2.4485413567327169E-2</v>
      </c>
      <c r="G191" s="67">
        <f t="shared" si="189"/>
        <v>2.4469858141804073E-2</v>
      </c>
      <c r="H191" s="67">
        <f t="shared" si="189"/>
        <v>2.4448514769606675E-2</v>
      </c>
      <c r="I191" s="67">
        <f t="shared" si="189"/>
        <v>2.4419796100099648E-2</v>
      </c>
      <c r="J191" s="67">
        <f t="shared" si="189"/>
        <v>2.4382184846907878E-2</v>
      </c>
      <c r="K191" s="67">
        <f t="shared" si="189"/>
        <v>2.4334684306296983E-2</v>
      </c>
      <c r="L191" s="67">
        <f t="shared" si="189"/>
        <v>2.4277434580024085E-2</v>
      </c>
      <c r="M191" s="67">
        <f t="shared" si="189"/>
        <v>2.4212258820658947E-2</v>
      </c>
      <c r="N191" s="67">
        <f t="shared" si="189"/>
        <v>2.4142730434441269E-2</v>
      </c>
      <c r="O191" s="67">
        <f t="shared" si="189"/>
        <v>2.4073468817427258E-2</v>
      </c>
      <c r="P191" s="67">
        <f t="shared" si="189"/>
        <v>2.4008881258035183E-2</v>
      </c>
      <c r="Q191" s="67">
        <f t="shared" si="189"/>
        <v>2.395204896093223E-2</v>
      </c>
      <c r="R191" s="67">
        <f t="shared" si="189"/>
        <v>2.3904340237270078E-2</v>
      </c>
      <c r="S191" s="67">
        <f t="shared" si="189"/>
        <v>2.386573367617896E-2</v>
      </c>
      <c r="T191" s="67">
        <f t="shared" si="189"/>
        <v>2.383540610140612E-2</v>
      </c>
      <c r="U191" s="67">
        <f t="shared" si="189"/>
        <v>2.3812200761632235E-2</v>
      </c>
      <c r="V191" s="67">
        <f t="shared" si="189"/>
        <v>2.3794880657480737E-2</v>
      </c>
      <c r="W191" s="67">
        <f t="shared" si="189"/>
        <v>2.3782249958491222E-2</v>
      </c>
      <c r="X191" s="67">
        <f t="shared" si="189"/>
        <v>2.3773226363393067E-2</v>
      </c>
      <c r="Y191" s="67">
        <f t="shared" si="189"/>
        <v>2.3766888652853455E-2</v>
      </c>
      <c r="Z191" s="67">
        <f t="shared" si="189"/>
        <v>2.3762496329930313E-2</v>
      </c>
      <c r="AA191" s="67">
        <f t="shared" si="189"/>
        <v>2.3759482457977887E-2</v>
      </c>
      <c r="AB191" s="67">
        <f t="shared" si="189"/>
        <v>2.3757429299983337E-2</v>
      </c>
      <c r="AC191" s="67">
        <f t="shared" si="189"/>
        <v>2.3756037722942453E-2</v>
      </c>
    </row>
    <row r="193" spans="2:2" x14ac:dyDescent="0.3">
      <c r="B193" s="40"/>
    </row>
    <row r="215" spans="1:44" s="3" customFormat="1" ht="21" x14ac:dyDescent="0.4">
      <c r="A215" s="2" t="str">
        <f>'Parameter Input'!A100</f>
        <v>Railway long-haul: Container</v>
      </c>
    </row>
    <row r="216" spans="1:44" s="3" customFormat="1" ht="21" x14ac:dyDescent="0.4">
      <c r="A216" s="2" t="s">
        <v>136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Input'!$L$89</f>
        <v>5000000</v>
      </c>
      <c r="C225" s="42">
        <f>'Parameter Input'!$M$89</f>
        <v>5000000</v>
      </c>
      <c r="D225" s="1" t="s">
        <v>15</v>
      </c>
      <c r="L225" s="51">
        <f>'Parameter Input'!$O$89</f>
        <v>12</v>
      </c>
      <c r="M225" s="52">
        <v>0</v>
      </c>
      <c r="N225" s="52">
        <v>1</v>
      </c>
      <c r="O225" s="52">
        <f>'Parameter Input'!$P$89</f>
        <v>0.9</v>
      </c>
      <c r="P225" s="53">
        <f>'Parameter Input'!$Q$89</f>
        <v>0.4</v>
      </c>
      <c r="Q225" s="4">
        <f t="shared" ref="Q225:AR234" si="190">$N225+($M225-$N225)*((1/(1+EXP(-$P225*(Q$9-$L225)))^$O225))</f>
        <v>0.9867978615748374</v>
      </c>
      <c r="R225" s="4">
        <f t="shared" si="190"/>
        <v>0.98114509762858249</v>
      </c>
      <c r="S225" s="4">
        <f t="shared" si="190"/>
        <v>0.97311898315872036</v>
      </c>
      <c r="T225" s="4">
        <f t="shared" si="190"/>
        <v>0.96177484161592774</v>
      </c>
      <c r="U225" s="4">
        <f t="shared" si="190"/>
        <v>0.94584787155511363</v>
      </c>
      <c r="V225" s="4">
        <f t="shared" si="190"/>
        <v>0.92370360150141495</v>
      </c>
      <c r="W225" s="4">
        <f t="shared" si="190"/>
        <v>0.89334463567658451</v>
      </c>
      <c r="X225" s="4">
        <f t="shared" si="190"/>
        <v>0.85254543874327005</v>
      </c>
      <c r="Y225" s="4">
        <f t="shared" si="190"/>
        <v>0.79921300652623883</v>
      </c>
      <c r="Z225" s="4">
        <f t="shared" si="190"/>
        <v>0.73204982249993378</v>
      </c>
      <c r="AA225" s="4">
        <f t="shared" si="190"/>
        <v>0.65145592958786691</v>
      </c>
      <c r="AB225" s="4">
        <f t="shared" si="190"/>
        <v>0.56032247880849573</v>
      </c>
      <c r="AC225" s="4">
        <f t="shared" si="190"/>
        <v>0.46411326873185343</v>
      </c>
      <c r="AD225" s="4">
        <f t="shared" si="190"/>
        <v>0.36979727595523937</v>
      </c>
      <c r="AE225" s="4">
        <f t="shared" si="190"/>
        <v>0.28393948637231203</v>
      </c>
      <c r="AF225" s="4">
        <f t="shared" si="190"/>
        <v>0.21097259161117732</v>
      </c>
      <c r="AG225" s="4">
        <f t="shared" si="190"/>
        <v>0.15253917653798199</v>
      </c>
      <c r="AH225" s="4">
        <f t="shared" si="190"/>
        <v>0.10795188737709993</v>
      </c>
      <c r="AI225" s="4">
        <f t="shared" si="190"/>
        <v>7.5176653938091809E-2</v>
      </c>
      <c r="AJ225" s="4">
        <f t="shared" si="190"/>
        <v>5.1742836177502194E-2</v>
      </c>
      <c r="AK225" s="4">
        <f t="shared" si="190"/>
        <v>3.5319190625345942E-2</v>
      </c>
      <c r="AL225" s="4">
        <f t="shared" si="190"/>
        <v>2.3969442072658165E-2</v>
      </c>
      <c r="AM225" s="4">
        <f t="shared" si="190"/>
        <v>1.6202243558389728E-2</v>
      </c>
      <c r="AN225" s="4">
        <f t="shared" si="190"/>
        <v>1.0922240564108399E-2</v>
      </c>
      <c r="AO225" s="4">
        <f t="shared" si="190"/>
        <v>7.3493212906090566E-3</v>
      </c>
      <c r="AP225" s="4">
        <f t="shared" si="190"/>
        <v>4.9390262185057265E-3</v>
      </c>
      <c r="AQ225" s="4">
        <f t="shared" si="190"/>
        <v>3.3164275492956197E-3</v>
      </c>
      <c r="AR225" s="4">
        <f t="shared" si="190"/>
        <v>2.2256362146679809E-3</v>
      </c>
    </row>
    <row r="226" spans="1:44" x14ac:dyDescent="0.3">
      <c r="A226" s="24" t="s">
        <v>28</v>
      </c>
      <c r="B226" s="60">
        <f>'Parameter Input'!$L$90</f>
        <v>-750000</v>
      </c>
      <c r="C226" s="61">
        <f>'Parameter Input'!$M$90</f>
        <v>-750000</v>
      </c>
      <c r="D226" s="1" t="s">
        <v>15</v>
      </c>
      <c r="L226" s="54">
        <f>'Parameter Input'!$O$90</f>
        <v>12</v>
      </c>
      <c r="M226" s="37">
        <v>0</v>
      </c>
      <c r="N226" s="37">
        <v>1</v>
      </c>
      <c r="O226" s="37">
        <f>'Parameter Input'!$P$90</f>
        <v>0.9</v>
      </c>
      <c r="P226" s="55">
        <f>'Parameter Input'!$Q$90</f>
        <v>0.4</v>
      </c>
      <c r="Q226" s="4">
        <f t="shared" si="190"/>
        <v>0.9867978615748374</v>
      </c>
      <c r="R226" s="4">
        <f t="shared" si="190"/>
        <v>0.98114509762858249</v>
      </c>
      <c r="S226" s="4">
        <f t="shared" si="190"/>
        <v>0.97311898315872036</v>
      </c>
      <c r="T226" s="4">
        <f t="shared" si="190"/>
        <v>0.96177484161592774</v>
      </c>
      <c r="U226" s="4">
        <f t="shared" si="190"/>
        <v>0.94584787155511363</v>
      </c>
      <c r="V226" s="4">
        <f t="shared" si="190"/>
        <v>0.92370360150141495</v>
      </c>
      <c r="W226" s="4">
        <f t="shared" si="190"/>
        <v>0.89334463567658451</v>
      </c>
      <c r="X226" s="4">
        <f t="shared" si="190"/>
        <v>0.85254543874327005</v>
      </c>
      <c r="Y226" s="4">
        <f t="shared" si="190"/>
        <v>0.79921300652623883</v>
      </c>
      <c r="Z226" s="4">
        <f t="shared" si="190"/>
        <v>0.73204982249993378</v>
      </c>
      <c r="AA226" s="4">
        <f t="shared" si="190"/>
        <v>0.65145592958786691</v>
      </c>
      <c r="AB226" s="4">
        <f t="shared" si="190"/>
        <v>0.56032247880849573</v>
      </c>
      <c r="AC226" s="4">
        <f t="shared" si="190"/>
        <v>0.46411326873185343</v>
      </c>
      <c r="AD226" s="4">
        <f t="shared" si="190"/>
        <v>0.36979727595523937</v>
      </c>
      <c r="AE226" s="4">
        <f t="shared" si="190"/>
        <v>0.28393948637231203</v>
      </c>
      <c r="AF226" s="4">
        <f t="shared" si="190"/>
        <v>0.21097259161117732</v>
      </c>
      <c r="AG226" s="4">
        <f t="shared" si="190"/>
        <v>0.15253917653798199</v>
      </c>
      <c r="AH226" s="4">
        <f t="shared" si="190"/>
        <v>0.10795188737709993</v>
      </c>
      <c r="AI226" s="4">
        <f t="shared" si="190"/>
        <v>7.5176653938091809E-2</v>
      </c>
      <c r="AJ226" s="4">
        <f t="shared" si="190"/>
        <v>5.1742836177502194E-2</v>
      </c>
      <c r="AK226" s="4">
        <f t="shared" si="190"/>
        <v>3.5319190625345942E-2</v>
      </c>
      <c r="AL226" s="4">
        <f t="shared" si="190"/>
        <v>2.3969442072658165E-2</v>
      </c>
      <c r="AM226" s="4">
        <f t="shared" si="190"/>
        <v>1.6202243558389728E-2</v>
      </c>
      <c r="AN226" s="4">
        <f t="shared" si="190"/>
        <v>1.0922240564108399E-2</v>
      </c>
      <c r="AO226" s="4">
        <f t="shared" si="190"/>
        <v>7.3493212906090566E-3</v>
      </c>
      <c r="AP226" s="4">
        <f t="shared" si="190"/>
        <v>4.9390262185057265E-3</v>
      </c>
      <c r="AQ226" s="4">
        <f t="shared" si="190"/>
        <v>3.3164275492956197E-3</v>
      </c>
      <c r="AR226" s="4">
        <f t="shared" si="190"/>
        <v>2.2256362146679809E-3</v>
      </c>
    </row>
    <row r="227" spans="1:44" x14ac:dyDescent="0.3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90"/>
        <v>0.9867978615748374</v>
      </c>
      <c r="R227" s="4">
        <f t="shared" si="190"/>
        <v>0.98114509762858249</v>
      </c>
      <c r="S227" s="4">
        <f t="shared" si="190"/>
        <v>0.97311898315872036</v>
      </c>
      <c r="T227" s="4">
        <f t="shared" si="190"/>
        <v>0.96177484161592774</v>
      </c>
      <c r="U227" s="4">
        <f t="shared" si="190"/>
        <v>0.94584787155511363</v>
      </c>
      <c r="V227" s="4">
        <f t="shared" si="190"/>
        <v>0.92370360150141495</v>
      </c>
      <c r="W227" s="4">
        <f t="shared" si="190"/>
        <v>0.89334463567658451</v>
      </c>
      <c r="X227" s="4">
        <f t="shared" si="190"/>
        <v>0.85254543874327005</v>
      </c>
      <c r="Y227" s="4">
        <f t="shared" si="190"/>
        <v>0.79921300652623883</v>
      </c>
      <c r="Z227" s="4">
        <f t="shared" si="190"/>
        <v>0.73204982249993378</v>
      </c>
      <c r="AA227" s="4">
        <f t="shared" si="190"/>
        <v>0.65145592958786691</v>
      </c>
      <c r="AB227" s="4">
        <f t="shared" si="190"/>
        <v>0.56032247880849573</v>
      </c>
      <c r="AC227" s="4">
        <f t="shared" si="190"/>
        <v>0.46411326873185343</v>
      </c>
      <c r="AD227" s="4">
        <f t="shared" si="190"/>
        <v>0.36979727595523937</v>
      </c>
      <c r="AE227" s="4">
        <f t="shared" si="190"/>
        <v>0.28393948637231203</v>
      </c>
      <c r="AF227" s="4">
        <f t="shared" si="190"/>
        <v>0.21097259161117732</v>
      </c>
      <c r="AG227" s="4">
        <f t="shared" si="190"/>
        <v>0.15253917653798199</v>
      </c>
      <c r="AH227" s="4">
        <f t="shared" si="190"/>
        <v>0.10795188737709993</v>
      </c>
      <c r="AI227" s="4">
        <f t="shared" si="190"/>
        <v>7.5176653938091809E-2</v>
      </c>
      <c r="AJ227" s="4">
        <f t="shared" si="190"/>
        <v>5.1742836177502194E-2</v>
      </c>
      <c r="AK227" s="4">
        <f t="shared" si="190"/>
        <v>3.5319190625345942E-2</v>
      </c>
      <c r="AL227" s="4">
        <f t="shared" si="190"/>
        <v>2.3969442072658165E-2</v>
      </c>
      <c r="AM227" s="4">
        <f t="shared" si="190"/>
        <v>1.6202243558389728E-2</v>
      </c>
      <c r="AN227" s="4">
        <f t="shared" si="190"/>
        <v>1.0922240564108399E-2</v>
      </c>
      <c r="AO227" s="4">
        <f t="shared" si="190"/>
        <v>7.3493212906090566E-3</v>
      </c>
      <c r="AP227" s="4">
        <f t="shared" si="190"/>
        <v>4.9390262185057265E-3</v>
      </c>
      <c r="AQ227" s="4">
        <f t="shared" si="190"/>
        <v>3.3164275492956197E-3</v>
      </c>
      <c r="AR227" s="4">
        <f t="shared" si="190"/>
        <v>2.2256362146679809E-3</v>
      </c>
    </row>
    <row r="228" spans="1:44" x14ac:dyDescent="0.3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90"/>
        <v>0.9867978615748374</v>
      </c>
      <c r="R228" s="4">
        <f t="shared" si="190"/>
        <v>0.98114509762858249</v>
      </c>
      <c r="S228" s="4">
        <f t="shared" si="190"/>
        <v>0.97311898315872036</v>
      </c>
      <c r="T228" s="4">
        <f t="shared" si="190"/>
        <v>0.96177484161592774</v>
      </c>
      <c r="U228" s="4">
        <f t="shared" si="190"/>
        <v>0.94584787155511363</v>
      </c>
      <c r="V228" s="4">
        <f t="shared" si="190"/>
        <v>0.92370360150141495</v>
      </c>
      <c r="W228" s="4">
        <f t="shared" si="190"/>
        <v>0.89334463567658451</v>
      </c>
      <c r="X228" s="4">
        <f t="shared" si="190"/>
        <v>0.85254543874327005</v>
      </c>
      <c r="Y228" s="4">
        <f t="shared" si="190"/>
        <v>0.79921300652623883</v>
      </c>
      <c r="Z228" s="4">
        <f t="shared" si="190"/>
        <v>0.73204982249993378</v>
      </c>
      <c r="AA228" s="4">
        <f t="shared" si="190"/>
        <v>0.65145592958786691</v>
      </c>
      <c r="AB228" s="4">
        <f t="shared" si="190"/>
        <v>0.56032247880849573</v>
      </c>
      <c r="AC228" s="4">
        <f t="shared" si="190"/>
        <v>0.46411326873185343</v>
      </c>
      <c r="AD228" s="4">
        <f t="shared" si="190"/>
        <v>0.36979727595523937</v>
      </c>
      <c r="AE228" s="4">
        <f t="shared" si="190"/>
        <v>0.28393948637231203</v>
      </c>
      <c r="AF228" s="4">
        <f t="shared" si="190"/>
        <v>0.21097259161117732</v>
      </c>
      <c r="AG228" s="4">
        <f t="shared" si="190"/>
        <v>0.15253917653798199</v>
      </c>
      <c r="AH228" s="4">
        <f t="shared" si="190"/>
        <v>0.10795188737709993</v>
      </c>
      <c r="AI228" s="4">
        <f t="shared" si="190"/>
        <v>7.5176653938091809E-2</v>
      </c>
      <c r="AJ228" s="4">
        <f t="shared" si="190"/>
        <v>5.1742836177502194E-2</v>
      </c>
      <c r="AK228" s="4">
        <f t="shared" si="190"/>
        <v>3.5319190625345942E-2</v>
      </c>
      <c r="AL228" s="4">
        <f t="shared" si="190"/>
        <v>2.3969442072658165E-2</v>
      </c>
      <c r="AM228" s="4">
        <f t="shared" si="190"/>
        <v>1.6202243558389728E-2</v>
      </c>
      <c r="AN228" s="4">
        <f t="shared" si="190"/>
        <v>1.0922240564108399E-2</v>
      </c>
      <c r="AO228" s="4">
        <f t="shared" si="190"/>
        <v>7.3493212906090566E-3</v>
      </c>
      <c r="AP228" s="4">
        <f t="shared" si="190"/>
        <v>4.9390262185057265E-3</v>
      </c>
      <c r="AQ228" s="4">
        <f t="shared" si="190"/>
        <v>3.3164275492956197E-3</v>
      </c>
      <c r="AR228" s="4">
        <f t="shared" si="190"/>
        <v>2.2256362146679809E-3</v>
      </c>
    </row>
    <row r="229" spans="1:44" x14ac:dyDescent="0.3">
      <c r="A229" s="24" t="s">
        <v>79</v>
      </c>
      <c r="B229" s="45">
        <f>'Parameter Input'!$L$96</f>
        <v>0.06</v>
      </c>
      <c r="C229" s="46">
        <f>'Parameter Input'!$M$96</f>
        <v>0.06</v>
      </c>
      <c r="D229" s="1" t="s">
        <v>57</v>
      </c>
      <c r="L229" s="54">
        <f>'Parameter Input'!$O$96</f>
        <v>12</v>
      </c>
      <c r="M229" s="37">
        <v>0</v>
      </c>
      <c r="N229" s="37">
        <v>1</v>
      </c>
      <c r="O229" s="37">
        <f>'Parameter Input'!$P$96</f>
        <v>0.9</v>
      </c>
      <c r="P229" s="55">
        <f>'Parameter Input'!$Q$96</f>
        <v>0.4</v>
      </c>
      <c r="Q229" s="4">
        <f t="shared" si="190"/>
        <v>0.9867978615748374</v>
      </c>
      <c r="R229" s="4">
        <f t="shared" si="190"/>
        <v>0.98114509762858249</v>
      </c>
      <c r="S229" s="4">
        <f t="shared" si="190"/>
        <v>0.97311898315872036</v>
      </c>
      <c r="T229" s="4">
        <f t="shared" si="190"/>
        <v>0.96177484161592774</v>
      </c>
      <c r="U229" s="4">
        <f t="shared" si="190"/>
        <v>0.94584787155511363</v>
      </c>
      <c r="V229" s="4">
        <f t="shared" si="190"/>
        <v>0.92370360150141495</v>
      </c>
      <c r="W229" s="4">
        <f t="shared" si="190"/>
        <v>0.89334463567658451</v>
      </c>
      <c r="X229" s="4">
        <f t="shared" si="190"/>
        <v>0.85254543874327005</v>
      </c>
      <c r="Y229" s="4">
        <f t="shared" si="190"/>
        <v>0.79921300652623883</v>
      </c>
      <c r="Z229" s="4">
        <f t="shared" si="190"/>
        <v>0.73204982249993378</v>
      </c>
      <c r="AA229" s="4">
        <f t="shared" si="190"/>
        <v>0.65145592958786691</v>
      </c>
      <c r="AB229" s="4">
        <f t="shared" si="190"/>
        <v>0.56032247880849573</v>
      </c>
      <c r="AC229" s="4">
        <f t="shared" si="190"/>
        <v>0.46411326873185343</v>
      </c>
      <c r="AD229" s="4">
        <f t="shared" si="190"/>
        <v>0.36979727595523937</v>
      </c>
      <c r="AE229" s="4">
        <f t="shared" si="190"/>
        <v>0.28393948637231203</v>
      </c>
      <c r="AF229" s="4">
        <f t="shared" si="190"/>
        <v>0.21097259161117732</v>
      </c>
      <c r="AG229" s="4">
        <f t="shared" si="190"/>
        <v>0.15253917653798199</v>
      </c>
      <c r="AH229" s="4">
        <f t="shared" si="190"/>
        <v>0.10795188737709993</v>
      </c>
      <c r="AI229" s="4">
        <f t="shared" si="190"/>
        <v>7.5176653938091809E-2</v>
      </c>
      <c r="AJ229" s="4">
        <f t="shared" si="190"/>
        <v>5.1742836177502194E-2</v>
      </c>
      <c r="AK229" s="4">
        <f t="shared" si="190"/>
        <v>3.5319190625345942E-2</v>
      </c>
      <c r="AL229" s="4">
        <f t="shared" si="190"/>
        <v>2.3969442072658165E-2</v>
      </c>
      <c r="AM229" s="4">
        <f t="shared" si="190"/>
        <v>1.6202243558389728E-2</v>
      </c>
      <c r="AN229" s="4">
        <f t="shared" si="190"/>
        <v>1.0922240564108399E-2</v>
      </c>
      <c r="AO229" s="4">
        <f t="shared" si="190"/>
        <v>7.3493212906090566E-3</v>
      </c>
      <c r="AP229" s="4">
        <f t="shared" si="190"/>
        <v>4.9390262185057265E-3</v>
      </c>
      <c r="AQ229" s="4">
        <f t="shared" si="190"/>
        <v>3.3164275492956197E-3</v>
      </c>
      <c r="AR229" s="4">
        <f t="shared" si="190"/>
        <v>2.2256362146679809E-3</v>
      </c>
    </row>
    <row r="230" spans="1:44" x14ac:dyDescent="0.3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90"/>
        <v>0.9867978615748374</v>
      </c>
      <c r="R230" s="4">
        <f t="shared" si="190"/>
        <v>0.98114509762858249</v>
      </c>
      <c r="S230" s="4">
        <f t="shared" si="190"/>
        <v>0.97311898315872036</v>
      </c>
      <c r="T230" s="4">
        <f t="shared" si="190"/>
        <v>0.96177484161592774</v>
      </c>
      <c r="U230" s="4">
        <f t="shared" si="190"/>
        <v>0.94584787155511363</v>
      </c>
      <c r="V230" s="4">
        <f t="shared" si="190"/>
        <v>0.92370360150141495</v>
      </c>
      <c r="W230" s="4">
        <f t="shared" si="190"/>
        <v>0.89334463567658451</v>
      </c>
      <c r="X230" s="4">
        <f t="shared" si="190"/>
        <v>0.85254543874327005</v>
      </c>
      <c r="Y230" s="4">
        <f t="shared" si="190"/>
        <v>0.79921300652623883</v>
      </c>
      <c r="Z230" s="4">
        <f t="shared" si="190"/>
        <v>0.73204982249993378</v>
      </c>
      <c r="AA230" s="4">
        <f t="shared" si="190"/>
        <v>0.65145592958786691</v>
      </c>
      <c r="AB230" s="4">
        <f t="shared" si="190"/>
        <v>0.56032247880849573</v>
      </c>
      <c r="AC230" s="4">
        <f t="shared" si="190"/>
        <v>0.46411326873185343</v>
      </c>
      <c r="AD230" s="4">
        <f t="shared" si="190"/>
        <v>0.36979727595523937</v>
      </c>
      <c r="AE230" s="4">
        <f t="shared" si="190"/>
        <v>0.28393948637231203</v>
      </c>
      <c r="AF230" s="4">
        <f t="shared" si="190"/>
        <v>0.21097259161117732</v>
      </c>
      <c r="AG230" s="4">
        <f t="shared" si="190"/>
        <v>0.15253917653798199</v>
      </c>
      <c r="AH230" s="4">
        <f t="shared" si="190"/>
        <v>0.10795188737709993</v>
      </c>
      <c r="AI230" s="4">
        <f t="shared" si="190"/>
        <v>7.5176653938091809E-2</v>
      </c>
      <c r="AJ230" s="4">
        <f t="shared" si="190"/>
        <v>5.1742836177502194E-2</v>
      </c>
      <c r="AK230" s="4">
        <f t="shared" si="190"/>
        <v>3.5319190625345942E-2</v>
      </c>
      <c r="AL230" s="4">
        <f t="shared" si="190"/>
        <v>2.3969442072658165E-2</v>
      </c>
      <c r="AM230" s="4">
        <f t="shared" si="190"/>
        <v>1.6202243558389728E-2</v>
      </c>
      <c r="AN230" s="4">
        <f t="shared" si="190"/>
        <v>1.0922240564108399E-2</v>
      </c>
      <c r="AO230" s="4">
        <f t="shared" si="190"/>
        <v>7.3493212906090566E-3</v>
      </c>
      <c r="AP230" s="4">
        <f t="shared" si="190"/>
        <v>4.9390262185057265E-3</v>
      </c>
      <c r="AQ230" s="4">
        <f t="shared" si="190"/>
        <v>3.3164275492956197E-3</v>
      </c>
      <c r="AR230" s="4">
        <f t="shared" si="190"/>
        <v>2.2256362146679809E-3</v>
      </c>
    </row>
    <row r="231" spans="1:44" x14ac:dyDescent="0.3">
      <c r="A231" s="24" t="s">
        <v>52</v>
      </c>
      <c r="B231" s="43">
        <f>'Parameter Input'!$L$92</f>
        <v>650000</v>
      </c>
      <c r="C231" s="44">
        <f>'Parameter Input'!$M$92</f>
        <v>650000</v>
      </c>
      <c r="D231" s="1" t="s">
        <v>38</v>
      </c>
      <c r="L231" s="54">
        <f>'Parameter Input'!$O$92</f>
        <v>12</v>
      </c>
      <c r="M231" s="37">
        <v>0</v>
      </c>
      <c r="N231" s="37">
        <v>1</v>
      </c>
      <c r="O231" s="37">
        <f>'Parameter Input'!$P$92</f>
        <v>0.9</v>
      </c>
      <c r="P231" s="55">
        <f>'Parameter Input'!$Q$92</f>
        <v>0.4</v>
      </c>
      <c r="Q231" s="4">
        <f t="shared" si="190"/>
        <v>0.9867978615748374</v>
      </c>
      <c r="R231" s="4">
        <f t="shared" si="190"/>
        <v>0.98114509762858249</v>
      </c>
      <c r="S231" s="4">
        <f t="shared" si="190"/>
        <v>0.97311898315872036</v>
      </c>
      <c r="T231" s="4">
        <f t="shared" si="190"/>
        <v>0.96177484161592774</v>
      </c>
      <c r="U231" s="4">
        <f t="shared" si="190"/>
        <v>0.94584787155511363</v>
      </c>
      <c r="V231" s="4">
        <f t="shared" si="190"/>
        <v>0.92370360150141495</v>
      </c>
      <c r="W231" s="4">
        <f t="shared" si="190"/>
        <v>0.89334463567658451</v>
      </c>
      <c r="X231" s="4">
        <f t="shared" si="190"/>
        <v>0.85254543874327005</v>
      </c>
      <c r="Y231" s="4">
        <f t="shared" si="190"/>
        <v>0.79921300652623883</v>
      </c>
      <c r="Z231" s="4">
        <f t="shared" si="190"/>
        <v>0.73204982249993378</v>
      </c>
      <c r="AA231" s="4">
        <f t="shared" si="190"/>
        <v>0.65145592958786691</v>
      </c>
      <c r="AB231" s="4">
        <f t="shared" si="190"/>
        <v>0.56032247880849573</v>
      </c>
      <c r="AC231" s="4">
        <f t="shared" si="190"/>
        <v>0.46411326873185343</v>
      </c>
      <c r="AD231" s="4">
        <f t="shared" si="190"/>
        <v>0.36979727595523937</v>
      </c>
      <c r="AE231" s="4">
        <f t="shared" si="190"/>
        <v>0.28393948637231203</v>
      </c>
      <c r="AF231" s="4">
        <f t="shared" si="190"/>
        <v>0.21097259161117732</v>
      </c>
      <c r="AG231" s="4">
        <f t="shared" si="190"/>
        <v>0.15253917653798199</v>
      </c>
      <c r="AH231" s="4">
        <f t="shared" si="190"/>
        <v>0.10795188737709993</v>
      </c>
      <c r="AI231" s="4">
        <f t="shared" si="190"/>
        <v>7.5176653938091809E-2</v>
      </c>
      <c r="AJ231" s="4">
        <f t="shared" si="190"/>
        <v>5.1742836177502194E-2</v>
      </c>
      <c r="AK231" s="4">
        <f t="shared" si="190"/>
        <v>3.5319190625345942E-2</v>
      </c>
      <c r="AL231" s="4">
        <f t="shared" si="190"/>
        <v>2.3969442072658165E-2</v>
      </c>
      <c r="AM231" s="4">
        <f t="shared" si="190"/>
        <v>1.6202243558389728E-2</v>
      </c>
      <c r="AN231" s="4">
        <f t="shared" si="190"/>
        <v>1.0922240564108399E-2</v>
      </c>
      <c r="AO231" s="4">
        <f t="shared" si="190"/>
        <v>7.3493212906090566E-3</v>
      </c>
      <c r="AP231" s="4">
        <f t="shared" si="190"/>
        <v>4.9390262185057265E-3</v>
      </c>
      <c r="AQ231" s="4">
        <f t="shared" si="190"/>
        <v>3.3164275492956197E-3</v>
      </c>
      <c r="AR231" s="4">
        <f t="shared" si="190"/>
        <v>2.2256362146679809E-3</v>
      </c>
    </row>
    <row r="232" spans="1:44" x14ac:dyDescent="0.3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90"/>
        <v>0.9867978615748374</v>
      </c>
      <c r="R232" s="4">
        <f t="shared" si="190"/>
        <v>0.98114509762858249</v>
      </c>
      <c r="S232" s="4">
        <f t="shared" si="190"/>
        <v>0.97311898315872036</v>
      </c>
      <c r="T232" s="4">
        <f t="shared" si="190"/>
        <v>0.96177484161592774</v>
      </c>
      <c r="U232" s="4">
        <f t="shared" si="190"/>
        <v>0.94584787155511363</v>
      </c>
      <c r="V232" s="4">
        <f t="shared" si="190"/>
        <v>0.92370360150141495</v>
      </c>
      <c r="W232" s="4">
        <f t="shared" si="190"/>
        <v>0.89334463567658451</v>
      </c>
      <c r="X232" s="4">
        <f t="shared" si="190"/>
        <v>0.85254543874327005</v>
      </c>
      <c r="Y232" s="4">
        <f t="shared" si="190"/>
        <v>0.79921300652623883</v>
      </c>
      <c r="Z232" s="4">
        <f t="shared" si="190"/>
        <v>0.73204982249993378</v>
      </c>
      <c r="AA232" s="4">
        <f t="shared" si="190"/>
        <v>0.65145592958786691</v>
      </c>
      <c r="AB232" s="4">
        <f t="shared" si="190"/>
        <v>0.56032247880849573</v>
      </c>
      <c r="AC232" s="4">
        <f t="shared" si="190"/>
        <v>0.46411326873185343</v>
      </c>
      <c r="AD232" s="4">
        <f t="shared" si="190"/>
        <v>0.36979727595523937</v>
      </c>
      <c r="AE232" s="4">
        <f t="shared" si="190"/>
        <v>0.28393948637231203</v>
      </c>
      <c r="AF232" s="4">
        <f t="shared" si="190"/>
        <v>0.21097259161117732</v>
      </c>
      <c r="AG232" s="4">
        <f t="shared" si="190"/>
        <v>0.15253917653798199</v>
      </c>
      <c r="AH232" s="4">
        <f t="shared" si="190"/>
        <v>0.10795188737709993</v>
      </c>
      <c r="AI232" s="4">
        <f t="shared" si="190"/>
        <v>7.5176653938091809E-2</v>
      </c>
      <c r="AJ232" s="4">
        <f t="shared" si="190"/>
        <v>5.1742836177502194E-2</v>
      </c>
      <c r="AK232" s="4">
        <f t="shared" si="190"/>
        <v>3.5319190625345942E-2</v>
      </c>
      <c r="AL232" s="4">
        <f t="shared" si="190"/>
        <v>2.3969442072658165E-2</v>
      </c>
      <c r="AM232" s="4">
        <f t="shared" si="190"/>
        <v>1.6202243558389728E-2</v>
      </c>
      <c r="AN232" s="4">
        <f t="shared" si="190"/>
        <v>1.0922240564108399E-2</v>
      </c>
      <c r="AO232" s="4">
        <f t="shared" si="190"/>
        <v>7.3493212906090566E-3</v>
      </c>
      <c r="AP232" s="4">
        <f t="shared" si="190"/>
        <v>4.9390262185057265E-3</v>
      </c>
      <c r="AQ232" s="4">
        <f t="shared" si="190"/>
        <v>3.3164275492956197E-3</v>
      </c>
      <c r="AR232" s="4">
        <f t="shared" si="190"/>
        <v>2.2256362146679809E-3</v>
      </c>
    </row>
    <row r="233" spans="1:44" x14ac:dyDescent="0.3">
      <c r="A233" s="24" t="s">
        <v>59</v>
      </c>
      <c r="B233" s="47">
        <f>'Parameter Input'!$L$93</f>
        <v>25.563670588235297</v>
      </c>
      <c r="C233" s="48">
        <f>'Parameter Input'!$M$93</f>
        <v>25.563670588235297</v>
      </c>
      <c r="D233" s="1" t="s">
        <v>60</v>
      </c>
      <c r="L233" s="54">
        <f>'Parameter Input'!$O$93</f>
        <v>12</v>
      </c>
      <c r="M233" s="37">
        <v>0</v>
      </c>
      <c r="N233" s="37">
        <v>1</v>
      </c>
      <c r="O233" s="37">
        <f>'Parameter Input'!$P$93</f>
        <v>0.9</v>
      </c>
      <c r="P233" s="55">
        <f>'Parameter Input'!$Q$93</f>
        <v>0.4</v>
      </c>
      <c r="Q233" s="4">
        <f t="shared" si="190"/>
        <v>0.9867978615748374</v>
      </c>
      <c r="R233" s="4">
        <f t="shared" si="190"/>
        <v>0.98114509762858249</v>
      </c>
      <c r="S233" s="4">
        <f t="shared" si="190"/>
        <v>0.97311898315872036</v>
      </c>
      <c r="T233" s="4">
        <f t="shared" si="190"/>
        <v>0.96177484161592774</v>
      </c>
      <c r="U233" s="4">
        <f t="shared" si="190"/>
        <v>0.94584787155511363</v>
      </c>
      <c r="V233" s="4">
        <f t="shared" si="190"/>
        <v>0.92370360150141495</v>
      </c>
      <c r="W233" s="4">
        <f t="shared" si="190"/>
        <v>0.89334463567658451</v>
      </c>
      <c r="X233" s="4">
        <f t="shared" si="190"/>
        <v>0.85254543874327005</v>
      </c>
      <c r="Y233" s="4">
        <f t="shared" si="190"/>
        <v>0.79921300652623883</v>
      </c>
      <c r="Z233" s="4">
        <f t="shared" si="190"/>
        <v>0.73204982249993378</v>
      </c>
      <c r="AA233" s="4">
        <f t="shared" si="190"/>
        <v>0.65145592958786691</v>
      </c>
      <c r="AB233" s="4">
        <f t="shared" si="190"/>
        <v>0.56032247880849573</v>
      </c>
      <c r="AC233" s="4">
        <f t="shared" si="190"/>
        <v>0.46411326873185343</v>
      </c>
      <c r="AD233" s="4">
        <f t="shared" si="190"/>
        <v>0.36979727595523937</v>
      </c>
      <c r="AE233" s="4">
        <f t="shared" si="190"/>
        <v>0.28393948637231203</v>
      </c>
      <c r="AF233" s="4">
        <f t="shared" si="190"/>
        <v>0.21097259161117732</v>
      </c>
      <c r="AG233" s="4">
        <f t="shared" si="190"/>
        <v>0.15253917653798199</v>
      </c>
      <c r="AH233" s="4">
        <f t="shared" si="190"/>
        <v>0.10795188737709993</v>
      </c>
      <c r="AI233" s="4">
        <f t="shared" si="190"/>
        <v>7.5176653938091809E-2</v>
      </c>
      <c r="AJ233" s="4">
        <f t="shared" si="190"/>
        <v>5.1742836177502194E-2</v>
      </c>
      <c r="AK233" s="4">
        <f t="shared" si="190"/>
        <v>3.5319190625345942E-2</v>
      </c>
      <c r="AL233" s="4">
        <f t="shared" si="190"/>
        <v>2.3969442072658165E-2</v>
      </c>
      <c r="AM233" s="4">
        <f t="shared" si="190"/>
        <v>1.6202243558389728E-2</v>
      </c>
      <c r="AN233" s="4">
        <f t="shared" si="190"/>
        <v>1.0922240564108399E-2</v>
      </c>
      <c r="AO233" s="4">
        <f t="shared" si="190"/>
        <v>7.3493212906090566E-3</v>
      </c>
      <c r="AP233" s="4">
        <f t="shared" si="190"/>
        <v>4.9390262185057265E-3</v>
      </c>
      <c r="AQ233" s="4">
        <f t="shared" si="190"/>
        <v>3.3164275492956197E-3</v>
      </c>
      <c r="AR233" s="4">
        <f t="shared" si="190"/>
        <v>2.2256362146679809E-3</v>
      </c>
    </row>
    <row r="234" spans="1:44" x14ac:dyDescent="0.3">
      <c r="A234" s="24" t="s">
        <v>67</v>
      </c>
      <c r="B234" s="45">
        <f>'Parameter Input'!$L$94</f>
        <v>9.2586511082899101E-2</v>
      </c>
      <c r="C234" s="46">
        <f>'Parameter Input'!$M$94</f>
        <v>7.3304790352502799E-2</v>
      </c>
      <c r="D234" s="1" t="s">
        <v>68</v>
      </c>
      <c r="L234" s="54">
        <f>'Parameter Input'!$O$94</f>
        <v>12</v>
      </c>
      <c r="M234" s="37">
        <v>0</v>
      </c>
      <c r="N234" s="37">
        <v>1</v>
      </c>
      <c r="O234" s="37">
        <f>'Parameter Input'!$P$94</f>
        <v>0.9</v>
      </c>
      <c r="P234" s="55">
        <f>'Parameter Input'!$Q$94</f>
        <v>0.4</v>
      </c>
      <c r="Q234" s="4">
        <f t="shared" si="190"/>
        <v>0.9867978615748374</v>
      </c>
      <c r="R234" s="4">
        <f t="shared" si="190"/>
        <v>0.98114509762858249</v>
      </c>
      <c r="S234" s="4">
        <f t="shared" si="190"/>
        <v>0.97311898315872036</v>
      </c>
      <c r="T234" s="4">
        <f t="shared" ref="T234:AI241" si="191">$N234+($M234-$N234)*((1/(1+EXP(-$P234*(T$9-$L234)))^$O234))</f>
        <v>0.96177484161592774</v>
      </c>
      <c r="U234" s="4">
        <f t="shared" si="191"/>
        <v>0.94584787155511363</v>
      </c>
      <c r="V234" s="4">
        <f t="shared" si="191"/>
        <v>0.92370360150141495</v>
      </c>
      <c r="W234" s="4">
        <f t="shared" si="191"/>
        <v>0.89334463567658451</v>
      </c>
      <c r="X234" s="4">
        <f t="shared" si="191"/>
        <v>0.85254543874327005</v>
      </c>
      <c r="Y234" s="4">
        <f t="shared" si="191"/>
        <v>0.79921300652623883</v>
      </c>
      <c r="Z234" s="4">
        <f t="shared" si="191"/>
        <v>0.73204982249993378</v>
      </c>
      <c r="AA234" s="4">
        <f t="shared" si="191"/>
        <v>0.65145592958786691</v>
      </c>
      <c r="AB234" s="4">
        <f t="shared" si="191"/>
        <v>0.56032247880849573</v>
      </c>
      <c r="AC234" s="4">
        <f t="shared" si="191"/>
        <v>0.46411326873185343</v>
      </c>
      <c r="AD234" s="4">
        <f t="shared" si="191"/>
        <v>0.36979727595523937</v>
      </c>
      <c r="AE234" s="4">
        <f t="shared" si="191"/>
        <v>0.28393948637231203</v>
      </c>
      <c r="AF234" s="4">
        <f t="shared" si="191"/>
        <v>0.21097259161117732</v>
      </c>
      <c r="AG234" s="4">
        <f t="shared" si="191"/>
        <v>0.15253917653798199</v>
      </c>
      <c r="AH234" s="4">
        <f t="shared" si="191"/>
        <v>0.10795188737709993</v>
      </c>
      <c r="AI234" s="4">
        <f t="shared" si="191"/>
        <v>7.5176653938091809E-2</v>
      </c>
      <c r="AJ234" s="4">
        <f t="shared" ref="AJ234:AR241" si="192">$N234+($M234-$N234)*((1/(1+EXP(-$P234*(AJ$9-$L234)))^$O234))</f>
        <v>5.1742836177502194E-2</v>
      </c>
      <c r="AK234" s="4">
        <f t="shared" si="192"/>
        <v>3.5319190625345942E-2</v>
      </c>
      <c r="AL234" s="4">
        <f t="shared" si="192"/>
        <v>2.3969442072658165E-2</v>
      </c>
      <c r="AM234" s="4">
        <f t="shared" si="192"/>
        <v>1.6202243558389728E-2</v>
      </c>
      <c r="AN234" s="4">
        <f t="shared" si="192"/>
        <v>1.0922240564108399E-2</v>
      </c>
      <c r="AO234" s="4">
        <f t="shared" si="192"/>
        <v>7.3493212906090566E-3</v>
      </c>
      <c r="AP234" s="4">
        <f t="shared" si="192"/>
        <v>4.9390262185057265E-3</v>
      </c>
      <c r="AQ234" s="4">
        <f t="shared" si="192"/>
        <v>3.3164275492956197E-3</v>
      </c>
      <c r="AR234" s="4">
        <f t="shared" si="192"/>
        <v>2.2256362146679809E-3</v>
      </c>
    </row>
    <row r="235" spans="1:44" x14ac:dyDescent="0.3">
      <c r="A235" s="24" t="s">
        <v>206</v>
      </c>
      <c r="B235" s="115">
        <f>'Parameter Input'!$L$97</f>
        <v>5.9200079256965958E-2</v>
      </c>
      <c r="C235" s="116">
        <f>'Parameter Input'!$M$97</f>
        <v>0</v>
      </c>
      <c r="D235" s="1" t="s">
        <v>76</v>
      </c>
      <c r="L235" s="54">
        <f>'Parameter Input'!$O$97</f>
        <v>17</v>
      </c>
      <c r="M235" s="37">
        <v>0</v>
      </c>
      <c r="N235" s="37">
        <v>1</v>
      </c>
      <c r="O235" s="37">
        <f>'Parameter Input'!$P$97</f>
        <v>0.9</v>
      </c>
      <c r="P235" s="55">
        <f>'Parameter Input'!$Q$97</f>
        <v>0.4</v>
      </c>
      <c r="Q235" s="4">
        <f t="shared" ref="Q235:AR235" si="193">$N235+($M235-$N235)*((1/(1+EXP(-$P235*(Q$9-$L235)))^$O235))</f>
        <v>0.99780374543478534</v>
      </c>
      <c r="R235" s="4">
        <f t="shared" si="193"/>
        <v>0.99685359315256394</v>
      </c>
      <c r="S235" s="4">
        <f t="shared" si="193"/>
        <v>0.99549347132349975</v>
      </c>
      <c r="T235" s="4">
        <f t="shared" si="193"/>
        <v>0.99354772139898062</v>
      </c>
      <c r="U235" s="4">
        <f t="shared" si="193"/>
        <v>0.99076681540580536</v>
      </c>
      <c r="V235" s="4">
        <f t="shared" si="193"/>
        <v>0.9867978615748374</v>
      </c>
      <c r="W235" s="4">
        <f t="shared" si="193"/>
        <v>0.98114509762858249</v>
      </c>
      <c r="X235" s="4">
        <f t="shared" si="193"/>
        <v>0.97311898315872036</v>
      </c>
      <c r="Y235" s="4">
        <f t="shared" si="193"/>
        <v>0.96177484161592774</v>
      </c>
      <c r="Z235" s="4">
        <f t="shared" si="193"/>
        <v>0.94584787155511363</v>
      </c>
      <c r="AA235" s="4">
        <f t="shared" si="193"/>
        <v>0.92370360150141495</v>
      </c>
      <c r="AB235" s="4">
        <f t="shared" si="193"/>
        <v>0.89334463567658451</v>
      </c>
      <c r="AC235" s="4">
        <f t="shared" si="193"/>
        <v>0.85254543874327005</v>
      </c>
      <c r="AD235" s="4">
        <f t="shared" si="193"/>
        <v>0.79921300652623883</v>
      </c>
      <c r="AE235" s="4">
        <f t="shared" si="193"/>
        <v>0.73204982249993378</v>
      </c>
      <c r="AF235" s="4">
        <f t="shared" si="193"/>
        <v>0.65145592958786691</v>
      </c>
      <c r="AG235" s="4">
        <f t="shared" si="193"/>
        <v>0.56032247880849573</v>
      </c>
      <c r="AH235" s="4">
        <f t="shared" si="193"/>
        <v>0.46411326873185343</v>
      </c>
      <c r="AI235" s="4">
        <f t="shared" si="193"/>
        <v>0.36979727595523937</v>
      </c>
      <c r="AJ235" s="4">
        <f t="shared" si="193"/>
        <v>0.28393948637231203</v>
      </c>
      <c r="AK235" s="4">
        <f t="shared" si="193"/>
        <v>0.21097259161117732</v>
      </c>
      <c r="AL235" s="4">
        <f t="shared" si="193"/>
        <v>0.15253917653798199</v>
      </c>
      <c r="AM235" s="4">
        <f t="shared" si="193"/>
        <v>0.10795188737709993</v>
      </c>
      <c r="AN235" s="4">
        <f t="shared" si="193"/>
        <v>7.5176653938091809E-2</v>
      </c>
      <c r="AO235" s="4">
        <f t="shared" si="193"/>
        <v>5.1742836177502194E-2</v>
      </c>
      <c r="AP235" s="4">
        <f t="shared" si="193"/>
        <v>3.5319190625345942E-2</v>
      </c>
      <c r="AQ235" s="4">
        <f t="shared" si="193"/>
        <v>2.3969442072658165E-2</v>
      </c>
      <c r="AR235" s="4">
        <f t="shared" si="193"/>
        <v>1.6202243558389728E-2</v>
      </c>
    </row>
    <row r="236" spans="1:44" x14ac:dyDescent="0.3">
      <c r="A236" s="24" t="s">
        <v>41</v>
      </c>
      <c r="B236" s="43">
        <f>'Parameter Input'!$L$91</f>
        <v>20</v>
      </c>
      <c r="C236" s="44">
        <f>'Parameter Input'!$M$91</f>
        <v>20</v>
      </c>
      <c r="D236" s="1" t="s">
        <v>42</v>
      </c>
      <c r="L236" s="54">
        <f>'Parameter Input'!$O$91</f>
        <v>12</v>
      </c>
      <c r="M236" s="37">
        <v>0</v>
      </c>
      <c r="N236" s="37">
        <v>1</v>
      </c>
      <c r="O236" s="37">
        <f>'Parameter Input'!$P$91</f>
        <v>0.9</v>
      </c>
      <c r="P236" s="55">
        <f>'Parameter Input'!$Q$91</f>
        <v>0.4</v>
      </c>
      <c r="Q236" s="4">
        <f t="shared" ref="Q236:AF241" si="194">$N236+($M236-$N236)*((1/(1+EXP(-$P236*(Q$9-$L236)))^$O236))</f>
        <v>0.9867978615748374</v>
      </c>
      <c r="R236" s="4">
        <f t="shared" si="194"/>
        <v>0.98114509762858249</v>
      </c>
      <c r="S236" s="4">
        <f t="shared" si="194"/>
        <v>0.97311898315872036</v>
      </c>
      <c r="T236" s="4">
        <f t="shared" si="194"/>
        <v>0.96177484161592774</v>
      </c>
      <c r="U236" s="4">
        <f t="shared" si="194"/>
        <v>0.94584787155511363</v>
      </c>
      <c r="V236" s="4">
        <f t="shared" si="194"/>
        <v>0.92370360150141495</v>
      </c>
      <c r="W236" s="4">
        <f t="shared" si="194"/>
        <v>0.89334463567658451</v>
      </c>
      <c r="X236" s="4">
        <f t="shared" si="194"/>
        <v>0.85254543874327005</v>
      </c>
      <c r="Y236" s="4">
        <f t="shared" si="194"/>
        <v>0.79921300652623883</v>
      </c>
      <c r="Z236" s="4">
        <f t="shared" si="194"/>
        <v>0.73204982249993378</v>
      </c>
      <c r="AA236" s="4">
        <f t="shared" si="194"/>
        <v>0.65145592958786691</v>
      </c>
      <c r="AB236" s="4">
        <f t="shared" si="194"/>
        <v>0.56032247880849573</v>
      </c>
      <c r="AC236" s="4">
        <f t="shared" si="194"/>
        <v>0.46411326873185343</v>
      </c>
      <c r="AD236" s="4">
        <f t="shared" si="194"/>
        <v>0.36979727595523937</v>
      </c>
      <c r="AE236" s="4">
        <f t="shared" si="194"/>
        <v>0.28393948637231203</v>
      </c>
      <c r="AF236" s="4">
        <f t="shared" si="194"/>
        <v>0.21097259161117732</v>
      </c>
      <c r="AG236" s="4">
        <f t="shared" si="191"/>
        <v>0.15253917653798199</v>
      </c>
      <c r="AH236" s="4">
        <f t="shared" si="191"/>
        <v>0.10795188737709993</v>
      </c>
      <c r="AI236" s="4">
        <f t="shared" si="191"/>
        <v>7.5176653938091809E-2</v>
      </c>
      <c r="AJ236" s="4">
        <f t="shared" si="192"/>
        <v>5.1742836177502194E-2</v>
      </c>
      <c r="AK236" s="4">
        <f t="shared" si="192"/>
        <v>3.5319190625345942E-2</v>
      </c>
      <c r="AL236" s="4">
        <f t="shared" si="192"/>
        <v>2.3969442072658165E-2</v>
      </c>
      <c r="AM236" s="4">
        <f t="shared" si="192"/>
        <v>1.6202243558389728E-2</v>
      </c>
      <c r="AN236" s="4">
        <f t="shared" si="192"/>
        <v>1.0922240564108399E-2</v>
      </c>
      <c r="AO236" s="4">
        <f t="shared" si="192"/>
        <v>7.3493212906090566E-3</v>
      </c>
      <c r="AP236" s="4">
        <f t="shared" si="192"/>
        <v>4.9390262185057265E-3</v>
      </c>
      <c r="AQ236" s="4">
        <f t="shared" si="192"/>
        <v>3.3164275492956197E-3</v>
      </c>
      <c r="AR236" s="4">
        <f t="shared" si="192"/>
        <v>2.2256362146679809E-3</v>
      </c>
    </row>
    <row r="237" spans="1:44" x14ac:dyDescent="0.3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94"/>
        <v>0.9867978615748374</v>
      </c>
      <c r="R237" s="4">
        <f t="shared" si="194"/>
        <v>0.98114509762858249</v>
      </c>
      <c r="S237" s="4">
        <f t="shared" si="194"/>
        <v>0.97311898315872036</v>
      </c>
      <c r="T237" s="4">
        <f t="shared" si="194"/>
        <v>0.96177484161592774</v>
      </c>
      <c r="U237" s="4">
        <f t="shared" si="194"/>
        <v>0.94584787155511363</v>
      </c>
      <c r="V237" s="4">
        <f t="shared" si="194"/>
        <v>0.92370360150141495</v>
      </c>
      <c r="W237" s="4">
        <f t="shared" si="194"/>
        <v>0.89334463567658451</v>
      </c>
      <c r="X237" s="4">
        <f t="shared" si="194"/>
        <v>0.85254543874327005</v>
      </c>
      <c r="Y237" s="4">
        <f t="shared" si="194"/>
        <v>0.79921300652623883</v>
      </c>
      <c r="Z237" s="4">
        <f t="shared" si="194"/>
        <v>0.73204982249993378</v>
      </c>
      <c r="AA237" s="4">
        <f t="shared" si="194"/>
        <v>0.65145592958786691</v>
      </c>
      <c r="AB237" s="4">
        <f t="shared" si="194"/>
        <v>0.56032247880849573</v>
      </c>
      <c r="AC237" s="4">
        <f t="shared" si="194"/>
        <v>0.46411326873185343</v>
      </c>
      <c r="AD237" s="4">
        <f t="shared" si="194"/>
        <v>0.36979727595523937</v>
      </c>
      <c r="AE237" s="4">
        <f t="shared" si="194"/>
        <v>0.28393948637231203</v>
      </c>
      <c r="AF237" s="4">
        <f t="shared" si="194"/>
        <v>0.21097259161117732</v>
      </c>
      <c r="AG237" s="4">
        <f t="shared" si="191"/>
        <v>0.15253917653798199</v>
      </c>
      <c r="AH237" s="4">
        <f t="shared" si="191"/>
        <v>0.10795188737709993</v>
      </c>
      <c r="AI237" s="4">
        <f t="shared" si="191"/>
        <v>7.5176653938091809E-2</v>
      </c>
      <c r="AJ237" s="4">
        <f t="shared" si="192"/>
        <v>5.1742836177502194E-2</v>
      </c>
      <c r="AK237" s="4">
        <f t="shared" si="192"/>
        <v>3.5319190625345942E-2</v>
      </c>
      <c r="AL237" s="4">
        <f t="shared" si="192"/>
        <v>2.3969442072658165E-2</v>
      </c>
      <c r="AM237" s="4">
        <f t="shared" si="192"/>
        <v>1.6202243558389728E-2</v>
      </c>
      <c r="AN237" s="4">
        <f t="shared" si="192"/>
        <v>1.0922240564108399E-2</v>
      </c>
      <c r="AO237" s="4">
        <f t="shared" si="192"/>
        <v>7.3493212906090566E-3</v>
      </c>
      <c r="AP237" s="4">
        <f t="shared" si="192"/>
        <v>4.9390262185057265E-3</v>
      </c>
      <c r="AQ237" s="4">
        <f t="shared" si="192"/>
        <v>3.3164275492956197E-3</v>
      </c>
      <c r="AR237" s="4">
        <f t="shared" si="192"/>
        <v>2.2256362146679809E-3</v>
      </c>
    </row>
    <row r="238" spans="1:44" x14ac:dyDescent="0.3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94"/>
        <v>0.9867978615748374</v>
      </c>
      <c r="R238" s="4">
        <f t="shared" si="194"/>
        <v>0.98114509762858249</v>
      </c>
      <c r="S238" s="4">
        <f t="shared" si="194"/>
        <v>0.97311898315872036</v>
      </c>
      <c r="T238" s="4">
        <f t="shared" si="194"/>
        <v>0.96177484161592774</v>
      </c>
      <c r="U238" s="4">
        <f t="shared" si="194"/>
        <v>0.94584787155511363</v>
      </c>
      <c r="V238" s="4">
        <f t="shared" si="194"/>
        <v>0.92370360150141495</v>
      </c>
      <c r="W238" s="4">
        <f t="shared" si="194"/>
        <v>0.89334463567658451</v>
      </c>
      <c r="X238" s="4">
        <f t="shared" si="194"/>
        <v>0.85254543874327005</v>
      </c>
      <c r="Y238" s="4">
        <f t="shared" si="194"/>
        <v>0.79921300652623883</v>
      </c>
      <c r="Z238" s="4">
        <f t="shared" si="194"/>
        <v>0.73204982249993378</v>
      </c>
      <c r="AA238" s="4">
        <f t="shared" si="194"/>
        <v>0.65145592958786691</v>
      </c>
      <c r="AB238" s="4">
        <f t="shared" si="194"/>
        <v>0.56032247880849573</v>
      </c>
      <c r="AC238" s="4">
        <f t="shared" si="194"/>
        <v>0.46411326873185343</v>
      </c>
      <c r="AD238" s="4">
        <f t="shared" si="194"/>
        <v>0.36979727595523937</v>
      </c>
      <c r="AE238" s="4">
        <f t="shared" si="194"/>
        <v>0.28393948637231203</v>
      </c>
      <c r="AF238" s="4">
        <f t="shared" si="194"/>
        <v>0.21097259161117732</v>
      </c>
      <c r="AG238" s="4">
        <f t="shared" si="191"/>
        <v>0.15253917653798199</v>
      </c>
      <c r="AH238" s="4">
        <f t="shared" si="191"/>
        <v>0.10795188737709993</v>
      </c>
      <c r="AI238" s="4">
        <f t="shared" si="191"/>
        <v>7.5176653938091809E-2</v>
      </c>
      <c r="AJ238" s="4">
        <f t="shared" si="192"/>
        <v>5.1742836177502194E-2</v>
      </c>
      <c r="AK238" s="4">
        <f t="shared" si="192"/>
        <v>3.5319190625345942E-2</v>
      </c>
      <c r="AL238" s="4">
        <f t="shared" si="192"/>
        <v>2.3969442072658165E-2</v>
      </c>
      <c r="AM238" s="4">
        <f t="shared" si="192"/>
        <v>1.6202243558389728E-2</v>
      </c>
      <c r="AN238" s="4">
        <f t="shared" si="192"/>
        <v>1.0922240564108399E-2</v>
      </c>
      <c r="AO238" s="4">
        <f t="shared" si="192"/>
        <v>7.3493212906090566E-3</v>
      </c>
      <c r="AP238" s="4">
        <f t="shared" si="192"/>
        <v>4.9390262185057265E-3</v>
      </c>
      <c r="AQ238" s="4">
        <f t="shared" si="192"/>
        <v>3.3164275492956197E-3</v>
      </c>
      <c r="AR238" s="4">
        <f t="shared" si="192"/>
        <v>2.2256362146679809E-3</v>
      </c>
    </row>
    <row r="239" spans="1:44" x14ac:dyDescent="0.3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94"/>
        <v>0.9867978615748374</v>
      </c>
      <c r="R239" s="4">
        <f t="shared" si="194"/>
        <v>0.98114509762858249</v>
      </c>
      <c r="S239" s="4">
        <f t="shared" si="194"/>
        <v>0.97311898315872036</v>
      </c>
      <c r="T239" s="4">
        <f t="shared" si="194"/>
        <v>0.96177484161592774</v>
      </c>
      <c r="U239" s="4">
        <f t="shared" si="194"/>
        <v>0.94584787155511363</v>
      </c>
      <c r="V239" s="4">
        <f t="shared" si="194"/>
        <v>0.92370360150141495</v>
      </c>
      <c r="W239" s="4">
        <f t="shared" si="194"/>
        <v>0.89334463567658451</v>
      </c>
      <c r="X239" s="4">
        <f t="shared" si="194"/>
        <v>0.85254543874327005</v>
      </c>
      <c r="Y239" s="4">
        <f t="shared" si="194"/>
        <v>0.79921300652623883</v>
      </c>
      <c r="Z239" s="4">
        <f t="shared" si="194"/>
        <v>0.73204982249993378</v>
      </c>
      <c r="AA239" s="4">
        <f t="shared" si="194"/>
        <v>0.65145592958786691</v>
      </c>
      <c r="AB239" s="4">
        <f t="shared" si="194"/>
        <v>0.56032247880849573</v>
      </c>
      <c r="AC239" s="4">
        <f t="shared" si="194"/>
        <v>0.46411326873185343</v>
      </c>
      <c r="AD239" s="4">
        <f t="shared" si="194"/>
        <v>0.36979727595523937</v>
      </c>
      <c r="AE239" s="4">
        <f t="shared" si="194"/>
        <v>0.28393948637231203</v>
      </c>
      <c r="AF239" s="4">
        <f t="shared" si="194"/>
        <v>0.21097259161117732</v>
      </c>
      <c r="AG239" s="4">
        <f t="shared" si="191"/>
        <v>0.15253917653798199</v>
      </c>
      <c r="AH239" s="4">
        <f t="shared" si="191"/>
        <v>0.10795188737709993</v>
      </c>
      <c r="AI239" s="4">
        <f t="shared" si="191"/>
        <v>7.5176653938091809E-2</v>
      </c>
      <c r="AJ239" s="4">
        <f t="shared" si="192"/>
        <v>5.1742836177502194E-2</v>
      </c>
      <c r="AK239" s="4">
        <f t="shared" si="192"/>
        <v>3.5319190625345942E-2</v>
      </c>
      <c r="AL239" s="4">
        <f t="shared" si="192"/>
        <v>2.3969442072658165E-2</v>
      </c>
      <c r="AM239" s="4">
        <f t="shared" si="192"/>
        <v>1.6202243558389728E-2</v>
      </c>
      <c r="AN239" s="4">
        <f t="shared" si="192"/>
        <v>1.0922240564108399E-2</v>
      </c>
      <c r="AO239" s="4">
        <f t="shared" si="192"/>
        <v>7.3493212906090566E-3</v>
      </c>
      <c r="AP239" s="4">
        <f t="shared" si="192"/>
        <v>4.9390262185057265E-3</v>
      </c>
      <c r="AQ239" s="4">
        <f t="shared" si="192"/>
        <v>3.3164275492956197E-3</v>
      </c>
      <c r="AR239" s="4">
        <f t="shared" si="192"/>
        <v>2.2256362146679809E-3</v>
      </c>
    </row>
    <row r="240" spans="1:44" x14ac:dyDescent="0.3">
      <c r="A240" s="24" t="s">
        <v>73</v>
      </c>
      <c r="B240" s="72">
        <f>'Parameter Input'!$L$95</f>
        <v>0</v>
      </c>
      <c r="C240" s="73">
        <f>'Parameter Input'!$M$95</f>
        <v>0</v>
      </c>
      <c r="D240" s="1" t="s">
        <v>57</v>
      </c>
      <c r="L240" s="54">
        <f>'Parameter Input'!$O$95</f>
        <v>12</v>
      </c>
      <c r="M240" s="37">
        <v>0</v>
      </c>
      <c r="N240" s="37">
        <v>1</v>
      </c>
      <c r="O240" s="37">
        <f>'Parameter Input'!$P$95</f>
        <v>0.9</v>
      </c>
      <c r="P240" s="55">
        <f>'Parameter Input'!$Q$95</f>
        <v>0.4</v>
      </c>
      <c r="Q240" s="4">
        <f t="shared" si="194"/>
        <v>0.9867978615748374</v>
      </c>
      <c r="R240" s="4">
        <f t="shared" si="194"/>
        <v>0.98114509762858249</v>
      </c>
      <c r="S240" s="4">
        <f t="shared" si="194"/>
        <v>0.97311898315872036</v>
      </c>
      <c r="T240" s="4">
        <f t="shared" si="194"/>
        <v>0.96177484161592774</v>
      </c>
      <c r="U240" s="4">
        <f t="shared" si="194"/>
        <v>0.94584787155511363</v>
      </c>
      <c r="V240" s="4">
        <f t="shared" si="194"/>
        <v>0.92370360150141495</v>
      </c>
      <c r="W240" s="4">
        <f t="shared" si="194"/>
        <v>0.89334463567658451</v>
      </c>
      <c r="X240" s="4">
        <f t="shared" si="194"/>
        <v>0.85254543874327005</v>
      </c>
      <c r="Y240" s="4">
        <f t="shared" si="194"/>
        <v>0.79921300652623883</v>
      </c>
      <c r="Z240" s="4">
        <f t="shared" si="194"/>
        <v>0.73204982249993378</v>
      </c>
      <c r="AA240" s="4">
        <f t="shared" si="194"/>
        <v>0.65145592958786691</v>
      </c>
      <c r="AB240" s="4">
        <f t="shared" si="194"/>
        <v>0.56032247880849573</v>
      </c>
      <c r="AC240" s="4">
        <f t="shared" si="194"/>
        <v>0.46411326873185343</v>
      </c>
      <c r="AD240" s="4">
        <f t="shared" si="194"/>
        <v>0.36979727595523937</v>
      </c>
      <c r="AE240" s="4">
        <f t="shared" si="194"/>
        <v>0.28393948637231203</v>
      </c>
      <c r="AF240" s="4">
        <f t="shared" si="194"/>
        <v>0.21097259161117732</v>
      </c>
      <c r="AG240" s="4">
        <f t="shared" si="191"/>
        <v>0.15253917653798199</v>
      </c>
      <c r="AH240" s="4">
        <f t="shared" si="191"/>
        <v>0.10795188737709993</v>
      </c>
      <c r="AI240" s="4">
        <f t="shared" si="191"/>
        <v>7.5176653938091809E-2</v>
      </c>
      <c r="AJ240" s="4">
        <f t="shared" si="192"/>
        <v>5.1742836177502194E-2</v>
      </c>
      <c r="AK240" s="4">
        <f t="shared" si="192"/>
        <v>3.5319190625345942E-2</v>
      </c>
      <c r="AL240" s="4">
        <f t="shared" si="192"/>
        <v>2.3969442072658165E-2</v>
      </c>
      <c r="AM240" s="4">
        <f t="shared" si="192"/>
        <v>1.6202243558389728E-2</v>
      </c>
      <c r="AN240" s="4">
        <f t="shared" si="192"/>
        <v>1.0922240564108399E-2</v>
      </c>
      <c r="AO240" s="4">
        <f t="shared" si="192"/>
        <v>7.3493212906090566E-3</v>
      </c>
      <c r="AP240" s="4">
        <f t="shared" si="192"/>
        <v>4.9390262185057265E-3</v>
      </c>
      <c r="AQ240" s="4">
        <f t="shared" si="192"/>
        <v>3.3164275492956197E-3</v>
      </c>
      <c r="AR240" s="4">
        <f t="shared" si="192"/>
        <v>2.2256362146679809E-3</v>
      </c>
    </row>
    <row r="241" spans="1:44" ht="15" thickBot="1" x14ac:dyDescent="0.35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94"/>
        <v>0.9867978615748374</v>
      </c>
      <c r="R241" s="4">
        <f t="shared" si="194"/>
        <v>0.98114509762858249</v>
      </c>
      <c r="S241" s="4">
        <f t="shared" si="194"/>
        <v>0.97311898315872036</v>
      </c>
      <c r="T241" s="4">
        <f t="shared" si="194"/>
        <v>0.96177484161592774</v>
      </c>
      <c r="U241" s="4">
        <f t="shared" si="194"/>
        <v>0.94584787155511363</v>
      </c>
      <c r="V241" s="4">
        <f t="shared" si="194"/>
        <v>0.92370360150141495</v>
      </c>
      <c r="W241" s="4">
        <f t="shared" si="194"/>
        <v>0.89334463567658451</v>
      </c>
      <c r="X241" s="4">
        <f t="shared" si="194"/>
        <v>0.85254543874327005</v>
      </c>
      <c r="Y241" s="4">
        <f t="shared" si="194"/>
        <v>0.79921300652623883</v>
      </c>
      <c r="Z241" s="4">
        <f t="shared" si="194"/>
        <v>0.73204982249993378</v>
      </c>
      <c r="AA241" s="4">
        <f t="shared" si="194"/>
        <v>0.65145592958786691</v>
      </c>
      <c r="AB241" s="4">
        <f t="shared" si="194"/>
        <v>0.56032247880849573</v>
      </c>
      <c r="AC241" s="4">
        <f t="shared" si="194"/>
        <v>0.46411326873185343</v>
      </c>
      <c r="AD241" s="4">
        <f t="shared" si="194"/>
        <v>0.36979727595523937</v>
      </c>
      <c r="AE241" s="4">
        <f t="shared" si="194"/>
        <v>0.28393948637231203</v>
      </c>
      <c r="AF241" s="4">
        <f t="shared" si="194"/>
        <v>0.21097259161117732</v>
      </c>
      <c r="AG241" s="4">
        <f t="shared" si="191"/>
        <v>0.15253917653798199</v>
      </c>
      <c r="AH241" s="4">
        <f t="shared" si="191"/>
        <v>0.10795188737709993</v>
      </c>
      <c r="AI241" s="4">
        <f t="shared" si="191"/>
        <v>7.5176653938091809E-2</v>
      </c>
      <c r="AJ241" s="4">
        <f t="shared" si="192"/>
        <v>5.1742836177502194E-2</v>
      </c>
      <c r="AK241" s="4">
        <f t="shared" si="192"/>
        <v>3.5319190625345942E-2</v>
      </c>
      <c r="AL241" s="4">
        <f t="shared" si="192"/>
        <v>2.3969442072658165E-2</v>
      </c>
      <c r="AM241" s="4">
        <f t="shared" si="192"/>
        <v>1.6202243558389728E-2</v>
      </c>
      <c r="AN241" s="4">
        <f t="shared" si="192"/>
        <v>1.0922240564108399E-2</v>
      </c>
      <c r="AO241" s="4">
        <f t="shared" si="192"/>
        <v>7.3493212906090566E-3</v>
      </c>
      <c r="AP241" s="4">
        <f t="shared" si="192"/>
        <v>4.9390262185057265E-3</v>
      </c>
      <c r="AQ241" s="4">
        <f t="shared" si="192"/>
        <v>3.3164275492956197E-3</v>
      </c>
      <c r="AR241" s="4">
        <f t="shared" si="192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95">A225</f>
        <v>Capex vehicle</v>
      </c>
      <c r="B245" s="62">
        <f t="shared" ref="B245:B254" si="196">$B225+($C225-$B225)*(1-Q225)</f>
        <v>5000000</v>
      </c>
      <c r="C245" s="62">
        <f t="shared" ref="C245:C254" si="197">$B225+($C225-$B225)*(1-R225)</f>
        <v>5000000</v>
      </c>
      <c r="D245" s="62">
        <f t="shared" ref="D245:D254" si="198">$B225+($C225-$B225)*(1-S225)</f>
        <v>5000000</v>
      </c>
      <c r="E245" s="62">
        <f t="shared" ref="E245:E254" si="199">$B225+($C225-$B225)*(1-T225)</f>
        <v>5000000</v>
      </c>
      <c r="F245" s="62">
        <f t="shared" ref="F245:F254" si="200">$B225+($C225-$B225)*(1-U225)</f>
        <v>5000000</v>
      </c>
      <c r="G245" s="62">
        <f t="shared" ref="G245:G254" si="201">$B225+($C225-$B225)*(1-V225)</f>
        <v>5000000</v>
      </c>
      <c r="H245" s="62">
        <f t="shared" ref="H245:H254" si="202">$B225+($C225-$B225)*(1-W225)</f>
        <v>5000000</v>
      </c>
      <c r="I245" s="62">
        <f t="shared" ref="I245:I254" si="203">$B225+($C225-$B225)*(1-X225)</f>
        <v>5000000</v>
      </c>
      <c r="J245" s="62">
        <f t="shared" ref="J245:J254" si="204">$B225+($C225-$B225)*(1-Y225)</f>
        <v>5000000</v>
      </c>
      <c r="K245" s="62">
        <f t="shared" ref="K245:K254" si="205">$B225+($C225-$B225)*(1-Z225)</f>
        <v>5000000</v>
      </c>
      <c r="L245" s="62">
        <f t="shared" ref="L245:L254" si="206">$B225+($C225-$B225)*(1-AA225)</f>
        <v>5000000</v>
      </c>
      <c r="M245" s="62">
        <f t="shared" ref="M245:M254" si="207">$B225+($C225-$B225)*(1-AB225)</f>
        <v>5000000</v>
      </c>
      <c r="N245" s="62">
        <f t="shared" ref="N245:N254" si="208">$B225+($C225-$B225)*(1-AC225)</f>
        <v>5000000</v>
      </c>
      <c r="O245" s="62">
        <f t="shared" ref="O245:O254" si="209">$B225+($C225-$B225)*(1-AD225)</f>
        <v>5000000</v>
      </c>
      <c r="P245" s="62">
        <f t="shared" ref="P245:P254" si="210">$B225+($C225-$B225)*(1-AE225)</f>
        <v>5000000</v>
      </c>
      <c r="Q245" s="62">
        <f t="shared" ref="Q245:Q254" si="211">$B225+($C225-$B225)*(1-AF225)</f>
        <v>5000000</v>
      </c>
      <c r="R245" s="62">
        <f t="shared" ref="R245:R254" si="212">$B225+($C225-$B225)*(1-AG225)</f>
        <v>5000000</v>
      </c>
      <c r="S245" s="62">
        <f t="shared" ref="S245:S254" si="213">$B225+($C225-$B225)*(1-AH225)</f>
        <v>5000000</v>
      </c>
      <c r="T245" s="62">
        <f t="shared" ref="T245:T254" si="214">$B225+($C225-$B225)*(1-AI225)</f>
        <v>5000000</v>
      </c>
      <c r="U245" s="62">
        <f t="shared" ref="U245:U254" si="215">$B225+($C225-$B225)*(1-AJ225)</f>
        <v>5000000</v>
      </c>
      <c r="V245" s="62">
        <f t="shared" ref="V245:V254" si="216">$B225+($C225-$B225)*(1-AK225)</f>
        <v>5000000</v>
      </c>
      <c r="W245" s="62">
        <f t="shared" ref="W245:W254" si="217">$B225+($C225-$B225)*(1-AL225)</f>
        <v>5000000</v>
      </c>
      <c r="X245" s="62">
        <f t="shared" ref="X245:X254" si="218">$B225+($C225-$B225)*(1-AM225)</f>
        <v>5000000</v>
      </c>
      <c r="Y245" s="62">
        <f t="shared" ref="Y245:Y254" si="219">$B225+($C225-$B225)*(1-AN225)</f>
        <v>5000000</v>
      </c>
      <c r="Z245" s="62">
        <f t="shared" ref="Z245:Z254" si="220">$B225+($C225-$B225)*(1-AO225)</f>
        <v>5000000</v>
      </c>
      <c r="AA245" s="62">
        <f t="shared" ref="AA245:AA254" si="221">$B225+($C225-$B225)*(1-AP225)</f>
        <v>5000000</v>
      </c>
      <c r="AB245" s="62">
        <f t="shared" ref="AB245:AB254" si="222">$B225+($C225-$B225)*(1-AQ225)</f>
        <v>5000000</v>
      </c>
      <c r="AC245" s="62">
        <f t="shared" ref="AC245:AC254" si="223">$B225+($C225-$B225)*(1-AR225)</f>
        <v>5000000</v>
      </c>
    </row>
    <row r="246" spans="1:44" x14ac:dyDescent="0.3">
      <c r="A246" s="30" t="str">
        <f t="shared" si="195"/>
        <v>Residual value (vehicle)</v>
      </c>
      <c r="B246" s="62">
        <f t="shared" si="196"/>
        <v>-750000</v>
      </c>
      <c r="C246" s="62">
        <f t="shared" si="197"/>
        <v>-750000</v>
      </c>
      <c r="D246" s="62">
        <f t="shared" si="198"/>
        <v>-750000</v>
      </c>
      <c r="E246" s="62">
        <f t="shared" si="199"/>
        <v>-750000</v>
      </c>
      <c r="F246" s="62">
        <f t="shared" si="200"/>
        <v>-750000</v>
      </c>
      <c r="G246" s="62">
        <f t="shared" si="201"/>
        <v>-750000</v>
      </c>
      <c r="H246" s="62">
        <f t="shared" si="202"/>
        <v>-750000</v>
      </c>
      <c r="I246" s="62">
        <f t="shared" si="203"/>
        <v>-750000</v>
      </c>
      <c r="J246" s="62">
        <f t="shared" si="204"/>
        <v>-750000</v>
      </c>
      <c r="K246" s="62">
        <f t="shared" si="205"/>
        <v>-750000</v>
      </c>
      <c r="L246" s="62">
        <f t="shared" si="206"/>
        <v>-750000</v>
      </c>
      <c r="M246" s="62">
        <f t="shared" si="207"/>
        <v>-750000</v>
      </c>
      <c r="N246" s="62">
        <f t="shared" si="208"/>
        <v>-750000</v>
      </c>
      <c r="O246" s="62">
        <f t="shared" si="209"/>
        <v>-750000</v>
      </c>
      <c r="P246" s="62">
        <f t="shared" si="210"/>
        <v>-750000</v>
      </c>
      <c r="Q246" s="62">
        <f t="shared" si="211"/>
        <v>-750000</v>
      </c>
      <c r="R246" s="62">
        <f t="shared" si="212"/>
        <v>-750000</v>
      </c>
      <c r="S246" s="62">
        <f t="shared" si="213"/>
        <v>-750000</v>
      </c>
      <c r="T246" s="62">
        <f t="shared" si="214"/>
        <v>-750000</v>
      </c>
      <c r="U246" s="62">
        <f t="shared" si="215"/>
        <v>-750000</v>
      </c>
      <c r="V246" s="62">
        <f t="shared" si="216"/>
        <v>-750000</v>
      </c>
      <c r="W246" s="62">
        <f t="shared" si="217"/>
        <v>-750000</v>
      </c>
      <c r="X246" s="62">
        <f t="shared" si="218"/>
        <v>-750000</v>
      </c>
      <c r="Y246" s="62">
        <f t="shared" si="219"/>
        <v>-750000</v>
      </c>
      <c r="Z246" s="62">
        <f t="shared" si="220"/>
        <v>-750000</v>
      </c>
      <c r="AA246" s="62">
        <f t="shared" si="221"/>
        <v>-750000</v>
      </c>
      <c r="AB246" s="62">
        <f t="shared" si="222"/>
        <v>-750000</v>
      </c>
      <c r="AC246" s="62">
        <f t="shared" si="223"/>
        <v>-750000</v>
      </c>
    </row>
    <row r="247" spans="1:44" x14ac:dyDescent="0.3">
      <c r="A247" s="30" t="str">
        <f t="shared" si="195"/>
        <v>Capex costumization</v>
      </c>
      <c r="B247" s="62">
        <f t="shared" si="196"/>
        <v>2800000</v>
      </c>
      <c r="C247" s="62">
        <f t="shared" si="197"/>
        <v>2800000</v>
      </c>
      <c r="D247" s="62">
        <f t="shared" si="198"/>
        <v>2800000</v>
      </c>
      <c r="E247" s="62">
        <f t="shared" si="199"/>
        <v>2800000</v>
      </c>
      <c r="F247" s="62">
        <f t="shared" si="200"/>
        <v>2800000</v>
      </c>
      <c r="G247" s="62">
        <f t="shared" si="201"/>
        <v>2800000</v>
      </c>
      <c r="H247" s="62">
        <f t="shared" si="202"/>
        <v>2800000</v>
      </c>
      <c r="I247" s="62">
        <f t="shared" si="203"/>
        <v>2800000</v>
      </c>
      <c r="J247" s="62">
        <f t="shared" si="204"/>
        <v>2800000</v>
      </c>
      <c r="K247" s="62">
        <f t="shared" si="205"/>
        <v>2800000</v>
      </c>
      <c r="L247" s="62">
        <f t="shared" si="206"/>
        <v>2800000</v>
      </c>
      <c r="M247" s="62">
        <f t="shared" si="207"/>
        <v>2800000</v>
      </c>
      <c r="N247" s="62">
        <f t="shared" si="208"/>
        <v>2800000</v>
      </c>
      <c r="O247" s="62">
        <f t="shared" si="209"/>
        <v>2800000</v>
      </c>
      <c r="P247" s="62">
        <f t="shared" si="210"/>
        <v>2800000</v>
      </c>
      <c r="Q247" s="62">
        <f t="shared" si="211"/>
        <v>2800000</v>
      </c>
      <c r="R247" s="62">
        <f t="shared" si="212"/>
        <v>2800000</v>
      </c>
      <c r="S247" s="62">
        <f t="shared" si="213"/>
        <v>2800000</v>
      </c>
      <c r="T247" s="62">
        <f t="shared" si="214"/>
        <v>2800000</v>
      </c>
      <c r="U247" s="62">
        <f t="shared" si="215"/>
        <v>2800000</v>
      </c>
      <c r="V247" s="62">
        <f t="shared" si="216"/>
        <v>2800000</v>
      </c>
      <c r="W247" s="62">
        <f t="shared" si="217"/>
        <v>2800000</v>
      </c>
      <c r="X247" s="62">
        <f t="shared" si="218"/>
        <v>2800000</v>
      </c>
      <c r="Y247" s="62">
        <f t="shared" si="219"/>
        <v>2800000</v>
      </c>
      <c r="Z247" s="62">
        <f t="shared" si="220"/>
        <v>2800000</v>
      </c>
      <c r="AA247" s="62">
        <f t="shared" si="221"/>
        <v>2800000</v>
      </c>
      <c r="AB247" s="62">
        <f t="shared" si="222"/>
        <v>2800000</v>
      </c>
      <c r="AC247" s="62">
        <f t="shared" si="223"/>
        <v>2800000</v>
      </c>
    </row>
    <row r="248" spans="1:44" x14ac:dyDescent="0.3">
      <c r="A248" s="30" t="str">
        <f t="shared" si="195"/>
        <v>Residual value (costumization)</v>
      </c>
      <c r="B248" s="62">
        <f t="shared" si="196"/>
        <v>-140000</v>
      </c>
      <c r="C248" s="62">
        <f t="shared" si="197"/>
        <v>-140000</v>
      </c>
      <c r="D248" s="62">
        <f t="shared" si="198"/>
        <v>-140000</v>
      </c>
      <c r="E248" s="62">
        <f t="shared" si="199"/>
        <v>-140000</v>
      </c>
      <c r="F248" s="62">
        <f t="shared" si="200"/>
        <v>-140000</v>
      </c>
      <c r="G248" s="62">
        <f t="shared" si="201"/>
        <v>-140000</v>
      </c>
      <c r="H248" s="62">
        <f t="shared" si="202"/>
        <v>-140000</v>
      </c>
      <c r="I248" s="62">
        <f t="shared" si="203"/>
        <v>-140000</v>
      </c>
      <c r="J248" s="62">
        <f t="shared" si="204"/>
        <v>-140000</v>
      </c>
      <c r="K248" s="62">
        <f t="shared" si="205"/>
        <v>-140000</v>
      </c>
      <c r="L248" s="62">
        <f t="shared" si="206"/>
        <v>-140000</v>
      </c>
      <c r="M248" s="62">
        <f t="shared" si="207"/>
        <v>-140000</v>
      </c>
      <c r="N248" s="62">
        <f t="shared" si="208"/>
        <v>-140000</v>
      </c>
      <c r="O248" s="62">
        <f t="shared" si="209"/>
        <v>-140000</v>
      </c>
      <c r="P248" s="62">
        <f t="shared" si="210"/>
        <v>-140000</v>
      </c>
      <c r="Q248" s="62">
        <f t="shared" si="211"/>
        <v>-140000</v>
      </c>
      <c r="R248" s="62">
        <f t="shared" si="212"/>
        <v>-140000</v>
      </c>
      <c r="S248" s="62">
        <f t="shared" si="213"/>
        <v>-140000</v>
      </c>
      <c r="T248" s="62">
        <f t="shared" si="214"/>
        <v>-140000</v>
      </c>
      <c r="U248" s="62">
        <f t="shared" si="215"/>
        <v>-140000</v>
      </c>
      <c r="V248" s="62">
        <f t="shared" si="216"/>
        <v>-140000</v>
      </c>
      <c r="W248" s="62">
        <f t="shared" si="217"/>
        <v>-140000</v>
      </c>
      <c r="X248" s="62">
        <f t="shared" si="218"/>
        <v>-140000</v>
      </c>
      <c r="Y248" s="62">
        <f t="shared" si="219"/>
        <v>-140000</v>
      </c>
      <c r="Z248" s="62">
        <f t="shared" si="220"/>
        <v>-140000</v>
      </c>
      <c r="AA248" s="62">
        <f t="shared" si="221"/>
        <v>-140000</v>
      </c>
      <c r="AB248" s="62">
        <f t="shared" si="222"/>
        <v>-140000</v>
      </c>
      <c r="AC248" s="62">
        <f t="shared" si="223"/>
        <v>-140000</v>
      </c>
    </row>
    <row r="249" spans="1:44" x14ac:dyDescent="0.3">
      <c r="A249" s="30" t="str">
        <f t="shared" si="195"/>
        <v>WACC</v>
      </c>
      <c r="B249" s="62">
        <f t="shared" si="196"/>
        <v>0.06</v>
      </c>
      <c r="C249" s="62">
        <f t="shared" si="197"/>
        <v>0.06</v>
      </c>
      <c r="D249" s="62">
        <f t="shared" si="198"/>
        <v>0.06</v>
      </c>
      <c r="E249" s="62">
        <f t="shared" si="199"/>
        <v>0.06</v>
      </c>
      <c r="F249" s="62">
        <f t="shared" si="200"/>
        <v>0.06</v>
      </c>
      <c r="G249" s="62">
        <f t="shared" si="201"/>
        <v>0.06</v>
      </c>
      <c r="H249" s="62">
        <f t="shared" si="202"/>
        <v>0.06</v>
      </c>
      <c r="I249" s="62">
        <f t="shared" si="203"/>
        <v>0.06</v>
      </c>
      <c r="J249" s="62">
        <f t="shared" si="204"/>
        <v>0.06</v>
      </c>
      <c r="K249" s="62">
        <f t="shared" si="205"/>
        <v>0.06</v>
      </c>
      <c r="L249" s="62">
        <f t="shared" si="206"/>
        <v>0.06</v>
      </c>
      <c r="M249" s="62">
        <f t="shared" si="207"/>
        <v>0.06</v>
      </c>
      <c r="N249" s="62">
        <f t="shared" si="208"/>
        <v>0.06</v>
      </c>
      <c r="O249" s="62">
        <f t="shared" si="209"/>
        <v>0.06</v>
      </c>
      <c r="P249" s="62">
        <f t="shared" si="210"/>
        <v>0.06</v>
      </c>
      <c r="Q249" s="62">
        <f t="shared" si="211"/>
        <v>0.06</v>
      </c>
      <c r="R249" s="62">
        <f t="shared" si="212"/>
        <v>0.06</v>
      </c>
      <c r="S249" s="62">
        <f t="shared" si="213"/>
        <v>0.06</v>
      </c>
      <c r="T249" s="62">
        <f t="shared" si="214"/>
        <v>0.06</v>
      </c>
      <c r="U249" s="62">
        <f t="shared" si="215"/>
        <v>0.06</v>
      </c>
      <c r="V249" s="62">
        <f t="shared" si="216"/>
        <v>0.06</v>
      </c>
      <c r="W249" s="62">
        <f t="shared" si="217"/>
        <v>0.06</v>
      </c>
      <c r="X249" s="62">
        <f t="shared" si="218"/>
        <v>0.06</v>
      </c>
      <c r="Y249" s="62">
        <f t="shared" si="219"/>
        <v>0.06</v>
      </c>
      <c r="Z249" s="62">
        <f t="shared" si="220"/>
        <v>0.06</v>
      </c>
      <c r="AA249" s="62">
        <f t="shared" si="221"/>
        <v>0.06</v>
      </c>
      <c r="AB249" s="62">
        <f t="shared" si="222"/>
        <v>0.06</v>
      </c>
      <c r="AC249" s="62">
        <f t="shared" si="223"/>
        <v>0.06</v>
      </c>
    </row>
    <row r="250" spans="1:44" x14ac:dyDescent="0.3">
      <c r="A250" s="30" t="str">
        <f t="shared" si="195"/>
        <v>Opex fix (admin, crew, insurance)</v>
      </c>
      <c r="B250" s="62">
        <f t="shared" si="196"/>
        <v>610000</v>
      </c>
      <c r="C250" s="62">
        <f t="shared" si="197"/>
        <v>610000</v>
      </c>
      <c r="D250" s="62">
        <f t="shared" si="198"/>
        <v>610000</v>
      </c>
      <c r="E250" s="62">
        <f t="shared" si="199"/>
        <v>610000</v>
      </c>
      <c r="F250" s="62">
        <f t="shared" si="200"/>
        <v>610000</v>
      </c>
      <c r="G250" s="62">
        <f t="shared" si="201"/>
        <v>610000</v>
      </c>
      <c r="H250" s="62">
        <f t="shared" si="202"/>
        <v>610000</v>
      </c>
      <c r="I250" s="62">
        <f t="shared" si="203"/>
        <v>610000</v>
      </c>
      <c r="J250" s="62">
        <f t="shared" si="204"/>
        <v>610000</v>
      </c>
      <c r="K250" s="62">
        <f t="shared" si="205"/>
        <v>610000</v>
      </c>
      <c r="L250" s="62">
        <f t="shared" si="206"/>
        <v>610000</v>
      </c>
      <c r="M250" s="62">
        <f t="shared" si="207"/>
        <v>610000</v>
      </c>
      <c r="N250" s="62">
        <f t="shared" si="208"/>
        <v>610000</v>
      </c>
      <c r="O250" s="62">
        <f t="shared" si="209"/>
        <v>610000</v>
      </c>
      <c r="P250" s="62">
        <f t="shared" si="210"/>
        <v>610000</v>
      </c>
      <c r="Q250" s="62">
        <f t="shared" si="211"/>
        <v>610000</v>
      </c>
      <c r="R250" s="62">
        <f t="shared" si="212"/>
        <v>610000</v>
      </c>
      <c r="S250" s="62">
        <f t="shared" si="213"/>
        <v>610000</v>
      </c>
      <c r="T250" s="62">
        <f t="shared" si="214"/>
        <v>610000</v>
      </c>
      <c r="U250" s="62">
        <f t="shared" si="215"/>
        <v>610000</v>
      </c>
      <c r="V250" s="62">
        <f t="shared" si="216"/>
        <v>610000</v>
      </c>
      <c r="W250" s="62">
        <f t="shared" si="217"/>
        <v>610000</v>
      </c>
      <c r="X250" s="62">
        <f t="shared" si="218"/>
        <v>610000</v>
      </c>
      <c r="Y250" s="62">
        <f t="shared" si="219"/>
        <v>610000</v>
      </c>
      <c r="Z250" s="62">
        <f t="shared" si="220"/>
        <v>610000</v>
      </c>
      <c r="AA250" s="62">
        <f t="shared" si="221"/>
        <v>610000</v>
      </c>
      <c r="AB250" s="62">
        <f t="shared" si="222"/>
        <v>610000</v>
      </c>
      <c r="AC250" s="62">
        <f t="shared" si="223"/>
        <v>610000</v>
      </c>
    </row>
    <row r="251" spans="1:44" x14ac:dyDescent="0.3">
      <c r="A251" s="30" t="str">
        <f t="shared" si="195"/>
        <v>Opex maintenance &amp; repair</v>
      </c>
      <c r="B251" s="62">
        <f t="shared" si="196"/>
        <v>650000</v>
      </c>
      <c r="C251" s="62">
        <f t="shared" si="197"/>
        <v>650000</v>
      </c>
      <c r="D251" s="62">
        <f t="shared" si="198"/>
        <v>650000</v>
      </c>
      <c r="E251" s="62">
        <f t="shared" si="199"/>
        <v>650000</v>
      </c>
      <c r="F251" s="62">
        <f t="shared" si="200"/>
        <v>650000</v>
      </c>
      <c r="G251" s="62">
        <f t="shared" si="201"/>
        <v>650000</v>
      </c>
      <c r="H251" s="62">
        <f t="shared" si="202"/>
        <v>650000</v>
      </c>
      <c r="I251" s="62">
        <f t="shared" si="203"/>
        <v>650000</v>
      </c>
      <c r="J251" s="62">
        <f t="shared" si="204"/>
        <v>650000</v>
      </c>
      <c r="K251" s="62">
        <f t="shared" si="205"/>
        <v>650000</v>
      </c>
      <c r="L251" s="62">
        <f t="shared" si="206"/>
        <v>650000</v>
      </c>
      <c r="M251" s="62">
        <f t="shared" si="207"/>
        <v>650000</v>
      </c>
      <c r="N251" s="62">
        <f t="shared" si="208"/>
        <v>650000</v>
      </c>
      <c r="O251" s="62">
        <f t="shared" si="209"/>
        <v>650000</v>
      </c>
      <c r="P251" s="62">
        <f t="shared" si="210"/>
        <v>650000</v>
      </c>
      <c r="Q251" s="62">
        <f t="shared" si="211"/>
        <v>650000</v>
      </c>
      <c r="R251" s="62">
        <f t="shared" si="212"/>
        <v>650000</v>
      </c>
      <c r="S251" s="62">
        <f t="shared" si="213"/>
        <v>650000</v>
      </c>
      <c r="T251" s="62">
        <f t="shared" si="214"/>
        <v>650000</v>
      </c>
      <c r="U251" s="62">
        <f t="shared" si="215"/>
        <v>650000</v>
      </c>
      <c r="V251" s="62">
        <f t="shared" si="216"/>
        <v>650000</v>
      </c>
      <c r="W251" s="62">
        <f t="shared" si="217"/>
        <v>650000</v>
      </c>
      <c r="X251" s="62">
        <f t="shared" si="218"/>
        <v>650000</v>
      </c>
      <c r="Y251" s="62">
        <f t="shared" si="219"/>
        <v>650000</v>
      </c>
      <c r="Z251" s="62">
        <f t="shared" si="220"/>
        <v>650000</v>
      </c>
      <c r="AA251" s="62">
        <f t="shared" si="221"/>
        <v>650000</v>
      </c>
      <c r="AB251" s="62">
        <f t="shared" si="222"/>
        <v>650000</v>
      </c>
      <c r="AC251" s="62">
        <f t="shared" si="223"/>
        <v>650000</v>
      </c>
    </row>
    <row r="252" spans="1:44" x14ac:dyDescent="0.3">
      <c r="A252" s="30" t="str">
        <f t="shared" si="195"/>
        <v>Opex var (mode-fees, shunting)</v>
      </c>
      <c r="B252" s="62">
        <f t="shared" si="196"/>
        <v>3.6414565826330532</v>
      </c>
      <c r="C252" s="62">
        <f t="shared" si="197"/>
        <v>3.6414565826330532</v>
      </c>
      <c r="D252" s="62">
        <f t="shared" si="198"/>
        <v>3.6414565826330532</v>
      </c>
      <c r="E252" s="62">
        <f t="shared" si="199"/>
        <v>3.6414565826330532</v>
      </c>
      <c r="F252" s="62">
        <f t="shared" si="200"/>
        <v>3.6414565826330532</v>
      </c>
      <c r="G252" s="62">
        <f t="shared" si="201"/>
        <v>3.6414565826330532</v>
      </c>
      <c r="H252" s="62">
        <f t="shared" si="202"/>
        <v>3.6414565826330532</v>
      </c>
      <c r="I252" s="62">
        <f t="shared" si="203"/>
        <v>3.6414565826330532</v>
      </c>
      <c r="J252" s="62">
        <f t="shared" si="204"/>
        <v>3.6414565826330532</v>
      </c>
      <c r="K252" s="62">
        <f t="shared" si="205"/>
        <v>3.6414565826330532</v>
      </c>
      <c r="L252" s="62">
        <f t="shared" si="206"/>
        <v>3.6414565826330532</v>
      </c>
      <c r="M252" s="62">
        <f t="shared" si="207"/>
        <v>3.6414565826330532</v>
      </c>
      <c r="N252" s="62">
        <f t="shared" si="208"/>
        <v>3.6414565826330532</v>
      </c>
      <c r="O252" s="62">
        <f t="shared" si="209"/>
        <v>3.6414565826330532</v>
      </c>
      <c r="P252" s="62">
        <f t="shared" si="210"/>
        <v>3.6414565826330532</v>
      </c>
      <c r="Q252" s="62">
        <f t="shared" si="211"/>
        <v>3.6414565826330532</v>
      </c>
      <c r="R252" s="62">
        <f t="shared" si="212"/>
        <v>3.6414565826330532</v>
      </c>
      <c r="S252" s="62">
        <f t="shared" si="213"/>
        <v>3.6414565826330532</v>
      </c>
      <c r="T252" s="62">
        <f t="shared" si="214"/>
        <v>3.6414565826330532</v>
      </c>
      <c r="U252" s="62">
        <f t="shared" si="215"/>
        <v>3.6414565826330532</v>
      </c>
      <c r="V252" s="62">
        <f t="shared" si="216"/>
        <v>3.6414565826330532</v>
      </c>
      <c r="W252" s="62">
        <f t="shared" si="217"/>
        <v>3.6414565826330532</v>
      </c>
      <c r="X252" s="62">
        <f t="shared" si="218"/>
        <v>3.6414565826330532</v>
      </c>
      <c r="Y252" s="62">
        <f t="shared" si="219"/>
        <v>3.6414565826330532</v>
      </c>
      <c r="Z252" s="62">
        <f t="shared" si="220"/>
        <v>3.6414565826330532</v>
      </c>
      <c r="AA252" s="62">
        <f t="shared" si="221"/>
        <v>3.6414565826330532</v>
      </c>
      <c r="AB252" s="62">
        <f t="shared" si="222"/>
        <v>3.6414565826330532</v>
      </c>
      <c r="AC252" s="62">
        <f t="shared" si="223"/>
        <v>3.6414565826330532</v>
      </c>
    </row>
    <row r="253" spans="1:44" x14ac:dyDescent="0.3">
      <c r="A253" s="30" t="str">
        <f t="shared" si="195"/>
        <v>Fuel Economy</v>
      </c>
      <c r="B253" s="62">
        <f t="shared" si="196"/>
        <v>25.563670588235297</v>
      </c>
      <c r="C253" s="62">
        <f t="shared" si="197"/>
        <v>25.563670588235297</v>
      </c>
      <c r="D253" s="62">
        <f t="shared" si="198"/>
        <v>25.563670588235297</v>
      </c>
      <c r="E253" s="62">
        <f t="shared" si="199"/>
        <v>25.563670588235297</v>
      </c>
      <c r="F253" s="62">
        <f t="shared" si="200"/>
        <v>25.563670588235297</v>
      </c>
      <c r="G253" s="62">
        <f t="shared" si="201"/>
        <v>25.563670588235297</v>
      </c>
      <c r="H253" s="62">
        <f t="shared" si="202"/>
        <v>25.563670588235297</v>
      </c>
      <c r="I253" s="62">
        <f t="shared" si="203"/>
        <v>25.563670588235297</v>
      </c>
      <c r="J253" s="62">
        <f t="shared" si="204"/>
        <v>25.563670588235297</v>
      </c>
      <c r="K253" s="62">
        <f t="shared" si="205"/>
        <v>25.563670588235297</v>
      </c>
      <c r="L253" s="62">
        <f t="shared" si="206"/>
        <v>25.563670588235297</v>
      </c>
      <c r="M253" s="62">
        <f t="shared" si="207"/>
        <v>25.563670588235297</v>
      </c>
      <c r="N253" s="62">
        <f t="shared" si="208"/>
        <v>25.563670588235297</v>
      </c>
      <c r="O253" s="62">
        <f t="shared" si="209"/>
        <v>25.563670588235297</v>
      </c>
      <c r="P253" s="62">
        <f t="shared" si="210"/>
        <v>25.563670588235297</v>
      </c>
      <c r="Q253" s="62">
        <f t="shared" si="211"/>
        <v>25.563670588235297</v>
      </c>
      <c r="R253" s="62">
        <f t="shared" si="212"/>
        <v>25.563670588235297</v>
      </c>
      <c r="S253" s="62">
        <f t="shared" si="213"/>
        <v>25.563670588235297</v>
      </c>
      <c r="T253" s="62">
        <f t="shared" si="214"/>
        <v>25.563670588235297</v>
      </c>
      <c r="U253" s="62">
        <f t="shared" si="215"/>
        <v>25.563670588235297</v>
      </c>
      <c r="V253" s="62">
        <f t="shared" si="216"/>
        <v>25.563670588235297</v>
      </c>
      <c r="W253" s="62">
        <f t="shared" si="217"/>
        <v>25.563670588235297</v>
      </c>
      <c r="X253" s="62">
        <f t="shared" si="218"/>
        <v>25.563670588235297</v>
      </c>
      <c r="Y253" s="62">
        <f t="shared" si="219"/>
        <v>25.563670588235297</v>
      </c>
      <c r="Z253" s="62">
        <f t="shared" si="220"/>
        <v>25.563670588235297</v>
      </c>
      <c r="AA253" s="62">
        <f t="shared" si="221"/>
        <v>25.563670588235297</v>
      </c>
      <c r="AB253" s="62">
        <f t="shared" si="222"/>
        <v>25.563670588235297</v>
      </c>
      <c r="AC253" s="62">
        <f t="shared" si="223"/>
        <v>25.563670588235297</v>
      </c>
    </row>
    <row r="254" spans="1:44" x14ac:dyDescent="0.3">
      <c r="A254" s="30" t="str">
        <f t="shared" si="195"/>
        <v>Fuel Cost</v>
      </c>
      <c r="B254" s="62">
        <f t="shared" si="196"/>
        <v>9.2331951136741086E-2</v>
      </c>
      <c r="C254" s="62">
        <f t="shared" si="197"/>
        <v>9.2222956120974545E-2</v>
      </c>
      <c r="D254" s="62">
        <f t="shared" si="198"/>
        <v>9.2068198823216471E-2</v>
      </c>
      <c r="E254" s="62">
        <f t="shared" si="199"/>
        <v>9.1849464254062249E-2</v>
      </c>
      <c r="F254" s="62">
        <f t="shared" si="200"/>
        <v>9.1542364865268247E-2</v>
      </c>
      <c r="G254" s="62">
        <f t="shared" si="201"/>
        <v>9.1115385234314353E-2</v>
      </c>
      <c r="H254" s="62">
        <f t="shared" si="202"/>
        <v>9.0530012133616333E-2</v>
      </c>
      <c r="I254" s="62">
        <f t="shared" si="203"/>
        <v>8.9743333412323725E-2</v>
      </c>
      <c r="J254" s="62">
        <f t="shared" si="204"/>
        <v>8.8714992348442129E-2</v>
      </c>
      <c r="K254" s="62">
        <f t="shared" si="205"/>
        <v>8.7419970590682711E-2</v>
      </c>
      <c r="L254" s="62">
        <f t="shared" si="206"/>
        <v>8.5865981654976761E-2</v>
      </c>
      <c r="M254" s="62">
        <f t="shared" si="207"/>
        <v>8.4108771907851612E-2</v>
      </c>
      <c r="N254" s="62">
        <f t="shared" si="208"/>
        <v>8.2253692787461766E-2</v>
      </c>
      <c r="O254" s="62">
        <f t="shared" si="209"/>
        <v>8.0435118154333018E-2</v>
      </c>
      <c r="P254" s="62">
        <f t="shared" si="210"/>
        <v>7.8779632233065888E-2</v>
      </c>
      <c r="Q254" s="62">
        <f t="shared" si="211"/>
        <v>7.7372704945717463E-2</v>
      </c>
      <c r="R254" s="62">
        <f t="shared" si="212"/>
        <v>7.6246008154952791E-2</v>
      </c>
      <c r="S254" s="62">
        <f t="shared" si="213"/>
        <v>7.5386288497227227E-2</v>
      </c>
      <c r="T254" s="62">
        <f t="shared" si="214"/>
        <v>7.4754325599182742E-2</v>
      </c>
      <c r="U254" s="62">
        <f t="shared" si="215"/>
        <v>7.4302481269476042E-2</v>
      </c>
      <c r="V254" s="62">
        <f t="shared" si="216"/>
        <v>7.3985805122564349E-2</v>
      </c>
      <c r="W254" s="62">
        <f t="shared" si="217"/>
        <v>7.3766962440611206E-2</v>
      </c>
      <c r="X254" s="62">
        <f t="shared" si="218"/>
        <v>7.3617197488001537E-2</v>
      </c>
      <c r="Y254" s="62">
        <f t="shared" si="219"/>
        <v>7.3515389944810147E-2</v>
      </c>
      <c r="Z254" s="62">
        <f t="shared" si="220"/>
        <v>7.3446497913186276E-2</v>
      </c>
      <c r="AA254" s="62">
        <f t="shared" si="221"/>
        <v>7.3400023276728135E-2</v>
      </c>
      <c r="AB254" s="62">
        <f t="shared" si="222"/>
        <v>7.3368736782330912E-2</v>
      </c>
      <c r="AC254" s="62">
        <f t="shared" si="223"/>
        <v>7.3347704448441492E-2</v>
      </c>
    </row>
    <row r="255" spans="1:44" x14ac:dyDescent="0.3">
      <c r="A255" s="30" t="str">
        <f t="shared" ref="A255" si="224">A235</f>
        <v>Emission Cost</v>
      </c>
      <c r="B255" s="66">
        <f>$B235+($C235-$B235)*(1-Q235)</f>
        <v>5.9070060812636778E-2</v>
      </c>
      <c r="C255" s="66">
        <f t="shared" ref="C255" si="225">$B235+($C235-$B235)*(1-R235)</f>
        <v>5.9013811722223086E-2</v>
      </c>
      <c r="D255" s="66">
        <f t="shared" ref="D255" si="226">$B235+($C235-$B235)*(1-S235)</f>
        <v>5.8933292402143352E-2</v>
      </c>
      <c r="E255" s="66">
        <f t="shared" ref="E255" si="227">$B235+($C235-$B235)*(1-T235)</f>
        <v>5.8818103852397587E-2</v>
      </c>
      <c r="F255" s="66">
        <f t="shared" ref="F255" si="228">$B235+($C235-$B235)*(1-U235)</f>
        <v>5.8653473997195435E-2</v>
      </c>
      <c r="G255" s="66">
        <f t="shared" ref="G255" si="229">$B235+($C235-$B235)*(1-V235)</f>
        <v>5.8418511615834896E-2</v>
      </c>
      <c r="H255" s="66">
        <f t="shared" ref="H255" si="230">$B235+($C235-$B235)*(1-W235)</f>
        <v>5.8083867542195688E-2</v>
      </c>
      <c r="I255" s="66">
        <f t="shared" ref="I255" si="231">$B235+($C235-$B235)*(1-X235)</f>
        <v>5.760872092945437E-2</v>
      </c>
      <c r="J255" s="66">
        <f t="shared" ref="J255" si="232">$B235+($C235-$B235)*(1-Y235)</f>
        <v>5.6937146851018805E-2</v>
      </c>
      <c r="K255" s="66">
        <f t="shared" ref="K255" si="233">$B235+($C235-$B235)*(1-Z235)</f>
        <v>5.5994268961095287E-2</v>
      </c>
      <c r="L255" s="66">
        <f t="shared" ref="L255" si="234">$B235+($C235-$B235)*(1-AA235)</f>
        <v>5.4683326418828664E-2</v>
      </c>
      <c r="M255" s="66">
        <f t="shared" ref="M255" si="235">$B235+($C235-$B235)*(1-AB235)</f>
        <v>5.288607323583918E-2</v>
      </c>
      <c r="N255" s="66">
        <f t="shared" ref="N255" si="236">$B235+($C235-$B235)*(1-AC235)</f>
        <v>5.0470757543766405E-2</v>
      </c>
      <c r="O255" s="66">
        <f t="shared" ref="O255" si="237">$B235+($C235-$B235)*(1-AD235)</f>
        <v>4.7313473329551395E-2</v>
      </c>
      <c r="P255" s="66">
        <f t="shared" ref="P255" si="238">$B235+($C235-$B235)*(1-AE235)</f>
        <v>4.3337407512043943E-2</v>
      </c>
      <c r="Q255" s="66">
        <f t="shared" ref="Q255" si="239">$B235+($C235-$B235)*(1-AF235)</f>
        <v>3.8566242664022157E-2</v>
      </c>
      <c r="R255" s="66">
        <f t="shared" ref="R255" si="240">$B235+($C235-$B235)*(1-AG235)</f>
        <v>3.3171135154922579E-2</v>
      </c>
      <c r="S255" s="66">
        <f t="shared" ref="S255" si="241">$B235+($C235-$B235)*(1-AH235)</f>
        <v>2.7475542293135265E-2</v>
      </c>
      <c r="T255" s="66">
        <f t="shared" ref="T255" si="242">$B235+($C235-$B235)*(1-AI235)</f>
        <v>2.1892028045560286E-2</v>
      </c>
      <c r="U255" s="66">
        <f t="shared" ref="U255" si="243">$B235+($C235-$B235)*(1-AJ235)</f>
        <v>1.680924009742308E-2</v>
      </c>
      <c r="V255" s="66">
        <f t="shared" ref="V255" si="244">$B235+($C235-$B235)*(1-AK235)</f>
        <v>1.2489594144429211E-2</v>
      </c>
      <c r="W255" s="66">
        <f t="shared" ref="W255" si="245">$B235+($C235-$B235)*(1-AL235)</f>
        <v>9.0303313408408581E-3</v>
      </c>
      <c r="X255" s="66">
        <f t="shared" ref="X255" si="246">$B235+($C235-$B235)*(1-AM235)</f>
        <v>6.3907602886633802E-3</v>
      </c>
      <c r="Y255" s="66">
        <f t="shared" ref="Y255" si="247">$B235+($C235-$B235)*(1-AN235)</f>
        <v>4.4504638714085373E-3</v>
      </c>
      <c r="Z255" s="66">
        <f t="shared" ref="Z255" si="248">$B235+($C235-$B235)*(1-AO235)</f>
        <v>3.0631800026883343E-3</v>
      </c>
      <c r="AA255" s="66">
        <f t="shared" ref="AA255" si="249">$B235+($C235-$B235)*(1-AP235)</f>
        <v>2.0908988843123671E-3</v>
      </c>
      <c r="AB255" s="66">
        <f t="shared" ref="AB255" si="250">$B235+($C235-$B235)*(1-AQ235)</f>
        <v>1.4189928704466184E-3</v>
      </c>
      <c r="AC255" s="66">
        <f t="shared" ref="AC255" si="251">$B235+($C235-$B235)*(1-AR235)</f>
        <v>9.5917410279734022E-4</v>
      </c>
    </row>
    <row r="256" spans="1:44" x14ac:dyDescent="0.3">
      <c r="A256" s="30" t="str">
        <f>A236</f>
        <v>Lifetime vehicle</v>
      </c>
      <c r="B256" s="62">
        <f>$B236+($C236-$B236)*(1-Q236)</f>
        <v>20</v>
      </c>
      <c r="C256" s="62">
        <f t="shared" ref="C256:L258" si="252">$B236+($C236-$B236)*(1-R236)</f>
        <v>20</v>
      </c>
      <c r="D256" s="62">
        <f t="shared" si="252"/>
        <v>20</v>
      </c>
      <c r="E256" s="62">
        <f t="shared" si="252"/>
        <v>20</v>
      </c>
      <c r="F256" s="62">
        <f t="shared" si="252"/>
        <v>20</v>
      </c>
      <c r="G256" s="62">
        <f t="shared" si="252"/>
        <v>20</v>
      </c>
      <c r="H256" s="62">
        <f t="shared" si="252"/>
        <v>20</v>
      </c>
      <c r="I256" s="62">
        <f t="shared" si="252"/>
        <v>20</v>
      </c>
      <c r="J256" s="62">
        <f t="shared" si="252"/>
        <v>20</v>
      </c>
      <c r="K256" s="62">
        <f t="shared" si="252"/>
        <v>20</v>
      </c>
      <c r="L256" s="62">
        <f t="shared" si="252"/>
        <v>20</v>
      </c>
      <c r="M256" s="62">
        <f t="shared" ref="M256:V258" si="253">$B236+($C236-$B236)*(1-AB236)</f>
        <v>20</v>
      </c>
      <c r="N256" s="62">
        <f t="shared" si="253"/>
        <v>20</v>
      </c>
      <c r="O256" s="62">
        <f t="shared" si="253"/>
        <v>20</v>
      </c>
      <c r="P256" s="62">
        <f t="shared" si="253"/>
        <v>20</v>
      </c>
      <c r="Q256" s="62">
        <f t="shared" si="253"/>
        <v>20</v>
      </c>
      <c r="R256" s="62">
        <f t="shared" si="253"/>
        <v>20</v>
      </c>
      <c r="S256" s="62">
        <f t="shared" si="253"/>
        <v>20</v>
      </c>
      <c r="T256" s="62">
        <f t="shared" si="253"/>
        <v>20</v>
      </c>
      <c r="U256" s="62">
        <f t="shared" si="253"/>
        <v>20</v>
      </c>
      <c r="V256" s="62">
        <f t="shared" si="253"/>
        <v>20</v>
      </c>
      <c r="W256" s="62">
        <f t="shared" ref="W256:AC258" si="254">$B236+($C236-$B236)*(1-AL236)</f>
        <v>20</v>
      </c>
      <c r="X256" s="62">
        <f t="shared" si="254"/>
        <v>20</v>
      </c>
      <c r="Y256" s="62">
        <f t="shared" si="254"/>
        <v>20</v>
      </c>
      <c r="Z256" s="62">
        <f t="shared" si="254"/>
        <v>20</v>
      </c>
      <c r="AA256" s="62">
        <f t="shared" si="254"/>
        <v>20</v>
      </c>
      <c r="AB256" s="62">
        <f t="shared" si="254"/>
        <v>20</v>
      </c>
      <c r="AC256" s="62">
        <f t="shared" si="254"/>
        <v>20</v>
      </c>
    </row>
    <row r="257" spans="1:29" x14ac:dyDescent="0.3">
      <c r="A257" s="30" t="str">
        <f>A237</f>
        <v>Lifetime costumization</v>
      </c>
      <c r="B257" s="62">
        <f>$B237+($C237-$B237)*(1-Q237)</f>
        <v>30</v>
      </c>
      <c r="C257" s="62">
        <f t="shared" si="252"/>
        <v>30</v>
      </c>
      <c r="D257" s="62">
        <f t="shared" si="252"/>
        <v>30</v>
      </c>
      <c r="E257" s="62">
        <f t="shared" si="252"/>
        <v>30</v>
      </c>
      <c r="F257" s="62">
        <f t="shared" si="252"/>
        <v>30</v>
      </c>
      <c r="G257" s="62">
        <f t="shared" si="252"/>
        <v>30</v>
      </c>
      <c r="H257" s="62">
        <f t="shared" si="252"/>
        <v>30</v>
      </c>
      <c r="I257" s="62">
        <f t="shared" si="252"/>
        <v>30</v>
      </c>
      <c r="J257" s="62">
        <f t="shared" si="252"/>
        <v>30</v>
      </c>
      <c r="K257" s="62">
        <f t="shared" si="252"/>
        <v>30</v>
      </c>
      <c r="L257" s="62">
        <f t="shared" si="252"/>
        <v>30</v>
      </c>
      <c r="M257" s="62">
        <f t="shared" si="253"/>
        <v>30</v>
      </c>
      <c r="N257" s="62">
        <f t="shared" si="253"/>
        <v>30</v>
      </c>
      <c r="O257" s="62">
        <f t="shared" si="253"/>
        <v>30</v>
      </c>
      <c r="P257" s="62">
        <f t="shared" si="253"/>
        <v>30</v>
      </c>
      <c r="Q257" s="62">
        <f t="shared" si="253"/>
        <v>30</v>
      </c>
      <c r="R257" s="62">
        <f t="shared" si="253"/>
        <v>30</v>
      </c>
      <c r="S257" s="62">
        <f t="shared" si="253"/>
        <v>30</v>
      </c>
      <c r="T257" s="62">
        <f t="shared" si="253"/>
        <v>30</v>
      </c>
      <c r="U257" s="62">
        <f t="shared" si="253"/>
        <v>30</v>
      </c>
      <c r="V257" s="62">
        <f t="shared" si="253"/>
        <v>30</v>
      </c>
      <c r="W257" s="62">
        <f t="shared" si="254"/>
        <v>30</v>
      </c>
      <c r="X257" s="62">
        <f t="shared" si="254"/>
        <v>30</v>
      </c>
      <c r="Y257" s="62">
        <f t="shared" si="254"/>
        <v>30</v>
      </c>
      <c r="Z257" s="62">
        <f t="shared" si="254"/>
        <v>30</v>
      </c>
      <c r="AA257" s="62">
        <f t="shared" si="254"/>
        <v>30</v>
      </c>
      <c r="AB257" s="62">
        <f t="shared" si="254"/>
        <v>30</v>
      </c>
      <c r="AC257" s="62">
        <f t="shared" si="254"/>
        <v>30</v>
      </c>
    </row>
    <row r="258" spans="1:29" x14ac:dyDescent="0.3">
      <c r="A258" s="30" t="str">
        <f>A238</f>
        <v>Tonnage .</v>
      </c>
      <c r="B258" s="62">
        <f>$B238+($C238-$B238)*(1-Q238)</f>
        <v>2240</v>
      </c>
      <c r="C258" s="62">
        <f t="shared" si="252"/>
        <v>2240</v>
      </c>
      <c r="D258" s="62">
        <f t="shared" si="252"/>
        <v>2240</v>
      </c>
      <c r="E258" s="62">
        <f t="shared" si="252"/>
        <v>2240</v>
      </c>
      <c r="F258" s="62">
        <f t="shared" si="252"/>
        <v>2240</v>
      </c>
      <c r="G258" s="62">
        <f t="shared" si="252"/>
        <v>2240</v>
      </c>
      <c r="H258" s="62">
        <f t="shared" si="252"/>
        <v>2240</v>
      </c>
      <c r="I258" s="62">
        <f t="shared" si="252"/>
        <v>2240</v>
      </c>
      <c r="J258" s="62">
        <f t="shared" si="252"/>
        <v>2240</v>
      </c>
      <c r="K258" s="62">
        <f t="shared" si="252"/>
        <v>2240</v>
      </c>
      <c r="L258" s="62">
        <f t="shared" si="252"/>
        <v>2240</v>
      </c>
      <c r="M258" s="62">
        <f t="shared" si="253"/>
        <v>2240</v>
      </c>
      <c r="N258" s="62">
        <f t="shared" si="253"/>
        <v>2240</v>
      </c>
      <c r="O258" s="62">
        <f t="shared" si="253"/>
        <v>2240</v>
      </c>
      <c r="P258" s="62">
        <f t="shared" si="253"/>
        <v>2240</v>
      </c>
      <c r="Q258" s="62">
        <f t="shared" si="253"/>
        <v>2240</v>
      </c>
      <c r="R258" s="62">
        <f t="shared" si="253"/>
        <v>2240</v>
      </c>
      <c r="S258" s="62">
        <f t="shared" si="253"/>
        <v>2240</v>
      </c>
      <c r="T258" s="62">
        <f t="shared" si="253"/>
        <v>2240</v>
      </c>
      <c r="U258" s="62">
        <f t="shared" si="253"/>
        <v>2240</v>
      </c>
      <c r="V258" s="62">
        <f t="shared" si="253"/>
        <v>2240</v>
      </c>
      <c r="W258" s="62">
        <f t="shared" si="254"/>
        <v>2240</v>
      </c>
      <c r="X258" s="62">
        <f t="shared" si="254"/>
        <v>2240</v>
      </c>
      <c r="Y258" s="62">
        <f t="shared" si="254"/>
        <v>2240</v>
      </c>
      <c r="Z258" s="62">
        <f t="shared" si="254"/>
        <v>2240</v>
      </c>
      <c r="AA258" s="62">
        <f t="shared" si="254"/>
        <v>2240</v>
      </c>
      <c r="AB258" s="62">
        <f t="shared" si="254"/>
        <v>2240</v>
      </c>
      <c r="AC258" s="62">
        <f t="shared" si="254"/>
        <v>2240</v>
      </c>
    </row>
    <row r="259" spans="1:29" x14ac:dyDescent="0.3">
      <c r="A259" s="30" t="str">
        <f>A239</f>
        <v>Market failure (av. utilization)</v>
      </c>
      <c r="B259" s="62">
        <f t="shared" ref="B259:K260" si="255">($B239+($C239-$B239)*(1-Q239))*B$44</f>
        <v>716.80000000000007</v>
      </c>
      <c r="C259" s="62">
        <f t="shared" si="255"/>
        <v>716.80000000000007</v>
      </c>
      <c r="D259" s="62">
        <f t="shared" si="255"/>
        <v>716.80000000000007</v>
      </c>
      <c r="E259" s="62">
        <f t="shared" si="255"/>
        <v>716.80000000000007</v>
      </c>
      <c r="F259" s="62">
        <f t="shared" si="255"/>
        <v>716.80000000000007</v>
      </c>
      <c r="G259" s="62">
        <f t="shared" si="255"/>
        <v>716.80000000000007</v>
      </c>
      <c r="H259" s="62">
        <f t="shared" si="255"/>
        <v>716.80000000000007</v>
      </c>
      <c r="I259" s="62">
        <f t="shared" si="255"/>
        <v>716.80000000000007</v>
      </c>
      <c r="J259" s="62">
        <f t="shared" si="255"/>
        <v>716.80000000000007</v>
      </c>
      <c r="K259" s="62">
        <f t="shared" si="255"/>
        <v>716.80000000000007</v>
      </c>
      <c r="L259" s="62">
        <f t="shared" ref="L259:U260" si="256">($B239+($C239-$B239)*(1-AA239))*L$44</f>
        <v>716.80000000000007</v>
      </c>
      <c r="M259" s="62">
        <f t="shared" si="256"/>
        <v>716.80000000000007</v>
      </c>
      <c r="N259" s="62">
        <f t="shared" si="256"/>
        <v>716.80000000000007</v>
      </c>
      <c r="O259" s="62">
        <f t="shared" si="256"/>
        <v>716.80000000000007</v>
      </c>
      <c r="P259" s="62">
        <f t="shared" si="256"/>
        <v>716.80000000000007</v>
      </c>
      <c r="Q259" s="62">
        <f t="shared" si="256"/>
        <v>716.80000000000007</v>
      </c>
      <c r="R259" s="62">
        <f t="shared" si="256"/>
        <v>716.80000000000007</v>
      </c>
      <c r="S259" s="62">
        <f t="shared" si="256"/>
        <v>716.80000000000007</v>
      </c>
      <c r="T259" s="62">
        <f t="shared" si="256"/>
        <v>716.80000000000007</v>
      </c>
      <c r="U259" s="62">
        <f t="shared" si="256"/>
        <v>716.80000000000007</v>
      </c>
      <c r="V259" s="62">
        <f t="shared" ref="V259:AC260" si="257">($B239+($C239-$B239)*(1-AK239))*V$44</f>
        <v>716.80000000000007</v>
      </c>
      <c r="W259" s="62">
        <f t="shared" si="257"/>
        <v>716.80000000000007</v>
      </c>
      <c r="X259" s="62">
        <f t="shared" si="257"/>
        <v>716.80000000000007</v>
      </c>
      <c r="Y259" s="62">
        <f t="shared" si="257"/>
        <v>716.80000000000007</v>
      </c>
      <c r="Z259" s="62">
        <f t="shared" si="257"/>
        <v>716.80000000000007</v>
      </c>
      <c r="AA259" s="62">
        <f t="shared" si="257"/>
        <v>716.80000000000007</v>
      </c>
      <c r="AB259" s="62">
        <f t="shared" si="257"/>
        <v>716.80000000000007</v>
      </c>
      <c r="AC259" s="62">
        <f t="shared" si="257"/>
        <v>716.80000000000007</v>
      </c>
    </row>
    <row r="260" spans="1:29" x14ac:dyDescent="0.3">
      <c r="A260" s="30" t="s">
        <v>73</v>
      </c>
      <c r="B260" s="62">
        <f t="shared" si="255"/>
        <v>0</v>
      </c>
      <c r="C260" s="62">
        <f t="shared" si="255"/>
        <v>0</v>
      </c>
      <c r="D260" s="62">
        <f t="shared" si="255"/>
        <v>0</v>
      </c>
      <c r="E260" s="62">
        <f t="shared" si="255"/>
        <v>0</v>
      </c>
      <c r="F260" s="62">
        <f t="shared" si="255"/>
        <v>0</v>
      </c>
      <c r="G260" s="62">
        <f t="shared" si="255"/>
        <v>0</v>
      </c>
      <c r="H260" s="62">
        <f t="shared" si="255"/>
        <v>0</v>
      </c>
      <c r="I260" s="62">
        <f t="shared" si="255"/>
        <v>0</v>
      </c>
      <c r="J260" s="62">
        <f t="shared" si="255"/>
        <v>0</v>
      </c>
      <c r="K260" s="62">
        <f t="shared" si="255"/>
        <v>0</v>
      </c>
      <c r="L260" s="62">
        <f t="shared" si="256"/>
        <v>0</v>
      </c>
      <c r="M260" s="62">
        <f t="shared" si="256"/>
        <v>0</v>
      </c>
      <c r="N260" s="62">
        <f t="shared" si="256"/>
        <v>0</v>
      </c>
      <c r="O260" s="62">
        <f t="shared" si="256"/>
        <v>0</v>
      </c>
      <c r="P260" s="62">
        <f t="shared" si="256"/>
        <v>0</v>
      </c>
      <c r="Q260" s="62">
        <f t="shared" si="256"/>
        <v>0</v>
      </c>
      <c r="R260" s="62">
        <f t="shared" si="256"/>
        <v>0</v>
      </c>
      <c r="S260" s="62">
        <f t="shared" si="256"/>
        <v>0</v>
      </c>
      <c r="T260" s="62">
        <f t="shared" si="256"/>
        <v>0</v>
      </c>
      <c r="U260" s="62">
        <f t="shared" si="256"/>
        <v>0</v>
      </c>
      <c r="V260" s="62">
        <f t="shared" si="257"/>
        <v>0</v>
      </c>
      <c r="W260" s="62">
        <f t="shared" si="257"/>
        <v>0</v>
      </c>
      <c r="X260" s="62">
        <f t="shared" si="257"/>
        <v>0</v>
      </c>
      <c r="Y260" s="62">
        <f t="shared" si="257"/>
        <v>0</v>
      </c>
      <c r="Z260" s="62">
        <f t="shared" si="257"/>
        <v>0</v>
      </c>
      <c r="AA260" s="62">
        <f t="shared" si="257"/>
        <v>0</v>
      </c>
      <c r="AB260" s="62">
        <f t="shared" si="257"/>
        <v>0</v>
      </c>
      <c r="AC260" s="62">
        <f t="shared" si="257"/>
        <v>0</v>
      </c>
    </row>
    <row r="261" spans="1:29" x14ac:dyDescent="0.3">
      <c r="A261" s="30" t="str">
        <f>A241</f>
        <v>Annual Mileage</v>
      </c>
      <c r="B261" s="62">
        <f t="shared" ref="B261:AC261" si="258">$B241+($C241-$B241)*(1-Q241)</f>
        <v>178500</v>
      </c>
      <c r="C261" s="62">
        <f t="shared" si="258"/>
        <v>178500</v>
      </c>
      <c r="D261" s="62">
        <f t="shared" si="258"/>
        <v>178500</v>
      </c>
      <c r="E261" s="62">
        <f t="shared" si="258"/>
        <v>178500</v>
      </c>
      <c r="F261" s="62">
        <f t="shared" si="258"/>
        <v>178500</v>
      </c>
      <c r="G261" s="62">
        <f t="shared" si="258"/>
        <v>178500</v>
      </c>
      <c r="H261" s="62">
        <f t="shared" si="258"/>
        <v>178500</v>
      </c>
      <c r="I261" s="62">
        <f t="shared" si="258"/>
        <v>178500</v>
      </c>
      <c r="J261" s="62">
        <f t="shared" si="258"/>
        <v>178500</v>
      </c>
      <c r="K261" s="62">
        <f t="shared" si="258"/>
        <v>178500</v>
      </c>
      <c r="L261" s="62">
        <f t="shared" si="258"/>
        <v>178500</v>
      </c>
      <c r="M261" s="62">
        <f t="shared" si="258"/>
        <v>178500</v>
      </c>
      <c r="N261" s="62">
        <f t="shared" si="258"/>
        <v>178500</v>
      </c>
      <c r="O261" s="62">
        <f t="shared" si="258"/>
        <v>178500</v>
      </c>
      <c r="P261" s="62">
        <f t="shared" si="258"/>
        <v>178500</v>
      </c>
      <c r="Q261" s="62">
        <f t="shared" si="258"/>
        <v>178500</v>
      </c>
      <c r="R261" s="62">
        <f t="shared" si="258"/>
        <v>178500</v>
      </c>
      <c r="S261" s="62">
        <f t="shared" si="258"/>
        <v>178500</v>
      </c>
      <c r="T261" s="62">
        <f t="shared" si="258"/>
        <v>178500</v>
      </c>
      <c r="U261" s="62">
        <f t="shared" si="258"/>
        <v>178500</v>
      </c>
      <c r="V261" s="62">
        <f t="shared" si="258"/>
        <v>178500</v>
      </c>
      <c r="W261" s="62">
        <f t="shared" si="258"/>
        <v>178500</v>
      </c>
      <c r="X261" s="62">
        <f t="shared" si="258"/>
        <v>178500</v>
      </c>
      <c r="Y261" s="62">
        <f t="shared" si="258"/>
        <v>178500</v>
      </c>
      <c r="Z261" s="62">
        <f t="shared" si="258"/>
        <v>178500</v>
      </c>
      <c r="AA261" s="62">
        <f t="shared" si="258"/>
        <v>178500</v>
      </c>
      <c r="AB261" s="62">
        <f t="shared" si="258"/>
        <v>178500</v>
      </c>
      <c r="AC261" s="62">
        <f t="shared" si="258"/>
        <v>178500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435922.78488425701</v>
      </c>
      <c r="C264" s="63">
        <f t="shared" ref="C264:AC264" si="259">((1+C249)^C256)*C249/(((1+C249)^C256)-1)*(C245)</f>
        <v>435922.78488425701</v>
      </c>
      <c r="D264" s="63">
        <f t="shared" si="259"/>
        <v>435922.78488425701</v>
      </c>
      <c r="E264" s="63">
        <f t="shared" si="259"/>
        <v>435922.78488425701</v>
      </c>
      <c r="F264" s="63">
        <f t="shared" si="259"/>
        <v>435922.78488425701</v>
      </c>
      <c r="G264" s="63">
        <f t="shared" si="259"/>
        <v>435922.78488425701</v>
      </c>
      <c r="H264" s="63">
        <f t="shared" si="259"/>
        <v>435922.78488425701</v>
      </c>
      <c r="I264" s="63">
        <f t="shared" si="259"/>
        <v>435922.78488425701</v>
      </c>
      <c r="J264" s="63">
        <f t="shared" si="259"/>
        <v>435922.78488425701</v>
      </c>
      <c r="K264" s="63">
        <f t="shared" si="259"/>
        <v>435922.78488425701</v>
      </c>
      <c r="L264" s="63">
        <f t="shared" si="259"/>
        <v>435922.78488425701</v>
      </c>
      <c r="M264" s="63">
        <f t="shared" si="259"/>
        <v>435922.78488425701</v>
      </c>
      <c r="N264" s="63">
        <f t="shared" si="259"/>
        <v>435922.78488425701</v>
      </c>
      <c r="O264" s="63">
        <f t="shared" si="259"/>
        <v>435922.78488425701</v>
      </c>
      <c r="P264" s="63">
        <f t="shared" si="259"/>
        <v>435922.78488425701</v>
      </c>
      <c r="Q264" s="63">
        <f t="shared" si="259"/>
        <v>435922.78488425701</v>
      </c>
      <c r="R264" s="63">
        <f t="shared" si="259"/>
        <v>435922.78488425701</v>
      </c>
      <c r="S264" s="63">
        <f t="shared" si="259"/>
        <v>435922.78488425701</v>
      </c>
      <c r="T264" s="63">
        <f t="shared" si="259"/>
        <v>435922.78488425701</v>
      </c>
      <c r="U264" s="63">
        <f t="shared" si="259"/>
        <v>435922.78488425701</v>
      </c>
      <c r="V264" s="63">
        <f t="shared" si="259"/>
        <v>435922.78488425701</v>
      </c>
      <c r="W264" s="63">
        <f t="shared" si="259"/>
        <v>435922.78488425701</v>
      </c>
      <c r="X264" s="63">
        <f t="shared" si="259"/>
        <v>435922.78488425701</v>
      </c>
      <c r="Y264" s="63">
        <f t="shared" si="259"/>
        <v>435922.78488425701</v>
      </c>
      <c r="Z264" s="63">
        <f t="shared" si="259"/>
        <v>435922.78488425701</v>
      </c>
      <c r="AA264" s="63">
        <f t="shared" si="259"/>
        <v>435922.78488425701</v>
      </c>
      <c r="AB264" s="63">
        <f t="shared" si="259"/>
        <v>435922.78488425701</v>
      </c>
      <c r="AC264" s="63">
        <f t="shared" si="259"/>
        <v>435922.78488425701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-65388.417732638554</v>
      </c>
      <c r="C265" s="62">
        <f t="shared" ref="C265:AC265" si="260">((1+C249)^C256)*C249/(((1+C249)^C256)-1)*(C246)</f>
        <v>-65388.417732638554</v>
      </c>
      <c r="D265" s="62">
        <f t="shared" si="260"/>
        <v>-65388.417732638554</v>
      </c>
      <c r="E265" s="62">
        <f t="shared" si="260"/>
        <v>-65388.417732638554</v>
      </c>
      <c r="F265" s="62">
        <f t="shared" si="260"/>
        <v>-65388.417732638554</v>
      </c>
      <c r="G265" s="62">
        <f t="shared" si="260"/>
        <v>-65388.417732638554</v>
      </c>
      <c r="H265" s="62">
        <f t="shared" si="260"/>
        <v>-65388.417732638554</v>
      </c>
      <c r="I265" s="62">
        <f t="shared" si="260"/>
        <v>-65388.417732638554</v>
      </c>
      <c r="J265" s="62">
        <f t="shared" si="260"/>
        <v>-65388.417732638554</v>
      </c>
      <c r="K265" s="62">
        <f t="shared" si="260"/>
        <v>-65388.417732638554</v>
      </c>
      <c r="L265" s="62">
        <f t="shared" si="260"/>
        <v>-65388.417732638554</v>
      </c>
      <c r="M265" s="62">
        <f t="shared" si="260"/>
        <v>-65388.417732638554</v>
      </c>
      <c r="N265" s="62">
        <f t="shared" si="260"/>
        <v>-65388.417732638554</v>
      </c>
      <c r="O265" s="62">
        <f t="shared" si="260"/>
        <v>-65388.417732638554</v>
      </c>
      <c r="P265" s="62">
        <f t="shared" si="260"/>
        <v>-65388.417732638554</v>
      </c>
      <c r="Q265" s="62">
        <f t="shared" si="260"/>
        <v>-65388.417732638554</v>
      </c>
      <c r="R265" s="62">
        <f t="shared" si="260"/>
        <v>-65388.417732638554</v>
      </c>
      <c r="S265" s="62">
        <f t="shared" si="260"/>
        <v>-65388.417732638554</v>
      </c>
      <c r="T265" s="62">
        <f t="shared" si="260"/>
        <v>-65388.417732638554</v>
      </c>
      <c r="U265" s="62">
        <f t="shared" si="260"/>
        <v>-65388.417732638554</v>
      </c>
      <c r="V265" s="62">
        <f t="shared" si="260"/>
        <v>-65388.417732638554</v>
      </c>
      <c r="W265" s="62">
        <f t="shared" si="260"/>
        <v>-65388.417732638554</v>
      </c>
      <c r="X265" s="62">
        <f t="shared" si="260"/>
        <v>-65388.417732638554</v>
      </c>
      <c r="Y265" s="62">
        <f t="shared" si="260"/>
        <v>-65388.417732638554</v>
      </c>
      <c r="Z265" s="62">
        <f t="shared" si="260"/>
        <v>-65388.417732638554</v>
      </c>
      <c r="AA265" s="62">
        <f t="shared" si="260"/>
        <v>-65388.417732638554</v>
      </c>
      <c r="AB265" s="62">
        <f t="shared" si="260"/>
        <v>-65388.417732638554</v>
      </c>
      <c r="AC265" s="62">
        <f t="shared" si="260"/>
        <v>-65388.417732638554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61">((1+C249)^C257)*C249/(((1+C249)^C257)-1)*(C247)</f>
        <v>203416.95217213215</v>
      </c>
      <c r="D266" s="62">
        <f t="shared" si="261"/>
        <v>203416.95217213215</v>
      </c>
      <c r="E266" s="62">
        <f t="shared" si="261"/>
        <v>203416.95217213215</v>
      </c>
      <c r="F266" s="62">
        <f t="shared" si="261"/>
        <v>203416.95217213215</v>
      </c>
      <c r="G266" s="62">
        <f t="shared" si="261"/>
        <v>203416.95217213215</v>
      </c>
      <c r="H266" s="62">
        <f t="shared" si="261"/>
        <v>203416.95217213215</v>
      </c>
      <c r="I266" s="62">
        <f t="shared" si="261"/>
        <v>203416.95217213215</v>
      </c>
      <c r="J266" s="62">
        <f t="shared" si="261"/>
        <v>203416.95217213215</v>
      </c>
      <c r="K266" s="62">
        <f t="shared" si="261"/>
        <v>203416.95217213215</v>
      </c>
      <c r="L266" s="62">
        <f t="shared" si="261"/>
        <v>203416.95217213215</v>
      </c>
      <c r="M266" s="62">
        <f t="shared" si="261"/>
        <v>203416.95217213215</v>
      </c>
      <c r="N266" s="62">
        <f t="shared" si="261"/>
        <v>203416.95217213215</v>
      </c>
      <c r="O266" s="62">
        <f t="shared" si="261"/>
        <v>203416.95217213215</v>
      </c>
      <c r="P266" s="62">
        <f t="shared" si="261"/>
        <v>203416.95217213215</v>
      </c>
      <c r="Q266" s="62">
        <f t="shared" si="261"/>
        <v>203416.95217213215</v>
      </c>
      <c r="R266" s="62">
        <f t="shared" si="261"/>
        <v>203416.95217213215</v>
      </c>
      <c r="S266" s="62">
        <f t="shared" si="261"/>
        <v>203416.95217213215</v>
      </c>
      <c r="T266" s="62">
        <f t="shared" si="261"/>
        <v>203416.95217213215</v>
      </c>
      <c r="U266" s="62">
        <f t="shared" si="261"/>
        <v>203416.95217213215</v>
      </c>
      <c r="V266" s="62">
        <f t="shared" si="261"/>
        <v>203416.95217213215</v>
      </c>
      <c r="W266" s="62">
        <f t="shared" si="261"/>
        <v>203416.95217213215</v>
      </c>
      <c r="X266" s="62">
        <f t="shared" si="261"/>
        <v>203416.95217213215</v>
      </c>
      <c r="Y266" s="62">
        <f t="shared" si="261"/>
        <v>203416.95217213215</v>
      </c>
      <c r="Z266" s="62">
        <f t="shared" si="261"/>
        <v>203416.95217213215</v>
      </c>
      <c r="AA266" s="62">
        <f t="shared" si="261"/>
        <v>203416.95217213215</v>
      </c>
      <c r="AB266" s="62">
        <f t="shared" si="261"/>
        <v>203416.95217213215</v>
      </c>
      <c r="AC266" s="62">
        <f t="shared" si="261"/>
        <v>203416.95217213215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62">((1+C249)^C257)*C249/(((1+C249)^C257)-1)*(C248)</f>
        <v>-10170.847608606608</v>
      </c>
      <c r="D267" s="62">
        <f t="shared" si="262"/>
        <v>-10170.847608606608</v>
      </c>
      <c r="E267" s="62">
        <f t="shared" si="262"/>
        <v>-10170.847608606608</v>
      </c>
      <c r="F267" s="62">
        <f t="shared" si="262"/>
        <v>-10170.847608606608</v>
      </c>
      <c r="G267" s="62">
        <f t="shared" si="262"/>
        <v>-10170.847608606608</v>
      </c>
      <c r="H267" s="62">
        <f t="shared" si="262"/>
        <v>-10170.847608606608</v>
      </c>
      <c r="I267" s="62">
        <f t="shared" si="262"/>
        <v>-10170.847608606608</v>
      </c>
      <c r="J267" s="62">
        <f t="shared" si="262"/>
        <v>-10170.847608606608</v>
      </c>
      <c r="K267" s="62">
        <f t="shared" si="262"/>
        <v>-10170.847608606608</v>
      </c>
      <c r="L267" s="62">
        <f t="shared" si="262"/>
        <v>-10170.847608606608</v>
      </c>
      <c r="M267" s="62">
        <f t="shared" si="262"/>
        <v>-10170.847608606608</v>
      </c>
      <c r="N267" s="62">
        <f t="shared" si="262"/>
        <v>-10170.847608606608</v>
      </c>
      <c r="O267" s="62">
        <f t="shared" si="262"/>
        <v>-10170.847608606608</v>
      </c>
      <c r="P267" s="62">
        <f t="shared" si="262"/>
        <v>-10170.847608606608</v>
      </c>
      <c r="Q267" s="62">
        <f t="shared" si="262"/>
        <v>-10170.847608606608</v>
      </c>
      <c r="R267" s="62">
        <f t="shared" si="262"/>
        <v>-10170.847608606608</v>
      </c>
      <c r="S267" s="62">
        <f t="shared" si="262"/>
        <v>-10170.847608606608</v>
      </c>
      <c r="T267" s="62">
        <f t="shared" si="262"/>
        <v>-10170.847608606608</v>
      </c>
      <c r="U267" s="62">
        <f t="shared" si="262"/>
        <v>-10170.847608606608</v>
      </c>
      <c r="V267" s="62">
        <f t="shared" si="262"/>
        <v>-10170.847608606608</v>
      </c>
      <c r="W267" s="62">
        <f t="shared" si="262"/>
        <v>-10170.847608606608</v>
      </c>
      <c r="X267" s="62">
        <f t="shared" si="262"/>
        <v>-10170.847608606608</v>
      </c>
      <c r="Y267" s="62">
        <f t="shared" si="262"/>
        <v>-10170.847608606608</v>
      </c>
      <c r="Z267" s="62">
        <f t="shared" si="262"/>
        <v>-10170.847608606608</v>
      </c>
      <c r="AA267" s="62">
        <f t="shared" si="262"/>
        <v>-10170.847608606608</v>
      </c>
      <c r="AB267" s="62">
        <f t="shared" si="262"/>
        <v>-10170.847608606608</v>
      </c>
      <c r="AC267" s="62">
        <f t="shared" si="262"/>
        <v>-10170.847608606608</v>
      </c>
    </row>
    <row r="268" spans="1:29" x14ac:dyDescent="0.3">
      <c r="A268" s="30" t="str">
        <f t="shared" ref="A268:AC268" si="263">A250</f>
        <v>Opex fix (admin, crew, insurance)</v>
      </c>
      <c r="B268" s="62">
        <f t="shared" si="263"/>
        <v>610000</v>
      </c>
      <c r="C268" s="62">
        <f t="shared" si="263"/>
        <v>610000</v>
      </c>
      <c r="D268" s="62">
        <f t="shared" si="263"/>
        <v>610000</v>
      </c>
      <c r="E268" s="62">
        <f t="shared" si="263"/>
        <v>610000</v>
      </c>
      <c r="F268" s="62">
        <f t="shared" si="263"/>
        <v>610000</v>
      </c>
      <c r="G268" s="62">
        <f t="shared" si="263"/>
        <v>610000</v>
      </c>
      <c r="H268" s="62">
        <f t="shared" si="263"/>
        <v>610000</v>
      </c>
      <c r="I268" s="62">
        <f t="shared" si="263"/>
        <v>610000</v>
      </c>
      <c r="J268" s="62">
        <f t="shared" si="263"/>
        <v>610000</v>
      </c>
      <c r="K268" s="62">
        <f t="shared" si="263"/>
        <v>610000</v>
      </c>
      <c r="L268" s="62">
        <f t="shared" si="263"/>
        <v>610000</v>
      </c>
      <c r="M268" s="62">
        <f t="shared" si="263"/>
        <v>610000</v>
      </c>
      <c r="N268" s="62">
        <f t="shared" si="263"/>
        <v>610000</v>
      </c>
      <c r="O268" s="62">
        <f t="shared" si="263"/>
        <v>610000</v>
      </c>
      <c r="P268" s="62">
        <f t="shared" si="263"/>
        <v>610000</v>
      </c>
      <c r="Q268" s="62">
        <f t="shared" si="263"/>
        <v>610000</v>
      </c>
      <c r="R268" s="62">
        <f t="shared" si="263"/>
        <v>610000</v>
      </c>
      <c r="S268" s="62">
        <f t="shared" si="263"/>
        <v>610000</v>
      </c>
      <c r="T268" s="62">
        <f t="shared" si="263"/>
        <v>610000</v>
      </c>
      <c r="U268" s="62">
        <f t="shared" si="263"/>
        <v>610000</v>
      </c>
      <c r="V268" s="62">
        <f t="shared" si="263"/>
        <v>610000</v>
      </c>
      <c r="W268" s="62">
        <f t="shared" si="263"/>
        <v>610000</v>
      </c>
      <c r="X268" s="62">
        <f t="shared" si="263"/>
        <v>610000</v>
      </c>
      <c r="Y268" s="62">
        <f t="shared" si="263"/>
        <v>610000</v>
      </c>
      <c r="Z268" s="62">
        <f t="shared" si="263"/>
        <v>610000</v>
      </c>
      <c r="AA268" s="62">
        <f t="shared" si="263"/>
        <v>610000</v>
      </c>
      <c r="AB268" s="62">
        <f t="shared" si="263"/>
        <v>610000</v>
      </c>
      <c r="AC268" s="62">
        <f t="shared" si="263"/>
        <v>610000</v>
      </c>
    </row>
    <row r="269" spans="1:29" x14ac:dyDescent="0.3">
      <c r="A269" s="30" t="str">
        <f t="shared" ref="A269:AC269" si="264">A251</f>
        <v>Opex maintenance &amp; repair</v>
      </c>
      <c r="B269" s="62">
        <f t="shared" si="264"/>
        <v>650000</v>
      </c>
      <c r="C269" s="62">
        <f t="shared" si="264"/>
        <v>650000</v>
      </c>
      <c r="D269" s="62">
        <f t="shared" si="264"/>
        <v>650000</v>
      </c>
      <c r="E269" s="62">
        <f t="shared" si="264"/>
        <v>650000</v>
      </c>
      <c r="F269" s="62">
        <f t="shared" si="264"/>
        <v>650000</v>
      </c>
      <c r="G269" s="62">
        <f t="shared" si="264"/>
        <v>650000</v>
      </c>
      <c r="H269" s="62">
        <f t="shared" si="264"/>
        <v>650000</v>
      </c>
      <c r="I269" s="62">
        <f t="shared" si="264"/>
        <v>650000</v>
      </c>
      <c r="J269" s="62">
        <f t="shared" si="264"/>
        <v>650000</v>
      </c>
      <c r="K269" s="62">
        <f t="shared" si="264"/>
        <v>650000</v>
      </c>
      <c r="L269" s="62">
        <f t="shared" si="264"/>
        <v>650000</v>
      </c>
      <c r="M269" s="62">
        <f t="shared" si="264"/>
        <v>650000</v>
      </c>
      <c r="N269" s="62">
        <f t="shared" si="264"/>
        <v>650000</v>
      </c>
      <c r="O269" s="62">
        <f t="shared" si="264"/>
        <v>650000</v>
      </c>
      <c r="P269" s="62">
        <f t="shared" si="264"/>
        <v>650000</v>
      </c>
      <c r="Q269" s="62">
        <f t="shared" si="264"/>
        <v>650000</v>
      </c>
      <c r="R269" s="62">
        <f t="shared" si="264"/>
        <v>650000</v>
      </c>
      <c r="S269" s="62">
        <f t="shared" si="264"/>
        <v>650000</v>
      </c>
      <c r="T269" s="62">
        <f t="shared" si="264"/>
        <v>650000</v>
      </c>
      <c r="U269" s="62">
        <f t="shared" si="264"/>
        <v>650000</v>
      </c>
      <c r="V269" s="62">
        <f t="shared" si="264"/>
        <v>650000</v>
      </c>
      <c r="W269" s="62">
        <f t="shared" si="264"/>
        <v>650000</v>
      </c>
      <c r="X269" s="62">
        <f t="shared" si="264"/>
        <v>650000</v>
      </c>
      <c r="Y269" s="62">
        <f t="shared" si="264"/>
        <v>650000</v>
      </c>
      <c r="Z269" s="62">
        <f t="shared" si="264"/>
        <v>650000</v>
      </c>
      <c r="AA269" s="62">
        <f t="shared" si="264"/>
        <v>650000</v>
      </c>
      <c r="AB269" s="62">
        <f t="shared" si="264"/>
        <v>650000</v>
      </c>
      <c r="AC269" s="62">
        <f t="shared" si="264"/>
        <v>650000</v>
      </c>
    </row>
    <row r="270" spans="1:29" x14ac:dyDescent="0.3">
      <c r="A270" s="30" t="str">
        <f>A252</f>
        <v>Opex var (mode-fees, shunting)</v>
      </c>
      <c r="B270" s="62">
        <f>B252*B261</f>
        <v>650000</v>
      </c>
      <c r="C270" s="62">
        <f t="shared" ref="C270:AC270" si="265">C252*C261</f>
        <v>650000</v>
      </c>
      <c r="D270" s="62">
        <f t="shared" si="265"/>
        <v>650000</v>
      </c>
      <c r="E270" s="62">
        <f t="shared" si="265"/>
        <v>650000</v>
      </c>
      <c r="F270" s="62">
        <f t="shared" si="265"/>
        <v>650000</v>
      </c>
      <c r="G270" s="62">
        <f t="shared" si="265"/>
        <v>650000</v>
      </c>
      <c r="H270" s="62">
        <f t="shared" si="265"/>
        <v>650000</v>
      </c>
      <c r="I270" s="62">
        <f t="shared" si="265"/>
        <v>650000</v>
      </c>
      <c r="J270" s="62">
        <f t="shared" si="265"/>
        <v>650000</v>
      </c>
      <c r="K270" s="62">
        <f t="shared" si="265"/>
        <v>650000</v>
      </c>
      <c r="L270" s="62">
        <f t="shared" si="265"/>
        <v>650000</v>
      </c>
      <c r="M270" s="62">
        <f t="shared" si="265"/>
        <v>650000</v>
      </c>
      <c r="N270" s="62">
        <f t="shared" si="265"/>
        <v>650000</v>
      </c>
      <c r="O270" s="62">
        <f t="shared" si="265"/>
        <v>650000</v>
      </c>
      <c r="P270" s="62">
        <f t="shared" si="265"/>
        <v>650000</v>
      </c>
      <c r="Q270" s="62">
        <f t="shared" si="265"/>
        <v>650000</v>
      </c>
      <c r="R270" s="62">
        <f t="shared" si="265"/>
        <v>650000</v>
      </c>
      <c r="S270" s="62">
        <f t="shared" si="265"/>
        <v>650000</v>
      </c>
      <c r="T270" s="62">
        <f t="shared" si="265"/>
        <v>650000</v>
      </c>
      <c r="U270" s="62">
        <f t="shared" si="265"/>
        <v>650000</v>
      </c>
      <c r="V270" s="62">
        <f t="shared" si="265"/>
        <v>650000</v>
      </c>
      <c r="W270" s="62">
        <f t="shared" si="265"/>
        <v>650000</v>
      </c>
      <c r="X270" s="62">
        <f t="shared" si="265"/>
        <v>650000</v>
      </c>
      <c r="Y270" s="62">
        <f t="shared" si="265"/>
        <v>650000</v>
      </c>
      <c r="Z270" s="62">
        <f t="shared" si="265"/>
        <v>650000</v>
      </c>
      <c r="AA270" s="62">
        <f t="shared" si="265"/>
        <v>650000</v>
      </c>
      <c r="AB270" s="62">
        <f t="shared" si="265"/>
        <v>650000</v>
      </c>
      <c r="AC270" s="62">
        <f t="shared" si="265"/>
        <v>650000</v>
      </c>
    </row>
    <row r="271" spans="1:29" x14ac:dyDescent="0.3">
      <c r="A271" s="30" t="str">
        <f>A254</f>
        <v>Fuel Cost</v>
      </c>
      <c r="B271" s="62">
        <f>B253*B254*B261</f>
        <v>421321.32967772055</v>
      </c>
      <c r="C271" s="62">
        <f t="shared" ref="C271:AC271" si="266">C253*C254*C261</f>
        <v>420823.97286455205</v>
      </c>
      <c r="D271" s="62">
        <f t="shared" si="266"/>
        <v>420117.79748684121</v>
      </c>
      <c r="E271" s="62">
        <f t="shared" si="266"/>
        <v>419119.68644956814</v>
      </c>
      <c r="F271" s="62">
        <f t="shared" si="266"/>
        <v>417718.35656065156</v>
      </c>
      <c r="G271" s="62">
        <f t="shared" si="266"/>
        <v>415769.99931655545</v>
      </c>
      <c r="H271" s="62">
        <f t="shared" si="266"/>
        <v>413098.8744230892</v>
      </c>
      <c r="I271" s="62">
        <f t="shared" si="266"/>
        <v>409509.1687924423</v>
      </c>
      <c r="J271" s="62">
        <f t="shared" si="266"/>
        <v>404816.73005306005</v>
      </c>
      <c r="K271" s="62">
        <f t="shared" si="266"/>
        <v>398907.39658589731</v>
      </c>
      <c r="L271" s="62">
        <f t="shared" si="266"/>
        <v>391816.36605274561</v>
      </c>
      <c r="M271" s="62">
        <f t="shared" si="266"/>
        <v>383798.01554605074</v>
      </c>
      <c r="N271" s="62">
        <f t="shared" si="266"/>
        <v>375333.07581459719</v>
      </c>
      <c r="O271" s="62">
        <f t="shared" si="266"/>
        <v>367034.710263833</v>
      </c>
      <c r="P271" s="62">
        <f t="shared" si="266"/>
        <v>359480.53729311289</v>
      </c>
      <c r="Q271" s="62">
        <f t="shared" si="266"/>
        <v>353060.56600291858</v>
      </c>
      <c r="R271" s="62">
        <f t="shared" si="266"/>
        <v>347919.3187511891</v>
      </c>
      <c r="S271" s="62">
        <f t="shared" si="266"/>
        <v>343996.31891328277</v>
      </c>
      <c r="T271" s="62">
        <f t="shared" si="266"/>
        <v>341112.59940737992</v>
      </c>
      <c r="U271" s="62">
        <f t="shared" si="266"/>
        <v>339050.78167846147</v>
      </c>
      <c r="V271" s="62">
        <f t="shared" si="266"/>
        <v>337605.75193901127</v>
      </c>
      <c r="W271" s="62">
        <f t="shared" si="266"/>
        <v>336607.14757058211</v>
      </c>
      <c r="X271" s="62">
        <f t="shared" si="266"/>
        <v>335923.75283890165</v>
      </c>
      <c r="Y271" s="62">
        <f t="shared" si="266"/>
        <v>335459.19329109037</v>
      </c>
      <c r="Z271" s="62">
        <f t="shared" si="266"/>
        <v>335144.83101442864</v>
      </c>
      <c r="AA271" s="62">
        <f t="shared" si="266"/>
        <v>334932.76189439202</v>
      </c>
      <c r="AB271" s="62">
        <f t="shared" si="266"/>
        <v>334789.99801625329</v>
      </c>
      <c r="AC271" s="62">
        <f t="shared" si="266"/>
        <v>334694.02505379106</v>
      </c>
    </row>
    <row r="272" spans="1:29" ht="15" thickBot="1" x14ac:dyDescent="0.35">
      <c r="A272" s="59" t="str">
        <f>A235</f>
        <v>Emission Cost</v>
      </c>
      <c r="B272" s="62">
        <f>B255*B261</f>
        <v>10544.005855055664</v>
      </c>
      <c r="C272" s="62">
        <f t="shared" ref="C272:AC272" si="267">C255*C261</f>
        <v>10533.965392416821</v>
      </c>
      <c r="D272" s="62">
        <f t="shared" si="267"/>
        <v>10519.592693782588</v>
      </c>
      <c r="E272" s="62">
        <f t="shared" si="267"/>
        <v>10499.031537652969</v>
      </c>
      <c r="F272" s="62">
        <f t="shared" si="267"/>
        <v>10469.645108499386</v>
      </c>
      <c r="G272" s="62">
        <f t="shared" si="267"/>
        <v>10427.704323426529</v>
      </c>
      <c r="H272" s="62">
        <f t="shared" si="267"/>
        <v>10367.97035628193</v>
      </c>
      <c r="I272" s="62">
        <f t="shared" si="267"/>
        <v>10283.156685907605</v>
      </c>
      <c r="J272" s="62">
        <f t="shared" si="267"/>
        <v>10163.280712906857</v>
      </c>
      <c r="K272" s="62">
        <f t="shared" si="267"/>
        <v>9994.9770095555086</v>
      </c>
      <c r="L272" s="62">
        <f t="shared" si="267"/>
        <v>9760.9737657609166</v>
      </c>
      <c r="M272" s="62">
        <f t="shared" si="267"/>
        <v>9440.1640725972939</v>
      </c>
      <c r="N272" s="62">
        <f t="shared" si="267"/>
        <v>9009.0302215623033</v>
      </c>
      <c r="O272" s="62">
        <f t="shared" si="267"/>
        <v>8445.4549893249241</v>
      </c>
      <c r="P272" s="62">
        <f t="shared" si="267"/>
        <v>7735.7272408998442</v>
      </c>
      <c r="Q272" s="62">
        <f t="shared" si="267"/>
        <v>6884.0743155279552</v>
      </c>
      <c r="R272" s="62">
        <f t="shared" si="267"/>
        <v>5921.0476251536802</v>
      </c>
      <c r="S272" s="62">
        <f t="shared" si="267"/>
        <v>4904.3842993246444</v>
      </c>
      <c r="T272" s="62">
        <f t="shared" si="267"/>
        <v>3907.7270061325112</v>
      </c>
      <c r="U272" s="62">
        <f t="shared" si="267"/>
        <v>3000.4493573900195</v>
      </c>
      <c r="V272" s="62">
        <f t="shared" si="267"/>
        <v>2229.3925547806143</v>
      </c>
      <c r="W272" s="62">
        <f t="shared" si="267"/>
        <v>1611.9141443400931</v>
      </c>
      <c r="X272" s="62">
        <f t="shared" si="267"/>
        <v>1140.7507115264134</v>
      </c>
      <c r="Y272" s="62">
        <f t="shared" si="267"/>
        <v>794.40780104642397</v>
      </c>
      <c r="Z272" s="62">
        <f t="shared" si="267"/>
        <v>546.77763047986764</v>
      </c>
      <c r="AA272" s="62">
        <f t="shared" si="267"/>
        <v>373.22545084975752</v>
      </c>
      <c r="AB272" s="62">
        <f t="shared" si="267"/>
        <v>253.29022737472138</v>
      </c>
      <c r="AC272" s="62">
        <f t="shared" si="267"/>
        <v>171.21257734932524</v>
      </c>
    </row>
    <row r="273" spans="1:29" ht="15" thickBot="1" x14ac:dyDescent="0.35">
      <c r="A273" s="31" t="s">
        <v>209</v>
      </c>
      <c r="B273" s="64">
        <f>B264+B265+B266+B267+B268+B269+B270+B271+B272</f>
        <v>2905645.80724792</v>
      </c>
      <c r="C273" s="64">
        <f t="shared" ref="C273:AC273" si="268">C264+C265+C266+C267+C268+C269+C270+C271+C272</f>
        <v>2905138.4099721126</v>
      </c>
      <c r="D273" s="64">
        <f t="shared" si="268"/>
        <v>2904417.8618957675</v>
      </c>
      <c r="E273" s="64">
        <f t="shared" si="268"/>
        <v>2903399.1897023651</v>
      </c>
      <c r="F273" s="64">
        <f t="shared" si="268"/>
        <v>2901968.4733842951</v>
      </c>
      <c r="G273" s="64">
        <f t="shared" si="268"/>
        <v>2899978.1753551257</v>
      </c>
      <c r="H273" s="64">
        <f t="shared" si="268"/>
        <v>2897247.3164945152</v>
      </c>
      <c r="I273" s="64">
        <f t="shared" si="268"/>
        <v>2893572.7971934937</v>
      </c>
      <c r="J273" s="64">
        <f t="shared" si="268"/>
        <v>2888760.4824811108</v>
      </c>
      <c r="K273" s="64">
        <f t="shared" si="268"/>
        <v>2882682.8453105967</v>
      </c>
      <c r="L273" s="64">
        <f t="shared" si="268"/>
        <v>2875357.8115336508</v>
      </c>
      <c r="M273" s="64">
        <f t="shared" si="268"/>
        <v>2867018.6513337921</v>
      </c>
      <c r="N273" s="64">
        <f t="shared" si="268"/>
        <v>2858122.5777513036</v>
      </c>
      <c r="O273" s="64">
        <f t="shared" si="268"/>
        <v>2849260.6369683016</v>
      </c>
      <c r="P273" s="64">
        <f t="shared" si="268"/>
        <v>2840996.7362491568</v>
      </c>
      <c r="Q273" s="64">
        <f t="shared" si="268"/>
        <v>2833725.1120335902</v>
      </c>
      <c r="R273" s="64">
        <f t="shared" si="268"/>
        <v>2827620.8380914866</v>
      </c>
      <c r="S273" s="64">
        <f t="shared" si="268"/>
        <v>2822681.1749277515</v>
      </c>
      <c r="T273" s="64">
        <f t="shared" si="268"/>
        <v>2818800.7981286566</v>
      </c>
      <c r="U273" s="64">
        <f t="shared" si="268"/>
        <v>2815831.7027509953</v>
      </c>
      <c r="V273" s="64">
        <f t="shared" si="268"/>
        <v>2813615.6162089356</v>
      </c>
      <c r="W273" s="64">
        <f t="shared" si="268"/>
        <v>2811999.533430066</v>
      </c>
      <c r="X273" s="64">
        <f t="shared" si="268"/>
        <v>2810844.9752655718</v>
      </c>
      <c r="Y273" s="64">
        <f t="shared" si="268"/>
        <v>2810034.0728072808</v>
      </c>
      <c r="Z273" s="64">
        <f t="shared" si="268"/>
        <v>2809472.0803600526</v>
      </c>
      <c r="AA273" s="64">
        <f t="shared" si="268"/>
        <v>2809086.4590603854</v>
      </c>
      <c r="AB273" s="64">
        <f t="shared" si="268"/>
        <v>2808823.7599587715</v>
      </c>
      <c r="AC273" s="64">
        <f t="shared" si="268"/>
        <v>2808645.7093462846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69">A264</f>
        <v>Capex vehicle</v>
      </c>
      <c r="B276" s="65">
        <f>((1+B249)^B256)*B249/(((1+B249)^B256)-1)*(B245)/B261</f>
        <v>2.4421444531330927</v>
      </c>
      <c r="C276" s="65">
        <f t="shared" ref="C276:AC276" si="270">((1+C249)^C256)*C249/(((1+C249)^C256)-1)*(C245)/C261</f>
        <v>2.4421444531330927</v>
      </c>
      <c r="D276" s="65">
        <f t="shared" si="270"/>
        <v>2.4421444531330927</v>
      </c>
      <c r="E276" s="65">
        <f t="shared" si="270"/>
        <v>2.4421444531330927</v>
      </c>
      <c r="F276" s="65">
        <f t="shared" si="270"/>
        <v>2.4421444531330927</v>
      </c>
      <c r="G276" s="65">
        <f t="shared" si="270"/>
        <v>2.4421444531330927</v>
      </c>
      <c r="H276" s="65">
        <f t="shared" si="270"/>
        <v>2.4421444531330927</v>
      </c>
      <c r="I276" s="65">
        <f t="shared" si="270"/>
        <v>2.4421444531330927</v>
      </c>
      <c r="J276" s="65">
        <f t="shared" si="270"/>
        <v>2.4421444531330927</v>
      </c>
      <c r="K276" s="65">
        <f t="shared" si="270"/>
        <v>2.4421444531330927</v>
      </c>
      <c r="L276" s="65">
        <f t="shared" si="270"/>
        <v>2.4421444531330927</v>
      </c>
      <c r="M276" s="65">
        <f t="shared" si="270"/>
        <v>2.4421444531330927</v>
      </c>
      <c r="N276" s="65">
        <f t="shared" si="270"/>
        <v>2.4421444531330927</v>
      </c>
      <c r="O276" s="65">
        <f t="shared" si="270"/>
        <v>2.4421444531330927</v>
      </c>
      <c r="P276" s="65">
        <f t="shared" si="270"/>
        <v>2.4421444531330927</v>
      </c>
      <c r="Q276" s="65">
        <f t="shared" si="270"/>
        <v>2.4421444531330927</v>
      </c>
      <c r="R276" s="65">
        <f t="shared" si="270"/>
        <v>2.4421444531330927</v>
      </c>
      <c r="S276" s="65">
        <f t="shared" si="270"/>
        <v>2.4421444531330927</v>
      </c>
      <c r="T276" s="65">
        <f t="shared" si="270"/>
        <v>2.4421444531330927</v>
      </c>
      <c r="U276" s="65">
        <f t="shared" si="270"/>
        <v>2.4421444531330927</v>
      </c>
      <c r="V276" s="65">
        <f t="shared" si="270"/>
        <v>2.4421444531330927</v>
      </c>
      <c r="W276" s="65">
        <f t="shared" si="270"/>
        <v>2.4421444531330927</v>
      </c>
      <c r="X276" s="65">
        <f t="shared" si="270"/>
        <v>2.4421444531330927</v>
      </c>
      <c r="Y276" s="65">
        <f t="shared" si="270"/>
        <v>2.4421444531330927</v>
      </c>
      <c r="Z276" s="65">
        <f t="shared" si="270"/>
        <v>2.4421444531330927</v>
      </c>
      <c r="AA276" s="65">
        <f t="shared" si="270"/>
        <v>2.4421444531330927</v>
      </c>
      <c r="AB276" s="65">
        <f t="shared" si="270"/>
        <v>2.4421444531330927</v>
      </c>
      <c r="AC276" s="65">
        <f t="shared" si="270"/>
        <v>2.4421444531330927</v>
      </c>
    </row>
    <row r="277" spans="1:29" x14ac:dyDescent="0.3">
      <c r="A277" s="30" t="str">
        <f t="shared" si="269"/>
        <v>Residual value (vehicle)</v>
      </c>
      <c r="B277" s="66">
        <f>((1+B249)^B256)*B249/(((1+B249)^B256)-1)*(B246)/B261</f>
        <v>-0.3663216679699639</v>
      </c>
      <c r="C277" s="66">
        <f t="shared" ref="C277:AC277" si="271">((1+C249)^C256)*C249/(((1+C249)^C256)-1)*(C246)/C261</f>
        <v>-0.3663216679699639</v>
      </c>
      <c r="D277" s="66">
        <f t="shared" si="271"/>
        <v>-0.3663216679699639</v>
      </c>
      <c r="E277" s="66">
        <f t="shared" si="271"/>
        <v>-0.3663216679699639</v>
      </c>
      <c r="F277" s="66">
        <f t="shared" si="271"/>
        <v>-0.3663216679699639</v>
      </c>
      <c r="G277" s="66">
        <f t="shared" si="271"/>
        <v>-0.3663216679699639</v>
      </c>
      <c r="H277" s="66">
        <f t="shared" si="271"/>
        <v>-0.3663216679699639</v>
      </c>
      <c r="I277" s="66">
        <f t="shared" si="271"/>
        <v>-0.3663216679699639</v>
      </c>
      <c r="J277" s="66">
        <f t="shared" si="271"/>
        <v>-0.3663216679699639</v>
      </c>
      <c r="K277" s="66">
        <f t="shared" si="271"/>
        <v>-0.3663216679699639</v>
      </c>
      <c r="L277" s="66">
        <f t="shared" si="271"/>
        <v>-0.3663216679699639</v>
      </c>
      <c r="M277" s="66">
        <f t="shared" si="271"/>
        <v>-0.3663216679699639</v>
      </c>
      <c r="N277" s="66">
        <f t="shared" si="271"/>
        <v>-0.3663216679699639</v>
      </c>
      <c r="O277" s="66">
        <f t="shared" si="271"/>
        <v>-0.3663216679699639</v>
      </c>
      <c r="P277" s="66">
        <f t="shared" si="271"/>
        <v>-0.3663216679699639</v>
      </c>
      <c r="Q277" s="66">
        <f t="shared" si="271"/>
        <v>-0.3663216679699639</v>
      </c>
      <c r="R277" s="66">
        <f t="shared" si="271"/>
        <v>-0.3663216679699639</v>
      </c>
      <c r="S277" s="66">
        <f t="shared" si="271"/>
        <v>-0.3663216679699639</v>
      </c>
      <c r="T277" s="66">
        <f t="shared" si="271"/>
        <v>-0.3663216679699639</v>
      </c>
      <c r="U277" s="66">
        <f t="shared" si="271"/>
        <v>-0.3663216679699639</v>
      </c>
      <c r="V277" s="66">
        <f t="shared" si="271"/>
        <v>-0.3663216679699639</v>
      </c>
      <c r="W277" s="66">
        <f t="shared" si="271"/>
        <v>-0.3663216679699639</v>
      </c>
      <c r="X277" s="66">
        <f t="shared" si="271"/>
        <v>-0.3663216679699639</v>
      </c>
      <c r="Y277" s="66">
        <f t="shared" si="271"/>
        <v>-0.3663216679699639</v>
      </c>
      <c r="Z277" s="66">
        <f t="shared" si="271"/>
        <v>-0.3663216679699639</v>
      </c>
      <c r="AA277" s="66">
        <f t="shared" si="271"/>
        <v>-0.3663216679699639</v>
      </c>
      <c r="AB277" s="66">
        <f t="shared" si="271"/>
        <v>-0.3663216679699639</v>
      </c>
      <c r="AC277" s="66">
        <f t="shared" si="271"/>
        <v>-0.3663216679699639</v>
      </c>
    </row>
    <row r="278" spans="1:29" x14ac:dyDescent="0.3">
      <c r="A278" s="30" t="str">
        <f t="shared" si="269"/>
        <v>Capex costumization</v>
      </c>
      <c r="B278" s="66">
        <f>((1+B249)^B257)*B249/(((1+B249)^B257)-1)*(B247)/B261</f>
        <v>1.1395907684713287</v>
      </c>
      <c r="C278" s="66">
        <f t="shared" ref="C278:AC278" si="272">((1+C249)^C257)*C249/(((1+C249)^C257)-1)*(C247)/C261</f>
        <v>1.1395907684713287</v>
      </c>
      <c r="D278" s="66">
        <f t="shared" si="272"/>
        <v>1.1395907684713287</v>
      </c>
      <c r="E278" s="66">
        <f t="shared" si="272"/>
        <v>1.1395907684713287</v>
      </c>
      <c r="F278" s="66">
        <f t="shared" si="272"/>
        <v>1.1395907684713287</v>
      </c>
      <c r="G278" s="66">
        <f t="shared" si="272"/>
        <v>1.1395907684713287</v>
      </c>
      <c r="H278" s="66">
        <f t="shared" si="272"/>
        <v>1.1395907684713287</v>
      </c>
      <c r="I278" s="66">
        <f t="shared" si="272"/>
        <v>1.1395907684713287</v>
      </c>
      <c r="J278" s="66">
        <f t="shared" si="272"/>
        <v>1.1395907684713287</v>
      </c>
      <c r="K278" s="66">
        <f t="shared" si="272"/>
        <v>1.1395907684713287</v>
      </c>
      <c r="L278" s="66">
        <f t="shared" si="272"/>
        <v>1.1395907684713287</v>
      </c>
      <c r="M278" s="66">
        <f t="shared" si="272"/>
        <v>1.1395907684713287</v>
      </c>
      <c r="N278" s="66">
        <f t="shared" si="272"/>
        <v>1.1395907684713287</v>
      </c>
      <c r="O278" s="66">
        <f t="shared" si="272"/>
        <v>1.1395907684713287</v>
      </c>
      <c r="P278" s="66">
        <f t="shared" si="272"/>
        <v>1.1395907684713287</v>
      </c>
      <c r="Q278" s="66">
        <f t="shared" si="272"/>
        <v>1.1395907684713287</v>
      </c>
      <c r="R278" s="66">
        <f t="shared" si="272"/>
        <v>1.1395907684713287</v>
      </c>
      <c r="S278" s="66">
        <f t="shared" si="272"/>
        <v>1.1395907684713287</v>
      </c>
      <c r="T278" s="66">
        <f t="shared" si="272"/>
        <v>1.1395907684713287</v>
      </c>
      <c r="U278" s="66">
        <f t="shared" si="272"/>
        <v>1.1395907684713287</v>
      </c>
      <c r="V278" s="66">
        <f t="shared" si="272"/>
        <v>1.1395907684713287</v>
      </c>
      <c r="W278" s="66">
        <f t="shared" si="272"/>
        <v>1.1395907684713287</v>
      </c>
      <c r="X278" s="66">
        <f t="shared" si="272"/>
        <v>1.1395907684713287</v>
      </c>
      <c r="Y278" s="66">
        <f t="shared" si="272"/>
        <v>1.1395907684713287</v>
      </c>
      <c r="Z278" s="66">
        <f t="shared" si="272"/>
        <v>1.1395907684713287</v>
      </c>
      <c r="AA278" s="66">
        <f t="shared" si="272"/>
        <v>1.1395907684713287</v>
      </c>
      <c r="AB278" s="66">
        <f t="shared" si="272"/>
        <v>1.1395907684713287</v>
      </c>
      <c r="AC278" s="66">
        <f t="shared" si="272"/>
        <v>1.1395907684713287</v>
      </c>
    </row>
    <row r="279" spans="1:29" x14ac:dyDescent="0.3">
      <c r="A279" s="30" t="str">
        <f t="shared" si="269"/>
        <v>Residual value (costumization)</v>
      </c>
      <c r="B279" s="66">
        <f>((1+B249)^B257)*B249/(((1+B249)^B257)-1)*(B248)/B261</f>
        <v>-5.6979538423566428E-2</v>
      </c>
      <c r="C279" s="66">
        <f t="shared" ref="C279:AC279" si="273">((1+C249)^C257)*C249/(((1+C249)^C257)-1)*(C248)/C261</f>
        <v>-5.6979538423566428E-2</v>
      </c>
      <c r="D279" s="66">
        <f t="shared" si="273"/>
        <v>-5.6979538423566428E-2</v>
      </c>
      <c r="E279" s="66">
        <f t="shared" si="273"/>
        <v>-5.6979538423566428E-2</v>
      </c>
      <c r="F279" s="66">
        <f t="shared" si="273"/>
        <v>-5.6979538423566428E-2</v>
      </c>
      <c r="G279" s="66">
        <f t="shared" si="273"/>
        <v>-5.6979538423566428E-2</v>
      </c>
      <c r="H279" s="66">
        <f t="shared" si="273"/>
        <v>-5.6979538423566428E-2</v>
      </c>
      <c r="I279" s="66">
        <f t="shared" si="273"/>
        <v>-5.6979538423566428E-2</v>
      </c>
      <c r="J279" s="66">
        <f t="shared" si="273"/>
        <v>-5.6979538423566428E-2</v>
      </c>
      <c r="K279" s="66">
        <f t="shared" si="273"/>
        <v>-5.6979538423566428E-2</v>
      </c>
      <c r="L279" s="66">
        <f t="shared" si="273"/>
        <v>-5.6979538423566428E-2</v>
      </c>
      <c r="M279" s="66">
        <f t="shared" si="273"/>
        <v>-5.6979538423566428E-2</v>
      </c>
      <c r="N279" s="66">
        <f t="shared" si="273"/>
        <v>-5.6979538423566428E-2</v>
      </c>
      <c r="O279" s="66">
        <f t="shared" si="273"/>
        <v>-5.6979538423566428E-2</v>
      </c>
      <c r="P279" s="66">
        <f t="shared" si="273"/>
        <v>-5.6979538423566428E-2</v>
      </c>
      <c r="Q279" s="66">
        <f t="shared" si="273"/>
        <v>-5.6979538423566428E-2</v>
      </c>
      <c r="R279" s="66">
        <f t="shared" si="273"/>
        <v>-5.6979538423566428E-2</v>
      </c>
      <c r="S279" s="66">
        <f t="shared" si="273"/>
        <v>-5.6979538423566428E-2</v>
      </c>
      <c r="T279" s="66">
        <f t="shared" si="273"/>
        <v>-5.6979538423566428E-2</v>
      </c>
      <c r="U279" s="66">
        <f t="shared" si="273"/>
        <v>-5.6979538423566428E-2</v>
      </c>
      <c r="V279" s="66">
        <f t="shared" si="273"/>
        <v>-5.6979538423566428E-2</v>
      </c>
      <c r="W279" s="66">
        <f t="shared" si="273"/>
        <v>-5.6979538423566428E-2</v>
      </c>
      <c r="X279" s="66">
        <f t="shared" si="273"/>
        <v>-5.6979538423566428E-2</v>
      </c>
      <c r="Y279" s="66">
        <f t="shared" si="273"/>
        <v>-5.6979538423566428E-2</v>
      </c>
      <c r="Z279" s="66">
        <f t="shared" si="273"/>
        <v>-5.6979538423566428E-2</v>
      </c>
      <c r="AA279" s="66">
        <f t="shared" si="273"/>
        <v>-5.6979538423566428E-2</v>
      </c>
      <c r="AB279" s="66">
        <f t="shared" si="273"/>
        <v>-5.6979538423566428E-2</v>
      </c>
      <c r="AC279" s="66">
        <f t="shared" si="273"/>
        <v>-5.6979538423566428E-2</v>
      </c>
    </row>
    <row r="280" spans="1:29" x14ac:dyDescent="0.3">
      <c r="A280" s="30" t="str">
        <f t="shared" si="269"/>
        <v>Opex fix (admin, crew, insurance)</v>
      </c>
      <c r="B280" s="66">
        <f>B250/B261</f>
        <v>3.4173669467787113</v>
      </c>
      <c r="C280" s="66">
        <f t="shared" ref="C280:AC280" si="274">C250/C261</f>
        <v>3.4173669467787113</v>
      </c>
      <c r="D280" s="66">
        <f t="shared" si="274"/>
        <v>3.4173669467787113</v>
      </c>
      <c r="E280" s="66">
        <f t="shared" si="274"/>
        <v>3.4173669467787113</v>
      </c>
      <c r="F280" s="66">
        <f t="shared" si="274"/>
        <v>3.4173669467787113</v>
      </c>
      <c r="G280" s="66">
        <f t="shared" si="274"/>
        <v>3.4173669467787113</v>
      </c>
      <c r="H280" s="66">
        <f t="shared" si="274"/>
        <v>3.4173669467787113</v>
      </c>
      <c r="I280" s="66">
        <f t="shared" si="274"/>
        <v>3.4173669467787113</v>
      </c>
      <c r="J280" s="66">
        <f t="shared" si="274"/>
        <v>3.4173669467787113</v>
      </c>
      <c r="K280" s="66">
        <f t="shared" si="274"/>
        <v>3.4173669467787113</v>
      </c>
      <c r="L280" s="66">
        <f t="shared" si="274"/>
        <v>3.4173669467787113</v>
      </c>
      <c r="M280" s="66">
        <f t="shared" si="274"/>
        <v>3.4173669467787113</v>
      </c>
      <c r="N280" s="66">
        <f t="shared" si="274"/>
        <v>3.4173669467787113</v>
      </c>
      <c r="O280" s="66">
        <f t="shared" si="274"/>
        <v>3.4173669467787113</v>
      </c>
      <c r="P280" s="66">
        <f t="shared" si="274"/>
        <v>3.4173669467787113</v>
      </c>
      <c r="Q280" s="66">
        <f t="shared" si="274"/>
        <v>3.4173669467787113</v>
      </c>
      <c r="R280" s="66">
        <f t="shared" si="274"/>
        <v>3.4173669467787113</v>
      </c>
      <c r="S280" s="66">
        <f t="shared" si="274"/>
        <v>3.4173669467787113</v>
      </c>
      <c r="T280" s="66">
        <f t="shared" si="274"/>
        <v>3.4173669467787113</v>
      </c>
      <c r="U280" s="66">
        <f t="shared" si="274"/>
        <v>3.4173669467787113</v>
      </c>
      <c r="V280" s="66">
        <f t="shared" si="274"/>
        <v>3.4173669467787113</v>
      </c>
      <c r="W280" s="66">
        <f t="shared" si="274"/>
        <v>3.4173669467787113</v>
      </c>
      <c r="X280" s="66">
        <f t="shared" si="274"/>
        <v>3.4173669467787113</v>
      </c>
      <c r="Y280" s="66">
        <f t="shared" si="274"/>
        <v>3.4173669467787113</v>
      </c>
      <c r="Z280" s="66">
        <f t="shared" si="274"/>
        <v>3.4173669467787113</v>
      </c>
      <c r="AA280" s="66">
        <f t="shared" si="274"/>
        <v>3.4173669467787113</v>
      </c>
      <c r="AB280" s="66">
        <f t="shared" si="274"/>
        <v>3.4173669467787113</v>
      </c>
      <c r="AC280" s="66">
        <f t="shared" si="274"/>
        <v>3.4173669467787113</v>
      </c>
    </row>
    <row r="281" spans="1:29" x14ac:dyDescent="0.3">
      <c r="A281" s="30" t="str">
        <f t="shared" si="269"/>
        <v>Opex maintenance &amp; repair</v>
      </c>
      <c r="B281" s="66">
        <f>B251/B261</f>
        <v>3.6414565826330532</v>
      </c>
      <c r="C281" s="66">
        <f t="shared" ref="C281:AC281" si="275">C251/C261</f>
        <v>3.6414565826330532</v>
      </c>
      <c r="D281" s="66">
        <f t="shared" si="275"/>
        <v>3.6414565826330532</v>
      </c>
      <c r="E281" s="66">
        <f t="shared" si="275"/>
        <v>3.6414565826330532</v>
      </c>
      <c r="F281" s="66">
        <f t="shared" si="275"/>
        <v>3.6414565826330532</v>
      </c>
      <c r="G281" s="66">
        <f t="shared" si="275"/>
        <v>3.6414565826330532</v>
      </c>
      <c r="H281" s="66">
        <f t="shared" si="275"/>
        <v>3.6414565826330532</v>
      </c>
      <c r="I281" s="66">
        <f t="shared" si="275"/>
        <v>3.6414565826330532</v>
      </c>
      <c r="J281" s="66">
        <f t="shared" si="275"/>
        <v>3.6414565826330532</v>
      </c>
      <c r="K281" s="66">
        <f t="shared" si="275"/>
        <v>3.6414565826330532</v>
      </c>
      <c r="L281" s="66">
        <f t="shared" si="275"/>
        <v>3.6414565826330532</v>
      </c>
      <c r="M281" s="66">
        <f t="shared" si="275"/>
        <v>3.6414565826330532</v>
      </c>
      <c r="N281" s="66">
        <f t="shared" si="275"/>
        <v>3.6414565826330532</v>
      </c>
      <c r="O281" s="66">
        <f t="shared" si="275"/>
        <v>3.6414565826330532</v>
      </c>
      <c r="P281" s="66">
        <f t="shared" si="275"/>
        <v>3.6414565826330532</v>
      </c>
      <c r="Q281" s="66">
        <f t="shared" si="275"/>
        <v>3.6414565826330532</v>
      </c>
      <c r="R281" s="66">
        <f t="shared" si="275"/>
        <v>3.6414565826330532</v>
      </c>
      <c r="S281" s="66">
        <f t="shared" si="275"/>
        <v>3.6414565826330532</v>
      </c>
      <c r="T281" s="66">
        <f t="shared" si="275"/>
        <v>3.6414565826330532</v>
      </c>
      <c r="U281" s="66">
        <f t="shared" si="275"/>
        <v>3.6414565826330532</v>
      </c>
      <c r="V281" s="66">
        <f t="shared" si="275"/>
        <v>3.6414565826330532</v>
      </c>
      <c r="W281" s="66">
        <f t="shared" si="275"/>
        <v>3.6414565826330532</v>
      </c>
      <c r="X281" s="66">
        <f t="shared" si="275"/>
        <v>3.6414565826330532</v>
      </c>
      <c r="Y281" s="66">
        <f t="shared" si="275"/>
        <v>3.6414565826330532</v>
      </c>
      <c r="Z281" s="66">
        <f t="shared" si="275"/>
        <v>3.6414565826330532</v>
      </c>
      <c r="AA281" s="66">
        <f t="shared" si="275"/>
        <v>3.6414565826330532</v>
      </c>
      <c r="AB281" s="66">
        <f t="shared" si="275"/>
        <v>3.6414565826330532</v>
      </c>
      <c r="AC281" s="66">
        <f t="shared" si="275"/>
        <v>3.6414565826330532</v>
      </c>
    </row>
    <row r="282" spans="1:29" x14ac:dyDescent="0.3">
      <c r="A282" s="30" t="str">
        <f t="shared" si="269"/>
        <v>Opex var (mode-fees, shunting)</v>
      </c>
      <c r="B282" s="66">
        <f>B252*B261/B261</f>
        <v>3.6414565826330532</v>
      </c>
      <c r="C282" s="66">
        <f t="shared" ref="C282:AC282" si="276">C252*C261/C261</f>
        <v>3.6414565826330532</v>
      </c>
      <c r="D282" s="66">
        <f t="shared" si="276"/>
        <v>3.6414565826330532</v>
      </c>
      <c r="E282" s="66">
        <f t="shared" si="276"/>
        <v>3.6414565826330532</v>
      </c>
      <c r="F282" s="66">
        <f t="shared" si="276"/>
        <v>3.6414565826330532</v>
      </c>
      <c r="G282" s="66">
        <f t="shared" si="276"/>
        <v>3.6414565826330532</v>
      </c>
      <c r="H282" s="66">
        <f t="shared" si="276"/>
        <v>3.6414565826330532</v>
      </c>
      <c r="I282" s="66">
        <f t="shared" si="276"/>
        <v>3.6414565826330532</v>
      </c>
      <c r="J282" s="66">
        <f t="shared" si="276"/>
        <v>3.6414565826330532</v>
      </c>
      <c r="K282" s="66">
        <f t="shared" si="276"/>
        <v>3.6414565826330532</v>
      </c>
      <c r="L282" s="66">
        <f t="shared" si="276"/>
        <v>3.6414565826330532</v>
      </c>
      <c r="M282" s="66">
        <f t="shared" si="276"/>
        <v>3.6414565826330532</v>
      </c>
      <c r="N282" s="66">
        <f t="shared" si="276"/>
        <v>3.6414565826330532</v>
      </c>
      <c r="O282" s="66">
        <f t="shared" si="276"/>
        <v>3.6414565826330532</v>
      </c>
      <c r="P282" s="66">
        <f t="shared" si="276"/>
        <v>3.6414565826330532</v>
      </c>
      <c r="Q282" s="66">
        <f t="shared" si="276"/>
        <v>3.6414565826330532</v>
      </c>
      <c r="R282" s="66">
        <f t="shared" si="276"/>
        <v>3.6414565826330532</v>
      </c>
      <c r="S282" s="66">
        <f t="shared" si="276"/>
        <v>3.6414565826330532</v>
      </c>
      <c r="T282" s="66">
        <f t="shared" si="276"/>
        <v>3.6414565826330532</v>
      </c>
      <c r="U282" s="66">
        <f t="shared" si="276"/>
        <v>3.6414565826330532</v>
      </c>
      <c r="V282" s="66">
        <f t="shared" si="276"/>
        <v>3.6414565826330532</v>
      </c>
      <c r="W282" s="66">
        <f t="shared" si="276"/>
        <v>3.6414565826330532</v>
      </c>
      <c r="X282" s="66">
        <f t="shared" si="276"/>
        <v>3.6414565826330532</v>
      </c>
      <c r="Y282" s="66">
        <f t="shared" si="276"/>
        <v>3.6414565826330532</v>
      </c>
      <c r="Z282" s="66">
        <f t="shared" si="276"/>
        <v>3.6414565826330532</v>
      </c>
      <c r="AA282" s="66">
        <f t="shared" si="276"/>
        <v>3.6414565826330532</v>
      </c>
      <c r="AB282" s="66">
        <f t="shared" si="276"/>
        <v>3.6414565826330532</v>
      </c>
      <c r="AC282" s="66">
        <f t="shared" si="276"/>
        <v>3.6414565826330532</v>
      </c>
    </row>
    <row r="283" spans="1:29" x14ac:dyDescent="0.3">
      <c r="A283" s="30" t="str">
        <f t="shared" si="269"/>
        <v>Fuel Cost</v>
      </c>
      <c r="B283" s="66">
        <f>B253*B254*B261/B261</f>
        <v>2.3603435836286866</v>
      </c>
      <c r="C283" s="66">
        <f t="shared" ref="C283:AC283" si="277">C253*C254*C261/C261</f>
        <v>2.3575572709498713</v>
      </c>
      <c r="D283" s="66">
        <f t="shared" si="277"/>
        <v>2.3536011063688584</v>
      </c>
      <c r="E283" s="66">
        <f t="shared" si="277"/>
        <v>2.3480094478967404</v>
      </c>
      <c r="F283" s="66">
        <f t="shared" si="277"/>
        <v>2.3401588602837622</v>
      </c>
      <c r="G283" s="66">
        <f t="shared" si="277"/>
        <v>2.3292436936501706</v>
      </c>
      <c r="H283" s="66">
        <f t="shared" si="277"/>
        <v>2.3142794085327125</v>
      </c>
      <c r="I283" s="66">
        <f t="shared" si="277"/>
        <v>2.294169012842814</v>
      </c>
      <c r="J283" s="66">
        <f t="shared" si="277"/>
        <v>2.2678808406333895</v>
      </c>
      <c r="K283" s="66">
        <f t="shared" si="277"/>
        <v>2.2347753310134304</v>
      </c>
      <c r="L283" s="66">
        <f t="shared" si="277"/>
        <v>2.1950496697632809</v>
      </c>
      <c r="M283" s="66">
        <f t="shared" si="277"/>
        <v>2.1501289386333373</v>
      </c>
      <c r="N283" s="66">
        <f t="shared" si="277"/>
        <v>2.1027063070845782</v>
      </c>
      <c r="O283" s="66">
        <f t="shared" si="277"/>
        <v>2.056216864223154</v>
      </c>
      <c r="P283" s="66">
        <f t="shared" si="277"/>
        <v>2.0138965674684197</v>
      </c>
      <c r="Q283" s="66">
        <f t="shared" si="277"/>
        <v>1.9779303417530454</v>
      </c>
      <c r="R283" s="66">
        <f t="shared" si="277"/>
        <v>1.9491278361411155</v>
      </c>
      <c r="S283" s="66">
        <f t="shared" si="277"/>
        <v>1.9271502460127887</v>
      </c>
      <c r="T283" s="66">
        <f t="shared" si="277"/>
        <v>1.9109949546631928</v>
      </c>
      <c r="U283" s="66">
        <f t="shared" si="277"/>
        <v>1.8994441550614087</v>
      </c>
      <c r="V283" s="66">
        <f t="shared" si="277"/>
        <v>1.8913487503586066</v>
      </c>
      <c r="W283" s="66">
        <f t="shared" si="277"/>
        <v>1.8857543281265103</v>
      </c>
      <c r="X283" s="66">
        <f t="shared" si="277"/>
        <v>1.8819257862123342</v>
      </c>
      <c r="Y283" s="66">
        <f t="shared" si="277"/>
        <v>1.879323211714792</v>
      </c>
      <c r="Z283" s="66">
        <f t="shared" si="277"/>
        <v>1.8775620785122054</v>
      </c>
      <c r="AA283" s="66">
        <f t="shared" si="277"/>
        <v>1.8763740162150813</v>
      </c>
      <c r="AB283" s="66">
        <f t="shared" si="277"/>
        <v>1.8755742185784499</v>
      </c>
      <c r="AC283" s="66">
        <f t="shared" si="277"/>
        <v>1.8750365549231993</v>
      </c>
    </row>
    <row r="284" spans="1:29" ht="15" thickBot="1" x14ac:dyDescent="0.35">
      <c r="A284" s="59" t="str">
        <f t="shared" ref="A284" si="278">A272</f>
        <v>Emission Cost</v>
      </c>
      <c r="B284" s="66">
        <f>B255</f>
        <v>5.9070060812636778E-2</v>
      </c>
      <c r="C284" s="66">
        <f t="shared" ref="C284:AC284" si="279">C255</f>
        <v>5.9013811722223086E-2</v>
      </c>
      <c r="D284" s="66">
        <f t="shared" si="279"/>
        <v>5.8933292402143352E-2</v>
      </c>
      <c r="E284" s="66">
        <f t="shared" si="279"/>
        <v>5.8818103852397587E-2</v>
      </c>
      <c r="F284" s="66">
        <f t="shared" si="279"/>
        <v>5.8653473997195435E-2</v>
      </c>
      <c r="G284" s="66">
        <f t="shared" si="279"/>
        <v>5.8418511615834896E-2</v>
      </c>
      <c r="H284" s="66">
        <f t="shared" si="279"/>
        <v>5.8083867542195688E-2</v>
      </c>
      <c r="I284" s="66">
        <f t="shared" si="279"/>
        <v>5.760872092945437E-2</v>
      </c>
      <c r="J284" s="66">
        <f t="shared" si="279"/>
        <v>5.6937146851018805E-2</v>
      </c>
      <c r="K284" s="66">
        <f t="shared" si="279"/>
        <v>5.5994268961095287E-2</v>
      </c>
      <c r="L284" s="66">
        <f t="shared" si="279"/>
        <v>5.4683326418828664E-2</v>
      </c>
      <c r="M284" s="66">
        <f t="shared" si="279"/>
        <v>5.288607323583918E-2</v>
      </c>
      <c r="N284" s="66">
        <f t="shared" si="279"/>
        <v>5.0470757543766405E-2</v>
      </c>
      <c r="O284" s="66">
        <f t="shared" si="279"/>
        <v>4.7313473329551395E-2</v>
      </c>
      <c r="P284" s="66">
        <f t="shared" si="279"/>
        <v>4.3337407512043943E-2</v>
      </c>
      <c r="Q284" s="66">
        <f t="shared" si="279"/>
        <v>3.8566242664022157E-2</v>
      </c>
      <c r="R284" s="66">
        <f t="shared" si="279"/>
        <v>3.3171135154922579E-2</v>
      </c>
      <c r="S284" s="66">
        <f t="shared" si="279"/>
        <v>2.7475542293135265E-2</v>
      </c>
      <c r="T284" s="66">
        <f t="shared" si="279"/>
        <v>2.1892028045560286E-2</v>
      </c>
      <c r="U284" s="66">
        <f t="shared" si="279"/>
        <v>1.680924009742308E-2</v>
      </c>
      <c r="V284" s="66">
        <f t="shared" si="279"/>
        <v>1.2489594144429211E-2</v>
      </c>
      <c r="W284" s="66">
        <f t="shared" si="279"/>
        <v>9.0303313408408581E-3</v>
      </c>
      <c r="X284" s="66">
        <f t="shared" si="279"/>
        <v>6.3907602886633802E-3</v>
      </c>
      <c r="Y284" s="66">
        <f t="shared" si="279"/>
        <v>4.4504638714085373E-3</v>
      </c>
      <c r="Z284" s="66">
        <f t="shared" si="279"/>
        <v>3.0631800026883343E-3</v>
      </c>
      <c r="AA284" s="66">
        <f t="shared" si="279"/>
        <v>2.0908988843123671E-3</v>
      </c>
      <c r="AB284" s="66">
        <f t="shared" si="279"/>
        <v>1.4189928704466184E-3</v>
      </c>
      <c r="AC284" s="66">
        <f t="shared" si="279"/>
        <v>9.5917410279734022E-4</v>
      </c>
    </row>
    <row r="285" spans="1:29" ht="15" thickBot="1" x14ac:dyDescent="0.35">
      <c r="A285" s="31" t="s">
        <v>63</v>
      </c>
      <c r="B285" s="76">
        <f>B276+B277+B278-B279+B280+B281+B282+B283+B284</f>
        <v>16.392086848544164</v>
      </c>
      <c r="C285" s="76">
        <f t="shared" ref="C285:AC285" si="280">C276+C277+C278-C279+C280+C281+C282+C283+C284</f>
        <v>16.389244286774936</v>
      </c>
      <c r="D285" s="76">
        <f t="shared" si="280"/>
        <v>16.385207602873844</v>
      </c>
      <c r="E285" s="76">
        <f t="shared" si="280"/>
        <v>16.379500755851979</v>
      </c>
      <c r="F285" s="76">
        <f t="shared" si="280"/>
        <v>16.371485538383798</v>
      </c>
      <c r="G285" s="76">
        <f t="shared" si="280"/>
        <v>16.360335409368844</v>
      </c>
      <c r="H285" s="76">
        <f t="shared" si="280"/>
        <v>16.345036480177747</v>
      </c>
      <c r="I285" s="76">
        <f t="shared" si="280"/>
        <v>16.32445093787511</v>
      </c>
      <c r="J285" s="76">
        <f t="shared" si="280"/>
        <v>16.297491191587248</v>
      </c>
      <c r="K285" s="76">
        <f t="shared" si="280"/>
        <v>16.263442804077368</v>
      </c>
      <c r="L285" s="76">
        <f t="shared" si="280"/>
        <v>16.222406200284951</v>
      </c>
      <c r="M285" s="76">
        <f t="shared" si="280"/>
        <v>16.175688215972016</v>
      </c>
      <c r="N285" s="76">
        <f t="shared" si="280"/>
        <v>16.125850268731185</v>
      </c>
      <c r="O285" s="76">
        <f t="shared" si="280"/>
        <v>16.076203541655545</v>
      </c>
      <c r="P285" s="76">
        <f t="shared" si="280"/>
        <v>16.029907179083303</v>
      </c>
      <c r="Q285" s="76">
        <f t="shared" si="280"/>
        <v>15.989169788519908</v>
      </c>
      <c r="R285" s="76">
        <f t="shared" si="280"/>
        <v>15.954972175398879</v>
      </c>
      <c r="S285" s="76">
        <f t="shared" si="280"/>
        <v>15.927298992408764</v>
      </c>
      <c r="T285" s="76">
        <f t="shared" si="280"/>
        <v>15.905560186811593</v>
      </c>
      <c r="U285" s="76">
        <f t="shared" si="280"/>
        <v>15.888926599261671</v>
      </c>
      <c r="V285" s="76">
        <f t="shared" si="280"/>
        <v>15.876511548605876</v>
      </c>
      <c r="W285" s="76">
        <f t="shared" si="280"/>
        <v>15.86745786357019</v>
      </c>
      <c r="X285" s="76">
        <f t="shared" si="280"/>
        <v>15.860989750603839</v>
      </c>
      <c r="Y285" s="76">
        <f t="shared" si="280"/>
        <v>15.856446879689042</v>
      </c>
      <c r="Z285" s="76">
        <f t="shared" si="280"/>
        <v>15.853298462617733</v>
      </c>
      <c r="AA285" s="76">
        <f t="shared" si="280"/>
        <v>15.851138119202233</v>
      </c>
      <c r="AB285" s="76">
        <f t="shared" si="280"/>
        <v>15.849666415551736</v>
      </c>
      <c r="AC285" s="76">
        <f t="shared" si="280"/>
        <v>15.848668933128836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81">A264</f>
        <v>Capex vehicle</v>
      </c>
      <c r="B288" s="65">
        <f>((1+B249)^B256)*B249/(((1+B249)^B256)-1)*(B245)/B261/(B258)</f>
        <v>1.0902430594344164E-3</v>
      </c>
      <c r="C288" s="65">
        <f t="shared" ref="C288:AC288" si="282">((1+C249)^C256)*C249/(((1+C249)^C256)-1)*(C245)/C261/(C258)</f>
        <v>1.0902430594344164E-3</v>
      </c>
      <c r="D288" s="65">
        <f t="shared" si="282"/>
        <v>1.0902430594344164E-3</v>
      </c>
      <c r="E288" s="65">
        <f t="shared" si="282"/>
        <v>1.0902430594344164E-3</v>
      </c>
      <c r="F288" s="65">
        <f t="shared" si="282"/>
        <v>1.0902430594344164E-3</v>
      </c>
      <c r="G288" s="65">
        <f t="shared" si="282"/>
        <v>1.0902430594344164E-3</v>
      </c>
      <c r="H288" s="65">
        <f t="shared" si="282"/>
        <v>1.0902430594344164E-3</v>
      </c>
      <c r="I288" s="65">
        <f t="shared" si="282"/>
        <v>1.0902430594344164E-3</v>
      </c>
      <c r="J288" s="65">
        <f t="shared" si="282"/>
        <v>1.0902430594344164E-3</v>
      </c>
      <c r="K288" s="65">
        <f t="shared" si="282"/>
        <v>1.0902430594344164E-3</v>
      </c>
      <c r="L288" s="65">
        <f t="shared" si="282"/>
        <v>1.0902430594344164E-3</v>
      </c>
      <c r="M288" s="65">
        <f t="shared" si="282"/>
        <v>1.0902430594344164E-3</v>
      </c>
      <c r="N288" s="65">
        <f t="shared" si="282"/>
        <v>1.0902430594344164E-3</v>
      </c>
      <c r="O288" s="65">
        <f t="shared" si="282"/>
        <v>1.0902430594344164E-3</v>
      </c>
      <c r="P288" s="65">
        <f t="shared" si="282"/>
        <v>1.0902430594344164E-3</v>
      </c>
      <c r="Q288" s="65">
        <f t="shared" si="282"/>
        <v>1.0902430594344164E-3</v>
      </c>
      <c r="R288" s="65">
        <f t="shared" si="282"/>
        <v>1.0902430594344164E-3</v>
      </c>
      <c r="S288" s="65">
        <f t="shared" si="282"/>
        <v>1.0902430594344164E-3</v>
      </c>
      <c r="T288" s="65">
        <f t="shared" si="282"/>
        <v>1.0902430594344164E-3</v>
      </c>
      <c r="U288" s="65">
        <f t="shared" si="282"/>
        <v>1.0902430594344164E-3</v>
      </c>
      <c r="V288" s="65">
        <f t="shared" si="282"/>
        <v>1.0902430594344164E-3</v>
      </c>
      <c r="W288" s="65">
        <f t="shared" si="282"/>
        <v>1.0902430594344164E-3</v>
      </c>
      <c r="X288" s="65">
        <f t="shared" si="282"/>
        <v>1.0902430594344164E-3</v>
      </c>
      <c r="Y288" s="65">
        <f t="shared" si="282"/>
        <v>1.0902430594344164E-3</v>
      </c>
      <c r="Z288" s="65">
        <f t="shared" si="282"/>
        <v>1.0902430594344164E-3</v>
      </c>
      <c r="AA288" s="65">
        <f t="shared" si="282"/>
        <v>1.0902430594344164E-3</v>
      </c>
      <c r="AB288" s="65">
        <f t="shared" si="282"/>
        <v>1.0902430594344164E-3</v>
      </c>
      <c r="AC288" s="65">
        <f t="shared" si="282"/>
        <v>1.0902430594344164E-3</v>
      </c>
    </row>
    <row r="289" spans="1:29" x14ac:dyDescent="0.3">
      <c r="A289" s="30" t="str">
        <f t="shared" si="281"/>
        <v>Residual value (vehicle)</v>
      </c>
      <c r="B289" s="68">
        <f>((1+B249)^B256)*B249/(((1+B249)^B256)-1)*(B246)/B261/(B258)</f>
        <v>-1.6353645891516245E-4</v>
      </c>
      <c r="C289" s="68">
        <f t="shared" ref="C289:AC289" si="283">((1+C249)^C256)*C249/(((1+C249)^C256)-1)*(C246)/C261/(C258)</f>
        <v>-1.6353645891516245E-4</v>
      </c>
      <c r="D289" s="68">
        <f t="shared" si="283"/>
        <v>-1.6353645891516245E-4</v>
      </c>
      <c r="E289" s="68">
        <f t="shared" si="283"/>
        <v>-1.6353645891516245E-4</v>
      </c>
      <c r="F289" s="68">
        <f t="shared" si="283"/>
        <v>-1.6353645891516245E-4</v>
      </c>
      <c r="G289" s="68">
        <f t="shared" si="283"/>
        <v>-1.6353645891516245E-4</v>
      </c>
      <c r="H289" s="68">
        <f t="shared" si="283"/>
        <v>-1.6353645891516245E-4</v>
      </c>
      <c r="I289" s="68">
        <f t="shared" si="283"/>
        <v>-1.6353645891516245E-4</v>
      </c>
      <c r="J289" s="68">
        <f t="shared" si="283"/>
        <v>-1.6353645891516245E-4</v>
      </c>
      <c r="K289" s="68">
        <f t="shared" si="283"/>
        <v>-1.6353645891516245E-4</v>
      </c>
      <c r="L289" s="68">
        <f t="shared" si="283"/>
        <v>-1.6353645891516245E-4</v>
      </c>
      <c r="M289" s="68">
        <f t="shared" si="283"/>
        <v>-1.6353645891516245E-4</v>
      </c>
      <c r="N289" s="68">
        <f t="shared" si="283"/>
        <v>-1.6353645891516245E-4</v>
      </c>
      <c r="O289" s="68">
        <f t="shared" si="283"/>
        <v>-1.6353645891516245E-4</v>
      </c>
      <c r="P289" s="68">
        <f t="shared" si="283"/>
        <v>-1.6353645891516245E-4</v>
      </c>
      <c r="Q289" s="68">
        <f t="shared" si="283"/>
        <v>-1.6353645891516245E-4</v>
      </c>
      <c r="R289" s="68">
        <f t="shared" si="283"/>
        <v>-1.6353645891516245E-4</v>
      </c>
      <c r="S289" s="68">
        <f t="shared" si="283"/>
        <v>-1.6353645891516245E-4</v>
      </c>
      <c r="T289" s="68">
        <f t="shared" si="283"/>
        <v>-1.6353645891516245E-4</v>
      </c>
      <c r="U289" s="68">
        <f t="shared" si="283"/>
        <v>-1.6353645891516245E-4</v>
      </c>
      <c r="V289" s="68">
        <f t="shared" si="283"/>
        <v>-1.6353645891516245E-4</v>
      </c>
      <c r="W289" s="68">
        <f t="shared" si="283"/>
        <v>-1.6353645891516245E-4</v>
      </c>
      <c r="X289" s="68">
        <f t="shared" si="283"/>
        <v>-1.6353645891516245E-4</v>
      </c>
      <c r="Y289" s="68">
        <f t="shared" si="283"/>
        <v>-1.6353645891516245E-4</v>
      </c>
      <c r="Z289" s="68">
        <f t="shared" si="283"/>
        <v>-1.6353645891516245E-4</v>
      </c>
      <c r="AA289" s="68">
        <f t="shared" si="283"/>
        <v>-1.6353645891516245E-4</v>
      </c>
      <c r="AB289" s="68">
        <f t="shared" si="283"/>
        <v>-1.6353645891516245E-4</v>
      </c>
      <c r="AC289" s="68">
        <f t="shared" si="283"/>
        <v>-1.6353645891516245E-4</v>
      </c>
    </row>
    <row r="290" spans="1:29" x14ac:dyDescent="0.3">
      <c r="A290" s="30" t="str">
        <f t="shared" si="281"/>
        <v>Capex costumization</v>
      </c>
      <c r="B290" s="66">
        <f>((1+B249)^B257)*B249/(((1+B249)^B257)-1)*(B247)/B261/(B258)</f>
        <v>5.087458787818432E-4</v>
      </c>
      <c r="C290" s="66">
        <f t="shared" ref="C290:AC290" si="284">((1+C249)^C257)*C249/(((1+C249)^C257)-1)*(C247)/C261/(C258)</f>
        <v>5.087458787818432E-4</v>
      </c>
      <c r="D290" s="66">
        <f t="shared" si="284"/>
        <v>5.087458787818432E-4</v>
      </c>
      <c r="E290" s="66">
        <f t="shared" si="284"/>
        <v>5.087458787818432E-4</v>
      </c>
      <c r="F290" s="66">
        <f t="shared" si="284"/>
        <v>5.087458787818432E-4</v>
      </c>
      <c r="G290" s="66">
        <f t="shared" si="284"/>
        <v>5.087458787818432E-4</v>
      </c>
      <c r="H290" s="66">
        <f t="shared" si="284"/>
        <v>5.087458787818432E-4</v>
      </c>
      <c r="I290" s="66">
        <f t="shared" si="284"/>
        <v>5.087458787818432E-4</v>
      </c>
      <c r="J290" s="66">
        <f t="shared" si="284"/>
        <v>5.087458787818432E-4</v>
      </c>
      <c r="K290" s="66">
        <f t="shared" si="284"/>
        <v>5.087458787818432E-4</v>
      </c>
      <c r="L290" s="66">
        <f t="shared" si="284"/>
        <v>5.087458787818432E-4</v>
      </c>
      <c r="M290" s="66">
        <f t="shared" si="284"/>
        <v>5.087458787818432E-4</v>
      </c>
      <c r="N290" s="66">
        <f t="shared" si="284"/>
        <v>5.087458787818432E-4</v>
      </c>
      <c r="O290" s="66">
        <f t="shared" si="284"/>
        <v>5.087458787818432E-4</v>
      </c>
      <c r="P290" s="66">
        <f t="shared" si="284"/>
        <v>5.087458787818432E-4</v>
      </c>
      <c r="Q290" s="66">
        <f t="shared" si="284"/>
        <v>5.087458787818432E-4</v>
      </c>
      <c r="R290" s="66">
        <f t="shared" si="284"/>
        <v>5.087458787818432E-4</v>
      </c>
      <c r="S290" s="66">
        <f t="shared" si="284"/>
        <v>5.087458787818432E-4</v>
      </c>
      <c r="T290" s="66">
        <f t="shared" si="284"/>
        <v>5.087458787818432E-4</v>
      </c>
      <c r="U290" s="66">
        <f t="shared" si="284"/>
        <v>5.087458787818432E-4</v>
      </c>
      <c r="V290" s="66">
        <f t="shared" si="284"/>
        <v>5.087458787818432E-4</v>
      </c>
      <c r="W290" s="66">
        <f t="shared" si="284"/>
        <v>5.087458787818432E-4</v>
      </c>
      <c r="X290" s="66">
        <f t="shared" si="284"/>
        <v>5.087458787818432E-4</v>
      </c>
      <c r="Y290" s="66">
        <f t="shared" si="284"/>
        <v>5.087458787818432E-4</v>
      </c>
      <c r="Z290" s="66">
        <f t="shared" si="284"/>
        <v>5.087458787818432E-4</v>
      </c>
      <c r="AA290" s="66">
        <f t="shared" si="284"/>
        <v>5.087458787818432E-4</v>
      </c>
      <c r="AB290" s="66">
        <f t="shared" si="284"/>
        <v>5.087458787818432E-4</v>
      </c>
      <c r="AC290" s="66">
        <f t="shared" si="284"/>
        <v>5.087458787818432E-4</v>
      </c>
    </row>
    <row r="291" spans="1:29" x14ac:dyDescent="0.3">
      <c r="A291" s="30" t="str">
        <f t="shared" si="281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85">((1+C249)^C257)*C249/(((1+C249)^C257)-1)*(C248)/C261/(C258)</f>
        <v>-2.5437293939092156E-5</v>
      </c>
      <c r="D291" s="69">
        <f t="shared" si="285"/>
        <v>-2.5437293939092156E-5</v>
      </c>
      <c r="E291" s="69">
        <f t="shared" si="285"/>
        <v>-2.5437293939092156E-5</v>
      </c>
      <c r="F291" s="69">
        <f t="shared" si="285"/>
        <v>-2.5437293939092156E-5</v>
      </c>
      <c r="G291" s="69">
        <f t="shared" si="285"/>
        <v>-2.5437293939092156E-5</v>
      </c>
      <c r="H291" s="69">
        <f t="shared" si="285"/>
        <v>-2.5437293939092156E-5</v>
      </c>
      <c r="I291" s="69">
        <f t="shared" si="285"/>
        <v>-2.5437293939092156E-5</v>
      </c>
      <c r="J291" s="69">
        <f t="shared" si="285"/>
        <v>-2.5437293939092156E-5</v>
      </c>
      <c r="K291" s="69">
        <f t="shared" si="285"/>
        <v>-2.5437293939092156E-5</v>
      </c>
      <c r="L291" s="69">
        <f t="shared" si="285"/>
        <v>-2.5437293939092156E-5</v>
      </c>
      <c r="M291" s="69">
        <f t="shared" si="285"/>
        <v>-2.5437293939092156E-5</v>
      </c>
      <c r="N291" s="69">
        <f t="shared" si="285"/>
        <v>-2.5437293939092156E-5</v>
      </c>
      <c r="O291" s="69">
        <f t="shared" si="285"/>
        <v>-2.5437293939092156E-5</v>
      </c>
      <c r="P291" s="69">
        <f t="shared" si="285"/>
        <v>-2.5437293939092156E-5</v>
      </c>
      <c r="Q291" s="69">
        <f t="shared" si="285"/>
        <v>-2.5437293939092156E-5</v>
      </c>
      <c r="R291" s="69">
        <f t="shared" si="285"/>
        <v>-2.5437293939092156E-5</v>
      </c>
      <c r="S291" s="69">
        <f t="shared" si="285"/>
        <v>-2.5437293939092156E-5</v>
      </c>
      <c r="T291" s="69">
        <f t="shared" si="285"/>
        <v>-2.5437293939092156E-5</v>
      </c>
      <c r="U291" s="69">
        <f t="shared" si="285"/>
        <v>-2.5437293939092156E-5</v>
      </c>
      <c r="V291" s="69">
        <f t="shared" si="285"/>
        <v>-2.5437293939092156E-5</v>
      </c>
      <c r="W291" s="69">
        <f t="shared" si="285"/>
        <v>-2.5437293939092156E-5</v>
      </c>
      <c r="X291" s="69">
        <f t="shared" si="285"/>
        <v>-2.5437293939092156E-5</v>
      </c>
      <c r="Y291" s="69">
        <f t="shared" si="285"/>
        <v>-2.5437293939092156E-5</v>
      </c>
      <c r="Z291" s="69">
        <f t="shared" si="285"/>
        <v>-2.5437293939092156E-5</v>
      </c>
      <c r="AA291" s="69">
        <f t="shared" si="285"/>
        <v>-2.5437293939092156E-5</v>
      </c>
      <c r="AB291" s="69">
        <f t="shared" si="285"/>
        <v>-2.5437293939092156E-5</v>
      </c>
      <c r="AC291" s="69">
        <f t="shared" si="285"/>
        <v>-2.5437293939092156E-5</v>
      </c>
    </row>
    <row r="292" spans="1:29" x14ac:dyDescent="0.3">
      <c r="A292" s="30" t="str">
        <f t="shared" si="281"/>
        <v>Opex fix (admin, crew, insurance)</v>
      </c>
      <c r="B292" s="66">
        <f>B250/B261/(B258)</f>
        <v>1.525610244097639E-3</v>
      </c>
      <c r="C292" s="66">
        <f t="shared" ref="C292:AC292" si="286">C250/C261/(C258)</f>
        <v>1.525610244097639E-3</v>
      </c>
      <c r="D292" s="66">
        <f t="shared" si="286"/>
        <v>1.525610244097639E-3</v>
      </c>
      <c r="E292" s="66">
        <f t="shared" si="286"/>
        <v>1.525610244097639E-3</v>
      </c>
      <c r="F292" s="66">
        <f t="shared" si="286"/>
        <v>1.525610244097639E-3</v>
      </c>
      <c r="G292" s="66">
        <f t="shared" si="286"/>
        <v>1.525610244097639E-3</v>
      </c>
      <c r="H292" s="66">
        <f t="shared" si="286"/>
        <v>1.525610244097639E-3</v>
      </c>
      <c r="I292" s="66">
        <f t="shared" si="286"/>
        <v>1.525610244097639E-3</v>
      </c>
      <c r="J292" s="66">
        <f t="shared" si="286"/>
        <v>1.525610244097639E-3</v>
      </c>
      <c r="K292" s="66">
        <f t="shared" si="286"/>
        <v>1.525610244097639E-3</v>
      </c>
      <c r="L292" s="66">
        <f t="shared" si="286"/>
        <v>1.525610244097639E-3</v>
      </c>
      <c r="M292" s="66">
        <f t="shared" si="286"/>
        <v>1.525610244097639E-3</v>
      </c>
      <c r="N292" s="66">
        <f t="shared" si="286"/>
        <v>1.525610244097639E-3</v>
      </c>
      <c r="O292" s="66">
        <f t="shared" si="286"/>
        <v>1.525610244097639E-3</v>
      </c>
      <c r="P292" s="66">
        <f t="shared" si="286"/>
        <v>1.525610244097639E-3</v>
      </c>
      <c r="Q292" s="66">
        <f t="shared" si="286"/>
        <v>1.525610244097639E-3</v>
      </c>
      <c r="R292" s="66">
        <f t="shared" si="286"/>
        <v>1.525610244097639E-3</v>
      </c>
      <c r="S292" s="66">
        <f t="shared" si="286"/>
        <v>1.525610244097639E-3</v>
      </c>
      <c r="T292" s="66">
        <f t="shared" si="286"/>
        <v>1.525610244097639E-3</v>
      </c>
      <c r="U292" s="66">
        <f t="shared" si="286"/>
        <v>1.525610244097639E-3</v>
      </c>
      <c r="V292" s="66">
        <f t="shared" si="286"/>
        <v>1.525610244097639E-3</v>
      </c>
      <c r="W292" s="66">
        <f t="shared" si="286"/>
        <v>1.525610244097639E-3</v>
      </c>
      <c r="X292" s="66">
        <f t="shared" si="286"/>
        <v>1.525610244097639E-3</v>
      </c>
      <c r="Y292" s="66">
        <f t="shared" si="286"/>
        <v>1.525610244097639E-3</v>
      </c>
      <c r="Z292" s="66">
        <f t="shared" si="286"/>
        <v>1.525610244097639E-3</v>
      </c>
      <c r="AA292" s="66">
        <f t="shared" si="286"/>
        <v>1.525610244097639E-3</v>
      </c>
      <c r="AB292" s="66">
        <f t="shared" si="286"/>
        <v>1.525610244097639E-3</v>
      </c>
      <c r="AC292" s="66">
        <f t="shared" si="286"/>
        <v>1.525610244097639E-3</v>
      </c>
    </row>
    <row r="293" spans="1:29" x14ac:dyDescent="0.3">
      <c r="A293" s="30" t="str">
        <f t="shared" si="281"/>
        <v>Opex maintenance &amp; repair</v>
      </c>
      <c r="B293" s="66">
        <f>B251/B261/(B258)</f>
        <v>1.6256502601040416E-3</v>
      </c>
      <c r="C293" s="66">
        <f t="shared" ref="C293:AC293" si="287">C251/C261/(C258)</f>
        <v>1.6256502601040416E-3</v>
      </c>
      <c r="D293" s="66">
        <f t="shared" si="287"/>
        <v>1.6256502601040416E-3</v>
      </c>
      <c r="E293" s="66">
        <f t="shared" si="287"/>
        <v>1.6256502601040416E-3</v>
      </c>
      <c r="F293" s="66">
        <f t="shared" si="287"/>
        <v>1.6256502601040416E-3</v>
      </c>
      <c r="G293" s="66">
        <f t="shared" si="287"/>
        <v>1.6256502601040416E-3</v>
      </c>
      <c r="H293" s="66">
        <f t="shared" si="287"/>
        <v>1.6256502601040416E-3</v>
      </c>
      <c r="I293" s="66">
        <f t="shared" si="287"/>
        <v>1.6256502601040416E-3</v>
      </c>
      <c r="J293" s="66">
        <f t="shared" si="287"/>
        <v>1.6256502601040416E-3</v>
      </c>
      <c r="K293" s="66">
        <f t="shared" si="287"/>
        <v>1.6256502601040416E-3</v>
      </c>
      <c r="L293" s="66">
        <f t="shared" si="287"/>
        <v>1.6256502601040416E-3</v>
      </c>
      <c r="M293" s="66">
        <f t="shared" si="287"/>
        <v>1.6256502601040416E-3</v>
      </c>
      <c r="N293" s="66">
        <f t="shared" si="287"/>
        <v>1.6256502601040416E-3</v>
      </c>
      <c r="O293" s="66">
        <f t="shared" si="287"/>
        <v>1.6256502601040416E-3</v>
      </c>
      <c r="P293" s="66">
        <f t="shared" si="287"/>
        <v>1.6256502601040416E-3</v>
      </c>
      <c r="Q293" s="66">
        <f t="shared" si="287"/>
        <v>1.6256502601040416E-3</v>
      </c>
      <c r="R293" s="66">
        <f t="shared" si="287"/>
        <v>1.6256502601040416E-3</v>
      </c>
      <c r="S293" s="66">
        <f t="shared" si="287"/>
        <v>1.6256502601040416E-3</v>
      </c>
      <c r="T293" s="66">
        <f t="shared" si="287"/>
        <v>1.6256502601040416E-3</v>
      </c>
      <c r="U293" s="66">
        <f t="shared" si="287"/>
        <v>1.6256502601040416E-3</v>
      </c>
      <c r="V293" s="66">
        <f t="shared" si="287"/>
        <v>1.6256502601040416E-3</v>
      </c>
      <c r="W293" s="66">
        <f t="shared" si="287"/>
        <v>1.6256502601040416E-3</v>
      </c>
      <c r="X293" s="66">
        <f t="shared" si="287"/>
        <v>1.6256502601040416E-3</v>
      </c>
      <c r="Y293" s="66">
        <f t="shared" si="287"/>
        <v>1.6256502601040416E-3</v>
      </c>
      <c r="Z293" s="66">
        <f t="shared" si="287"/>
        <v>1.6256502601040416E-3</v>
      </c>
      <c r="AA293" s="66">
        <f t="shared" si="287"/>
        <v>1.6256502601040416E-3</v>
      </c>
      <c r="AB293" s="66">
        <f t="shared" si="287"/>
        <v>1.6256502601040416E-3</v>
      </c>
      <c r="AC293" s="66">
        <f t="shared" si="287"/>
        <v>1.6256502601040416E-3</v>
      </c>
    </row>
    <row r="294" spans="1:29" x14ac:dyDescent="0.3">
      <c r="A294" s="30" t="str">
        <f t="shared" si="281"/>
        <v>Opex var (mode-fees, shunting)</v>
      </c>
      <c r="B294" s="66">
        <f>B252*B261/B261/(B258)</f>
        <v>1.6256502601040416E-3</v>
      </c>
      <c r="C294" s="66">
        <f t="shared" ref="C294:AC294" si="288">C252*C261/C261/(C258)</f>
        <v>1.6256502601040416E-3</v>
      </c>
      <c r="D294" s="66">
        <f t="shared" si="288"/>
        <v>1.6256502601040416E-3</v>
      </c>
      <c r="E294" s="66">
        <f t="shared" si="288"/>
        <v>1.6256502601040416E-3</v>
      </c>
      <c r="F294" s="66">
        <f t="shared" si="288"/>
        <v>1.6256502601040416E-3</v>
      </c>
      <c r="G294" s="66">
        <f t="shared" si="288"/>
        <v>1.6256502601040416E-3</v>
      </c>
      <c r="H294" s="66">
        <f t="shared" si="288"/>
        <v>1.6256502601040416E-3</v>
      </c>
      <c r="I294" s="66">
        <f t="shared" si="288"/>
        <v>1.6256502601040416E-3</v>
      </c>
      <c r="J294" s="66">
        <f t="shared" si="288"/>
        <v>1.6256502601040416E-3</v>
      </c>
      <c r="K294" s="66">
        <f t="shared" si="288"/>
        <v>1.6256502601040416E-3</v>
      </c>
      <c r="L294" s="66">
        <f t="shared" si="288"/>
        <v>1.6256502601040416E-3</v>
      </c>
      <c r="M294" s="66">
        <f t="shared" si="288"/>
        <v>1.6256502601040416E-3</v>
      </c>
      <c r="N294" s="66">
        <f t="shared" si="288"/>
        <v>1.6256502601040416E-3</v>
      </c>
      <c r="O294" s="66">
        <f t="shared" si="288"/>
        <v>1.6256502601040416E-3</v>
      </c>
      <c r="P294" s="66">
        <f t="shared" si="288"/>
        <v>1.6256502601040416E-3</v>
      </c>
      <c r="Q294" s="66">
        <f t="shared" si="288"/>
        <v>1.6256502601040416E-3</v>
      </c>
      <c r="R294" s="66">
        <f t="shared" si="288"/>
        <v>1.6256502601040416E-3</v>
      </c>
      <c r="S294" s="66">
        <f t="shared" si="288"/>
        <v>1.6256502601040416E-3</v>
      </c>
      <c r="T294" s="66">
        <f t="shared" si="288"/>
        <v>1.6256502601040416E-3</v>
      </c>
      <c r="U294" s="66">
        <f t="shared" si="288"/>
        <v>1.6256502601040416E-3</v>
      </c>
      <c r="V294" s="66">
        <f t="shared" si="288"/>
        <v>1.6256502601040416E-3</v>
      </c>
      <c r="W294" s="66">
        <f t="shared" si="288"/>
        <v>1.6256502601040416E-3</v>
      </c>
      <c r="X294" s="66">
        <f t="shared" si="288"/>
        <v>1.6256502601040416E-3</v>
      </c>
      <c r="Y294" s="66">
        <f t="shared" si="288"/>
        <v>1.6256502601040416E-3</v>
      </c>
      <c r="Z294" s="66">
        <f t="shared" si="288"/>
        <v>1.6256502601040416E-3</v>
      </c>
      <c r="AA294" s="66">
        <f t="shared" si="288"/>
        <v>1.6256502601040416E-3</v>
      </c>
      <c r="AB294" s="66">
        <f t="shared" si="288"/>
        <v>1.6256502601040416E-3</v>
      </c>
      <c r="AC294" s="66">
        <f t="shared" si="288"/>
        <v>1.6256502601040416E-3</v>
      </c>
    </row>
    <row r="295" spans="1:29" x14ac:dyDescent="0.3">
      <c r="A295" s="30" t="str">
        <f t="shared" si="281"/>
        <v>Fuel Cost</v>
      </c>
      <c r="B295" s="66">
        <f>B253*B254*B261/B261/(B258)</f>
        <v>1.0537248141199494E-3</v>
      </c>
      <c r="C295" s="66">
        <f t="shared" ref="C295:AC295" si="289">C253*C254*C261/C261/(C258)</f>
        <v>1.0524809245311927E-3</v>
      </c>
      <c r="D295" s="66">
        <f t="shared" si="289"/>
        <v>1.0507147796289546E-3</v>
      </c>
      <c r="E295" s="66">
        <f t="shared" si="289"/>
        <v>1.0482185035253304E-3</v>
      </c>
      <c r="F295" s="66">
        <f t="shared" si="289"/>
        <v>1.0447137769123939E-3</v>
      </c>
      <c r="G295" s="66">
        <f t="shared" si="289"/>
        <v>1.0398409346652547E-3</v>
      </c>
      <c r="H295" s="66">
        <f t="shared" si="289"/>
        <v>1.0331604502378181E-3</v>
      </c>
      <c r="I295" s="66">
        <f t="shared" si="289"/>
        <v>1.0241825950191134E-3</v>
      </c>
      <c r="J295" s="66">
        <f t="shared" si="289"/>
        <v>1.0124468038541917E-3</v>
      </c>
      <c r="K295" s="66">
        <f t="shared" si="289"/>
        <v>9.9766755848813859E-4</v>
      </c>
      <c r="L295" s="66">
        <f t="shared" si="289"/>
        <v>9.7993288828717904E-4</v>
      </c>
      <c r="M295" s="66">
        <f t="shared" si="289"/>
        <v>9.5987899046131133E-4</v>
      </c>
      <c r="N295" s="66">
        <f t="shared" si="289"/>
        <v>9.3870817280561521E-4</v>
      </c>
      <c r="O295" s="66">
        <f t="shared" si="289"/>
        <v>9.179539572424794E-4</v>
      </c>
      <c r="P295" s="66">
        <f t="shared" si="289"/>
        <v>8.9906096761983021E-4</v>
      </c>
      <c r="Q295" s="66">
        <f t="shared" si="289"/>
        <v>8.8300461685403807E-4</v>
      </c>
      <c r="R295" s="66">
        <f t="shared" si="289"/>
        <v>8.7014635542014083E-4</v>
      </c>
      <c r="S295" s="66">
        <f t="shared" si="289"/>
        <v>8.603349312557093E-4</v>
      </c>
      <c r="T295" s="66">
        <f t="shared" si="289"/>
        <v>8.5312274761749677E-4</v>
      </c>
      <c r="U295" s="66">
        <f t="shared" si="289"/>
        <v>8.4796614065241465E-4</v>
      </c>
      <c r="V295" s="66">
        <f t="shared" si="289"/>
        <v>8.4435212069580658E-4</v>
      </c>
      <c r="W295" s="66">
        <f t="shared" si="289"/>
        <v>8.4185461077076356E-4</v>
      </c>
      <c r="X295" s="66">
        <f t="shared" si="289"/>
        <v>8.4014544027336349E-4</v>
      </c>
      <c r="Y295" s="66">
        <f t="shared" si="289"/>
        <v>8.3898357665838929E-4</v>
      </c>
      <c r="Z295" s="66">
        <f t="shared" si="289"/>
        <v>8.3819735647866316E-4</v>
      </c>
      <c r="AA295" s="66">
        <f t="shared" si="289"/>
        <v>8.3766697152458987E-4</v>
      </c>
      <c r="AB295" s="66">
        <f t="shared" si="289"/>
        <v>8.3730991900823654E-4</v>
      </c>
      <c r="AC295" s="66">
        <f t="shared" si="289"/>
        <v>8.3706989059071399E-4</v>
      </c>
    </row>
    <row r="296" spans="1:29" x14ac:dyDescent="0.3">
      <c r="A296" s="59" t="str">
        <f>A259</f>
        <v>Market failure (av. utilization)</v>
      </c>
      <c r="B296" s="66">
        <f t="shared" ref="B296:AC296" si="290">B285/B259-B285/B258</f>
        <v>1.5550528818373367E-2</v>
      </c>
      <c r="C296" s="66">
        <f t="shared" si="290"/>
        <v>1.554783219169497E-2</v>
      </c>
      <c r="D296" s="66">
        <f t="shared" si="290"/>
        <v>1.5544002748262016E-2</v>
      </c>
      <c r="E296" s="66">
        <f t="shared" si="290"/>
        <v>1.5538588886689932E-2</v>
      </c>
      <c r="F296" s="66">
        <f t="shared" si="290"/>
        <v>1.5530985164761413E-2</v>
      </c>
      <c r="G296" s="66">
        <f t="shared" si="290"/>
        <v>1.552040747540571E-2</v>
      </c>
      <c r="H296" s="66">
        <f t="shared" si="290"/>
        <v>1.5505893982311477E-2</v>
      </c>
      <c r="I296" s="66">
        <f t="shared" si="290"/>
        <v>1.5486365287046697E-2</v>
      </c>
      <c r="J296" s="66">
        <f t="shared" si="290"/>
        <v>1.5460789634876293E-2</v>
      </c>
      <c r="K296" s="66">
        <f t="shared" si="290"/>
        <v>1.5428489267260894E-2</v>
      </c>
      <c r="L296" s="66">
        <f t="shared" si="290"/>
        <v>1.5389559453395322E-2</v>
      </c>
      <c r="M296" s="66">
        <f t="shared" si="290"/>
        <v>1.5345239937027022E-2</v>
      </c>
      <c r="N296" s="66">
        <f t="shared" si="290"/>
        <v>1.5297960634399001E-2</v>
      </c>
      <c r="O296" s="66">
        <f t="shared" si="290"/>
        <v>1.5250862734829475E-2</v>
      </c>
      <c r="P296" s="66">
        <f t="shared" si="290"/>
        <v>1.5206943194442862E-2</v>
      </c>
      <c r="Q296" s="66">
        <f t="shared" si="290"/>
        <v>1.5168297232412857E-2</v>
      </c>
      <c r="R296" s="66">
        <f t="shared" si="290"/>
        <v>1.5135855300322597E-2</v>
      </c>
      <c r="S296" s="66">
        <f t="shared" si="290"/>
        <v>1.5109602838780633E-2</v>
      </c>
      <c r="T296" s="66">
        <f t="shared" si="290"/>
        <v>1.5088980087935105E-2</v>
      </c>
      <c r="U296" s="66">
        <f t="shared" si="290"/>
        <v>1.507320045688886E-2</v>
      </c>
      <c r="V296" s="66">
        <f t="shared" si="290"/>
        <v>1.5061422786065839E-2</v>
      </c>
      <c r="W296" s="66">
        <f t="shared" si="290"/>
        <v>1.5052833910752969E-2</v>
      </c>
      <c r="X296" s="66">
        <f t="shared" si="290"/>
        <v>1.5046697866086228E-2</v>
      </c>
      <c r="Y296" s="66">
        <f t="shared" si="290"/>
        <v>1.5042388222919291E-2</v>
      </c>
      <c r="Z296" s="66">
        <f t="shared" si="290"/>
        <v>1.5039401443331553E-2</v>
      </c>
      <c r="AA296" s="66">
        <f t="shared" si="290"/>
        <v>1.50373520104039E-2</v>
      </c>
      <c r="AB296" s="66">
        <f t="shared" si="290"/>
        <v>1.5035955862967604E-2</v>
      </c>
      <c r="AC296" s="66">
        <f t="shared" si="290"/>
        <v>1.5035009590579808E-2</v>
      </c>
    </row>
    <row r="297" spans="1:29" x14ac:dyDescent="0.3">
      <c r="A297" s="59" t="str">
        <f>A260</f>
        <v>Payload loss (fuel)</v>
      </c>
      <c r="B297" s="66">
        <f>B285/(B258-B260)-B285/B258</f>
        <v>0</v>
      </c>
      <c r="C297" s="66">
        <f t="shared" ref="C297:AC297" si="291">C285/(C258-C260)-C285/C258</f>
        <v>0</v>
      </c>
      <c r="D297" s="66">
        <f t="shared" si="291"/>
        <v>0</v>
      </c>
      <c r="E297" s="66">
        <f t="shared" si="291"/>
        <v>0</v>
      </c>
      <c r="F297" s="66">
        <f t="shared" si="291"/>
        <v>0</v>
      </c>
      <c r="G297" s="66">
        <f t="shared" si="291"/>
        <v>0</v>
      </c>
      <c r="H297" s="66">
        <f t="shared" si="291"/>
        <v>0</v>
      </c>
      <c r="I297" s="66">
        <f t="shared" si="291"/>
        <v>0</v>
      </c>
      <c r="J297" s="66">
        <f t="shared" si="291"/>
        <v>0</v>
      </c>
      <c r="K297" s="66">
        <f t="shared" si="291"/>
        <v>0</v>
      </c>
      <c r="L297" s="66">
        <f t="shared" si="291"/>
        <v>0</v>
      </c>
      <c r="M297" s="66">
        <f t="shared" si="291"/>
        <v>0</v>
      </c>
      <c r="N297" s="66">
        <f t="shared" si="291"/>
        <v>0</v>
      </c>
      <c r="O297" s="66">
        <f t="shared" si="291"/>
        <v>0</v>
      </c>
      <c r="P297" s="66">
        <f t="shared" si="291"/>
        <v>0</v>
      </c>
      <c r="Q297" s="66">
        <f t="shared" si="291"/>
        <v>0</v>
      </c>
      <c r="R297" s="66">
        <f t="shared" si="291"/>
        <v>0</v>
      </c>
      <c r="S297" s="66">
        <f t="shared" si="291"/>
        <v>0</v>
      </c>
      <c r="T297" s="66">
        <f t="shared" si="291"/>
        <v>0</v>
      </c>
      <c r="U297" s="66">
        <f t="shared" si="291"/>
        <v>0</v>
      </c>
      <c r="V297" s="66">
        <f t="shared" si="291"/>
        <v>0</v>
      </c>
      <c r="W297" s="66">
        <f t="shared" si="291"/>
        <v>0</v>
      </c>
      <c r="X297" s="66">
        <f t="shared" si="291"/>
        <v>0</v>
      </c>
      <c r="Y297" s="66">
        <f t="shared" si="291"/>
        <v>0</v>
      </c>
      <c r="Z297" s="66">
        <f t="shared" si="291"/>
        <v>0</v>
      </c>
      <c r="AA297" s="66">
        <f t="shared" si="291"/>
        <v>0</v>
      </c>
      <c r="AB297" s="66">
        <f t="shared" si="291"/>
        <v>0</v>
      </c>
      <c r="AC297" s="66">
        <f t="shared" si="291"/>
        <v>0</v>
      </c>
    </row>
    <row r="298" spans="1:29" ht="15" thickBot="1" x14ac:dyDescent="0.35">
      <c r="A298" s="59" t="str">
        <f>A235</f>
        <v>Emission Cost</v>
      </c>
      <c r="B298" s="68">
        <f>B255*B261/B261/(B258)</f>
        <v>2.6370562862784274E-5</v>
      </c>
      <c r="C298" s="68">
        <f t="shared" ref="C298:AC298" si="292">C255*C261/C261/(C258)</f>
        <v>2.6345451661706736E-5</v>
      </c>
      <c r="D298" s="68">
        <f t="shared" si="292"/>
        <v>2.6309505536671141E-5</v>
      </c>
      <c r="E298" s="68">
        <f t="shared" si="292"/>
        <v>2.6258082076963209E-5</v>
      </c>
      <c r="F298" s="68">
        <f t="shared" si="292"/>
        <v>2.6184586605890821E-5</v>
      </c>
      <c r="G298" s="68">
        <f t="shared" si="292"/>
        <v>2.6079692685640579E-5</v>
      </c>
      <c r="H298" s="68">
        <f t="shared" si="292"/>
        <v>2.5930298009908791E-5</v>
      </c>
      <c r="I298" s="68">
        <f t="shared" si="292"/>
        <v>2.5718178986363559E-5</v>
      </c>
      <c r="J298" s="68">
        <f t="shared" si="292"/>
        <v>2.5418369129919108E-5</v>
      </c>
      <c r="K298" s="68">
        <f t="shared" si="292"/>
        <v>2.4997441500488967E-5</v>
      </c>
      <c r="L298" s="68">
        <f t="shared" si="292"/>
        <v>2.441219929411994E-5</v>
      </c>
      <c r="M298" s="68">
        <f t="shared" si="292"/>
        <v>2.360985412314249E-5</v>
      </c>
      <c r="N298" s="68">
        <f t="shared" si="292"/>
        <v>2.2531588189181431E-5</v>
      </c>
      <c r="O298" s="68">
        <f t="shared" si="292"/>
        <v>2.1122086307835443E-5</v>
      </c>
      <c r="P298" s="68">
        <f t="shared" si="292"/>
        <v>1.9347056925019619E-5</v>
      </c>
      <c r="Q298" s="68">
        <f t="shared" si="292"/>
        <v>1.7217072617867033E-5</v>
      </c>
      <c r="R298" s="68">
        <f t="shared" si="292"/>
        <v>1.4808542479876151E-5</v>
      </c>
      <c r="S298" s="68">
        <f t="shared" si="292"/>
        <v>1.2265867095149669E-5</v>
      </c>
      <c r="T298" s="68">
        <f t="shared" si="292"/>
        <v>9.7732268060536993E-6</v>
      </c>
      <c r="U298" s="68">
        <f t="shared" si="292"/>
        <v>7.5041250434924465E-6</v>
      </c>
      <c r="V298" s="68">
        <f t="shared" si="292"/>
        <v>5.5757116716201835E-6</v>
      </c>
      <c r="W298" s="68">
        <f t="shared" si="292"/>
        <v>4.0313979200182401E-6</v>
      </c>
      <c r="X298" s="68">
        <f t="shared" si="292"/>
        <v>2.8530179860104374E-6</v>
      </c>
      <c r="Y298" s="68">
        <f t="shared" si="292"/>
        <v>1.9868142283073829E-6</v>
      </c>
      <c r="Z298" s="68">
        <f t="shared" si="292"/>
        <v>1.3674910726287204E-6</v>
      </c>
      <c r="AA298" s="68">
        <f t="shared" si="292"/>
        <v>9.334370019251639E-7</v>
      </c>
      <c r="AB298" s="68">
        <f t="shared" si="292"/>
        <v>6.3347896002081178E-7</v>
      </c>
      <c r="AC298" s="68">
        <f t="shared" si="292"/>
        <v>4.2820272446309834E-7</v>
      </c>
    </row>
    <row r="299" spans="1:29" ht="15" thickBot="1" x14ac:dyDescent="0.35">
      <c r="A299" s="31" t="s">
        <v>210</v>
      </c>
      <c r="B299" s="77">
        <f>B288+B289+B290+B291+B292+B293+B294+B295+B296+B297+B298</f>
        <v>2.2817550145023829E-2</v>
      </c>
      <c r="C299" s="67">
        <f t="shared" ref="C299:AC299" si="293">C288+C289+C290+C291+C292+C293+C294+C295+C296+C297+C298</f>
        <v>2.2813584517555593E-2</v>
      </c>
      <c r="D299" s="67">
        <f t="shared" si="293"/>
        <v>2.2807952983095368E-2</v>
      </c>
      <c r="E299" s="67">
        <f t="shared" si="293"/>
        <v>2.2799991421959955E-2</v>
      </c>
      <c r="F299" s="67">
        <f t="shared" si="293"/>
        <v>2.2788809477947425E-2</v>
      </c>
      <c r="G299" s="67">
        <f t="shared" si="293"/>
        <v>2.2773254052424332E-2</v>
      </c>
      <c r="H299" s="67">
        <f t="shared" si="293"/>
        <v>2.2751910680226931E-2</v>
      </c>
      <c r="I299" s="67">
        <f t="shared" si="293"/>
        <v>2.2723192010719904E-2</v>
      </c>
      <c r="J299" s="67">
        <f t="shared" si="293"/>
        <v>2.2685580757528134E-2</v>
      </c>
      <c r="K299" s="67">
        <f t="shared" si="293"/>
        <v>2.2638080216917246E-2</v>
      </c>
      <c r="L299" s="67">
        <f t="shared" si="293"/>
        <v>2.2580830490644351E-2</v>
      </c>
      <c r="M299" s="67">
        <f t="shared" si="293"/>
        <v>2.25156547312792E-2</v>
      </c>
      <c r="N299" s="67">
        <f t="shared" si="293"/>
        <v>2.2446126345061525E-2</v>
      </c>
      <c r="O299" s="67">
        <f t="shared" si="293"/>
        <v>2.2376864728047518E-2</v>
      </c>
      <c r="P299" s="67">
        <f t="shared" si="293"/>
        <v>2.2312277168655439E-2</v>
      </c>
      <c r="Q299" s="67">
        <f t="shared" si="293"/>
        <v>2.2255444871552489E-2</v>
      </c>
      <c r="R299" s="67">
        <f t="shared" si="293"/>
        <v>2.2207736147890341E-2</v>
      </c>
      <c r="S299" s="67">
        <f t="shared" si="293"/>
        <v>2.216912958679922E-2</v>
      </c>
      <c r="T299" s="67">
        <f t="shared" si="293"/>
        <v>2.2138802012026382E-2</v>
      </c>
      <c r="U299" s="67">
        <f t="shared" si="293"/>
        <v>2.2115596672252495E-2</v>
      </c>
      <c r="V299" s="67">
        <f t="shared" si="293"/>
        <v>2.2098276568100993E-2</v>
      </c>
      <c r="W299" s="67">
        <f t="shared" si="293"/>
        <v>2.2085645869111478E-2</v>
      </c>
      <c r="X299" s="67">
        <f t="shared" si="293"/>
        <v>2.2076622274013327E-2</v>
      </c>
      <c r="Y299" s="67">
        <f t="shared" si="293"/>
        <v>2.2070284563473718E-2</v>
      </c>
      <c r="Z299" s="67">
        <f t="shared" si="293"/>
        <v>2.2065892240550573E-2</v>
      </c>
      <c r="AA299" s="67">
        <f t="shared" si="293"/>
        <v>2.2062878368598143E-2</v>
      </c>
      <c r="AB299" s="67">
        <f t="shared" si="293"/>
        <v>2.2060825210603589E-2</v>
      </c>
      <c r="AC299" s="67">
        <f t="shared" si="293"/>
        <v>2.2059433633562713E-2</v>
      </c>
    </row>
    <row r="301" spans="1:29" x14ac:dyDescent="0.3">
      <c r="B301" s="40"/>
    </row>
    <row r="324" spans="1:44" s="3" customFormat="1" ht="21" x14ac:dyDescent="0.4">
      <c r="A324" s="2" t="str">
        <f>'Parameter Input'!A112</f>
        <v>Railway long-haul: Break bulk</v>
      </c>
    </row>
    <row r="325" spans="1:44" s="3" customFormat="1" ht="21" x14ac:dyDescent="0.4">
      <c r="A325" s="2" t="s">
        <v>136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Input'!$L$89</f>
        <v>5000000</v>
      </c>
      <c r="C334" s="42">
        <f>'Parameter Input'!$M$89</f>
        <v>5000000</v>
      </c>
      <c r="D334" s="1" t="s">
        <v>15</v>
      </c>
      <c r="L334" s="51">
        <f>'Parameter Input'!$O$89</f>
        <v>12</v>
      </c>
      <c r="M334" s="52">
        <v>0</v>
      </c>
      <c r="N334" s="52">
        <v>1</v>
      </c>
      <c r="O334" s="52">
        <f>'Parameter Input'!$P$89</f>
        <v>0.9</v>
      </c>
      <c r="P334" s="53">
        <f>'Parameter Input'!$Q$89</f>
        <v>0.4</v>
      </c>
      <c r="Q334" s="4">
        <f t="shared" ref="Q334:AR343" si="294">$N334+($M334-$N334)*((1/(1+EXP(-$P334*(Q$9-$L334)))^$O334))</f>
        <v>0.9867978615748374</v>
      </c>
      <c r="R334" s="4">
        <f t="shared" si="294"/>
        <v>0.98114509762858249</v>
      </c>
      <c r="S334" s="4">
        <f t="shared" si="294"/>
        <v>0.97311898315872036</v>
      </c>
      <c r="T334" s="4">
        <f t="shared" si="294"/>
        <v>0.96177484161592774</v>
      </c>
      <c r="U334" s="4">
        <f t="shared" si="294"/>
        <v>0.94584787155511363</v>
      </c>
      <c r="V334" s="4">
        <f t="shared" si="294"/>
        <v>0.92370360150141495</v>
      </c>
      <c r="W334" s="4">
        <f t="shared" si="294"/>
        <v>0.89334463567658451</v>
      </c>
      <c r="X334" s="4">
        <f t="shared" si="294"/>
        <v>0.85254543874327005</v>
      </c>
      <c r="Y334" s="4">
        <f t="shared" si="294"/>
        <v>0.79921300652623883</v>
      </c>
      <c r="Z334" s="4">
        <f t="shared" si="294"/>
        <v>0.73204982249993378</v>
      </c>
      <c r="AA334" s="4">
        <f t="shared" si="294"/>
        <v>0.65145592958786691</v>
      </c>
      <c r="AB334" s="4">
        <f t="shared" si="294"/>
        <v>0.56032247880849573</v>
      </c>
      <c r="AC334" s="4">
        <f t="shared" si="294"/>
        <v>0.46411326873185343</v>
      </c>
      <c r="AD334" s="4">
        <f t="shared" si="294"/>
        <v>0.36979727595523937</v>
      </c>
      <c r="AE334" s="4">
        <f t="shared" si="294"/>
        <v>0.28393948637231203</v>
      </c>
      <c r="AF334" s="4">
        <f t="shared" si="294"/>
        <v>0.21097259161117732</v>
      </c>
      <c r="AG334" s="4">
        <f t="shared" si="294"/>
        <v>0.15253917653798199</v>
      </c>
      <c r="AH334" s="4">
        <f t="shared" si="294"/>
        <v>0.10795188737709993</v>
      </c>
      <c r="AI334" s="4">
        <f t="shared" si="294"/>
        <v>7.5176653938091809E-2</v>
      </c>
      <c r="AJ334" s="4">
        <f t="shared" si="294"/>
        <v>5.1742836177502194E-2</v>
      </c>
      <c r="AK334" s="4">
        <f t="shared" si="294"/>
        <v>3.5319190625345942E-2</v>
      </c>
      <c r="AL334" s="4">
        <f t="shared" si="294"/>
        <v>2.3969442072658165E-2</v>
      </c>
      <c r="AM334" s="4">
        <f t="shared" si="294"/>
        <v>1.6202243558389728E-2</v>
      </c>
      <c r="AN334" s="4">
        <f t="shared" si="294"/>
        <v>1.0922240564108399E-2</v>
      </c>
      <c r="AO334" s="4">
        <f t="shared" si="294"/>
        <v>7.3493212906090566E-3</v>
      </c>
      <c r="AP334" s="4">
        <f t="shared" si="294"/>
        <v>4.9390262185057265E-3</v>
      </c>
      <c r="AQ334" s="4">
        <f t="shared" si="294"/>
        <v>3.3164275492956197E-3</v>
      </c>
      <c r="AR334" s="4">
        <f t="shared" si="294"/>
        <v>2.2256362146679809E-3</v>
      </c>
    </row>
    <row r="335" spans="1:44" x14ac:dyDescent="0.3">
      <c r="A335" s="24" t="s">
        <v>28</v>
      </c>
      <c r="B335" s="60">
        <f>'Parameter Input'!$L$90</f>
        <v>-750000</v>
      </c>
      <c r="C335" s="61">
        <f>'Parameter Input'!$M$90</f>
        <v>-750000</v>
      </c>
      <c r="D335" s="1" t="s">
        <v>15</v>
      </c>
      <c r="L335" s="54">
        <f>'Parameter Input'!$O$90</f>
        <v>12</v>
      </c>
      <c r="M335" s="37">
        <v>0</v>
      </c>
      <c r="N335" s="37">
        <v>1</v>
      </c>
      <c r="O335" s="37">
        <f>'Parameter Input'!$P$90</f>
        <v>0.9</v>
      </c>
      <c r="P335" s="55">
        <f>'Parameter Input'!$Q$90</f>
        <v>0.4</v>
      </c>
      <c r="Q335" s="4">
        <f t="shared" si="294"/>
        <v>0.9867978615748374</v>
      </c>
      <c r="R335" s="4">
        <f t="shared" si="294"/>
        <v>0.98114509762858249</v>
      </c>
      <c r="S335" s="4">
        <f t="shared" si="294"/>
        <v>0.97311898315872036</v>
      </c>
      <c r="T335" s="4">
        <f t="shared" si="294"/>
        <v>0.96177484161592774</v>
      </c>
      <c r="U335" s="4">
        <f t="shared" si="294"/>
        <v>0.94584787155511363</v>
      </c>
      <c r="V335" s="4">
        <f t="shared" si="294"/>
        <v>0.92370360150141495</v>
      </c>
      <c r="W335" s="4">
        <f t="shared" si="294"/>
        <v>0.89334463567658451</v>
      </c>
      <c r="X335" s="4">
        <f t="shared" si="294"/>
        <v>0.85254543874327005</v>
      </c>
      <c r="Y335" s="4">
        <f t="shared" si="294"/>
        <v>0.79921300652623883</v>
      </c>
      <c r="Z335" s="4">
        <f t="shared" si="294"/>
        <v>0.73204982249993378</v>
      </c>
      <c r="AA335" s="4">
        <f t="shared" si="294"/>
        <v>0.65145592958786691</v>
      </c>
      <c r="AB335" s="4">
        <f t="shared" si="294"/>
        <v>0.56032247880849573</v>
      </c>
      <c r="AC335" s="4">
        <f t="shared" si="294"/>
        <v>0.46411326873185343</v>
      </c>
      <c r="AD335" s="4">
        <f t="shared" si="294"/>
        <v>0.36979727595523937</v>
      </c>
      <c r="AE335" s="4">
        <f t="shared" si="294"/>
        <v>0.28393948637231203</v>
      </c>
      <c r="AF335" s="4">
        <f t="shared" si="294"/>
        <v>0.21097259161117732</v>
      </c>
      <c r="AG335" s="4">
        <f t="shared" si="294"/>
        <v>0.15253917653798199</v>
      </c>
      <c r="AH335" s="4">
        <f t="shared" si="294"/>
        <v>0.10795188737709993</v>
      </c>
      <c r="AI335" s="4">
        <f t="shared" si="294"/>
        <v>7.5176653938091809E-2</v>
      </c>
      <c r="AJ335" s="4">
        <f t="shared" si="294"/>
        <v>5.1742836177502194E-2</v>
      </c>
      <c r="AK335" s="4">
        <f t="shared" si="294"/>
        <v>3.5319190625345942E-2</v>
      </c>
      <c r="AL335" s="4">
        <f t="shared" si="294"/>
        <v>2.3969442072658165E-2</v>
      </c>
      <c r="AM335" s="4">
        <f t="shared" si="294"/>
        <v>1.6202243558389728E-2</v>
      </c>
      <c r="AN335" s="4">
        <f t="shared" si="294"/>
        <v>1.0922240564108399E-2</v>
      </c>
      <c r="AO335" s="4">
        <f t="shared" si="294"/>
        <v>7.3493212906090566E-3</v>
      </c>
      <c r="AP335" s="4">
        <f t="shared" si="294"/>
        <v>4.9390262185057265E-3</v>
      </c>
      <c r="AQ335" s="4">
        <f t="shared" si="294"/>
        <v>3.3164275492956197E-3</v>
      </c>
      <c r="AR335" s="4">
        <f t="shared" si="294"/>
        <v>2.2256362146679809E-3</v>
      </c>
    </row>
    <row r="336" spans="1:44" x14ac:dyDescent="0.3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94"/>
        <v>0.9867978615748374</v>
      </c>
      <c r="R336" s="4">
        <f t="shared" si="294"/>
        <v>0.98114509762858249</v>
      </c>
      <c r="S336" s="4">
        <f t="shared" si="294"/>
        <v>0.97311898315872036</v>
      </c>
      <c r="T336" s="4">
        <f t="shared" si="294"/>
        <v>0.96177484161592774</v>
      </c>
      <c r="U336" s="4">
        <f t="shared" si="294"/>
        <v>0.94584787155511363</v>
      </c>
      <c r="V336" s="4">
        <f t="shared" si="294"/>
        <v>0.92370360150141495</v>
      </c>
      <c r="W336" s="4">
        <f t="shared" si="294"/>
        <v>0.89334463567658451</v>
      </c>
      <c r="X336" s="4">
        <f t="shared" si="294"/>
        <v>0.85254543874327005</v>
      </c>
      <c r="Y336" s="4">
        <f t="shared" si="294"/>
        <v>0.79921300652623883</v>
      </c>
      <c r="Z336" s="4">
        <f t="shared" si="294"/>
        <v>0.73204982249993378</v>
      </c>
      <c r="AA336" s="4">
        <f t="shared" si="294"/>
        <v>0.65145592958786691</v>
      </c>
      <c r="AB336" s="4">
        <f t="shared" si="294"/>
        <v>0.56032247880849573</v>
      </c>
      <c r="AC336" s="4">
        <f t="shared" si="294"/>
        <v>0.46411326873185343</v>
      </c>
      <c r="AD336" s="4">
        <f t="shared" si="294"/>
        <v>0.36979727595523937</v>
      </c>
      <c r="AE336" s="4">
        <f t="shared" si="294"/>
        <v>0.28393948637231203</v>
      </c>
      <c r="AF336" s="4">
        <f t="shared" si="294"/>
        <v>0.21097259161117732</v>
      </c>
      <c r="AG336" s="4">
        <f t="shared" si="294"/>
        <v>0.15253917653798199</v>
      </c>
      <c r="AH336" s="4">
        <f t="shared" si="294"/>
        <v>0.10795188737709993</v>
      </c>
      <c r="AI336" s="4">
        <f t="shared" si="294"/>
        <v>7.5176653938091809E-2</v>
      </c>
      <c r="AJ336" s="4">
        <f t="shared" si="294"/>
        <v>5.1742836177502194E-2</v>
      </c>
      <c r="AK336" s="4">
        <f t="shared" si="294"/>
        <v>3.5319190625345942E-2</v>
      </c>
      <c r="AL336" s="4">
        <f t="shared" si="294"/>
        <v>2.3969442072658165E-2</v>
      </c>
      <c r="AM336" s="4">
        <f t="shared" si="294"/>
        <v>1.6202243558389728E-2</v>
      </c>
      <c r="AN336" s="4">
        <f t="shared" si="294"/>
        <v>1.0922240564108399E-2</v>
      </c>
      <c r="AO336" s="4">
        <f t="shared" si="294"/>
        <v>7.3493212906090566E-3</v>
      </c>
      <c r="AP336" s="4">
        <f t="shared" si="294"/>
        <v>4.9390262185057265E-3</v>
      </c>
      <c r="AQ336" s="4">
        <f t="shared" si="294"/>
        <v>3.3164275492956197E-3</v>
      </c>
      <c r="AR336" s="4">
        <f t="shared" si="294"/>
        <v>2.2256362146679809E-3</v>
      </c>
    </row>
    <row r="337" spans="1:44" x14ac:dyDescent="0.3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94"/>
        <v>0.9867978615748374</v>
      </c>
      <c r="R337" s="4">
        <f t="shared" si="294"/>
        <v>0.98114509762858249</v>
      </c>
      <c r="S337" s="4">
        <f t="shared" si="294"/>
        <v>0.97311898315872036</v>
      </c>
      <c r="T337" s="4">
        <f t="shared" si="294"/>
        <v>0.96177484161592774</v>
      </c>
      <c r="U337" s="4">
        <f t="shared" si="294"/>
        <v>0.94584787155511363</v>
      </c>
      <c r="V337" s="4">
        <f t="shared" si="294"/>
        <v>0.92370360150141495</v>
      </c>
      <c r="W337" s="4">
        <f t="shared" si="294"/>
        <v>0.89334463567658451</v>
      </c>
      <c r="X337" s="4">
        <f t="shared" si="294"/>
        <v>0.85254543874327005</v>
      </c>
      <c r="Y337" s="4">
        <f t="shared" si="294"/>
        <v>0.79921300652623883</v>
      </c>
      <c r="Z337" s="4">
        <f t="shared" si="294"/>
        <v>0.73204982249993378</v>
      </c>
      <c r="AA337" s="4">
        <f t="shared" si="294"/>
        <v>0.65145592958786691</v>
      </c>
      <c r="AB337" s="4">
        <f t="shared" si="294"/>
        <v>0.56032247880849573</v>
      </c>
      <c r="AC337" s="4">
        <f t="shared" si="294"/>
        <v>0.46411326873185343</v>
      </c>
      <c r="AD337" s="4">
        <f t="shared" si="294"/>
        <v>0.36979727595523937</v>
      </c>
      <c r="AE337" s="4">
        <f t="shared" si="294"/>
        <v>0.28393948637231203</v>
      </c>
      <c r="AF337" s="4">
        <f t="shared" si="294"/>
        <v>0.21097259161117732</v>
      </c>
      <c r="AG337" s="4">
        <f t="shared" si="294"/>
        <v>0.15253917653798199</v>
      </c>
      <c r="AH337" s="4">
        <f t="shared" si="294"/>
        <v>0.10795188737709993</v>
      </c>
      <c r="AI337" s="4">
        <f t="shared" si="294"/>
        <v>7.5176653938091809E-2</v>
      </c>
      <c r="AJ337" s="4">
        <f t="shared" si="294"/>
        <v>5.1742836177502194E-2</v>
      </c>
      <c r="AK337" s="4">
        <f t="shared" si="294"/>
        <v>3.5319190625345942E-2</v>
      </c>
      <c r="AL337" s="4">
        <f t="shared" si="294"/>
        <v>2.3969442072658165E-2</v>
      </c>
      <c r="AM337" s="4">
        <f t="shared" si="294"/>
        <v>1.6202243558389728E-2</v>
      </c>
      <c r="AN337" s="4">
        <f t="shared" si="294"/>
        <v>1.0922240564108399E-2</v>
      </c>
      <c r="AO337" s="4">
        <f t="shared" si="294"/>
        <v>7.3493212906090566E-3</v>
      </c>
      <c r="AP337" s="4">
        <f t="shared" si="294"/>
        <v>4.9390262185057265E-3</v>
      </c>
      <c r="AQ337" s="4">
        <f t="shared" si="294"/>
        <v>3.3164275492956197E-3</v>
      </c>
      <c r="AR337" s="4">
        <f t="shared" si="294"/>
        <v>2.2256362146679809E-3</v>
      </c>
    </row>
    <row r="338" spans="1:44" x14ac:dyDescent="0.3">
      <c r="A338" s="24" t="s">
        <v>79</v>
      </c>
      <c r="B338" s="45">
        <f>'Parameter Input'!$L$96</f>
        <v>0.06</v>
      </c>
      <c r="C338" s="46">
        <f>'Parameter Input'!$M$96</f>
        <v>0.06</v>
      </c>
      <c r="D338" s="1" t="s">
        <v>57</v>
      </c>
      <c r="L338" s="54">
        <f>'Parameter Input'!$O$96</f>
        <v>12</v>
      </c>
      <c r="M338" s="37">
        <v>0</v>
      </c>
      <c r="N338" s="37">
        <v>1</v>
      </c>
      <c r="O338" s="37">
        <f>'Parameter Input'!$P$96</f>
        <v>0.9</v>
      </c>
      <c r="P338" s="55">
        <f>'Parameter Input'!$Q$96</f>
        <v>0.4</v>
      </c>
      <c r="Q338" s="4">
        <f t="shared" si="294"/>
        <v>0.9867978615748374</v>
      </c>
      <c r="R338" s="4">
        <f t="shared" si="294"/>
        <v>0.98114509762858249</v>
      </c>
      <c r="S338" s="4">
        <f t="shared" si="294"/>
        <v>0.97311898315872036</v>
      </c>
      <c r="T338" s="4">
        <f t="shared" si="294"/>
        <v>0.96177484161592774</v>
      </c>
      <c r="U338" s="4">
        <f t="shared" si="294"/>
        <v>0.94584787155511363</v>
      </c>
      <c r="V338" s="4">
        <f t="shared" si="294"/>
        <v>0.92370360150141495</v>
      </c>
      <c r="W338" s="4">
        <f t="shared" si="294"/>
        <v>0.89334463567658451</v>
      </c>
      <c r="X338" s="4">
        <f t="shared" si="294"/>
        <v>0.85254543874327005</v>
      </c>
      <c r="Y338" s="4">
        <f t="shared" si="294"/>
        <v>0.79921300652623883</v>
      </c>
      <c r="Z338" s="4">
        <f t="shared" si="294"/>
        <v>0.73204982249993378</v>
      </c>
      <c r="AA338" s="4">
        <f t="shared" si="294"/>
        <v>0.65145592958786691</v>
      </c>
      <c r="AB338" s="4">
        <f t="shared" si="294"/>
        <v>0.56032247880849573</v>
      </c>
      <c r="AC338" s="4">
        <f t="shared" si="294"/>
        <v>0.46411326873185343</v>
      </c>
      <c r="AD338" s="4">
        <f t="shared" si="294"/>
        <v>0.36979727595523937</v>
      </c>
      <c r="AE338" s="4">
        <f t="shared" si="294"/>
        <v>0.28393948637231203</v>
      </c>
      <c r="AF338" s="4">
        <f t="shared" si="294"/>
        <v>0.21097259161117732</v>
      </c>
      <c r="AG338" s="4">
        <f t="shared" si="294"/>
        <v>0.15253917653798199</v>
      </c>
      <c r="AH338" s="4">
        <f t="shared" si="294"/>
        <v>0.10795188737709993</v>
      </c>
      <c r="AI338" s="4">
        <f t="shared" si="294"/>
        <v>7.5176653938091809E-2</v>
      </c>
      <c r="AJ338" s="4">
        <f t="shared" si="294"/>
        <v>5.1742836177502194E-2</v>
      </c>
      <c r="AK338" s="4">
        <f t="shared" si="294"/>
        <v>3.5319190625345942E-2</v>
      </c>
      <c r="AL338" s="4">
        <f t="shared" si="294"/>
        <v>2.3969442072658165E-2</v>
      </c>
      <c r="AM338" s="4">
        <f t="shared" si="294"/>
        <v>1.6202243558389728E-2</v>
      </c>
      <c r="AN338" s="4">
        <f t="shared" si="294"/>
        <v>1.0922240564108399E-2</v>
      </c>
      <c r="AO338" s="4">
        <f t="shared" si="294"/>
        <v>7.3493212906090566E-3</v>
      </c>
      <c r="AP338" s="4">
        <f t="shared" si="294"/>
        <v>4.9390262185057265E-3</v>
      </c>
      <c r="AQ338" s="4">
        <f t="shared" si="294"/>
        <v>3.3164275492956197E-3</v>
      </c>
      <c r="AR338" s="4">
        <f t="shared" si="294"/>
        <v>2.2256362146679809E-3</v>
      </c>
    </row>
    <row r="339" spans="1:44" x14ac:dyDescent="0.3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94"/>
        <v>0.9867978615748374</v>
      </c>
      <c r="R339" s="4">
        <f t="shared" si="294"/>
        <v>0.98114509762858249</v>
      </c>
      <c r="S339" s="4">
        <f t="shared" si="294"/>
        <v>0.97311898315872036</v>
      </c>
      <c r="T339" s="4">
        <f t="shared" si="294"/>
        <v>0.96177484161592774</v>
      </c>
      <c r="U339" s="4">
        <f t="shared" si="294"/>
        <v>0.94584787155511363</v>
      </c>
      <c r="V339" s="4">
        <f t="shared" si="294"/>
        <v>0.92370360150141495</v>
      </c>
      <c r="W339" s="4">
        <f t="shared" si="294"/>
        <v>0.89334463567658451</v>
      </c>
      <c r="X339" s="4">
        <f t="shared" si="294"/>
        <v>0.85254543874327005</v>
      </c>
      <c r="Y339" s="4">
        <f t="shared" si="294"/>
        <v>0.79921300652623883</v>
      </c>
      <c r="Z339" s="4">
        <f t="shared" si="294"/>
        <v>0.73204982249993378</v>
      </c>
      <c r="AA339" s="4">
        <f t="shared" si="294"/>
        <v>0.65145592958786691</v>
      </c>
      <c r="AB339" s="4">
        <f t="shared" si="294"/>
        <v>0.56032247880849573</v>
      </c>
      <c r="AC339" s="4">
        <f t="shared" si="294"/>
        <v>0.46411326873185343</v>
      </c>
      <c r="AD339" s="4">
        <f t="shared" si="294"/>
        <v>0.36979727595523937</v>
      </c>
      <c r="AE339" s="4">
        <f t="shared" si="294"/>
        <v>0.28393948637231203</v>
      </c>
      <c r="AF339" s="4">
        <f t="shared" si="294"/>
        <v>0.21097259161117732</v>
      </c>
      <c r="AG339" s="4">
        <f t="shared" si="294"/>
        <v>0.15253917653798199</v>
      </c>
      <c r="AH339" s="4">
        <f t="shared" si="294"/>
        <v>0.10795188737709993</v>
      </c>
      <c r="AI339" s="4">
        <f t="shared" si="294"/>
        <v>7.5176653938091809E-2</v>
      </c>
      <c r="AJ339" s="4">
        <f t="shared" si="294"/>
        <v>5.1742836177502194E-2</v>
      </c>
      <c r="AK339" s="4">
        <f t="shared" si="294"/>
        <v>3.5319190625345942E-2</v>
      </c>
      <c r="AL339" s="4">
        <f t="shared" si="294"/>
        <v>2.3969442072658165E-2</v>
      </c>
      <c r="AM339" s="4">
        <f t="shared" si="294"/>
        <v>1.6202243558389728E-2</v>
      </c>
      <c r="AN339" s="4">
        <f t="shared" si="294"/>
        <v>1.0922240564108399E-2</v>
      </c>
      <c r="AO339" s="4">
        <f t="shared" si="294"/>
        <v>7.3493212906090566E-3</v>
      </c>
      <c r="AP339" s="4">
        <f t="shared" si="294"/>
        <v>4.9390262185057265E-3</v>
      </c>
      <c r="AQ339" s="4">
        <f t="shared" si="294"/>
        <v>3.3164275492956197E-3</v>
      </c>
      <c r="AR339" s="4">
        <f t="shared" si="294"/>
        <v>2.2256362146679809E-3</v>
      </c>
    </row>
    <row r="340" spans="1:44" x14ac:dyDescent="0.3">
      <c r="A340" s="24" t="s">
        <v>52</v>
      </c>
      <c r="B340" s="43">
        <f>'Parameter Input'!$L$92</f>
        <v>650000</v>
      </c>
      <c r="C340" s="44">
        <f>'Parameter Input'!$M$92</f>
        <v>650000</v>
      </c>
      <c r="D340" s="1" t="s">
        <v>38</v>
      </c>
      <c r="L340" s="54">
        <f>'Parameter Input'!$O$92</f>
        <v>12</v>
      </c>
      <c r="M340" s="37">
        <v>0</v>
      </c>
      <c r="N340" s="37">
        <v>1</v>
      </c>
      <c r="O340" s="37">
        <f>'Parameter Input'!$P$92</f>
        <v>0.9</v>
      </c>
      <c r="P340" s="55">
        <f>'Parameter Input'!$Q$92</f>
        <v>0.4</v>
      </c>
      <c r="Q340" s="4">
        <f t="shared" si="294"/>
        <v>0.9867978615748374</v>
      </c>
      <c r="R340" s="4">
        <f t="shared" si="294"/>
        <v>0.98114509762858249</v>
      </c>
      <c r="S340" s="4">
        <f t="shared" si="294"/>
        <v>0.97311898315872036</v>
      </c>
      <c r="T340" s="4">
        <f t="shared" si="294"/>
        <v>0.96177484161592774</v>
      </c>
      <c r="U340" s="4">
        <f t="shared" si="294"/>
        <v>0.94584787155511363</v>
      </c>
      <c r="V340" s="4">
        <f t="shared" si="294"/>
        <v>0.92370360150141495</v>
      </c>
      <c r="W340" s="4">
        <f t="shared" si="294"/>
        <v>0.89334463567658451</v>
      </c>
      <c r="X340" s="4">
        <f t="shared" si="294"/>
        <v>0.85254543874327005</v>
      </c>
      <c r="Y340" s="4">
        <f t="shared" si="294"/>
        <v>0.79921300652623883</v>
      </c>
      <c r="Z340" s="4">
        <f t="shared" si="294"/>
        <v>0.73204982249993378</v>
      </c>
      <c r="AA340" s="4">
        <f t="shared" si="294"/>
        <v>0.65145592958786691</v>
      </c>
      <c r="AB340" s="4">
        <f t="shared" si="294"/>
        <v>0.56032247880849573</v>
      </c>
      <c r="AC340" s="4">
        <f t="shared" si="294"/>
        <v>0.46411326873185343</v>
      </c>
      <c r="AD340" s="4">
        <f t="shared" si="294"/>
        <v>0.36979727595523937</v>
      </c>
      <c r="AE340" s="4">
        <f t="shared" si="294"/>
        <v>0.28393948637231203</v>
      </c>
      <c r="AF340" s="4">
        <f t="shared" si="294"/>
        <v>0.21097259161117732</v>
      </c>
      <c r="AG340" s="4">
        <f t="shared" si="294"/>
        <v>0.15253917653798199</v>
      </c>
      <c r="AH340" s="4">
        <f t="shared" si="294"/>
        <v>0.10795188737709993</v>
      </c>
      <c r="AI340" s="4">
        <f t="shared" si="294"/>
        <v>7.5176653938091809E-2</v>
      </c>
      <c r="AJ340" s="4">
        <f t="shared" si="294"/>
        <v>5.1742836177502194E-2</v>
      </c>
      <c r="AK340" s="4">
        <f t="shared" si="294"/>
        <v>3.5319190625345942E-2</v>
      </c>
      <c r="AL340" s="4">
        <f t="shared" si="294"/>
        <v>2.3969442072658165E-2</v>
      </c>
      <c r="AM340" s="4">
        <f t="shared" si="294"/>
        <v>1.6202243558389728E-2</v>
      </c>
      <c r="AN340" s="4">
        <f t="shared" si="294"/>
        <v>1.0922240564108399E-2</v>
      </c>
      <c r="AO340" s="4">
        <f t="shared" si="294"/>
        <v>7.3493212906090566E-3</v>
      </c>
      <c r="AP340" s="4">
        <f t="shared" si="294"/>
        <v>4.9390262185057265E-3</v>
      </c>
      <c r="AQ340" s="4">
        <f t="shared" si="294"/>
        <v>3.3164275492956197E-3</v>
      </c>
      <c r="AR340" s="4">
        <f t="shared" si="294"/>
        <v>2.2256362146679809E-3</v>
      </c>
    </row>
    <row r="341" spans="1:44" x14ac:dyDescent="0.3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94"/>
        <v>0.9867978615748374</v>
      </c>
      <c r="R341" s="4">
        <f t="shared" si="294"/>
        <v>0.98114509762858249</v>
      </c>
      <c r="S341" s="4">
        <f t="shared" si="294"/>
        <v>0.97311898315872036</v>
      </c>
      <c r="T341" s="4">
        <f t="shared" si="294"/>
        <v>0.96177484161592774</v>
      </c>
      <c r="U341" s="4">
        <f t="shared" si="294"/>
        <v>0.94584787155511363</v>
      </c>
      <c r="V341" s="4">
        <f t="shared" si="294"/>
        <v>0.92370360150141495</v>
      </c>
      <c r="W341" s="4">
        <f t="shared" si="294"/>
        <v>0.89334463567658451</v>
      </c>
      <c r="X341" s="4">
        <f t="shared" si="294"/>
        <v>0.85254543874327005</v>
      </c>
      <c r="Y341" s="4">
        <f t="shared" si="294"/>
        <v>0.79921300652623883</v>
      </c>
      <c r="Z341" s="4">
        <f t="shared" si="294"/>
        <v>0.73204982249993378</v>
      </c>
      <c r="AA341" s="4">
        <f t="shared" si="294"/>
        <v>0.65145592958786691</v>
      </c>
      <c r="AB341" s="4">
        <f t="shared" si="294"/>
        <v>0.56032247880849573</v>
      </c>
      <c r="AC341" s="4">
        <f t="shared" si="294"/>
        <v>0.46411326873185343</v>
      </c>
      <c r="AD341" s="4">
        <f t="shared" si="294"/>
        <v>0.36979727595523937</v>
      </c>
      <c r="AE341" s="4">
        <f t="shared" si="294"/>
        <v>0.28393948637231203</v>
      </c>
      <c r="AF341" s="4">
        <f t="shared" si="294"/>
        <v>0.21097259161117732</v>
      </c>
      <c r="AG341" s="4">
        <f t="shared" si="294"/>
        <v>0.15253917653798199</v>
      </c>
      <c r="AH341" s="4">
        <f t="shared" si="294"/>
        <v>0.10795188737709993</v>
      </c>
      <c r="AI341" s="4">
        <f t="shared" si="294"/>
        <v>7.5176653938091809E-2</v>
      </c>
      <c r="AJ341" s="4">
        <f t="shared" si="294"/>
        <v>5.1742836177502194E-2</v>
      </c>
      <c r="AK341" s="4">
        <f t="shared" si="294"/>
        <v>3.5319190625345942E-2</v>
      </c>
      <c r="AL341" s="4">
        <f t="shared" si="294"/>
        <v>2.3969442072658165E-2</v>
      </c>
      <c r="AM341" s="4">
        <f t="shared" si="294"/>
        <v>1.6202243558389728E-2</v>
      </c>
      <c r="AN341" s="4">
        <f t="shared" si="294"/>
        <v>1.0922240564108399E-2</v>
      </c>
      <c r="AO341" s="4">
        <f t="shared" si="294"/>
        <v>7.3493212906090566E-3</v>
      </c>
      <c r="AP341" s="4">
        <f t="shared" si="294"/>
        <v>4.9390262185057265E-3</v>
      </c>
      <c r="AQ341" s="4">
        <f t="shared" si="294"/>
        <v>3.3164275492956197E-3</v>
      </c>
      <c r="AR341" s="4">
        <f t="shared" si="294"/>
        <v>2.2256362146679809E-3</v>
      </c>
    </row>
    <row r="342" spans="1:44" x14ac:dyDescent="0.3">
      <c r="A342" s="24" t="s">
        <v>59</v>
      </c>
      <c r="B342" s="47">
        <f>'Parameter Input'!$L$93</f>
        <v>25.563670588235297</v>
      </c>
      <c r="C342" s="48">
        <f>'Parameter Input'!$M$93</f>
        <v>25.563670588235297</v>
      </c>
      <c r="D342" s="1" t="s">
        <v>60</v>
      </c>
      <c r="L342" s="54">
        <f>'Parameter Input'!$O$93</f>
        <v>12</v>
      </c>
      <c r="M342" s="37">
        <v>0</v>
      </c>
      <c r="N342" s="37">
        <v>1</v>
      </c>
      <c r="O342" s="37">
        <f>'Parameter Input'!$P$93</f>
        <v>0.9</v>
      </c>
      <c r="P342" s="55">
        <f>'Parameter Input'!$Q$93</f>
        <v>0.4</v>
      </c>
      <c r="Q342" s="4">
        <f t="shared" si="294"/>
        <v>0.9867978615748374</v>
      </c>
      <c r="R342" s="4">
        <f t="shared" si="294"/>
        <v>0.98114509762858249</v>
      </c>
      <c r="S342" s="4">
        <f t="shared" si="294"/>
        <v>0.97311898315872036</v>
      </c>
      <c r="T342" s="4">
        <f t="shared" si="294"/>
        <v>0.96177484161592774</v>
      </c>
      <c r="U342" s="4">
        <f t="shared" si="294"/>
        <v>0.94584787155511363</v>
      </c>
      <c r="V342" s="4">
        <f t="shared" si="294"/>
        <v>0.92370360150141495</v>
      </c>
      <c r="W342" s="4">
        <f t="shared" si="294"/>
        <v>0.89334463567658451</v>
      </c>
      <c r="X342" s="4">
        <f t="shared" si="294"/>
        <v>0.85254543874327005</v>
      </c>
      <c r="Y342" s="4">
        <f t="shared" si="294"/>
        <v>0.79921300652623883</v>
      </c>
      <c r="Z342" s="4">
        <f t="shared" si="294"/>
        <v>0.73204982249993378</v>
      </c>
      <c r="AA342" s="4">
        <f t="shared" si="294"/>
        <v>0.65145592958786691</v>
      </c>
      <c r="AB342" s="4">
        <f t="shared" si="294"/>
        <v>0.56032247880849573</v>
      </c>
      <c r="AC342" s="4">
        <f t="shared" si="294"/>
        <v>0.46411326873185343</v>
      </c>
      <c r="AD342" s="4">
        <f t="shared" si="294"/>
        <v>0.36979727595523937</v>
      </c>
      <c r="AE342" s="4">
        <f t="shared" si="294"/>
        <v>0.28393948637231203</v>
      </c>
      <c r="AF342" s="4">
        <f t="shared" si="294"/>
        <v>0.21097259161117732</v>
      </c>
      <c r="AG342" s="4">
        <f t="shared" si="294"/>
        <v>0.15253917653798199</v>
      </c>
      <c r="AH342" s="4">
        <f t="shared" si="294"/>
        <v>0.10795188737709993</v>
      </c>
      <c r="AI342" s="4">
        <f t="shared" si="294"/>
        <v>7.5176653938091809E-2</v>
      </c>
      <c r="AJ342" s="4">
        <f t="shared" si="294"/>
        <v>5.1742836177502194E-2</v>
      </c>
      <c r="AK342" s="4">
        <f t="shared" si="294"/>
        <v>3.5319190625345942E-2</v>
      </c>
      <c r="AL342" s="4">
        <f t="shared" si="294"/>
        <v>2.3969442072658165E-2</v>
      </c>
      <c r="AM342" s="4">
        <f t="shared" si="294"/>
        <v>1.6202243558389728E-2</v>
      </c>
      <c r="AN342" s="4">
        <f t="shared" si="294"/>
        <v>1.0922240564108399E-2</v>
      </c>
      <c r="AO342" s="4">
        <f t="shared" si="294"/>
        <v>7.3493212906090566E-3</v>
      </c>
      <c r="AP342" s="4">
        <f t="shared" si="294"/>
        <v>4.9390262185057265E-3</v>
      </c>
      <c r="AQ342" s="4">
        <f t="shared" si="294"/>
        <v>3.3164275492956197E-3</v>
      </c>
      <c r="AR342" s="4">
        <f t="shared" si="294"/>
        <v>2.2256362146679809E-3</v>
      </c>
    </row>
    <row r="343" spans="1:44" x14ac:dyDescent="0.3">
      <c r="A343" s="24" t="s">
        <v>67</v>
      </c>
      <c r="B343" s="45">
        <f>'Parameter Input'!$L$94</f>
        <v>9.2586511082899101E-2</v>
      </c>
      <c r="C343" s="46">
        <f>'Parameter Input'!$M$94</f>
        <v>7.3304790352502799E-2</v>
      </c>
      <c r="D343" s="1" t="s">
        <v>68</v>
      </c>
      <c r="L343" s="54">
        <f>'Parameter Input'!$O$94</f>
        <v>12</v>
      </c>
      <c r="M343" s="37">
        <v>0</v>
      </c>
      <c r="N343" s="37">
        <v>1</v>
      </c>
      <c r="O343" s="37">
        <f>'Parameter Input'!$P$94</f>
        <v>0.9</v>
      </c>
      <c r="P343" s="55">
        <f>'Parameter Input'!$Q$94</f>
        <v>0.4</v>
      </c>
      <c r="Q343" s="4">
        <f t="shared" si="294"/>
        <v>0.9867978615748374</v>
      </c>
      <c r="R343" s="4">
        <f t="shared" si="294"/>
        <v>0.98114509762858249</v>
      </c>
      <c r="S343" s="4">
        <f t="shared" si="294"/>
        <v>0.97311898315872036</v>
      </c>
      <c r="T343" s="4">
        <f t="shared" ref="T343:AI350" si="295">$N343+($M343-$N343)*((1/(1+EXP(-$P343*(T$9-$L343)))^$O343))</f>
        <v>0.96177484161592774</v>
      </c>
      <c r="U343" s="4">
        <f t="shared" si="295"/>
        <v>0.94584787155511363</v>
      </c>
      <c r="V343" s="4">
        <f t="shared" si="295"/>
        <v>0.92370360150141495</v>
      </c>
      <c r="W343" s="4">
        <f t="shared" si="295"/>
        <v>0.89334463567658451</v>
      </c>
      <c r="X343" s="4">
        <f t="shared" si="295"/>
        <v>0.85254543874327005</v>
      </c>
      <c r="Y343" s="4">
        <f t="shared" si="295"/>
        <v>0.79921300652623883</v>
      </c>
      <c r="Z343" s="4">
        <f t="shared" si="295"/>
        <v>0.73204982249993378</v>
      </c>
      <c r="AA343" s="4">
        <f t="shared" si="295"/>
        <v>0.65145592958786691</v>
      </c>
      <c r="AB343" s="4">
        <f t="shared" si="295"/>
        <v>0.56032247880849573</v>
      </c>
      <c r="AC343" s="4">
        <f t="shared" si="295"/>
        <v>0.46411326873185343</v>
      </c>
      <c r="AD343" s="4">
        <f t="shared" si="295"/>
        <v>0.36979727595523937</v>
      </c>
      <c r="AE343" s="4">
        <f t="shared" si="295"/>
        <v>0.28393948637231203</v>
      </c>
      <c r="AF343" s="4">
        <f t="shared" si="295"/>
        <v>0.21097259161117732</v>
      </c>
      <c r="AG343" s="4">
        <f t="shared" si="295"/>
        <v>0.15253917653798199</v>
      </c>
      <c r="AH343" s="4">
        <f t="shared" si="295"/>
        <v>0.10795188737709993</v>
      </c>
      <c r="AI343" s="4">
        <f t="shared" si="295"/>
        <v>7.5176653938091809E-2</v>
      </c>
      <c r="AJ343" s="4">
        <f t="shared" ref="AJ343:AR350" si="296">$N343+($M343-$N343)*((1/(1+EXP(-$P343*(AJ$9-$L343)))^$O343))</f>
        <v>5.1742836177502194E-2</v>
      </c>
      <c r="AK343" s="4">
        <f t="shared" si="296"/>
        <v>3.5319190625345942E-2</v>
      </c>
      <c r="AL343" s="4">
        <f t="shared" si="296"/>
        <v>2.3969442072658165E-2</v>
      </c>
      <c r="AM343" s="4">
        <f t="shared" si="296"/>
        <v>1.6202243558389728E-2</v>
      </c>
      <c r="AN343" s="4">
        <f t="shared" si="296"/>
        <v>1.0922240564108399E-2</v>
      </c>
      <c r="AO343" s="4">
        <f t="shared" si="296"/>
        <v>7.3493212906090566E-3</v>
      </c>
      <c r="AP343" s="4">
        <f t="shared" si="296"/>
        <v>4.9390262185057265E-3</v>
      </c>
      <c r="AQ343" s="4">
        <f t="shared" si="296"/>
        <v>3.3164275492956197E-3</v>
      </c>
      <c r="AR343" s="4">
        <f t="shared" si="296"/>
        <v>2.2256362146679809E-3</v>
      </c>
    </row>
    <row r="344" spans="1:44" x14ac:dyDescent="0.3">
      <c r="A344" s="24" t="s">
        <v>206</v>
      </c>
      <c r="B344" s="115">
        <f>'Parameter Input'!$L$97</f>
        <v>5.9200079256965958E-2</v>
      </c>
      <c r="C344" s="116">
        <f>'Parameter Input'!$M$97</f>
        <v>0</v>
      </c>
      <c r="D344" s="1" t="s">
        <v>76</v>
      </c>
      <c r="L344" s="54">
        <f>'Parameter Input'!$O$97</f>
        <v>17</v>
      </c>
      <c r="M344" s="37">
        <v>0</v>
      </c>
      <c r="N344" s="37">
        <v>1</v>
      </c>
      <c r="O344" s="37">
        <f>'Parameter Input'!$P$97</f>
        <v>0.9</v>
      </c>
      <c r="P344" s="55">
        <f>'Parameter Input'!$Q$97</f>
        <v>0.4</v>
      </c>
      <c r="Q344" s="4">
        <f t="shared" ref="Q344:AR344" si="297">$N344+($M344-$N344)*((1/(1+EXP(-$P344*(Q$9-$L344)))^$O344))</f>
        <v>0.99780374543478534</v>
      </c>
      <c r="R344" s="4">
        <f t="shared" si="297"/>
        <v>0.99685359315256394</v>
      </c>
      <c r="S344" s="4">
        <f t="shared" si="297"/>
        <v>0.99549347132349975</v>
      </c>
      <c r="T344" s="4">
        <f t="shared" si="297"/>
        <v>0.99354772139898062</v>
      </c>
      <c r="U344" s="4">
        <f t="shared" si="297"/>
        <v>0.99076681540580536</v>
      </c>
      <c r="V344" s="4">
        <f t="shared" si="297"/>
        <v>0.9867978615748374</v>
      </c>
      <c r="W344" s="4">
        <f t="shared" si="297"/>
        <v>0.98114509762858249</v>
      </c>
      <c r="X344" s="4">
        <f t="shared" si="297"/>
        <v>0.97311898315872036</v>
      </c>
      <c r="Y344" s="4">
        <f t="shared" si="297"/>
        <v>0.96177484161592774</v>
      </c>
      <c r="Z344" s="4">
        <f t="shared" si="297"/>
        <v>0.94584787155511363</v>
      </c>
      <c r="AA344" s="4">
        <f t="shared" si="297"/>
        <v>0.92370360150141495</v>
      </c>
      <c r="AB344" s="4">
        <f t="shared" si="297"/>
        <v>0.89334463567658451</v>
      </c>
      <c r="AC344" s="4">
        <f t="shared" si="297"/>
        <v>0.85254543874327005</v>
      </c>
      <c r="AD344" s="4">
        <f t="shared" si="297"/>
        <v>0.79921300652623883</v>
      </c>
      <c r="AE344" s="4">
        <f t="shared" si="297"/>
        <v>0.73204982249993378</v>
      </c>
      <c r="AF344" s="4">
        <f t="shared" si="297"/>
        <v>0.65145592958786691</v>
      </c>
      <c r="AG344" s="4">
        <f t="shared" si="297"/>
        <v>0.56032247880849573</v>
      </c>
      <c r="AH344" s="4">
        <f t="shared" si="297"/>
        <v>0.46411326873185343</v>
      </c>
      <c r="AI344" s="4">
        <f t="shared" si="297"/>
        <v>0.36979727595523937</v>
      </c>
      <c r="AJ344" s="4">
        <f t="shared" si="297"/>
        <v>0.28393948637231203</v>
      </c>
      <c r="AK344" s="4">
        <f t="shared" si="297"/>
        <v>0.21097259161117732</v>
      </c>
      <c r="AL344" s="4">
        <f t="shared" si="297"/>
        <v>0.15253917653798199</v>
      </c>
      <c r="AM344" s="4">
        <f t="shared" si="297"/>
        <v>0.10795188737709993</v>
      </c>
      <c r="AN344" s="4">
        <f t="shared" si="297"/>
        <v>7.5176653938091809E-2</v>
      </c>
      <c r="AO344" s="4">
        <f t="shared" si="297"/>
        <v>5.1742836177502194E-2</v>
      </c>
      <c r="AP344" s="4">
        <f t="shared" si="297"/>
        <v>3.5319190625345942E-2</v>
      </c>
      <c r="AQ344" s="4">
        <f t="shared" si="297"/>
        <v>2.3969442072658165E-2</v>
      </c>
      <c r="AR344" s="4">
        <f t="shared" si="297"/>
        <v>1.6202243558389728E-2</v>
      </c>
    </row>
    <row r="345" spans="1:44" x14ac:dyDescent="0.3">
      <c r="A345" s="24" t="s">
        <v>41</v>
      </c>
      <c r="B345" s="43">
        <f>'Parameter Input'!$L$91</f>
        <v>20</v>
      </c>
      <c r="C345" s="44">
        <f>'Parameter Input'!$M$91</f>
        <v>20</v>
      </c>
      <c r="D345" s="1" t="s">
        <v>42</v>
      </c>
      <c r="L345" s="54">
        <f>'Parameter Input'!$O$91</f>
        <v>12</v>
      </c>
      <c r="M345" s="37">
        <v>0</v>
      </c>
      <c r="N345" s="37">
        <v>1</v>
      </c>
      <c r="O345" s="37">
        <f>'Parameter Input'!$P$91</f>
        <v>0.9</v>
      </c>
      <c r="P345" s="55">
        <f>'Parameter Input'!$Q$91</f>
        <v>0.4</v>
      </c>
      <c r="Q345" s="4">
        <f t="shared" ref="Q345:AF350" si="298">$N345+($M345-$N345)*((1/(1+EXP(-$P345*(Q$9-$L345)))^$O345))</f>
        <v>0.9867978615748374</v>
      </c>
      <c r="R345" s="4">
        <f t="shared" si="298"/>
        <v>0.98114509762858249</v>
      </c>
      <c r="S345" s="4">
        <f t="shared" si="298"/>
        <v>0.97311898315872036</v>
      </c>
      <c r="T345" s="4">
        <f t="shared" si="298"/>
        <v>0.96177484161592774</v>
      </c>
      <c r="U345" s="4">
        <f t="shared" si="298"/>
        <v>0.94584787155511363</v>
      </c>
      <c r="V345" s="4">
        <f t="shared" si="298"/>
        <v>0.92370360150141495</v>
      </c>
      <c r="W345" s="4">
        <f t="shared" si="298"/>
        <v>0.89334463567658451</v>
      </c>
      <c r="X345" s="4">
        <f t="shared" si="298"/>
        <v>0.85254543874327005</v>
      </c>
      <c r="Y345" s="4">
        <f t="shared" si="298"/>
        <v>0.79921300652623883</v>
      </c>
      <c r="Z345" s="4">
        <f t="shared" si="298"/>
        <v>0.73204982249993378</v>
      </c>
      <c r="AA345" s="4">
        <f t="shared" si="298"/>
        <v>0.65145592958786691</v>
      </c>
      <c r="AB345" s="4">
        <f t="shared" si="298"/>
        <v>0.56032247880849573</v>
      </c>
      <c r="AC345" s="4">
        <f t="shared" si="298"/>
        <v>0.46411326873185343</v>
      </c>
      <c r="AD345" s="4">
        <f t="shared" si="298"/>
        <v>0.36979727595523937</v>
      </c>
      <c r="AE345" s="4">
        <f t="shared" si="298"/>
        <v>0.28393948637231203</v>
      </c>
      <c r="AF345" s="4">
        <f t="shared" si="298"/>
        <v>0.21097259161117732</v>
      </c>
      <c r="AG345" s="4">
        <f t="shared" si="295"/>
        <v>0.15253917653798199</v>
      </c>
      <c r="AH345" s="4">
        <f t="shared" si="295"/>
        <v>0.10795188737709993</v>
      </c>
      <c r="AI345" s="4">
        <f t="shared" si="295"/>
        <v>7.5176653938091809E-2</v>
      </c>
      <c r="AJ345" s="4">
        <f t="shared" si="296"/>
        <v>5.1742836177502194E-2</v>
      </c>
      <c r="AK345" s="4">
        <f t="shared" si="296"/>
        <v>3.5319190625345942E-2</v>
      </c>
      <c r="AL345" s="4">
        <f t="shared" si="296"/>
        <v>2.3969442072658165E-2</v>
      </c>
      <c r="AM345" s="4">
        <f t="shared" si="296"/>
        <v>1.6202243558389728E-2</v>
      </c>
      <c r="AN345" s="4">
        <f t="shared" si="296"/>
        <v>1.0922240564108399E-2</v>
      </c>
      <c r="AO345" s="4">
        <f t="shared" si="296"/>
        <v>7.3493212906090566E-3</v>
      </c>
      <c r="AP345" s="4">
        <f t="shared" si="296"/>
        <v>4.9390262185057265E-3</v>
      </c>
      <c r="AQ345" s="4">
        <f t="shared" si="296"/>
        <v>3.3164275492956197E-3</v>
      </c>
      <c r="AR345" s="4">
        <f t="shared" si="296"/>
        <v>2.2256362146679809E-3</v>
      </c>
    </row>
    <row r="346" spans="1:44" x14ac:dyDescent="0.3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98"/>
        <v>0.9867978615748374</v>
      </c>
      <c r="R346" s="4">
        <f t="shared" si="298"/>
        <v>0.98114509762858249</v>
      </c>
      <c r="S346" s="4">
        <f t="shared" si="298"/>
        <v>0.97311898315872036</v>
      </c>
      <c r="T346" s="4">
        <f t="shared" si="298"/>
        <v>0.96177484161592774</v>
      </c>
      <c r="U346" s="4">
        <f t="shared" si="298"/>
        <v>0.94584787155511363</v>
      </c>
      <c r="V346" s="4">
        <f t="shared" si="298"/>
        <v>0.92370360150141495</v>
      </c>
      <c r="W346" s="4">
        <f t="shared" si="298"/>
        <v>0.89334463567658451</v>
      </c>
      <c r="X346" s="4">
        <f t="shared" si="298"/>
        <v>0.85254543874327005</v>
      </c>
      <c r="Y346" s="4">
        <f t="shared" si="298"/>
        <v>0.79921300652623883</v>
      </c>
      <c r="Z346" s="4">
        <f t="shared" si="298"/>
        <v>0.73204982249993378</v>
      </c>
      <c r="AA346" s="4">
        <f t="shared" si="298"/>
        <v>0.65145592958786691</v>
      </c>
      <c r="AB346" s="4">
        <f t="shared" si="298"/>
        <v>0.56032247880849573</v>
      </c>
      <c r="AC346" s="4">
        <f t="shared" si="298"/>
        <v>0.46411326873185343</v>
      </c>
      <c r="AD346" s="4">
        <f t="shared" si="298"/>
        <v>0.36979727595523937</v>
      </c>
      <c r="AE346" s="4">
        <f t="shared" si="298"/>
        <v>0.28393948637231203</v>
      </c>
      <c r="AF346" s="4">
        <f t="shared" si="298"/>
        <v>0.21097259161117732</v>
      </c>
      <c r="AG346" s="4">
        <f t="shared" si="295"/>
        <v>0.15253917653798199</v>
      </c>
      <c r="AH346" s="4">
        <f t="shared" si="295"/>
        <v>0.10795188737709993</v>
      </c>
      <c r="AI346" s="4">
        <f t="shared" si="295"/>
        <v>7.5176653938091809E-2</v>
      </c>
      <c r="AJ346" s="4">
        <f t="shared" si="296"/>
        <v>5.1742836177502194E-2</v>
      </c>
      <c r="AK346" s="4">
        <f t="shared" si="296"/>
        <v>3.5319190625345942E-2</v>
      </c>
      <c r="AL346" s="4">
        <f t="shared" si="296"/>
        <v>2.3969442072658165E-2</v>
      </c>
      <c r="AM346" s="4">
        <f t="shared" si="296"/>
        <v>1.6202243558389728E-2</v>
      </c>
      <c r="AN346" s="4">
        <f t="shared" si="296"/>
        <v>1.0922240564108399E-2</v>
      </c>
      <c r="AO346" s="4">
        <f t="shared" si="296"/>
        <v>7.3493212906090566E-3</v>
      </c>
      <c r="AP346" s="4">
        <f t="shared" si="296"/>
        <v>4.9390262185057265E-3</v>
      </c>
      <c r="AQ346" s="4">
        <f t="shared" si="296"/>
        <v>3.3164275492956197E-3</v>
      </c>
      <c r="AR346" s="4">
        <f t="shared" si="296"/>
        <v>2.2256362146679809E-3</v>
      </c>
    </row>
    <row r="347" spans="1:44" x14ac:dyDescent="0.3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98"/>
        <v>0.9867978615748374</v>
      </c>
      <c r="R347" s="4">
        <f t="shared" si="298"/>
        <v>0.98114509762858249</v>
      </c>
      <c r="S347" s="4">
        <f t="shared" si="298"/>
        <v>0.97311898315872036</v>
      </c>
      <c r="T347" s="4">
        <f t="shared" si="298"/>
        <v>0.96177484161592774</v>
      </c>
      <c r="U347" s="4">
        <f t="shared" si="298"/>
        <v>0.94584787155511363</v>
      </c>
      <c r="V347" s="4">
        <f t="shared" si="298"/>
        <v>0.92370360150141495</v>
      </c>
      <c r="W347" s="4">
        <f t="shared" si="298"/>
        <v>0.89334463567658451</v>
      </c>
      <c r="X347" s="4">
        <f t="shared" si="298"/>
        <v>0.85254543874327005</v>
      </c>
      <c r="Y347" s="4">
        <f t="shared" si="298"/>
        <v>0.79921300652623883</v>
      </c>
      <c r="Z347" s="4">
        <f t="shared" si="298"/>
        <v>0.73204982249993378</v>
      </c>
      <c r="AA347" s="4">
        <f t="shared" si="298"/>
        <v>0.65145592958786691</v>
      </c>
      <c r="AB347" s="4">
        <f t="shared" si="298"/>
        <v>0.56032247880849573</v>
      </c>
      <c r="AC347" s="4">
        <f t="shared" si="298"/>
        <v>0.46411326873185343</v>
      </c>
      <c r="AD347" s="4">
        <f t="shared" si="298"/>
        <v>0.36979727595523937</v>
      </c>
      <c r="AE347" s="4">
        <f t="shared" si="298"/>
        <v>0.28393948637231203</v>
      </c>
      <c r="AF347" s="4">
        <f t="shared" si="298"/>
        <v>0.21097259161117732</v>
      </c>
      <c r="AG347" s="4">
        <f t="shared" si="295"/>
        <v>0.15253917653798199</v>
      </c>
      <c r="AH347" s="4">
        <f t="shared" si="295"/>
        <v>0.10795188737709993</v>
      </c>
      <c r="AI347" s="4">
        <f t="shared" si="295"/>
        <v>7.5176653938091809E-2</v>
      </c>
      <c r="AJ347" s="4">
        <f t="shared" si="296"/>
        <v>5.1742836177502194E-2</v>
      </c>
      <c r="AK347" s="4">
        <f t="shared" si="296"/>
        <v>3.5319190625345942E-2</v>
      </c>
      <c r="AL347" s="4">
        <f t="shared" si="296"/>
        <v>2.3969442072658165E-2</v>
      </c>
      <c r="AM347" s="4">
        <f t="shared" si="296"/>
        <v>1.6202243558389728E-2</v>
      </c>
      <c r="AN347" s="4">
        <f t="shared" si="296"/>
        <v>1.0922240564108399E-2</v>
      </c>
      <c r="AO347" s="4">
        <f t="shared" si="296"/>
        <v>7.3493212906090566E-3</v>
      </c>
      <c r="AP347" s="4">
        <f t="shared" si="296"/>
        <v>4.9390262185057265E-3</v>
      </c>
      <c r="AQ347" s="4">
        <f t="shared" si="296"/>
        <v>3.3164275492956197E-3</v>
      </c>
      <c r="AR347" s="4">
        <f t="shared" si="296"/>
        <v>2.2256362146679809E-3</v>
      </c>
    </row>
    <row r="348" spans="1:44" x14ac:dyDescent="0.3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98"/>
        <v>0.9867978615748374</v>
      </c>
      <c r="R348" s="4">
        <f t="shared" si="298"/>
        <v>0.98114509762858249</v>
      </c>
      <c r="S348" s="4">
        <f t="shared" si="298"/>
        <v>0.97311898315872036</v>
      </c>
      <c r="T348" s="4">
        <f t="shared" si="298"/>
        <v>0.96177484161592774</v>
      </c>
      <c r="U348" s="4">
        <f t="shared" si="298"/>
        <v>0.94584787155511363</v>
      </c>
      <c r="V348" s="4">
        <f t="shared" si="298"/>
        <v>0.92370360150141495</v>
      </c>
      <c r="W348" s="4">
        <f t="shared" si="298"/>
        <v>0.89334463567658451</v>
      </c>
      <c r="X348" s="4">
        <f t="shared" si="298"/>
        <v>0.85254543874327005</v>
      </c>
      <c r="Y348" s="4">
        <f t="shared" si="298"/>
        <v>0.79921300652623883</v>
      </c>
      <c r="Z348" s="4">
        <f t="shared" si="298"/>
        <v>0.73204982249993378</v>
      </c>
      <c r="AA348" s="4">
        <f t="shared" si="298"/>
        <v>0.65145592958786691</v>
      </c>
      <c r="AB348" s="4">
        <f t="shared" si="298"/>
        <v>0.56032247880849573</v>
      </c>
      <c r="AC348" s="4">
        <f t="shared" si="298"/>
        <v>0.46411326873185343</v>
      </c>
      <c r="AD348" s="4">
        <f t="shared" si="298"/>
        <v>0.36979727595523937</v>
      </c>
      <c r="AE348" s="4">
        <f t="shared" si="298"/>
        <v>0.28393948637231203</v>
      </c>
      <c r="AF348" s="4">
        <f t="shared" si="298"/>
        <v>0.21097259161117732</v>
      </c>
      <c r="AG348" s="4">
        <f t="shared" si="295"/>
        <v>0.15253917653798199</v>
      </c>
      <c r="AH348" s="4">
        <f t="shared" si="295"/>
        <v>0.10795188737709993</v>
      </c>
      <c r="AI348" s="4">
        <f t="shared" si="295"/>
        <v>7.5176653938091809E-2</v>
      </c>
      <c r="AJ348" s="4">
        <f t="shared" si="296"/>
        <v>5.1742836177502194E-2</v>
      </c>
      <c r="AK348" s="4">
        <f t="shared" si="296"/>
        <v>3.5319190625345942E-2</v>
      </c>
      <c r="AL348" s="4">
        <f t="shared" si="296"/>
        <v>2.3969442072658165E-2</v>
      </c>
      <c r="AM348" s="4">
        <f t="shared" si="296"/>
        <v>1.6202243558389728E-2</v>
      </c>
      <c r="AN348" s="4">
        <f t="shared" si="296"/>
        <v>1.0922240564108399E-2</v>
      </c>
      <c r="AO348" s="4">
        <f t="shared" si="296"/>
        <v>7.3493212906090566E-3</v>
      </c>
      <c r="AP348" s="4">
        <f t="shared" si="296"/>
        <v>4.9390262185057265E-3</v>
      </c>
      <c r="AQ348" s="4">
        <f t="shared" si="296"/>
        <v>3.3164275492956197E-3</v>
      </c>
      <c r="AR348" s="4">
        <f t="shared" si="296"/>
        <v>2.2256362146679809E-3</v>
      </c>
    </row>
    <row r="349" spans="1:44" x14ac:dyDescent="0.3">
      <c r="A349" s="24" t="s">
        <v>73</v>
      </c>
      <c r="B349" s="72">
        <f>'Parameter Input'!$L$95</f>
        <v>0</v>
      </c>
      <c r="C349" s="73">
        <f>'Parameter Input'!$M$95</f>
        <v>0</v>
      </c>
      <c r="D349" s="1" t="s">
        <v>57</v>
      </c>
      <c r="L349" s="54">
        <f>'Parameter Input'!$O$95</f>
        <v>12</v>
      </c>
      <c r="M349" s="37">
        <v>0</v>
      </c>
      <c r="N349" s="37">
        <v>1</v>
      </c>
      <c r="O349" s="37">
        <f>'Parameter Input'!$P$95</f>
        <v>0.9</v>
      </c>
      <c r="P349" s="55">
        <f>'Parameter Input'!$Q$95</f>
        <v>0.4</v>
      </c>
      <c r="Q349" s="4">
        <f t="shared" si="298"/>
        <v>0.9867978615748374</v>
      </c>
      <c r="R349" s="4">
        <f t="shared" si="298"/>
        <v>0.98114509762858249</v>
      </c>
      <c r="S349" s="4">
        <f t="shared" si="298"/>
        <v>0.97311898315872036</v>
      </c>
      <c r="T349" s="4">
        <f t="shared" si="298"/>
        <v>0.96177484161592774</v>
      </c>
      <c r="U349" s="4">
        <f t="shared" si="298"/>
        <v>0.94584787155511363</v>
      </c>
      <c r="V349" s="4">
        <f t="shared" si="298"/>
        <v>0.92370360150141495</v>
      </c>
      <c r="W349" s="4">
        <f t="shared" si="298"/>
        <v>0.89334463567658451</v>
      </c>
      <c r="X349" s="4">
        <f t="shared" si="298"/>
        <v>0.85254543874327005</v>
      </c>
      <c r="Y349" s="4">
        <f t="shared" si="298"/>
        <v>0.79921300652623883</v>
      </c>
      <c r="Z349" s="4">
        <f t="shared" si="298"/>
        <v>0.73204982249993378</v>
      </c>
      <c r="AA349" s="4">
        <f t="shared" si="298"/>
        <v>0.65145592958786691</v>
      </c>
      <c r="AB349" s="4">
        <f t="shared" si="298"/>
        <v>0.56032247880849573</v>
      </c>
      <c r="AC349" s="4">
        <f t="shared" si="298"/>
        <v>0.46411326873185343</v>
      </c>
      <c r="AD349" s="4">
        <f t="shared" si="298"/>
        <v>0.36979727595523937</v>
      </c>
      <c r="AE349" s="4">
        <f t="shared" si="298"/>
        <v>0.28393948637231203</v>
      </c>
      <c r="AF349" s="4">
        <f t="shared" si="298"/>
        <v>0.21097259161117732</v>
      </c>
      <c r="AG349" s="4">
        <f t="shared" si="295"/>
        <v>0.15253917653798199</v>
      </c>
      <c r="AH349" s="4">
        <f t="shared" si="295"/>
        <v>0.10795188737709993</v>
      </c>
      <c r="AI349" s="4">
        <f t="shared" si="295"/>
        <v>7.5176653938091809E-2</v>
      </c>
      <c r="AJ349" s="4">
        <f t="shared" si="296"/>
        <v>5.1742836177502194E-2</v>
      </c>
      <c r="AK349" s="4">
        <f t="shared" si="296"/>
        <v>3.5319190625345942E-2</v>
      </c>
      <c r="AL349" s="4">
        <f t="shared" si="296"/>
        <v>2.3969442072658165E-2</v>
      </c>
      <c r="AM349" s="4">
        <f t="shared" si="296"/>
        <v>1.6202243558389728E-2</v>
      </c>
      <c r="AN349" s="4">
        <f t="shared" si="296"/>
        <v>1.0922240564108399E-2</v>
      </c>
      <c r="AO349" s="4">
        <f t="shared" si="296"/>
        <v>7.3493212906090566E-3</v>
      </c>
      <c r="AP349" s="4">
        <f t="shared" si="296"/>
        <v>4.9390262185057265E-3</v>
      </c>
      <c r="AQ349" s="4">
        <f t="shared" si="296"/>
        <v>3.3164275492956197E-3</v>
      </c>
      <c r="AR349" s="4">
        <f t="shared" si="296"/>
        <v>2.2256362146679809E-3</v>
      </c>
    </row>
    <row r="350" spans="1:44" ht="15" thickBot="1" x14ac:dyDescent="0.35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98"/>
        <v>0.9867978615748374</v>
      </c>
      <c r="R350" s="4">
        <f t="shared" si="298"/>
        <v>0.98114509762858249</v>
      </c>
      <c r="S350" s="4">
        <f t="shared" si="298"/>
        <v>0.97311898315872036</v>
      </c>
      <c r="T350" s="4">
        <f t="shared" si="298"/>
        <v>0.96177484161592774</v>
      </c>
      <c r="U350" s="4">
        <f t="shared" si="298"/>
        <v>0.94584787155511363</v>
      </c>
      <c r="V350" s="4">
        <f t="shared" si="298"/>
        <v>0.92370360150141495</v>
      </c>
      <c r="W350" s="4">
        <f t="shared" si="298"/>
        <v>0.89334463567658451</v>
      </c>
      <c r="X350" s="4">
        <f t="shared" si="298"/>
        <v>0.85254543874327005</v>
      </c>
      <c r="Y350" s="4">
        <f t="shared" si="298"/>
        <v>0.79921300652623883</v>
      </c>
      <c r="Z350" s="4">
        <f t="shared" si="298"/>
        <v>0.73204982249993378</v>
      </c>
      <c r="AA350" s="4">
        <f t="shared" si="298"/>
        <v>0.65145592958786691</v>
      </c>
      <c r="AB350" s="4">
        <f t="shared" si="298"/>
        <v>0.56032247880849573</v>
      </c>
      <c r="AC350" s="4">
        <f t="shared" si="298"/>
        <v>0.46411326873185343</v>
      </c>
      <c r="AD350" s="4">
        <f t="shared" si="298"/>
        <v>0.36979727595523937</v>
      </c>
      <c r="AE350" s="4">
        <f t="shared" si="298"/>
        <v>0.28393948637231203</v>
      </c>
      <c r="AF350" s="4">
        <f t="shared" si="298"/>
        <v>0.21097259161117732</v>
      </c>
      <c r="AG350" s="4">
        <f t="shared" si="295"/>
        <v>0.15253917653798199</v>
      </c>
      <c r="AH350" s="4">
        <f t="shared" si="295"/>
        <v>0.10795188737709993</v>
      </c>
      <c r="AI350" s="4">
        <f t="shared" si="295"/>
        <v>7.5176653938091809E-2</v>
      </c>
      <c r="AJ350" s="4">
        <f t="shared" si="296"/>
        <v>5.1742836177502194E-2</v>
      </c>
      <c r="AK350" s="4">
        <f t="shared" si="296"/>
        <v>3.5319190625345942E-2</v>
      </c>
      <c r="AL350" s="4">
        <f t="shared" si="296"/>
        <v>2.3969442072658165E-2</v>
      </c>
      <c r="AM350" s="4">
        <f t="shared" si="296"/>
        <v>1.6202243558389728E-2</v>
      </c>
      <c r="AN350" s="4">
        <f t="shared" si="296"/>
        <v>1.0922240564108399E-2</v>
      </c>
      <c r="AO350" s="4">
        <f t="shared" si="296"/>
        <v>7.3493212906090566E-3</v>
      </c>
      <c r="AP350" s="4">
        <f t="shared" si="296"/>
        <v>4.9390262185057265E-3</v>
      </c>
      <c r="AQ350" s="4">
        <f t="shared" si="296"/>
        <v>3.3164275492956197E-3</v>
      </c>
      <c r="AR350" s="4">
        <f t="shared" si="296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99">A334</f>
        <v>Capex vehicle</v>
      </c>
      <c r="B354" s="62">
        <f t="shared" ref="B354:B363" si="300">$B334+($C334-$B334)*(1-Q334)</f>
        <v>5000000</v>
      </c>
      <c r="C354" s="62">
        <f t="shared" ref="C354:C363" si="301">$B334+($C334-$B334)*(1-R334)</f>
        <v>5000000</v>
      </c>
      <c r="D354" s="62">
        <f t="shared" ref="D354:D363" si="302">$B334+($C334-$B334)*(1-S334)</f>
        <v>5000000</v>
      </c>
      <c r="E354" s="62">
        <f t="shared" ref="E354:E363" si="303">$B334+($C334-$B334)*(1-T334)</f>
        <v>5000000</v>
      </c>
      <c r="F354" s="62">
        <f t="shared" ref="F354:F363" si="304">$B334+($C334-$B334)*(1-U334)</f>
        <v>5000000</v>
      </c>
      <c r="G354" s="62">
        <f t="shared" ref="G354:G363" si="305">$B334+($C334-$B334)*(1-V334)</f>
        <v>5000000</v>
      </c>
      <c r="H354" s="62">
        <f t="shared" ref="H354:H363" si="306">$B334+($C334-$B334)*(1-W334)</f>
        <v>5000000</v>
      </c>
      <c r="I354" s="62">
        <f t="shared" ref="I354:I363" si="307">$B334+($C334-$B334)*(1-X334)</f>
        <v>5000000</v>
      </c>
      <c r="J354" s="62">
        <f t="shared" ref="J354:J363" si="308">$B334+($C334-$B334)*(1-Y334)</f>
        <v>5000000</v>
      </c>
      <c r="K354" s="62">
        <f t="shared" ref="K354:K363" si="309">$B334+($C334-$B334)*(1-Z334)</f>
        <v>5000000</v>
      </c>
      <c r="L354" s="62">
        <f t="shared" ref="L354:L363" si="310">$B334+($C334-$B334)*(1-AA334)</f>
        <v>5000000</v>
      </c>
      <c r="M354" s="62">
        <f t="shared" ref="M354:M363" si="311">$B334+($C334-$B334)*(1-AB334)</f>
        <v>5000000</v>
      </c>
      <c r="N354" s="62">
        <f t="shared" ref="N354:N363" si="312">$B334+($C334-$B334)*(1-AC334)</f>
        <v>5000000</v>
      </c>
      <c r="O354" s="62">
        <f t="shared" ref="O354:O363" si="313">$B334+($C334-$B334)*(1-AD334)</f>
        <v>5000000</v>
      </c>
      <c r="P354" s="62">
        <f t="shared" ref="P354:P363" si="314">$B334+($C334-$B334)*(1-AE334)</f>
        <v>5000000</v>
      </c>
      <c r="Q354" s="62">
        <f t="shared" ref="Q354:Q363" si="315">$B334+($C334-$B334)*(1-AF334)</f>
        <v>5000000</v>
      </c>
      <c r="R354" s="62">
        <f t="shared" ref="R354:R363" si="316">$B334+($C334-$B334)*(1-AG334)</f>
        <v>5000000</v>
      </c>
      <c r="S354" s="62">
        <f t="shared" ref="S354:S363" si="317">$B334+($C334-$B334)*(1-AH334)</f>
        <v>5000000</v>
      </c>
      <c r="T354" s="62">
        <f t="shared" ref="T354:T363" si="318">$B334+($C334-$B334)*(1-AI334)</f>
        <v>5000000</v>
      </c>
      <c r="U354" s="62">
        <f t="shared" ref="U354:U363" si="319">$B334+($C334-$B334)*(1-AJ334)</f>
        <v>5000000</v>
      </c>
      <c r="V354" s="62">
        <f t="shared" ref="V354:V363" si="320">$B334+($C334-$B334)*(1-AK334)</f>
        <v>5000000</v>
      </c>
      <c r="W354" s="62">
        <f t="shared" ref="W354:W363" si="321">$B334+($C334-$B334)*(1-AL334)</f>
        <v>5000000</v>
      </c>
      <c r="X354" s="62">
        <f t="shared" ref="X354:X363" si="322">$B334+($C334-$B334)*(1-AM334)</f>
        <v>5000000</v>
      </c>
      <c r="Y354" s="62">
        <f t="shared" ref="Y354:Y363" si="323">$B334+($C334-$B334)*(1-AN334)</f>
        <v>5000000</v>
      </c>
      <c r="Z354" s="62">
        <f t="shared" ref="Z354:Z363" si="324">$B334+($C334-$B334)*(1-AO334)</f>
        <v>5000000</v>
      </c>
      <c r="AA354" s="62">
        <f t="shared" ref="AA354:AA363" si="325">$B334+($C334-$B334)*(1-AP334)</f>
        <v>5000000</v>
      </c>
      <c r="AB354" s="62">
        <f t="shared" ref="AB354:AB363" si="326">$B334+($C334-$B334)*(1-AQ334)</f>
        <v>5000000</v>
      </c>
      <c r="AC354" s="62">
        <f t="shared" ref="AC354:AC363" si="327">$B334+($C334-$B334)*(1-AR334)</f>
        <v>5000000</v>
      </c>
    </row>
    <row r="355" spans="1:29" x14ac:dyDescent="0.3">
      <c r="A355" s="30" t="str">
        <f t="shared" si="299"/>
        <v>Residual value (vehicle)</v>
      </c>
      <c r="B355" s="62">
        <f t="shared" si="300"/>
        <v>-750000</v>
      </c>
      <c r="C355" s="62">
        <f t="shared" si="301"/>
        <v>-750000</v>
      </c>
      <c r="D355" s="62">
        <f t="shared" si="302"/>
        <v>-750000</v>
      </c>
      <c r="E355" s="62">
        <f t="shared" si="303"/>
        <v>-750000</v>
      </c>
      <c r="F355" s="62">
        <f t="shared" si="304"/>
        <v>-750000</v>
      </c>
      <c r="G355" s="62">
        <f t="shared" si="305"/>
        <v>-750000</v>
      </c>
      <c r="H355" s="62">
        <f t="shared" si="306"/>
        <v>-750000</v>
      </c>
      <c r="I355" s="62">
        <f t="shared" si="307"/>
        <v>-750000</v>
      </c>
      <c r="J355" s="62">
        <f t="shared" si="308"/>
        <v>-750000</v>
      </c>
      <c r="K355" s="62">
        <f t="shared" si="309"/>
        <v>-750000</v>
      </c>
      <c r="L355" s="62">
        <f t="shared" si="310"/>
        <v>-750000</v>
      </c>
      <c r="M355" s="62">
        <f t="shared" si="311"/>
        <v>-750000</v>
      </c>
      <c r="N355" s="62">
        <f t="shared" si="312"/>
        <v>-750000</v>
      </c>
      <c r="O355" s="62">
        <f t="shared" si="313"/>
        <v>-750000</v>
      </c>
      <c r="P355" s="62">
        <f t="shared" si="314"/>
        <v>-750000</v>
      </c>
      <c r="Q355" s="62">
        <f t="shared" si="315"/>
        <v>-750000</v>
      </c>
      <c r="R355" s="62">
        <f t="shared" si="316"/>
        <v>-750000</v>
      </c>
      <c r="S355" s="62">
        <f t="shared" si="317"/>
        <v>-750000</v>
      </c>
      <c r="T355" s="62">
        <f t="shared" si="318"/>
        <v>-750000</v>
      </c>
      <c r="U355" s="62">
        <f t="shared" si="319"/>
        <v>-750000</v>
      </c>
      <c r="V355" s="62">
        <f t="shared" si="320"/>
        <v>-750000</v>
      </c>
      <c r="W355" s="62">
        <f t="shared" si="321"/>
        <v>-750000</v>
      </c>
      <c r="X355" s="62">
        <f t="shared" si="322"/>
        <v>-750000</v>
      </c>
      <c r="Y355" s="62">
        <f t="shared" si="323"/>
        <v>-750000</v>
      </c>
      <c r="Z355" s="62">
        <f t="shared" si="324"/>
        <v>-750000</v>
      </c>
      <c r="AA355" s="62">
        <f t="shared" si="325"/>
        <v>-750000</v>
      </c>
      <c r="AB355" s="62">
        <f t="shared" si="326"/>
        <v>-750000</v>
      </c>
      <c r="AC355" s="62">
        <f t="shared" si="327"/>
        <v>-750000</v>
      </c>
    </row>
    <row r="356" spans="1:29" x14ac:dyDescent="0.3">
      <c r="A356" s="30" t="str">
        <f t="shared" si="299"/>
        <v>Capex costumization</v>
      </c>
      <c r="B356" s="62">
        <f t="shared" si="300"/>
        <v>4200000</v>
      </c>
      <c r="C356" s="62">
        <f t="shared" si="301"/>
        <v>4200000</v>
      </c>
      <c r="D356" s="62">
        <f t="shared" si="302"/>
        <v>4200000</v>
      </c>
      <c r="E356" s="62">
        <f t="shared" si="303"/>
        <v>4200000</v>
      </c>
      <c r="F356" s="62">
        <f t="shared" si="304"/>
        <v>4200000</v>
      </c>
      <c r="G356" s="62">
        <f t="shared" si="305"/>
        <v>4200000</v>
      </c>
      <c r="H356" s="62">
        <f t="shared" si="306"/>
        <v>4200000</v>
      </c>
      <c r="I356" s="62">
        <f t="shared" si="307"/>
        <v>4200000</v>
      </c>
      <c r="J356" s="62">
        <f t="shared" si="308"/>
        <v>4200000</v>
      </c>
      <c r="K356" s="62">
        <f t="shared" si="309"/>
        <v>4200000</v>
      </c>
      <c r="L356" s="62">
        <f t="shared" si="310"/>
        <v>4200000</v>
      </c>
      <c r="M356" s="62">
        <f t="shared" si="311"/>
        <v>4200000</v>
      </c>
      <c r="N356" s="62">
        <f t="shared" si="312"/>
        <v>4200000</v>
      </c>
      <c r="O356" s="62">
        <f t="shared" si="313"/>
        <v>4200000</v>
      </c>
      <c r="P356" s="62">
        <f t="shared" si="314"/>
        <v>4200000</v>
      </c>
      <c r="Q356" s="62">
        <f t="shared" si="315"/>
        <v>4200000</v>
      </c>
      <c r="R356" s="62">
        <f t="shared" si="316"/>
        <v>4200000</v>
      </c>
      <c r="S356" s="62">
        <f t="shared" si="317"/>
        <v>4200000</v>
      </c>
      <c r="T356" s="62">
        <f t="shared" si="318"/>
        <v>4200000</v>
      </c>
      <c r="U356" s="62">
        <f t="shared" si="319"/>
        <v>4200000</v>
      </c>
      <c r="V356" s="62">
        <f t="shared" si="320"/>
        <v>4200000</v>
      </c>
      <c r="W356" s="62">
        <f t="shared" si="321"/>
        <v>4200000</v>
      </c>
      <c r="X356" s="62">
        <f t="shared" si="322"/>
        <v>4200000</v>
      </c>
      <c r="Y356" s="62">
        <f t="shared" si="323"/>
        <v>4200000</v>
      </c>
      <c r="Z356" s="62">
        <f t="shared" si="324"/>
        <v>4200000</v>
      </c>
      <c r="AA356" s="62">
        <f t="shared" si="325"/>
        <v>4200000</v>
      </c>
      <c r="AB356" s="62">
        <f t="shared" si="326"/>
        <v>4200000</v>
      </c>
      <c r="AC356" s="62">
        <f t="shared" si="327"/>
        <v>4200000</v>
      </c>
    </row>
    <row r="357" spans="1:29" x14ac:dyDescent="0.3">
      <c r="A357" s="30" t="str">
        <f t="shared" si="299"/>
        <v>Residual value (costumization)</v>
      </c>
      <c r="B357" s="62">
        <f t="shared" si="300"/>
        <v>-210000</v>
      </c>
      <c r="C357" s="62">
        <f t="shared" si="301"/>
        <v>-210000</v>
      </c>
      <c r="D357" s="62">
        <f t="shared" si="302"/>
        <v>-210000</v>
      </c>
      <c r="E357" s="62">
        <f t="shared" si="303"/>
        <v>-210000</v>
      </c>
      <c r="F357" s="62">
        <f t="shared" si="304"/>
        <v>-210000</v>
      </c>
      <c r="G357" s="62">
        <f t="shared" si="305"/>
        <v>-210000</v>
      </c>
      <c r="H357" s="62">
        <f t="shared" si="306"/>
        <v>-210000</v>
      </c>
      <c r="I357" s="62">
        <f t="shared" si="307"/>
        <v>-210000</v>
      </c>
      <c r="J357" s="62">
        <f t="shared" si="308"/>
        <v>-210000</v>
      </c>
      <c r="K357" s="62">
        <f t="shared" si="309"/>
        <v>-210000</v>
      </c>
      <c r="L357" s="62">
        <f t="shared" si="310"/>
        <v>-210000</v>
      </c>
      <c r="M357" s="62">
        <f t="shared" si="311"/>
        <v>-210000</v>
      </c>
      <c r="N357" s="62">
        <f t="shared" si="312"/>
        <v>-210000</v>
      </c>
      <c r="O357" s="62">
        <f t="shared" si="313"/>
        <v>-210000</v>
      </c>
      <c r="P357" s="62">
        <f t="shared" si="314"/>
        <v>-210000</v>
      </c>
      <c r="Q357" s="62">
        <f t="shared" si="315"/>
        <v>-210000</v>
      </c>
      <c r="R357" s="62">
        <f t="shared" si="316"/>
        <v>-210000</v>
      </c>
      <c r="S357" s="62">
        <f t="shared" si="317"/>
        <v>-210000</v>
      </c>
      <c r="T357" s="62">
        <f t="shared" si="318"/>
        <v>-210000</v>
      </c>
      <c r="U357" s="62">
        <f t="shared" si="319"/>
        <v>-210000</v>
      </c>
      <c r="V357" s="62">
        <f t="shared" si="320"/>
        <v>-210000</v>
      </c>
      <c r="W357" s="62">
        <f t="shared" si="321"/>
        <v>-210000</v>
      </c>
      <c r="X357" s="62">
        <f t="shared" si="322"/>
        <v>-210000</v>
      </c>
      <c r="Y357" s="62">
        <f t="shared" si="323"/>
        <v>-210000</v>
      </c>
      <c r="Z357" s="62">
        <f t="shared" si="324"/>
        <v>-210000</v>
      </c>
      <c r="AA357" s="62">
        <f t="shared" si="325"/>
        <v>-210000</v>
      </c>
      <c r="AB357" s="62">
        <f t="shared" si="326"/>
        <v>-210000</v>
      </c>
      <c r="AC357" s="62">
        <f t="shared" si="327"/>
        <v>-210000</v>
      </c>
    </row>
    <row r="358" spans="1:29" x14ac:dyDescent="0.3">
      <c r="A358" s="30" t="str">
        <f t="shared" si="299"/>
        <v>WACC</v>
      </c>
      <c r="B358" s="62">
        <f t="shared" si="300"/>
        <v>0.06</v>
      </c>
      <c r="C358" s="62">
        <f t="shared" si="301"/>
        <v>0.06</v>
      </c>
      <c r="D358" s="62">
        <f t="shared" si="302"/>
        <v>0.06</v>
      </c>
      <c r="E358" s="62">
        <f t="shared" si="303"/>
        <v>0.06</v>
      </c>
      <c r="F358" s="62">
        <f t="shared" si="304"/>
        <v>0.06</v>
      </c>
      <c r="G358" s="62">
        <f t="shared" si="305"/>
        <v>0.06</v>
      </c>
      <c r="H358" s="62">
        <f t="shared" si="306"/>
        <v>0.06</v>
      </c>
      <c r="I358" s="62">
        <f t="shared" si="307"/>
        <v>0.06</v>
      </c>
      <c r="J358" s="62">
        <f t="shared" si="308"/>
        <v>0.06</v>
      </c>
      <c r="K358" s="62">
        <f t="shared" si="309"/>
        <v>0.06</v>
      </c>
      <c r="L358" s="62">
        <f t="shared" si="310"/>
        <v>0.06</v>
      </c>
      <c r="M358" s="62">
        <f t="shared" si="311"/>
        <v>0.06</v>
      </c>
      <c r="N358" s="62">
        <f t="shared" si="312"/>
        <v>0.06</v>
      </c>
      <c r="O358" s="62">
        <f t="shared" si="313"/>
        <v>0.06</v>
      </c>
      <c r="P358" s="62">
        <f t="shared" si="314"/>
        <v>0.06</v>
      </c>
      <c r="Q358" s="62">
        <f t="shared" si="315"/>
        <v>0.06</v>
      </c>
      <c r="R358" s="62">
        <f t="shared" si="316"/>
        <v>0.06</v>
      </c>
      <c r="S358" s="62">
        <f t="shared" si="317"/>
        <v>0.06</v>
      </c>
      <c r="T358" s="62">
        <f t="shared" si="318"/>
        <v>0.06</v>
      </c>
      <c r="U358" s="62">
        <f t="shared" si="319"/>
        <v>0.06</v>
      </c>
      <c r="V358" s="62">
        <f t="shared" si="320"/>
        <v>0.06</v>
      </c>
      <c r="W358" s="62">
        <f t="shared" si="321"/>
        <v>0.06</v>
      </c>
      <c r="X358" s="62">
        <f t="shared" si="322"/>
        <v>0.06</v>
      </c>
      <c r="Y358" s="62">
        <f t="shared" si="323"/>
        <v>0.06</v>
      </c>
      <c r="Z358" s="62">
        <f t="shared" si="324"/>
        <v>0.06</v>
      </c>
      <c r="AA358" s="62">
        <f t="shared" si="325"/>
        <v>0.06</v>
      </c>
      <c r="AB358" s="62">
        <f t="shared" si="326"/>
        <v>0.06</v>
      </c>
      <c r="AC358" s="62">
        <f t="shared" si="327"/>
        <v>0.06</v>
      </c>
    </row>
    <row r="359" spans="1:29" x14ac:dyDescent="0.3">
      <c r="A359" s="30" t="str">
        <f t="shared" si="299"/>
        <v>Opex fix (admin, crew, insurance)</v>
      </c>
      <c r="B359" s="62">
        <f t="shared" si="300"/>
        <v>1450000</v>
      </c>
      <c r="C359" s="62">
        <f t="shared" si="301"/>
        <v>1450000</v>
      </c>
      <c r="D359" s="62">
        <f t="shared" si="302"/>
        <v>1450000</v>
      </c>
      <c r="E359" s="62">
        <f t="shared" si="303"/>
        <v>1450000</v>
      </c>
      <c r="F359" s="62">
        <f t="shared" si="304"/>
        <v>1450000</v>
      </c>
      <c r="G359" s="62">
        <f t="shared" si="305"/>
        <v>1450000</v>
      </c>
      <c r="H359" s="62">
        <f t="shared" si="306"/>
        <v>1450000</v>
      </c>
      <c r="I359" s="62">
        <f t="shared" si="307"/>
        <v>1450000</v>
      </c>
      <c r="J359" s="62">
        <f t="shared" si="308"/>
        <v>1450000</v>
      </c>
      <c r="K359" s="62">
        <f t="shared" si="309"/>
        <v>1450000</v>
      </c>
      <c r="L359" s="62">
        <f t="shared" si="310"/>
        <v>1450000</v>
      </c>
      <c r="M359" s="62">
        <f t="shared" si="311"/>
        <v>1450000</v>
      </c>
      <c r="N359" s="62">
        <f t="shared" si="312"/>
        <v>1450000</v>
      </c>
      <c r="O359" s="62">
        <f t="shared" si="313"/>
        <v>1450000</v>
      </c>
      <c r="P359" s="62">
        <f t="shared" si="314"/>
        <v>1450000</v>
      </c>
      <c r="Q359" s="62">
        <f t="shared" si="315"/>
        <v>1450000</v>
      </c>
      <c r="R359" s="62">
        <f t="shared" si="316"/>
        <v>1450000</v>
      </c>
      <c r="S359" s="62">
        <f t="shared" si="317"/>
        <v>1450000</v>
      </c>
      <c r="T359" s="62">
        <f t="shared" si="318"/>
        <v>1450000</v>
      </c>
      <c r="U359" s="62">
        <f t="shared" si="319"/>
        <v>1450000</v>
      </c>
      <c r="V359" s="62">
        <f t="shared" si="320"/>
        <v>1450000</v>
      </c>
      <c r="W359" s="62">
        <f t="shared" si="321"/>
        <v>1450000</v>
      </c>
      <c r="X359" s="62">
        <f t="shared" si="322"/>
        <v>1450000</v>
      </c>
      <c r="Y359" s="62">
        <f t="shared" si="323"/>
        <v>1450000</v>
      </c>
      <c r="Z359" s="62">
        <f t="shared" si="324"/>
        <v>1450000</v>
      </c>
      <c r="AA359" s="62">
        <f t="shared" si="325"/>
        <v>1450000</v>
      </c>
      <c r="AB359" s="62">
        <f t="shared" si="326"/>
        <v>1450000</v>
      </c>
      <c r="AC359" s="62">
        <f t="shared" si="327"/>
        <v>1450000</v>
      </c>
    </row>
    <row r="360" spans="1:29" x14ac:dyDescent="0.3">
      <c r="A360" s="30" t="str">
        <f t="shared" si="299"/>
        <v>Opex maintenance &amp; repair</v>
      </c>
      <c r="B360" s="62">
        <f t="shared" si="300"/>
        <v>650000</v>
      </c>
      <c r="C360" s="62">
        <f t="shared" si="301"/>
        <v>650000</v>
      </c>
      <c r="D360" s="62">
        <f t="shared" si="302"/>
        <v>650000</v>
      </c>
      <c r="E360" s="62">
        <f t="shared" si="303"/>
        <v>650000</v>
      </c>
      <c r="F360" s="62">
        <f t="shared" si="304"/>
        <v>650000</v>
      </c>
      <c r="G360" s="62">
        <f t="shared" si="305"/>
        <v>650000</v>
      </c>
      <c r="H360" s="62">
        <f t="shared" si="306"/>
        <v>650000</v>
      </c>
      <c r="I360" s="62">
        <f t="shared" si="307"/>
        <v>650000</v>
      </c>
      <c r="J360" s="62">
        <f t="shared" si="308"/>
        <v>650000</v>
      </c>
      <c r="K360" s="62">
        <f t="shared" si="309"/>
        <v>650000</v>
      </c>
      <c r="L360" s="62">
        <f t="shared" si="310"/>
        <v>650000</v>
      </c>
      <c r="M360" s="62">
        <f t="shared" si="311"/>
        <v>650000</v>
      </c>
      <c r="N360" s="62">
        <f t="shared" si="312"/>
        <v>650000</v>
      </c>
      <c r="O360" s="62">
        <f t="shared" si="313"/>
        <v>650000</v>
      </c>
      <c r="P360" s="62">
        <f t="shared" si="314"/>
        <v>650000</v>
      </c>
      <c r="Q360" s="62">
        <f t="shared" si="315"/>
        <v>650000</v>
      </c>
      <c r="R360" s="62">
        <f t="shared" si="316"/>
        <v>650000</v>
      </c>
      <c r="S360" s="62">
        <f t="shared" si="317"/>
        <v>650000</v>
      </c>
      <c r="T360" s="62">
        <f t="shared" si="318"/>
        <v>650000</v>
      </c>
      <c r="U360" s="62">
        <f t="shared" si="319"/>
        <v>650000</v>
      </c>
      <c r="V360" s="62">
        <f t="shared" si="320"/>
        <v>650000</v>
      </c>
      <c r="W360" s="62">
        <f t="shared" si="321"/>
        <v>650000</v>
      </c>
      <c r="X360" s="62">
        <f t="shared" si="322"/>
        <v>650000</v>
      </c>
      <c r="Y360" s="62">
        <f t="shared" si="323"/>
        <v>650000</v>
      </c>
      <c r="Z360" s="62">
        <f t="shared" si="324"/>
        <v>650000</v>
      </c>
      <c r="AA360" s="62">
        <f t="shared" si="325"/>
        <v>650000</v>
      </c>
      <c r="AB360" s="62">
        <f t="shared" si="326"/>
        <v>650000</v>
      </c>
      <c r="AC360" s="62">
        <f t="shared" si="327"/>
        <v>650000</v>
      </c>
    </row>
    <row r="361" spans="1:29" x14ac:dyDescent="0.3">
      <c r="A361" s="30" t="str">
        <f t="shared" si="299"/>
        <v>Opex var (mode-fees, shunting)</v>
      </c>
      <c r="B361" s="62">
        <f t="shared" si="300"/>
        <v>8.9635854341736696</v>
      </c>
      <c r="C361" s="62">
        <f t="shared" si="301"/>
        <v>8.9635854341736696</v>
      </c>
      <c r="D361" s="62">
        <f t="shared" si="302"/>
        <v>8.9635854341736696</v>
      </c>
      <c r="E361" s="62">
        <f t="shared" si="303"/>
        <v>8.9635854341736696</v>
      </c>
      <c r="F361" s="62">
        <f t="shared" si="304"/>
        <v>8.9635854341736696</v>
      </c>
      <c r="G361" s="62">
        <f t="shared" si="305"/>
        <v>8.9635854341736696</v>
      </c>
      <c r="H361" s="62">
        <f t="shared" si="306"/>
        <v>8.9635854341736696</v>
      </c>
      <c r="I361" s="62">
        <f t="shared" si="307"/>
        <v>8.9635854341736696</v>
      </c>
      <c r="J361" s="62">
        <f t="shared" si="308"/>
        <v>8.9635854341736696</v>
      </c>
      <c r="K361" s="62">
        <f t="shared" si="309"/>
        <v>8.9635854341736696</v>
      </c>
      <c r="L361" s="62">
        <f t="shared" si="310"/>
        <v>8.9635854341736696</v>
      </c>
      <c r="M361" s="62">
        <f t="shared" si="311"/>
        <v>8.9635854341736696</v>
      </c>
      <c r="N361" s="62">
        <f t="shared" si="312"/>
        <v>8.9635854341736696</v>
      </c>
      <c r="O361" s="62">
        <f t="shared" si="313"/>
        <v>8.9635854341736696</v>
      </c>
      <c r="P361" s="62">
        <f t="shared" si="314"/>
        <v>8.9635854341736696</v>
      </c>
      <c r="Q361" s="62">
        <f t="shared" si="315"/>
        <v>8.9635854341736696</v>
      </c>
      <c r="R361" s="62">
        <f t="shared" si="316"/>
        <v>8.9635854341736696</v>
      </c>
      <c r="S361" s="62">
        <f t="shared" si="317"/>
        <v>8.9635854341736696</v>
      </c>
      <c r="T361" s="62">
        <f t="shared" si="318"/>
        <v>8.9635854341736696</v>
      </c>
      <c r="U361" s="62">
        <f t="shared" si="319"/>
        <v>8.9635854341736696</v>
      </c>
      <c r="V361" s="62">
        <f t="shared" si="320"/>
        <v>8.9635854341736696</v>
      </c>
      <c r="W361" s="62">
        <f t="shared" si="321"/>
        <v>8.9635854341736696</v>
      </c>
      <c r="X361" s="62">
        <f t="shared" si="322"/>
        <v>8.9635854341736696</v>
      </c>
      <c r="Y361" s="62">
        <f t="shared" si="323"/>
        <v>8.9635854341736696</v>
      </c>
      <c r="Z361" s="62">
        <f t="shared" si="324"/>
        <v>8.9635854341736696</v>
      </c>
      <c r="AA361" s="62">
        <f t="shared" si="325"/>
        <v>8.9635854341736696</v>
      </c>
      <c r="AB361" s="62">
        <f t="shared" si="326"/>
        <v>8.9635854341736696</v>
      </c>
      <c r="AC361" s="62">
        <f t="shared" si="327"/>
        <v>8.9635854341736696</v>
      </c>
    </row>
    <row r="362" spans="1:29" x14ac:dyDescent="0.3">
      <c r="A362" s="30" t="str">
        <f t="shared" si="299"/>
        <v>Fuel Economy</v>
      </c>
      <c r="B362" s="62">
        <f t="shared" si="300"/>
        <v>25.563670588235297</v>
      </c>
      <c r="C362" s="62">
        <f t="shared" si="301"/>
        <v>25.563670588235297</v>
      </c>
      <c r="D362" s="62">
        <f t="shared" si="302"/>
        <v>25.563670588235297</v>
      </c>
      <c r="E362" s="62">
        <f t="shared" si="303"/>
        <v>25.563670588235297</v>
      </c>
      <c r="F362" s="62">
        <f t="shared" si="304"/>
        <v>25.563670588235297</v>
      </c>
      <c r="G362" s="62">
        <f t="shared" si="305"/>
        <v>25.563670588235297</v>
      </c>
      <c r="H362" s="62">
        <f t="shared" si="306"/>
        <v>25.563670588235297</v>
      </c>
      <c r="I362" s="62">
        <f t="shared" si="307"/>
        <v>25.563670588235297</v>
      </c>
      <c r="J362" s="62">
        <f t="shared" si="308"/>
        <v>25.563670588235297</v>
      </c>
      <c r="K362" s="62">
        <f t="shared" si="309"/>
        <v>25.563670588235297</v>
      </c>
      <c r="L362" s="62">
        <f t="shared" si="310"/>
        <v>25.563670588235297</v>
      </c>
      <c r="M362" s="62">
        <f t="shared" si="311"/>
        <v>25.563670588235297</v>
      </c>
      <c r="N362" s="62">
        <f t="shared" si="312"/>
        <v>25.563670588235297</v>
      </c>
      <c r="O362" s="62">
        <f t="shared" si="313"/>
        <v>25.563670588235297</v>
      </c>
      <c r="P362" s="62">
        <f t="shared" si="314"/>
        <v>25.563670588235297</v>
      </c>
      <c r="Q362" s="62">
        <f t="shared" si="315"/>
        <v>25.563670588235297</v>
      </c>
      <c r="R362" s="62">
        <f t="shared" si="316"/>
        <v>25.563670588235297</v>
      </c>
      <c r="S362" s="62">
        <f t="shared" si="317"/>
        <v>25.563670588235297</v>
      </c>
      <c r="T362" s="62">
        <f t="shared" si="318"/>
        <v>25.563670588235297</v>
      </c>
      <c r="U362" s="62">
        <f t="shared" si="319"/>
        <v>25.563670588235297</v>
      </c>
      <c r="V362" s="62">
        <f t="shared" si="320"/>
        <v>25.563670588235297</v>
      </c>
      <c r="W362" s="62">
        <f t="shared" si="321"/>
        <v>25.563670588235297</v>
      </c>
      <c r="X362" s="62">
        <f t="shared" si="322"/>
        <v>25.563670588235297</v>
      </c>
      <c r="Y362" s="62">
        <f t="shared" si="323"/>
        <v>25.563670588235297</v>
      </c>
      <c r="Z362" s="62">
        <f t="shared" si="324"/>
        <v>25.563670588235297</v>
      </c>
      <c r="AA362" s="62">
        <f t="shared" si="325"/>
        <v>25.563670588235297</v>
      </c>
      <c r="AB362" s="62">
        <f t="shared" si="326"/>
        <v>25.563670588235297</v>
      </c>
      <c r="AC362" s="62">
        <f t="shared" si="327"/>
        <v>25.563670588235297</v>
      </c>
    </row>
    <row r="363" spans="1:29" x14ac:dyDescent="0.3">
      <c r="A363" s="30" t="str">
        <f t="shared" si="299"/>
        <v>Fuel Cost</v>
      </c>
      <c r="B363" s="62">
        <f t="shared" si="300"/>
        <v>9.2331951136741086E-2</v>
      </c>
      <c r="C363" s="62">
        <f t="shared" si="301"/>
        <v>9.2222956120974545E-2</v>
      </c>
      <c r="D363" s="62">
        <f t="shared" si="302"/>
        <v>9.2068198823216471E-2</v>
      </c>
      <c r="E363" s="62">
        <f t="shared" si="303"/>
        <v>9.1849464254062249E-2</v>
      </c>
      <c r="F363" s="62">
        <f t="shared" si="304"/>
        <v>9.1542364865268247E-2</v>
      </c>
      <c r="G363" s="62">
        <f t="shared" si="305"/>
        <v>9.1115385234314353E-2</v>
      </c>
      <c r="H363" s="62">
        <f t="shared" si="306"/>
        <v>9.0530012133616333E-2</v>
      </c>
      <c r="I363" s="62">
        <f t="shared" si="307"/>
        <v>8.9743333412323725E-2</v>
      </c>
      <c r="J363" s="62">
        <f t="shared" si="308"/>
        <v>8.8714992348442129E-2</v>
      </c>
      <c r="K363" s="62">
        <f t="shared" si="309"/>
        <v>8.7419970590682711E-2</v>
      </c>
      <c r="L363" s="62">
        <f t="shared" si="310"/>
        <v>8.5865981654976761E-2</v>
      </c>
      <c r="M363" s="62">
        <f t="shared" si="311"/>
        <v>8.4108771907851612E-2</v>
      </c>
      <c r="N363" s="62">
        <f t="shared" si="312"/>
        <v>8.2253692787461766E-2</v>
      </c>
      <c r="O363" s="62">
        <f t="shared" si="313"/>
        <v>8.0435118154333018E-2</v>
      </c>
      <c r="P363" s="62">
        <f t="shared" si="314"/>
        <v>7.8779632233065888E-2</v>
      </c>
      <c r="Q363" s="62">
        <f t="shared" si="315"/>
        <v>7.7372704945717463E-2</v>
      </c>
      <c r="R363" s="62">
        <f t="shared" si="316"/>
        <v>7.6246008154952791E-2</v>
      </c>
      <c r="S363" s="62">
        <f t="shared" si="317"/>
        <v>7.5386288497227227E-2</v>
      </c>
      <c r="T363" s="62">
        <f t="shared" si="318"/>
        <v>7.4754325599182742E-2</v>
      </c>
      <c r="U363" s="62">
        <f t="shared" si="319"/>
        <v>7.4302481269476042E-2</v>
      </c>
      <c r="V363" s="62">
        <f t="shared" si="320"/>
        <v>7.3985805122564349E-2</v>
      </c>
      <c r="W363" s="62">
        <f t="shared" si="321"/>
        <v>7.3766962440611206E-2</v>
      </c>
      <c r="X363" s="62">
        <f t="shared" si="322"/>
        <v>7.3617197488001537E-2</v>
      </c>
      <c r="Y363" s="62">
        <f t="shared" si="323"/>
        <v>7.3515389944810147E-2</v>
      </c>
      <c r="Z363" s="62">
        <f t="shared" si="324"/>
        <v>7.3446497913186276E-2</v>
      </c>
      <c r="AA363" s="62">
        <f t="shared" si="325"/>
        <v>7.3400023276728135E-2</v>
      </c>
      <c r="AB363" s="62">
        <f t="shared" si="326"/>
        <v>7.3368736782330912E-2</v>
      </c>
      <c r="AC363" s="62">
        <f t="shared" si="327"/>
        <v>7.3347704448441492E-2</v>
      </c>
    </row>
    <row r="364" spans="1:29" x14ac:dyDescent="0.3">
      <c r="A364" s="30" t="str">
        <f t="shared" ref="A364" si="328">A344</f>
        <v>Emission Cost</v>
      </c>
      <c r="B364" s="66">
        <f>$B344+($C344-$B344)*(1-Q344)</f>
        <v>5.9070060812636778E-2</v>
      </c>
      <c r="C364" s="66">
        <f t="shared" ref="C364" si="329">$B344+($C344-$B344)*(1-R344)</f>
        <v>5.9013811722223086E-2</v>
      </c>
      <c r="D364" s="66">
        <f t="shared" ref="D364" si="330">$B344+($C344-$B344)*(1-S344)</f>
        <v>5.8933292402143352E-2</v>
      </c>
      <c r="E364" s="66">
        <f t="shared" ref="E364" si="331">$B344+($C344-$B344)*(1-T344)</f>
        <v>5.8818103852397587E-2</v>
      </c>
      <c r="F364" s="66">
        <f t="shared" ref="F364" si="332">$B344+($C344-$B344)*(1-U344)</f>
        <v>5.8653473997195435E-2</v>
      </c>
      <c r="G364" s="66">
        <f t="shared" ref="G364" si="333">$B344+($C344-$B344)*(1-V344)</f>
        <v>5.8418511615834896E-2</v>
      </c>
      <c r="H364" s="66">
        <f t="shared" ref="H364" si="334">$B344+($C344-$B344)*(1-W344)</f>
        <v>5.8083867542195688E-2</v>
      </c>
      <c r="I364" s="66">
        <f t="shared" ref="I364" si="335">$B344+($C344-$B344)*(1-X344)</f>
        <v>5.760872092945437E-2</v>
      </c>
      <c r="J364" s="66">
        <f t="shared" ref="J364" si="336">$B344+($C344-$B344)*(1-Y344)</f>
        <v>5.6937146851018805E-2</v>
      </c>
      <c r="K364" s="66">
        <f t="shared" ref="K364" si="337">$B344+($C344-$B344)*(1-Z344)</f>
        <v>5.5994268961095287E-2</v>
      </c>
      <c r="L364" s="66">
        <f t="shared" ref="L364" si="338">$B344+($C344-$B344)*(1-AA344)</f>
        <v>5.4683326418828664E-2</v>
      </c>
      <c r="M364" s="66">
        <f t="shared" ref="M364" si="339">$B344+($C344-$B344)*(1-AB344)</f>
        <v>5.288607323583918E-2</v>
      </c>
      <c r="N364" s="66">
        <f t="shared" ref="N364" si="340">$B344+($C344-$B344)*(1-AC344)</f>
        <v>5.0470757543766405E-2</v>
      </c>
      <c r="O364" s="66">
        <f t="shared" ref="O364" si="341">$B344+($C344-$B344)*(1-AD344)</f>
        <v>4.7313473329551395E-2</v>
      </c>
      <c r="P364" s="66">
        <f t="shared" ref="P364" si="342">$B344+($C344-$B344)*(1-AE344)</f>
        <v>4.3337407512043943E-2</v>
      </c>
      <c r="Q364" s="66">
        <f t="shared" ref="Q364" si="343">$B344+($C344-$B344)*(1-AF344)</f>
        <v>3.8566242664022157E-2</v>
      </c>
      <c r="R364" s="66">
        <f t="shared" ref="R364" si="344">$B344+($C344-$B344)*(1-AG344)</f>
        <v>3.3171135154922579E-2</v>
      </c>
      <c r="S364" s="66">
        <f t="shared" ref="S364" si="345">$B344+($C344-$B344)*(1-AH344)</f>
        <v>2.7475542293135265E-2</v>
      </c>
      <c r="T364" s="66">
        <f t="shared" ref="T364" si="346">$B344+($C344-$B344)*(1-AI344)</f>
        <v>2.1892028045560286E-2</v>
      </c>
      <c r="U364" s="66">
        <f t="shared" ref="U364" si="347">$B344+($C344-$B344)*(1-AJ344)</f>
        <v>1.680924009742308E-2</v>
      </c>
      <c r="V364" s="66">
        <f t="shared" ref="V364" si="348">$B344+($C344-$B344)*(1-AK344)</f>
        <v>1.2489594144429211E-2</v>
      </c>
      <c r="W364" s="66">
        <f t="shared" ref="W364" si="349">$B344+($C344-$B344)*(1-AL344)</f>
        <v>9.0303313408408581E-3</v>
      </c>
      <c r="X364" s="66">
        <f t="shared" ref="X364" si="350">$B344+($C344-$B344)*(1-AM344)</f>
        <v>6.3907602886633802E-3</v>
      </c>
      <c r="Y364" s="66">
        <f t="shared" ref="Y364" si="351">$B344+($C344-$B344)*(1-AN344)</f>
        <v>4.4504638714085373E-3</v>
      </c>
      <c r="Z364" s="66">
        <f t="shared" ref="Z364" si="352">$B344+($C344-$B344)*(1-AO344)</f>
        <v>3.0631800026883343E-3</v>
      </c>
      <c r="AA364" s="66">
        <f t="shared" ref="AA364" si="353">$B344+($C344-$B344)*(1-AP344)</f>
        <v>2.0908988843123671E-3</v>
      </c>
      <c r="AB364" s="66">
        <f t="shared" ref="AB364" si="354">$B344+($C344-$B344)*(1-AQ344)</f>
        <v>1.4189928704466184E-3</v>
      </c>
      <c r="AC364" s="66">
        <f t="shared" ref="AC364" si="355">$B344+($C344-$B344)*(1-AR344)</f>
        <v>9.5917410279734022E-4</v>
      </c>
    </row>
    <row r="365" spans="1:29" x14ac:dyDescent="0.3">
      <c r="A365" s="30" t="str">
        <f>A345</f>
        <v>Lifetime vehicle</v>
      </c>
      <c r="B365" s="62">
        <f>$B345+($C345-$B345)*(1-Q345)</f>
        <v>20</v>
      </c>
      <c r="C365" s="62">
        <f t="shared" ref="C365:L367" si="356">$B345+($C345-$B345)*(1-R345)</f>
        <v>20</v>
      </c>
      <c r="D365" s="62">
        <f t="shared" si="356"/>
        <v>20</v>
      </c>
      <c r="E365" s="62">
        <f t="shared" si="356"/>
        <v>20</v>
      </c>
      <c r="F365" s="62">
        <f t="shared" si="356"/>
        <v>20</v>
      </c>
      <c r="G365" s="62">
        <f t="shared" si="356"/>
        <v>20</v>
      </c>
      <c r="H365" s="62">
        <f t="shared" si="356"/>
        <v>20</v>
      </c>
      <c r="I365" s="62">
        <f t="shared" si="356"/>
        <v>20</v>
      </c>
      <c r="J365" s="62">
        <f t="shared" si="356"/>
        <v>20</v>
      </c>
      <c r="K365" s="62">
        <f t="shared" si="356"/>
        <v>20</v>
      </c>
      <c r="L365" s="62">
        <f t="shared" si="356"/>
        <v>20</v>
      </c>
      <c r="M365" s="62">
        <f t="shared" ref="M365:V367" si="357">$B345+($C345-$B345)*(1-AB345)</f>
        <v>20</v>
      </c>
      <c r="N365" s="62">
        <f t="shared" si="357"/>
        <v>20</v>
      </c>
      <c r="O365" s="62">
        <f t="shared" si="357"/>
        <v>20</v>
      </c>
      <c r="P365" s="62">
        <f t="shared" si="357"/>
        <v>20</v>
      </c>
      <c r="Q365" s="62">
        <f t="shared" si="357"/>
        <v>20</v>
      </c>
      <c r="R365" s="62">
        <f t="shared" si="357"/>
        <v>20</v>
      </c>
      <c r="S365" s="62">
        <f t="shared" si="357"/>
        <v>20</v>
      </c>
      <c r="T365" s="62">
        <f t="shared" si="357"/>
        <v>20</v>
      </c>
      <c r="U365" s="62">
        <f t="shared" si="357"/>
        <v>20</v>
      </c>
      <c r="V365" s="62">
        <f t="shared" si="357"/>
        <v>20</v>
      </c>
      <c r="W365" s="62">
        <f t="shared" ref="W365:AC367" si="358">$B345+($C345-$B345)*(1-AL345)</f>
        <v>20</v>
      </c>
      <c r="X365" s="62">
        <f t="shared" si="358"/>
        <v>20</v>
      </c>
      <c r="Y365" s="62">
        <f t="shared" si="358"/>
        <v>20</v>
      </c>
      <c r="Z365" s="62">
        <f t="shared" si="358"/>
        <v>20</v>
      </c>
      <c r="AA365" s="62">
        <f t="shared" si="358"/>
        <v>20</v>
      </c>
      <c r="AB365" s="62">
        <f t="shared" si="358"/>
        <v>20</v>
      </c>
      <c r="AC365" s="62">
        <f t="shared" si="358"/>
        <v>20</v>
      </c>
    </row>
    <row r="366" spans="1:29" x14ac:dyDescent="0.3">
      <c r="A366" s="30" t="str">
        <f>A346</f>
        <v>Lifetime costumization</v>
      </c>
      <c r="B366" s="62">
        <f>$B346+($C346-$B346)*(1-Q346)</f>
        <v>30</v>
      </c>
      <c r="C366" s="62">
        <f t="shared" si="356"/>
        <v>30</v>
      </c>
      <c r="D366" s="62">
        <f t="shared" si="356"/>
        <v>30</v>
      </c>
      <c r="E366" s="62">
        <f t="shared" si="356"/>
        <v>30</v>
      </c>
      <c r="F366" s="62">
        <f t="shared" si="356"/>
        <v>30</v>
      </c>
      <c r="G366" s="62">
        <f t="shared" si="356"/>
        <v>30</v>
      </c>
      <c r="H366" s="62">
        <f t="shared" si="356"/>
        <v>30</v>
      </c>
      <c r="I366" s="62">
        <f t="shared" si="356"/>
        <v>30</v>
      </c>
      <c r="J366" s="62">
        <f t="shared" si="356"/>
        <v>30</v>
      </c>
      <c r="K366" s="62">
        <f t="shared" si="356"/>
        <v>30</v>
      </c>
      <c r="L366" s="62">
        <f t="shared" si="356"/>
        <v>30</v>
      </c>
      <c r="M366" s="62">
        <f t="shared" si="357"/>
        <v>30</v>
      </c>
      <c r="N366" s="62">
        <f t="shared" si="357"/>
        <v>30</v>
      </c>
      <c r="O366" s="62">
        <f t="shared" si="357"/>
        <v>30</v>
      </c>
      <c r="P366" s="62">
        <f t="shared" si="357"/>
        <v>30</v>
      </c>
      <c r="Q366" s="62">
        <f t="shared" si="357"/>
        <v>30</v>
      </c>
      <c r="R366" s="62">
        <f t="shared" si="357"/>
        <v>30</v>
      </c>
      <c r="S366" s="62">
        <f t="shared" si="357"/>
        <v>30</v>
      </c>
      <c r="T366" s="62">
        <f t="shared" si="357"/>
        <v>30</v>
      </c>
      <c r="U366" s="62">
        <f t="shared" si="357"/>
        <v>30</v>
      </c>
      <c r="V366" s="62">
        <f t="shared" si="357"/>
        <v>30</v>
      </c>
      <c r="W366" s="62">
        <f t="shared" si="358"/>
        <v>30</v>
      </c>
      <c r="X366" s="62">
        <f t="shared" si="358"/>
        <v>30</v>
      </c>
      <c r="Y366" s="62">
        <f t="shared" si="358"/>
        <v>30</v>
      </c>
      <c r="Z366" s="62">
        <f t="shared" si="358"/>
        <v>30</v>
      </c>
      <c r="AA366" s="62">
        <f t="shared" si="358"/>
        <v>30</v>
      </c>
      <c r="AB366" s="62">
        <f t="shared" si="358"/>
        <v>30</v>
      </c>
      <c r="AC366" s="62">
        <f t="shared" si="358"/>
        <v>30</v>
      </c>
    </row>
    <row r="367" spans="1:29" x14ac:dyDescent="0.3">
      <c r="A367" s="30" t="str">
        <f>A347</f>
        <v>Tonnage .</v>
      </c>
      <c r="B367" s="62">
        <f>$B347+($C347-$B347)*(1-Q347)</f>
        <v>2240</v>
      </c>
      <c r="C367" s="62">
        <f t="shared" si="356"/>
        <v>2240</v>
      </c>
      <c r="D367" s="62">
        <f t="shared" si="356"/>
        <v>2240</v>
      </c>
      <c r="E367" s="62">
        <f t="shared" si="356"/>
        <v>2240</v>
      </c>
      <c r="F367" s="62">
        <f t="shared" si="356"/>
        <v>2240</v>
      </c>
      <c r="G367" s="62">
        <f t="shared" si="356"/>
        <v>2240</v>
      </c>
      <c r="H367" s="62">
        <f t="shared" si="356"/>
        <v>2240</v>
      </c>
      <c r="I367" s="62">
        <f t="shared" si="356"/>
        <v>2240</v>
      </c>
      <c r="J367" s="62">
        <f t="shared" si="356"/>
        <v>2240</v>
      </c>
      <c r="K367" s="62">
        <f t="shared" si="356"/>
        <v>2240</v>
      </c>
      <c r="L367" s="62">
        <f t="shared" si="356"/>
        <v>2240</v>
      </c>
      <c r="M367" s="62">
        <f t="shared" si="357"/>
        <v>2240</v>
      </c>
      <c r="N367" s="62">
        <f t="shared" si="357"/>
        <v>2240</v>
      </c>
      <c r="O367" s="62">
        <f t="shared" si="357"/>
        <v>2240</v>
      </c>
      <c r="P367" s="62">
        <f t="shared" si="357"/>
        <v>2240</v>
      </c>
      <c r="Q367" s="62">
        <f t="shared" si="357"/>
        <v>2240</v>
      </c>
      <c r="R367" s="62">
        <f t="shared" si="357"/>
        <v>2240</v>
      </c>
      <c r="S367" s="62">
        <f t="shared" si="357"/>
        <v>2240</v>
      </c>
      <c r="T367" s="62">
        <f t="shared" si="357"/>
        <v>2240</v>
      </c>
      <c r="U367" s="62">
        <f t="shared" si="357"/>
        <v>2240</v>
      </c>
      <c r="V367" s="62">
        <f t="shared" si="357"/>
        <v>2240</v>
      </c>
      <c r="W367" s="62">
        <f t="shared" si="358"/>
        <v>2240</v>
      </c>
      <c r="X367" s="62">
        <f t="shared" si="358"/>
        <v>2240</v>
      </c>
      <c r="Y367" s="62">
        <f t="shared" si="358"/>
        <v>2240</v>
      </c>
      <c r="Z367" s="62">
        <f t="shared" si="358"/>
        <v>2240</v>
      </c>
      <c r="AA367" s="62">
        <f t="shared" si="358"/>
        <v>2240</v>
      </c>
      <c r="AB367" s="62">
        <f t="shared" si="358"/>
        <v>2240</v>
      </c>
      <c r="AC367" s="62">
        <f t="shared" si="358"/>
        <v>2240</v>
      </c>
    </row>
    <row r="368" spans="1:29" x14ac:dyDescent="0.3">
      <c r="A368" s="30" t="str">
        <f>A348</f>
        <v>Market failure (av. utilization)</v>
      </c>
      <c r="B368" s="62">
        <f t="shared" ref="B368:K369" si="359">($B348+($C348-$B348)*(1-Q348))*B$44</f>
        <v>1209.6000000000001</v>
      </c>
      <c r="C368" s="62">
        <f t="shared" si="359"/>
        <v>1209.6000000000001</v>
      </c>
      <c r="D368" s="62">
        <f t="shared" si="359"/>
        <v>1209.6000000000001</v>
      </c>
      <c r="E368" s="62">
        <f t="shared" si="359"/>
        <v>1209.6000000000001</v>
      </c>
      <c r="F368" s="62">
        <f t="shared" si="359"/>
        <v>1209.6000000000001</v>
      </c>
      <c r="G368" s="62">
        <f t="shared" si="359"/>
        <v>1209.6000000000001</v>
      </c>
      <c r="H368" s="62">
        <f t="shared" si="359"/>
        <v>1209.6000000000001</v>
      </c>
      <c r="I368" s="62">
        <f t="shared" si="359"/>
        <v>1209.6000000000001</v>
      </c>
      <c r="J368" s="62">
        <f t="shared" si="359"/>
        <v>1209.6000000000001</v>
      </c>
      <c r="K368" s="62">
        <f t="shared" si="359"/>
        <v>1209.6000000000001</v>
      </c>
      <c r="L368" s="62">
        <f t="shared" ref="L368:U369" si="360">($B348+($C348-$B348)*(1-AA348))*L$44</f>
        <v>1209.6000000000001</v>
      </c>
      <c r="M368" s="62">
        <f t="shared" si="360"/>
        <v>1209.6000000000001</v>
      </c>
      <c r="N368" s="62">
        <f t="shared" si="360"/>
        <v>1209.6000000000001</v>
      </c>
      <c r="O368" s="62">
        <f t="shared" si="360"/>
        <v>1209.6000000000001</v>
      </c>
      <c r="P368" s="62">
        <f t="shared" si="360"/>
        <v>1209.6000000000001</v>
      </c>
      <c r="Q368" s="62">
        <f t="shared" si="360"/>
        <v>1209.6000000000001</v>
      </c>
      <c r="R368" s="62">
        <f t="shared" si="360"/>
        <v>1209.6000000000001</v>
      </c>
      <c r="S368" s="62">
        <f t="shared" si="360"/>
        <v>1209.6000000000001</v>
      </c>
      <c r="T368" s="62">
        <f t="shared" si="360"/>
        <v>1209.6000000000001</v>
      </c>
      <c r="U368" s="62">
        <f t="shared" si="360"/>
        <v>1209.6000000000001</v>
      </c>
      <c r="V368" s="62">
        <f t="shared" ref="V368:AC369" si="361">($B348+($C348-$B348)*(1-AK348))*V$44</f>
        <v>1209.6000000000001</v>
      </c>
      <c r="W368" s="62">
        <f t="shared" si="361"/>
        <v>1209.6000000000001</v>
      </c>
      <c r="X368" s="62">
        <f t="shared" si="361"/>
        <v>1209.6000000000001</v>
      </c>
      <c r="Y368" s="62">
        <f t="shared" si="361"/>
        <v>1209.6000000000001</v>
      </c>
      <c r="Z368" s="62">
        <f t="shared" si="361"/>
        <v>1209.6000000000001</v>
      </c>
      <c r="AA368" s="62">
        <f t="shared" si="361"/>
        <v>1209.6000000000001</v>
      </c>
      <c r="AB368" s="62">
        <f t="shared" si="361"/>
        <v>1209.6000000000001</v>
      </c>
      <c r="AC368" s="62">
        <f t="shared" si="361"/>
        <v>1209.6000000000001</v>
      </c>
    </row>
    <row r="369" spans="1:29" x14ac:dyDescent="0.3">
      <c r="A369" s="30" t="s">
        <v>73</v>
      </c>
      <c r="B369" s="62">
        <f t="shared" si="359"/>
        <v>0</v>
      </c>
      <c r="C369" s="62">
        <f t="shared" si="359"/>
        <v>0</v>
      </c>
      <c r="D369" s="62">
        <f t="shared" si="359"/>
        <v>0</v>
      </c>
      <c r="E369" s="62">
        <f t="shared" si="359"/>
        <v>0</v>
      </c>
      <c r="F369" s="62">
        <f t="shared" si="359"/>
        <v>0</v>
      </c>
      <c r="G369" s="62">
        <f t="shared" si="359"/>
        <v>0</v>
      </c>
      <c r="H369" s="62">
        <f t="shared" si="359"/>
        <v>0</v>
      </c>
      <c r="I369" s="62">
        <f t="shared" si="359"/>
        <v>0</v>
      </c>
      <c r="J369" s="62">
        <f t="shared" si="359"/>
        <v>0</v>
      </c>
      <c r="K369" s="62">
        <f t="shared" si="359"/>
        <v>0</v>
      </c>
      <c r="L369" s="62">
        <f t="shared" si="360"/>
        <v>0</v>
      </c>
      <c r="M369" s="62">
        <f t="shared" si="360"/>
        <v>0</v>
      </c>
      <c r="N369" s="62">
        <f t="shared" si="360"/>
        <v>0</v>
      </c>
      <c r="O369" s="62">
        <f t="shared" si="360"/>
        <v>0</v>
      </c>
      <c r="P369" s="62">
        <f t="shared" si="360"/>
        <v>0</v>
      </c>
      <c r="Q369" s="62">
        <f t="shared" si="360"/>
        <v>0</v>
      </c>
      <c r="R369" s="62">
        <f t="shared" si="360"/>
        <v>0</v>
      </c>
      <c r="S369" s="62">
        <f t="shared" si="360"/>
        <v>0</v>
      </c>
      <c r="T369" s="62">
        <f t="shared" si="360"/>
        <v>0</v>
      </c>
      <c r="U369" s="62">
        <f t="shared" si="360"/>
        <v>0</v>
      </c>
      <c r="V369" s="62">
        <f t="shared" si="361"/>
        <v>0</v>
      </c>
      <c r="W369" s="62">
        <f t="shared" si="361"/>
        <v>0</v>
      </c>
      <c r="X369" s="62">
        <f t="shared" si="361"/>
        <v>0</v>
      </c>
      <c r="Y369" s="62">
        <f t="shared" si="361"/>
        <v>0</v>
      </c>
      <c r="Z369" s="62">
        <f t="shared" si="361"/>
        <v>0</v>
      </c>
      <c r="AA369" s="62">
        <f t="shared" si="361"/>
        <v>0</v>
      </c>
      <c r="AB369" s="62">
        <f t="shared" si="361"/>
        <v>0</v>
      </c>
      <c r="AC369" s="62">
        <f t="shared" si="361"/>
        <v>0</v>
      </c>
    </row>
    <row r="370" spans="1:29" x14ac:dyDescent="0.3">
      <c r="A370" s="30" t="str">
        <f>A350</f>
        <v>Annual Mileage</v>
      </c>
      <c r="B370" s="62">
        <f t="shared" ref="B370:AC370" si="362">$B350+($C350-$B350)*(1-Q350)</f>
        <v>178500</v>
      </c>
      <c r="C370" s="62">
        <f t="shared" si="362"/>
        <v>178500</v>
      </c>
      <c r="D370" s="62">
        <f t="shared" si="362"/>
        <v>178500</v>
      </c>
      <c r="E370" s="62">
        <f t="shared" si="362"/>
        <v>178500</v>
      </c>
      <c r="F370" s="62">
        <f t="shared" si="362"/>
        <v>178500</v>
      </c>
      <c r="G370" s="62">
        <f t="shared" si="362"/>
        <v>178500</v>
      </c>
      <c r="H370" s="62">
        <f t="shared" si="362"/>
        <v>178500</v>
      </c>
      <c r="I370" s="62">
        <f t="shared" si="362"/>
        <v>178500</v>
      </c>
      <c r="J370" s="62">
        <f t="shared" si="362"/>
        <v>178500</v>
      </c>
      <c r="K370" s="62">
        <f t="shared" si="362"/>
        <v>178500</v>
      </c>
      <c r="L370" s="62">
        <f t="shared" si="362"/>
        <v>178500</v>
      </c>
      <c r="M370" s="62">
        <f t="shared" si="362"/>
        <v>178500</v>
      </c>
      <c r="N370" s="62">
        <f t="shared" si="362"/>
        <v>178500</v>
      </c>
      <c r="O370" s="62">
        <f t="shared" si="362"/>
        <v>178500</v>
      </c>
      <c r="P370" s="62">
        <f t="shared" si="362"/>
        <v>178500</v>
      </c>
      <c r="Q370" s="62">
        <f t="shared" si="362"/>
        <v>178500</v>
      </c>
      <c r="R370" s="62">
        <f t="shared" si="362"/>
        <v>178500</v>
      </c>
      <c r="S370" s="62">
        <f t="shared" si="362"/>
        <v>178500</v>
      </c>
      <c r="T370" s="62">
        <f t="shared" si="362"/>
        <v>178500</v>
      </c>
      <c r="U370" s="62">
        <f t="shared" si="362"/>
        <v>178500</v>
      </c>
      <c r="V370" s="62">
        <f t="shared" si="362"/>
        <v>178500</v>
      </c>
      <c r="W370" s="62">
        <f t="shared" si="362"/>
        <v>178500</v>
      </c>
      <c r="X370" s="62">
        <f t="shared" si="362"/>
        <v>178500</v>
      </c>
      <c r="Y370" s="62">
        <f t="shared" si="362"/>
        <v>178500</v>
      </c>
      <c r="Z370" s="62">
        <f t="shared" si="362"/>
        <v>178500</v>
      </c>
      <c r="AA370" s="62">
        <f t="shared" si="362"/>
        <v>178500</v>
      </c>
      <c r="AB370" s="62">
        <f t="shared" si="362"/>
        <v>178500</v>
      </c>
      <c r="AC370" s="62">
        <f t="shared" si="362"/>
        <v>178500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435922.78488425701</v>
      </c>
      <c r="C373" s="63">
        <f t="shared" ref="C373:AC373" si="363">((1+C358)^C365)*C358/(((1+C358)^C365)-1)*(C354)</f>
        <v>435922.78488425701</v>
      </c>
      <c r="D373" s="63">
        <f t="shared" si="363"/>
        <v>435922.78488425701</v>
      </c>
      <c r="E373" s="63">
        <f t="shared" si="363"/>
        <v>435922.78488425701</v>
      </c>
      <c r="F373" s="63">
        <f t="shared" si="363"/>
        <v>435922.78488425701</v>
      </c>
      <c r="G373" s="63">
        <f t="shared" si="363"/>
        <v>435922.78488425701</v>
      </c>
      <c r="H373" s="63">
        <f t="shared" si="363"/>
        <v>435922.78488425701</v>
      </c>
      <c r="I373" s="63">
        <f t="shared" si="363"/>
        <v>435922.78488425701</v>
      </c>
      <c r="J373" s="63">
        <f t="shared" si="363"/>
        <v>435922.78488425701</v>
      </c>
      <c r="K373" s="63">
        <f t="shared" si="363"/>
        <v>435922.78488425701</v>
      </c>
      <c r="L373" s="63">
        <f t="shared" si="363"/>
        <v>435922.78488425701</v>
      </c>
      <c r="M373" s="63">
        <f t="shared" si="363"/>
        <v>435922.78488425701</v>
      </c>
      <c r="N373" s="63">
        <f t="shared" si="363"/>
        <v>435922.78488425701</v>
      </c>
      <c r="O373" s="63">
        <f t="shared" si="363"/>
        <v>435922.78488425701</v>
      </c>
      <c r="P373" s="63">
        <f t="shared" si="363"/>
        <v>435922.78488425701</v>
      </c>
      <c r="Q373" s="63">
        <f t="shared" si="363"/>
        <v>435922.78488425701</v>
      </c>
      <c r="R373" s="63">
        <f t="shared" si="363"/>
        <v>435922.78488425701</v>
      </c>
      <c r="S373" s="63">
        <f t="shared" si="363"/>
        <v>435922.78488425701</v>
      </c>
      <c r="T373" s="63">
        <f t="shared" si="363"/>
        <v>435922.78488425701</v>
      </c>
      <c r="U373" s="63">
        <f t="shared" si="363"/>
        <v>435922.78488425701</v>
      </c>
      <c r="V373" s="63">
        <f t="shared" si="363"/>
        <v>435922.78488425701</v>
      </c>
      <c r="W373" s="63">
        <f t="shared" si="363"/>
        <v>435922.78488425701</v>
      </c>
      <c r="X373" s="63">
        <f t="shared" si="363"/>
        <v>435922.78488425701</v>
      </c>
      <c r="Y373" s="63">
        <f t="shared" si="363"/>
        <v>435922.78488425701</v>
      </c>
      <c r="Z373" s="63">
        <f t="shared" si="363"/>
        <v>435922.78488425701</v>
      </c>
      <c r="AA373" s="63">
        <f t="shared" si="363"/>
        <v>435922.78488425701</v>
      </c>
      <c r="AB373" s="63">
        <f t="shared" si="363"/>
        <v>435922.78488425701</v>
      </c>
      <c r="AC373" s="63">
        <f t="shared" si="363"/>
        <v>435922.78488425701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-65388.417732638554</v>
      </c>
      <c r="C374" s="62">
        <f t="shared" ref="C374:AC374" si="364">((1+C358)^C365)*C358/(((1+C358)^C365)-1)*(C355)</f>
        <v>-65388.417732638554</v>
      </c>
      <c r="D374" s="62">
        <f t="shared" si="364"/>
        <v>-65388.417732638554</v>
      </c>
      <c r="E374" s="62">
        <f t="shared" si="364"/>
        <v>-65388.417732638554</v>
      </c>
      <c r="F374" s="62">
        <f t="shared" si="364"/>
        <v>-65388.417732638554</v>
      </c>
      <c r="G374" s="62">
        <f t="shared" si="364"/>
        <v>-65388.417732638554</v>
      </c>
      <c r="H374" s="62">
        <f t="shared" si="364"/>
        <v>-65388.417732638554</v>
      </c>
      <c r="I374" s="62">
        <f t="shared" si="364"/>
        <v>-65388.417732638554</v>
      </c>
      <c r="J374" s="62">
        <f t="shared" si="364"/>
        <v>-65388.417732638554</v>
      </c>
      <c r="K374" s="62">
        <f t="shared" si="364"/>
        <v>-65388.417732638554</v>
      </c>
      <c r="L374" s="62">
        <f t="shared" si="364"/>
        <v>-65388.417732638554</v>
      </c>
      <c r="M374" s="62">
        <f t="shared" si="364"/>
        <v>-65388.417732638554</v>
      </c>
      <c r="N374" s="62">
        <f t="shared" si="364"/>
        <v>-65388.417732638554</v>
      </c>
      <c r="O374" s="62">
        <f t="shared" si="364"/>
        <v>-65388.417732638554</v>
      </c>
      <c r="P374" s="62">
        <f t="shared" si="364"/>
        <v>-65388.417732638554</v>
      </c>
      <c r="Q374" s="62">
        <f t="shared" si="364"/>
        <v>-65388.417732638554</v>
      </c>
      <c r="R374" s="62">
        <f t="shared" si="364"/>
        <v>-65388.417732638554</v>
      </c>
      <c r="S374" s="62">
        <f t="shared" si="364"/>
        <v>-65388.417732638554</v>
      </c>
      <c r="T374" s="62">
        <f t="shared" si="364"/>
        <v>-65388.417732638554</v>
      </c>
      <c r="U374" s="62">
        <f t="shared" si="364"/>
        <v>-65388.417732638554</v>
      </c>
      <c r="V374" s="62">
        <f t="shared" si="364"/>
        <v>-65388.417732638554</v>
      </c>
      <c r="W374" s="62">
        <f t="shared" si="364"/>
        <v>-65388.417732638554</v>
      </c>
      <c r="X374" s="62">
        <f t="shared" si="364"/>
        <v>-65388.417732638554</v>
      </c>
      <c r="Y374" s="62">
        <f t="shared" si="364"/>
        <v>-65388.417732638554</v>
      </c>
      <c r="Z374" s="62">
        <f t="shared" si="364"/>
        <v>-65388.417732638554</v>
      </c>
      <c r="AA374" s="62">
        <f t="shared" si="364"/>
        <v>-65388.417732638554</v>
      </c>
      <c r="AB374" s="62">
        <f t="shared" si="364"/>
        <v>-65388.417732638554</v>
      </c>
      <c r="AC374" s="62">
        <f t="shared" si="364"/>
        <v>-65388.417732638554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365">((1+C358)^C366)*C358/(((1+C358)^C366)-1)*(C356)</f>
        <v>305125.4282581982</v>
      </c>
      <c r="D375" s="62">
        <f t="shared" si="365"/>
        <v>305125.4282581982</v>
      </c>
      <c r="E375" s="62">
        <f t="shared" si="365"/>
        <v>305125.4282581982</v>
      </c>
      <c r="F375" s="62">
        <f t="shared" si="365"/>
        <v>305125.4282581982</v>
      </c>
      <c r="G375" s="62">
        <f t="shared" si="365"/>
        <v>305125.4282581982</v>
      </c>
      <c r="H375" s="62">
        <f t="shared" si="365"/>
        <v>305125.4282581982</v>
      </c>
      <c r="I375" s="62">
        <f t="shared" si="365"/>
        <v>305125.4282581982</v>
      </c>
      <c r="J375" s="62">
        <f t="shared" si="365"/>
        <v>305125.4282581982</v>
      </c>
      <c r="K375" s="62">
        <f t="shared" si="365"/>
        <v>305125.4282581982</v>
      </c>
      <c r="L375" s="62">
        <f t="shared" si="365"/>
        <v>305125.4282581982</v>
      </c>
      <c r="M375" s="62">
        <f t="shared" si="365"/>
        <v>305125.4282581982</v>
      </c>
      <c r="N375" s="62">
        <f t="shared" si="365"/>
        <v>305125.4282581982</v>
      </c>
      <c r="O375" s="62">
        <f t="shared" si="365"/>
        <v>305125.4282581982</v>
      </c>
      <c r="P375" s="62">
        <f t="shared" si="365"/>
        <v>305125.4282581982</v>
      </c>
      <c r="Q375" s="62">
        <f t="shared" si="365"/>
        <v>305125.4282581982</v>
      </c>
      <c r="R375" s="62">
        <f t="shared" si="365"/>
        <v>305125.4282581982</v>
      </c>
      <c r="S375" s="62">
        <f t="shared" si="365"/>
        <v>305125.4282581982</v>
      </c>
      <c r="T375" s="62">
        <f t="shared" si="365"/>
        <v>305125.4282581982</v>
      </c>
      <c r="U375" s="62">
        <f t="shared" si="365"/>
        <v>305125.4282581982</v>
      </c>
      <c r="V375" s="62">
        <f t="shared" si="365"/>
        <v>305125.4282581982</v>
      </c>
      <c r="W375" s="62">
        <f t="shared" si="365"/>
        <v>305125.4282581982</v>
      </c>
      <c r="X375" s="62">
        <f t="shared" si="365"/>
        <v>305125.4282581982</v>
      </c>
      <c r="Y375" s="62">
        <f t="shared" si="365"/>
        <v>305125.4282581982</v>
      </c>
      <c r="Z375" s="62">
        <f t="shared" si="365"/>
        <v>305125.4282581982</v>
      </c>
      <c r="AA375" s="62">
        <f t="shared" si="365"/>
        <v>305125.4282581982</v>
      </c>
      <c r="AB375" s="62">
        <f t="shared" si="365"/>
        <v>305125.4282581982</v>
      </c>
      <c r="AC375" s="62">
        <f t="shared" si="365"/>
        <v>305125.4282581982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366">((1+C358)^C366)*C358/(((1+C358)^C366)-1)*(C357)</f>
        <v>-15256.271412909911</v>
      </c>
      <c r="D376" s="62">
        <f t="shared" si="366"/>
        <v>-15256.271412909911</v>
      </c>
      <c r="E376" s="62">
        <f t="shared" si="366"/>
        <v>-15256.271412909911</v>
      </c>
      <c r="F376" s="62">
        <f t="shared" si="366"/>
        <v>-15256.271412909911</v>
      </c>
      <c r="G376" s="62">
        <f t="shared" si="366"/>
        <v>-15256.271412909911</v>
      </c>
      <c r="H376" s="62">
        <f t="shared" si="366"/>
        <v>-15256.271412909911</v>
      </c>
      <c r="I376" s="62">
        <f t="shared" si="366"/>
        <v>-15256.271412909911</v>
      </c>
      <c r="J376" s="62">
        <f t="shared" si="366"/>
        <v>-15256.271412909911</v>
      </c>
      <c r="K376" s="62">
        <f t="shared" si="366"/>
        <v>-15256.271412909911</v>
      </c>
      <c r="L376" s="62">
        <f t="shared" si="366"/>
        <v>-15256.271412909911</v>
      </c>
      <c r="M376" s="62">
        <f t="shared" si="366"/>
        <v>-15256.271412909911</v>
      </c>
      <c r="N376" s="62">
        <f t="shared" si="366"/>
        <v>-15256.271412909911</v>
      </c>
      <c r="O376" s="62">
        <f t="shared" si="366"/>
        <v>-15256.271412909911</v>
      </c>
      <c r="P376" s="62">
        <f t="shared" si="366"/>
        <v>-15256.271412909911</v>
      </c>
      <c r="Q376" s="62">
        <f t="shared" si="366"/>
        <v>-15256.271412909911</v>
      </c>
      <c r="R376" s="62">
        <f t="shared" si="366"/>
        <v>-15256.271412909911</v>
      </c>
      <c r="S376" s="62">
        <f t="shared" si="366"/>
        <v>-15256.271412909911</v>
      </c>
      <c r="T376" s="62">
        <f t="shared" si="366"/>
        <v>-15256.271412909911</v>
      </c>
      <c r="U376" s="62">
        <f t="shared" si="366"/>
        <v>-15256.271412909911</v>
      </c>
      <c r="V376" s="62">
        <f t="shared" si="366"/>
        <v>-15256.271412909911</v>
      </c>
      <c r="W376" s="62">
        <f t="shared" si="366"/>
        <v>-15256.271412909911</v>
      </c>
      <c r="X376" s="62">
        <f t="shared" si="366"/>
        <v>-15256.271412909911</v>
      </c>
      <c r="Y376" s="62">
        <f t="shared" si="366"/>
        <v>-15256.271412909911</v>
      </c>
      <c r="Z376" s="62">
        <f t="shared" si="366"/>
        <v>-15256.271412909911</v>
      </c>
      <c r="AA376" s="62">
        <f t="shared" si="366"/>
        <v>-15256.271412909911</v>
      </c>
      <c r="AB376" s="62">
        <f t="shared" si="366"/>
        <v>-15256.271412909911</v>
      </c>
      <c r="AC376" s="62">
        <f t="shared" si="366"/>
        <v>-15256.271412909911</v>
      </c>
    </row>
    <row r="377" spans="1:29" x14ac:dyDescent="0.3">
      <c r="A377" s="30" t="str">
        <f t="shared" ref="A377:AC377" si="367">A359</f>
        <v>Opex fix (admin, crew, insurance)</v>
      </c>
      <c r="B377" s="62">
        <f t="shared" si="367"/>
        <v>1450000</v>
      </c>
      <c r="C377" s="62">
        <f t="shared" si="367"/>
        <v>1450000</v>
      </c>
      <c r="D377" s="62">
        <f t="shared" si="367"/>
        <v>1450000</v>
      </c>
      <c r="E377" s="62">
        <f t="shared" si="367"/>
        <v>1450000</v>
      </c>
      <c r="F377" s="62">
        <f t="shared" si="367"/>
        <v>1450000</v>
      </c>
      <c r="G377" s="62">
        <f t="shared" si="367"/>
        <v>1450000</v>
      </c>
      <c r="H377" s="62">
        <f t="shared" si="367"/>
        <v>1450000</v>
      </c>
      <c r="I377" s="62">
        <f t="shared" si="367"/>
        <v>1450000</v>
      </c>
      <c r="J377" s="62">
        <f t="shared" si="367"/>
        <v>1450000</v>
      </c>
      <c r="K377" s="62">
        <f t="shared" si="367"/>
        <v>1450000</v>
      </c>
      <c r="L377" s="62">
        <f t="shared" si="367"/>
        <v>1450000</v>
      </c>
      <c r="M377" s="62">
        <f t="shared" si="367"/>
        <v>1450000</v>
      </c>
      <c r="N377" s="62">
        <f t="shared" si="367"/>
        <v>1450000</v>
      </c>
      <c r="O377" s="62">
        <f t="shared" si="367"/>
        <v>1450000</v>
      </c>
      <c r="P377" s="62">
        <f t="shared" si="367"/>
        <v>1450000</v>
      </c>
      <c r="Q377" s="62">
        <f t="shared" si="367"/>
        <v>1450000</v>
      </c>
      <c r="R377" s="62">
        <f t="shared" si="367"/>
        <v>1450000</v>
      </c>
      <c r="S377" s="62">
        <f t="shared" si="367"/>
        <v>1450000</v>
      </c>
      <c r="T377" s="62">
        <f t="shared" si="367"/>
        <v>1450000</v>
      </c>
      <c r="U377" s="62">
        <f t="shared" si="367"/>
        <v>1450000</v>
      </c>
      <c r="V377" s="62">
        <f t="shared" si="367"/>
        <v>1450000</v>
      </c>
      <c r="W377" s="62">
        <f t="shared" si="367"/>
        <v>1450000</v>
      </c>
      <c r="X377" s="62">
        <f t="shared" si="367"/>
        <v>1450000</v>
      </c>
      <c r="Y377" s="62">
        <f t="shared" si="367"/>
        <v>1450000</v>
      </c>
      <c r="Z377" s="62">
        <f t="shared" si="367"/>
        <v>1450000</v>
      </c>
      <c r="AA377" s="62">
        <f t="shared" si="367"/>
        <v>1450000</v>
      </c>
      <c r="AB377" s="62">
        <f t="shared" si="367"/>
        <v>1450000</v>
      </c>
      <c r="AC377" s="62">
        <f t="shared" si="367"/>
        <v>1450000</v>
      </c>
    </row>
    <row r="378" spans="1:29" x14ac:dyDescent="0.3">
      <c r="A378" s="30" t="str">
        <f t="shared" ref="A378:AC378" si="368">A360</f>
        <v>Opex maintenance &amp; repair</v>
      </c>
      <c r="B378" s="62">
        <f t="shared" si="368"/>
        <v>650000</v>
      </c>
      <c r="C378" s="62">
        <f t="shared" si="368"/>
        <v>650000</v>
      </c>
      <c r="D378" s="62">
        <f t="shared" si="368"/>
        <v>650000</v>
      </c>
      <c r="E378" s="62">
        <f t="shared" si="368"/>
        <v>650000</v>
      </c>
      <c r="F378" s="62">
        <f t="shared" si="368"/>
        <v>650000</v>
      </c>
      <c r="G378" s="62">
        <f t="shared" si="368"/>
        <v>650000</v>
      </c>
      <c r="H378" s="62">
        <f t="shared" si="368"/>
        <v>650000</v>
      </c>
      <c r="I378" s="62">
        <f t="shared" si="368"/>
        <v>650000</v>
      </c>
      <c r="J378" s="62">
        <f t="shared" si="368"/>
        <v>650000</v>
      </c>
      <c r="K378" s="62">
        <f t="shared" si="368"/>
        <v>650000</v>
      </c>
      <c r="L378" s="62">
        <f t="shared" si="368"/>
        <v>650000</v>
      </c>
      <c r="M378" s="62">
        <f t="shared" si="368"/>
        <v>650000</v>
      </c>
      <c r="N378" s="62">
        <f t="shared" si="368"/>
        <v>650000</v>
      </c>
      <c r="O378" s="62">
        <f t="shared" si="368"/>
        <v>650000</v>
      </c>
      <c r="P378" s="62">
        <f t="shared" si="368"/>
        <v>650000</v>
      </c>
      <c r="Q378" s="62">
        <f t="shared" si="368"/>
        <v>650000</v>
      </c>
      <c r="R378" s="62">
        <f t="shared" si="368"/>
        <v>650000</v>
      </c>
      <c r="S378" s="62">
        <f t="shared" si="368"/>
        <v>650000</v>
      </c>
      <c r="T378" s="62">
        <f t="shared" si="368"/>
        <v>650000</v>
      </c>
      <c r="U378" s="62">
        <f t="shared" si="368"/>
        <v>650000</v>
      </c>
      <c r="V378" s="62">
        <f t="shared" si="368"/>
        <v>650000</v>
      </c>
      <c r="W378" s="62">
        <f t="shared" si="368"/>
        <v>650000</v>
      </c>
      <c r="X378" s="62">
        <f t="shared" si="368"/>
        <v>650000</v>
      </c>
      <c r="Y378" s="62">
        <f t="shared" si="368"/>
        <v>650000</v>
      </c>
      <c r="Z378" s="62">
        <f t="shared" si="368"/>
        <v>650000</v>
      </c>
      <c r="AA378" s="62">
        <f t="shared" si="368"/>
        <v>650000</v>
      </c>
      <c r="AB378" s="62">
        <f t="shared" si="368"/>
        <v>650000</v>
      </c>
      <c r="AC378" s="62">
        <f t="shared" si="368"/>
        <v>650000</v>
      </c>
    </row>
    <row r="379" spans="1:29" x14ac:dyDescent="0.3">
      <c r="A379" s="30" t="str">
        <f>A361</f>
        <v>Opex var (mode-fees, shunting)</v>
      </c>
      <c r="B379" s="62">
        <f>B361*B370</f>
        <v>1600000</v>
      </c>
      <c r="C379" s="62">
        <f t="shared" ref="C379:AC379" si="369">C361*C370</f>
        <v>1600000</v>
      </c>
      <c r="D379" s="62">
        <f t="shared" si="369"/>
        <v>1600000</v>
      </c>
      <c r="E379" s="62">
        <f t="shared" si="369"/>
        <v>1600000</v>
      </c>
      <c r="F379" s="62">
        <f t="shared" si="369"/>
        <v>1600000</v>
      </c>
      <c r="G379" s="62">
        <f t="shared" si="369"/>
        <v>1600000</v>
      </c>
      <c r="H379" s="62">
        <f t="shared" si="369"/>
        <v>1600000</v>
      </c>
      <c r="I379" s="62">
        <f t="shared" si="369"/>
        <v>1600000</v>
      </c>
      <c r="J379" s="62">
        <f t="shared" si="369"/>
        <v>1600000</v>
      </c>
      <c r="K379" s="62">
        <f t="shared" si="369"/>
        <v>1600000</v>
      </c>
      <c r="L379" s="62">
        <f t="shared" si="369"/>
        <v>1600000</v>
      </c>
      <c r="M379" s="62">
        <f t="shared" si="369"/>
        <v>1600000</v>
      </c>
      <c r="N379" s="62">
        <f t="shared" si="369"/>
        <v>1600000</v>
      </c>
      <c r="O379" s="62">
        <f t="shared" si="369"/>
        <v>1600000</v>
      </c>
      <c r="P379" s="62">
        <f t="shared" si="369"/>
        <v>1600000</v>
      </c>
      <c r="Q379" s="62">
        <f t="shared" si="369"/>
        <v>1600000</v>
      </c>
      <c r="R379" s="62">
        <f t="shared" si="369"/>
        <v>1600000</v>
      </c>
      <c r="S379" s="62">
        <f t="shared" si="369"/>
        <v>1600000</v>
      </c>
      <c r="T379" s="62">
        <f t="shared" si="369"/>
        <v>1600000</v>
      </c>
      <c r="U379" s="62">
        <f t="shared" si="369"/>
        <v>1600000</v>
      </c>
      <c r="V379" s="62">
        <f t="shared" si="369"/>
        <v>1600000</v>
      </c>
      <c r="W379" s="62">
        <f t="shared" si="369"/>
        <v>1600000</v>
      </c>
      <c r="X379" s="62">
        <f t="shared" si="369"/>
        <v>1600000</v>
      </c>
      <c r="Y379" s="62">
        <f t="shared" si="369"/>
        <v>1600000</v>
      </c>
      <c r="Z379" s="62">
        <f t="shared" si="369"/>
        <v>1600000</v>
      </c>
      <c r="AA379" s="62">
        <f t="shared" si="369"/>
        <v>1600000</v>
      </c>
      <c r="AB379" s="62">
        <f t="shared" si="369"/>
        <v>1600000</v>
      </c>
      <c r="AC379" s="62">
        <f t="shared" si="369"/>
        <v>1600000</v>
      </c>
    </row>
    <row r="380" spans="1:29" x14ac:dyDescent="0.3">
      <c r="A380" s="30" t="str">
        <f>A363</f>
        <v>Fuel Cost</v>
      </c>
      <c r="B380" s="62">
        <f>B362*B363*B370</f>
        <v>421321.32967772055</v>
      </c>
      <c r="C380" s="62">
        <f t="shared" ref="C380:AC380" si="370">C362*C363*C370</f>
        <v>420823.97286455205</v>
      </c>
      <c r="D380" s="62">
        <f t="shared" si="370"/>
        <v>420117.79748684121</v>
      </c>
      <c r="E380" s="62">
        <f t="shared" si="370"/>
        <v>419119.68644956814</v>
      </c>
      <c r="F380" s="62">
        <f t="shared" si="370"/>
        <v>417718.35656065156</v>
      </c>
      <c r="G380" s="62">
        <f t="shared" si="370"/>
        <v>415769.99931655545</v>
      </c>
      <c r="H380" s="62">
        <f t="shared" si="370"/>
        <v>413098.8744230892</v>
      </c>
      <c r="I380" s="62">
        <f t="shared" si="370"/>
        <v>409509.1687924423</v>
      </c>
      <c r="J380" s="62">
        <f t="shared" si="370"/>
        <v>404816.73005306005</v>
      </c>
      <c r="K380" s="62">
        <f t="shared" si="370"/>
        <v>398907.39658589731</v>
      </c>
      <c r="L380" s="62">
        <f t="shared" si="370"/>
        <v>391816.36605274561</v>
      </c>
      <c r="M380" s="62">
        <f t="shared" si="370"/>
        <v>383798.01554605074</v>
      </c>
      <c r="N380" s="62">
        <f t="shared" si="370"/>
        <v>375333.07581459719</v>
      </c>
      <c r="O380" s="62">
        <f t="shared" si="370"/>
        <v>367034.710263833</v>
      </c>
      <c r="P380" s="62">
        <f t="shared" si="370"/>
        <v>359480.53729311289</v>
      </c>
      <c r="Q380" s="62">
        <f t="shared" si="370"/>
        <v>353060.56600291858</v>
      </c>
      <c r="R380" s="62">
        <f t="shared" si="370"/>
        <v>347919.3187511891</v>
      </c>
      <c r="S380" s="62">
        <f t="shared" si="370"/>
        <v>343996.31891328277</v>
      </c>
      <c r="T380" s="62">
        <f t="shared" si="370"/>
        <v>341112.59940737992</v>
      </c>
      <c r="U380" s="62">
        <f t="shared" si="370"/>
        <v>339050.78167846147</v>
      </c>
      <c r="V380" s="62">
        <f t="shared" si="370"/>
        <v>337605.75193901127</v>
      </c>
      <c r="W380" s="62">
        <f t="shared" si="370"/>
        <v>336607.14757058211</v>
      </c>
      <c r="X380" s="62">
        <f t="shared" si="370"/>
        <v>335923.75283890165</v>
      </c>
      <c r="Y380" s="62">
        <f t="shared" si="370"/>
        <v>335459.19329109037</v>
      </c>
      <c r="Z380" s="62">
        <f t="shared" si="370"/>
        <v>335144.83101442864</v>
      </c>
      <c r="AA380" s="62">
        <f t="shared" si="370"/>
        <v>334932.76189439202</v>
      </c>
      <c r="AB380" s="62">
        <f t="shared" si="370"/>
        <v>334789.99801625329</v>
      </c>
      <c r="AC380" s="62">
        <f t="shared" si="370"/>
        <v>334694.02505379106</v>
      </c>
    </row>
    <row r="381" spans="1:29" ht="15" thickBot="1" x14ac:dyDescent="0.35">
      <c r="A381" s="59" t="str">
        <f>A344</f>
        <v>Emission Cost</v>
      </c>
      <c r="B381" s="62">
        <f>B364*B370</f>
        <v>10544.005855055664</v>
      </c>
      <c r="C381" s="62">
        <f t="shared" ref="C381:AC381" si="371">C364*C370</f>
        <v>10533.965392416821</v>
      </c>
      <c r="D381" s="62">
        <f t="shared" si="371"/>
        <v>10519.592693782588</v>
      </c>
      <c r="E381" s="62">
        <f t="shared" si="371"/>
        <v>10499.031537652969</v>
      </c>
      <c r="F381" s="62">
        <f t="shared" si="371"/>
        <v>10469.645108499386</v>
      </c>
      <c r="G381" s="62">
        <f t="shared" si="371"/>
        <v>10427.704323426529</v>
      </c>
      <c r="H381" s="62">
        <f t="shared" si="371"/>
        <v>10367.97035628193</v>
      </c>
      <c r="I381" s="62">
        <f t="shared" si="371"/>
        <v>10283.156685907605</v>
      </c>
      <c r="J381" s="62">
        <f t="shared" si="371"/>
        <v>10163.280712906857</v>
      </c>
      <c r="K381" s="62">
        <f t="shared" si="371"/>
        <v>9994.9770095555086</v>
      </c>
      <c r="L381" s="62">
        <f t="shared" si="371"/>
        <v>9760.9737657609166</v>
      </c>
      <c r="M381" s="62">
        <f t="shared" si="371"/>
        <v>9440.1640725972939</v>
      </c>
      <c r="N381" s="62">
        <f t="shared" si="371"/>
        <v>9009.0302215623033</v>
      </c>
      <c r="O381" s="62">
        <f t="shared" si="371"/>
        <v>8445.4549893249241</v>
      </c>
      <c r="P381" s="62">
        <f t="shared" si="371"/>
        <v>7735.7272408998442</v>
      </c>
      <c r="Q381" s="62">
        <f t="shared" si="371"/>
        <v>6884.0743155279552</v>
      </c>
      <c r="R381" s="62">
        <f t="shared" si="371"/>
        <v>5921.0476251536802</v>
      </c>
      <c r="S381" s="62">
        <f t="shared" si="371"/>
        <v>4904.3842993246444</v>
      </c>
      <c r="T381" s="62">
        <f t="shared" si="371"/>
        <v>3907.7270061325112</v>
      </c>
      <c r="U381" s="62">
        <f t="shared" si="371"/>
        <v>3000.4493573900195</v>
      </c>
      <c r="V381" s="62">
        <f t="shared" si="371"/>
        <v>2229.3925547806143</v>
      </c>
      <c r="W381" s="62">
        <f t="shared" si="371"/>
        <v>1611.9141443400931</v>
      </c>
      <c r="X381" s="62">
        <f t="shared" si="371"/>
        <v>1140.7507115264134</v>
      </c>
      <c r="Y381" s="62">
        <f t="shared" si="371"/>
        <v>794.40780104642397</v>
      </c>
      <c r="Z381" s="62">
        <f t="shared" si="371"/>
        <v>546.77763047986764</v>
      </c>
      <c r="AA381" s="62">
        <f t="shared" si="371"/>
        <v>373.22545084975752</v>
      </c>
      <c r="AB381" s="62">
        <f t="shared" si="371"/>
        <v>253.29022737472138</v>
      </c>
      <c r="AC381" s="62">
        <f t="shared" si="371"/>
        <v>171.21257734932524</v>
      </c>
    </row>
    <row r="382" spans="1:29" ht="15" thickBot="1" x14ac:dyDescent="0.35">
      <c r="A382" s="31" t="s">
        <v>209</v>
      </c>
      <c r="B382" s="64">
        <f>B373+B374+B375+B376+B377+B378+B379+B380+B381</f>
        <v>4792268.8595296824</v>
      </c>
      <c r="C382" s="64">
        <f t="shared" ref="C382:AC382" si="372">C373+C374+C375+C376+C377+C378+C379+C380+C381</f>
        <v>4791761.462253876</v>
      </c>
      <c r="D382" s="64">
        <f t="shared" si="372"/>
        <v>4791040.9141775304</v>
      </c>
      <c r="E382" s="64">
        <f t="shared" si="372"/>
        <v>4790022.2419841271</v>
      </c>
      <c r="F382" s="64">
        <f t="shared" si="372"/>
        <v>4788591.5256660571</v>
      </c>
      <c r="G382" s="64">
        <f t="shared" si="372"/>
        <v>4786601.2276368886</v>
      </c>
      <c r="H382" s="64">
        <f t="shared" si="372"/>
        <v>4783870.3687762776</v>
      </c>
      <c r="I382" s="64">
        <f t="shared" si="372"/>
        <v>4780195.8494752562</v>
      </c>
      <c r="J382" s="64">
        <f t="shared" si="372"/>
        <v>4775383.5347628733</v>
      </c>
      <c r="K382" s="64">
        <f t="shared" si="372"/>
        <v>4769305.8975923592</v>
      </c>
      <c r="L382" s="64">
        <f t="shared" si="372"/>
        <v>4761980.8638154129</v>
      </c>
      <c r="M382" s="64">
        <f t="shared" si="372"/>
        <v>4753641.7036155546</v>
      </c>
      <c r="N382" s="64">
        <f t="shared" si="372"/>
        <v>4744745.6300330656</v>
      </c>
      <c r="O382" s="64">
        <f t="shared" si="372"/>
        <v>4735883.689250065</v>
      </c>
      <c r="P382" s="64">
        <f t="shared" si="372"/>
        <v>4727619.7885309188</v>
      </c>
      <c r="Q382" s="64">
        <f t="shared" si="372"/>
        <v>4720348.1643153531</v>
      </c>
      <c r="R382" s="64">
        <f t="shared" si="372"/>
        <v>4714243.8903732486</v>
      </c>
      <c r="S382" s="64">
        <f t="shared" si="372"/>
        <v>4709304.227209514</v>
      </c>
      <c r="T382" s="64">
        <f t="shared" si="372"/>
        <v>4705423.8504104186</v>
      </c>
      <c r="U382" s="64">
        <f t="shared" si="372"/>
        <v>4702454.7550327582</v>
      </c>
      <c r="V382" s="64">
        <f t="shared" si="372"/>
        <v>4700238.6684906986</v>
      </c>
      <c r="W382" s="64">
        <f t="shared" si="372"/>
        <v>4698622.5857118284</v>
      </c>
      <c r="X382" s="64">
        <f t="shared" si="372"/>
        <v>4697468.0275473343</v>
      </c>
      <c r="Y382" s="64">
        <f t="shared" si="372"/>
        <v>4696657.1250890428</v>
      </c>
      <c r="Z382" s="64">
        <f t="shared" si="372"/>
        <v>4696095.1326418146</v>
      </c>
      <c r="AA382" s="64">
        <f t="shared" si="372"/>
        <v>4695709.5113421483</v>
      </c>
      <c r="AB382" s="64">
        <f t="shared" si="372"/>
        <v>4695446.8122405345</v>
      </c>
      <c r="AC382" s="64">
        <f t="shared" si="372"/>
        <v>4695268.7616280466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373">A373</f>
        <v>Capex vehicle</v>
      </c>
      <c r="B385" s="65">
        <f>((1+B358)^B365)*B358/(((1+B358)^B365)-1)*(B354)/B370</f>
        <v>2.4421444531330927</v>
      </c>
      <c r="C385" s="65">
        <f t="shared" ref="C385:AC385" si="374">((1+C358)^C365)*C358/(((1+C358)^C365)-1)*(C354)/C370</f>
        <v>2.4421444531330927</v>
      </c>
      <c r="D385" s="65">
        <f t="shared" si="374"/>
        <v>2.4421444531330927</v>
      </c>
      <c r="E385" s="65">
        <f t="shared" si="374"/>
        <v>2.4421444531330927</v>
      </c>
      <c r="F385" s="65">
        <f t="shared" si="374"/>
        <v>2.4421444531330927</v>
      </c>
      <c r="G385" s="65">
        <f t="shared" si="374"/>
        <v>2.4421444531330927</v>
      </c>
      <c r="H385" s="65">
        <f t="shared" si="374"/>
        <v>2.4421444531330927</v>
      </c>
      <c r="I385" s="65">
        <f t="shared" si="374"/>
        <v>2.4421444531330927</v>
      </c>
      <c r="J385" s="65">
        <f t="shared" si="374"/>
        <v>2.4421444531330927</v>
      </c>
      <c r="K385" s="65">
        <f t="shared" si="374"/>
        <v>2.4421444531330927</v>
      </c>
      <c r="L385" s="65">
        <f t="shared" si="374"/>
        <v>2.4421444531330927</v>
      </c>
      <c r="M385" s="65">
        <f t="shared" si="374"/>
        <v>2.4421444531330927</v>
      </c>
      <c r="N385" s="65">
        <f t="shared" si="374"/>
        <v>2.4421444531330927</v>
      </c>
      <c r="O385" s="65">
        <f t="shared" si="374"/>
        <v>2.4421444531330927</v>
      </c>
      <c r="P385" s="65">
        <f t="shared" si="374"/>
        <v>2.4421444531330927</v>
      </c>
      <c r="Q385" s="65">
        <f t="shared" si="374"/>
        <v>2.4421444531330927</v>
      </c>
      <c r="R385" s="65">
        <f t="shared" si="374"/>
        <v>2.4421444531330927</v>
      </c>
      <c r="S385" s="65">
        <f t="shared" si="374"/>
        <v>2.4421444531330927</v>
      </c>
      <c r="T385" s="65">
        <f t="shared" si="374"/>
        <v>2.4421444531330927</v>
      </c>
      <c r="U385" s="65">
        <f t="shared" si="374"/>
        <v>2.4421444531330927</v>
      </c>
      <c r="V385" s="65">
        <f t="shared" si="374"/>
        <v>2.4421444531330927</v>
      </c>
      <c r="W385" s="65">
        <f t="shared" si="374"/>
        <v>2.4421444531330927</v>
      </c>
      <c r="X385" s="65">
        <f t="shared" si="374"/>
        <v>2.4421444531330927</v>
      </c>
      <c r="Y385" s="65">
        <f t="shared" si="374"/>
        <v>2.4421444531330927</v>
      </c>
      <c r="Z385" s="65">
        <f t="shared" si="374"/>
        <v>2.4421444531330927</v>
      </c>
      <c r="AA385" s="65">
        <f t="shared" si="374"/>
        <v>2.4421444531330927</v>
      </c>
      <c r="AB385" s="65">
        <f t="shared" si="374"/>
        <v>2.4421444531330927</v>
      </c>
      <c r="AC385" s="65">
        <f t="shared" si="374"/>
        <v>2.4421444531330927</v>
      </c>
    </row>
    <row r="386" spans="1:29" x14ac:dyDescent="0.3">
      <c r="A386" s="30" t="str">
        <f t="shared" si="373"/>
        <v>Residual value (vehicle)</v>
      </c>
      <c r="B386" s="66">
        <f>((1+B358)^B365)*B358/(((1+B358)^B365)-1)*(B355)/B370</f>
        <v>-0.3663216679699639</v>
      </c>
      <c r="C386" s="66">
        <f t="shared" ref="C386:AC386" si="375">((1+C358)^C365)*C358/(((1+C358)^C365)-1)*(C355)/C370</f>
        <v>-0.3663216679699639</v>
      </c>
      <c r="D386" s="66">
        <f t="shared" si="375"/>
        <v>-0.3663216679699639</v>
      </c>
      <c r="E386" s="66">
        <f t="shared" si="375"/>
        <v>-0.3663216679699639</v>
      </c>
      <c r="F386" s="66">
        <f t="shared" si="375"/>
        <v>-0.3663216679699639</v>
      </c>
      <c r="G386" s="66">
        <f t="shared" si="375"/>
        <v>-0.3663216679699639</v>
      </c>
      <c r="H386" s="66">
        <f t="shared" si="375"/>
        <v>-0.3663216679699639</v>
      </c>
      <c r="I386" s="66">
        <f t="shared" si="375"/>
        <v>-0.3663216679699639</v>
      </c>
      <c r="J386" s="66">
        <f t="shared" si="375"/>
        <v>-0.3663216679699639</v>
      </c>
      <c r="K386" s="66">
        <f t="shared" si="375"/>
        <v>-0.3663216679699639</v>
      </c>
      <c r="L386" s="66">
        <f t="shared" si="375"/>
        <v>-0.3663216679699639</v>
      </c>
      <c r="M386" s="66">
        <f t="shared" si="375"/>
        <v>-0.3663216679699639</v>
      </c>
      <c r="N386" s="66">
        <f t="shared" si="375"/>
        <v>-0.3663216679699639</v>
      </c>
      <c r="O386" s="66">
        <f t="shared" si="375"/>
        <v>-0.3663216679699639</v>
      </c>
      <c r="P386" s="66">
        <f t="shared" si="375"/>
        <v>-0.3663216679699639</v>
      </c>
      <c r="Q386" s="66">
        <f t="shared" si="375"/>
        <v>-0.3663216679699639</v>
      </c>
      <c r="R386" s="66">
        <f t="shared" si="375"/>
        <v>-0.3663216679699639</v>
      </c>
      <c r="S386" s="66">
        <f t="shared" si="375"/>
        <v>-0.3663216679699639</v>
      </c>
      <c r="T386" s="66">
        <f t="shared" si="375"/>
        <v>-0.3663216679699639</v>
      </c>
      <c r="U386" s="66">
        <f t="shared" si="375"/>
        <v>-0.3663216679699639</v>
      </c>
      <c r="V386" s="66">
        <f t="shared" si="375"/>
        <v>-0.3663216679699639</v>
      </c>
      <c r="W386" s="66">
        <f t="shared" si="375"/>
        <v>-0.3663216679699639</v>
      </c>
      <c r="X386" s="66">
        <f t="shared" si="375"/>
        <v>-0.3663216679699639</v>
      </c>
      <c r="Y386" s="66">
        <f t="shared" si="375"/>
        <v>-0.3663216679699639</v>
      </c>
      <c r="Z386" s="66">
        <f t="shared" si="375"/>
        <v>-0.3663216679699639</v>
      </c>
      <c r="AA386" s="66">
        <f t="shared" si="375"/>
        <v>-0.3663216679699639</v>
      </c>
      <c r="AB386" s="66">
        <f t="shared" si="375"/>
        <v>-0.3663216679699639</v>
      </c>
      <c r="AC386" s="66">
        <f t="shared" si="375"/>
        <v>-0.3663216679699639</v>
      </c>
    </row>
    <row r="387" spans="1:29" x14ac:dyDescent="0.3">
      <c r="A387" s="30" t="str">
        <f t="shared" si="373"/>
        <v>Capex costumization</v>
      </c>
      <c r="B387" s="66">
        <f>((1+B358)^B366)*B358/(((1+B358)^B366)-1)*(B356)/B370</f>
        <v>1.7093861527069927</v>
      </c>
      <c r="C387" s="66">
        <f t="shared" ref="C387:AC387" si="376">((1+C358)^C366)*C358/(((1+C358)^C366)-1)*(C356)/C370</f>
        <v>1.7093861527069927</v>
      </c>
      <c r="D387" s="66">
        <f t="shared" si="376"/>
        <v>1.7093861527069927</v>
      </c>
      <c r="E387" s="66">
        <f t="shared" si="376"/>
        <v>1.7093861527069927</v>
      </c>
      <c r="F387" s="66">
        <f t="shared" si="376"/>
        <v>1.7093861527069927</v>
      </c>
      <c r="G387" s="66">
        <f t="shared" si="376"/>
        <v>1.7093861527069927</v>
      </c>
      <c r="H387" s="66">
        <f t="shared" si="376"/>
        <v>1.7093861527069927</v>
      </c>
      <c r="I387" s="66">
        <f t="shared" si="376"/>
        <v>1.7093861527069927</v>
      </c>
      <c r="J387" s="66">
        <f t="shared" si="376"/>
        <v>1.7093861527069927</v>
      </c>
      <c r="K387" s="66">
        <f t="shared" si="376"/>
        <v>1.7093861527069927</v>
      </c>
      <c r="L387" s="66">
        <f t="shared" si="376"/>
        <v>1.7093861527069927</v>
      </c>
      <c r="M387" s="66">
        <f t="shared" si="376"/>
        <v>1.7093861527069927</v>
      </c>
      <c r="N387" s="66">
        <f t="shared" si="376"/>
        <v>1.7093861527069927</v>
      </c>
      <c r="O387" s="66">
        <f t="shared" si="376"/>
        <v>1.7093861527069927</v>
      </c>
      <c r="P387" s="66">
        <f t="shared" si="376"/>
        <v>1.7093861527069927</v>
      </c>
      <c r="Q387" s="66">
        <f t="shared" si="376"/>
        <v>1.7093861527069927</v>
      </c>
      <c r="R387" s="66">
        <f t="shared" si="376"/>
        <v>1.7093861527069927</v>
      </c>
      <c r="S387" s="66">
        <f t="shared" si="376"/>
        <v>1.7093861527069927</v>
      </c>
      <c r="T387" s="66">
        <f t="shared" si="376"/>
        <v>1.7093861527069927</v>
      </c>
      <c r="U387" s="66">
        <f t="shared" si="376"/>
        <v>1.7093861527069927</v>
      </c>
      <c r="V387" s="66">
        <f t="shared" si="376"/>
        <v>1.7093861527069927</v>
      </c>
      <c r="W387" s="66">
        <f t="shared" si="376"/>
        <v>1.7093861527069927</v>
      </c>
      <c r="X387" s="66">
        <f t="shared" si="376"/>
        <v>1.7093861527069927</v>
      </c>
      <c r="Y387" s="66">
        <f t="shared" si="376"/>
        <v>1.7093861527069927</v>
      </c>
      <c r="Z387" s="66">
        <f t="shared" si="376"/>
        <v>1.7093861527069927</v>
      </c>
      <c r="AA387" s="66">
        <f t="shared" si="376"/>
        <v>1.7093861527069927</v>
      </c>
      <c r="AB387" s="66">
        <f t="shared" si="376"/>
        <v>1.7093861527069927</v>
      </c>
      <c r="AC387" s="66">
        <f t="shared" si="376"/>
        <v>1.7093861527069927</v>
      </c>
    </row>
    <row r="388" spans="1:29" x14ac:dyDescent="0.3">
      <c r="A388" s="30" t="str">
        <f t="shared" si="373"/>
        <v>Residual value (costumization)</v>
      </c>
      <c r="B388" s="66">
        <f>((1+B358)^B366)*B358/(((1+B358)^B366)-1)*(B357)/B370</f>
        <v>-8.5469307635349642E-2</v>
      </c>
      <c r="C388" s="66">
        <f t="shared" ref="C388:AC388" si="377">((1+C358)^C366)*C358/(((1+C358)^C366)-1)*(C357)/C370</f>
        <v>-8.5469307635349642E-2</v>
      </c>
      <c r="D388" s="66">
        <f t="shared" si="377"/>
        <v>-8.5469307635349642E-2</v>
      </c>
      <c r="E388" s="66">
        <f t="shared" si="377"/>
        <v>-8.5469307635349642E-2</v>
      </c>
      <c r="F388" s="66">
        <f t="shared" si="377"/>
        <v>-8.5469307635349642E-2</v>
      </c>
      <c r="G388" s="66">
        <f t="shared" si="377"/>
        <v>-8.5469307635349642E-2</v>
      </c>
      <c r="H388" s="66">
        <f t="shared" si="377"/>
        <v>-8.5469307635349642E-2</v>
      </c>
      <c r="I388" s="66">
        <f t="shared" si="377"/>
        <v>-8.5469307635349642E-2</v>
      </c>
      <c r="J388" s="66">
        <f t="shared" si="377"/>
        <v>-8.5469307635349642E-2</v>
      </c>
      <c r="K388" s="66">
        <f t="shared" si="377"/>
        <v>-8.5469307635349642E-2</v>
      </c>
      <c r="L388" s="66">
        <f t="shared" si="377"/>
        <v>-8.5469307635349642E-2</v>
      </c>
      <c r="M388" s="66">
        <f t="shared" si="377"/>
        <v>-8.5469307635349642E-2</v>
      </c>
      <c r="N388" s="66">
        <f t="shared" si="377"/>
        <v>-8.5469307635349642E-2</v>
      </c>
      <c r="O388" s="66">
        <f t="shared" si="377"/>
        <v>-8.5469307635349642E-2</v>
      </c>
      <c r="P388" s="66">
        <f t="shared" si="377"/>
        <v>-8.5469307635349642E-2</v>
      </c>
      <c r="Q388" s="66">
        <f t="shared" si="377"/>
        <v>-8.5469307635349642E-2</v>
      </c>
      <c r="R388" s="66">
        <f t="shared" si="377"/>
        <v>-8.5469307635349642E-2</v>
      </c>
      <c r="S388" s="66">
        <f t="shared" si="377"/>
        <v>-8.5469307635349642E-2</v>
      </c>
      <c r="T388" s="66">
        <f t="shared" si="377"/>
        <v>-8.5469307635349642E-2</v>
      </c>
      <c r="U388" s="66">
        <f t="shared" si="377"/>
        <v>-8.5469307635349642E-2</v>
      </c>
      <c r="V388" s="66">
        <f t="shared" si="377"/>
        <v>-8.5469307635349642E-2</v>
      </c>
      <c r="W388" s="66">
        <f t="shared" si="377"/>
        <v>-8.5469307635349642E-2</v>
      </c>
      <c r="X388" s="66">
        <f t="shared" si="377"/>
        <v>-8.5469307635349642E-2</v>
      </c>
      <c r="Y388" s="66">
        <f t="shared" si="377"/>
        <v>-8.5469307635349642E-2</v>
      </c>
      <c r="Z388" s="66">
        <f t="shared" si="377"/>
        <v>-8.5469307635349642E-2</v>
      </c>
      <c r="AA388" s="66">
        <f t="shared" si="377"/>
        <v>-8.5469307635349642E-2</v>
      </c>
      <c r="AB388" s="66">
        <f t="shared" si="377"/>
        <v>-8.5469307635349642E-2</v>
      </c>
      <c r="AC388" s="66">
        <f t="shared" si="377"/>
        <v>-8.5469307635349642E-2</v>
      </c>
    </row>
    <row r="389" spans="1:29" x14ac:dyDescent="0.3">
      <c r="A389" s="30" t="str">
        <f t="shared" si="373"/>
        <v>Opex fix (admin, crew, insurance)</v>
      </c>
      <c r="B389" s="66">
        <f>B359/B370</f>
        <v>8.1232492997198875</v>
      </c>
      <c r="C389" s="66">
        <f t="shared" ref="C389:AC389" si="378">C359/C370</f>
        <v>8.1232492997198875</v>
      </c>
      <c r="D389" s="66">
        <f t="shared" si="378"/>
        <v>8.1232492997198875</v>
      </c>
      <c r="E389" s="66">
        <f t="shared" si="378"/>
        <v>8.1232492997198875</v>
      </c>
      <c r="F389" s="66">
        <f t="shared" si="378"/>
        <v>8.1232492997198875</v>
      </c>
      <c r="G389" s="66">
        <f t="shared" si="378"/>
        <v>8.1232492997198875</v>
      </c>
      <c r="H389" s="66">
        <f t="shared" si="378"/>
        <v>8.1232492997198875</v>
      </c>
      <c r="I389" s="66">
        <f t="shared" si="378"/>
        <v>8.1232492997198875</v>
      </c>
      <c r="J389" s="66">
        <f t="shared" si="378"/>
        <v>8.1232492997198875</v>
      </c>
      <c r="K389" s="66">
        <f t="shared" si="378"/>
        <v>8.1232492997198875</v>
      </c>
      <c r="L389" s="66">
        <f t="shared" si="378"/>
        <v>8.1232492997198875</v>
      </c>
      <c r="M389" s="66">
        <f t="shared" si="378"/>
        <v>8.1232492997198875</v>
      </c>
      <c r="N389" s="66">
        <f t="shared" si="378"/>
        <v>8.1232492997198875</v>
      </c>
      <c r="O389" s="66">
        <f t="shared" si="378"/>
        <v>8.1232492997198875</v>
      </c>
      <c r="P389" s="66">
        <f t="shared" si="378"/>
        <v>8.1232492997198875</v>
      </c>
      <c r="Q389" s="66">
        <f t="shared" si="378"/>
        <v>8.1232492997198875</v>
      </c>
      <c r="R389" s="66">
        <f t="shared" si="378"/>
        <v>8.1232492997198875</v>
      </c>
      <c r="S389" s="66">
        <f t="shared" si="378"/>
        <v>8.1232492997198875</v>
      </c>
      <c r="T389" s="66">
        <f t="shared" si="378"/>
        <v>8.1232492997198875</v>
      </c>
      <c r="U389" s="66">
        <f t="shared" si="378"/>
        <v>8.1232492997198875</v>
      </c>
      <c r="V389" s="66">
        <f t="shared" si="378"/>
        <v>8.1232492997198875</v>
      </c>
      <c r="W389" s="66">
        <f t="shared" si="378"/>
        <v>8.1232492997198875</v>
      </c>
      <c r="X389" s="66">
        <f t="shared" si="378"/>
        <v>8.1232492997198875</v>
      </c>
      <c r="Y389" s="66">
        <f t="shared" si="378"/>
        <v>8.1232492997198875</v>
      </c>
      <c r="Z389" s="66">
        <f t="shared" si="378"/>
        <v>8.1232492997198875</v>
      </c>
      <c r="AA389" s="66">
        <f t="shared" si="378"/>
        <v>8.1232492997198875</v>
      </c>
      <c r="AB389" s="66">
        <f t="shared" si="378"/>
        <v>8.1232492997198875</v>
      </c>
      <c r="AC389" s="66">
        <f t="shared" si="378"/>
        <v>8.1232492997198875</v>
      </c>
    </row>
    <row r="390" spans="1:29" x14ac:dyDescent="0.3">
      <c r="A390" s="30" t="str">
        <f t="shared" si="373"/>
        <v>Opex maintenance &amp; repair</v>
      </c>
      <c r="B390" s="66">
        <f>B360/B370</f>
        <v>3.6414565826330532</v>
      </c>
      <c r="C390" s="66">
        <f t="shared" ref="C390:AC390" si="379">C360/C370</f>
        <v>3.6414565826330532</v>
      </c>
      <c r="D390" s="66">
        <f t="shared" si="379"/>
        <v>3.6414565826330532</v>
      </c>
      <c r="E390" s="66">
        <f t="shared" si="379"/>
        <v>3.6414565826330532</v>
      </c>
      <c r="F390" s="66">
        <f t="shared" si="379"/>
        <v>3.6414565826330532</v>
      </c>
      <c r="G390" s="66">
        <f t="shared" si="379"/>
        <v>3.6414565826330532</v>
      </c>
      <c r="H390" s="66">
        <f t="shared" si="379"/>
        <v>3.6414565826330532</v>
      </c>
      <c r="I390" s="66">
        <f t="shared" si="379"/>
        <v>3.6414565826330532</v>
      </c>
      <c r="J390" s="66">
        <f t="shared" si="379"/>
        <v>3.6414565826330532</v>
      </c>
      <c r="K390" s="66">
        <f t="shared" si="379"/>
        <v>3.6414565826330532</v>
      </c>
      <c r="L390" s="66">
        <f t="shared" si="379"/>
        <v>3.6414565826330532</v>
      </c>
      <c r="M390" s="66">
        <f t="shared" si="379"/>
        <v>3.6414565826330532</v>
      </c>
      <c r="N390" s="66">
        <f t="shared" si="379"/>
        <v>3.6414565826330532</v>
      </c>
      <c r="O390" s="66">
        <f t="shared" si="379"/>
        <v>3.6414565826330532</v>
      </c>
      <c r="P390" s="66">
        <f t="shared" si="379"/>
        <v>3.6414565826330532</v>
      </c>
      <c r="Q390" s="66">
        <f t="shared" si="379"/>
        <v>3.6414565826330532</v>
      </c>
      <c r="R390" s="66">
        <f t="shared" si="379"/>
        <v>3.6414565826330532</v>
      </c>
      <c r="S390" s="66">
        <f t="shared" si="379"/>
        <v>3.6414565826330532</v>
      </c>
      <c r="T390" s="66">
        <f t="shared" si="379"/>
        <v>3.6414565826330532</v>
      </c>
      <c r="U390" s="66">
        <f t="shared" si="379"/>
        <v>3.6414565826330532</v>
      </c>
      <c r="V390" s="66">
        <f t="shared" si="379"/>
        <v>3.6414565826330532</v>
      </c>
      <c r="W390" s="66">
        <f t="shared" si="379"/>
        <v>3.6414565826330532</v>
      </c>
      <c r="X390" s="66">
        <f t="shared" si="379"/>
        <v>3.6414565826330532</v>
      </c>
      <c r="Y390" s="66">
        <f t="shared" si="379"/>
        <v>3.6414565826330532</v>
      </c>
      <c r="Z390" s="66">
        <f t="shared" si="379"/>
        <v>3.6414565826330532</v>
      </c>
      <c r="AA390" s="66">
        <f t="shared" si="379"/>
        <v>3.6414565826330532</v>
      </c>
      <c r="AB390" s="66">
        <f t="shared" si="379"/>
        <v>3.6414565826330532</v>
      </c>
      <c r="AC390" s="66">
        <f t="shared" si="379"/>
        <v>3.6414565826330532</v>
      </c>
    </row>
    <row r="391" spans="1:29" x14ac:dyDescent="0.3">
      <c r="A391" s="30" t="str">
        <f t="shared" si="373"/>
        <v>Opex var (mode-fees, shunting)</v>
      </c>
      <c r="B391" s="66">
        <f>B361*B370/B370</f>
        <v>8.9635854341736696</v>
      </c>
      <c r="C391" s="66">
        <f t="shared" ref="C391:AC391" si="380">C361*C370/C370</f>
        <v>8.9635854341736696</v>
      </c>
      <c r="D391" s="66">
        <f t="shared" si="380"/>
        <v>8.9635854341736696</v>
      </c>
      <c r="E391" s="66">
        <f t="shared" si="380"/>
        <v>8.9635854341736696</v>
      </c>
      <c r="F391" s="66">
        <f t="shared" si="380"/>
        <v>8.9635854341736696</v>
      </c>
      <c r="G391" s="66">
        <f t="shared" si="380"/>
        <v>8.9635854341736696</v>
      </c>
      <c r="H391" s="66">
        <f t="shared" si="380"/>
        <v>8.9635854341736696</v>
      </c>
      <c r="I391" s="66">
        <f t="shared" si="380"/>
        <v>8.9635854341736696</v>
      </c>
      <c r="J391" s="66">
        <f t="shared" si="380"/>
        <v>8.9635854341736696</v>
      </c>
      <c r="K391" s="66">
        <f t="shared" si="380"/>
        <v>8.9635854341736696</v>
      </c>
      <c r="L391" s="66">
        <f t="shared" si="380"/>
        <v>8.9635854341736696</v>
      </c>
      <c r="M391" s="66">
        <f t="shared" si="380"/>
        <v>8.9635854341736696</v>
      </c>
      <c r="N391" s="66">
        <f t="shared" si="380"/>
        <v>8.9635854341736696</v>
      </c>
      <c r="O391" s="66">
        <f t="shared" si="380"/>
        <v>8.9635854341736696</v>
      </c>
      <c r="P391" s="66">
        <f t="shared" si="380"/>
        <v>8.9635854341736696</v>
      </c>
      <c r="Q391" s="66">
        <f t="shared" si="380"/>
        <v>8.9635854341736696</v>
      </c>
      <c r="R391" s="66">
        <f t="shared" si="380"/>
        <v>8.9635854341736696</v>
      </c>
      <c r="S391" s="66">
        <f t="shared" si="380"/>
        <v>8.9635854341736696</v>
      </c>
      <c r="T391" s="66">
        <f t="shared" si="380"/>
        <v>8.9635854341736696</v>
      </c>
      <c r="U391" s="66">
        <f t="shared" si="380"/>
        <v>8.9635854341736696</v>
      </c>
      <c r="V391" s="66">
        <f t="shared" si="380"/>
        <v>8.9635854341736696</v>
      </c>
      <c r="W391" s="66">
        <f t="shared" si="380"/>
        <v>8.9635854341736696</v>
      </c>
      <c r="X391" s="66">
        <f t="shared" si="380"/>
        <v>8.9635854341736696</v>
      </c>
      <c r="Y391" s="66">
        <f t="shared" si="380"/>
        <v>8.9635854341736696</v>
      </c>
      <c r="Z391" s="66">
        <f t="shared" si="380"/>
        <v>8.9635854341736696</v>
      </c>
      <c r="AA391" s="66">
        <f t="shared" si="380"/>
        <v>8.9635854341736696</v>
      </c>
      <c r="AB391" s="66">
        <f t="shared" si="380"/>
        <v>8.9635854341736696</v>
      </c>
      <c r="AC391" s="66">
        <f t="shared" si="380"/>
        <v>8.9635854341736696</v>
      </c>
    </row>
    <row r="392" spans="1:29" x14ac:dyDescent="0.3">
      <c r="A392" s="30" t="str">
        <f t="shared" si="373"/>
        <v>Fuel Cost</v>
      </c>
      <c r="B392" s="66">
        <f>B362*B363*B370/B370</f>
        <v>2.3603435836286866</v>
      </c>
      <c r="C392" s="66">
        <f t="shared" ref="C392:AC392" si="381">C362*C363*C370/C370</f>
        <v>2.3575572709498713</v>
      </c>
      <c r="D392" s="66">
        <f t="shared" si="381"/>
        <v>2.3536011063688584</v>
      </c>
      <c r="E392" s="66">
        <f t="shared" si="381"/>
        <v>2.3480094478967404</v>
      </c>
      <c r="F392" s="66">
        <f t="shared" si="381"/>
        <v>2.3401588602837622</v>
      </c>
      <c r="G392" s="66">
        <f t="shared" si="381"/>
        <v>2.3292436936501706</v>
      </c>
      <c r="H392" s="66">
        <f t="shared" si="381"/>
        <v>2.3142794085327125</v>
      </c>
      <c r="I392" s="66">
        <f t="shared" si="381"/>
        <v>2.294169012842814</v>
      </c>
      <c r="J392" s="66">
        <f t="shared" si="381"/>
        <v>2.2678808406333895</v>
      </c>
      <c r="K392" s="66">
        <f t="shared" si="381"/>
        <v>2.2347753310134304</v>
      </c>
      <c r="L392" s="66">
        <f t="shared" si="381"/>
        <v>2.1950496697632809</v>
      </c>
      <c r="M392" s="66">
        <f t="shared" si="381"/>
        <v>2.1501289386333373</v>
      </c>
      <c r="N392" s="66">
        <f t="shared" si="381"/>
        <v>2.1027063070845782</v>
      </c>
      <c r="O392" s="66">
        <f t="shared" si="381"/>
        <v>2.056216864223154</v>
      </c>
      <c r="P392" s="66">
        <f t="shared" si="381"/>
        <v>2.0138965674684197</v>
      </c>
      <c r="Q392" s="66">
        <f t="shared" si="381"/>
        <v>1.9779303417530454</v>
      </c>
      <c r="R392" s="66">
        <f t="shared" si="381"/>
        <v>1.9491278361411155</v>
      </c>
      <c r="S392" s="66">
        <f t="shared" si="381"/>
        <v>1.9271502460127887</v>
      </c>
      <c r="T392" s="66">
        <f t="shared" si="381"/>
        <v>1.9109949546631928</v>
      </c>
      <c r="U392" s="66">
        <f t="shared" si="381"/>
        <v>1.8994441550614087</v>
      </c>
      <c r="V392" s="66">
        <f t="shared" si="381"/>
        <v>1.8913487503586066</v>
      </c>
      <c r="W392" s="66">
        <f t="shared" si="381"/>
        <v>1.8857543281265103</v>
      </c>
      <c r="X392" s="66">
        <f t="shared" si="381"/>
        <v>1.8819257862123342</v>
      </c>
      <c r="Y392" s="66">
        <f t="shared" si="381"/>
        <v>1.879323211714792</v>
      </c>
      <c r="Z392" s="66">
        <f t="shared" si="381"/>
        <v>1.8775620785122054</v>
      </c>
      <c r="AA392" s="66">
        <f t="shared" si="381"/>
        <v>1.8763740162150813</v>
      </c>
      <c r="AB392" s="66">
        <f t="shared" si="381"/>
        <v>1.8755742185784499</v>
      </c>
      <c r="AC392" s="66">
        <f t="shared" si="381"/>
        <v>1.8750365549231993</v>
      </c>
    </row>
    <row r="393" spans="1:29" ht="15" thickBot="1" x14ac:dyDescent="0.35">
      <c r="A393" s="59" t="str">
        <f t="shared" ref="A393" si="382">A381</f>
        <v>Emission Cost</v>
      </c>
      <c r="B393" s="66">
        <f>B364</f>
        <v>5.9070060812636778E-2</v>
      </c>
      <c r="C393" s="66">
        <f t="shared" ref="C393:AC393" si="383">C364</f>
        <v>5.9013811722223086E-2</v>
      </c>
      <c r="D393" s="66">
        <f t="shared" si="383"/>
        <v>5.8933292402143352E-2</v>
      </c>
      <c r="E393" s="66">
        <f t="shared" si="383"/>
        <v>5.8818103852397587E-2</v>
      </c>
      <c r="F393" s="66">
        <f t="shared" si="383"/>
        <v>5.8653473997195435E-2</v>
      </c>
      <c r="G393" s="66">
        <f t="shared" si="383"/>
        <v>5.8418511615834896E-2</v>
      </c>
      <c r="H393" s="66">
        <f t="shared" si="383"/>
        <v>5.8083867542195688E-2</v>
      </c>
      <c r="I393" s="66">
        <f t="shared" si="383"/>
        <v>5.760872092945437E-2</v>
      </c>
      <c r="J393" s="66">
        <f t="shared" si="383"/>
        <v>5.6937146851018805E-2</v>
      </c>
      <c r="K393" s="66">
        <f t="shared" si="383"/>
        <v>5.5994268961095287E-2</v>
      </c>
      <c r="L393" s="66">
        <f t="shared" si="383"/>
        <v>5.4683326418828664E-2</v>
      </c>
      <c r="M393" s="66">
        <f t="shared" si="383"/>
        <v>5.288607323583918E-2</v>
      </c>
      <c r="N393" s="66">
        <f t="shared" si="383"/>
        <v>5.0470757543766405E-2</v>
      </c>
      <c r="O393" s="66">
        <f t="shared" si="383"/>
        <v>4.7313473329551395E-2</v>
      </c>
      <c r="P393" s="66">
        <f t="shared" si="383"/>
        <v>4.3337407512043943E-2</v>
      </c>
      <c r="Q393" s="66">
        <f t="shared" si="383"/>
        <v>3.8566242664022157E-2</v>
      </c>
      <c r="R393" s="66">
        <f t="shared" si="383"/>
        <v>3.3171135154922579E-2</v>
      </c>
      <c r="S393" s="66">
        <f t="shared" si="383"/>
        <v>2.7475542293135265E-2</v>
      </c>
      <c r="T393" s="66">
        <f t="shared" si="383"/>
        <v>2.1892028045560286E-2</v>
      </c>
      <c r="U393" s="66">
        <f t="shared" si="383"/>
        <v>1.680924009742308E-2</v>
      </c>
      <c r="V393" s="66">
        <f t="shared" si="383"/>
        <v>1.2489594144429211E-2</v>
      </c>
      <c r="W393" s="66">
        <f t="shared" si="383"/>
        <v>9.0303313408408581E-3</v>
      </c>
      <c r="X393" s="66">
        <f t="shared" si="383"/>
        <v>6.3907602886633802E-3</v>
      </c>
      <c r="Y393" s="66">
        <f t="shared" si="383"/>
        <v>4.4504638714085373E-3</v>
      </c>
      <c r="Z393" s="66">
        <f t="shared" si="383"/>
        <v>3.0631800026883343E-3</v>
      </c>
      <c r="AA393" s="66">
        <f t="shared" si="383"/>
        <v>2.0908988843123671E-3</v>
      </c>
      <c r="AB393" s="66">
        <f t="shared" si="383"/>
        <v>1.4189928704466184E-3</v>
      </c>
      <c r="AC393" s="66">
        <f t="shared" si="383"/>
        <v>9.5917410279734022E-4</v>
      </c>
    </row>
    <row r="394" spans="1:29" ht="15" thickBot="1" x14ac:dyDescent="0.35">
      <c r="A394" s="31" t="s">
        <v>63</v>
      </c>
      <c r="B394" s="76">
        <f>B385+B386+B387-B388+B389+B390+B391+B392+B393</f>
        <v>27.018383206473406</v>
      </c>
      <c r="C394" s="76">
        <f t="shared" ref="C394:AC394" si="384">C385+C386+C387-C388+C389+C390+C391+C392+C393</f>
        <v>27.015540644704178</v>
      </c>
      <c r="D394" s="76">
        <f t="shared" si="384"/>
        <v>27.011503960803086</v>
      </c>
      <c r="E394" s="76">
        <f t="shared" si="384"/>
        <v>27.00579711378122</v>
      </c>
      <c r="F394" s="76">
        <f t="shared" si="384"/>
        <v>26.99778189631304</v>
      </c>
      <c r="G394" s="76">
        <f t="shared" si="384"/>
        <v>26.986631767298086</v>
      </c>
      <c r="H394" s="76">
        <f t="shared" si="384"/>
        <v>26.971332838106989</v>
      </c>
      <c r="I394" s="76">
        <f t="shared" si="384"/>
        <v>26.950747295804351</v>
      </c>
      <c r="J394" s="76">
        <f t="shared" si="384"/>
        <v>26.92378754951649</v>
      </c>
      <c r="K394" s="76">
        <f t="shared" si="384"/>
        <v>26.88973916200661</v>
      </c>
      <c r="L394" s="76">
        <f t="shared" si="384"/>
        <v>26.848702558214192</v>
      </c>
      <c r="M394" s="76">
        <f t="shared" si="384"/>
        <v>26.801984573901258</v>
      </c>
      <c r="N394" s="76">
        <f t="shared" si="384"/>
        <v>26.752146626660426</v>
      </c>
      <c r="O394" s="76">
        <f t="shared" si="384"/>
        <v>26.702499899584787</v>
      </c>
      <c r="P394" s="76">
        <f t="shared" si="384"/>
        <v>26.656203537012548</v>
      </c>
      <c r="Q394" s="76">
        <f t="shared" si="384"/>
        <v>26.615466146449148</v>
      </c>
      <c r="R394" s="76">
        <f t="shared" si="384"/>
        <v>26.581268533328121</v>
      </c>
      <c r="S394" s="76">
        <f t="shared" si="384"/>
        <v>26.553595350338007</v>
      </c>
      <c r="T394" s="76">
        <f t="shared" si="384"/>
        <v>26.531856544740833</v>
      </c>
      <c r="U394" s="76">
        <f t="shared" si="384"/>
        <v>26.515222957190915</v>
      </c>
      <c r="V394" s="76">
        <f t="shared" si="384"/>
        <v>26.502807906535118</v>
      </c>
      <c r="W394" s="76">
        <f t="shared" si="384"/>
        <v>26.493754221499433</v>
      </c>
      <c r="X394" s="76">
        <f t="shared" si="384"/>
        <v>26.48728610853308</v>
      </c>
      <c r="Y394" s="76">
        <f t="shared" si="384"/>
        <v>26.48274323761828</v>
      </c>
      <c r="Z394" s="76">
        <f t="shared" si="384"/>
        <v>26.479594820546975</v>
      </c>
      <c r="AA394" s="76">
        <f t="shared" si="384"/>
        <v>26.477434477131474</v>
      </c>
      <c r="AB394" s="76">
        <f t="shared" si="384"/>
        <v>26.47596277348098</v>
      </c>
      <c r="AC394" s="76">
        <f t="shared" si="384"/>
        <v>26.474965291058076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385">A373</f>
        <v>Capex vehicle</v>
      </c>
      <c r="B397" s="65">
        <f>((1+B358)^B365)*B358/(((1+B358)^B365)-1)*(B354)/B370/(B367)</f>
        <v>1.0902430594344164E-3</v>
      </c>
      <c r="C397" s="65">
        <f t="shared" ref="C397:AC397" si="386">((1+C358)^C365)*C358/(((1+C358)^C365)-1)*(C354)/C370/(C367)</f>
        <v>1.0902430594344164E-3</v>
      </c>
      <c r="D397" s="65">
        <f t="shared" si="386"/>
        <v>1.0902430594344164E-3</v>
      </c>
      <c r="E397" s="65">
        <f t="shared" si="386"/>
        <v>1.0902430594344164E-3</v>
      </c>
      <c r="F397" s="65">
        <f t="shared" si="386"/>
        <v>1.0902430594344164E-3</v>
      </c>
      <c r="G397" s="65">
        <f t="shared" si="386"/>
        <v>1.0902430594344164E-3</v>
      </c>
      <c r="H397" s="65">
        <f t="shared" si="386"/>
        <v>1.0902430594344164E-3</v>
      </c>
      <c r="I397" s="65">
        <f t="shared" si="386"/>
        <v>1.0902430594344164E-3</v>
      </c>
      <c r="J397" s="65">
        <f t="shared" si="386"/>
        <v>1.0902430594344164E-3</v>
      </c>
      <c r="K397" s="65">
        <f t="shared" si="386"/>
        <v>1.0902430594344164E-3</v>
      </c>
      <c r="L397" s="65">
        <f t="shared" si="386"/>
        <v>1.0902430594344164E-3</v>
      </c>
      <c r="M397" s="65">
        <f t="shared" si="386"/>
        <v>1.0902430594344164E-3</v>
      </c>
      <c r="N397" s="65">
        <f t="shared" si="386"/>
        <v>1.0902430594344164E-3</v>
      </c>
      <c r="O397" s="65">
        <f t="shared" si="386"/>
        <v>1.0902430594344164E-3</v>
      </c>
      <c r="P397" s="65">
        <f t="shared" si="386"/>
        <v>1.0902430594344164E-3</v>
      </c>
      <c r="Q397" s="65">
        <f t="shared" si="386"/>
        <v>1.0902430594344164E-3</v>
      </c>
      <c r="R397" s="65">
        <f t="shared" si="386"/>
        <v>1.0902430594344164E-3</v>
      </c>
      <c r="S397" s="65">
        <f t="shared" si="386"/>
        <v>1.0902430594344164E-3</v>
      </c>
      <c r="T397" s="65">
        <f t="shared" si="386"/>
        <v>1.0902430594344164E-3</v>
      </c>
      <c r="U397" s="65">
        <f t="shared" si="386"/>
        <v>1.0902430594344164E-3</v>
      </c>
      <c r="V397" s="65">
        <f t="shared" si="386"/>
        <v>1.0902430594344164E-3</v>
      </c>
      <c r="W397" s="65">
        <f t="shared" si="386"/>
        <v>1.0902430594344164E-3</v>
      </c>
      <c r="X397" s="65">
        <f t="shared" si="386"/>
        <v>1.0902430594344164E-3</v>
      </c>
      <c r="Y397" s="65">
        <f t="shared" si="386"/>
        <v>1.0902430594344164E-3</v>
      </c>
      <c r="Z397" s="65">
        <f t="shared" si="386"/>
        <v>1.0902430594344164E-3</v>
      </c>
      <c r="AA397" s="65">
        <f t="shared" si="386"/>
        <v>1.0902430594344164E-3</v>
      </c>
      <c r="AB397" s="65">
        <f t="shared" si="386"/>
        <v>1.0902430594344164E-3</v>
      </c>
      <c r="AC397" s="65">
        <f t="shared" si="386"/>
        <v>1.0902430594344164E-3</v>
      </c>
    </row>
    <row r="398" spans="1:29" x14ac:dyDescent="0.3">
      <c r="A398" s="30" t="str">
        <f t="shared" si="385"/>
        <v>Residual value (vehicle)</v>
      </c>
      <c r="B398" s="68">
        <f>((1+B358)^B365)*B358/(((1+B358)^B365)-1)*(B355)/B370/(B367)</f>
        <v>-1.6353645891516245E-4</v>
      </c>
      <c r="C398" s="68">
        <f t="shared" ref="C398:AC398" si="387">((1+C358)^C365)*C358/(((1+C358)^C365)-1)*(C355)/C370/(C367)</f>
        <v>-1.6353645891516245E-4</v>
      </c>
      <c r="D398" s="68">
        <f t="shared" si="387"/>
        <v>-1.6353645891516245E-4</v>
      </c>
      <c r="E398" s="68">
        <f t="shared" si="387"/>
        <v>-1.6353645891516245E-4</v>
      </c>
      <c r="F398" s="68">
        <f t="shared" si="387"/>
        <v>-1.6353645891516245E-4</v>
      </c>
      <c r="G398" s="68">
        <f t="shared" si="387"/>
        <v>-1.6353645891516245E-4</v>
      </c>
      <c r="H398" s="68">
        <f t="shared" si="387"/>
        <v>-1.6353645891516245E-4</v>
      </c>
      <c r="I398" s="68">
        <f t="shared" si="387"/>
        <v>-1.6353645891516245E-4</v>
      </c>
      <c r="J398" s="68">
        <f t="shared" si="387"/>
        <v>-1.6353645891516245E-4</v>
      </c>
      <c r="K398" s="68">
        <f t="shared" si="387"/>
        <v>-1.6353645891516245E-4</v>
      </c>
      <c r="L398" s="68">
        <f t="shared" si="387"/>
        <v>-1.6353645891516245E-4</v>
      </c>
      <c r="M398" s="68">
        <f t="shared" si="387"/>
        <v>-1.6353645891516245E-4</v>
      </c>
      <c r="N398" s="68">
        <f t="shared" si="387"/>
        <v>-1.6353645891516245E-4</v>
      </c>
      <c r="O398" s="68">
        <f t="shared" si="387"/>
        <v>-1.6353645891516245E-4</v>
      </c>
      <c r="P398" s="68">
        <f t="shared" si="387"/>
        <v>-1.6353645891516245E-4</v>
      </c>
      <c r="Q398" s="68">
        <f t="shared" si="387"/>
        <v>-1.6353645891516245E-4</v>
      </c>
      <c r="R398" s="68">
        <f t="shared" si="387"/>
        <v>-1.6353645891516245E-4</v>
      </c>
      <c r="S398" s="68">
        <f t="shared" si="387"/>
        <v>-1.6353645891516245E-4</v>
      </c>
      <c r="T398" s="68">
        <f t="shared" si="387"/>
        <v>-1.6353645891516245E-4</v>
      </c>
      <c r="U398" s="68">
        <f t="shared" si="387"/>
        <v>-1.6353645891516245E-4</v>
      </c>
      <c r="V398" s="68">
        <f t="shared" si="387"/>
        <v>-1.6353645891516245E-4</v>
      </c>
      <c r="W398" s="68">
        <f t="shared" si="387"/>
        <v>-1.6353645891516245E-4</v>
      </c>
      <c r="X398" s="68">
        <f t="shared" si="387"/>
        <v>-1.6353645891516245E-4</v>
      </c>
      <c r="Y398" s="68">
        <f t="shared" si="387"/>
        <v>-1.6353645891516245E-4</v>
      </c>
      <c r="Z398" s="68">
        <f t="shared" si="387"/>
        <v>-1.6353645891516245E-4</v>
      </c>
      <c r="AA398" s="68">
        <f t="shared" si="387"/>
        <v>-1.6353645891516245E-4</v>
      </c>
      <c r="AB398" s="68">
        <f t="shared" si="387"/>
        <v>-1.6353645891516245E-4</v>
      </c>
      <c r="AC398" s="68">
        <f t="shared" si="387"/>
        <v>-1.6353645891516245E-4</v>
      </c>
    </row>
    <row r="399" spans="1:29" x14ac:dyDescent="0.3">
      <c r="A399" s="30" t="str">
        <f t="shared" si="385"/>
        <v>Capex costumization</v>
      </c>
      <c r="B399" s="66">
        <f>((1+B358)^B366)*B358/(((1+B358)^B366)-1)*(B356)/B370/(B367)</f>
        <v>7.6311881817276459E-4</v>
      </c>
      <c r="C399" s="66">
        <f t="shared" ref="C399:AC399" si="388">((1+C358)^C366)*C358/(((1+C358)^C366)-1)*(C356)/C370/(C367)</f>
        <v>7.6311881817276459E-4</v>
      </c>
      <c r="D399" s="66">
        <f t="shared" si="388"/>
        <v>7.6311881817276459E-4</v>
      </c>
      <c r="E399" s="66">
        <f t="shared" si="388"/>
        <v>7.6311881817276459E-4</v>
      </c>
      <c r="F399" s="66">
        <f t="shared" si="388"/>
        <v>7.6311881817276459E-4</v>
      </c>
      <c r="G399" s="66">
        <f t="shared" si="388"/>
        <v>7.6311881817276459E-4</v>
      </c>
      <c r="H399" s="66">
        <f t="shared" si="388"/>
        <v>7.6311881817276459E-4</v>
      </c>
      <c r="I399" s="66">
        <f t="shared" si="388"/>
        <v>7.6311881817276459E-4</v>
      </c>
      <c r="J399" s="66">
        <f t="shared" si="388"/>
        <v>7.6311881817276459E-4</v>
      </c>
      <c r="K399" s="66">
        <f t="shared" si="388"/>
        <v>7.6311881817276459E-4</v>
      </c>
      <c r="L399" s="66">
        <f t="shared" si="388"/>
        <v>7.6311881817276459E-4</v>
      </c>
      <c r="M399" s="66">
        <f t="shared" si="388"/>
        <v>7.6311881817276459E-4</v>
      </c>
      <c r="N399" s="66">
        <f t="shared" si="388"/>
        <v>7.6311881817276459E-4</v>
      </c>
      <c r="O399" s="66">
        <f t="shared" si="388"/>
        <v>7.6311881817276459E-4</v>
      </c>
      <c r="P399" s="66">
        <f t="shared" si="388"/>
        <v>7.6311881817276459E-4</v>
      </c>
      <c r="Q399" s="66">
        <f t="shared" si="388"/>
        <v>7.6311881817276459E-4</v>
      </c>
      <c r="R399" s="66">
        <f t="shared" si="388"/>
        <v>7.6311881817276459E-4</v>
      </c>
      <c r="S399" s="66">
        <f t="shared" si="388"/>
        <v>7.6311881817276459E-4</v>
      </c>
      <c r="T399" s="66">
        <f t="shared" si="388"/>
        <v>7.6311881817276459E-4</v>
      </c>
      <c r="U399" s="66">
        <f t="shared" si="388"/>
        <v>7.6311881817276459E-4</v>
      </c>
      <c r="V399" s="66">
        <f t="shared" si="388"/>
        <v>7.6311881817276459E-4</v>
      </c>
      <c r="W399" s="66">
        <f t="shared" si="388"/>
        <v>7.6311881817276459E-4</v>
      </c>
      <c r="X399" s="66">
        <f t="shared" si="388"/>
        <v>7.6311881817276459E-4</v>
      </c>
      <c r="Y399" s="66">
        <f t="shared" si="388"/>
        <v>7.6311881817276459E-4</v>
      </c>
      <c r="Z399" s="66">
        <f t="shared" si="388"/>
        <v>7.6311881817276459E-4</v>
      </c>
      <c r="AA399" s="66">
        <f t="shared" si="388"/>
        <v>7.6311881817276459E-4</v>
      </c>
      <c r="AB399" s="66">
        <f t="shared" si="388"/>
        <v>7.6311881817276459E-4</v>
      </c>
      <c r="AC399" s="66">
        <f t="shared" si="388"/>
        <v>7.6311881817276459E-4</v>
      </c>
    </row>
    <row r="400" spans="1:29" x14ac:dyDescent="0.3">
      <c r="A400" s="30" t="str">
        <f t="shared" si="385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89">((1+C358)^C366)*C358/(((1+C358)^C366)-1)*(C357)/C370/(C367)</f>
        <v>-3.8155940908638231E-5</v>
      </c>
      <c r="D400" s="69">
        <f t="shared" si="389"/>
        <v>-3.8155940908638231E-5</v>
      </c>
      <c r="E400" s="69">
        <f t="shared" si="389"/>
        <v>-3.8155940908638231E-5</v>
      </c>
      <c r="F400" s="69">
        <f t="shared" si="389"/>
        <v>-3.8155940908638231E-5</v>
      </c>
      <c r="G400" s="69">
        <f t="shared" si="389"/>
        <v>-3.8155940908638231E-5</v>
      </c>
      <c r="H400" s="69">
        <f t="shared" si="389"/>
        <v>-3.8155940908638231E-5</v>
      </c>
      <c r="I400" s="69">
        <f t="shared" si="389"/>
        <v>-3.8155940908638231E-5</v>
      </c>
      <c r="J400" s="69">
        <f t="shared" si="389"/>
        <v>-3.8155940908638231E-5</v>
      </c>
      <c r="K400" s="69">
        <f t="shared" si="389"/>
        <v>-3.8155940908638231E-5</v>
      </c>
      <c r="L400" s="69">
        <f t="shared" si="389"/>
        <v>-3.8155940908638231E-5</v>
      </c>
      <c r="M400" s="69">
        <f t="shared" si="389"/>
        <v>-3.8155940908638231E-5</v>
      </c>
      <c r="N400" s="69">
        <f t="shared" si="389"/>
        <v>-3.8155940908638231E-5</v>
      </c>
      <c r="O400" s="69">
        <f t="shared" si="389"/>
        <v>-3.8155940908638231E-5</v>
      </c>
      <c r="P400" s="69">
        <f t="shared" si="389"/>
        <v>-3.8155940908638231E-5</v>
      </c>
      <c r="Q400" s="69">
        <f t="shared" si="389"/>
        <v>-3.8155940908638231E-5</v>
      </c>
      <c r="R400" s="69">
        <f t="shared" si="389"/>
        <v>-3.8155940908638231E-5</v>
      </c>
      <c r="S400" s="69">
        <f t="shared" si="389"/>
        <v>-3.8155940908638231E-5</v>
      </c>
      <c r="T400" s="69">
        <f t="shared" si="389"/>
        <v>-3.8155940908638231E-5</v>
      </c>
      <c r="U400" s="69">
        <f t="shared" si="389"/>
        <v>-3.8155940908638231E-5</v>
      </c>
      <c r="V400" s="69">
        <f t="shared" si="389"/>
        <v>-3.8155940908638231E-5</v>
      </c>
      <c r="W400" s="69">
        <f t="shared" si="389"/>
        <v>-3.8155940908638231E-5</v>
      </c>
      <c r="X400" s="69">
        <f t="shared" si="389"/>
        <v>-3.8155940908638231E-5</v>
      </c>
      <c r="Y400" s="69">
        <f t="shared" si="389"/>
        <v>-3.8155940908638231E-5</v>
      </c>
      <c r="Z400" s="69">
        <f t="shared" si="389"/>
        <v>-3.8155940908638231E-5</v>
      </c>
      <c r="AA400" s="69">
        <f t="shared" si="389"/>
        <v>-3.8155940908638231E-5</v>
      </c>
      <c r="AB400" s="69">
        <f t="shared" si="389"/>
        <v>-3.8155940908638231E-5</v>
      </c>
      <c r="AC400" s="69">
        <f t="shared" si="389"/>
        <v>-3.8155940908638231E-5</v>
      </c>
    </row>
    <row r="401" spans="1:29" x14ac:dyDescent="0.3">
      <c r="A401" s="30" t="str">
        <f t="shared" si="385"/>
        <v>Opex fix (admin, crew, insurance)</v>
      </c>
      <c r="B401" s="66">
        <f>B359/B370/(B367)</f>
        <v>3.6264505802320927E-3</v>
      </c>
      <c r="C401" s="66">
        <f t="shared" ref="C401:AC401" si="390">C359/C370/(C367)</f>
        <v>3.6264505802320927E-3</v>
      </c>
      <c r="D401" s="66">
        <f t="shared" si="390"/>
        <v>3.6264505802320927E-3</v>
      </c>
      <c r="E401" s="66">
        <f t="shared" si="390"/>
        <v>3.6264505802320927E-3</v>
      </c>
      <c r="F401" s="66">
        <f t="shared" si="390"/>
        <v>3.6264505802320927E-3</v>
      </c>
      <c r="G401" s="66">
        <f t="shared" si="390"/>
        <v>3.6264505802320927E-3</v>
      </c>
      <c r="H401" s="66">
        <f t="shared" si="390"/>
        <v>3.6264505802320927E-3</v>
      </c>
      <c r="I401" s="66">
        <f t="shared" si="390"/>
        <v>3.6264505802320927E-3</v>
      </c>
      <c r="J401" s="66">
        <f t="shared" si="390"/>
        <v>3.6264505802320927E-3</v>
      </c>
      <c r="K401" s="66">
        <f t="shared" si="390"/>
        <v>3.6264505802320927E-3</v>
      </c>
      <c r="L401" s="66">
        <f t="shared" si="390"/>
        <v>3.6264505802320927E-3</v>
      </c>
      <c r="M401" s="66">
        <f t="shared" si="390"/>
        <v>3.6264505802320927E-3</v>
      </c>
      <c r="N401" s="66">
        <f t="shared" si="390"/>
        <v>3.6264505802320927E-3</v>
      </c>
      <c r="O401" s="66">
        <f t="shared" si="390"/>
        <v>3.6264505802320927E-3</v>
      </c>
      <c r="P401" s="66">
        <f t="shared" si="390"/>
        <v>3.6264505802320927E-3</v>
      </c>
      <c r="Q401" s="66">
        <f t="shared" si="390"/>
        <v>3.6264505802320927E-3</v>
      </c>
      <c r="R401" s="66">
        <f t="shared" si="390"/>
        <v>3.6264505802320927E-3</v>
      </c>
      <c r="S401" s="66">
        <f t="shared" si="390"/>
        <v>3.6264505802320927E-3</v>
      </c>
      <c r="T401" s="66">
        <f t="shared" si="390"/>
        <v>3.6264505802320927E-3</v>
      </c>
      <c r="U401" s="66">
        <f t="shared" si="390"/>
        <v>3.6264505802320927E-3</v>
      </c>
      <c r="V401" s="66">
        <f t="shared" si="390"/>
        <v>3.6264505802320927E-3</v>
      </c>
      <c r="W401" s="66">
        <f t="shared" si="390"/>
        <v>3.6264505802320927E-3</v>
      </c>
      <c r="X401" s="66">
        <f t="shared" si="390"/>
        <v>3.6264505802320927E-3</v>
      </c>
      <c r="Y401" s="66">
        <f t="shared" si="390"/>
        <v>3.6264505802320927E-3</v>
      </c>
      <c r="Z401" s="66">
        <f t="shared" si="390"/>
        <v>3.6264505802320927E-3</v>
      </c>
      <c r="AA401" s="66">
        <f t="shared" si="390"/>
        <v>3.6264505802320927E-3</v>
      </c>
      <c r="AB401" s="66">
        <f t="shared" si="390"/>
        <v>3.6264505802320927E-3</v>
      </c>
      <c r="AC401" s="66">
        <f t="shared" si="390"/>
        <v>3.6264505802320927E-3</v>
      </c>
    </row>
    <row r="402" spans="1:29" x14ac:dyDescent="0.3">
      <c r="A402" s="30" t="str">
        <f t="shared" si="385"/>
        <v>Opex maintenance &amp; repair</v>
      </c>
      <c r="B402" s="66">
        <f>B360/B370/(B367)</f>
        <v>1.6256502601040416E-3</v>
      </c>
      <c r="C402" s="66">
        <f t="shared" ref="C402:AC402" si="391">C360/C370/(C367)</f>
        <v>1.6256502601040416E-3</v>
      </c>
      <c r="D402" s="66">
        <f t="shared" si="391"/>
        <v>1.6256502601040416E-3</v>
      </c>
      <c r="E402" s="66">
        <f t="shared" si="391"/>
        <v>1.6256502601040416E-3</v>
      </c>
      <c r="F402" s="66">
        <f t="shared" si="391"/>
        <v>1.6256502601040416E-3</v>
      </c>
      <c r="G402" s="66">
        <f t="shared" si="391"/>
        <v>1.6256502601040416E-3</v>
      </c>
      <c r="H402" s="66">
        <f t="shared" si="391"/>
        <v>1.6256502601040416E-3</v>
      </c>
      <c r="I402" s="66">
        <f t="shared" si="391"/>
        <v>1.6256502601040416E-3</v>
      </c>
      <c r="J402" s="66">
        <f t="shared" si="391"/>
        <v>1.6256502601040416E-3</v>
      </c>
      <c r="K402" s="66">
        <f t="shared" si="391"/>
        <v>1.6256502601040416E-3</v>
      </c>
      <c r="L402" s="66">
        <f t="shared" si="391"/>
        <v>1.6256502601040416E-3</v>
      </c>
      <c r="M402" s="66">
        <f t="shared" si="391"/>
        <v>1.6256502601040416E-3</v>
      </c>
      <c r="N402" s="66">
        <f t="shared" si="391"/>
        <v>1.6256502601040416E-3</v>
      </c>
      <c r="O402" s="66">
        <f t="shared" si="391"/>
        <v>1.6256502601040416E-3</v>
      </c>
      <c r="P402" s="66">
        <f t="shared" si="391"/>
        <v>1.6256502601040416E-3</v>
      </c>
      <c r="Q402" s="66">
        <f t="shared" si="391"/>
        <v>1.6256502601040416E-3</v>
      </c>
      <c r="R402" s="66">
        <f t="shared" si="391"/>
        <v>1.6256502601040416E-3</v>
      </c>
      <c r="S402" s="66">
        <f t="shared" si="391"/>
        <v>1.6256502601040416E-3</v>
      </c>
      <c r="T402" s="66">
        <f t="shared" si="391"/>
        <v>1.6256502601040416E-3</v>
      </c>
      <c r="U402" s="66">
        <f t="shared" si="391"/>
        <v>1.6256502601040416E-3</v>
      </c>
      <c r="V402" s="66">
        <f t="shared" si="391"/>
        <v>1.6256502601040416E-3</v>
      </c>
      <c r="W402" s="66">
        <f t="shared" si="391"/>
        <v>1.6256502601040416E-3</v>
      </c>
      <c r="X402" s="66">
        <f t="shared" si="391"/>
        <v>1.6256502601040416E-3</v>
      </c>
      <c r="Y402" s="66">
        <f t="shared" si="391"/>
        <v>1.6256502601040416E-3</v>
      </c>
      <c r="Z402" s="66">
        <f t="shared" si="391"/>
        <v>1.6256502601040416E-3</v>
      </c>
      <c r="AA402" s="66">
        <f t="shared" si="391"/>
        <v>1.6256502601040416E-3</v>
      </c>
      <c r="AB402" s="66">
        <f t="shared" si="391"/>
        <v>1.6256502601040416E-3</v>
      </c>
      <c r="AC402" s="66">
        <f t="shared" si="391"/>
        <v>1.6256502601040416E-3</v>
      </c>
    </row>
    <row r="403" spans="1:29" x14ac:dyDescent="0.3">
      <c r="A403" s="30" t="str">
        <f t="shared" si="385"/>
        <v>Opex var (mode-fees, shunting)</v>
      </c>
      <c r="B403" s="66">
        <f>B361*B370/B370/(B367)</f>
        <v>4.0016006402561026E-3</v>
      </c>
      <c r="C403" s="66">
        <f t="shared" ref="C403:AC403" si="392">C361*C370/C370/(C367)</f>
        <v>4.0016006402561026E-3</v>
      </c>
      <c r="D403" s="66">
        <f t="shared" si="392"/>
        <v>4.0016006402561026E-3</v>
      </c>
      <c r="E403" s="66">
        <f t="shared" si="392"/>
        <v>4.0016006402561026E-3</v>
      </c>
      <c r="F403" s="66">
        <f t="shared" si="392"/>
        <v>4.0016006402561026E-3</v>
      </c>
      <c r="G403" s="66">
        <f t="shared" si="392"/>
        <v>4.0016006402561026E-3</v>
      </c>
      <c r="H403" s="66">
        <f t="shared" si="392"/>
        <v>4.0016006402561026E-3</v>
      </c>
      <c r="I403" s="66">
        <f t="shared" si="392"/>
        <v>4.0016006402561026E-3</v>
      </c>
      <c r="J403" s="66">
        <f t="shared" si="392"/>
        <v>4.0016006402561026E-3</v>
      </c>
      <c r="K403" s="66">
        <f t="shared" si="392"/>
        <v>4.0016006402561026E-3</v>
      </c>
      <c r="L403" s="66">
        <f t="shared" si="392"/>
        <v>4.0016006402561026E-3</v>
      </c>
      <c r="M403" s="66">
        <f t="shared" si="392"/>
        <v>4.0016006402561026E-3</v>
      </c>
      <c r="N403" s="66">
        <f t="shared" si="392"/>
        <v>4.0016006402561026E-3</v>
      </c>
      <c r="O403" s="66">
        <f t="shared" si="392"/>
        <v>4.0016006402561026E-3</v>
      </c>
      <c r="P403" s="66">
        <f t="shared" si="392"/>
        <v>4.0016006402561026E-3</v>
      </c>
      <c r="Q403" s="66">
        <f t="shared" si="392"/>
        <v>4.0016006402561026E-3</v>
      </c>
      <c r="R403" s="66">
        <f t="shared" si="392"/>
        <v>4.0016006402561026E-3</v>
      </c>
      <c r="S403" s="66">
        <f t="shared" si="392"/>
        <v>4.0016006402561026E-3</v>
      </c>
      <c r="T403" s="66">
        <f t="shared" si="392"/>
        <v>4.0016006402561026E-3</v>
      </c>
      <c r="U403" s="66">
        <f t="shared" si="392"/>
        <v>4.0016006402561026E-3</v>
      </c>
      <c r="V403" s="66">
        <f t="shared" si="392"/>
        <v>4.0016006402561026E-3</v>
      </c>
      <c r="W403" s="66">
        <f t="shared" si="392"/>
        <v>4.0016006402561026E-3</v>
      </c>
      <c r="X403" s="66">
        <f t="shared" si="392"/>
        <v>4.0016006402561026E-3</v>
      </c>
      <c r="Y403" s="66">
        <f t="shared" si="392"/>
        <v>4.0016006402561026E-3</v>
      </c>
      <c r="Z403" s="66">
        <f t="shared" si="392"/>
        <v>4.0016006402561026E-3</v>
      </c>
      <c r="AA403" s="66">
        <f t="shared" si="392"/>
        <v>4.0016006402561026E-3</v>
      </c>
      <c r="AB403" s="66">
        <f t="shared" si="392"/>
        <v>4.0016006402561026E-3</v>
      </c>
      <c r="AC403" s="66">
        <f t="shared" si="392"/>
        <v>4.0016006402561026E-3</v>
      </c>
    </row>
    <row r="404" spans="1:29" x14ac:dyDescent="0.3">
      <c r="A404" s="30" t="str">
        <f t="shared" si="385"/>
        <v>Fuel Cost</v>
      </c>
      <c r="B404" s="66">
        <f>B362*B363*B370/B370/(B367)</f>
        <v>1.0537248141199494E-3</v>
      </c>
      <c r="C404" s="66">
        <f t="shared" ref="C404:AC404" si="393">C362*C363*C370/C370/(C367)</f>
        <v>1.0524809245311927E-3</v>
      </c>
      <c r="D404" s="66">
        <f t="shared" si="393"/>
        <v>1.0507147796289546E-3</v>
      </c>
      <c r="E404" s="66">
        <f t="shared" si="393"/>
        <v>1.0482185035253304E-3</v>
      </c>
      <c r="F404" s="66">
        <f t="shared" si="393"/>
        <v>1.0447137769123939E-3</v>
      </c>
      <c r="G404" s="66">
        <f t="shared" si="393"/>
        <v>1.0398409346652547E-3</v>
      </c>
      <c r="H404" s="66">
        <f t="shared" si="393"/>
        <v>1.0331604502378181E-3</v>
      </c>
      <c r="I404" s="66">
        <f t="shared" si="393"/>
        <v>1.0241825950191134E-3</v>
      </c>
      <c r="J404" s="66">
        <f t="shared" si="393"/>
        <v>1.0124468038541917E-3</v>
      </c>
      <c r="K404" s="66">
        <f t="shared" si="393"/>
        <v>9.9766755848813859E-4</v>
      </c>
      <c r="L404" s="66">
        <f t="shared" si="393"/>
        <v>9.7993288828717904E-4</v>
      </c>
      <c r="M404" s="66">
        <f t="shared" si="393"/>
        <v>9.5987899046131133E-4</v>
      </c>
      <c r="N404" s="66">
        <f t="shared" si="393"/>
        <v>9.3870817280561521E-4</v>
      </c>
      <c r="O404" s="66">
        <f t="shared" si="393"/>
        <v>9.179539572424794E-4</v>
      </c>
      <c r="P404" s="66">
        <f t="shared" si="393"/>
        <v>8.9906096761983021E-4</v>
      </c>
      <c r="Q404" s="66">
        <f t="shared" si="393"/>
        <v>8.8300461685403807E-4</v>
      </c>
      <c r="R404" s="66">
        <f t="shared" si="393"/>
        <v>8.7014635542014083E-4</v>
      </c>
      <c r="S404" s="66">
        <f t="shared" si="393"/>
        <v>8.603349312557093E-4</v>
      </c>
      <c r="T404" s="66">
        <f t="shared" si="393"/>
        <v>8.5312274761749677E-4</v>
      </c>
      <c r="U404" s="66">
        <f t="shared" si="393"/>
        <v>8.4796614065241465E-4</v>
      </c>
      <c r="V404" s="66">
        <f t="shared" si="393"/>
        <v>8.4435212069580658E-4</v>
      </c>
      <c r="W404" s="66">
        <f t="shared" si="393"/>
        <v>8.4185461077076356E-4</v>
      </c>
      <c r="X404" s="66">
        <f t="shared" si="393"/>
        <v>8.4014544027336349E-4</v>
      </c>
      <c r="Y404" s="66">
        <f t="shared" si="393"/>
        <v>8.3898357665838929E-4</v>
      </c>
      <c r="Z404" s="66">
        <f t="shared" si="393"/>
        <v>8.3819735647866316E-4</v>
      </c>
      <c r="AA404" s="66">
        <f t="shared" si="393"/>
        <v>8.3766697152458987E-4</v>
      </c>
      <c r="AB404" s="66">
        <f t="shared" si="393"/>
        <v>8.3730991900823654E-4</v>
      </c>
      <c r="AC404" s="66">
        <f t="shared" si="393"/>
        <v>8.3706989059071399E-4</v>
      </c>
    </row>
    <row r="405" spans="1:29" x14ac:dyDescent="0.3">
      <c r="A405" s="59" t="str">
        <f>A368</f>
        <v>Market failure (av. utilization)</v>
      </c>
      <c r="B405" s="66">
        <f t="shared" ref="B405:AC405" si="394">B394/B368-B394/B367</f>
        <v>1.0274848110927385E-2</v>
      </c>
      <c r="C405" s="66">
        <f t="shared" si="394"/>
        <v>1.0273767110254564E-2</v>
      </c>
      <c r="D405" s="66">
        <f t="shared" si="394"/>
        <v>1.0272231995675774E-2</v>
      </c>
      <c r="E405" s="66">
        <f t="shared" si="394"/>
        <v>1.0270061733084788E-2</v>
      </c>
      <c r="F405" s="66">
        <f t="shared" si="394"/>
        <v>1.0267013617976188E-2</v>
      </c>
      <c r="G405" s="66">
        <f t="shared" si="394"/>
        <v>1.0262773324203965E-2</v>
      </c>
      <c r="H405" s="66">
        <f t="shared" si="394"/>
        <v>1.0256955279042006E-2</v>
      </c>
      <c r="I405" s="66">
        <f t="shared" si="394"/>
        <v>1.0249126782465277E-2</v>
      </c>
      <c r="J405" s="66">
        <f t="shared" si="394"/>
        <v>1.0238874233447074E-2</v>
      </c>
      <c r="K405" s="66">
        <f t="shared" si="394"/>
        <v>1.0225925937932404E-2</v>
      </c>
      <c r="L405" s="66">
        <f t="shared" si="394"/>
        <v>1.0210320086622459E-2</v>
      </c>
      <c r="M405" s="66">
        <f t="shared" si="394"/>
        <v>1.0192553657402922E-2</v>
      </c>
      <c r="N405" s="66">
        <f t="shared" si="394"/>
        <v>1.0173600734345067E-2</v>
      </c>
      <c r="O405" s="66">
        <f t="shared" si="394"/>
        <v>1.0154720530596064E-2</v>
      </c>
      <c r="P405" s="66">
        <f t="shared" si="394"/>
        <v>1.0137114440332148E-2</v>
      </c>
      <c r="Q405" s="66">
        <f t="shared" si="394"/>
        <v>1.0121622377121864E-2</v>
      </c>
      <c r="R405" s="66">
        <f t="shared" si="394"/>
        <v>1.0108617332449514E-2</v>
      </c>
      <c r="S405" s="66">
        <f t="shared" si="394"/>
        <v>1.0098093469870603E-2</v>
      </c>
      <c r="T405" s="66">
        <f t="shared" si="394"/>
        <v>1.0089826397636227E-2</v>
      </c>
      <c r="U405" s="66">
        <f t="shared" si="394"/>
        <v>1.0083500793905274E-2</v>
      </c>
      <c r="V405" s="66">
        <f t="shared" si="394"/>
        <v>1.007877946181064E-2</v>
      </c>
      <c r="W405" s="66">
        <f t="shared" si="394"/>
        <v>1.0075336426826832E-2</v>
      </c>
      <c r="X405" s="66">
        <f t="shared" si="394"/>
        <v>1.0072876661644524E-2</v>
      </c>
      <c r="Y405" s="66">
        <f t="shared" si="394"/>
        <v>1.0071149048697426E-2</v>
      </c>
      <c r="Z405" s="66">
        <f t="shared" si="394"/>
        <v>1.0069951734004306E-2</v>
      </c>
      <c r="AA405" s="66">
        <f t="shared" si="394"/>
        <v>1.006913017483505E-2</v>
      </c>
      <c r="AB405" s="66">
        <f t="shared" si="394"/>
        <v>1.006857049917431E-2</v>
      </c>
      <c r="AC405" s="66">
        <f t="shared" si="394"/>
        <v>1.0068191165580947E-2</v>
      </c>
    </row>
    <row r="406" spans="1:29" x14ac:dyDescent="0.3">
      <c r="A406" s="59" t="str">
        <f>A369</f>
        <v>Payload loss (fuel)</v>
      </c>
      <c r="B406" s="66">
        <f>B394/(B367-B369)-B394/B367</f>
        <v>0</v>
      </c>
      <c r="C406" s="66">
        <f t="shared" ref="C406:AC406" si="395">C394/(C367-C369)-C394/C367</f>
        <v>0</v>
      </c>
      <c r="D406" s="66">
        <f t="shared" si="395"/>
        <v>0</v>
      </c>
      <c r="E406" s="66">
        <f t="shared" si="395"/>
        <v>0</v>
      </c>
      <c r="F406" s="66">
        <f t="shared" si="395"/>
        <v>0</v>
      </c>
      <c r="G406" s="66">
        <f t="shared" si="395"/>
        <v>0</v>
      </c>
      <c r="H406" s="66">
        <f t="shared" si="395"/>
        <v>0</v>
      </c>
      <c r="I406" s="66">
        <f t="shared" si="395"/>
        <v>0</v>
      </c>
      <c r="J406" s="66">
        <f t="shared" si="395"/>
        <v>0</v>
      </c>
      <c r="K406" s="66">
        <f t="shared" si="395"/>
        <v>0</v>
      </c>
      <c r="L406" s="66">
        <f t="shared" si="395"/>
        <v>0</v>
      </c>
      <c r="M406" s="66">
        <f t="shared" si="395"/>
        <v>0</v>
      </c>
      <c r="N406" s="66">
        <f t="shared" si="395"/>
        <v>0</v>
      </c>
      <c r="O406" s="66">
        <f t="shared" si="395"/>
        <v>0</v>
      </c>
      <c r="P406" s="66">
        <f t="shared" si="395"/>
        <v>0</v>
      </c>
      <c r="Q406" s="66">
        <f t="shared" si="395"/>
        <v>0</v>
      </c>
      <c r="R406" s="66">
        <f t="shared" si="395"/>
        <v>0</v>
      </c>
      <c r="S406" s="66">
        <f t="shared" si="395"/>
        <v>0</v>
      </c>
      <c r="T406" s="66">
        <f t="shared" si="395"/>
        <v>0</v>
      </c>
      <c r="U406" s="66">
        <f t="shared" si="395"/>
        <v>0</v>
      </c>
      <c r="V406" s="66">
        <f t="shared" si="395"/>
        <v>0</v>
      </c>
      <c r="W406" s="66">
        <f t="shared" si="395"/>
        <v>0</v>
      </c>
      <c r="X406" s="66">
        <f t="shared" si="395"/>
        <v>0</v>
      </c>
      <c r="Y406" s="66">
        <f t="shared" si="395"/>
        <v>0</v>
      </c>
      <c r="Z406" s="66">
        <f t="shared" si="395"/>
        <v>0</v>
      </c>
      <c r="AA406" s="66">
        <f t="shared" si="395"/>
        <v>0</v>
      </c>
      <c r="AB406" s="66">
        <f t="shared" si="395"/>
        <v>0</v>
      </c>
      <c r="AC406" s="66">
        <f t="shared" si="395"/>
        <v>0</v>
      </c>
    </row>
    <row r="407" spans="1:29" ht="15" thickBot="1" x14ac:dyDescent="0.35">
      <c r="A407" s="59" t="str">
        <f>A344</f>
        <v>Emission Cost</v>
      </c>
      <c r="B407" s="68">
        <f>B364*B370/B370/(B367)</f>
        <v>2.6370562862784274E-5</v>
      </c>
      <c r="C407" s="68">
        <f t="shared" ref="C407:AC407" si="396">C364*C370/C370/(C367)</f>
        <v>2.6345451661706736E-5</v>
      </c>
      <c r="D407" s="68">
        <f t="shared" si="396"/>
        <v>2.6309505536671141E-5</v>
      </c>
      <c r="E407" s="68">
        <f t="shared" si="396"/>
        <v>2.6258082076963209E-5</v>
      </c>
      <c r="F407" s="68">
        <f t="shared" si="396"/>
        <v>2.6184586605890821E-5</v>
      </c>
      <c r="G407" s="68">
        <f t="shared" si="396"/>
        <v>2.6079692685640579E-5</v>
      </c>
      <c r="H407" s="68">
        <f t="shared" si="396"/>
        <v>2.5930298009908791E-5</v>
      </c>
      <c r="I407" s="68">
        <f t="shared" si="396"/>
        <v>2.5718178986363559E-5</v>
      </c>
      <c r="J407" s="68">
        <f t="shared" si="396"/>
        <v>2.5418369129919108E-5</v>
      </c>
      <c r="K407" s="68">
        <f t="shared" si="396"/>
        <v>2.4997441500488967E-5</v>
      </c>
      <c r="L407" s="68">
        <f t="shared" si="396"/>
        <v>2.441219929411994E-5</v>
      </c>
      <c r="M407" s="68">
        <f t="shared" si="396"/>
        <v>2.360985412314249E-5</v>
      </c>
      <c r="N407" s="68">
        <f t="shared" si="396"/>
        <v>2.2531588189181431E-5</v>
      </c>
      <c r="O407" s="68">
        <f t="shared" si="396"/>
        <v>2.1122086307835443E-5</v>
      </c>
      <c r="P407" s="68">
        <f t="shared" si="396"/>
        <v>1.9347056925019619E-5</v>
      </c>
      <c r="Q407" s="68">
        <f t="shared" si="396"/>
        <v>1.7217072617867033E-5</v>
      </c>
      <c r="R407" s="68">
        <f t="shared" si="396"/>
        <v>1.4808542479876151E-5</v>
      </c>
      <c r="S407" s="68">
        <f t="shared" si="396"/>
        <v>1.2265867095149669E-5</v>
      </c>
      <c r="T407" s="68">
        <f t="shared" si="396"/>
        <v>9.7732268060536993E-6</v>
      </c>
      <c r="U407" s="68">
        <f t="shared" si="396"/>
        <v>7.5041250434924465E-6</v>
      </c>
      <c r="V407" s="68">
        <f t="shared" si="396"/>
        <v>5.5757116716201835E-6</v>
      </c>
      <c r="W407" s="68">
        <f t="shared" si="396"/>
        <v>4.0313979200182401E-6</v>
      </c>
      <c r="X407" s="68">
        <f t="shared" si="396"/>
        <v>2.8530179860104374E-6</v>
      </c>
      <c r="Y407" s="68">
        <f t="shared" si="396"/>
        <v>1.9868142283073829E-6</v>
      </c>
      <c r="Z407" s="68">
        <f t="shared" si="396"/>
        <v>1.3674910726287204E-6</v>
      </c>
      <c r="AA407" s="68">
        <f t="shared" si="396"/>
        <v>9.334370019251639E-7</v>
      </c>
      <c r="AB407" s="68">
        <f t="shared" si="396"/>
        <v>6.3347896002081178E-7</v>
      </c>
      <c r="AC407" s="68">
        <f t="shared" si="396"/>
        <v>4.2820272446309834E-7</v>
      </c>
    </row>
    <row r="408" spans="1:29" ht="15" thickBot="1" x14ac:dyDescent="0.35">
      <c r="A408" s="31" t="s">
        <v>210</v>
      </c>
      <c r="B408" s="77">
        <f>B397+B398+B399+B400+B401+B402+B403+B404+B405+B406+B407</f>
        <v>2.2260314446285737E-2</v>
      </c>
      <c r="C408" s="67">
        <f t="shared" ref="C408:AC408" si="397">C397+C398+C399+C400+C401+C402+C403+C404+C405+C406+C407</f>
        <v>2.2257964444823079E-2</v>
      </c>
      <c r="D408" s="67">
        <f t="shared" si="397"/>
        <v>2.2254627239217017E-2</v>
      </c>
      <c r="E408" s="67">
        <f t="shared" si="397"/>
        <v>2.2249909277062701E-2</v>
      </c>
      <c r="F408" s="67">
        <f t="shared" si="397"/>
        <v>2.2243282939870091E-2</v>
      </c>
      <c r="G408" s="67">
        <f t="shared" si="397"/>
        <v>2.2234064909930479E-2</v>
      </c>
      <c r="H408" s="67">
        <f t="shared" si="397"/>
        <v>2.2221416985665349E-2</v>
      </c>
      <c r="I408" s="67">
        <f t="shared" si="397"/>
        <v>2.2204398514846374E-2</v>
      </c>
      <c r="J408" s="67">
        <f t="shared" si="397"/>
        <v>2.2182110364806804E-2</v>
      </c>
      <c r="K408" s="67">
        <f t="shared" si="397"/>
        <v>2.2153961896296648E-2</v>
      </c>
      <c r="L408" s="67">
        <f t="shared" si="397"/>
        <v>2.2120036132579377E-2</v>
      </c>
      <c r="M408" s="67">
        <f t="shared" si="397"/>
        <v>2.2081413460362992E-2</v>
      </c>
      <c r="N408" s="67">
        <f t="shared" si="397"/>
        <v>2.2040211453715482E-2</v>
      </c>
      <c r="O408" s="67">
        <f t="shared" si="397"/>
        <v>2.1999167532521995E-2</v>
      </c>
      <c r="P408" s="67">
        <f t="shared" si="397"/>
        <v>2.1960893423252616E-2</v>
      </c>
      <c r="Q408" s="67">
        <f t="shared" si="397"/>
        <v>2.1927215024969384E-2</v>
      </c>
      <c r="R408" s="67">
        <f t="shared" si="397"/>
        <v>2.1898943188725147E-2</v>
      </c>
      <c r="S408" s="67">
        <f t="shared" si="397"/>
        <v>2.1876065226597081E-2</v>
      </c>
      <c r="T408" s="67">
        <f t="shared" si="397"/>
        <v>2.1858093330435396E-2</v>
      </c>
      <c r="U408" s="67">
        <f t="shared" si="397"/>
        <v>2.18443420179768E-2</v>
      </c>
      <c r="V408" s="67">
        <f t="shared" si="397"/>
        <v>2.1834078252553686E-2</v>
      </c>
      <c r="W408" s="67">
        <f t="shared" si="397"/>
        <v>2.1826593393893229E-2</v>
      </c>
      <c r="X408" s="67">
        <f t="shared" si="397"/>
        <v>2.1821246078279514E-2</v>
      </c>
      <c r="Y408" s="67">
        <f t="shared" si="397"/>
        <v>2.181749039795974E-2</v>
      </c>
      <c r="Z408" s="67">
        <f t="shared" si="397"/>
        <v>2.1814887539931216E-2</v>
      </c>
      <c r="AA408" s="67">
        <f t="shared" si="397"/>
        <v>2.1813101541737181E-2</v>
      </c>
      <c r="AB408" s="67">
        <f t="shared" si="397"/>
        <v>2.1811884855518184E-2</v>
      </c>
      <c r="AC408" s="67">
        <f t="shared" si="397"/>
        <v>2.1811060217271739E-2</v>
      </c>
    </row>
    <row r="410" spans="1:29" x14ac:dyDescent="0.3">
      <c r="B410" s="40"/>
    </row>
    <row r="429" spans="1:1" s="3" customFormat="1" ht="21" x14ac:dyDescent="0.4">
      <c r="A429" s="2" t="str">
        <f>'Parameter Input'!A123</f>
        <v>Railway long-haul:  Neo bulk</v>
      </c>
    </row>
    <row r="430" spans="1:1" s="3" customFormat="1" ht="21" x14ac:dyDescent="0.4">
      <c r="A430" s="2" t="s">
        <v>136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Input'!$L$89</f>
        <v>5000000</v>
      </c>
      <c r="C439" s="42">
        <f>'Parameter Input'!$M$89</f>
        <v>5000000</v>
      </c>
      <c r="D439" s="1" t="s">
        <v>15</v>
      </c>
      <c r="L439" s="51">
        <f>'Parameter Input'!$O$89</f>
        <v>12</v>
      </c>
      <c r="M439" s="52">
        <v>0</v>
      </c>
      <c r="N439" s="52">
        <v>1</v>
      </c>
      <c r="O439" s="52">
        <f>'Parameter Input'!$P$89</f>
        <v>0.9</v>
      </c>
      <c r="P439" s="53">
        <f>'Parameter Input'!$Q$89</f>
        <v>0.4</v>
      </c>
      <c r="Q439" s="4">
        <f t="shared" ref="Q439:AR448" si="398">$N439+($M439-$N439)*((1/(1+EXP(-$P439*(Q$9-$L439)))^$O439))</f>
        <v>0.9867978615748374</v>
      </c>
      <c r="R439" s="4">
        <f t="shared" si="398"/>
        <v>0.98114509762858249</v>
      </c>
      <c r="S439" s="4">
        <f t="shared" si="398"/>
        <v>0.97311898315872036</v>
      </c>
      <c r="T439" s="4">
        <f t="shared" si="398"/>
        <v>0.96177484161592774</v>
      </c>
      <c r="U439" s="4">
        <f t="shared" si="398"/>
        <v>0.94584787155511363</v>
      </c>
      <c r="V439" s="4">
        <f t="shared" si="398"/>
        <v>0.92370360150141495</v>
      </c>
      <c r="W439" s="4">
        <f t="shared" si="398"/>
        <v>0.89334463567658451</v>
      </c>
      <c r="X439" s="4">
        <f t="shared" si="398"/>
        <v>0.85254543874327005</v>
      </c>
      <c r="Y439" s="4">
        <f t="shared" si="398"/>
        <v>0.79921300652623883</v>
      </c>
      <c r="Z439" s="4">
        <f t="shared" si="398"/>
        <v>0.73204982249993378</v>
      </c>
      <c r="AA439" s="4">
        <f t="shared" si="398"/>
        <v>0.65145592958786691</v>
      </c>
      <c r="AB439" s="4">
        <f t="shared" si="398"/>
        <v>0.56032247880849573</v>
      </c>
      <c r="AC439" s="4">
        <f t="shared" si="398"/>
        <v>0.46411326873185343</v>
      </c>
      <c r="AD439" s="4">
        <f t="shared" si="398"/>
        <v>0.36979727595523937</v>
      </c>
      <c r="AE439" s="4">
        <f t="shared" si="398"/>
        <v>0.28393948637231203</v>
      </c>
      <c r="AF439" s="4">
        <f t="shared" si="398"/>
        <v>0.21097259161117732</v>
      </c>
      <c r="AG439" s="4">
        <f t="shared" si="398"/>
        <v>0.15253917653798199</v>
      </c>
      <c r="AH439" s="4">
        <f t="shared" si="398"/>
        <v>0.10795188737709993</v>
      </c>
      <c r="AI439" s="4">
        <f t="shared" si="398"/>
        <v>7.5176653938091809E-2</v>
      </c>
      <c r="AJ439" s="4">
        <f t="shared" si="398"/>
        <v>5.1742836177502194E-2</v>
      </c>
      <c r="AK439" s="4">
        <f t="shared" si="398"/>
        <v>3.5319190625345942E-2</v>
      </c>
      <c r="AL439" s="4">
        <f t="shared" si="398"/>
        <v>2.3969442072658165E-2</v>
      </c>
      <c r="AM439" s="4">
        <f t="shared" si="398"/>
        <v>1.6202243558389728E-2</v>
      </c>
      <c r="AN439" s="4">
        <f t="shared" si="398"/>
        <v>1.0922240564108399E-2</v>
      </c>
      <c r="AO439" s="4">
        <f t="shared" si="398"/>
        <v>7.3493212906090566E-3</v>
      </c>
      <c r="AP439" s="4">
        <f t="shared" si="398"/>
        <v>4.9390262185057265E-3</v>
      </c>
      <c r="AQ439" s="4">
        <f t="shared" si="398"/>
        <v>3.3164275492956197E-3</v>
      </c>
      <c r="AR439" s="4">
        <f t="shared" si="398"/>
        <v>2.2256362146679809E-3</v>
      </c>
    </row>
    <row r="440" spans="1:44" x14ac:dyDescent="0.3">
      <c r="A440" s="24" t="s">
        <v>28</v>
      </c>
      <c r="B440" s="60">
        <f>'Parameter Input'!$L$90</f>
        <v>-750000</v>
      </c>
      <c r="C440" s="61">
        <f>'Parameter Input'!$M$90</f>
        <v>-750000</v>
      </c>
      <c r="D440" s="1" t="s">
        <v>15</v>
      </c>
      <c r="L440" s="54">
        <f>'Parameter Input'!$O$90</f>
        <v>12</v>
      </c>
      <c r="M440" s="37">
        <v>0</v>
      </c>
      <c r="N440" s="37">
        <v>1</v>
      </c>
      <c r="O440" s="37">
        <f>'Parameter Input'!$P$90</f>
        <v>0.9</v>
      </c>
      <c r="P440" s="55">
        <f>'Parameter Input'!$Q$90</f>
        <v>0.4</v>
      </c>
      <c r="Q440" s="4">
        <f t="shared" si="398"/>
        <v>0.9867978615748374</v>
      </c>
      <c r="R440" s="4">
        <f t="shared" si="398"/>
        <v>0.98114509762858249</v>
      </c>
      <c r="S440" s="4">
        <f t="shared" si="398"/>
        <v>0.97311898315872036</v>
      </c>
      <c r="T440" s="4">
        <f t="shared" si="398"/>
        <v>0.96177484161592774</v>
      </c>
      <c r="U440" s="4">
        <f t="shared" si="398"/>
        <v>0.94584787155511363</v>
      </c>
      <c r="V440" s="4">
        <f t="shared" si="398"/>
        <v>0.92370360150141495</v>
      </c>
      <c r="W440" s="4">
        <f t="shared" si="398"/>
        <v>0.89334463567658451</v>
      </c>
      <c r="X440" s="4">
        <f t="shared" si="398"/>
        <v>0.85254543874327005</v>
      </c>
      <c r="Y440" s="4">
        <f t="shared" si="398"/>
        <v>0.79921300652623883</v>
      </c>
      <c r="Z440" s="4">
        <f t="shared" si="398"/>
        <v>0.73204982249993378</v>
      </c>
      <c r="AA440" s="4">
        <f t="shared" si="398"/>
        <v>0.65145592958786691</v>
      </c>
      <c r="AB440" s="4">
        <f t="shared" si="398"/>
        <v>0.56032247880849573</v>
      </c>
      <c r="AC440" s="4">
        <f t="shared" si="398"/>
        <v>0.46411326873185343</v>
      </c>
      <c r="AD440" s="4">
        <f t="shared" si="398"/>
        <v>0.36979727595523937</v>
      </c>
      <c r="AE440" s="4">
        <f t="shared" si="398"/>
        <v>0.28393948637231203</v>
      </c>
      <c r="AF440" s="4">
        <f t="shared" si="398"/>
        <v>0.21097259161117732</v>
      </c>
      <c r="AG440" s="4">
        <f t="shared" si="398"/>
        <v>0.15253917653798199</v>
      </c>
      <c r="AH440" s="4">
        <f t="shared" si="398"/>
        <v>0.10795188737709993</v>
      </c>
      <c r="AI440" s="4">
        <f t="shared" si="398"/>
        <v>7.5176653938091809E-2</v>
      </c>
      <c r="AJ440" s="4">
        <f t="shared" si="398"/>
        <v>5.1742836177502194E-2</v>
      </c>
      <c r="AK440" s="4">
        <f t="shared" si="398"/>
        <v>3.5319190625345942E-2</v>
      </c>
      <c r="AL440" s="4">
        <f t="shared" si="398"/>
        <v>2.3969442072658165E-2</v>
      </c>
      <c r="AM440" s="4">
        <f t="shared" si="398"/>
        <v>1.6202243558389728E-2</v>
      </c>
      <c r="AN440" s="4">
        <f t="shared" si="398"/>
        <v>1.0922240564108399E-2</v>
      </c>
      <c r="AO440" s="4">
        <f t="shared" si="398"/>
        <v>7.3493212906090566E-3</v>
      </c>
      <c r="AP440" s="4">
        <f t="shared" si="398"/>
        <v>4.9390262185057265E-3</v>
      </c>
      <c r="AQ440" s="4">
        <f t="shared" si="398"/>
        <v>3.3164275492956197E-3</v>
      </c>
      <c r="AR440" s="4">
        <f t="shared" si="398"/>
        <v>2.2256362146679809E-3</v>
      </c>
    </row>
    <row r="441" spans="1:44" x14ac:dyDescent="0.3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98"/>
        <v>0.9867978615748374</v>
      </c>
      <c r="R441" s="4">
        <f t="shared" si="398"/>
        <v>0.98114509762858249</v>
      </c>
      <c r="S441" s="4">
        <f t="shared" si="398"/>
        <v>0.97311898315872036</v>
      </c>
      <c r="T441" s="4">
        <f t="shared" si="398"/>
        <v>0.96177484161592774</v>
      </c>
      <c r="U441" s="4">
        <f t="shared" si="398"/>
        <v>0.94584787155511363</v>
      </c>
      <c r="V441" s="4">
        <f t="shared" si="398"/>
        <v>0.92370360150141495</v>
      </c>
      <c r="W441" s="4">
        <f t="shared" si="398"/>
        <v>0.89334463567658451</v>
      </c>
      <c r="X441" s="4">
        <f t="shared" si="398"/>
        <v>0.85254543874327005</v>
      </c>
      <c r="Y441" s="4">
        <f t="shared" si="398"/>
        <v>0.79921300652623883</v>
      </c>
      <c r="Z441" s="4">
        <f t="shared" si="398"/>
        <v>0.73204982249993378</v>
      </c>
      <c r="AA441" s="4">
        <f t="shared" si="398"/>
        <v>0.65145592958786691</v>
      </c>
      <c r="AB441" s="4">
        <f t="shared" si="398"/>
        <v>0.56032247880849573</v>
      </c>
      <c r="AC441" s="4">
        <f t="shared" si="398"/>
        <v>0.46411326873185343</v>
      </c>
      <c r="AD441" s="4">
        <f t="shared" si="398"/>
        <v>0.36979727595523937</v>
      </c>
      <c r="AE441" s="4">
        <f t="shared" si="398"/>
        <v>0.28393948637231203</v>
      </c>
      <c r="AF441" s="4">
        <f t="shared" si="398"/>
        <v>0.21097259161117732</v>
      </c>
      <c r="AG441" s="4">
        <f t="shared" si="398"/>
        <v>0.15253917653798199</v>
      </c>
      <c r="AH441" s="4">
        <f t="shared" si="398"/>
        <v>0.10795188737709993</v>
      </c>
      <c r="AI441" s="4">
        <f t="shared" si="398"/>
        <v>7.5176653938091809E-2</v>
      </c>
      <c r="AJ441" s="4">
        <f t="shared" si="398"/>
        <v>5.1742836177502194E-2</v>
      </c>
      <c r="AK441" s="4">
        <f t="shared" si="398"/>
        <v>3.5319190625345942E-2</v>
      </c>
      <c r="AL441" s="4">
        <f t="shared" si="398"/>
        <v>2.3969442072658165E-2</v>
      </c>
      <c r="AM441" s="4">
        <f t="shared" si="398"/>
        <v>1.6202243558389728E-2</v>
      </c>
      <c r="AN441" s="4">
        <f t="shared" si="398"/>
        <v>1.0922240564108399E-2</v>
      </c>
      <c r="AO441" s="4">
        <f t="shared" si="398"/>
        <v>7.3493212906090566E-3</v>
      </c>
      <c r="AP441" s="4">
        <f t="shared" si="398"/>
        <v>4.9390262185057265E-3</v>
      </c>
      <c r="AQ441" s="4">
        <f t="shared" si="398"/>
        <v>3.3164275492956197E-3</v>
      </c>
      <c r="AR441" s="4">
        <f t="shared" si="398"/>
        <v>2.2256362146679809E-3</v>
      </c>
    </row>
    <row r="442" spans="1:44" x14ac:dyDescent="0.3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98"/>
        <v>0.9867978615748374</v>
      </c>
      <c r="R442" s="4">
        <f t="shared" si="398"/>
        <v>0.98114509762858249</v>
      </c>
      <c r="S442" s="4">
        <f t="shared" si="398"/>
        <v>0.97311898315872036</v>
      </c>
      <c r="T442" s="4">
        <f t="shared" si="398"/>
        <v>0.96177484161592774</v>
      </c>
      <c r="U442" s="4">
        <f t="shared" si="398"/>
        <v>0.94584787155511363</v>
      </c>
      <c r="V442" s="4">
        <f t="shared" si="398"/>
        <v>0.92370360150141495</v>
      </c>
      <c r="W442" s="4">
        <f t="shared" si="398"/>
        <v>0.89334463567658451</v>
      </c>
      <c r="X442" s="4">
        <f t="shared" si="398"/>
        <v>0.85254543874327005</v>
      </c>
      <c r="Y442" s="4">
        <f t="shared" si="398"/>
        <v>0.79921300652623883</v>
      </c>
      <c r="Z442" s="4">
        <f t="shared" si="398"/>
        <v>0.73204982249993378</v>
      </c>
      <c r="AA442" s="4">
        <f t="shared" si="398"/>
        <v>0.65145592958786691</v>
      </c>
      <c r="AB442" s="4">
        <f t="shared" si="398"/>
        <v>0.56032247880849573</v>
      </c>
      <c r="AC442" s="4">
        <f t="shared" si="398"/>
        <v>0.46411326873185343</v>
      </c>
      <c r="AD442" s="4">
        <f t="shared" si="398"/>
        <v>0.36979727595523937</v>
      </c>
      <c r="AE442" s="4">
        <f t="shared" si="398"/>
        <v>0.28393948637231203</v>
      </c>
      <c r="AF442" s="4">
        <f t="shared" si="398"/>
        <v>0.21097259161117732</v>
      </c>
      <c r="AG442" s="4">
        <f t="shared" si="398"/>
        <v>0.15253917653798199</v>
      </c>
      <c r="AH442" s="4">
        <f t="shared" si="398"/>
        <v>0.10795188737709993</v>
      </c>
      <c r="AI442" s="4">
        <f t="shared" si="398"/>
        <v>7.5176653938091809E-2</v>
      </c>
      <c r="AJ442" s="4">
        <f t="shared" si="398"/>
        <v>5.1742836177502194E-2</v>
      </c>
      <c r="AK442" s="4">
        <f t="shared" si="398"/>
        <v>3.5319190625345942E-2</v>
      </c>
      <c r="AL442" s="4">
        <f t="shared" si="398"/>
        <v>2.3969442072658165E-2</v>
      </c>
      <c r="AM442" s="4">
        <f t="shared" si="398"/>
        <v>1.6202243558389728E-2</v>
      </c>
      <c r="AN442" s="4">
        <f t="shared" si="398"/>
        <v>1.0922240564108399E-2</v>
      </c>
      <c r="AO442" s="4">
        <f t="shared" si="398"/>
        <v>7.3493212906090566E-3</v>
      </c>
      <c r="AP442" s="4">
        <f t="shared" si="398"/>
        <v>4.9390262185057265E-3</v>
      </c>
      <c r="AQ442" s="4">
        <f t="shared" si="398"/>
        <v>3.3164275492956197E-3</v>
      </c>
      <c r="AR442" s="4">
        <f t="shared" si="398"/>
        <v>2.2256362146679809E-3</v>
      </c>
    </row>
    <row r="443" spans="1:44" x14ac:dyDescent="0.3">
      <c r="A443" s="24" t="s">
        <v>79</v>
      </c>
      <c r="B443" s="45">
        <f>'Parameter Input'!$L$96</f>
        <v>0.06</v>
      </c>
      <c r="C443" s="46">
        <f>'Parameter Input'!$M$96</f>
        <v>0.06</v>
      </c>
      <c r="D443" s="1" t="s">
        <v>57</v>
      </c>
      <c r="L443" s="54">
        <f>'Parameter Input'!$O$96</f>
        <v>12</v>
      </c>
      <c r="M443" s="37">
        <v>0</v>
      </c>
      <c r="N443" s="37">
        <v>1</v>
      </c>
      <c r="O443" s="37">
        <f>'Parameter Input'!$P$96</f>
        <v>0.9</v>
      </c>
      <c r="P443" s="55">
        <f>'Parameter Input'!$Q$96</f>
        <v>0.4</v>
      </c>
      <c r="Q443" s="4">
        <f t="shared" si="398"/>
        <v>0.9867978615748374</v>
      </c>
      <c r="R443" s="4">
        <f t="shared" si="398"/>
        <v>0.98114509762858249</v>
      </c>
      <c r="S443" s="4">
        <f t="shared" si="398"/>
        <v>0.97311898315872036</v>
      </c>
      <c r="T443" s="4">
        <f t="shared" si="398"/>
        <v>0.96177484161592774</v>
      </c>
      <c r="U443" s="4">
        <f t="shared" si="398"/>
        <v>0.94584787155511363</v>
      </c>
      <c r="V443" s="4">
        <f t="shared" si="398"/>
        <v>0.92370360150141495</v>
      </c>
      <c r="W443" s="4">
        <f t="shared" si="398"/>
        <v>0.89334463567658451</v>
      </c>
      <c r="X443" s="4">
        <f t="shared" si="398"/>
        <v>0.85254543874327005</v>
      </c>
      <c r="Y443" s="4">
        <f t="shared" si="398"/>
        <v>0.79921300652623883</v>
      </c>
      <c r="Z443" s="4">
        <f t="shared" si="398"/>
        <v>0.73204982249993378</v>
      </c>
      <c r="AA443" s="4">
        <f t="shared" si="398"/>
        <v>0.65145592958786691</v>
      </c>
      <c r="AB443" s="4">
        <f t="shared" si="398"/>
        <v>0.56032247880849573</v>
      </c>
      <c r="AC443" s="4">
        <f t="shared" si="398"/>
        <v>0.46411326873185343</v>
      </c>
      <c r="AD443" s="4">
        <f t="shared" si="398"/>
        <v>0.36979727595523937</v>
      </c>
      <c r="AE443" s="4">
        <f t="shared" si="398"/>
        <v>0.28393948637231203</v>
      </c>
      <c r="AF443" s="4">
        <f t="shared" si="398"/>
        <v>0.21097259161117732</v>
      </c>
      <c r="AG443" s="4">
        <f t="shared" si="398"/>
        <v>0.15253917653798199</v>
      </c>
      <c r="AH443" s="4">
        <f t="shared" si="398"/>
        <v>0.10795188737709993</v>
      </c>
      <c r="AI443" s="4">
        <f t="shared" si="398"/>
        <v>7.5176653938091809E-2</v>
      </c>
      <c r="AJ443" s="4">
        <f t="shared" si="398"/>
        <v>5.1742836177502194E-2</v>
      </c>
      <c r="AK443" s="4">
        <f t="shared" si="398"/>
        <v>3.5319190625345942E-2</v>
      </c>
      <c r="AL443" s="4">
        <f t="shared" si="398"/>
        <v>2.3969442072658165E-2</v>
      </c>
      <c r="AM443" s="4">
        <f t="shared" si="398"/>
        <v>1.6202243558389728E-2</v>
      </c>
      <c r="AN443" s="4">
        <f t="shared" si="398"/>
        <v>1.0922240564108399E-2</v>
      </c>
      <c r="AO443" s="4">
        <f t="shared" si="398"/>
        <v>7.3493212906090566E-3</v>
      </c>
      <c r="AP443" s="4">
        <f t="shared" si="398"/>
        <v>4.9390262185057265E-3</v>
      </c>
      <c r="AQ443" s="4">
        <f t="shared" si="398"/>
        <v>3.3164275492956197E-3</v>
      </c>
      <c r="AR443" s="4">
        <f t="shared" si="398"/>
        <v>2.2256362146679809E-3</v>
      </c>
    </row>
    <row r="444" spans="1:44" x14ac:dyDescent="0.3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98"/>
        <v>0.9867978615748374</v>
      </c>
      <c r="R444" s="4">
        <f t="shared" si="398"/>
        <v>0.98114509762858249</v>
      </c>
      <c r="S444" s="4">
        <f t="shared" si="398"/>
        <v>0.97311898315872036</v>
      </c>
      <c r="T444" s="4">
        <f t="shared" si="398"/>
        <v>0.96177484161592774</v>
      </c>
      <c r="U444" s="4">
        <f t="shared" si="398"/>
        <v>0.94584787155511363</v>
      </c>
      <c r="V444" s="4">
        <f t="shared" si="398"/>
        <v>0.92370360150141495</v>
      </c>
      <c r="W444" s="4">
        <f t="shared" si="398"/>
        <v>0.89334463567658451</v>
      </c>
      <c r="X444" s="4">
        <f t="shared" si="398"/>
        <v>0.85254543874327005</v>
      </c>
      <c r="Y444" s="4">
        <f t="shared" si="398"/>
        <v>0.79921300652623883</v>
      </c>
      <c r="Z444" s="4">
        <f t="shared" si="398"/>
        <v>0.73204982249993378</v>
      </c>
      <c r="AA444" s="4">
        <f t="shared" si="398"/>
        <v>0.65145592958786691</v>
      </c>
      <c r="AB444" s="4">
        <f t="shared" si="398"/>
        <v>0.56032247880849573</v>
      </c>
      <c r="AC444" s="4">
        <f t="shared" si="398"/>
        <v>0.46411326873185343</v>
      </c>
      <c r="AD444" s="4">
        <f t="shared" si="398"/>
        <v>0.36979727595523937</v>
      </c>
      <c r="AE444" s="4">
        <f t="shared" si="398"/>
        <v>0.28393948637231203</v>
      </c>
      <c r="AF444" s="4">
        <f t="shared" si="398"/>
        <v>0.21097259161117732</v>
      </c>
      <c r="AG444" s="4">
        <f t="shared" si="398"/>
        <v>0.15253917653798199</v>
      </c>
      <c r="AH444" s="4">
        <f t="shared" si="398"/>
        <v>0.10795188737709993</v>
      </c>
      <c r="AI444" s="4">
        <f t="shared" si="398"/>
        <v>7.5176653938091809E-2</v>
      </c>
      <c r="AJ444" s="4">
        <f t="shared" si="398"/>
        <v>5.1742836177502194E-2</v>
      </c>
      <c r="AK444" s="4">
        <f t="shared" si="398"/>
        <v>3.5319190625345942E-2</v>
      </c>
      <c r="AL444" s="4">
        <f t="shared" si="398"/>
        <v>2.3969442072658165E-2</v>
      </c>
      <c r="AM444" s="4">
        <f t="shared" si="398"/>
        <v>1.6202243558389728E-2</v>
      </c>
      <c r="AN444" s="4">
        <f t="shared" si="398"/>
        <v>1.0922240564108399E-2</v>
      </c>
      <c r="AO444" s="4">
        <f t="shared" si="398"/>
        <v>7.3493212906090566E-3</v>
      </c>
      <c r="AP444" s="4">
        <f t="shared" si="398"/>
        <v>4.9390262185057265E-3</v>
      </c>
      <c r="AQ444" s="4">
        <f t="shared" si="398"/>
        <v>3.3164275492956197E-3</v>
      </c>
      <c r="AR444" s="4">
        <f t="shared" si="398"/>
        <v>2.2256362146679809E-3</v>
      </c>
    </row>
    <row r="445" spans="1:44" x14ac:dyDescent="0.3">
      <c r="A445" s="24" t="s">
        <v>52</v>
      </c>
      <c r="B445" s="43">
        <f>'Parameter Input'!$L$92</f>
        <v>650000</v>
      </c>
      <c r="C445" s="44">
        <f>'Parameter Input'!$M$92</f>
        <v>650000</v>
      </c>
      <c r="D445" s="1" t="s">
        <v>38</v>
      </c>
      <c r="L445" s="54">
        <f>'Parameter Input'!$O$92</f>
        <v>12</v>
      </c>
      <c r="M445" s="37">
        <v>0</v>
      </c>
      <c r="N445" s="37">
        <v>1</v>
      </c>
      <c r="O445" s="37">
        <f>'Parameter Input'!$P$92</f>
        <v>0.9</v>
      </c>
      <c r="P445" s="55">
        <f>'Parameter Input'!$Q$92</f>
        <v>0.4</v>
      </c>
      <c r="Q445" s="4">
        <f t="shared" si="398"/>
        <v>0.9867978615748374</v>
      </c>
      <c r="R445" s="4">
        <f t="shared" si="398"/>
        <v>0.98114509762858249</v>
      </c>
      <c r="S445" s="4">
        <f t="shared" si="398"/>
        <v>0.97311898315872036</v>
      </c>
      <c r="T445" s="4">
        <f t="shared" si="398"/>
        <v>0.96177484161592774</v>
      </c>
      <c r="U445" s="4">
        <f t="shared" si="398"/>
        <v>0.94584787155511363</v>
      </c>
      <c r="V445" s="4">
        <f t="shared" si="398"/>
        <v>0.92370360150141495</v>
      </c>
      <c r="W445" s="4">
        <f t="shared" si="398"/>
        <v>0.89334463567658451</v>
      </c>
      <c r="X445" s="4">
        <f t="shared" si="398"/>
        <v>0.85254543874327005</v>
      </c>
      <c r="Y445" s="4">
        <f t="shared" si="398"/>
        <v>0.79921300652623883</v>
      </c>
      <c r="Z445" s="4">
        <f t="shared" si="398"/>
        <v>0.73204982249993378</v>
      </c>
      <c r="AA445" s="4">
        <f t="shared" si="398"/>
        <v>0.65145592958786691</v>
      </c>
      <c r="AB445" s="4">
        <f t="shared" si="398"/>
        <v>0.56032247880849573</v>
      </c>
      <c r="AC445" s="4">
        <f t="shared" si="398"/>
        <v>0.46411326873185343</v>
      </c>
      <c r="AD445" s="4">
        <f t="shared" si="398"/>
        <v>0.36979727595523937</v>
      </c>
      <c r="AE445" s="4">
        <f t="shared" si="398"/>
        <v>0.28393948637231203</v>
      </c>
      <c r="AF445" s="4">
        <f t="shared" si="398"/>
        <v>0.21097259161117732</v>
      </c>
      <c r="AG445" s="4">
        <f t="shared" si="398"/>
        <v>0.15253917653798199</v>
      </c>
      <c r="AH445" s="4">
        <f t="shared" si="398"/>
        <v>0.10795188737709993</v>
      </c>
      <c r="AI445" s="4">
        <f t="shared" si="398"/>
        <v>7.5176653938091809E-2</v>
      </c>
      <c r="AJ445" s="4">
        <f t="shared" si="398"/>
        <v>5.1742836177502194E-2</v>
      </c>
      <c r="AK445" s="4">
        <f t="shared" si="398"/>
        <v>3.5319190625345942E-2</v>
      </c>
      <c r="AL445" s="4">
        <f t="shared" si="398"/>
        <v>2.3969442072658165E-2</v>
      </c>
      <c r="AM445" s="4">
        <f t="shared" si="398"/>
        <v>1.6202243558389728E-2</v>
      </c>
      <c r="AN445" s="4">
        <f t="shared" si="398"/>
        <v>1.0922240564108399E-2</v>
      </c>
      <c r="AO445" s="4">
        <f t="shared" si="398"/>
        <v>7.3493212906090566E-3</v>
      </c>
      <c r="AP445" s="4">
        <f t="shared" si="398"/>
        <v>4.9390262185057265E-3</v>
      </c>
      <c r="AQ445" s="4">
        <f t="shared" si="398"/>
        <v>3.3164275492956197E-3</v>
      </c>
      <c r="AR445" s="4">
        <f t="shared" si="398"/>
        <v>2.2256362146679809E-3</v>
      </c>
    </row>
    <row r="446" spans="1:44" x14ac:dyDescent="0.3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98"/>
        <v>0.9867978615748374</v>
      </c>
      <c r="R446" s="4">
        <f t="shared" si="398"/>
        <v>0.98114509762858249</v>
      </c>
      <c r="S446" s="4">
        <f t="shared" si="398"/>
        <v>0.97311898315872036</v>
      </c>
      <c r="T446" s="4">
        <f t="shared" si="398"/>
        <v>0.96177484161592774</v>
      </c>
      <c r="U446" s="4">
        <f t="shared" si="398"/>
        <v>0.94584787155511363</v>
      </c>
      <c r="V446" s="4">
        <f t="shared" si="398"/>
        <v>0.92370360150141495</v>
      </c>
      <c r="W446" s="4">
        <f t="shared" si="398"/>
        <v>0.89334463567658451</v>
      </c>
      <c r="X446" s="4">
        <f t="shared" si="398"/>
        <v>0.85254543874327005</v>
      </c>
      <c r="Y446" s="4">
        <f t="shared" si="398"/>
        <v>0.79921300652623883</v>
      </c>
      <c r="Z446" s="4">
        <f t="shared" si="398"/>
        <v>0.73204982249993378</v>
      </c>
      <c r="AA446" s="4">
        <f t="shared" si="398"/>
        <v>0.65145592958786691</v>
      </c>
      <c r="AB446" s="4">
        <f t="shared" si="398"/>
        <v>0.56032247880849573</v>
      </c>
      <c r="AC446" s="4">
        <f t="shared" si="398"/>
        <v>0.46411326873185343</v>
      </c>
      <c r="AD446" s="4">
        <f t="shared" si="398"/>
        <v>0.36979727595523937</v>
      </c>
      <c r="AE446" s="4">
        <f t="shared" si="398"/>
        <v>0.28393948637231203</v>
      </c>
      <c r="AF446" s="4">
        <f t="shared" si="398"/>
        <v>0.21097259161117732</v>
      </c>
      <c r="AG446" s="4">
        <f t="shared" si="398"/>
        <v>0.15253917653798199</v>
      </c>
      <c r="AH446" s="4">
        <f t="shared" si="398"/>
        <v>0.10795188737709993</v>
      </c>
      <c r="AI446" s="4">
        <f t="shared" si="398"/>
        <v>7.5176653938091809E-2</v>
      </c>
      <c r="AJ446" s="4">
        <f t="shared" si="398"/>
        <v>5.1742836177502194E-2</v>
      </c>
      <c r="AK446" s="4">
        <f t="shared" si="398"/>
        <v>3.5319190625345942E-2</v>
      </c>
      <c r="AL446" s="4">
        <f t="shared" si="398"/>
        <v>2.3969442072658165E-2</v>
      </c>
      <c r="AM446" s="4">
        <f t="shared" si="398"/>
        <v>1.6202243558389728E-2</v>
      </c>
      <c r="AN446" s="4">
        <f t="shared" si="398"/>
        <v>1.0922240564108399E-2</v>
      </c>
      <c r="AO446" s="4">
        <f t="shared" si="398"/>
        <v>7.3493212906090566E-3</v>
      </c>
      <c r="AP446" s="4">
        <f t="shared" si="398"/>
        <v>4.9390262185057265E-3</v>
      </c>
      <c r="AQ446" s="4">
        <f t="shared" si="398"/>
        <v>3.3164275492956197E-3</v>
      </c>
      <c r="AR446" s="4">
        <f t="shared" si="398"/>
        <v>2.2256362146679809E-3</v>
      </c>
    </row>
    <row r="447" spans="1:44" x14ac:dyDescent="0.3">
      <c r="A447" s="24" t="s">
        <v>59</v>
      </c>
      <c r="B447" s="47">
        <f>'Parameter Input'!$L$93</f>
        <v>25.563670588235297</v>
      </c>
      <c r="C447" s="48">
        <f>'Parameter Input'!$M$93</f>
        <v>25.563670588235297</v>
      </c>
      <c r="D447" s="1" t="s">
        <v>60</v>
      </c>
      <c r="L447" s="54">
        <f>'Parameter Input'!$O$93</f>
        <v>12</v>
      </c>
      <c r="M447" s="37">
        <v>0</v>
      </c>
      <c r="N447" s="37">
        <v>1</v>
      </c>
      <c r="O447" s="37">
        <f>'Parameter Input'!$P$93</f>
        <v>0.9</v>
      </c>
      <c r="P447" s="55">
        <f>'Parameter Input'!$Q$93</f>
        <v>0.4</v>
      </c>
      <c r="Q447" s="4">
        <f t="shared" si="398"/>
        <v>0.9867978615748374</v>
      </c>
      <c r="R447" s="4">
        <f t="shared" si="398"/>
        <v>0.98114509762858249</v>
      </c>
      <c r="S447" s="4">
        <f t="shared" si="398"/>
        <v>0.97311898315872036</v>
      </c>
      <c r="T447" s="4">
        <f t="shared" si="398"/>
        <v>0.96177484161592774</v>
      </c>
      <c r="U447" s="4">
        <f t="shared" si="398"/>
        <v>0.94584787155511363</v>
      </c>
      <c r="V447" s="4">
        <f t="shared" si="398"/>
        <v>0.92370360150141495</v>
      </c>
      <c r="W447" s="4">
        <f t="shared" si="398"/>
        <v>0.89334463567658451</v>
      </c>
      <c r="X447" s="4">
        <f t="shared" si="398"/>
        <v>0.85254543874327005</v>
      </c>
      <c r="Y447" s="4">
        <f t="shared" si="398"/>
        <v>0.79921300652623883</v>
      </c>
      <c r="Z447" s="4">
        <f t="shared" si="398"/>
        <v>0.73204982249993378</v>
      </c>
      <c r="AA447" s="4">
        <f t="shared" si="398"/>
        <v>0.65145592958786691</v>
      </c>
      <c r="AB447" s="4">
        <f t="shared" si="398"/>
        <v>0.56032247880849573</v>
      </c>
      <c r="AC447" s="4">
        <f t="shared" si="398"/>
        <v>0.46411326873185343</v>
      </c>
      <c r="AD447" s="4">
        <f t="shared" si="398"/>
        <v>0.36979727595523937</v>
      </c>
      <c r="AE447" s="4">
        <f t="shared" si="398"/>
        <v>0.28393948637231203</v>
      </c>
      <c r="AF447" s="4">
        <f t="shared" si="398"/>
        <v>0.21097259161117732</v>
      </c>
      <c r="AG447" s="4">
        <f t="shared" si="398"/>
        <v>0.15253917653798199</v>
      </c>
      <c r="AH447" s="4">
        <f t="shared" si="398"/>
        <v>0.10795188737709993</v>
      </c>
      <c r="AI447" s="4">
        <f t="shared" si="398"/>
        <v>7.5176653938091809E-2</v>
      </c>
      <c r="AJ447" s="4">
        <f t="shared" si="398"/>
        <v>5.1742836177502194E-2</v>
      </c>
      <c r="AK447" s="4">
        <f t="shared" si="398"/>
        <v>3.5319190625345942E-2</v>
      </c>
      <c r="AL447" s="4">
        <f t="shared" si="398"/>
        <v>2.3969442072658165E-2</v>
      </c>
      <c r="AM447" s="4">
        <f t="shared" si="398"/>
        <v>1.6202243558389728E-2</v>
      </c>
      <c r="AN447" s="4">
        <f t="shared" si="398"/>
        <v>1.0922240564108399E-2</v>
      </c>
      <c r="AO447" s="4">
        <f t="shared" si="398"/>
        <v>7.3493212906090566E-3</v>
      </c>
      <c r="AP447" s="4">
        <f t="shared" si="398"/>
        <v>4.9390262185057265E-3</v>
      </c>
      <c r="AQ447" s="4">
        <f t="shared" si="398"/>
        <v>3.3164275492956197E-3</v>
      </c>
      <c r="AR447" s="4">
        <f t="shared" si="398"/>
        <v>2.2256362146679809E-3</v>
      </c>
    </row>
    <row r="448" spans="1:44" x14ac:dyDescent="0.3">
      <c r="A448" s="24" t="s">
        <v>67</v>
      </c>
      <c r="B448" s="45">
        <f>'Parameter Input'!$L$94</f>
        <v>9.2586511082899101E-2</v>
      </c>
      <c r="C448" s="46">
        <f>'Parameter Input'!$M$94</f>
        <v>7.3304790352502799E-2</v>
      </c>
      <c r="D448" s="1" t="s">
        <v>68</v>
      </c>
      <c r="L448" s="54">
        <f>'Parameter Input'!$O$94</f>
        <v>12</v>
      </c>
      <c r="M448" s="37">
        <v>0</v>
      </c>
      <c r="N448" s="37">
        <v>1</v>
      </c>
      <c r="O448" s="37">
        <f>'Parameter Input'!$P$94</f>
        <v>0.9</v>
      </c>
      <c r="P448" s="55">
        <f>'Parameter Input'!$Q$94</f>
        <v>0.4</v>
      </c>
      <c r="Q448" s="4">
        <f t="shared" si="398"/>
        <v>0.9867978615748374</v>
      </c>
      <c r="R448" s="4">
        <f t="shared" si="398"/>
        <v>0.98114509762858249</v>
      </c>
      <c r="S448" s="4">
        <f t="shared" si="398"/>
        <v>0.97311898315872036</v>
      </c>
      <c r="T448" s="4">
        <f t="shared" ref="T448:AI455" si="399">$N448+($M448-$N448)*((1/(1+EXP(-$P448*(T$9-$L448)))^$O448))</f>
        <v>0.96177484161592774</v>
      </c>
      <c r="U448" s="4">
        <f t="shared" si="399"/>
        <v>0.94584787155511363</v>
      </c>
      <c r="V448" s="4">
        <f t="shared" si="399"/>
        <v>0.92370360150141495</v>
      </c>
      <c r="W448" s="4">
        <f t="shared" si="399"/>
        <v>0.89334463567658451</v>
      </c>
      <c r="X448" s="4">
        <f t="shared" si="399"/>
        <v>0.85254543874327005</v>
      </c>
      <c r="Y448" s="4">
        <f t="shared" si="399"/>
        <v>0.79921300652623883</v>
      </c>
      <c r="Z448" s="4">
        <f t="shared" si="399"/>
        <v>0.73204982249993378</v>
      </c>
      <c r="AA448" s="4">
        <f t="shared" si="399"/>
        <v>0.65145592958786691</v>
      </c>
      <c r="AB448" s="4">
        <f t="shared" si="399"/>
        <v>0.56032247880849573</v>
      </c>
      <c r="AC448" s="4">
        <f t="shared" si="399"/>
        <v>0.46411326873185343</v>
      </c>
      <c r="AD448" s="4">
        <f t="shared" si="399"/>
        <v>0.36979727595523937</v>
      </c>
      <c r="AE448" s="4">
        <f t="shared" si="399"/>
        <v>0.28393948637231203</v>
      </c>
      <c r="AF448" s="4">
        <f t="shared" si="399"/>
        <v>0.21097259161117732</v>
      </c>
      <c r="AG448" s="4">
        <f t="shared" si="399"/>
        <v>0.15253917653798199</v>
      </c>
      <c r="AH448" s="4">
        <f t="shared" si="399"/>
        <v>0.10795188737709993</v>
      </c>
      <c r="AI448" s="4">
        <f t="shared" si="399"/>
        <v>7.5176653938091809E-2</v>
      </c>
      <c r="AJ448" s="4">
        <f t="shared" ref="AJ448:AR455" si="400">$N448+($M448-$N448)*((1/(1+EXP(-$P448*(AJ$9-$L448)))^$O448))</f>
        <v>5.1742836177502194E-2</v>
      </c>
      <c r="AK448" s="4">
        <f t="shared" si="400"/>
        <v>3.5319190625345942E-2</v>
      </c>
      <c r="AL448" s="4">
        <f t="shared" si="400"/>
        <v>2.3969442072658165E-2</v>
      </c>
      <c r="AM448" s="4">
        <f t="shared" si="400"/>
        <v>1.6202243558389728E-2</v>
      </c>
      <c r="AN448" s="4">
        <f t="shared" si="400"/>
        <v>1.0922240564108399E-2</v>
      </c>
      <c r="AO448" s="4">
        <f t="shared" si="400"/>
        <v>7.3493212906090566E-3</v>
      </c>
      <c r="AP448" s="4">
        <f t="shared" si="400"/>
        <v>4.9390262185057265E-3</v>
      </c>
      <c r="AQ448" s="4">
        <f t="shared" si="400"/>
        <v>3.3164275492956197E-3</v>
      </c>
      <c r="AR448" s="4">
        <f t="shared" si="400"/>
        <v>2.2256362146679809E-3</v>
      </c>
    </row>
    <row r="449" spans="1:44" x14ac:dyDescent="0.3">
      <c r="A449" s="24" t="s">
        <v>206</v>
      </c>
      <c r="B449" s="115">
        <f>'Parameter Input'!$L$97</f>
        <v>5.9200079256965958E-2</v>
      </c>
      <c r="C449" s="116">
        <f>'Parameter Input'!$M$97</f>
        <v>0</v>
      </c>
      <c r="D449" s="1" t="s">
        <v>76</v>
      </c>
      <c r="L449" s="54">
        <f>'Parameter Input'!$O$97</f>
        <v>17</v>
      </c>
      <c r="M449" s="37">
        <v>0</v>
      </c>
      <c r="N449" s="37">
        <v>1</v>
      </c>
      <c r="O449" s="37">
        <f>'Parameter Input'!$P$97</f>
        <v>0.9</v>
      </c>
      <c r="P449" s="55">
        <f>'Parameter Input'!$Q$97</f>
        <v>0.4</v>
      </c>
      <c r="Q449" s="4">
        <f t="shared" ref="Q449:AR449" si="401">$N449+($M449-$N449)*((1/(1+EXP(-$P449*(Q$9-$L449)))^$O449))</f>
        <v>0.99780374543478534</v>
      </c>
      <c r="R449" s="4">
        <f t="shared" si="401"/>
        <v>0.99685359315256394</v>
      </c>
      <c r="S449" s="4">
        <f t="shared" si="401"/>
        <v>0.99549347132349975</v>
      </c>
      <c r="T449" s="4">
        <f t="shared" si="401"/>
        <v>0.99354772139898062</v>
      </c>
      <c r="U449" s="4">
        <f t="shared" si="401"/>
        <v>0.99076681540580536</v>
      </c>
      <c r="V449" s="4">
        <f t="shared" si="401"/>
        <v>0.9867978615748374</v>
      </c>
      <c r="W449" s="4">
        <f t="shared" si="401"/>
        <v>0.98114509762858249</v>
      </c>
      <c r="X449" s="4">
        <f t="shared" si="401"/>
        <v>0.97311898315872036</v>
      </c>
      <c r="Y449" s="4">
        <f t="shared" si="401"/>
        <v>0.96177484161592774</v>
      </c>
      <c r="Z449" s="4">
        <f t="shared" si="401"/>
        <v>0.94584787155511363</v>
      </c>
      <c r="AA449" s="4">
        <f t="shared" si="401"/>
        <v>0.92370360150141495</v>
      </c>
      <c r="AB449" s="4">
        <f t="shared" si="401"/>
        <v>0.89334463567658451</v>
      </c>
      <c r="AC449" s="4">
        <f t="shared" si="401"/>
        <v>0.85254543874327005</v>
      </c>
      <c r="AD449" s="4">
        <f t="shared" si="401"/>
        <v>0.79921300652623883</v>
      </c>
      <c r="AE449" s="4">
        <f t="shared" si="401"/>
        <v>0.73204982249993378</v>
      </c>
      <c r="AF449" s="4">
        <f t="shared" si="401"/>
        <v>0.65145592958786691</v>
      </c>
      <c r="AG449" s="4">
        <f t="shared" si="401"/>
        <v>0.56032247880849573</v>
      </c>
      <c r="AH449" s="4">
        <f t="shared" si="401"/>
        <v>0.46411326873185343</v>
      </c>
      <c r="AI449" s="4">
        <f t="shared" si="401"/>
        <v>0.36979727595523937</v>
      </c>
      <c r="AJ449" s="4">
        <f t="shared" si="401"/>
        <v>0.28393948637231203</v>
      </c>
      <c r="AK449" s="4">
        <f t="shared" si="401"/>
        <v>0.21097259161117732</v>
      </c>
      <c r="AL449" s="4">
        <f t="shared" si="401"/>
        <v>0.15253917653798199</v>
      </c>
      <c r="AM449" s="4">
        <f t="shared" si="401"/>
        <v>0.10795188737709993</v>
      </c>
      <c r="AN449" s="4">
        <f t="shared" si="401"/>
        <v>7.5176653938091809E-2</v>
      </c>
      <c r="AO449" s="4">
        <f t="shared" si="401"/>
        <v>5.1742836177502194E-2</v>
      </c>
      <c r="AP449" s="4">
        <f t="shared" si="401"/>
        <v>3.5319190625345942E-2</v>
      </c>
      <c r="AQ449" s="4">
        <f t="shared" si="401"/>
        <v>2.3969442072658165E-2</v>
      </c>
      <c r="AR449" s="4">
        <f t="shared" si="401"/>
        <v>1.6202243558389728E-2</v>
      </c>
    </row>
    <row r="450" spans="1:44" x14ac:dyDescent="0.3">
      <c r="A450" s="24" t="s">
        <v>41</v>
      </c>
      <c r="B450" s="43">
        <f>'Parameter Input'!$L$91</f>
        <v>20</v>
      </c>
      <c r="C450" s="44">
        <f>'Parameter Input'!$M$91</f>
        <v>20</v>
      </c>
      <c r="D450" s="1" t="s">
        <v>42</v>
      </c>
      <c r="L450" s="54">
        <f>'Parameter Input'!$O$91</f>
        <v>12</v>
      </c>
      <c r="M450" s="37">
        <v>0</v>
      </c>
      <c r="N450" s="37">
        <v>1</v>
      </c>
      <c r="O450" s="37">
        <f>'Parameter Input'!$P$91</f>
        <v>0.9</v>
      </c>
      <c r="P450" s="55">
        <f>'Parameter Input'!$Q$91</f>
        <v>0.4</v>
      </c>
      <c r="Q450" s="4">
        <f t="shared" ref="Q450:AF455" si="402">$N450+($M450-$N450)*((1/(1+EXP(-$P450*(Q$9-$L450)))^$O450))</f>
        <v>0.9867978615748374</v>
      </c>
      <c r="R450" s="4">
        <f t="shared" si="402"/>
        <v>0.98114509762858249</v>
      </c>
      <c r="S450" s="4">
        <f t="shared" si="402"/>
        <v>0.97311898315872036</v>
      </c>
      <c r="T450" s="4">
        <f t="shared" si="402"/>
        <v>0.96177484161592774</v>
      </c>
      <c r="U450" s="4">
        <f t="shared" si="402"/>
        <v>0.94584787155511363</v>
      </c>
      <c r="V450" s="4">
        <f t="shared" si="402"/>
        <v>0.92370360150141495</v>
      </c>
      <c r="W450" s="4">
        <f t="shared" si="402"/>
        <v>0.89334463567658451</v>
      </c>
      <c r="X450" s="4">
        <f t="shared" si="402"/>
        <v>0.85254543874327005</v>
      </c>
      <c r="Y450" s="4">
        <f t="shared" si="402"/>
        <v>0.79921300652623883</v>
      </c>
      <c r="Z450" s="4">
        <f t="shared" si="402"/>
        <v>0.73204982249993378</v>
      </c>
      <c r="AA450" s="4">
        <f t="shared" si="402"/>
        <v>0.65145592958786691</v>
      </c>
      <c r="AB450" s="4">
        <f t="shared" si="402"/>
        <v>0.56032247880849573</v>
      </c>
      <c r="AC450" s="4">
        <f t="shared" si="402"/>
        <v>0.46411326873185343</v>
      </c>
      <c r="AD450" s="4">
        <f t="shared" si="402"/>
        <v>0.36979727595523937</v>
      </c>
      <c r="AE450" s="4">
        <f t="shared" si="402"/>
        <v>0.28393948637231203</v>
      </c>
      <c r="AF450" s="4">
        <f t="shared" si="402"/>
        <v>0.21097259161117732</v>
      </c>
      <c r="AG450" s="4">
        <f t="shared" si="399"/>
        <v>0.15253917653798199</v>
      </c>
      <c r="AH450" s="4">
        <f t="shared" si="399"/>
        <v>0.10795188737709993</v>
      </c>
      <c r="AI450" s="4">
        <f t="shared" si="399"/>
        <v>7.5176653938091809E-2</v>
      </c>
      <c r="AJ450" s="4">
        <f t="shared" si="400"/>
        <v>5.1742836177502194E-2</v>
      </c>
      <c r="AK450" s="4">
        <f t="shared" si="400"/>
        <v>3.5319190625345942E-2</v>
      </c>
      <c r="AL450" s="4">
        <f t="shared" si="400"/>
        <v>2.3969442072658165E-2</v>
      </c>
      <c r="AM450" s="4">
        <f t="shared" si="400"/>
        <v>1.6202243558389728E-2</v>
      </c>
      <c r="AN450" s="4">
        <f t="shared" si="400"/>
        <v>1.0922240564108399E-2</v>
      </c>
      <c r="AO450" s="4">
        <f t="shared" si="400"/>
        <v>7.3493212906090566E-3</v>
      </c>
      <c r="AP450" s="4">
        <f t="shared" si="400"/>
        <v>4.9390262185057265E-3</v>
      </c>
      <c r="AQ450" s="4">
        <f t="shared" si="400"/>
        <v>3.3164275492956197E-3</v>
      </c>
      <c r="AR450" s="4">
        <f t="shared" si="400"/>
        <v>2.2256362146679809E-3</v>
      </c>
    </row>
    <row r="451" spans="1:44" x14ac:dyDescent="0.3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402"/>
        <v>0.9867978615748374</v>
      </c>
      <c r="R451" s="4">
        <f t="shared" si="402"/>
        <v>0.98114509762858249</v>
      </c>
      <c r="S451" s="4">
        <f t="shared" si="402"/>
        <v>0.97311898315872036</v>
      </c>
      <c r="T451" s="4">
        <f t="shared" si="402"/>
        <v>0.96177484161592774</v>
      </c>
      <c r="U451" s="4">
        <f t="shared" si="402"/>
        <v>0.94584787155511363</v>
      </c>
      <c r="V451" s="4">
        <f t="shared" si="402"/>
        <v>0.92370360150141495</v>
      </c>
      <c r="W451" s="4">
        <f t="shared" si="402"/>
        <v>0.89334463567658451</v>
      </c>
      <c r="X451" s="4">
        <f t="shared" si="402"/>
        <v>0.85254543874327005</v>
      </c>
      <c r="Y451" s="4">
        <f t="shared" si="402"/>
        <v>0.79921300652623883</v>
      </c>
      <c r="Z451" s="4">
        <f t="shared" si="402"/>
        <v>0.73204982249993378</v>
      </c>
      <c r="AA451" s="4">
        <f t="shared" si="402"/>
        <v>0.65145592958786691</v>
      </c>
      <c r="AB451" s="4">
        <f t="shared" si="402"/>
        <v>0.56032247880849573</v>
      </c>
      <c r="AC451" s="4">
        <f t="shared" si="402"/>
        <v>0.46411326873185343</v>
      </c>
      <c r="AD451" s="4">
        <f t="shared" si="402"/>
        <v>0.36979727595523937</v>
      </c>
      <c r="AE451" s="4">
        <f t="shared" si="402"/>
        <v>0.28393948637231203</v>
      </c>
      <c r="AF451" s="4">
        <f t="shared" si="402"/>
        <v>0.21097259161117732</v>
      </c>
      <c r="AG451" s="4">
        <f t="shared" si="399"/>
        <v>0.15253917653798199</v>
      </c>
      <c r="AH451" s="4">
        <f t="shared" si="399"/>
        <v>0.10795188737709993</v>
      </c>
      <c r="AI451" s="4">
        <f t="shared" si="399"/>
        <v>7.5176653938091809E-2</v>
      </c>
      <c r="AJ451" s="4">
        <f t="shared" si="400"/>
        <v>5.1742836177502194E-2</v>
      </c>
      <c r="AK451" s="4">
        <f t="shared" si="400"/>
        <v>3.5319190625345942E-2</v>
      </c>
      <c r="AL451" s="4">
        <f t="shared" si="400"/>
        <v>2.3969442072658165E-2</v>
      </c>
      <c r="AM451" s="4">
        <f t="shared" si="400"/>
        <v>1.6202243558389728E-2</v>
      </c>
      <c r="AN451" s="4">
        <f t="shared" si="400"/>
        <v>1.0922240564108399E-2</v>
      </c>
      <c r="AO451" s="4">
        <f t="shared" si="400"/>
        <v>7.3493212906090566E-3</v>
      </c>
      <c r="AP451" s="4">
        <f t="shared" si="400"/>
        <v>4.9390262185057265E-3</v>
      </c>
      <c r="AQ451" s="4">
        <f t="shared" si="400"/>
        <v>3.3164275492956197E-3</v>
      </c>
      <c r="AR451" s="4">
        <f t="shared" si="400"/>
        <v>2.2256362146679809E-3</v>
      </c>
    </row>
    <row r="452" spans="1:44" x14ac:dyDescent="0.3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402"/>
        <v>0.9867978615748374</v>
      </c>
      <c r="R452" s="4">
        <f t="shared" si="402"/>
        <v>0.98114509762858249</v>
      </c>
      <c r="S452" s="4">
        <f t="shared" si="402"/>
        <v>0.97311898315872036</v>
      </c>
      <c r="T452" s="4">
        <f t="shared" si="402"/>
        <v>0.96177484161592774</v>
      </c>
      <c r="U452" s="4">
        <f t="shared" si="402"/>
        <v>0.94584787155511363</v>
      </c>
      <c r="V452" s="4">
        <f t="shared" si="402"/>
        <v>0.92370360150141495</v>
      </c>
      <c r="W452" s="4">
        <f t="shared" si="402"/>
        <v>0.89334463567658451</v>
      </c>
      <c r="X452" s="4">
        <f t="shared" si="402"/>
        <v>0.85254543874327005</v>
      </c>
      <c r="Y452" s="4">
        <f t="shared" si="402"/>
        <v>0.79921300652623883</v>
      </c>
      <c r="Z452" s="4">
        <f t="shared" si="402"/>
        <v>0.73204982249993378</v>
      </c>
      <c r="AA452" s="4">
        <f t="shared" si="402"/>
        <v>0.65145592958786691</v>
      </c>
      <c r="AB452" s="4">
        <f t="shared" si="402"/>
        <v>0.56032247880849573</v>
      </c>
      <c r="AC452" s="4">
        <f t="shared" si="402"/>
        <v>0.46411326873185343</v>
      </c>
      <c r="AD452" s="4">
        <f t="shared" si="402"/>
        <v>0.36979727595523937</v>
      </c>
      <c r="AE452" s="4">
        <f t="shared" si="402"/>
        <v>0.28393948637231203</v>
      </c>
      <c r="AF452" s="4">
        <f t="shared" si="402"/>
        <v>0.21097259161117732</v>
      </c>
      <c r="AG452" s="4">
        <f t="shared" si="399"/>
        <v>0.15253917653798199</v>
      </c>
      <c r="AH452" s="4">
        <f t="shared" si="399"/>
        <v>0.10795188737709993</v>
      </c>
      <c r="AI452" s="4">
        <f t="shared" si="399"/>
        <v>7.5176653938091809E-2</v>
      </c>
      <c r="AJ452" s="4">
        <f t="shared" si="400"/>
        <v>5.1742836177502194E-2</v>
      </c>
      <c r="AK452" s="4">
        <f t="shared" si="400"/>
        <v>3.5319190625345942E-2</v>
      </c>
      <c r="AL452" s="4">
        <f t="shared" si="400"/>
        <v>2.3969442072658165E-2</v>
      </c>
      <c r="AM452" s="4">
        <f t="shared" si="400"/>
        <v>1.6202243558389728E-2</v>
      </c>
      <c r="AN452" s="4">
        <f t="shared" si="400"/>
        <v>1.0922240564108399E-2</v>
      </c>
      <c r="AO452" s="4">
        <f t="shared" si="400"/>
        <v>7.3493212906090566E-3</v>
      </c>
      <c r="AP452" s="4">
        <f t="shared" si="400"/>
        <v>4.9390262185057265E-3</v>
      </c>
      <c r="AQ452" s="4">
        <f t="shared" si="400"/>
        <v>3.3164275492956197E-3</v>
      </c>
      <c r="AR452" s="4">
        <f t="shared" si="400"/>
        <v>2.2256362146679809E-3</v>
      </c>
    </row>
    <row r="453" spans="1:44" x14ac:dyDescent="0.3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402"/>
        <v>0.9867978615748374</v>
      </c>
      <c r="R453" s="4">
        <f t="shared" si="402"/>
        <v>0.98114509762858249</v>
      </c>
      <c r="S453" s="4">
        <f t="shared" si="402"/>
        <v>0.97311898315872036</v>
      </c>
      <c r="T453" s="4">
        <f t="shared" si="402"/>
        <v>0.96177484161592774</v>
      </c>
      <c r="U453" s="4">
        <f t="shared" si="402"/>
        <v>0.94584787155511363</v>
      </c>
      <c r="V453" s="4">
        <f t="shared" si="402"/>
        <v>0.92370360150141495</v>
      </c>
      <c r="W453" s="4">
        <f t="shared" si="402"/>
        <v>0.89334463567658451</v>
      </c>
      <c r="X453" s="4">
        <f t="shared" si="402"/>
        <v>0.85254543874327005</v>
      </c>
      <c r="Y453" s="4">
        <f t="shared" si="402"/>
        <v>0.79921300652623883</v>
      </c>
      <c r="Z453" s="4">
        <f t="shared" si="402"/>
        <v>0.73204982249993378</v>
      </c>
      <c r="AA453" s="4">
        <f t="shared" si="402"/>
        <v>0.65145592958786691</v>
      </c>
      <c r="AB453" s="4">
        <f t="shared" si="402"/>
        <v>0.56032247880849573</v>
      </c>
      <c r="AC453" s="4">
        <f t="shared" si="402"/>
        <v>0.46411326873185343</v>
      </c>
      <c r="AD453" s="4">
        <f t="shared" si="402"/>
        <v>0.36979727595523937</v>
      </c>
      <c r="AE453" s="4">
        <f t="shared" si="402"/>
        <v>0.28393948637231203</v>
      </c>
      <c r="AF453" s="4">
        <f t="shared" si="402"/>
        <v>0.21097259161117732</v>
      </c>
      <c r="AG453" s="4">
        <f t="shared" si="399"/>
        <v>0.15253917653798199</v>
      </c>
      <c r="AH453" s="4">
        <f t="shared" si="399"/>
        <v>0.10795188737709993</v>
      </c>
      <c r="AI453" s="4">
        <f t="shared" si="399"/>
        <v>7.5176653938091809E-2</v>
      </c>
      <c r="AJ453" s="4">
        <f t="shared" si="400"/>
        <v>5.1742836177502194E-2</v>
      </c>
      <c r="AK453" s="4">
        <f t="shared" si="400"/>
        <v>3.5319190625345942E-2</v>
      </c>
      <c r="AL453" s="4">
        <f t="shared" si="400"/>
        <v>2.3969442072658165E-2</v>
      </c>
      <c r="AM453" s="4">
        <f t="shared" si="400"/>
        <v>1.6202243558389728E-2</v>
      </c>
      <c r="AN453" s="4">
        <f t="shared" si="400"/>
        <v>1.0922240564108399E-2</v>
      </c>
      <c r="AO453" s="4">
        <f t="shared" si="400"/>
        <v>7.3493212906090566E-3</v>
      </c>
      <c r="AP453" s="4">
        <f t="shared" si="400"/>
        <v>4.9390262185057265E-3</v>
      </c>
      <c r="AQ453" s="4">
        <f t="shared" si="400"/>
        <v>3.3164275492956197E-3</v>
      </c>
      <c r="AR453" s="4">
        <f t="shared" si="400"/>
        <v>2.2256362146679809E-3</v>
      </c>
    </row>
    <row r="454" spans="1:44" x14ac:dyDescent="0.3">
      <c r="A454" s="24" t="s">
        <v>73</v>
      </c>
      <c r="B454" s="72">
        <f>'Parameter Input'!$L$95</f>
        <v>0</v>
      </c>
      <c r="C454" s="73">
        <f>'Parameter Input'!$M$95</f>
        <v>0</v>
      </c>
      <c r="D454" s="1" t="s">
        <v>57</v>
      </c>
      <c r="L454" s="54">
        <f>'Parameter Input'!$O$95</f>
        <v>12</v>
      </c>
      <c r="M454" s="37">
        <v>0</v>
      </c>
      <c r="N454" s="37">
        <v>1</v>
      </c>
      <c r="O454" s="37">
        <f>'Parameter Input'!$P$95</f>
        <v>0.9</v>
      </c>
      <c r="P454" s="55">
        <f>'Parameter Input'!$Q$95</f>
        <v>0.4</v>
      </c>
      <c r="Q454" s="4">
        <f t="shared" si="402"/>
        <v>0.9867978615748374</v>
      </c>
      <c r="R454" s="4">
        <f t="shared" si="402"/>
        <v>0.98114509762858249</v>
      </c>
      <c r="S454" s="4">
        <f t="shared" si="402"/>
        <v>0.97311898315872036</v>
      </c>
      <c r="T454" s="4">
        <f t="shared" si="402"/>
        <v>0.96177484161592774</v>
      </c>
      <c r="U454" s="4">
        <f t="shared" si="402"/>
        <v>0.94584787155511363</v>
      </c>
      <c r="V454" s="4">
        <f t="shared" si="402"/>
        <v>0.92370360150141495</v>
      </c>
      <c r="W454" s="4">
        <f t="shared" si="402"/>
        <v>0.89334463567658451</v>
      </c>
      <c r="X454" s="4">
        <f t="shared" si="402"/>
        <v>0.85254543874327005</v>
      </c>
      <c r="Y454" s="4">
        <f t="shared" si="402"/>
        <v>0.79921300652623883</v>
      </c>
      <c r="Z454" s="4">
        <f t="shared" si="402"/>
        <v>0.73204982249993378</v>
      </c>
      <c r="AA454" s="4">
        <f t="shared" si="402"/>
        <v>0.65145592958786691</v>
      </c>
      <c r="AB454" s="4">
        <f t="shared" si="402"/>
        <v>0.56032247880849573</v>
      </c>
      <c r="AC454" s="4">
        <f t="shared" si="402"/>
        <v>0.46411326873185343</v>
      </c>
      <c r="AD454" s="4">
        <f t="shared" si="402"/>
        <v>0.36979727595523937</v>
      </c>
      <c r="AE454" s="4">
        <f t="shared" si="402"/>
        <v>0.28393948637231203</v>
      </c>
      <c r="AF454" s="4">
        <f t="shared" si="402"/>
        <v>0.21097259161117732</v>
      </c>
      <c r="AG454" s="4">
        <f t="shared" si="399"/>
        <v>0.15253917653798199</v>
      </c>
      <c r="AH454" s="4">
        <f t="shared" si="399"/>
        <v>0.10795188737709993</v>
      </c>
      <c r="AI454" s="4">
        <f t="shared" si="399"/>
        <v>7.5176653938091809E-2</v>
      </c>
      <c r="AJ454" s="4">
        <f t="shared" si="400"/>
        <v>5.1742836177502194E-2</v>
      </c>
      <c r="AK454" s="4">
        <f t="shared" si="400"/>
        <v>3.5319190625345942E-2</v>
      </c>
      <c r="AL454" s="4">
        <f t="shared" si="400"/>
        <v>2.3969442072658165E-2</v>
      </c>
      <c r="AM454" s="4">
        <f t="shared" si="400"/>
        <v>1.6202243558389728E-2</v>
      </c>
      <c r="AN454" s="4">
        <f t="shared" si="400"/>
        <v>1.0922240564108399E-2</v>
      </c>
      <c r="AO454" s="4">
        <f t="shared" si="400"/>
        <v>7.3493212906090566E-3</v>
      </c>
      <c r="AP454" s="4">
        <f t="shared" si="400"/>
        <v>4.9390262185057265E-3</v>
      </c>
      <c r="AQ454" s="4">
        <f t="shared" si="400"/>
        <v>3.3164275492956197E-3</v>
      </c>
      <c r="AR454" s="4">
        <f t="shared" si="400"/>
        <v>2.2256362146679809E-3</v>
      </c>
    </row>
    <row r="455" spans="1:44" ht="15" thickBot="1" x14ac:dyDescent="0.35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402"/>
        <v>0.9867978615748374</v>
      </c>
      <c r="R455" s="4">
        <f t="shared" si="402"/>
        <v>0.98114509762858249</v>
      </c>
      <c r="S455" s="4">
        <f t="shared" si="402"/>
        <v>0.97311898315872036</v>
      </c>
      <c r="T455" s="4">
        <f t="shared" si="402"/>
        <v>0.96177484161592774</v>
      </c>
      <c r="U455" s="4">
        <f t="shared" si="402"/>
        <v>0.94584787155511363</v>
      </c>
      <c r="V455" s="4">
        <f t="shared" si="402"/>
        <v>0.92370360150141495</v>
      </c>
      <c r="W455" s="4">
        <f t="shared" si="402"/>
        <v>0.89334463567658451</v>
      </c>
      <c r="X455" s="4">
        <f t="shared" si="402"/>
        <v>0.85254543874327005</v>
      </c>
      <c r="Y455" s="4">
        <f t="shared" si="402"/>
        <v>0.79921300652623883</v>
      </c>
      <c r="Z455" s="4">
        <f t="shared" si="402"/>
        <v>0.73204982249993378</v>
      </c>
      <c r="AA455" s="4">
        <f t="shared" si="402"/>
        <v>0.65145592958786691</v>
      </c>
      <c r="AB455" s="4">
        <f t="shared" si="402"/>
        <v>0.56032247880849573</v>
      </c>
      <c r="AC455" s="4">
        <f t="shared" si="402"/>
        <v>0.46411326873185343</v>
      </c>
      <c r="AD455" s="4">
        <f t="shared" si="402"/>
        <v>0.36979727595523937</v>
      </c>
      <c r="AE455" s="4">
        <f t="shared" si="402"/>
        <v>0.28393948637231203</v>
      </c>
      <c r="AF455" s="4">
        <f t="shared" si="402"/>
        <v>0.21097259161117732</v>
      </c>
      <c r="AG455" s="4">
        <f t="shared" si="399"/>
        <v>0.15253917653798199</v>
      </c>
      <c r="AH455" s="4">
        <f t="shared" si="399"/>
        <v>0.10795188737709993</v>
      </c>
      <c r="AI455" s="4">
        <f t="shared" si="399"/>
        <v>7.5176653938091809E-2</v>
      </c>
      <c r="AJ455" s="4">
        <f t="shared" si="400"/>
        <v>5.1742836177502194E-2</v>
      </c>
      <c r="AK455" s="4">
        <f t="shared" si="400"/>
        <v>3.5319190625345942E-2</v>
      </c>
      <c r="AL455" s="4">
        <f t="shared" si="400"/>
        <v>2.3969442072658165E-2</v>
      </c>
      <c r="AM455" s="4">
        <f t="shared" si="400"/>
        <v>1.6202243558389728E-2</v>
      </c>
      <c r="AN455" s="4">
        <f t="shared" si="400"/>
        <v>1.0922240564108399E-2</v>
      </c>
      <c r="AO455" s="4">
        <f t="shared" si="400"/>
        <v>7.3493212906090566E-3</v>
      </c>
      <c r="AP455" s="4">
        <f t="shared" si="400"/>
        <v>4.9390262185057265E-3</v>
      </c>
      <c r="AQ455" s="4">
        <f t="shared" si="400"/>
        <v>3.3164275492956197E-3</v>
      </c>
      <c r="AR455" s="4">
        <f t="shared" si="400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68" si="403">A439</f>
        <v>Capex vehicle</v>
      </c>
      <c r="B459" s="62">
        <f t="shared" ref="B459:B468" si="404">$B439+($C439-$B439)*(1-Q439)</f>
        <v>5000000</v>
      </c>
      <c r="C459" s="62">
        <f t="shared" ref="C459:C468" si="405">$B439+($C439-$B439)*(1-R439)</f>
        <v>5000000</v>
      </c>
      <c r="D459" s="62">
        <f t="shared" ref="D459:D468" si="406">$B439+($C439-$B439)*(1-S439)</f>
        <v>5000000</v>
      </c>
      <c r="E459" s="62">
        <f t="shared" ref="E459:E468" si="407">$B439+($C439-$B439)*(1-T439)</f>
        <v>5000000</v>
      </c>
      <c r="F459" s="62">
        <f t="shared" ref="F459:F468" si="408">$B439+($C439-$B439)*(1-U439)</f>
        <v>5000000</v>
      </c>
      <c r="G459" s="62">
        <f t="shared" ref="G459:G468" si="409">$B439+($C439-$B439)*(1-V439)</f>
        <v>5000000</v>
      </c>
      <c r="H459" s="62">
        <f t="shared" ref="H459:H468" si="410">$B439+($C439-$B439)*(1-W439)</f>
        <v>5000000</v>
      </c>
      <c r="I459" s="62">
        <f t="shared" ref="I459:I468" si="411">$B439+($C439-$B439)*(1-X439)</f>
        <v>5000000</v>
      </c>
      <c r="J459" s="62">
        <f t="shared" ref="J459:J468" si="412">$B439+($C439-$B439)*(1-Y439)</f>
        <v>5000000</v>
      </c>
      <c r="K459" s="62">
        <f t="shared" ref="K459:K468" si="413">$B439+($C439-$B439)*(1-Z439)</f>
        <v>5000000</v>
      </c>
      <c r="L459" s="62">
        <f t="shared" ref="L459:L468" si="414">$B439+($C439-$B439)*(1-AA439)</f>
        <v>5000000</v>
      </c>
      <c r="M459" s="62">
        <f t="shared" ref="M459:M468" si="415">$B439+($C439-$B439)*(1-AB439)</f>
        <v>5000000</v>
      </c>
      <c r="N459" s="62">
        <f t="shared" ref="N459:N468" si="416">$B439+($C439-$B439)*(1-AC439)</f>
        <v>5000000</v>
      </c>
      <c r="O459" s="62">
        <f t="shared" ref="O459:O468" si="417">$B439+($C439-$B439)*(1-AD439)</f>
        <v>5000000</v>
      </c>
      <c r="P459" s="62">
        <f t="shared" ref="P459:P468" si="418">$B439+($C439-$B439)*(1-AE439)</f>
        <v>5000000</v>
      </c>
      <c r="Q459" s="62">
        <f t="shared" ref="Q459:Q468" si="419">$B439+($C439-$B439)*(1-AF439)</f>
        <v>5000000</v>
      </c>
      <c r="R459" s="62">
        <f t="shared" ref="R459:R468" si="420">$B439+($C439-$B439)*(1-AG439)</f>
        <v>5000000</v>
      </c>
      <c r="S459" s="62">
        <f t="shared" ref="S459:S468" si="421">$B439+($C439-$B439)*(1-AH439)</f>
        <v>5000000</v>
      </c>
      <c r="T459" s="62">
        <f t="shared" ref="T459:T468" si="422">$B439+($C439-$B439)*(1-AI439)</f>
        <v>5000000</v>
      </c>
      <c r="U459" s="62">
        <f t="shared" ref="U459:U468" si="423">$B439+($C439-$B439)*(1-AJ439)</f>
        <v>5000000</v>
      </c>
      <c r="V459" s="62">
        <f t="shared" ref="V459:V468" si="424">$B439+($C439-$B439)*(1-AK439)</f>
        <v>5000000</v>
      </c>
      <c r="W459" s="62">
        <f t="shared" ref="W459:W468" si="425">$B439+($C439-$B439)*(1-AL439)</f>
        <v>5000000</v>
      </c>
      <c r="X459" s="62">
        <f t="shared" ref="X459:X468" si="426">$B439+($C439-$B439)*(1-AM439)</f>
        <v>5000000</v>
      </c>
      <c r="Y459" s="62">
        <f t="shared" ref="Y459:Y468" si="427">$B439+($C439-$B439)*(1-AN439)</f>
        <v>5000000</v>
      </c>
      <c r="Z459" s="62">
        <f t="shared" ref="Z459:Z468" si="428">$B439+($C439-$B439)*(1-AO439)</f>
        <v>5000000</v>
      </c>
      <c r="AA459" s="62">
        <f t="shared" ref="AA459:AA468" si="429">$B439+($C439-$B439)*(1-AP439)</f>
        <v>5000000</v>
      </c>
      <c r="AB459" s="62">
        <f t="shared" ref="AB459:AB468" si="430">$B439+($C439-$B439)*(1-AQ439)</f>
        <v>5000000</v>
      </c>
      <c r="AC459" s="62">
        <f t="shared" ref="AC459:AC468" si="431">$B439+($C439-$B439)*(1-AR439)</f>
        <v>5000000</v>
      </c>
    </row>
    <row r="460" spans="1:44" x14ac:dyDescent="0.3">
      <c r="A460" s="30" t="str">
        <f t="shared" si="403"/>
        <v>Residual value (vehicle)</v>
      </c>
      <c r="B460" s="62">
        <f t="shared" si="404"/>
        <v>-750000</v>
      </c>
      <c r="C460" s="62">
        <f t="shared" si="405"/>
        <v>-750000</v>
      </c>
      <c r="D460" s="62">
        <f t="shared" si="406"/>
        <v>-750000</v>
      </c>
      <c r="E460" s="62">
        <f t="shared" si="407"/>
        <v>-750000</v>
      </c>
      <c r="F460" s="62">
        <f t="shared" si="408"/>
        <v>-750000</v>
      </c>
      <c r="G460" s="62">
        <f t="shared" si="409"/>
        <v>-750000</v>
      </c>
      <c r="H460" s="62">
        <f t="shared" si="410"/>
        <v>-750000</v>
      </c>
      <c r="I460" s="62">
        <f t="shared" si="411"/>
        <v>-750000</v>
      </c>
      <c r="J460" s="62">
        <f t="shared" si="412"/>
        <v>-750000</v>
      </c>
      <c r="K460" s="62">
        <f t="shared" si="413"/>
        <v>-750000</v>
      </c>
      <c r="L460" s="62">
        <f t="shared" si="414"/>
        <v>-750000</v>
      </c>
      <c r="M460" s="62">
        <f t="shared" si="415"/>
        <v>-750000</v>
      </c>
      <c r="N460" s="62">
        <f t="shared" si="416"/>
        <v>-750000</v>
      </c>
      <c r="O460" s="62">
        <f t="shared" si="417"/>
        <v>-750000</v>
      </c>
      <c r="P460" s="62">
        <f t="shared" si="418"/>
        <v>-750000</v>
      </c>
      <c r="Q460" s="62">
        <f t="shared" si="419"/>
        <v>-750000</v>
      </c>
      <c r="R460" s="62">
        <f t="shared" si="420"/>
        <v>-750000</v>
      </c>
      <c r="S460" s="62">
        <f t="shared" si="421"/>
        <v>-750000</v>
      </c>
      <c r="T460" s="62">
        <f t="shared" si="422"/>
        <v>-750000</v>
      </c>
      <c r="U460" s="62">
        <f t="shared" si="423"/>
        <v>-750000</v>
      </c>
      <c r="V460" s="62">
        <f t="shared" si="424"/>
        <v>-750000</v>
      </c>
      <c r="W460" s="62">
        <f t="shared" si="425"/>
        <v>-750000</v>
      </c>
      <c r="X460" s="62">
        <f t="shared" si="426"/>
        <v>-750000</v>
      </c>
      <c r="Y460" s="62">
        <f t="shared" si="427"/>
        <v>-750000</v>
      </c>
      <c r="Z460" s="62">
        <f t="shared" si="428"/>
        <v>-750000</v>
      </c>
      <c r="AA460" s="62">
        <f t="shared" si="429"/>
        <v>-750000</v>
      </c>
      <c r="AB460" s="62">
        <f t="shared" si="430"/>
        <v>-750000</v>
      </c>
      <c r="AC460" s="62">
        <f t="shared" si="431"/>
        <v>-750000</v>
      </c>
    </row>
    <row r="461" spans="1:44" x14ac:dyDescent="0.3">
      <c r="A461" s="30" t="str">
        <f t="shared" si="403"/>
        <v>Capex costumization</v>
      </c>
      <c r="B461" s="62">
        <f t="shared" si="404"/>
        <v>3500000</v>
      </c>
      <c r="C461" s="62">
        <f t="shared" si="405"/>
        <v>3500000</v>
      </c>
      <c r="D461" s="62">
        <f t="shared" si="406"/>
        <v>3500000</v>
      </c>
      <c r="E461" s="62">
        <f t="shared" si="407"/>
        <v>3500000</v>
      </c>
      <c r="F461" s="62">
        <f t="shared" si="408"/>
        <v>3500000</v>
      </c>
      <c r="G461" s="62">
        <f t="shared" si="409"/>
        <v>3500000</v>
      </c>
      <c r="H461" s="62">
        <f t="shared" si="410"/>
        <v>3500000</v>
      </c>
      <c r="I461" s="62">
        <f t="shared" si="411"/>
        <v>3500000</v>
      </c>
      <c r="J461" s="62">
        <f t="shared" si="412"/>
        <v>3500000</v>
      </c>
      <c r="K461" s="62">
        <f t="shared" si="413"/>
        <v>3500000</v>
      </c>
      <c r="L461" s="62">
        <f t="shared" si="414"/>
        <v>3500000</v>
      </c>
      <c r="M461" s="62">
        <f t="shared" si="415"/>
        <v>3500000</v>
      </c>
      <c r="N461" s="62">
        <f t="shared" si="416"/>
        <v>3500000</v>
      </c>
      <c r="O461" s="62">
        <f t="shared" si="417"/>
        <v>3500000</v>
      </c>
      <c r="P461" s="62">
        <f t="shared" si="418"/>
        <v>3500000</v>
      </c>
      <c r="Q461" s="62">
        <f t="shared" si="419"/>
        <v>3500000</v>
      </c>
      <c r="R461" s="62">
        <f t="shared" si="420"/>
        <v>3500000</v>
      </c>
      <c r="S461" s="62">
        <f t="shared" si="421"/>
        <v>3500000</v>
      </c>
      <c r="T461" s="62">
        <f t="shared" si="422"/>
        <v>3500000</v>
      </c>
      <c r="U461" s="62">
        <f t="shared" si="423"/>
        <v>3500000</v>
      </c>
      <c r="V461" s="62">
        <f t="shared" si="424"/>
        <v>3500000</v>
      </c>
      <c r="W461" s="62">
        <f t="shared" si="425"/>
        <v>3500000</v>
      </c>
      <c r="X461" s="62">
        <f t="shared" si="426"/>
        <v>3500000</v>
      </c>
      <c r="Y461" s="62">
        <f t="shared" si="427"/>
        <v>3500000</v>
      </c>
      <c r="Z461" s="62">
        <f t="shared" si="428"/>
        <v>3500000</v>
      </c>
      <c r="AA461" s="62">
        <f t="shared" si="429"/>
        <v>3500000</v>
      </c>
      <c r="AB461" s="62">
        <f t="shared" si="430"/>
        <v>3500000</v>
      </c>
      <c r="AC461" s="62">
        <f t="shared" si="431"/>
        <v>3500000</v>
      </c>
    </row>
    <row r="462" spans="1:44" x14ac:dyDescent="0.3">
      <c r="A462" s="30" t="str">
        <f t="shared" si="403"/>
        <v>Residual value (costumization)</v>
      </c>
      <c r="B462" s="62">
        <f t="shared" si="404"/>
        <v>-175000</v>
      </c>
      <c r="C462" s="62">
        <f t="shared" si="405"/>
        <v>-175000</v>
      </c>
      <c r="D462" s="62">
        <f t="shared" si="406"/>
        <v>-175000</v>
      </c>
      <c r="E462" s="62">
        <f t="shared" si="407"/>
        <v>-175000</v>
      </c>
      <c r="F462" s="62">
        <f t="shared" si="408"/>
        <v>-175000</v>
      </c>
      <c r="G462" s="62">
        <f t="shared" si="409"/>
        <v>-175000</v>
      </c>
      <c r="H462" s="62">
        <f t="shared" si="410"/>
        <v>-175000</v>
      </c>
      <c r="I462" s="62">
        <f t="shared" si="411"/>
        <v>-175000</v>
      </c>
      <c r="J462" s="62">
        <f t="shared" si="412"/>
        <v>-175000</v>
      </c>
      <c r="K462" s="62">
        <f t="shared" si="413"/>
        <v>-175000</v>
      </c>
      <c r="L462" s="62">
        <f t="shared" si="414"/>
        <v>-175000</v>
      </c>
      <c r="M462" s="62">
        <f t="shared" si="415"/>
        <v>-175000</v>
      </c>
      <c r="N462" s="62">
        <f t="shared" si="416"/>
        <v>-175000</v>
      </c>
      <c r="O462" s="62">
        <f t="shared" si="417"/>
        <v>-175000</v>
      </c>
      <c r="P462" s="62">
        <f t="shared" si="418"/>
        <v>-175000</v>
      </c>
      <c r="Q462" s="62">
        <f t="shared" si="419"/>
        <v>-175000</v>
      </c>
      <c r="R462" s="62">
        <f t="shared" si="420"/>
        <v>-175000</v>
      </c>
      <c r="S462" s="62">
        <f t="shared" si="421"/>
        <v>-175000</v>
      </c>
      <c r="T462" s="62">
        <f t="shared" si="422"/>
        <v>-175000</v>
      </c>
      <c r="U462" s="62">
        <f t="shared" si="423"/>
        <v>-175000</v>
      </c>
      <c r="V462" s="62">
        <f t="shared" si="424"/>
        <v>-175000</v>
      </c>
      <c r="W462" s="62">
        <f t="shared" si="425"/>
        <v>-175000</v>
      </c>
      <c r="X462" s="62">
        <f t="shared" si="426"/>
        <v>-175000</v>
      </c>
      <c r="Y462" s="62">
        <f t="shared" si="427"/>
        <v>-175000</v>
      </c>
      <c r="Z462" s="62">
        <f t="shared" si="428"/>
        <v>-175000</v>
      </c>
      <c r="AA462" s="62">
        <f t="shared" si="429"/>
        <v>-175000</v>
      </c>
      <c r="AB462" s="62">
        <f t="shared" si="430"/>
        <v>-175000</v>
      </c>
      <c r="AC462" s="62">
        <f t="shared" si="431"/>
        <v>-175000</v>
      </c>
    </row>
    <row r="463" spans="1:44" x14ac:dyDescent="0.3">
      <c r="A463" s="30" t="str">
        <f t="shared" si="403"/>
        <v>WACC</v>
      </c>
      <c r="B463" s="62">
        <f t="shared" si="404"/>
        <v>0.06</v>
      </c>
      <c r="C463" s="62">
        <f t="shared" si="405"/>
        <v>0.06</v>
      </c>
      <c r="D463" s="62">
        <f t="shared" si="406"/>
        <v>0.06</v>
      </c>
      <c r="E463" s="62">
        <f t="shared" si="407"/>
        <v>0.06</v>
      </c>
      <c r="F463" s="62">
        <f t="shared" si="408"/>
        <v>0.06</v>
      </c>
      <c r="G463" s="62">
        <f t="shared" si="409"/>
        <v>0.06</v>
      </c>
      <c r="H463" s="62">
        <f t="shared" si="410"/>
        <v>0.06</v>
      </c>
      <c r="I463" s="62">
        <f t="shared" si="411"/>
        <v>0.06</v>
      </c>
      <c r="J463" s="62">
        <f t="shared" si="412"/>
        <v>0.06</v>
      </c>
      <c r="K463" s="62">
        <f t="shared" si="413"/>
        <v>0.06</v>
      </c>
      <c r="L463" s="62">
        <f t="shared" si="414"/>
        <v>0.06</v>
      </c>
      <c r="M463" s="62">
        <f t="shared" si="415"/>
        <v>0.06</v>
      </c>
      <c r="N463" s="62">
        <f t="shared" si="416"/>
        <v>0.06</v>
      </c>
      <c r="O463" s="62">
        <f t="shared" si="417"/>
        <v>0.06</v>
      </c>
      <c r="P463" s="62">
        <f t="shared" si="418"/>
        <v>0.06</v>
      </c>
      <c r="Q463" s="62">
        <f t="shared" si="419"/>
        <v>0.06</v>
      </c>
      <c r="R463" s="62">
        <f t="shared" si="420"/>
        <v>0.06</v>
      </c>
      <c r="S463" s="62">
        <f t="shared" si="421"/>
        <v>0.06</v>
      </c>
      <c r="T463" s="62">
        <f t="shared" si="422"/>
        <v>0.06</v>
      </c>
      <c r="U463" s="62">
        <f t="shared" si="423"/>
        <v>0.06</v>
      </c>
      <c r="V463" s="62">
        <f t="shared" si="424"/>
        <v>0.06</v>
      </c>
      <c r="W463" s="62">
        <f t="shared" si="425"/>
        <v>0.06</v>
      </c>
      <c r="X463" s="62">
        <f t="shared" si="426"/>
        <v>0.06</v>
      </c>
      <c r="Y463" s="62">
        <f t="shared" si="427"/>
        <v>0.06</v>
      </c>
      <c r="Z463" s="62">
        <f t="shared" si="428"/>
        <v>0.06</v>
      </c>
      <c r="AA463" s="62">
        <f t="shared" si="429"/>
        <v>0.06</v>
      </c>
      <c r="AB463" s="62">
        <f t="shared" si="430"/>
        <v>0.06</v>
      </c>
      <c r="AC463" s="62">
        <f t="shared" si="431"/>
        <v>0.06</v>
      </c>
    </row>
    <row r="464" spans="1:44" x14ac:dyDescent="0.3">
      <c r="A464" s="30" t="str">
        <f t="shared" si="403"/>
        <v>Opex fix (admin, crew, insurance)</v>
      </c>
      <c r="B464" s="62">
        <f t="shared" si="404"/>
        <v>650000</v>
      </c>
      <c r="C464" s="62">
        <f t="shared" si="405"/>
        <v>650000</v>
      </c>
      <c r="D464" s="62">
        <f t="shared" si="406"/>
        <v>650000</v>
      </c>
      <c r="E464" s="62">
        <f t="shared" si="407"/>
        <v>650000</v>
      </c>
      <c r="F464" s="62">
        <f t="shared" si="408"/>
        <v>650000</v>
      </c>
      <c r="G464" s="62">
        <f t="shared" si="409"/>
        <v>650000</v>
      </c>
      <c r="H464" s="62">
        <f t="shared" si="410"/>
        <v>650000</v>
      </c>
      <c r="I464" s="62">
        <f t="shared" si="411"/>
        <v>650000</v>
      </c>
      <c r="J464" s="62">
        <f t="shared" si="412"/>
        <v>650000</v>
      </c>
      <c r="K464" s="62">
        <f t="shared" si="413"/>
        <v>650000</v>
      </c>
      <c r="L464" s="62">
        <f t="shared" si="414"/>
        <v>650000</v>
      </c>
      <c r="M464" s="62">
        <f t="shared" si="415"/>
        <v>650000</v>
      </c>
      <c r="N464" s="62">
        <f t="shared" si="416"/>
        <v>650000</v>
      </c>
      <c r="O464" s="62">
        <f t="shared" si="417"/>
        <v>650000</v>
      </c>
      <c r="P464" s="62">
        <f t="shared" si="418"/>
        <v>650000</v>
      </c>
      <c r="Q464" s="62">
        <f t="shared" si="419"/>
        <v>650000</v>
      </c>
      <c r="R464" s="62">
        <f t="shared" si="420"/>
        <v>650000</v>
      </c>
      <c r="S464" s="62">
        <f t="shared" si="421"/>
        <v>650000</v>
      </c>
      <c r="T464" s="62">
        <f t="shared" si="422"/>
        <v>650000</v>
      </c>
      <c r="U464" s="62">
        <f t="shared" si="423"/>
        <v>650000</v>
      </c>
      <c r="V464" s="62">
        <f t="shared" si="424"/>
        <v>650000</v>
      </c>
      <c r="W464" s="62">
        <f t="shared" si="425"/>
        <v>650000</v>
      </c>
      <c r="X464" s="62">
        <f t="shared" si="426"/>
        <v>650000</v>
      </c>
      <c r="Y464" s="62">
        <f t="shared" si="427"/>
        <v>650000</v>
      </c>
      <c r="Z464" s="62">
        <f t="shared" si="428"/>
        <v>650000</v>
      </c>
      <c r="AA464" s="62">
        <f t="shared" si="429"/>
        <v>650000</v>
      </c>
      <c r="AB464" s="62">
        <f t="shared" si="430"/>
        <v>650000</v>
      </c>
      <c r="AC464" s="62">
        <f t="shared" si="431"/>
        <v>650000</v>
      </c>
    </row>
    <row r="465" spans="1:29" x14ac:dyDescent="0.3">
      <c r="A465" s="30" t="str">
        <f t="shared" si="403"/>
        <v>Opex maintenance &amp; repair</v>
      </c>
      <c r="B465" s="62">
        <f t="shared" si="404"/>
        <v>650000</v>
      </c>
      <c r="C465" s="62">
        <f t="shared" si="405"/>
        <v>650000</v>
      </c>
      <c r="D465" s="62">
        <f t="shared" si="406"/>
        <v>650000</v>
      </c>
      <c r="E465" s="62">
        <f t="shared" si="407"/>
        <v>650000</v>
      </c>
      <c r="F465" s="62">
        <f t="shared" si="408"/>
        <v>650000</v>
      </c>
      <c r="G465" s="62">
        <f t="shared" si="409"/>
        <v>650000</v>
      </c>
      <c r="H465" s="62">
        <f t="shared" si="410"/>
        <v>650000</v>
      </c>
      <c r="I465" s="62">
        <f t="shared" si="411"/>
        <v>650000</v>
      </c>
      <c r="J465" s="62">
        <f t="shared" si="412"/>
        <v>650000</v>
      </c>
      <c r="K465" s="62">
        <f t="shared" si="413"/>
        <v>650000</v>
      </c>
      <c r="L465" s="62">
        <f t="shared" si="414"/>
        <v>650000</v>
      </c>
      <c r="M465" s="62">
        <f t="shared" si="415"/>
        <v>650000</v>
      </c>
      <c r="N465" s="62">
        <f t="shared" si="416"/>
        <v>650000</v>
      </c>
      <c r="O465" s="62">
        <f t="shared" si="417"/>
        <v>650000</v>
      </c>
      <c r="P465" s="62">
        <f t="shared" si="418"/>
        <v>650000</v>
      </c>
      <c r="Q465" s="62">
        <f t="shared" si="419"/>
        <v>650000</v>
      </c>
      <c r="R465" s="62">
        <f t="shared" si="420"/>
        <v>650000</v>
      </c>
      <c r="S465" s="62">
        <f t="shared" si="421"/>
        <v>650000</v>
      </c>
      <c r="T465" s="62">
        <f t="shared" si="422"/>
        <v>650000</v>
      </c>
      <c r="U465" s="62">
        <f t="shared" si="423"/>
        <v>650000</v>
      </c>
      <c r="V465" s="62">
        <f t="shared" si="424"/>
        <v>650000</v>
      </c>
      <c r="W465" s="62">
        <f t="shared" si="425"/>
        <v>650000</v>
      </c>
      <c r="X465" s="62">
        <f t="shared" si="426"/>
        <v>650000</v>
      </c>
      <c r="Y465" s="62">
        <f t="shared" si="427"/>
        <v>650000</v>
      </c>
      <c r="Z465" s="62">
        <f t="shared" si="428"/>
        <v>650000</v>
      </c>
      <c r="AA465" s="62">
        <f t="shared" si="429"/>
        <v>650000</v>
      </c>
      <c r="AB465" s="62">
        <f t="shared" si="430"/>
        <v>650000</v>
      </c>
      <c r="AC465" s="62">
        <f t="shared" si="431"/>
        <v>650000</v>
      </c>
    </row>
    <row r="466" spans="1:29" x14ac:dyDescent="0.3">
      <c r="A466" s="30" t="str">
        <f t="shared" si="403"/>
        <v>Opex var (mode-fees, shunting)</v>
      </c>
      <c r="B466" s="62">
        <f t="shared" si="404"/>
        <v>3.9215686274509802</v>
      </c>
      <c r="C466" s="62">
        <f t="shared" si="405"/>
        <v>3.9215686274509802</v>
      </c>
      <c r="D466" s="62">
        <f t="shared" si="406"/>
        <v>3.9215686274509802</v>
      </c>
      <c r="E466" s="62">
        <f t="shared" si="407"/>
        <v>3.9215686274509802</v>
      </c>
      <c r="F466" s="62">
        <f t="shared" si="408"/>
        <v>3.9215686274509802</v>
      </c>
      <c r="G466" s="62">
        <f t="shared" si="409"/>
        <v>3.9215686274509802</v>
      </c>
      <c r="H466" s="62">
        <f t="shared" si="410"/>
        <v>3.9215686274509802</v>
      </c>
      <c r="I466" s="62">
        <f t="shared" si="411"/>
        <v>3.9215686274509802</v>
      </c>
      <c r="J466" s="62">
        <f t="shared" si="412"/>
        <v>3.9215686274509802</v>
      </c>
      <c r="K466" s="62">
        <f t="shared" si="413"/>
        <v>3.9215686274509802</v>
      </c>
      <c r="L466" s="62">
        <f t="shared" si="414"/>
        <v>3.9215686274509802</v>
      </c>
      <c r="M466" s="62">
        <f t="shared" si="415"/>
        <v>3.9215686274509802</v>
      </c>
      <c r="N466" s="62">
        <f t="shared" si="416"/>
        <v>3.9215686274509802</v>
      </c>
      <c r="O466" s="62">
        <f t="shared" si="417"/>
        <v>3.9215686274509802</v>
      </c>
      <c r="P466" s="62">
        <f t="shared" si="418"/>
        <v>3.9215686274509802</v>
      </c>
      <c r="Q466" s="62">
        <f t="shared" si="419"/>
        <v>3.9215686274509802</v>
      </c>
      <c r="R466" s="62">
        <f t="shared" si="420"/>
        <v>3.9215686274509802</v>
      </c>
      <c r="S466" s="62">
        <f t="shared" si="421"/>
        <v>3.9215686274509802</v>
      </c>
      <c r="T466" s="62">
        <f t="shared" si="422"/>
        <v>3.9215686274509802</v>
      </c>
      <c r="U466" s="62">
        <f t="shared" si="423"/>
        <v>3.9215686274509802</v>
      </c>
      <c r="V466" s="62">
        <f t="shared" si="424"/>
        <v>3.9215686274509802</v>
      </c>
      <c r="W466" s="62">
        <f t="shared" si="425"/>
        <v>3.9215686274509802</v>
      </c>
      <c r="X466" s="62">
        <f t="shared" si="426"/>
        <v>3.9215686274509802</v>
      </c>
      <c r="Y466" s="62">
        <f t="shared" si="427"/>
        <v>3.9215686274509802</v>
      </c>
      <c r="Z466" s="62">
        <f t="shared" si="428"/>
        <v>3.9215686274509802</v>
      </c>
      <c r="AA466" s="62">
        <f t="shared" si="429"/>
        <v>3.9215686274509802</v>
      </c>
      <c r="AB466" s="62">
        <f t="shared" si="430"/>
        <v>3.9215686274509802</v>
      </c>
      <c r="AC466" s="62">
        <f t="shared" si="431"/>
        <v>3.9215686274509802</v>
      </c>
    </row>
    <row r="467" spans="1:29" x14ac:dyDescent="0.3">
      <c r="A467" s="30" t="str">
        <f t="shared" si="403"/>
        <v>Fuel Economy</v>
      </c>
      <c r="B467" s="62">
        <f t="shared" si="404"/>
        <v>25.563670588235297</v>
      </c>
      <c r="C467" s="62">
        <f t="shared" si="405"/>
        <v>25.563670588235297</v>
      </c>
      <c r="D467" s="62">
        <f t="shared" si="406"/>
        <v>25.563670588235297</v>
      </c>
      <c r="E467" s="62">
        <f t="shared" si="407"/>
        <v>25.563670588235297</v>
      </c>
      <c r="F467" s="62">
        <f t="shared" si="408"/>
        <v>25.563670588235297</v>
      </c>
      <c r="G467" s="62">
        <f t="shared" si="409"/>
        <v>25.563670588235297</v>
      </c>
      <c r="H467" s="62">
        <f t="shared" si="410"/>
        <v>25.563670588235297</v>
      </c>
      <c r="I467" s="62">
        <f t="shared" si="411"/>
        <v>25.563670588235297</v>
      </c>
      <c r="J467" s="62">
        <f t="shared" si="412"/>
        <v>25.563670588235297</v>
      </c>
      <c r="K467" s="62">
        <f t="shared" si="413"/>
        <v>25.563670588235297</v>
      </c>
      <c r="L467" s="62">
        <f t="shared" si="414"/>
        <v>25.563670588235297</v>
      </c>
      <c r="M467" s="62">
        <f t="shared" si="415"/>
        <v>25.563670588235297</v>
      </c>
      <c r="N467" s="62">
        <f t="shared" si="416"/>
        <v>25.563670588235297</v>
      </c>
      <c r="O467" s="62">
        <f t="shared" si="417"/>
        <v>25.563670588235297</v>
      </c>
      <c r="P467" s="62">
        <f t="shared" si="418"/>
        <v>25.563670588235297</v>
      </c>
      <c r="Q467" s="62">
        <f t="shared" si="419"/>
        <v>25.563670588235297</v>
      </c>
      <c r="R467" s="62">
        <f t="shared" si="420"/>
        <v>25.563670588235297</v>
      </c>
      <c r="S467" s="62">
        <f t="shared" si="421"/>
        <v>25.563670588235297</v>
      </c>
      <c r="T467" s="62">
        <f t="shared" si="422"/>
        <v>25.563670588235297</v>
      </c>
      <c r="U467" s="62">
        <f t="shared" si="423"/>
        <v>25.563670588235297</v>
      </c>
      <c r="V467" s="62">
        <f t="shared" si="424"/>
        <v>25.563670588235297</v>
      </c>
      <c r="W467" s="62">
        <f t="shared" si="425"/>
        <v>25.563670588235297</v>
      </c>
      <c r="X467" s="62">
        <f t="shared" si="426"/>
        <v>25.563670588235297</v>
      </c>
      <c r="Y467" s="62">
        <f t="shared" si="427"/>
        <v>25.563670588235297</v>
      </c>
      <c r="Z467" s="62">
        <f t="shared" si="428"/>
        <v>25.563670588235297</v>
      </c>
      <c r="AA467" s="62">
        <f t="shared" si="429"/>
        <v>25.563670588235297</v>
      </c>
      <c r="AB467" s="62">
        <f t="shared" si="430"/>
        <v>25.563670588235297</v>
      </c>
      <c r="AC467" s="62">
        <f t="shared" si="431"/>
        <v>25.563670588235297</v>
      </c>
    </row>
    <row r="468" spans="1:29" x14ac:dyDescent="0.3">
      <c r="A468" s="30" t="str">
        <f t="shared" si="403"/>
        <v>Fuel Cost</v>
      </c>
      <c r="B468" s="62">
        <f t="shared" si="404"/>
        <v>9.2331951136741086E-2</v>
      </c>
      <c r="C468" s="62">
        <f t="shared" si="405"/>
        <v>9.2222956120974545E-2</v>
      </c>
      <c r="D468" s="62">
        <f t="shared" si="406"/>
        <v>9.2068198823216471E-2</v>
      </c>
      <c r="E468" s="62">
        <f t="shared" si="407"/>
        <v>9.1849464254062249E-2</v>
      </c>
      <c r="F468" s="62">
        <f t="shared" si="408"/>
        <v>9.1542364865268247E-2</v>
      </c>
      <c r="G468" s="62">
        <f t="shared" si="409"/>
        <v>9.1115385234314353E-2</v>
      </c>
      <c r="H468" s="62">
        <f t="shared" si="410"/>
        <v>9.0530012133616333E-2</v>
      </c>
      <c r="I468" s="62">
        <f t="shared" si="411"/>
        <v>8.9743333412323725E-2</v>
      </c>
      <c r="J468" s="62">
        <f t="shared" si="412"/>
        <v>8.8714992348442129E-2</v>
      </c>
      <c r="K468" s="62">
        <f t="shared" si="413"/>
        <v>8.7419970590682711E-2</v>
      </c>
      <c r="L468" s="62">
        <f t="shared" si="414"/>
        <v>8.5865981654976761E-2</v>
      </c>
      <c r="M468" s="62">
        <f t="shared" si="415"/>
        <v>8.4108771907851612E-2</v>
      </c>
      <c r="N468" s="62">
        <f t="shared" si="416"/>
        <v>8.2253692787461766E-2</v>
      </c>
      <c r="O468" s="62">
        <f t="shared" si="417"/>
        <v>8.0435118154333018E-2</v>
      </c>
      <c r="P468" s="62">
        <f t="shared" si="418"/>
        <v>7.8779632233065888E-2</v>
      </c>
      <c r="Q468" s="62">
        <f t="shared" si="419"/>
        <v>7.7372704945717463E-2</v>
      </c>
      <c r="R468" s="62">
        <f t="shared" si="420"/>
        <v>7.6246008154952791E-2</v>
      </c>
      <c r="S468" s="62">
        <f t="shared" si="421"/>
        <v>7.5386288497227227E-2</v>
      </c>
      <c r="T468" s="62">
        <f t="shared" si="422"/>
        <v>7.4754325599182742E-2</v>
      </c>
      <c r="U468" s="62">
        <f t="shared" si="423"/>
        <v>7.4302481269476042E-2</v>
      </c>
      <c r="V468" s="62">
        <f t="shared" si="424"/>
        <v>7.3985805122564349E-2</v>
      </c>
      <c r="W468" s="62">
        <f t="shared" si="425"/>
        <v>7.3766962440611206E-2</v>
      </c>
      <c r="X468" s="62">
        <f t="shared" si="426"/>
        <v>7.3617197488001537E-2</v>
      </c>
      <c r="Y468" s="62">
        <f t="shared" si="427"/>
        <v>7.3515389944810147E-2</v>
      </c>
      <c r="Z468" s="62">
        <f t="shared" si="428"/>
        <v>7.3446497913186276E-2</v>
      </c>
      <c r="AA468" s="62">
        <f t="shared" si="429"/>
        <v>7.3400023276728135E-2</v>
      </c>
      <c r="AB468" s="62">
        <f t="shared" si="430"/>
        <v>7.3368736782330912E-2</v>
      </c>
      <c r="AC468" s="62">
        <f t="shared" si="431"/>
        <v>7.3347704448441492E-2</v>
      </c>
    </row>
    <row r="469" spans="1:29" x14ac:dyDescent="0.3">
      <c r="A469" s="30" t="str">
        <f t="shared" ref="A469" si="432">A449</f>
        <v>Emission Cost</v>
      </c>
      <c r="B469" s="66">
        <f>$B449+($C449-$B449)*(1-Q449)</f>
        <v>5.9070060812636778E-2</v>
      </c>
      <c r="C469" s="66">
        <f t="shared" ref="C469" si="433">$B449+($C449-$B449)*(1-R449)</f>
        <v>5.9013811722223086E-2</v>
      </c>
      <c r="D469" s="66">
        <f t="shared" ref="D469" si="434">$B449+($C449-$B449)*(1-S449)</f>
        <v>5.8933292402143352E-2</v>
      </c>
      <c r="E469" s="66">
        <f t="shared" ref="E469" si="435">$B449+($C449-$B449)*(1-T449)</f>
        <v>5.8818103852397587E-2</v>
      </c>
      <c r="F469" s="66">
        <f t="shared" ref="F469" si="436">$B449+($C449-$B449)*(1-U449)</f>
        <v>5.8653473997195435E-2</v>
      </c>
      <c r="G469" s="66">
        <f t="shared" ref="G469" si="437">$B449+($C449-$B449)*(1-V449)</f>
        <v>5.8418511615834896E-2</v>
      </c>
      <c r="H469" s="66">
        <f t="shared" ref="H469" si="438">$B449+($C449-$B449)*(1-W449)</f>
        <v>5.8083867542195688E-2</v>
      </c>
      <c r="I469" s="66">
        <f t="shared" ref="I469" si="439">$B449+($C449-$B449)*(1-X449)</f>
        <v>5.760872092945437E-2</v>
      </c>
      <c r="J469" s="66">
        <f t="shared" ref="J469" si="440">$B449+($C449-$B449)*(1-Y449)</f>
        <v>5.6937146851018805E-2</v>
      </c>
      <c r="K469" s="66">
        <f t="shared" ref="K469" si="441">$B449+($C449-$B449)*(1-Z449)</f>
        <v>5.5994268961095287E-2</v>
      </c>
      <c r="L469" s="66">
        <f t="shared" ref="L469" si="442">$B449+($C449-$B449)*(1-AA449)</f>
        <v>5.4683326418828664E-2</v>
      </c>
      <c r="M469" s="66">
        <f t="shared" ref="M469" si="443">$B449+($C449-$B449)*(1-AB449)</f>
        <v>5.288607323583918E-2</v>
      </c>
      <c r="N469" s="66">
        <f t="shared" ref="N469" si="444">$B449+($C449-$B449)*(1-AC449)</f>
        <v>5.0470757543766405E-2</v>
      </c>
      <c r="O469" s="66">
        <f t="shared" ref="O469" si="445">$B449+($C449-$B449)*(1-AD449)</f>
        <v>4.7313473329551395E-2</v>
      </c>
      <c r="P469" s="66">
        <f t="shared" ref="P469" si="446">$B449+($C449-$B449)*(1-AE449)</f>
        <v>4.3337407512043943E-2</v>
      </c>
      <c r="Q469" s="66">
        <f t="shared" ref="Q469" si="447">$B449+($C449-$B449)*(1-AF449)</f>
        <v>3.8566242664022157E-2</v>
      </c>
      <c r="R469" s="66">
        <f t="shared" ref="R469" si="448">$B449+($C449-$B449)*(1-AG449)</f>
        <v>3.3171135154922579E-2</v>
      </c>
      <c r="S469" s="66">
        <f t="shared" ref="S469" si="449">$B449+($C449-$B449)*(1-AH449)</f>
        <v>2.7475542293135265E-2</v>
      </c>
      <c r="T469" s="66">
        <f t="shared" ref="T469" si="450">$B449+($C449-$B449)*(1-AI449)</f>
        <v>2.1892028045560286E-2</v>
      </c>
      <c r="U469" s="66">
        <f t="shared" ref="U469" si="451">$B449+($C449-$B449)*(1-AJ449)</f>
        <v>1.680924009742308E-2</v>
      </c>
      <c r="V469" s="66">
        <f t="shared" ref="V469" si="452">$B449+($C449-$B449)*(1-AK449)</f>
        <v>1.2489594144429211E-2</v>
      </c>
      <c r="W469" s="66">
        <f t="shared" ref="W469" si="453">$B449+($C449-$B449)*(1-AL449)</f>
        <v>9.0303313408408581E-3</v>
      </c>
      <c r="X469" s="66">
        <f t="shared" ref="X469" si="454">$B449+($C449-$B449)*(1-AM449)</f>
        <v>6.3907602886633802E-3</v>
      </c>
      <c r="Y469" s="66">
        <f t="shared" ref="Y469" si="455">$B449+($C449-$B449)*(1-AN449)</f>
        <v>4.4504638714085373E-3</v>
      </c>
      <c r="Z469" s="66">
        <f t="shared" ref="Z469" si="456">$B449+($C449-$B449)*(1-AO449)</f>
        <v>3.0631800026883343E-3</v>
      </c>
      <c r="AA469" s="66">
        <f t="shared" ref="AA469" si="457">$B449+($C449-$B449)*(1-AP449)</f>
        <v>2.0908988843123671E-3</v>
      </c>
      <c r="AB469" s="66">
        <f t="shared" ref="AB469" si="458">$B449+($C449-$B449)*(1-AQ449)</f>
        <v>1.4189928704466184E-3</v>
      </c>
      <c r="AC469" s="66">
        <f t="shared" ref="AC469" si="459">$B449+($C449-$B449)*(1-AR449)</f>
        <v>9.5917410279734022E-4</v>
      </c>
    </row>
    <row r="470" spans="1:29" x14ac:dyDescent="0.3">
      <c r="A470" s="30" t="str">
        <f>A450</f>
        <v>Lifetime vehicle</v>
      </c>
      <c r="B470" s="62">
        <f>$B450+($C450-$B450)*(1-Q450)</f>
        <v>20</v>
      </c>
      <c r="C470" s="62">
        <f t="shared" ref="C470:L472" si="460">$B450+($C450-$B450)*(1-R450)</f>
        <v>20</v>
      </c>
      <c r="D470" s="62">
        <f t="shared" si="460"/>
        <v>20</v>
      </c>
      <c r="E470" s="62">
        <f t="shared" si="460"/>
        <v>20</v>
      </c>
      <c r="F470" s="62">
        <f t="shared" si="460"/>
        <v>20</v>
      </c>
      <c r="G470" s="62">
        <f t="shared" si="460"/>
        <v>20</v>
      </c>
      <c r="H470" s="62">
        <f t="shared" si="460"/>
        <v>20</v>
      </c>
      <c r="I470" s="62">
        <f t="shared" si="460"/>
        <v>20</v>
      </c>
      <c r="J470" s="62">
        <f t="shared" si="460"/>
        <v>20</v>
      </c>
      <c r="K470" s="62">
        <f t="shared" si="460"/>
        <v>20</v>
      </c>
      <c r="L470" s="62">
        <f t="shared" si="460"/>
        <v>20</v>
      </c>
      <c r="M470" s="62">
        <f t="shared" ref="M470:V472" si="461">$B450+($C450-$B450)*(1-AB450)</f>
        <v>20</v>
      </c>
      <c r="N470" s="62">
        <f t="shared" si="461"/>
        <v>20</v>
      </c>
      <c r="O470" s="62">
        <f t="shared" si="461"/>
        <v>20</v>
      </c>
      <c r="P470" s="62">
        <f t="shared" si="461"/>
        <v>20</v>
      </c>
      <c r="Q470" s="62">
        <f t="shared" si="461"/>
        <v>20</v>
      </c>
      <c r="R470" s="62">
        <f t="shared" si="461"/>
        <v>20</v>
      </c>
      <c r="S470" s="62">
        <f t="shared" si="461"/>
        <v>20</v>
      </c>
      <c r="T470" s="62">
        <f t="shared" si="461"/>
        <v>20</v>
      </c>
      <c r="U470" s="62">
        <f t="shared" si="461"/>
        <v>20</v>
      </c>
      <c r="V470" s="62">
        <f t="shared" si="461"/>
        <v>20</v>
      </c>
      <c r="W470" s="62">
        <f t="shared" ref="W470:AC472" si="462">$B450+($C450-$B450)*(1-AL450)</f>
        <v>20</v>
      </c>
      <c r="X470" s="62">
        <f t="shared" si="462"/>
        <v>20</v>
      </c>
      <c r="Y470" s="62">
        <f t="shared" si="462"/>
        <v>20</v>
      </c>
      <c r="Z470" s="62">
        <f t="shared" si="462"/>
        <v>20</v>
      </c>
      <c r="AA470" s="62">
        <f t="shared" si="462"/>
        <v>20</v>
      </c>
      <c r="AB470" s="62">
        <f t="shared" si="462"/>
        <v>20</v>
      </c>
      <c r="AC470" s="62">
        <f t="shared" si="462"/>
        <v>20</v>
      </c>
    </row>
    <row r="471" spans="1:29" x14ac:dyDescent="0.3">
      <c r="A471" s="30" t="str">
        <f>A451</f>
        <v>Lifetime costumization</v>
      </c>
      <c r="B471" s="62">
        <f>$B451+($C451-$B451)*(1-Q451)</f>
        <v>30</v>
      </c>
      <c r="C471" s="62">
        <f t="shared" si="460"/>
        <v>30</v>
      </c>
      <c r="D471" s="62">
        <f t="shared" si="460"/>
        <v>30</v>
      </c>
      <c r="E471" s="62">
        <f t="shared" si="460"/>
        <v>30</v>
      </c>
      <c r="F471" s="62">
        <f t="shared" si="460"/>
        <v>30</v>
      </c>
      <c r="G471" s="62">
        <f t="shared" si="460"/>
        <v>30</v>
      </c>
      <c r="H471" s="62">
        <f t="shared" si="460"/>
        <v>30</v>
      </c>
      <c r="I471" s="62">
        <f t="shared" si="460"/>
        <v>30</v>
      </c>
      <c r="J471" s="62">
        <f t="shared" si="460"/>
        <v>30</v>
      </c>
      <c r="K471" s="62">
        <f t="shared" si="460"/>
        <v>30</v>
      </c>
      <c r="L471" s="62">
        <f t="shared" si="460"/>
        <v>30</v>
      </c>
      <c r="M471" s="62">
        <f t="shared" si="461"/>
        <v>30</v>
      </c>
      <c r="N471" s="62">
        <f t="shared" si="461"/>
        <v>30</v>
      </c>
      <c r="O471" s="62">
        <f t="shared" si="461"/>
        <v>30</v>
      </c>
      <c r="P471" s="62">
        <f t="shared" si="461"/>
        <v>30</v>
      </c>
      <c r="Q471" s="62">
        <f t="shared" si="461"/>
        <v>30</v>
      </c>
      <c r="R471" s="62">
        <f t="shared" si="461"/>
        <v>30</v>
      </c>
      <c r="S471" s="62">
        <f t="shared" si="461"/>
        <v>30</v>
      </c>
      <c r="T471" s="62">
        <f t="shared" si="461"/>
        <v>30</v>
      </c>
      <c r="U471" s="62">
        <f t="shared" si="461"/>
        <v>30</v>
      </c>
      <c r="V471" s="62">
        <f t="shared" si="461"/>
        <v>30</v>
      </c>
      <c r="W471" s="62">
        <f t="shared" si="462"/>
        <v>30</v>
      </c>
      <c r="X471" s="62">
        <f t="shared" si="462"/>
        <v>30</v>
      </c>
      <c r="Y471" s="62">
        <f t="shared" si="462"/>
        <v>30</v>
      </c>
      <c r="Z471" s="62">
        <f t="shared" si="462"/>
        <v>30</v>
      </c>
      <c r="AA471" s="62">
        <f t="shared" si="462"/>
        <v>30</v>
      </c>
      <c r="AB471" s="62">
        <f t="shared" si="462"/>
        <v>30</v>
      </c>
      <c r="AC471" s="62">
        <f t="shared" si="462"/>
        <v>30</v>
      </c>
    </row>
    <row r="472" spans="1:29" x14ac:dyDescent="0.3">
      <c r="A472" s="30" t="str">
        <f>A452</f>
        <v>Tonnage .</v>
      </c>
      <c r="B472" s="62">
        <f>$B452+($C452-$B452)*(1-Q452)</f>
        <v>2800</v>
      </c>
      <c r="C472" s="62">
        <f t="shared" si="460"/>
        <v>2800</v>
      </c>
      <c r="D472" s="62">
        <f t="shared" si="460"/>
        <v>2800</v>
      </c>
      <c r="E472" s="62">
        <f t="shared" si="460"/>
        <v>2800</v>
      </c>
      <c r="F472" s="62">
        <f t="shared" si="460"/>
        <v>2800</v>
      </c>
      <c r="G472" s="62">
        <f t="shared" si="460"/>
        <v>2800</v>
      </c>
      <c r="H472" s="62">
        <f t="shared" si="460"/>
        <v>2800</v>
      </c>
      <c r="I472" s="62">
        <f t="shared" si="460"/>
        <v>2800</v>
      </c>
      <c r="J472" s="62">
        <f t="shared" si="460"/>
        <v>2800</v>
      </c>
      <c r="K472" s="62">
        <f t="shared" si="460"/>
        <v>2800</v>
      </c>
      <c r="L472" s="62">
        <f t="shared" si="460"/>
        <v>2800</v>
      </c>
      <c r="M472" s="62">
        <f t="shared" si="461"/>
        <v>2800</v>
      </c>
      <c r="N472" s="62">
        <f t="shared" si="461"/>
        <v>2800</v>
      </c>
      <c r="O472" s="62">
        <f t="shared" si="461"/>
        <v>2800</v>
      </c>
      <c r="P472" s="62">
        <f t="shared" si="461"/>
        <v>2800</v>
      </c>
      <c r="Q472" s="62">
        <f t="shared" si="461"/>
        <v>2800</v>
      </c>
      <c r="R472" s="62">
        <f t="shared" si="461"/>
        <v>2800</v>
      </c>
      <c r="S472" s="62">
        <f t="shared" si="461"/>
        <v>2800</v>
      </c>
      <c r="T472" s="62">
        <f t="shared" si="461"/>
        <v>2800</v>
      </c>
      <c r="U472" s="62">
        <f t="shared" si="461"/>
        <v>2800</v>
      </c>
      <c r="V472" s="62">
        <f t="shared" si="461"/>
        <v>2800</v>
      </c>
      <c r="W472" s="62">
        <f t="shared" si="462"/>
        <v>2800</v>
      </c>
      <c r="X472" s="62">
        <f t="shared" si="462"/>
        <v>2800</v>
      </c>
      <c r="Y472" s="62">
        <f t="shared" si="462"/>
        <v>2800</v>
      </c>
      <c r="Z472" s="62">
        <f t="shared" si="462"/>
        <v>2800</v>
      </c>
      <c r="AA472" s="62">
        <f t="shared" si="462"/>
        <v>2800</v>
      </c>
      <c r="AB472" s="62">
        <f t="shared" si="462"/>
        <v>2800</v>
      </c>
      <c r="AC472" s="62">
        <f t="shared" si="462"/>
        <v>2800</v>
      </c>
    </row>
    <row r="473" spans="1:29" x14ac:dyDescent="0.3">
      <c r="A473" s="30" t="str">
        <f>A453</f>
        <v>Market failure (av. utilization)</v>
      </c>
      <c r="B473" s="62">
        <f t="shared" ref="B473:K474" si="463">($B453+($C453-$B453)*(1-Q453))*B$44</f>
        <v>716.80000000000007</v>
      </c>
      <c r="C473" s="62">
        <f t="shared" si="463"/>
        <v>716.80000000000007</v>
      </c>
      <c r="D473" s="62">
        <f t="shared" si="463"/>
        <v>716.80000000000007</v>
      </c>
      <c r="E473" s="62">
        <f t="shared" si="463"/>
        <v>716.80000000000007</v>
      </c>
      <c r="F473" s="62">
        <f t="shared" si="463"/>
        <v>716.80000000000007</v>
      </c>
      <c r="G473" s="62">
        <f t="shared" si="463"/>
        <v>716.80000000000007</v>
      </c>
      <c r="H473" s="62">
        <f t="shared" si="463"/>
        <v>716.80000000000007</v>
      </c>
      <c r="I473" s="62">
        <f t="shared" si="463"/>
        <v>716.80000000000007</v>
      </c>
      <c r="J473" s="62">
        <f t="shared" si="463"/>
        <v>716.80000000000007</v>
      </c>
      <c r="K473" s="62">
        <f t="shared" si="463"/>
        <v>716.80000000000007</v>
      </c>
      <c r="L473" s="62">
        <f t="shared" ref="L473:U474" si="464">($B453+($C453-$B453)*(1-AA453))*L$44</f>
        <v>716.80000000000007</v>
      </c>
      <c r="M473" s="62">
        <f t="shared" si="464"/>
        <v>716.80000000000007</v>
      </c>
      <c r="N473" s="62">
        <f t="shared" si="464"/>
        <v>716.80000000000007</v>
      </c>
      <c r="O473" s="62">
        <f t="shared" si="464"/>
        <v>716.80000000000007</v>
      </c>
      <c r="P473" s="62">
        <f t="shared" si="464"/>
        <v>716.80000000000007</v>
      </c>
      <c r="Q473" s="62">
        <f t="shared" si="464"/>
        <v>716.80000000000007</v>
      </c>
      <c r="R473" s="62">
        <f t="shared" si="464"/>
        <v>716.80000000000007</v>
      </c>
      <c r="S473" s="62">
        <f t="shared" si="464"/>
        <v>716.80000000000007</v>
      </c>
      <c r="T473" s="62">
        <f t="shared" si="464"/>
        <v>716.80000000000007</v>
      </c>
      <c r="U473" s="62">
        <f t="shared" si="464"/>
        <v>716.80000000000007</v>
      </c>
      <c r="V473" s="62">
        <f t="shared" ref="V473:AC474" si="465">($B453+($C453-$B453)*(1-AK453))*V$44</f>
        <v>716.80000000000007</v>
      </c>
      <c r="W473" s="62">
        <f t="shared" si="465"/>
        <v>716.80000000000007</v>
      </c>
      <c r="X473" s="62">
        <f t="shared" si="465"/>
        <v>716.80000000000007</v>
      </c>
      <c r="Y473" s="62">
        <f t="shared" si="465"/>
        <v>716.80000000000007</v>
      </c>
      <c r="Z473" s="62">
        <f t="shared" si="465"/>
        <v>716.80000000000007</v>
      </c>
      <c r="AA473" s="62">
        <f t="shared" si="465"/>
        <v>716.80000000000007</v>
      </c>
      <c r="AB473" s="62">
        <f t="shared" si="465"/>
        <v>716.80000000000007</v>
      </c>
      <c r="AC473" s="62">
        <f t="shared" si="465"/>
        <v>716.80000000000007</v>
      </c>
    </row>
    <row r="474" spans="1:29" x14ac:dyDescent="0.3">
      <c r="A474" s="30" t="s">
        <v>73</v>
      </c>
      <c r="B474" s="62">
        <f t="shared" si="463"/>
        <v>0</v>
      </c>
      <c r="C474" s="62">
        <f t="shared" si="463"/>
        <v>0</v>
      </c>
      <c r="D474" s="62">
        <f t="shared" si="463"/>
        <v>0</v>
      </c>
      <c r="E474" s="62">
        <f t="shared" si="463"/>
        <v>0</v>
      </c>
      <c r="F474" s="62">
        <f t="shared" si="463"/>
        <v>0</v>
      </c>
      <c r="G474" s="62">
        <f t="shared" si="463"/>
        <v>0</v>
      </c>
      <c r="H474" s="62">
        <f t="shared" si="463"/>
        <v>0</v>
      </c>
      <c r="I474" s="62">
        <f t="shared" si="463"/>
        <v>0</v>
      </c>
      <c r="J474" s="62">
        <f t="shared" si="463"/>
        <v>0</v>
      </c>
      <c r="K474" s="62">
        <f t="shared" si="463"/>
        <v>0</v>
      </c>
      <c r="L474" s="62">
        <f t="shared" si="464"/>
        <v>0</v>
      </c>
      <c r="M474" s="62">
        <f t="shared" si="464"/>
        <v>0</v>
      </c>
      <c r="N474" s="62">
        <f t="shared" si="464"/>
        <v>0</v>
      </c>
      <c r="O474" s="62">
        <f t="shared" si="464"/>
        <v>0</v>
      </c>
      <c r="P474" s="62">
        <f t="shared" si="464"/>
        <v>0</v>
      </c>
      <c r="Q474" s="62">
        <f t="shared" si="464"/>
        <v>0</v>
      </c>
      <c r="R474" s="62">
        <f t="shared" si="464"/>
        <v>0</v>
      </c>
      <c r="S474" s="62">
        <f t="shared" si="464"/>
        <v>0</v>
      </c>
      <c r="T474" s="62">
        <f t="shared" si="464"/>
        <v>0</v>
      </c>
      <c r="U474" s="62">
        <f t="shared" si="464"/>
        <v>0</v>
      </c>
      <c r="V474" s="62">
        <f t="shared" si="465"/>
        <v>0</v>
      </c>
      <c r="W474" s="62">
        <f t="shared" si="465"/>
        <v>0</v>
      </c>
      <c r="X474" s="62">
        <f t="shared" si="465"/>
        <v>0</v>
      </c>
      <c r="Y474" s="62">
        <f t="shared" si="465"/>
        <v>0</v>
      </c>
      <c r="Z474" s="62">
        <f t="shared" si="465"/>
        <v>0</v>
      </c>
      <c r="AA474" s="62">
        <f t="shared" si="465"/>
        <v>0</v>
      </c>
      <c r="AB474" s="62">
        <f t="shared" si="465"/>
        <v>0</v>
      </c>
      <c r="AC474" s="62">
        <f t="shared" si="465"/>
        <v>0</v>
      </c>
    </row>
    <row r="475" spans="1:29" x14ac:dyDescent="0.3">
      <c r="A475" s="30" t="str">
        <f>A455</f>
        <v>Annual Mileage</v>
      </c>
      <c r="B475" s="62">
        <f t="shared" ref="B475:AC475" si="466">$B455+($C455-$B455)*(1-Q455)</f>
        <v>178500</v>
      </c>
      <c r="C475" s="62">
        <f t="shared" si="466"/>
        <v>178500</v>
      </c>
      <c r="D475" s="62">
        <f t="shared" si="466"/>
        <v>178500</v>
      </c>
      <c r="E475" s="62">
        <f t="shared" si="466"/>
        <v>178500</v>
      </c>
      <c r="F475" s="62">
        <f t="shared" si="466"/>
        <v>178500</v>
      </c>
      <c r="G475" s="62">
        <f t="shared" si="466"/>
        <v>178500</v>
      </c>
      <c r="H475" s="62">
        <f t="shared" si="466"/>
        <v>178500</v>
      </c>
      <c r="I475" s="62">
        <f t="shared" si="466"/>
        <v>178500</v>
      </c>
      <c r="J475" s="62">
        <f t="shared" si="466"/>
        <v>178500</v>
      </c>
      <c r="K475" s="62">
        <f t="shared" si="466"/>
        <v>178500</v>
      </c>
      <c r="L475" s="62">
        <f t="shared" si="466"/>
        <v>178500</v>
      </c>
      <c r="M475" s="62">
        <f t="shared" si="466"/>
        <v>178500</v>
      </c>
      <c r="N475" s="62">
        <f t="shared" si="466"/>
        <v>178500</v>
      </c>
      <c r="O475" s="62">
        <f t="shared" si="466"/>
        <v>178500</v>
      </c>
      <c r="P475" s="62">
        <f t="shared" si="466"/>
        <v>178500</v>
      </c>
      <c r="Q475" s="62">
        <f t="shared" si="466"/>
        <v>178500</v>
      </c>
      <c r="R475" s="62">
        <f t="shared" si="466"/>
        <v>178500</v>
      </c>
      <c r="S475" s="62">
        <f t="shared" si="466"/>
        <v>178500</v>
      </c>
      <c r="T475" s="62">
        <f t="shared" si="466"/>
        <v>178500</v>
      </c>
      <c r="U475" s="62">
        <f t="shared" si="466"/>
        <v>178500</v>
      </c>
      <c r="V475" s="62">
        <f t="shared" si="466"/>
        <v>178500</v>
      </c>
      <c r="W475" s="62">
        <f t="shared" si="466"/>
        <v>178500</v>
      </c>
      <c r="X475" s="62">
        <f t="shared" si="466"/>
        <v>178500</v>
      </c>
      <c r="Y475" s="62">
        <f t="shared" si="466"/>
        <v>178500</v>
      </c>
      <c r="Z475" s="62">
        <f t="shared" si="466"/>
        <v>178500</v>
      </c>
      <c r="AA475" s="62">
        <f t="shared" si="466"/>
        <v>178500</v>
      </c>
      <c r="AB475" s="62">
        <f t="shared" si="466"/>
        <v>178500</v>
      </c>
      <c r="AC475" s="62">
        <f t="shared" si="466"/>
        <v>178500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435922.78488425701</v>
      </c>
      <c r="C478" s="63">
        <f t="shared" ref="C478:AC478" si="467">((1+C463)^C470)*C463/(((1+C463)^C470)-1)*(C459)</f>
        <v>435922.78488425701</v>
      </c>
      <c r="D478" s="63">
        <f t="shared" si="467"/>
        <v>435922.78488425701</v>
      </c>
      <c r="E478" s="63">
        <f t="shared" si="467"/>
        <v>435922.78488425701</v>
      </c>
      <c r="F478" s="63">
        <f t="shared" si="467"/>
        <v>435922.78488425701</v>
      </c>
      <c r="G478" s="63">
        <f t="shared" si="467"/>
        <v>435922.78488425701</v>
      </c>
      <c r="H478" s="63">
        <f t="shared" si="467"/>
        <v>435922.78488425701</v>
      </c>
      <c r="I478" s="63">
        <f t="shared" si="467"/>
        <v>435922.78488425701</v>
      </c>
      <c r="J478" s="63">
        <f t="shared" si="467"/>
        <v>435922.78488425701</v>
      </c>
      <c r="K478" s="63">
        <f t="shared" si="467"/>
        <v>435922.78488425701</v>
      </c>
      <c r="L478" s="63">
        <f t="shared" si="467"/>
        <v>435922.78488425701</v>
      </c>
      <c r="M478" s="63">
        <f t="shared" si="467"/>
        <v>435922.78488425701</v>
      </c>
      <c r="N478" s="63">
        <f t="shared" si="467"/>
        <v>435922.78488425701</v>
      </c>
      <c r="O478" s="63">
        <f t="shared" si="467"/>
        <v>435922.78488425701</v>
      </c>
      <c r="P478" s="63">
        <f t="shared" si="467"/>
        <v>435922.78488425701</v>
      </c>
      <c r="Q478" s="63">
        <f t="shared" si="467"/>
        <v>435922.78488425701</v>
      </c>
      <c r="R478" s="63">
        <f t="shared" si="467"/>
        <v>435922.78488425701</v>
      </c>
      <c r="S478" s="63">
        <f t="shared" si="467"/>
        <v>435922.78488425701</v>
      </c>
      <c r="T478" s="63">
        <f t="shared" si="467"/>
        <v>435922.78488425701</v>
      </c>
      <c r="U478" s="63">
        <f t="shared" si="467"/>
        <v>435922.78488425701</v>
      </c>
      <c r="V478" s="63">
        <f t="shared" si="467"/>
        <v>435922.78488425701</v>
      </c>
      <c r="W478" s="63">
        <f t="shared" si="467"/>
        <v>435922.78488425701</v>
      </c>
      <c r="X478" s="63">
        <f t="shared" si="467"/>
        <v>435922.78488425701</v>
      </c>
      <c r="Y478" s="63">
        <f t="shared" si="467"/>
        <v>435922.78488425701</v>
      </c>
      <c r="Z478" s="63">
        <f t="shared" si="467"/>
        <v>435922.78488425701</v>
      </c>
      <c r="AA478" s="63">
        <f t="shared" si="467"/>
        <v>435922.78488425701</v>
      </c>
      <c r="AB478" s="63">
        <f t="shared" si="467"/>
        <v>435922.78488425701</v>
      </c>
      <c r="AC478" s="63">
        <f t="shared" si="467"/>
        <v>435922.78488425701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-65388.417732638554</v>
      </c>
      <c r="C479" s="62">
        <f t="shared" ref="C479:AC479" si="468">((1+C463)^C470)*C463/(((1+C463)^C470)-1)*(C460)</f>
        <v>-65388.417732638554</v>
      </c>
      <c r="D479" s="62">
        <f t="shared" si="468"/>
        <v>-65388.417732638554</v>
      </c>
      <c r="E479" s="62">
        <f t="shared" si="468"/>
        <v>-65388.417732638554</v>
      </c>
      <c r="F479" s="62">
        <f t="shared" si="468"/>
        <v>-65388.417732638554</v>
      </c>
      <c r="G479" s="62">
        <f t="shared" si="468"/>
        <v>-65388.417732638554</v>
      </c>
      <c r="H479" s="62">
        <f t="shared" si="468"/>
        <v>-65388.417732638554</v>
      </c>
      <c r="I479" s="62">
        <f t="shared" si="468"/>
        <v>-65388.417732638554</v>
      </c>
      <c r="J479" s="62">
        <f t="shared" si="468"/>
        <v>-65388.417732638554</v>
      </c>
      <c r="K479" s="62">
        <f t="shared" si="468"/>
        <v>-65388.417732638554</v>
      </c>
      <c r="L479" s="62">
        <f t="shared" si="468"/>
        <v>-65388.417732638554</v>
      </c>
      <c r="M479" s="62">
        <f t="shared" si="468"/>
        <v>-65388.417732638554</v>
      </c>
      <c r="N479" s="62">
        <f t="shared" si="468"/>
        <v>-65388.417732638554</v>
      </c>
      <c r="O479" s="62">
        <f t="shared" si="468"/>
        <v>-65388.417732638554</v>
      </c>
      <c r="P479" s="62">
        <f t="shared" si="468"/>
        <v>-65388.417732638554</v>
      </c>
      <c r="Q479" s="62">
        <f t="shared" si="468"/>
        <v>-65388.417732638554</v>
      </c>
      <c r="R479" s="62">
        <f t="shared" si="468"/>
        <v>-65388.417732638554</v>
      </c>
      <c r="S479" s="62">
        <f t="shared" si="468"/>
        <v>-65388.417732638554</v>
      </c>
      <c r="T479" s="62">
        <f t="shared" si="468"/>
        <v>-65388.417732638554</v>
      </c>
      <c r="U479" s="62">
        <f t="shared" si="468"/>
        <v>-65388.417732638554</v>
      </c>
      <c r="V479" s="62">
        <f t="shared" si="468"/>
        <v>-65388.417732638554</v>
      </c>
      <c r="W479" s="62">
        <f t="shared" si="468"/>
        <v>-65388.417732638554</v>
      </c>
      <c r="X479" s="62">
        <f t="shared" si="468"/>
        <v>-65388.417732638554</v>
      </c>
      <c r="Y479" s="62">
        <f t="shared" si="468"/>
        <v>-65388.417732638554</v>
      </c>
      <c r="Z479" s="62">
        <f t="shared" si="468"/>
        <v>-65388.417732638554</v>
      </c>
      <c r="AA479" s="62">
        <f t="shared" si="468"/>
        <v>-65388.417732638554</v>
      </c>
      <c r="AB479" s="62">
        <f t="shared" si="468"/>
        <v>-65388.417732638554</v>
      </c>
      <c r="AC479" s="62">
        <f t="shared" si="468"/>
        <v>-65388.417732638554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469">((1+C463)^C471)*C463/(((1+C463)^C471)-1)*(C461)</f>
        <v>254271.19021516517</v>
      </c>
      <c r="D480" s="62">
        <f t="shared" si="469"/>
        <v>254271.19021516517</v>
      </c>
      <c r="E480" s="62">
        <f t="shared" si="469"/>
        <v>254271.19021516517</v>
      </c>
      <c r="F480" s="62">
        <f t="shared" si="469"/>
        <v>254271.19021516517</v>
      </c>
      <c r="G480" s="62">
        <f t="shared" si="469"/>
        <v>254271.19021516517</v>
      </c>
      <c r="H480" s="62">
        <f t="shared" si="469"/>
        <v>254271.19021516517</v>
      </c>
      <c r="I480" s="62">
        <f t="shared" si="469"/>
        <v>254271.19021516517</v>
      </c>
      <c r="J480" s="62">
        <f t="shared" si="469"/>
        <v>254271.19021516517</v>
      </c>
      <c r="K480" s="62">
        <f t="shared" si="469"/>
        <v>254271.19021516517</v>
      </c>
      <c r="L480" s="62">
        <f t="shared" si="469"/>
        <v>254271.19021516517</v>
      </c>
      <c r="M480" s="62">
        <f t="shared" si="469"/>
        <v>254271.19021516517</v>
      </c>
      <c r="N480" s="62">
        <f t="shared" si="469"/>
        <v>254271.19021516517</v>
      </c>
      <c r="O480" s="62">
        <f t="shared" si="469"/>
        <v>254271.19021516517</v>
      </c>
      <c r="P480" s="62">
        <f t="shared" si="469"/>
        <v>254271.19021516517</v>
      </c>
      <c r="Q480" s="62">
        <f t="shared" si="469"/>
        <v>254271.19021516517</v>
      </c>
      <c r="R480" s="62">
        <f t="shared" si="469"/>
        <v>254271.19021516517</v>
      </c>
      <c r="S480" s="62">
        <f t="shared" si="469"/>
        <v>254271.19021516517</v>
      </c>
      <c r="T480" s="62">
        <f t="shared" si="469"/>
        <v>254271.19021516517</v>
      </c>
      <c r="U480" s="62">
        <f t="shared" si="469"/>
        <v>254271.19021516517</v>
      </c>
      <c r="V480" s="62">
        <f t="shared" si="469"/>
        <v>254271.19021516517</v>
      </c>
      <c r="W480" s="62">
        <f t="shared" si="469"/>
        <v>254271.19021516517</v>
      </c>
      <c r="X480" s="62">
        <f t="shared" si="469"/>
        <v>254271.19021516517</v>
      </c>
      <c r="Y480" s="62">
        <f t="shared" si="469"/>
        <v>254271.19021516517</v>
      </c>
      <c r="Z480" s="62">
        <f t="shared" si="469"/>
        <v>254271.19021516517</v>
      </c>
      <c r="AA480" s="62">
        <f t="shared" si="469"/>
        <v>254271.19021516517</v>
      </c>
      <c r="AB480" s="62">
        <f t="shared" si="469"/>
        <v>254271.19021516517</v>
      </c>
      <c r="AC480" s="62">
        <f t="shared" si="469"/>
        <v>254271.19021516517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470">((1+C463)^C471)*C463/(((1+C463)^C471)-1)*(C462)</f>
        <v>-12713.559510758259</v>
      </c>
      <c r="D481" s="62">
        <f t="shared" si="470"/>
        <v>-12713.559510758259</v>
      </c>
      <c r="E481" s="62">
        <f t="shared" si="470"/>
        <v>-12713.559510758259</v>
      </c>
      <c r="F481" s="62">
        <f t="shared" si="470"/>
        <v>-12713.559510758259</v>
      </c>
      <c r="G481" s="62">
        <f t="shared" si="470"/>
        <v>-12713.559510758259</v>
      </c>
      <c r="H481" s="62">
        <f t="shared" si="470"/>
        <v>-12713.559510758259</v>
      </c>
      <c r="I481" s="62">
        <f t="shared" si="470"/>
        <v>-12713.559510758259</v>
      </c>
      <c r="J481" s="62">
        <f t="shared" si="470"/>
        <v>-12713.559510758259</v>
      </c>
      <c r="K481" s="62">
        <f t="shared" si="470"/>
        <v>-12713.559510758259</v>
      </c>
      <c r="L481" s="62">
        <f t="shared" si="470"/>
        <v>-12713.559510758259</v>
      </c>
      <c r="M481" s="62">
        <f t="shared" si="470"/>
        <v>-12713.559510758259</v>
      </c>
      <c r="N481" s="62">
        <f t="shared" si="470"/>
        <v>-12713.559510758259</v>
      </c>
      <c r="O481" s="62">
        <f t="shared" si="470"/>
        <v>-12713.559510758259</v>
      </c>
      <c r="P481" s="62">
        <f t="shared" si="470"/>
        <v>-12713.559510758259</v>
      </c>
      <c r="Q481" s="62">
        <f t="shared" si="470"/>
        <v>-12713.559510758259</v>
      </c>
      <c r="R481" s="62">
        <f t="shared" si="470"/>
        <v>-12713.559510758259</v>
      </c>
      <c r="S481" s="62">
        <f t="shared" si="470"/>
        <v>-12713.559510758259</v>
      </c>
      <c r="T481" s="62">
        <f t="shared" si="470"/>
        <v>-12713.559510758259</v>
      </c>
      <c r="U481" s="62">
        <f t="shared" si="470"/>
        <v>-12713.559510758259</v>
      </c>
      <c r="V481" s="62">
        <f t="shared" si="470"/>
        <v>-12713.559510758259</v>
      </c>
      <c r="W481" s="62">
        <f t="shared" si="470"/>
        <v>-12713.559510758259</v>
      </c>
      <c r="X481" s="62">
        <f t="shared" si="470"/>
        <v>-12713.559510758259</v>
      </c>
      <c r="Y481" s="62">
        <f t="shared" si="470"/>
        <v>-12713.559510758259</v>
      </c>
      <c r="Z481" s="62">
        <f t="shared" si="470"/>
        <v>-12713.559510758259</v>
      </c>
      <c r="AA481" s="62">
        <f t="shared" si="470"/>
        <v>-12713.559510758259</v>
      </c>
      <c r="AB481" s="62">
        <f t="shared" si="470"/>
        <v>-12713.559510758259</v>
      </c>
      <c r="AC481" s="62">
        <f t="shared" si="470"/>
        <v>-12713.559510758259</v>
      </c>
    </row>
    <row r="482" spans="1:29" x14ac:dyDescent="0.3">
      <c r="A482" s="30" t="str">
        <f t="shared" ref="A482:AC482" si="471">A464</f>
        <v>Opex fix (admin, crew, insurance)</v>
      </c>
      <c r="B482" s="62">
        <f t="shared" si="471"/>
        <v>650000</v>
      </c>
      <c r="C482" s="62">
        <f t="shared" si="471"/>
        <v>650000</v>
      </c>
      <c r="D482" s="62">
        <f t="shared" si="471"/>
        <v>650000</v>
      </c>
      <c r="E482" s="62">
        <f t="shared" si="471"/>
        <v>650000</v>
      </c>
      <c r="F482" s="62">
        <f t="shared" si="471"/>
        <v>650000</v>
      </c>
      <c r="G482" s="62">
        <f t="shared" si="471"/>
        <v>650000</v>
      </c>
      <c r="H482" s="62">
        <f t="shared" si="471"/>
        <v>650000</v>
      </c>
      <c r="I482" s="62">
        <f t="shared" si="471"/>
        <v>650000</v>
      </c>
      <c r="J482" s="62">
        <f t="shared" si="471"/>
        <v>650000</v>
      </c>
      <c r="K482" s="62">
        <f t="shared" si="471"/>
        <v>650000</v>
      </c>
      <c r="L482" s="62">
        <f t="shared" si="471"/>
        <v>650000</v>
      </c>
      <c r="M482" s="62">
        <f t="shared" si="471"/>
        <v>650000</v>
      </c>
      <c r="N482" s="62">
        <f t="shared" si="471"/>
        <v>650000</v>
      </c>
      <c r="O482" s="62">
        <f t="shared" si="471"/>
        <v>650000</v>
      </c>
      <c r="P482" s="62">
        <f t="shared" si="471"/>
        <v>650000</v>
      </c>
      <c r="Q482" s="62">
        <f t="shared" si="471"/>
        <v>650000</v>
      </c>
      <c r="R482" s="62">
        <f t="shared" si="471"/>
        <v>650000</v>
      </c>
      <c r="S482" s="62">
        <f t="shared" si="471"/>
        <v>650000</v>
      </c>
      <c r="T482" s="62">
        <f t="shared" si="471"/>
        <v>650000</v>
      </c>
      <c r="U482" s="62">
        <f t="shared" si="471"/>
        <v>650000</v>
      </c>
      <c r="V482" s="62">
        <f t="shared" si="471"/>
        <v>650000</v>
      </c>
      <c r="W482" s="62">
        <f t="shared" si="471"/>
        <v>650000</v>
      </c>
      <c r="X482" s="62">
        <f t="shared" si="471"/>
        <v>650000</v>
      </c>
      <c r="Y482" s="62">
        <f t="shared" si="471"/>
        <v>650000</v>
      </c>
      <c r="Z482" s="62">
        <f t="shared" si="471"/>
        <v>650000</v>
      </c>
      <c r="AA482" s="62">
        <f t="shared" si="471"/>
        <v>650000</v>
      </c>
      <c r="AB482" s="62">
        <f t="shared" si="471"/>
        <v>650000</v>
      </c>
      <c r="AC482" s="62">
        <f t="shared" si="471"/>
        <v>650000</v>
      </c>
    </row>
    <row r="483" spans="1:29" x14ac:dyDescent="0.3">
      <c r="A483" s="30" t="str">
        <f t="shared" ref="A483:AC483" si="472">A465</f>
        <v>Opex maintenance &amp; repair</v>
      </c>
      <c r="B483" s="62">
        <f t="shared" si="472"/>
        <v>650000</v>
      </c>
      <c r="C483" s="62">
        <f t="shared" si="472"/>
        <v>650000</v>
      </c>
      <c r="D483" s="62">
        <f t="shared" si="472"/>
        <v>650000</v>
      </c>
      <c r="E483" s="62">
        <f t="shared" si="472"/>
        <v>650000</v>
      </c>
      <c r="F483" s="62">
        <f t="shared" si="472"/>
        <v>650000</v>
      </c>
      <c r="G483" s="62">
        <f t="shared" si="472"/>
        <v>650000</v>
      </c>
      <c r="H483" s="62">
        <f t="shared" si="472"/>
        <v>650000</v>
      </c>
      <c r="I483" s="62">
        <f t="shared" si="472"/>
        <v>650000</v>
      </c>
      <c r="J483" s="62">
        <f t="shared" si="472"/>
        <v>650000</v>
      </c>
      <c r="K483" s="62">
        <f t="shared" si="472"/>
        <v>650000</v>
      </c>
      <c r="L483" s="62">
        <f t="shared" si="472"/>
        <v>650000</v>
      </c>
      <c r="M483" s="62">
        <f t="shared" si="472"/>
        <v>650000</v>
      </c>
      <c r="N483" s="62">
        <f t="shared" si="472"/>
        <v>650000</v>
      </c>
      <c r="O483" s="62">
        <f t="shared" si="472"/>
        <v>650000</v>
      </c>
      <c r="P483" s="62">
        <f t="shared" si="472"/>
        <v>650000</v>
      </c>
      <c r="Q483" s="62">
        <f t="shared" si="472"/>
        <v>650000</v>
      </c>
      <c r="R483" s="62">
        <f t="shared" si="472"/>
        <v>650000</v>
      </c>
      <c r="S483" s="62">
        <f t="shared" si="472"/>
        <v>650000</v>
      </c>
      <c r="T483" s="62">
        <f t="shared" si="472"/>
        <v>650000</v>
      </c>
      <c r="U483" s="62">
        <f t="shared" si="472"/>
        <v>650000</v>
      </c>
      <c r="V483" s="62">
        <f t="shared" si="472"/>
        <v>650000</v>
      </c>
      <c r="W483" s="62">
        <f t="shared" si="472"/>
        <v>650000</v>
      </c>
      <c r="X483" s="62">
        <f t="shared" si="472"/>
        <v>650000</v>
      </c>
      <c r="Y483" s="62">
        <f t="shared" si="472"/>
        <v>650000</v>
      </c>
      <c r="Z483" s="62">
        <f t="shared" si="472"/>
        <v>650000</v>
      </c>
      <c r="AA483" s="62">
        <f t="shared" si="472"/>
        <v>650000</v>
      </c>
      <c r="AB483" s="62">
        <f t="shared" si="472"/>
        <v>650000</v>
      </c>
      <c r="AC483" s="62">
        <f t="shared" si="472"/>
        <v>650000</v>
      </c>
    </row>
    <row r="484" spans="1:29" x14ac:dyDescent="0.3">
      <c r="A484" s="30" t="str">
        <f>A466</f>
        <v>Opex var (mode-fees, shunting)</v>
      </c>
      <c r="B484" s="62">
        <f>B466*B475</f>
        <v>700000</v>
      </c>
      <c r="C484" s="62">
        <f t="shared" ref="C484:AC484" si="473">C466*C475</f>
        <v>700000</v>
      </c>
      <c r="D484" s="62">
        <f t="shared" si="473"/>
        <v>700000</v>
      </c>
      <c r="E484" s="62">
        <f t="shared" si="473"/>
        <v>700000</v>
      </c>
      <c r="F484" s="62">
        <f t="shared" si="473"/>
        <v>700000</v>
      </c>
      <c r="G484" s="62">
        <f t="shared" si="473"/>
        <v>700000</v>
      </c>
      <c r="H484" s="62">
        <f t="shared" si="473"/>
        <v>700000</v>
      </c>
      <c r="I484" s="62">
        <f t="shared" si="473"/>
        <v>700000</v>
      </c>
      <c r="J484" s="62">
        <f t="shared" si="473"/>
        <v>700000</v>
      </c>
      <c r="K484" s="62">
        <f t="shared" si="473"/>
        <v>700000</v>
      </c>
      <c r="L484" s="62">
        <f t="shared" si="473"/>
        <v>700000</v>
      </c>
      <c r="M484" s="62">
        <f t="shared" si="473"/>
        <v>700000</v>
      </c>
      <c r="N484" s="62">
        <f t="shared" si="473"/>
        <v>700000</v>
      </c>
      <c r="O484" s="62">
        <f t="shared" si="473"/>
        <v>700000</v>
      </c>
      <c r="P484" s="62">
        <f t="shared" si="473"/>
        <v>700000</v>
      </c>
      <c r="Q484" s="62">
        <f t="shared" si="473"/>
        <v>700000</v>
      </c>
      <c r="R484" s="62">
        <f t="shared" si="473"/>
        <v>700000</v>
      </c>
      <c r="S484" s="62">
        <f t="shared" si="473"/>
        <v>700000</v>
      </c>
      <c r="T484" s="62">
        <f t="shared" si="473"/>
        <v>700000</v>
      </c>
      <c r="U484" s="62">
        <f t="shared" si="473"/>
        <v>700000</v>
      </c>
      <c r="V484" s="62">
        <f t="shared" si="473"/>
        <v>700000</v>
      </c>
      <c r="W484" s="62">
        <f t="shared" si="473"/>
        <v>700000</v>
      </c>
      <c r="X484" s="62">
        <f t="shared" si="473"/>
        <v>700000</v>
      </c>
      <c r="Y484" s="62">
        <f t="shared" si="473"/>
        <v>700000</v>
      </c>
      <c r="Z484" s="62">
        <f t="shared" si="473"/>
        <v>700000</v>
      </c>
      <c r="AA484" s="62">
        <f t="shared" si="473"/>
        <v>700000</v>
      </c>
      <c r="AB484" s="62">
        <f t="shared" si="473"/>
        <v>700000</v>
      </c>
      <c r="AC484" s="62">
        <f t="shared" si="473"/>
        <v>700000</v>
      </c>
    </row>
    <row r="485" spans="1:29" x14ac:dyDescent="0.3">
      <c r="A485" s="30" t="str">
        <f>A468</f>
        <v>Fuel Cost</v>
      </c>
      <c r="B485" s="62">
        <f>B467*B468*B475</f>
        <v>421321.32967772055</v>
      </c>
      <c r="C485" s="62">
        <f t="shared" ref="C485:AC485" si="474">C467*C468*C475</f>
        <v>420823.97286455205</v>
      </c>
      <c r="D485" s="62">
        <f t="shared" si="474"/>
        <v>420117.79748684121</v>
      </c>
      <c r="E485" s="62">
        <f t="shared" si="474"/>
        <v>419119.68644956814</v>
      </c>
      <c r="F485" s="62">
        <f t="shared" si="474"/>
        <v>417718.35656065156</v>
      </c>
      <c r="G485" s="62">
        <f t="shared" si="474"/>
        <v>415769.99931655545</v>
      </c>
      <c r="H485" s="62">
        <f t="shared" si="474"/>
        <v>413098.8744230892</v>
      </c>
      <c r="I485" s="62">
        <f t="shared" si="474"/>
        <v>409509.1687924423</v>
      </c>
      <c r="J485" s="62">
        <f t="shared" si="474"/>
        <v>404816.73005306005</v>
      </c>
      <c r="K485" s="62">
        <f t="shared" si="474"/>
        <v>398907.39658589731</v>
      </c>
      <c r="L485" s="62">
        <f t="shared" si="474"/>
        <v>391816.36605274561</v>
      </c>
      <c r="M485" s="62">
        <f t="shared" si="474"/>
        <v>383798.01554605074</v>
      </c>
      <c r="N485" s="62">
        <f t="shared" si="474"/>
        <v>375333.07581459719</v>
      </c>
      <c r="O485" s="62">
        <f t="shared" si="474"/>
        <v>367034.710263833</v>
      </c>
      <c r="P485" s="62">
        <f t="shared" si="474"/>
        <v>359480.53729311289</v>
      </c>
      <c r="Q485" s="62">
        <f t="shared" si="474"/>
        <v>353060.56600291858</v>
      </c>
      <c r="R485" s="62">
        <f t="shared" si="474"/>
        <v>347919.3187511891</v>
      </c>
      <c r="S485" s="62">
        <f t="shared" si="474"/>
        <v>343996.31891328277</v>
      </c>
      <c r="T485" s="62">
        <f t="shared" si="474"/>
        <v>341112.59940737992</v>
      </c>
      <c r="U485" s="62">
        <f t="shared" si="474"/>
        <v>339050.78167846147</v>
      </c>
      <c r="V485" s="62">
        <f t="shared" si="474"/>
        <v>337605.75193901127</v>
      </c>
      <c r="W485" s="62">
        <f t="shared" si="474"/>
        <v>336607.14757058211</v>
      </c>
      <c r="X485" s="62">
        <f t="shared" si="474"/>
        <v>335923.75283890165</v>
      </c>
      <c r="Y485" s="62">
        <f t="shared" si="474"/>
        <v>335459.19329109037</v>
      </c>
      <c r="Z485" s="62">
        <f t="shared" si="474"/>
        <v>335144.83101442864</v>
      </c>
      <c r="AA485" s="62">
        <f t="shared" si="474"/>
        <v>334932.76189439202</v>
      </c>
      <c r="AB485" s="62">
        <f t="shared" si="474"/>
        <v>334789.99801625329</v>
      </c>
      <c r="AC485" s="62">
        <f t="shared" si="474"/>
        <v>334694.02505379106</v>
      </c>
    </row>
    <row r="486" spans="1:29" ht="15" thickBot="1" x14ac:dyDescent="0.35">
      <c r="A486" s="59" t="str">
        <f>A449</f>
        <v>Emission Cost</v>
      </c>
      <c r="B486" s="62">
        <f>B469*B475</f>
        <v>10544.005855055664</v>
      </c>
      <c r="C486" s="62">
        <f t="shared" ref="C486:AC486" si="475">C469*C475</f>
        <v>10533.965392416821</v>
      </c>
      <c r="D486" s="62">
        <f t="shared" si="475"/>
        <v>10519.592693782588</v>
      </c>
      <c r="E486" s="62">
        <f t="shared" si="475"/>
        <v>10499.031537652969</v>
      </c>
      <c r="F486" s="62">
        <f t="shared" si="475"/>
        <v>10469.645108499386</v>
      </c>
      <c r="G486" s="62">
        <f t="shared" si="475"/>
        <v>10427.704323426529</v>
      </c>
      <c r="H486" s="62">
        <f t="shared" si="475"/>
        <v>10367.97035628193</v>
      </c>
      <c r="I486" s="62">
        <f t="shared" si="475"/>
        <v>10283.156685907605</v>
      </c>
      <c r="J486" s="62">
        <f t="shared" si="475"/>
        <v>10163.280712906857</v>
      </c>
      <c r="K486" s="62">
        <f t="shared" si="475"/>
        <v>9994.9770095555086</v>
      </c>
      <c r="L486" s="62">
        <f t="shared" si="475"/>
        <v>9760.9737657609166</v>
      </c>
      <c r="M486" s="62">
        <f t="shared" si="475"/>
        <v>9440.1640725972939</v>
      </c>
      <c r="N486" s="62">
        <f t="shared" si="475"/>
        <v>9009.0302215623033</v>
      </c>
      <c r="O486" s="62">
        <f t="shared" si="475"/>
        <v>8445.4549893249241</v>
      </c>
      <c r="P486" s="62">
        <f t="shared" si="475"/>
        <v>7735.7272408998442</v>
      </c>
      <c r="Q486" s="62">
        <f t="shared" si="475"/>
        <v>6884.0743155279552</v>
      </c>
      <c r="R486" s="62">
        <f t="shared" si="475"/>
        <v>5921.0476251536802</v>
      </c>
      <c r="S486" s="62">
        <f t="shared" si="475"/>
        <v>4904.3842993246444</v>
      </c>
      <c r="T486" s="62">
        <f t="shared" si="475"/>
        <v>3907.7270061325112</v>
      </c>
      <c r="U486" s="62">
        <f t="shared" si="475"/>
        <v>3000.4493573900195</v>
      </c>
      <c r="V486" s="62">
        <f t="shared" si="475"/>
        <v>2229.3925547806143</v>
      </c>
      <c r="W486" s="62">
        <f t="shared" si="475"/>
        <v>1611.9141443400931</v>
      </c>
      <c r="X486" s="62">
        <f t="shared" si="475"/>
        <v>1140.7507115264134</v>
      </c>
      <c r="Y486" s="62">
        <f t="shared" si="475"/>
        <v>794.40780104642397</v>
      </c>
      <c r="Z486" s="62">
        <f t="shared" si="475"/>
        <v>546.77763047986764</v>
      </c>
      <c r="AA486" s="62">
        <f t="shared" si="475"/>
        <v>373.22545084975752</v>
      </c>
      <c r="AB486" s="62">
        <f t="shared" si="475"/>
        <v>253.29022737472138</v>
      </c>
      <c r="AC486" s="62">
        <f t="shared" si="475"/>
        <v>171.21257734932524</v>
      </c>
    </row>
    <row r="487" spans="1:29" ht="15" thickBot="1" x14ac:dyDescent="0.35">
      <c r="A487" s="31" t="s">
        <v>209</v>
      </c>
      <c r="B487" s="64">
        <f>B478+B479+B480+B481+B482+B483+B484+B485+B486</f>
        <v>3043957.3333888017</v>
      </c>
      <c r="C487" s="64">
        <f t="shared" ref="C487:AC487" si="476">C478+C479+C480+C481+C482+C483+C484+C485+C486</f>
        <v>3043449.9361129943</v>
      </c>
      <c r="D487" s="64">
        <f t="shared" si="476"/>
        <v>3042729.3880366492</v>
      </c>
      <c r="E487" s="64">
        <f t="shared" si="476"/>
        <v>3041710.7158432468</v>
      </c>
      <c r="F487" s="64">
        <f t="shared" si="476"/>
        <v>3040279.9995251768</v>
      </c>
      <c r="G487" s="64">
        <f t="shared" si="476"/>
        <v>3038289.7014960074</v>
      </c>
      <c r="H487" s="64">
        <f t="shared" si="476"/>
        <v>3035558.8426353969</v>
      </c>
      <c r="I487" s="64">
        <f t="shared" si="476"/>
        <v>3031884.3233343754</v>
      </c>
      <c r="J487" s="64">
        <f t="shared" si="476"/>
        <v>3027072.0086219925</v>
      </c>
      <c r="K487" s="64">
        <f t="shared" si="476"/>
        <v>3020994.3714514785</v>
      </c>
      <c r="L487" s="64">
        <f t="shared" si="476"/>
        <v>3013669.3376745326</v>
      </c>
      <c r="M487" s="64">
        <f t="shared" si="476"/>
        <v>3005330.1774746738</v>
      </c>
      <c r="N487" s="64">
        <f t="shared" si="476"/>
        <v>2996434.1038921853</v>
      </c>
      <c r="O487" s="64">
        <f t="shared" si="476"/>
        <v>2987572.1631091833</v>
      </c>
      <c r="P487" s="64">
        <f t="shared" si="476"/>
        <v>2979308.2623900385</v>
      </c>
      <c r="Q487" s="64">
        <f t="shared" si="476"/>
        <v>2972036.6381744719</v>
      </c>
      <c r="R487" s="64">
        <f t="shared" si="476"/>
        <v>2965932.3642323683</v>
      </c>
      <c r="S487" s="64">
        <f t="shared" si="476"/>
        <v>2960992.7010686332</v>
      </c>
      <c r="T487" s="64">
        <f t="shared" si="476"/>
        <v>2957112.3242695383</v>
      </c>
      <c r="U487" s="64">
        <f t="shared" si="476"/>
        <v>2954143.228891877</v>
      </c>
      <c r="V487" s="64">
        <f t="shared" si="476"/>
        <v>2951927.1423498173</v>
      </c>
      <c r="W487" s="64">
        <f t="shared" si="476"/>
        <v>2950311.0595709477</v>
      </c>
      <c r="X487" s="64">
        <f t="shared" si="476"/>
        <v>2949156.5014064535</v>
      </c>
      <c r="Y487" s="64">
        <f t="shared" si="476"/>
        <v>2948345.5989481625</v>
      </c>
      <c r="Z487" s="64">
        <f t="shared" si="476"/>
        <v>2947783.6065009343</v>
      </c>
      <c r="AA487" s="64">
        <f t="shared" si="476"/>
        <v>2947397.9852012671</v>
      </c>
      <c r="AB487" s="64">
        <f t="shared" si="476"/>
        <v>2947135.2860996532</v>
      </c>
      <c r="AC487" s="64">
        <f t="shared" si="476"/>
        <v>2946957.2354871663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477">A478</f>
        <v>Capex vehicle</v>
      </c>
      <c r="B490" s="65">
        <f>((1+B463)^B470)*B463/(((1+B463)^B470)-1)*(B459)/B475</f>
        <v>2.4421444531330927</v>
      </c>
      <c r="C490" s="65">
        <f t="shared" ref="C490:AC490" si="478">((1+C463)^C470)*C463/(((1+C463)^C470)-1)*(C459)/C475</f>
        <v>2.4421444531330927</v>
      </c>
      <c r="D490" s="65">
        <f t="shared" si="478"/>
        <v>2.4421444531330927</v>
      </c>
      <c r="E490" s="65">
        <f t="shared" si="478"/>
        <v>2.4421444531330927</v>
      </c>
      <c r="F490" s="65">
        <f t="shared" si="478"/>
        <v>2.4421444531330927</v>
      </c>
      <c r="G490" s="65">
        <f t="shared" si="478"/>
        <v>2.4421444531330927</v>
      </c>
      <c r="H490" s="65">
        <f t="shared" si="478"/>
        <v>2.4421444531330927</v>
      </c>
      <c r="I490" s="65">
        <f t="shared" si="478"/>
        <v>2.4421444531330927</v>
      </c>
      <c r="J490" s="65">
        <f t="shared" si="478"/>
        <v>2.4421444531330927</v>
      </c>
      <c r="K490" s="65">
        <f t="shared" si="478"/>
        <v>2.4421444531330927</v>
      </c>
      <c r="L490" s="65">
        <f t="shared" si="478"/>
        <v>2.4421444531330927</v>
      </c>
      <c r="M490" s="65">
        <f t="shared" si="478"/>
        <v>2.4421444531330927</v>
      </c>
      <c r="N490" s="65">
        <f t="shared" si="478"/>
        <v>2.4421444531330927</v>
      </c>
      <c r="O490" s="65">
        <f t="shared" si="478"/>
        <v>2.4421444531330927</v>
      </c>
      <c r="P490" s="65">
        <f t="shared" si="478"/>
        <v>2.4421444531330927</v>
      </c>
      <c r="Q490" s="65">
        <f t="shared" si="478"/>
        <v>2.4421444531330927</v>
      </c>
      <c r="R490" s="65">
        <f t="shared" si="478"/>
        <v>2.4421444531330927</v>
      </c>
      <c r="S490" s="65">
        <f t="shared" si="478"/>
        <v>2.4421444531330927</v>
      </c>
      <c r="T490" s="65">
        <f t="shared" si="478"/>
        <v>2.4421444531330927</v>
      </c>
      <c r="U490" s="65">
        <f t="shared" si="478"/>
        <v>2.4421444531330927</v>
      </c>
      <c r="V490" s="65">
        <f t="shared" si="478"/>
        <v>2.4421444531330927</v>
      </c>
      <c r="W490" s="65">
        <f t="shared" si="478"/>
        <v>2.4421444531330927</v>
      </c>
      <c r="X490" s="65">
        <f t="shared" si="478"/>
        <v>2.4421444531330927</v>
      </c>
      <c r="Y490" s="65">
        <f t="shared" si="478"/>
        <v>2.4421444531330927</v>
      </c>
      <c r="Z490" s="65">
        <f t="shared" si="478"/>
        <v>2.4421444531330927</v>
      </c>
      <c r="AA490" s="65">
        <f t="shared" si="478"/>
        <v>2.4421444531330927</v>
      </c>
      <c r="AB490" s="65">
        <f t="shared" si="478"/>
        <v>2.4421444531330927</v>
      </c>
      <c r="AC490" s="65">
        <f t="shared" si="478"/>
        <v>2.4421444531330927</v>
      </c>
    </row>
    <row r="491" spans="1:29" x14ac:dyDescent="0.3">
      <c r="A491" s="30" t="str">
        <f t="shared" si="477"/>
        <v>Residual value (vehicle)</v>
      </c>
      <c r="B491" s="66">
        <f>((1+B463)^B470)*B463/(((1+B463)^B470)-1)*(B460)/B475</f>
        <v>-0.3663216679699639</v>
      </c>
      <c r="C491" s="66">
        <f t="shared" ref="C491:AC491" si="479">((1+C463)^C470)*C463/(((1+C463)^C470)-1)*(C460)/C475</f>
        <v>-0.3663216679699639</v>
      </c>
      <c r="D491" s="66">
        <f t="shared" si="479"/>
        <v>-0.3663216679699639</v>
      </c>
      <c r="E491" s="66">
        <f t="shared" si="479"/>
        <v>-0.3663216679699639</v>
      </c>
      <c r="F491" s="66">
        <f t="shared" si="479"/>
        <v>-0.3663216679699639</v>
      </c>
      <c r="G491" s="66">
        <f t="shared" si="479"/>
        <v>-0.3663216679699639</v>
      </c>
      <c r="H491" s="66">
        <f t="shared" si="479"/>
        <v>-0.3663216679699639</v>
      </c>
      <c r="I491" s="66">
        <f t="shared" si="479"/>
        <v>-0.3663216679699639</v>
      </c>
      <c r="J491" s="66">
        <f t="shared" si="479"/>
        <v>-0.3663216679699639</v>
      </c>
      <c r="K491" s="66">
        <f t="shared" si="479"/>
        <v>-0.3663216679699639</v>
      </c>
      <c r="L491" s="66">
        <f t="shared" si="479"/>
        <v>-0.3663216679699639</v>
      </c>
      <c r="M491" s="66">
        <f t="shared" si="479"/>
        <v>-0.3663216679699639</v>
      </c>
      <c r="N491" s="66">
        <f t="shared" si="479"/>
        <v>-0.3663216679699639</v>
      </c>
      <c r="O491" s="66">
        <f t="shared" si="479"/>
        <v>-0.3663216679699639</v>
      </c>
      <c r="P491" s="66">
        <f t="shared" si="479"/>
        <v>-0.3663216679699639</v>
      </c>
      <c r="Q491" s="66">
        <f t="shared" si="479"/>
        <v>-0.3663216679699639</v>
      </c>
      <c r="R491" s="66">
        <f t="shared" si="479"/>
        <v>-0.3663216679699639</v>
      </c>
      <c r="S491" s="66">
        <f t="shared" si="479"/>
        <v>-0.3663216679699639</v>
      </c>
      <c r="T491" s="66">
        <f t="shared" si="479"/>
        <v>-0.3663216679699639</v>
      </c>
      <c r="U491" s="66">
        <f t="shared" si="479"/>
        <v>-0.3663216679699639</v>
      </c>
      <c r="V491" s="66">
        <f t="shared" si="479"/>
        <v>-0.3663216679699639</v>
      </c>
      <c r="W491" s="66">
        <f t="shared" si="479"/>
        <v>-0.3663216679699639</v>
      </c>
      <c r="X491" s="66">
        <f t="shared" si="479"/>
        <v>-0.3663216679699639</v>
      </c>
      <c r="Y491" s="66">
        <f t="shared" si="479"/>
        <v>-0.3663216679699639</v>
      </c>
      <c r="Z491" s="66">
        <f t="shared" si="479"/>
        <v>-0.3663216679699639</v>
      </c>
      <c r="AA491" s="66">
        <f t="shared" si="479"/>
        <v>-0.3663216679699639</v>
      </c>
      <c r="AB491" s="66">
        <f t="shared" si="479"/>
        <v>-0.3663216679699639</v>
      </c>
      <c r="AC491" s="66">
        <f t="shared" si="479"/>
        <v>-0.3663216679699639</v>
      </c>
    </row>
    <row r="492" spans="1:29" x14ac:dyDescent="0.3">
      <c r="A492" s="30" t="str">
        <f t="shared" si="477"/>
        <v>Capex costumization</v>
      </c>
      <c r="B492" s="66">
        <f>((1+B463)^B471)*B463/(((1+B463)^B471)-1)*(B461)/B475</f>
        <v>1.4244884605891606</v>
      </c>
      <c r="C492" s="66">
        <f t="shared" ref="C492:AC492" si="480">((1+C463)^C471)*C463/(((1+C463)^C471)-1)*(C461)/C475</f>
        <v>1.4244884605891606</v>
      </c>
      <c r="D492" s="66">
        <f t="shared" si="480"/>
        <v>1.4244884605891606</v>
      </c>
      <c r="E492" s="66">
        <f t="shared" si="480"/>
        <v>1.4244884605891606</v>
      </c>
      <c r="F492" s="66">
        <f t="shared" si="480"/>
        <v>1.4244884605891606</v>
      </c>
      <c r="G492" s="66">
        <f t="shared" si="480"/>
        <v>1.4244884605891606</v>
      </c>
      <c r="H492" s="66">
        <f t="shared" si="480"/>
        <v>1.4244884605891606</v>
      </c>
      <c r="I492" s="66">
        <f t="shared" si="480"/>
        <v>1.4244884605891606</v>
      </c>
      <c r="J492" s="66">
        <f t="shared" si="480"/>
        <v>1.4244884605891606</v>
      </c>
      <c r="K492" s="66">
        <f t="shared" si="480"/>
        <v>1.4244884605891606</v>
      </c>
      <c r="L492" s="66">
        <f t="shared" si="480"/>
        <v>1.4244884605891606</v>
      </c>
      <c r="M492" s="66">
        <f t="shared" si="480"/>
        <v>1.4244884605891606</v>
      </c>
      <c r="N492" s="66">
        <f t="shared" si="480"/>
        <v>1.4244884605891606</v>
      </c>
      <c r="O492" s="66">
        <f t="shared" si="480"/>
        <v>1.4244884605891606</v>
      </c>
      <c r="P492" s="66">
        <f t="shared" si="480"/>
        <v>1.4244884605891606</v>
      </c>
      <c r="Q492" s="66">
        <f t="shared" si="480"/>
        <v>1.4244884605891606</v>
      </c>
      <c r="R492" s="66">
        <f t="shared" si="480"/>
        <v>1.4244884605891606</v>
      </c>
      <c r="S492" s="66">
        <f t="shared" si="480"/>
        <v>1.4244884605891606</v>
      </c>
      <c r="T492" s="66">
        <f t="shared" si="480"/>
        <v>1.4244884605891606</v>
      </c>
      <c r="U492" s="66">
        <f t="shared" si="480"/>
        <v>1.4244884605891606</v>
      </c>
      <c r="V492" s="66">
        <f t="shared" si="480"/>
        <v>1.4244884605891606</v>
      </c>
      <c r="W492" s="66">
        <f t="shared" si="480"/>
        <v>1.4244884605891606</v>
      </c>
      <c r="X492" s="66">
        <f t="shared" si="480"/>
        <v>1.4244884605891606</v>
      </c>
      <c r="Y492" s="66">
        <f t="shared" si="480"/>
        <v>1.4244884605891606</v>
      </c>
      <c r="Z492" s="66">
        <f t="shared" si="480"/>
        <v>1.4244884605891606</v>
      </c>
      <c r="AA492" s="66">
        <f t="shared" si="480"/>
        <v>1.4244884605891606</v>
      </c>
      <c r="AB492" s="66">
        <f t="shared" si="480"/>
        <v>1.4244884605891606</v>
      </c>
      <c r="AC492" s="66">
        <f t="shared" si="480"/>
        <v>1.4244884605891606</v>
      </c>
    </row>
    <row r="493" spans="1:29" x14ac:dyDescent="0.3">
      <c r="A493" s="30" t="str">
        <f t="shared" si="477"/>
        <v>Residual value (costumization)</v>
      </c>
      <c r="B493" s="66">
        <f>((1+B463)^B471)*B463/(((1+B463)^B471)-1)*(B462)/B475</f>
        <v>-7.1224423029458042E-2</v>
      </c>
      <c r="C493" s="66">
        <f t="shared" ref="C493:AC493" si="481">((1+C463)^C471)*C463/(((1+C463)^C471)-1)*(C462)/C475</f>
        <v>-7.1224423029458042E-2</v>
      </c>
      <c r="D493" s="66">
        <f t="shared" si="481"/>
        <v>-7.1224423029458042E-2</v>
      </c>
      <c r="E493" s="66">
        <f t="shared" si="481"/>
        <v>-7.1224423029458042E-2</v>
      </c>
      <c r="F493" s="66">
        <f t="shared" si="481"/>
        <v>-7.1224423029458042E-2</v>
      </c>
      <c r="G493" s="66">
        <f t="shared" si="481"/>
        <v>-7.1224423029458042E-2</v>
      </c>
      <c r="H493" s="66">
        <f t="shared" si="481"/>
        <v>-7.1224423029458042E-2</v>
      </c>
      <c r="I493" s="66">
        <f t="shared" si="481"/>
        <v>-7.1224423029458042E-2</v>
      </c>
      <c r="J493" s="66">
        <f t="shared" si="481"/>
        <v>-7.1224423029458042E-2</v>
      </c>
      <c r="K493" s="66">
        <f t="shared" si="481"/>
        <v>-7.1224423029458042E-2</v>
      </c>
      <c r="L493" s="66">
        <f t="shared" si="481"/>
        <v>-7.1224423029458042E-2</v>
      </c>
      <c r="M493" s="66">
        <f t="shared" si="481"/>
        <v>-7.1224423029458042E-2</v>
      </c>
      <c r="N493" s="66">
        <f t="shared" si="481"/>
        <v>-7.1224423029458042E-2</v>
      </c>
      <c r="O493" s="66">
        <f t="shared" si="481"/>
        <v>-7.1224423029458042E-2</v>
      </c>
      <c r="P493" s="66">
        <f t="shared" si="481"/>
        <v>-7.1224423029458042E-2</v>
      </c>
      <c r="Q493" s="66">
        <f t="shared" si="481"/>
        <v>-7.1224423029458042E-2</v>
      </c>
      <c r="R493" s="66">
        <f t="shared" si="481"/>
        <v>-7.1224423029458042E-2</v>
      </c>
      <c r="S493" s="66">
        <f t="shared" si="481"/>
        <v>-7.1224423029458042E-2</v>
      </c>
      <c r="T493" s="66">
        <f t="shared" si="481"/>
        <v>-7.1224423029458042E-2</v>
      </c>
      <c r="U493" s="66">
        <f t="shared" si="481"/>
        <v>-7.1224423029458042E-2</v>
      </c>
      <c r="V493" s="66">
        <f t="shared" si="481"/>
        <v>-7.1224423029458042E-2</v>
      </c>
      <c r="W493" s="66">
        <f t="shared" si="481"/>
        <v>-7.1224423029458042E-2</v>
      </c>
      <c r="X493" s="66">
        <f t="shared" si="481"/>
        <v>-7.1224423029458042E-2</v>
      </c>
      <c r="Y493" s="66">
        <f t="shared" si="481"/>
        <v>-7.1224423029458042E-2</v>
      </c>
      <c r="Z493" s="66">
        <f t="shared" si="481"/>
        <v>-7.1224423029458042E-2</v>
      </c>
      <c r="AA493" s="66">
        <f t="shared" si="481"/>
        <v>-7.1224423029458042E-2</v>
      </c>
      <c r="AB493" s="66">
        <f t="shared" si="481"/>
        <v>-7.1224423029458042E-2</v>
      </c>
      <c r="AC493" s="66">
        <f t="shared" si="481"/>
        <v>-7.1224423029458042E-2</v>
      </c>
    </row>
    <row r="494" spans="1:29" x14ac:dyDescent="0.3">
      <c r="A494" s="30" t="str">
        <f t="shared" si="477"/>
        <v>Opex fix (admin, crew, insurance)</v>
      </c>
      <c r="B494" s="66">
        <f>B464/B475</f>
        <v>3.6414565826330532</v>
      </c>
      <c r="C494" s="66">
        <f t="shared" ref="C494:AC494" si="482">C464/C475</f>
        <v>3.6414565826330532</v>
      </c>
      <c r="D494" s="66">
        <f t="shared" si="482"/>
        <v>3.6414565826330532</v>
      </c>
      <c r="E494" s="66">
        <f t="shared" si="482"/>
        <v>3.6414565826330532</v>
      </c>
      <c r="F494" s="66">
        <f t="shared" si="482"/>
        <v>3.6414565826330532</v>
      </c>
      <c r="G494" s="66">
        <f t="shared" si="482"/>
        <v>3.6414565826330532</v>
      </c>
      <c r="H494" s="66">
        <f t="shared" si="482"/>
        <v>3.6414565826330532</v>
      </c>
      <c r="I494" s="66">
        <f t="shared" si="482"/>
        <v>3.6414565826330532</v>
      </c>
      <c r="J494" s="66">
        <f t="shared" si="482"/>
        <v>3.6414565826330532</v>
      </c>
      <c r="K494" s="66">
        <f t="shared" si="482"/>
        <v>3.6414565826330532</v>
      </c>
      <c r="L494" s="66">
        <f t="shared" si="482"/>
        <v>3.6414565826330532</v>
      </c>
      <c r="M494" s="66">
        <f t="shared" si="482"/>
        <v>3.6414565826330532</v>
      </c>
      <c r="N494" s="66">
        <f t="shared" si="482"/>
        <v>3.6414565826330532</v>
      </c>
      <c r="O494" s="66">
        <f t="shared" si="482"/>
        <v>3.6414565826330532</v>
      </c>
      <c r="P494" s="66">
        <f t="shared" si="482"/>
        <v>3.6414565826330532</v>
      </c>
      <c r="Q494" s="66">
        <f t="shared" si="482"/>
        <v>3.6414565826330532</v>
      </c>
      <c r="R494" s="66">
        <f t="shared" si="482"/>
        <v>3.6414565826330532</v>
      </c>
      <c r="S494" s="66">
        <f t="shared" si="482"/>
        <v>3.6414565826330532</v>
      </c>
      <c r="T494" s="66">
        <f t="shared" si="482"/>
        <v>3.6414565826330532</v>
      </c>
      <c r="U494" s="66">
        <f t="shared" si="482"/>
        <v>3.6414565826330532</v>
      </c>
      <c r="V494" s="66">
        <f t="shared" si="482"/>
        <v>3.6414565826330532</v>
      </c>
      <c r="W494" s="66">
        <f t="shared" si="482"/>
        <v>3.6414565826330532</v>
      </c>
      <c r="X494" s="66">
        <f t="shared" si="482"/>
        <v>3.6414565826330532</v>
      </c>
      <c r="Y494" s="66">
        <f t="shared" si="482"/>
        <v>3.6414565826330532</v>
      </c>
      <c r="Z494" s="66">
        <f t="shared" si="482"/>
        <v>3.6414565826330532</v>
      </c>
      <c r="AA494" s="66">
        <f t="shared" si="482"/>
        <v>3.6414565826330532</v>
      </c>
      <c r="AB494" s="66">
        <f t="shared" si="482"/>
        <v>3.6414565826330532</v>
      </c>
      <c r="AC494" s="66">
        <f t="shared" si="482"/>
        <v>3.6414565826330532</v>
      </c>
    </row>
    <row r="495" spans="1:29" x14ac:dyDescent="0.3">
      <c r="A495" s="30" t="str">
        <f t="shared" si="477"/>
        <v>Opex maintenance &amp; repair</v>
      </c>
      <c r="B495" s="66">
        <f>B465/B475</f>
        <v>3.6414565826330532</v>
      </c>
      <c r="C495" s="66">
        <f t="shared" ref="C495:AC495" si="483">C465/C475</f>
        <v>3.6414565826330532</v>
      </c>
      <c r="D495" s="66">
        <f t="shared" si="483"/>
        <v>3.6414565826330532</v>
      </c>
      <c r="E495" s="66">
        <f t="shared" si="483"/>
        <v>3.6414565826330532</v>
      </c>
      <c r="F495" s="66">
        <f t="shared" si="483"/>
        <v>3.6414565826330532</v>
      </c>
      <c r="G495" s="66">
        <f t="shared" si="483"/>
        <v>3.6414565826330532</v>
      </c>
      <c r="H495" s="66">
        <f t="shared" si="483"/>
        <v>3.6414565826330532</v>
      </c>
      <c r="I495" s="66">
        <f t="shared" si="483"/>
        <v>3.6414565826330532</v>
      </c>
      <c r="J495" s="66">
        <f t="shared" si="483"/>
        <v>3.6414565826330532</v>
      </c>
      <c r="K495" s="66">
        <f t="shared" si="483"/>
        <v>3.6414565826330532</v>
      </c>
      <c r="L495" s="66">
        <f t="shared" si="483"/>
        <v>3.6414565826330532</v>
      </c>
      <c r="M495" s="66">
        <f t="shared" si="483"/>
        <v>3.6414565826330532</v>
      </c>
      <c r="N495" s="66">
        <f t="shared" si="483"/>
        <v>3.6414565826330532</v>
      </c>
      <c r="O495" s="66">
        <f t="shared" si="483"/>
        <v>3.6414565826330532</v>
      </c>
      <c r="P495" s="66">
        <f t="shared" si="483"/>
        <v>3.6414565826330532</v>
      </c>
      <c r="Q495" s="66">
        <f t="shared" si="483"/>
        <v>3.6414565826330532</v>
      </c>
      <c r="R495" s="66">
        <f t="shared" si="483"/>
        <v>3.6414565826330532</v>
      </c>
      <c r="S495" s="66">
        <f t="shared" si="483"/>
        <v>3.6414565826330532</v>
      </c>
      <c r="T495" s="66">
        <f t="shared" si="483"/>
        <v>3.6414565826330532</v>
      </c>
      <c r="U495" s="66">
        <f t="shared" si="483"/>
        <v>3.6414565826330532</v>
      </c>
      <c r="V495" s="66">
        <f t="shared" si="483"/>
        <v>3.6414565826330532</v>
      </c>
      <c r="W495" s="66">
        <f t="shared" si="483"/>
        <v>3.6414565826330532</v>
      </c>
      <c r="X495" s="66">
        <f t="shared" si="483"/>
        <v>3.6414565826330532</v>
      </c>
      <c r="Y495" s="66">
        <f t="shared" si="483"/>
        <v>3.6414565826330532</v>
      </c>
      <c r="Z495" s="66">
        <f t="shared" si="483"/>
        <v>3.6414565826330532</v>
      </c>
      <c r="AA495" s="66">
        <f t="shared" si="483"/>
        <v>3.6414565826330532</v>
      </c>
      <c r="AB495" s="66">
        <f t="shared" si="483"/>
        <v>3.6414565826330532</v>
      </c>
      <c r="AC495" s="66">
        <f t="shared" si="483"/>
        <v>3.6414565826330532</v>
      </c>
    </row>
    <row r="496" spans="1:29" x14ac:dyDescent="0.3">
      <c r="A496" s="30" t="str">
        <f t="shared" si="477"/>
        <v>Opex var (mode-fees, shunting)</v>
      </c>
      <c r="B496" s="66">
        <f>B466*B475/B475</f>
        <v>3.9215686274509802</v>
      </c>
      <c r="C496" s="66">
        <f t="shared" ref="C496:AC496" si="484">C466*C475/C475</f>
        <v>3.9215686274509802</v>
      </c>
      <c r="D496" s="66">
        <f t="shared" si="484"/>
        <v>3.9215686274509802</v>
      </c>
      <c r="E496" s="66">
        <f t="shared" si="484"/>
        <v>3.9215686274509802</v>
      </c>
      <c r="F496" s="66">
        <f t="shared" si="484"/>
        <v>3.9215686274509802</v>
      </c>
      <c r="G496" s="66">
        <f t="shared" si="484"/>
        <v>3.9215686274509802</v>
      </c>
      <c r="H496" s="66">
        <f t="shared" si="484"/>
        <v>3.9215686274509802</v>
      </c>
      <c r="I496" s="66">
        <f t="shared" si="484"/>
        <v>3.9215686274509802</v>
      </c>
      <c r="J496" s="66">
        <f t="shared" si="484"/>
        <v>3.9215686274509802</v>
      </c>
      <c r="K496" s="66">
        <f t="shared" si="484"/>
        <v>3.9215686274509802</v>
      </c>
      <c r="L496" s="66">
        <f t="shared" si="484"/>
        <v>3.9215686274509802</v>
      </c>
      <c r="M496" s="66">
        <f t="shared" si="484"/>
        <v>3.9215686274509802</v>
      </c>
      <c r="N496" s="66">
        <f t="shared" si="484"/>
        <v>3.9215686274509802</v>
      </c>
      <c r="O496" s="66">
        <f t="shared" si="484"/>
        <v>3.9215686274509802</v>
      </c>
      <c r="P496" s="66">
        <f t="shared" si="484"/>
        <v>3.9215686274509802</v>
      </c>
      <c r="Q496" s="66">
        <f t="shared" si="484"/>
        <v>3.9215686274509802</v>
      </c>
      <c r="R496" s="66">
        <f t="shared" si="484"/>
        <v>3.9215686274509802</v>
      </c>
      <c r="S496" s="66">
        <f t="shared" si="484"/>
        <v>3.9215686274509802</v>
      </c>
      <c r="T496" s="66">
        <f t="shared" si="484"/>
        <v>3.9215686274509802</v>
      </c>
      <c r="U496" s="66">
        <f t="shared" si="484"/>
        <v>3.9215686274509802</v>
      </c>
      <c r="V496" s="66">
        <f t="shared" si="484"/>
        <v>3.9215686274509802</v>
      </c>
      <c r="W496" s="66">
        <f t="shared" si="484"/>
        <v>3.9215686274509802</v>
      </c>
      <c r="X496" s="66">
        <f t="shared" si="484"/>
        <v>3.9215686274509802</v>
      </c>
      <c r="Y496" s="66">
        <f t="shared" si="484"/>
        <v>3.9215686274509802</v>
      </c>
      <c r="Z496" s="66">
        <f t="shared" si="484"/>
        <v>3.9215686274509802</v>
      </c>
      <c r="AA496" s="66">
        <f t="shared" si="484"/>
        <v>3.9215686274509802</v>
      </c>
      <c r="AB496" s="66">
        <f t="shared" si="484"/>
        <v>3.9215686274509802</v>
      </c>
      <c r="AC496" s="66">
        <f t="shared" si="484"/>
        <v>3.9215686274509802</v>
      </c>
    </row>
    <row r="497" spans="1:29" x14ac:dyDescent="0.3">
      <c r="A497" s="30" t="str">
        <f t="shared" si="477"/>
        <v>Fuel Cost</v>
      </c>
      <c r="B497" s="66">
        <f>B467*B468*B475/B475</f>
        <v>2.3603435836286866</v>
      </c>
      <c r="C497" s="66">
        <f t="shared" ref="C497:AC497" si="485">C467*C468*C475/C475</f>
        <v>2.3575572709498713</v>
      </c>
      <c r="D497" s="66">
        <f t="shared" si="485"/>
        <v>2.3536011063688584</v>
      </c>
      <c r="E497" s="66">
        <f t="shared" si="485"/>
        <v>2.3480094478967404</v>
      </c>
      <c r="F497" s="66">
        <f t="shared" si="485"/>
        <v>2.3401588602837622</v>
      </c>
      <c r="G497" s="66">
        <f t="shared" si="485"/>
        <v>2.3292436936501706</v>
      </c>
      <c r="H497" s="66">
        <f t="shared" si="485"/>
        <v>2.3142794085327125</v>
      </c>
      <c r="I497" s="66">
        <f t="shared" si="485"/>
        <v>2.294169012842814</v>
      </c>
      <c r="J497" s="66">
        <f t="shared" si="485"/>
        <v>2.2678808406333895</v>
      </c>
      <c r="K497" s="66">
        <f t="shared" si="485"/>
        <v>2.2347753310134304</v>
      </c>
      <c r="L497" s="66">
        <f t="shared" si="485"/>
        <v>2.1950496697632809</v>
      </c>
      <c r="M497" s="66">
        <f t="shared" si="485"/>
        <v>2.1501289386333373</v>
      </c>
      <c r="N497" s="66">
        <f t="shared" si="485"/>
        <v>2.1027063070845782</v>
      </c>
      <c r="O497" s="66">
        <f t="shared" si="485"/>
        <v>2.056216864223154</v>
      </c>
      <c r="P497" s="66">
        <f t="shared" si="485"/>
        <v>2.0138965674684197</v>
      </c>
      <c r="Q497" s="66">
        <f t="shared" si="485"/>
        <v>1.9779303417530454</v>
      </c>
      <c r="R497" s="66">
        <f t="shared" si="485"/>
        <v>1.9491278361411155</v>
      </c>
      <c r="S497" s="66">
        <f t="shared" si="485"/>
        <v>1.9271502460127887</v>
      </c>
      <c r="T497" s="66">
        <f t="shared" si="485"/>
        <v>1.9109949546631928</v>
      </c>
      <c r="U497" s="66">
        <f t="shared" si="485"/>
        <v>1.8994441550614087</v>
      </c>
      <c r="V497" s="66">
        <f t="shared" si="485"/>
        <v>1.8913487503586066</v>
      </c>
      <c r="W497" s="66">
        <f t="shared" si="485"/>
        <v>1.8857543281265103</v>
      </c>
      <c r="X497" s="66">
        <f t="shared" si="485"/>
        <v>1.8819257862123342</v>
      </c>
      <c r="Y497" s="66">
        <f t="shared" si="485"/>
        <v>1.879323211714792</v>
      </c>
      <c r="Z497" s="66">
        <f t="shared" si="485"/>
        <v>1.8775620785122054</v>
      </c>
      <c r="AA497" s="66">
        <f t="shared" si="485"/>
        <v>1.8763740162150813</v>
      </c>
      <c r="AB497" s="66">
        <f t="shared" si="485"/>
        <v>1.8755742185784499</v>
      </c>
      <c r="AC497" s="66">
        <f t="shared" si="485"/>
        <v>1.8750365549231993</v>
      </c>
    </row>
    <row r="498" spans="1:29" ht="15" thickBot="1" x14ac:dyDescent="0.35">
      <c r="A498" s="59" t="str">
        <f t="shared" ref="A498" si="486">A486</f>
        <v>Emission Cost</v>
      </c>
      <c r="B498" s="66">
        <f>B469</f>
        <v>5.9070060812636778E-2</v>
      </c>
      <c r="C498" s="66">
        <f t="shared" ref="C498:AC498" si="487">C469</f>
        <v>5.9013811722223086E-2</v>
      </c>
      <c r="D498" s="66">
        <f t="shared" si="487"/>
        <v>5.8933292402143352E-2</v>
      </c>
      <c r="E498" s="66">
        <f t="shared" si="487"/>
        <v>5.8818103852397587E-2</v>
      </c>
      <c r="F498" s="66">
        <f t="shared" si="487"/>
        <v>5.8653473997195435E-2</v>
      </c>
      <c r="G498" s="66">
        <f t="shared" si="487"/>
        <v>5.8418511615834896E-2</v>
      </c>
      <c r="H498" s="66">
        <f t="shared" si="487"/>
        <v>5.8083867542195688E-2</v>
      </c>
      <c r="I498" s="66">
        <f t="shared" si="487"/>
        <v>5.760872092945437E-2</v>
      </c>
      <c r="J498" s="66">
        <f t="shared" si="487"/>
        <v>5.6937146851018805E-2</v>
      </c>
      <c r="K498" s="66">
        <f t="shared" si="487"/>
        <v>5.5994268961095287E-2</v>
      </c>
      <c r="L498" s="66">
        <f t="shared" si="487"/>
        <v>5.4683326418828664E-2</v>
      </c>
      <c r="M498" s="66">
        <f t="shared" si="487"/>
        <v>5.288607323583918E-2</v>
      </c>
      <c r="N498" s="66">
        <f t="shared" si="487"/>
        <v>5.0470757543766405E-2</v>
      </c>
      <c r="O498" s="66">
        <f t="shared" si="487"/>
        <v>4.7313473329551395E-2</v>
      </c>
      <c r="P498" s="66">
        <f t="shared" si="487"/>
        <v>4.3337407512043943E-2</v>
      </c>
      <c r="Q498" s="66">
        <f t="shared" si="487"/>
        <v>3.8566242664022157E-2</v>
      </c>
      <c r="R498" s="66">
        <f t="shared" si="487"/>
        <v>3.3171135154922579E-2</v>
      </c>
      <c r="S498" s="66">
        <f t="shared" si="487"/>
        <v>2.7475542293135265E-2</v>
      </c>
      <c r="T498" s="66">
        <f t="shared" si="487"/>
        <v>2.1892028045560286E-2</v>
      </c>
      <c r="U498" s="66">
        <f t="shared" si="487"/>
        <v>1.680924009742308E-2</v>
      </c>
      <c r="V498" s="66">
        <f t="shared" si="487"/>
        <v>1.2489594144429211E-2</v>
      </c>
      <c r="W498" s="66">
        <f t="shared" si="487"/>
        <v>9.0303313408408581E-3</v>
      </c>
      <c r="X498" s="66">
        <f t="shared" si="487"/>
        <v>6.3907602886633802E-3</v>
      </c>
      <c r="Y498" s="66">
        <f t="shared" si="487"/>
        <v>4.4504638714085373E-3</v>
      </c>
      <c r="Z498" s="66">
        <f t="shared" si="487"/>
        <v>3.0631800026883343E-3</v>
      </c>
      <c r="AA498" s="66">
        <f t="shared" si="487"/>
        <v>2.0908988843123671E-3</v>
      </c>
      <c r="AB498" s="66">
        <f t="shared" si="487"/>
        <v>1.4189928704466184E-3</v>
      </c>
      <c r="AC498" s="66">
        <f t="shared" si="487"/>
        <v>9.5917410279734022E-4</v>
      </c>
    </row>
    <row r="499" spans="1:29" ht="15" thickBot="1" x14ac:dyDescent="0.35">
      <c r="A499" s="31" t="s">
        <v>63</v>
      </c>
      <c r="B499" s="76">
        <f>B490+B491+B492-B493+B494+B495+B496+B497+B498</f>
        <v>17.195431105940159</v>
      </c>
      <c r="C499" s="76">
        <f t="shared" ref="C499:AC499" si="488">C490+C491+C492-C493+C494+C495+C496+C497+C498</f>
        <v>17.192588544170931</v>
      </c>
      <c r="D499" s="76">
        <f t="shared" si="488"/>
        <v>17.18855186026984</v>
      </c>
      <c r="E499" s="76">
        <f t="shared" si="488"/>
        <v>17.182845013247974</v>
      </c>
      <c r="F499" s="76">
        <f t="shared" si="488"/>
        <v>17.174829795779793</v>
      </c>
      <c r="G499" s="76">
        <f t="shared" si="488"/>
        <v>17.163679666764839</v>
      </c>
      <c r="H499" s="76">
        <f t="shared" si="488"/>
        <v>17.148380737573742</v>
      </c>
      <c r="I499" s="76">
        <f t="shared" si="488"/>
        <v>17.127795195271105</v>
      </c>
      <c r="J499" s="76">
        <f t="shared" si="488"/>
        <v>17.100835448983243</v>
      </c>
      <c r="K499" s="76">
        <f t="shared" si="488"/>
        <v>17.066787061473363</v>
      </c>
      <c r="L499" s="76">
        <f t="shared" si="488"/>
        <v>17.025750457680946</v>
      </c>
      <c r="M499" s="76">
        <f t="shared" si="488"/>
        <v>16.979032473368012</v>
      </c>
      <c r="N499" s="76">
        <f t="shared" si="488"/>
        <v>16.92919452612718</v>
      </c>
      <c r="O499" s="76">
        <f t="shared" si="488"/>
        <v>16.87954779905154</v>
      </c>
      <c r="P499" s="76">
        <f t="shared" si="488"/>
        <v>16.833251436479298</v>
      </c>
      <c r="Q499" s="76">
        <f t="shared" si="488"/>
        <v>16.792514045915901</v>
      </c>
      <c r="R499" s="76">
        <f t="shared" si="488"/>
        <v>16.758316432794874</v>
      </c>
      <c r="S499" s="76">
        <f t="shared" si="488"/>
        <v>16.730643249804761</v>
      </c>
      <c r="T499" s="76">
        <f t="shared" si="488"/>
        <v>16.708904444207587</v>
      </c>
      <c r="U499" s="76">
        <f t="shared" si="488"/>
        <v>16.692270856657668</v>
      </c>
      <c r="V499" s="76">
        <f t="shared" si="488"/>
        <v>16.679855806001871</v>
      </c>
      <c r="W499" s="76">
        <f t="shared" si="488"/>
        <v>16.670802120966187</v>
      </c>
      <c r="X499" s="76">
        <f t="shared" si="488"/>
        <v>16.664334007999834</v>
      </c>
      <c r="Y499" s="76">
        <f t="shared" si="488"/>
        <v>16.659791137085033</v>
      </c>
      <c r="Z499" s="76">
        <f t="shared" si="488"/>
        <v>16.656642720013728</v>
      </c>
      <c r="AA499" s="76">
        <f t="shared" si="488"/>
        <v>16.654482376598228</v>
      </c>
      <c r="AB499" s="76">
        <f t="shared" si="488"/>
        <v>16.653010672947733</v>
      </c>
      <c r="AC499" s="76">
        <f t="shared" si="488"/>
        <v>16.65201319052483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489">A478</f>
        <v>Capex vehicle</v>
      </c>
      <c r="B502" s="65">
        <f>((1+B463)^B470)*B463/(((1+B463)^B470)-1)*(B459)/B475/(B472)</f>
        <v>8.7219444754753307E-4</v>
      </c>
      <c r="C502" s="65">
        <f t="shared" ref="C502:AC502" si="490">((1+C463)^C470)*C463/(((1+C463)^C470)-1)*(C459)/C475/(C472)</f>
        <v>8.7219444754753307E-4</v>
      </c>
      <c r="D502" s="65">
        <f t="shared" si="490"/>
        <v>8.7219444754753307E-4</v>
      </c>
      <c r="E502" s="65">
        <f t="shared" si="490"/>
        <v>8.7219444754753307E-4</v>
      </c>
      <c r="F502" s="65">
        <f t="shared" si="490"/>
        <v>8.7219444754753307E-4</v>
      </c>
      <c r="G502" s="65">
        <f t="shared" si="490"/>
        <v>8.7219444754753307E-4</v>
      </c>
      <c r="H502" s="65">
        <f t="shared" si="490"/>
        <v>8.7219444754753307E-4</v>
      </c>
      <c r="I502" s="65">
        <f t="shared" si="490"/>
        <v>8.7219444754753307E-4</v>
      </c>
      <c r="J502" s="65">
        <f t="shared" si="490"/>
        <v>8.7219444754753307E-4</v>
      </c>
      <c r="K502" s="65">
        <f t="shared" si="490"/>
        <v>8.7219444754753307E-4</v>
      </c>
      <c r="L502" s="65">
        <f t="shared" si="490"/>
        <v>8.7219444754753307E-4</v>
      </c>
      <c r="M502" s="65">
        <f t="shared" si="490"/>
        <v>8.7219444754753307E-4</v>
      </c>
      <c r="N502" s="65">
        <f t="shared" si="490"/>
        <v>8.7219444754753307E-4</v>
      </c>
      <c r="O502" s="65">
        <f t="shared" si="490"/>
        <v>8.7219444754753307E-4</v>
      </c>
      <c r="P502" s="65">
        <f t="shared" si="490"/>
        <v>8.7219444754753307E-4</v>
      </c>
      <c r="Q502" s="65">
        <f t="shared" si="490"/>
        <v>8.7219444754753307E-4</v>
      </c>
      <c r="R502" s="65">
        <f t="shared" si="490"/>
        <v>8.7219444754753307E-4</v>
      </c>
      <c r="S502" s="65">
        <f t="shared" si="490"/>
        <v>8.7219444754753307E-4</v>
      </c>
      <c r="T502" s="65">
        <f t="shared" si="490"/>
        <v>8.7219444754753307E-4</v>
      </c>
      <c r="U502" s="65">
        <f t="shared" si="490"/>
        <v>8.7219444754753307E-4</v>
      </c>
      <c r="V502" s="65">
        <f t="shared" si="490"/>
        <v>8.7219444754753307E-4</v>
      </c>
      <c r="W502" s="65">
        <f t="shared" si="490"/>
        <v>8.7219444754753307E-4</v>
      </c>
      <c r="X502" s="65">
        <f t="shared" si="490"/>
        <v>8.7219444754753307E-4</v>
      </c>
      <c r="Y502" s="65">
        <f t="shared" si="490"/>
        <v>8.7219444754753307E-4</v>
      </c>
      <c r="Z502" s="65">
        <f t="shared" si="490"/>
        <v>8.7219444754753307E-4</v>
      </c>
      <c r="AA502" s="65">
        <f t="shared" si="490"/>
        <v>8.7219444754753307E-4</v>
      </c>
      <c r="AB502" s="65">
        <f t="shared" si="490"/>
        <v>8.7219444754753307E-4</v>
      </c>
      <c r="AC502" s="65">
        <f t="shared" si="490"/>
        <v>8.7219444754753307E-4</v>
      </c>
    </row>
    <row r="503" spans="1:29" x14ac:dyDescent="0.3">
      <c r="A503" s="30" t="str">
        <f t="shared" si="489"/>
        <v>Residual value (vehicle)</v>
      </c>
      <c r="B503" s="68">
        <f>((1+B463)^B470)*B463/(((1+B463)^B470)-1)*(B460)/B475/(B472)</f>
        <v>-1.3082916713212997E-4</v>
      </c>
      <c r="C503" s="68">
        <f t="shared" ref="C503:AC503" si="491">((1+C463)^C470)*C463/(((1+C463)^C470)-1)*(C460)/C475/(C472)</f>
        <v>-1.3082916713212997E-4</v>
      </c>
      <c r="D503" s="68">
        <f t="shared" si="491"/>
        <v>-1.3082916713212997E-4</v>
      </c>
      <c r="E503" s="68">
        <f t="shared" si="491"/>
        <v>-1.3082916713212997E-4</v>
      </c>
      <c r="F503" s="68">
        <f t="shared" si="491"/>
        <v>-1.3082916713212997E-4</v>
      </c>
      <c r="G503" s="68">
        <f t="shared" si="491"/>
        <v>-1.3082916713212997E-4</v>
      </c>
      <c r="H503" s="68">
        <f t="shared" si="491"/>
        <v>-1.3082916713212997E-4</v>
      </c>
      <c r="I503" s="68">
        <f t="shared" si="491"/>
        <v>-1.3082916713212997E-4</v>
      </c>
      <c r="J503" s="68">
        <f t="shared" si="491"/>
        <v>-1.3082916713212997E-4</v>
      </c>
      <c r="K503" s="68">
        <f t="shared" si="491"/>
        <v>-1.3082916713212997E-4</v>
      </c>
      <c r="L503" s="68">
        <f t="shared" si="491"/>
        <v>-1.3082916713212997E-4</v>
      </c>
      <c r="M503" s="68">
        <f t="shared" si="491"/>
        <v>-1.3082916713212997E-4</v>
      </c>
      <c r="N503" s="68">
        <f t="shared" si="491"/>
        <v>-1.3082916713212997E-4</v>
      </c>
      <c r="O503" s="68">
        <f t="shared" si="491"/>
        <v>-1.3082916713212997E-4</v>
      </c>
      <c r="P503" s="68">
        <f t="shared" si="491"/>
        <v>-1.3082916713212997E-4</v>
      </c>
      <c r="Q503" s="68">
        <f t="shared" si="491"/>
        <v>-1.3082916713212997E-4</v>
      </c>
      <c r="R503" s="68">
        <f t="shared" si="491"/>
        <v>-1.3082916713212997E-4</v>
      </c>
      <c r="S503" s="68">
        <f t="shared" si="491"/>
        <v>-1.3082916713212997E-4</v>
      </c>
      <c r="T503" s="68">
        <f t="shared" si="491"/>
        <v>-1.3082916713212997E-4</v>
      </c>
      <c r="U503" s="68">
        <f t="shared" si="491"/>
        <v>-1.3082916713212997E-4</v>
      </c>
      <c r="V503" s="68">
        <f t="shared" si="491"/>
        <v>-1.3082916713212997E-4</v>
      </c>
      <c r="W503" s="68">
        <f t="shared" si="491"/>
        <v>-1.3082916713212997E-4</v>
      </c>
      <c r="X503" s="68">
        <f t="shared" si="491"/>
        <v>-1.3082916713212997E-4</v>
      </c>
      <c r="Y503" s="68">
        <f t="shared" si="491"/>
        <v>-1.3082916713212997E-4</v>
      </c>
      <c r="Z503" s="68">
        <f t="shared" si="491"/>
        <v>-1.3082916713212997E-4</v>
      </c>
      <c r="AA503" s="68">
        <f t="shared" si="491"/>
        <v>-1.3082916713212997E-4</v>
      </c>
      <c r="AB503" s="68">
        <f t="shared" si="491"/>
        <v>-1.3082916713212997E-4</v>
      </c>
      <c r="AC503" s="68">
        <f t="shared" si="491"/>
        <v>-1.3082916713212997E-4</v>
      </c>
    </row>
    <row r="504" spans="1:29" x14ac:dyDescent="0.3">
      <c r="A504" s="30" t="str">
        <f t="shared" si="489"/>
        <v>Capex costumization</v>
      </c>
      <c r="B504" s="66">
        <f>((1+B463)^B471)*B463/(((1+B463)^B471)-1)*(B461)/B475/(B472)</f>
        <v>5.0874587878184309E-4</v>
      </c>
      <c r="C504" s="66">
        <f t="shared" ref="C504:AC504" si="492">((1+C463)^C471)*C463/(((1+C463)^C471)-1)*(C461)/C475/(C472)</f>
        <v>5.0874587878184309E-4</v>
      </c>
      <c r="D504" s="66">
        <f t="shared" si="492"/>
        <v>5.0874587878184309E-4</v>
      </c>
      <c r="E504" s="66">
        <f t="shared" si="492"/>
        <v>5.0874587878184309E-4</v>
      </c>
      <c r="F504" s="66">
        <f t="shared" si="492"/>
        <v>5.0874587878184309E-4</v>
      </c>
      <c r="G504" s="66">
        <f t="shared" si="492"/>
        <v>5.0874587878184309E-4</v>
      </c>
      <c r="H504" s="66">
        <f t="shared" si="492"/>
        <v>5.0874587878184309E-4</v>
      </c>
      <c r="I504" s="66">
        <f t="shared" si="492"/>
        <v>5.0874587878184309E-4</v>
      </c>
      <c r="J504" s="66">
        <f t="shared" si="492"/>
        <v>5.0874587878184309E-4</v>
      </c>
      <c r="K504" s="66">
        <f t="shared" si="492"/>
        <v>5.0874587878184309E-4</v>
      </c>
      <c r="L504" s="66">
        <f t="shared" si="492"/>
        <v>5.0874587878184309E-4</v>
      </c>
      <c r="M504" s="66">
        <f t="shared" si="492"/>
        <v>5.0874587878184309E-4</v>
      </c>
      <c r="N504" s="66">
        <f t="shared" si="492"/>
        <v>5.0874587878184309E-4</v>
      </c>
      <c r="O504" s="66">
        <f t="shared" si="492"/>
        <v>5.0874587878184309E-4</v>
      </c>
      <c r="P504" s="66">
        <f t="shared" si="492"/>
        <v>5.0874587878184309E-4</v>
      </c>
      <c r="Q504" s="66">
        <f t="shared" si="492"/>
        <v>5.0874587878184309E-4</v>
      </c>
      <c r="R504" s="66">
        <f t="shared" si="492"/>
        <v>5.0874587878184309E-4</v>
      </c>
      <c r="S504" s="66">
        <f t="shared" si="492"/>
        <v>5.0874587878184309E-4</v>
      </c>
      <c r="T504" s="66">
        <f t="shared" si="492"/>
        <v>5.0874587878184309E-4</v>
      </c>
      <c r="U504" s="66">
        <f t="shared" si="492"/>
        <v>5.0874587878184309E-4</v>
      </c>
      <c r="V504" s="66">
        <f t="shared" si="492"/>
        <v>5.0874587878184309E-4</v>
      </c>
      <c r="W504" s="66">
        <f t="shared" si="492"/>
        <v>5.0874587878184309E-4</v>
      </c>
      <c r="X504" s="66">
        <f t="shared" si="492"/>
        <v>5.0874587878184309E-4</v>
      </c>
      <c r="Y504" s="66">
        <f t="shared" si="492"/>
        <v>5.0874587878184309E-4</v>
      </c>
      <c r="Z504" s="66">
        <f t="shared" si="492"/>
        <v>5.0874587878184309E-4</v>
      </c>
      <c r="AA504" s="66">
        <f t="shared" si="492"/>
        <v>5.0874587878184309E-4</v>
      </c>
      <c r="AB504" s="66">
        <f t="shared" si="492"/>
        <v>5.0874587878184309E-4</v>
      </c>
      <c r="AC504" s="66">
        <f t="shared" si="492"/>
        <v>5.0874587878184309E-4</v>
      </c>
    </row>
    <row r="505" spans="1:29" x14ac:dyDescent="0.3">
      <c r="A505" s="30" t="str">
        <f t="shared" si="489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493">((1+C463)^C471)*C463/(((1+C463)^C471)-1)*(C462)/C475/(C472)</f>
        <v>-2.5437293939092159E-5</v>
      </c>
      <c r="D505" s="69">
        <f t="shared" si="493"/>
        <v>-2.5437293939092159E-5</v>
      </c>
      <c r="E505" s="69">
        <f t="shared" si="493"/>
        <v>-2.5437293939092159E-5</v>
      </c>
      <c r="F505" s="69">
        <f t="shared" si="493"/>
        <v>-2.5437293939092159E-5</v>
      </c>
      <c r="G505" s="69">
        <f t="shared" si="493"/>
        <v>-2.5437293939092159E-5</v>
      </c>
      <c r="H505" s="69">
        <f t="shared" si="493"/>
        <v>-2.5437293939092159E-5</v>
      </c>
      <c r="I505" s="69">
        <f t="shared" si="493"/>
        <v>-2.5437293939092159E-5</v>
      </c>
      <c r="J505" s="69">
        <f t="shared" si="493"/>
        <v>-2.5437293939092159E-5</v>
      </c>
      <c r="K505" s="69">
        <f t="shared" si="493"/>
        <v>-2.5437293939092159E-5</v>
      </c>
      <c r="L505" s="69">
        <f t="shared" si="493"/>
        <v>-2.5437293939092159E-5</v>
      </c>
      <c r="M505" s="69">
        <f t="shared" si="493"/>
        <v>-2.5437293939092159E-5</v>
      </c>
      <c r="N505" s="69">
        <f t="shared" si="493"/>
        <v>-2.5437293939092159E-5</v>
      </c>
      <c r="O505" s="69">
        <f t="shared" si="493"/>
        <v>-2.5437293939092159E-5</v>
      </c>
      <c r="P505" s="69">
        <f t="shared" si="493"/>
        <v>-2.5437293939092159E-5</v>
      </c>
      <c r="Q505" s="69">
        <f t="shared" si="493"/>
        <v>-2.5437293939092159E-5</v>
      </c>
      <c r="R505" s="69">
        <f t="shared" si="493"/>
        <v>-2.5437293939092159E-5</v>
      </c>
      <c r="S505" s="69">
        <f t="shared" si="493"/>
        <v>-2.5437293939092159E-5</v>
      </c>
      <c r="T505" s="69">
        <f t="shared" si="493"/>
        <v>-2.5437293939092159E-5</v>
      </c>
      <c r="U505" s="69">
        <f t="shared" si="493"/>
        <v>-2.5437293939092159E-5</v>
      </c>
      <c r="V505" s="69">
        <f t="shared" si="493"/>
        <v>-2.5437293939092159E-5</v>
      </c>
      <c r="W505" s="69">
        <f t="shared" si="493"/>
        <v>-2.5437293939092159E-5</v>
      </c>
      <c r="X505" s="69">
        <f t="shared" si="493"/>
        <v>-2.5437293939092159E-5</v>
      </c>
      <c r="Y505" s="69">
        <f t="shared" si="493"/>
        <v>-2.5437293939092159E-5</v>
      </c>
      <c r="Z505" s="69">
        <f t="shared" si="493"/>
        <v>-2.5437293939092159E-5</v>
      </c>
      <c r="AA505" s="69">
        <f t="shared" si="493"/>
        <v>-2.5437293939092159E-5</v>
      </c>
      <c r="AB505" s="69">
        <f t="shared" si="493"/>
        <v>-2.5437293939092159E-5</v>
      </c>
      <c r="AC505" s="69">
        <f t="shared" si="493"/>
        <v>-2.5437293939092159E-5</v>
      </c>
    </row>
    <row r="506" spans="1:29" x14ac:dyDescent="0.3">
      <c r="A506" s="30" t="str">
        <f t="shared" si="489"/>
        <v>Opex fix (admin, crew, insurance)</v>
      </c>
      <c r="B506" s="66">
        <f>B464/B475/(B472)</f>
        <v>1.3005202080832333E-3</v>
      </c>
      <c r="C506" s="66">
        <f t="shared" ref="C506:AC506" si="494">C464/C475/(C472)</f>
        <v>1.3005202080832333E-3</v>
      </c>
      <c r="D506" s="66">
        <f t="shared" si="494"/>
        <v>1.3005202080832333E-3</v>
      </c>
      <c r="E506" s="66">
        <f t="shared" si="494"/>
        <v>1.3005202080832333E-3</v>
      </c>
      <c r="F506" s="66">
        <f t="shared" si="494"/>
        <v>1.3005202080832333E-3</v>
      </c>
      <c r="G506" s="66">
        <f t="shared" si="494"/>
        <v>1.3005202080832333E-3</v>
      </c>
      <c r="H506" s="66">
        <f t="shared" si="494"/>
        <v>1.3005202080832333E-3</v>
      </c>
      <c r="I506" s="66">
        <f t="shared" si="494"/>
        <v>1.3005202080832333E-3</v>
      </c>
      <c r="J506" s="66">
        <f t="shared" si="494"/>
        <v>1.3005202080832333E-3</v>
      </c>
      <c r="K506" s="66">
        <f t="shared" si="494"/>
        <v>1.3005202080832333E-3</v>
      </c>
      <c r="L506" s="66">
        <f t="shared" si="494"/>
        <v>1.3005202080832333E-3</v>
      </c>
      <c r="M506" s="66">
        <f t="shared" si="494"/>
        <v>1.3005202080832333E-3</v>
      </c>
      <c r="N506" s="66">
        <f t="shared" si="494"/>
        <v>1.3005202080832333E-3</v>
      </c>
      <c r="O506" s="66">
        <f t="shared" si="494"/>
        <v>1.3005202080832333E-3</v>
      </c>
      <c r="P506" s="66">
        <f t="shared" si="494"/>
        <v>1.3005202080832333E-3</v>
      </c>
      <c r="Q506" s="66">
        <f t="shared" si="494"/>
        <v>1.3005202080832333E-3</v>
      </c>
      <c r="R506" s="66">
        <f t="shared" si="494"/>
        <v>1.3005202080832333E-3</v>
      </c>
      <c r="S506" s="66">
        <f t="shared" si="494"/>
        <v>1.3005202080832333E-3</v>
      </c>
      <c r="T506" s="66">
        <f t="shared" si="494"/>
        <v>1.3005202080832333E-3</v>
      </c>
      <c r="U506" s="66">
        <f t="shared" si="494"/>
        <v>1.3005202080832333E-3</v>
      </c>
      <c r="V506" s="66">
        <f t="shared" si="494"/>
        <v>1.3005202080832333E-3</v>
      </c>
      <c r="W506" s="66">
        <f t="shared" si="494"/>
        <v>1.3005202080832333E-3</v>
      </c>
      <c r="X506" s="66">
        <f t="shared" si="494"/>
        <v>1.3005202080832333E-3</v>
      </c>
      <c r="Y506" s="66">
        <f t="shared" si="494"/>
        <v>1.3005202080832333E-3</v>
      </c>
      <c r="Z506" s="66">
        <f t="shared" si="494"/>
        <v>1.3005202080832333E-3</v>
      </c>
      <c r="AA506" s="66">
        <f t="shared" si="494"/>
        <v>1.3005202080832333E-3</v>
      </c>
      <c r="AB506" s="66">
        <f t="shared" si="494"/>
        <v>1.3005202080832333E-3</v>
      </c>
      <c r="AC506" s="66">
        <f t="shared" si="494"/>
        <v>1.3005202080832333E-3</v>
      </c>
    </row>
    <row r="507" spans="1:29" x14ac:dyDescent="0.3">
      <c r="A507" s="30" t="str">
        <f t="shared" si="489"/>
        <v>Opex maintenance &amp; repair</v>
      </c>
      <c r="B507" s="66">
        <f>B465/B475/(B472)</f>
        <v>1.3005202080832333E-3</v>
      </c>
      <c r="C507" s="66">
        <f t="shared" ref="C507:AC507" si="495">C465/C475/(C472)</f>
        <v>1.3005202080832333E-3</v>
      </c>
      <c r="D507" s="66">
        <f t="shared" si="495"/>
        <v>1.3005202080832333E-3</v>
      </c>
      <c r="E507" s="66">
        <f t="shared" si="495"/>
        <v>1.3005202080832333E-3</v>
      </c>
      <c r="F507" s="66">
        <f t="shared" si="495"/>
        <v>1.3005202080832333E-3</v>
      </c>
      <c r="G507" s="66">
        <f t="shared" si="495"/>
        <v>1.3005202080832333E-3</v>
      </c>
      <c r="H507" s="66">
        <f t="shared" si="495"/>
        <v>1.3005202080832333E-3</v>
      </c>
      <c r="I507" s="66">
        <f t="shared" si="495"/>
        <v>1.3005202080832333E-3</v>
      </c>
      <c r="J507" s="66">
        <f t="shared" si="495"/>
        <v>1.3005202080832333E-3</v>
      </c>
      <c r="K507" s="66">
        <f t="shared" si="495"/>
        <v>1.3005202080832333E-3</v>
      </c>
      <c r="L507" s="66">
        <f t="shared" si="495"/>
        <v>1.3005202080832333E-3</v>
      </c>
      <c r="M507" s="66">
        <f t="shared" si="495"/>
        <v>1.3005202080832333E-3</v>
      </c>
      <c r="N507" s="66">
        <f t="shared" si="495"/>
        <v>1.3005202080832333E-3</v>
      </c>
      <c r="O507" s="66">
        <f t="shared" si="495"/>
        <v>1.3005202080832333E-3</v>
      </c>
      <c r="P507" s="66">
        <f t="shared" si="495"/>
        <v>1.3005202080832333E-3</v>
      </c>
      <c r="Q507" s="66">
        <f t="shared" si="495"/>
        <v>1.3005202080832333E-3</v>
      </c>
      <c r="R507" s="66">
        <f t="shared" si="495"/>
        <v>1.3005202080832333E-3</v>
      </c>
      <c r="S507" s="66">
        <f t="shared" si="495"/>
        <v>1.3005202080832333E-3</v>
      </c>
      <c r="T507" s="66">
        <f t="shared" si="495"/>
        <v>1.3005202080832333E-3</v>
      </c>
      <c r="U507" s="66">
        <f t="shared" si="495"/>
        <v>1.3005202080832333E-3</v>
      </c>
      <c r="V507" s="66">
        <f t="shared" si="495"/>
        <v>1.3005202080832333E-3</v>
      </c>
      <c r="W507" s="66">
        <f t="shared" si="495"/>
        <v>1.3005202080832333E-3</v>
      </c>
      <c r="X507" s="66">
        <f t="shared" si="495"/>
        <v>1.3005202080832333E-3</v>
      </c>
      <c r="Y507" s="66">
        <f t="shared" si="495"/>
        <v>1.3005202080832333E-3</v>
      </c>
      <c r="Z507" s="66">
        <f t="shared" si="495"/>
        <v>1.3005202080832333E-3</v>
      </c>
      <c r="AA507" s="66">
        <f t="shared" si="495"/>
        <v>1.3005202080832333E-3</v>
      </c>
      <c r="AB507" s="66">
        <f t="shared" si="495"/>
        <v>1.3005202080832333E-3</v>
      </c>
      <c r="AC507" s="66">
        <f t="shared" si="495"/>
        <v>1.3005202080832333E-3</v>
      </c>
    </row>
    <row r="508" spans="1:29" x14ac:dyDescent="0.3">
      <c r="A508" s="30" t="str">
        <f t="shared" si="489"/>
        <v>Opex var (mode-fees, shunting)</v>
      </c>
      <c r="B508" s="66">
        <f>B466*B475/B475/(B472)</f>
        <v>1.4005602240896359E-3</v>
      </c>
      <c r="C508" s="66">
        <f t="shared" ref="C508:AC508" si="496">C466*C475/C475/(C472)</f>
        <v>1.4005602240896359E-3</v>
      </c>
      <c r="D508" s="66">
        <f t="shared" si="496"/>
        <v>1.4005602240896359E-3</v>
      </c>
      <c r="E508" s="66">
        <f t="shared" si="496"/>
        <v>1.4005602240896359E-3</v>
      </c>
      <c r="F508" s="66">
        <f t="shared" si="496"/>
        <v>1.4005602240896359E-3</v>
      </c>
      <c r="G508" s="66">
        <f t="shared" si="496"/>
        <v>1.4005602240896359E-3</v>
      </c>
      <c r="H508" s="66">
        <f t="shared" si="496"/>
        <v>1.4005602240896359E-3</v>
      </c>
      <c r="I508" s="66">
        <f t="shared" si="496"/>
        <v>1.4005602240896359E-3</v>
      </c>
      <c r="J508" s="66">
        <f t="shared" si="496"/>
        <v>1.4005602240896359E-3</v>
      </c>
      <c r="K508" s="66">
        <f t="shared" si="496"/>
        <v>1.4005602240896359E-3</v>
      </c>
      <c r="L508" s="66">
        <f t="shared" si="496"/>
        <v>1.4005602240896359E-3</v>
      </c>
      <c r="M508" s="66">
        <f t="shared" si="496"/>
        <v>1.4005602240896359E-3</v>
      </c>
      <c r="N508" s="66">
        <f t="shared" si="496"/>
        <v>1.4005602240896359E-3</v>
      </c>
      <c r="O508" s="66">
        <f t="shared" si="496"/>
        <v>1.4005602240896359E-3</v>
      </c>
      <c r="P508" s="66">
        <f t="shared" si="496"/>
        <v>1.4005602240896359E-3</v>
      </c>
      <c r="Q508" s="66">
        <f t="shared" si="496"/>
        <v>1.4005602240896359E-3</v>
      </c>
      <c r="R508" s="66">
        <f t="shared" si="496"/>
        <v>1.4005602240896359E-3</v>
      </c>
      <c r="S508" s="66">
        <f t="shared" si="496"/>
        <v>1.4005602240896359E-3</v>
      </c>
      <c r="T508" s="66">
        <f t="shared" si="496"/>
        <v>1.4005602240896359E-3</v>
      </c>
      <c r="U508" s="66">
        <f t="shared" si="496"/>
        <v>1.4005602240896359E-3</v>
      </c>
      <c r="V508" s="66">
        <f t="shared" si="496"/>
        <v>1.4005602240896359E-3</v>
      </c>
      <c r="W508" s="66">
        <f t="shared" si="496"/>
        <v>1.4005602240896359E-3</v>
      </c>
      <c r="X508" s="66">
        <f t="shared" si="496"/>
        <v>1.4005602240896359E-3</v>
      </c>
      <c r="Y508" s="66">
        <f t="shared" si="496"/>
        <v>1.4005602240896359E-3</v>
      </c>
      <c r="Z508" s="66">
        <f t="shared" si="496"/>
        <v>1.4005602240896359E-3</v>
      </c>
      <c r="AA508" s="66">
        <f t="shared" si="496"/>
        <v>1.4005602240896359E-3</v>
      </c>
      <c r="AB508" s="66">
        <f t="shared" si="496"/>
        <v>1.4005602240896359E-3</v>
      </c>
      <c r="AC508" s="66">
        <f t="shared" si="496"/>
        <v>1.4005602240896359E-3</v>
      </c>
    </row>
    <row r="509" spans="1:29" x14ac:dyDescent="0.3">
      <c r="A509" s="30" t="str">
        <f t="shared" si="489"/>
        <v>Fuel Cost</v>
      </c>
      <c r="B509" s="66">
        <f>B467*B468*B475/B475/(B472)</f>
        <v>8.429798512959595E-4</v>
      </c>
      <c r="C509" s="66">
        <f t="shared" ref="C509:AC509" si="497">C467*C468*C475/C475/(C472)</f>
        <v>8.41984739624954E-4</v>
      </c>
      <c r="D509" s="66">
        <f t="shared" si="497"/>
        <v>8.4057182370316375E-4</v>
      </c>
      <c r="E509" s="66">
        <f t="shared" si="497"/>
        <v>8.3857480282026439E-4</v>
      </c>
      <c r="F509" s="66">
        <f t="shared" si="497"/>
        <v>8.3577102152991502E-4</v>
      </c>
      <c r="G509" s="66">
        <f t="shared" si="497"/>
        <v>8.3187274773220373E-4</v>
      </c>
      <c r="H509" s="66">
        <f t="shared" si="497"/>
        <v>8.2652836019025445E-4</v>
      </c>
      <c r="I509" s="66">
        <f t="shared" si="497"/>
        <v>8.1934607601529073E-4</v>
      </c>
      <c r="J509" s="66">
        <f t="shared" si="497"/>
        <v>8.0995744308335336E-4</v>
      </c>
      <c r="K509" s="66">
        <f t="shared" si="497"/>
        <v>7.9813404679051085E-4</v>
      </c>
      <c r="L509" s="66">
        <f t="shared" si="497"/>
        <v>7.8394631062974317E-4</v>
      </c>
      <c r="M509" s="66">
        <f t="shared" si="497"/>
        <v>7.6790319236904909E-4</v>
      </c>
      <c r="N509" s="66">
        <f t="shared" si="497"/>
        <v>7.5096653824449221E-4</v>
      </c>
      <c r="O509" s="66">
        <f t="shared" si="497"/>
        <v>7.3436316579398361E-4</v>
      </c>
      <c r="P509" s="66">
        <f t="shared" si="497"/>
        <v>7.1924877409586415E-4</v>
      </c>
      <c r="Q509" s="66">
        <f t="shared" si="497"/>
        <v>7.0640369348323045E-4</v>
      </c>
      <c r="R509" s="66">
        <f t="shared" si="497"/>
        <v>6.9611708433611264E-4</v>
      </c>
      <c r="S509" s="66">
        <f t="shared" si="497"/>
        <v>6.8826794500456744E-4</v>
      </c>
      <c r="T509" s="66">
        <f t="shared" si="497"/>
        <v>6.8249819809399739E-4</v>
      </c>
      <c r="U509" s="66">
        <f t="shared" si="497"/>
        <v>6.7837291252193172E-4</v>
      </c>
      <c r="V509" s="66">
        <f t="shared" si="497"/>
        <v>6.7548169655664517E-4</v>
      </c>
      <c r="W509" s="66">
        <f t="shared" si="497"/>
        <v>6.7348368861661078E-4</v>
      </c>
      <c r="X509" s="66">
        <f t="shared" si="497"/>
        <v>6.7211635221869079E-4</v>
      </c>
      <c r="Y509" s="66">
        <f t="shared" si="497"/>
        <v>6.7118686132671139E-4</v>
      </c>
      <c r="Z509" s="66">
        <f t="shared" si="497"/>
        <v>6.7055788518293044E-4</v>
      </c>
      <c r="AA509" s="66">
        <f t="shared" si="497"/>
        <v>6.7013357721967186E-4</v>
      </c>
      <c r="AB509" s="66">
        <f t="shared" si="497"/>
        <v>6.6984793520658925E-4</v>
      </c>
      <c r="AC509" s="66">
        <f t="shared" si="497"/>
        <v>6.6965591247257115E-4</v>
      </c>
    </row>
    <row r="510" spans="1:29" x14ac:dyDescent="0.3">
      <c r="A510" s="59" t="str">
        <f>A473</f>
        <v>Market failure (av. utilization)</v>
      </c>
      <c r="B510" s="66">
        <f t="shared" ref="B510:AC510" si="498">B499/B473-B499/B472</f>
        <v>1.7847936304156639E-2</v>
      </c>
      <c r="C510" s="66">
        <f t="shared" si="498"/>
        <v>1.7844985877320273E-2</v>
      </c>
      <c r="D510" s="66">
        <f t="shared" si="498"/>
        <v>1.7840796015681865E-2</v>
      </c>
      <c r="E510" s="66">
        <f t="shared" si="498"/>
        <v>1.7834872614197111E-2</v>
      </c>
      <c r="F510" s="66">
        <f t="shared" si="498"/>
        <v>1.7826553247851793E-2</v>
      </c>
      <c r="G510" s="66">
        <f t="shared" si="498"/>
        <v>1.781498001126261E-2</v>
      </c>
      <c r="H510" s="66">
        <f t="shared" si="498"/>
        <v>1.7799100542347741E-2</v>
      </c>
      <c r="I510" s="66">
        <f t="shared" si="498"/>
        <v>1.7777733852234516E-2</v>
      </c>
      <c r="J510" s="66">
        <f t="shared" si="498"/>
        <v>1.7749751079859839E-2</v>
      </c>
      <c r="K510" s="66">
        <f t="shared" si="498"/>
        <v>1.7714410677645342E-2</v>
      </c>
      <c r="L510" s="66">
        <f t="shared" si="498"/>
        <v>1.7671816881298302E-2</v>
      </c>
      <c r="M510" s="66">
        <f t="shared" si="498"/>
        <v>1.7623326116330634E-2</v>
      </c>
      <c r="N510" s="66">
        <f t="shared" si="498"/>
        <v>1.7571596996984684E-2</v>
      </c>
      <c r="O510" s="66">
        <f t="shared" si="498"/>
        <v>1.7520066353926261E-2</v>
      </c>
      <c r="P510" s="66">
        <f t="shared" si="498"/>
        <v>1.7472013209738554E-2</v>
      </c>
      <c r="Q510" s="66">
        <f t="shared" si="498"/>
        <v>1.7429729980693958E-2</v>
      </c>
      <c r="R510" s="66">
        <f t="shared" si="498"/>
        <v>1.739423469028932E-2</v>
      </c>
      <c r="S510" s="66">
        <f t="shared" si="498"/>
        <v>1.7365511408837526E-2</v>
      </c>
      <c r="T510" s="66">
        <f t="shared" si="498"/>
        <v>1.7342947693206535E-2</v>
      </c>
      <c r="U510" s="66">
        <f t="shared" si="498"/>
        <v>1.7325682920414764E-2</v>
      </c>
      <c r="V510" s="66">
        <f t="shared" si="498"/>
        <v>1.7312796762926047E-2</v>
      </c>
      <c r="W510" s="66">
        <f t="shared" si="498"/>
        <v>1.7303399522877849E-2</v>
      </c>
      <c r="X510" s="66">
        <f t="shared" si="498"/>
        <v>1.7296685968124826E-2</v>
      </c>
      <c r="Y510" s="66">
        <f t="shared" si="498"/>
        <v>1.7291970711483348E-2</v>
      </c>
      <c r="Z510" s="66">
        <f t="shared" si="498"/>
        <v>1.728870282322853E-2</v>
      </c>
      <c r="AA510" s="66">
        <f t="shared" si="498"/>
        <v>1.7286460502495927E-2</v>
      </c>
      <c r="AB510" s="66">
        <f t="shared" si="498"/>
        <v>1.728493295294798E-2</v>
      </c>
      <c r="AC510" s="66">
        <f t="shared" si="498"/>
        <v>1.7283897619629562E-2</v>
      </c>
    </row>
    <row r="511" spans="1:29" x14ac:dyDescent="0.3">
      <c r="A511" s="59" t="str">
        <f>A474</f>
        <v>Payload loss (fuel)</v>
      </c>
      <c r="B511" s="66">
        <f>B499/(B472-B474)-B499/B472</f>
        <v>0</v>
      </c>
      <c r="C511" s="66">
        <f t="shared" ref="C511:AC511" si="499">C499/(C472-C474)-C499/C472</f>
        <v>0</v>
      </c>
      <c r="D511" s="66">
        <f t="shared" si="499"/>
        <v>0</v>
      </c>
      <c r="E511" s="66">
        <f t="shared" si="499"/>
        <v>0</v>
      </c>
      <c r="F511" s="66">
        <f t="shared" si="499"/>
        <v>0</v>
      </c>
      <c r="G511" s="66">
        <f t="shared" si="499"/>
        <v>0</v>
      </c>
      <c r="H511" s="66">
        <f t="shared" si="499"/>
        <v>0</v>
      </c>
      <c r="I511" s="66">
        <f t="shared" si="499"/>
        <v>0</v>
      </c>
      <c r="J511" s="66">
        <f t="shared" si="499"/>
        <v>0</v>
      </c>
      <c r="K511" s="66">
        <f t="shared" si="499"/>
        <v>0</v>
      </c>
      <c r="L511" s="66">
        <f t="shared" si="499"/>
        <v>0</v>
      </c>
      <c r="M511" s="66">
        <f t="shared" si="499"/>
        <v>0</v>
      </c>
      <c r="N511" s="66">
        <f t="shared" si="499"/>
        <v>0</v>
      </c>
      <c r="O511" s="66">
        <f t="shared" si="499"/>
        <v>0</v>
      </c>
      <c r="P511" s="66">
        <f t="shared" si="499"/>
        <v>0</v>
      </c>
      <c r="Q511" s="66">
        <f t="shared" si="499"/>
        <v>0</v>
      </c>
      <c r="R511" s="66">
        <f t="shared" si="499"/>
        <v>0</v>
      </c>
      <c r="S511" s="66">
        <f t="shared" si="499"/>
        <v>0</v>
      </c>
      <c r="T511" s="66">
        <f t="shared" si="499"/>
        <v>0</v>
      </c>
      <c r="U511" s="66">
        <f t="shared" si="499"/>
        <v>0</v>
      </c>
      <c r="V511" s="66">
        <f t="shared" si="499"/>
        <v>0</v>
      </c>
      <c r="W511" s="66">
        <f t="shared" si="499"/>
        <v>0</v>
      </c>
      <c r="X511" s="66">
        <f t="shared" si="499"/>
        <v>0</v>
      </c>
      <c r="Y511" s="66">
        <f t="shared" si="499"/>
        <v>0</v>
      </c>
      <c r="Z511" s="66">
        <f t="shared" si="499"/>
        <v>0</v>
      </c>
      <c r="AA511" s="66">
        <f t="shared" si="499"/>
        <v>0</v>
      </c>
      <c r="AB511" s="66">
        <f t="shared" si="499"/>
        <v>0</v>
      </c>
      <c r="AC511" s="66">
        <f t="shared" si="499"/>
        <v>0</v>
      </c>
    </row>
    <row r="512" spans="1:29" ht="15" thickBot="1" x14ac:dyDescent="0.35">
      <c r="A512" s="59" t="str">
        <f>A449</f>
        <v>Emission Cost</v>
      </c>
      <c r="B512" s="68">
        <f>B469*B475/B475/(B472)</f>
        <v>2.1096450290227417E-5</v>
      </c>
      <c r="C512" s="68">
        <f t="shared" ref="C512:AC512" si="500">C469*C475/C475/(C472)</f>
        <v>2.1076361329365387E-5</v>
      </c>
      <c r="D512" s="68">
        <f t="shared" si="500"/>
        <v>2.104760442933691E-5</v>
      </c>
      <c r="E512" s="68">
        <f t="shared" si="500"/>
        <v>2.1006465661570568E-5</v>
      </c>
      <c r="F512" s="68">
        <f t="shared" si="500"/>
        <v>2.0947669284712657E-5</v>
      </c>
      <c r="G512" s="68">
        <f t="shared" si="500"/>
        <v>2.0863754148512464E-5</v>
      </c>
      <c r="H512" s="68">
        <f t="shared" si="500"/>
        <v>2.0744238407927033E-5</v>
      </c>
      <c r="I512" s="68">
        <f t="shared" si="500"/>
        <v>2.0574543189090848E-5</v>
      </c>
      <c r="J512" s="68">
        <f t="shared" si="500"/>
        <v>2.0334695303935286E-5</v>
      </c>
      <c r="K512" s="68">
        <f t="shared" si="500"/>
        <v>1.9997953200391175E-5</v>
      </c>
      <c r="L512" s="68">
        <f t="shared" si="500"/>
        <v>1.9529759435295953E-5</v>
      </c>
      <c r="M512" s="68">
        <f t="shared" si="500"/>
        <v>1.8887883298513993E-5</v>
      </c>
      <c r="N512" s="68">
        <f t="shared" si="500"/>
        <v>1.8025270551345146E-5</v>
      </c>
      <c r="O512" s="68">
        <f t="shared" si="500"/>
        <v>1.6897669046268356E-5</v>
      </c>
      <c r="P512" s="68">
        <f t="shared" si="500"/>
        <v>1.5477645540015693E-5</v>
      </c>
      <c r="Q512" s="68">
        <f t="shared" si="500"/>
        <v>1.3773658094293627E-5</v>
      </c>
      <c r="R512" s="68">
        <f t="shared" si="500"/>
        <v>1.184683398390092E-5</v>
      </c>
      <c r="S512" s="68">
        <f t="shared" si="500"/>
        <v>9.8126936761197362E-6</v>
      </c>
      <c r="T512" s="68">
        <f t="shared" si="500"/>
        <v>7.8185814448429587E-6</v>
      </c>
      <c r="U512" s="68">
        <f t="shared" si="500"/>
        <v>6.0033000347939567E-6</v>
      </c>
      <c r="V512" s="68">
        <f t="shared" si="500"/>
        <v>4.4605693372961466E-6</v>
      </c>
      <c r="W512" s="68">
        <f t="shared" si="500"/>
        <v>3.2251183360145921E-6</v>
      </c>
      <c r="X512" s="68">
        <f t="shared" si="500"/>
        <v>2.2824143888083503E-6</v>
      </c>
      <c r="Y512" s="68">
        <f t="shared" si="500"/>
        <v>1.5894513826459063E-6</v>
      </c>
      <c r="Z512" s="68">
        <f t="shared" si="500"/>
        <v>1.0939928581029763E-6</v>
      </c>
      <c r="AA512" s="68">
        <f t="shared" si="500"/>
        <v>7.4674960154013112E-7</v>
      </c>
      <c r="AB512" s="68">
        <f t="shared" si="500"/>
        <v>5.0678316801664948E-7</v>
      </c>
      <c r="AC512" s="68">
        <f t="shared" si="500"/>
        <v>3.4256217957047868E-7</v>
      </c>
    </row>
    <row r="513" spans="1:29" ht="15" thickBot="1" x14ac:dyDescent="0.35">
      <c r="A513" s="31" t="s">
        <v>210</v>
      </c>
      <c r="B513" s="76">
        <f>B502+B503+B504+B505+B506+B507+B508+B509+B510+B511+B512</f>
        <v>2.3938287111257082E-2</v>
      </c>
      <c r="C513" s="67">
        <f t="shared" ref="C513:AC513" si="501">C502+C503+C504+C505+C506+C507+C508+C509+C510+C511+C512</f>
        <v>2.3934321483788847E-2</v>
      </c>
      <c r="D513" s="67">
        <f t="shared" si="501"/>
        <v>2.3928689949328622E-2</v>
      </c>
      <c r="E513" s="67">
        <f t="shared" si="501"/>
        <v>2.3920728388193205E-2</v>
      </c>
      <c r="F513" s="67">
        <f t="shared" si="501"/>
        <v>2.3909546444180675E-2</v>
      </c>
      <c r="G513" s="67">
        <f t="shared" si="501"/>
        <v>2.3893991018657582E-2</v>
      </c>
      <c r="H513" s="67">
        <f t="shared" si="501"/>
        <v>2.3872647646460181E-2</v>
      </c>
      <c r="I513" s="67">
        <f t="shared" si="501"/>
        <v>2.3843928976953154E-2</v>
      </c>
      <c r="J513" s="67">
        <f t="shared" si="501"/>
        <v>2.3806317723761385E-2</v>
      </c>
      <c r="K513" s="67">
        <f t="shared" si="501"/>
        <v>2.37588171831505E-2</v>
      </c>
      <c r="L513" s="67">
        <f t="shared" si="501"/>
        <v>2.3701567456877598E-2</v>
      </c>
      <c r="M513" s="67">
        <f t="shared" si="501"/>
        <v>2.3636391697512454E-2</v>
      </c>
      <c r="N513" s="67">
        <f t="shared" si="501"/>
        <v>2.3566863311294779E-2</v>
      </c>
      <c r="O513" s="67">
        <f t="shared" si="501"/>
        <v>2.3497601694280768E-2</v>
      </c>
      <c r="P513" s="67">
        <f t="shared" si="501"/>
        <v>2.3433014134888693E-2</v>
      </c>
      <c r="Q513" s="67">
        <f t="shared" si="501"/>
        <v>2.3376181837785736E-2</v>
      </c>
      <c r="R513" s="67">
        <f t="shared" si="501"/>
        <v>2.3328473114123591E-2</v>
      </c>
      <c r="S513" s="67">
        <f t="shared" si="501"/>
        <v>2.3289866553032473E-2</v>
      </c>
      <c r="T513" s="67">
        <f t="shared" si="501"/>
        <v>2.3259538978259633E-2</v>
      </c>
      <c r="U513" s="67">
        <f t="shared" si="501"/>
        <v>2.3236333638485745E-2</v>
      </c>
      <c r="V513" s="67">
        <f t="shared" si="501"/>
        <v>2.3219013534334247E-2</v>
      </c>
      <c r="W513" s="67">
        <f t="shared" si="501"/>
        <v>2.3206382835344732E-2</v>
      </c>
      <c r="X513" s="67">
        <f t="shared" si="501"/>
        <v>2.319735924024658E-2</v>
      </c>
      <c r="Y513" s="67">
        <f t="shared" si="501"/>
        <v>2.3191021529706961E-2</v>
      </c>
      <c r="Z513" s="67">
        <f t="shared" si="501"/>
        <v>2.318662920678382E-2</v>
      </c>
      <c r="AA513" s="67">
        <f t="shared" si="501"/>
        <v>2.3183615334831396E-2</v>
      </c>
      <c r="AB513" s="67">
        <f t="shared" si="501"/>
        <v>2.3181562176836843E-2</v>
      </c>
      <c r="AC513" s="67">
        <f t="shared" si="501"/>
        <v>2.3180170599795959E-2</v>
      </c>
    </row>
    <row r="515" spans="1:29" x14ac:dyDescent="0.3">
      <c r="B515" s="40"/>
    </row>
  </sheetData>
  <conditionalFormatting sqref="Q11:AR20 Q22:AR27"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819E-B885-438D-8F75-CC09C776D5C8}">
  <sheetPr>
    <tabColor rgb="FFC00000"/>
  </sheetPr>
  <dimension ref="A1:BA515"/>
  <sheetViews>
    <sheetView topLeftCell="A405" zoomScale="80" zoomScaleNormal="80" workbookViewId="0">
      <selection activeCell="R488" sqref="R488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45" width="9.109375" style="4"/>
    <col min="46" max="46" width="35.109375" style="4" bestFit="1" customWidth="1"/>
    <col min="47" max="48" width="11.33203125" style="4" bestFit="1" customWidth="1"/>
    <col min="49" max="49" width="8.5546875" style="4" bestFit="1" customWidth="1"/>
    <col min="50" max="50" width="21.33203125" style="4" bestFit="1" customWidth="1"/>
    <col min="51" max="52" width="4.44140625" style="4" bestFit="1" customWidth="1"/>
    <col min="53" max="53" width="7" style="4" bestFit="1" customWidth="1"/>
    <col min="54" max="54" width="9.109375" style="4"/>
    <col min="55" max="55" width="31.5546875" style="4" bestFit="1" customWidth="1"/>
    <col min="56" max="57" width="9.5546875" style="4" bestFit="1" customWidth="1"/>
    <col min="58" max="58" width="11.44140625" style="4" bestFit="1" customWidth="1"/>
    <col min="59" max="59" width="8" style="4" bestFit="1" customWidth="1"/>
    <col min="60" max="61" width="4.44140625" style="4" bestFit="1" customWidth="1"/>
    <col min="62" max="62" width="7" style="4" bestFit="1" customWidth="1"/>
    <col min="63" max="63" width="9.109375" style="4"/>
    <col min="64" max="64" width="31.5546875" style="4" bestFit="1" customWidth="1"/>
    <col min="65" max="66" width="9.5546875" style="4" bestFit="1" customWidth="1"/>
    <col min="67" max="67" width="8.5546875" style="4" bestFit="1" customWidth="1"/>
    <col min="68" max="68" width="3.44140625" style="4" bestFit="1" customWidth="1"/>
    <col min="69" max="70" width="4.44140625" style="4" bestFit="1" customWidth="1"/>
    <col min="71" max="16384" width="9.109375" style="4"/>
  </cols>
  <sheetData>
    <row r="1" spans="1:53" s="3" customFormat="1" ht="21" x14ac:dyDescent="0.4">
      <c r="A1" s="2" t="str">
        <f>'Parameter Input'!A76</f>
        <v>Railway long-haul: Dry bulk</v>
      </c>
    </row>
    <row r="2" spans="1:53" s="3" customFormat="1" ht="21" x14ac:dyDescent="0.4">
      <c r="A2" s="2" t="s">
        <v>87</v>
      </c>
    </row>
    <row r="3" spans="1:53" x14ac:dyDescent="0.3">
      <c r="A3" s="33" t="s">
        <v>195</v>
      </c>
    </row>
    <row r="4" spans="1:53" x14ac:dyDescent="0.3">
      <c r="A4" s="33" t="s">
        <v>196</v>
      </c>
    </row>
    <row r="5" spans="1:53" ht="15" thickBot="1" x14ac:dyDescent="0.35">
      <c r="A5" s="34" t="s">
        <v>197</v>
      </c>
      <c r="B5" s="34"/>
    </row>
    <row r="6" spans="1:53" ht="15" thickBot="1" x14ac:dyDescent="0.35">
      <c r="A6" s="39" t="s">
        <v>198</v>
      </c>
      <c r="B6" s="35"/>
    </row>
    <row r="7" spans="1:53" ht="15" thickBot="1" x14ac:dyDescent="0.35">
      <c r="A7" s="38" t="s">
        <v>199</v>
      </c>
      <c r="B7" s="36"/>
    </row>
    <row r="8" spans="1:53" ht="15" thickBot="1" x14ac:dyDescent="0.35"/>
    <row r="9" spans="1:53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3">
      <c r="A11" s="24" t="s">
        <v>18</v>
      </c>
      <c r="B11" s="41">
        <f>'Parameter Input'!$L$101</f>
        <v>10000000</v>
      </c>
      <c r="C11" s="42">
        <f>'Parameter Input'!$M$101</f>
        <v>6250000</v>
      </c>
      <c r="D11" s="1" t="s">
        <v>15</v>
      </c>
      <c r="L11" s="51">
        <f>'Parameter Input'!$O$101</f>
        <v>12</v>
      </c>
      <c r="M11" s="52">
        <v>0</v>
      </c>
      <c r="N11" s="52">
        <v>1</v>
      </c>
      <c r="O11" s="52">
        <f>'Parameter Input'!$P$101</f>
        <v>0.9</v>
      </c>
      <c r="P11" s="53">
        <f>'Parameter Input'!$Q$101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10000000</v>
      </c>
      <c r="AV11" s="81">
        <f t="shared" si="2"/>
        <v>6250000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3">
      <c r="A12" s="24" t="s">
        <v>28</v>
      </c>
      <c r="B12" s="60">
        <f>'Parameter Input'!$L$102</f>
        <v>-500000</v>
      </c>
      <c r="C12" s="61">
        <f>'Parameter Input'!$M$102</f>
        <v>-937500</v>
      </c>
      <c r="D12" s="1" t="s">
        <v>15</v>
      </c>
      <c r="L12" s="54">
        <f>'Parameter Input'!$O$102</f>
        <v>12</v>
      </c>
      <c r="M12" s="37">
        <v>0</v>
      </c>
      <c r="N12" s="37">
        <v>1</v>
      </c>
      <c r="O12" s="37">
        <f>'Parameter Input'!$P$102</f>
        <v>0.9</v>
      </c>
      <c r="P12" s="55">
        <f>'Parameter Input'!$Q$102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-500000</v>
      </c>
      <c r="AV12" s="81">
        <f t="shared" si="2"/>
        <v>-937500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3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3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3">
      <c r="A15" s="24" t="s">
        <v>79</v>
      </c>
      <c r="B15" s="45">
        <f>'Parameter Input'!$L$108</f>
        <v>0.06</v>
      </c>
      <c r="C15" s="46">
        <f>'Parameter Input'!$M$108</f>
        <v>0.06</v>
      </c>
      <c r="D15" s="1" t="s">
        <v>57</v>
      </c>
      <c r="L15" s="54">
        <f>'Parameter Input'!$O$108</f>
        <v>12</v>
      </c>
      <c r="M15" s="37">
        <v>0</v>
      </c>
      <c r="N15" s="37">
        <v>1</v>
      </c>
      <c r="O15" s="37">
        <f>'Parameter Input'!$P$108</f>
        <v>0.9</v>
      </c>
      <c r="P15" s="55">
        <f>'Parameter Input'!$Q$108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3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3">
      <c r="A17" s="24" t="s">
        <v>52</v>
      </c>
      <c r="B17" s="43">
        <f>'Parameter Input'!$L$104</f>
        <v>1300000</v>
      </c>
      <c r="C17" s="44">
        <f>'Parameter Input'!$M$104</f>
        <v>812500</v>
      </c>
      <c r="D17" s="1" t="s">
        <v>38</v>
      </c>
      <c r="L17" s="54">
        <f>'Parameter Input'!$O$104</f>
        <v>12</v>
      </c>
      <c r="M17" s="37">
        <v>0</v>
      </c>
      <c r="N17" s="37">
        <v>1</v>
      </c>
      <c r="O17" s="37">
        <f>'Parameter Input'!$P$104</f>
        <v>0.9</v>
      </c>
      <c r="P17" s="55">
        <f>'Parameter Input'!$Q$104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" thickBot="1" x14ac:dyDescent="0.35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3">
      <c r="A19" s="24" t="s">
        <v>59</v>
      </c>
      <c r="B19" s="47">
        <f>'Parameter Input'!$L$105</f>
        <v>27.1614</v>
      </c>
      <c r="C19" s="48">
        <f>'Parameter Input'!$M$105</f>
        <v>27.1614</v>
      </c>
      <c r="D19" s="1" t="s">
        <v>60</v>
      </c>
      <c r="L19" s="54">
        <f>'Parameter Input'!$O$105</f>
        <v>12</v>
      </c>
      <c r="M19" s="37">
        <v>0</v>
      </c>
      <c r="N19" s="37">
        <v>1</v>
      </c>
      <c r="O19" s="37">
        <f>'Parameter Input'!$P$105</f>
        <v>0.9</v>
      </c>
      <c r="P19" s="55">
        <f>'Parameter Input'!$Q$105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3">
      <c r="A20" s="24" t="s">
        <v>67</v>
      </c>
      <c r="B20" s="45">
        <f>'Parameter Input'!$L$106</f>
        <v>9.2586511082899101E-2</v>
      </c>
      <c r="C20" s="46">
        <f>'Parameter Input'!$M$106</f>
        <v>7.3304790352502799E-2</v>
      </c>
      <c r="D20" s="1" t="s">
        <v>68</v>
      </c>
      <c r="L20" s="54">
        <f>'Parameter Input'!$O$106</f>
        <v>12</v>
      </c>
      <c r="M20" s="37">
        <v>0</v>
      </c>
      <c r="N20" s="37">
        <v>1</v>
      </c>
      <c r="O20" s="37">
        <f>'Parameter Input'!$P$106</f>
        <v>0.9</v>
      </c>
      <c r="P20" s="55">
        <f>'Parameter Input'!$Q$106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Battery</v>
      </c>
      <c r="AU20" s="80"/>
      <c r="AV20" s="80"/>
      <c r="AW20" s="80"/>
      <c r="AX20" s="80"/>
      <c r="AY20" s="80"/>
      <c r="AZ20" s="80"/>
      <c r="BA20" s="86"/>
    </row>
    <row r="21" spans="1:53" x14ac:dyDescent="0.3">
      <c r="A21" s="24" t="s">
        <v>206</v>
      </c>
      <c r="B21" s="115">
        <f>'Parameter Input'!$L$109</f>
        <v>6.2900084210526327E-2</v>
      </c>
      <c r="C21" s="116">
        <f>'Parameter Input'!$M$109</f>
        <v>0</v>
      </c>
      <c r="D21" s="1" t="s">
        <v>76</v>
      </c>
      <c r="L21" s="54">
        <f>'Parameter Input'!$O$109</f>
        <v>17</v>
      </c>
      <c r="M21" s="37">
        <v>0</v>
      </c>
      <c r="N21" s="37">
        <v>1</v>
      </c>
      <c r="O21" s="37">
        <f>'Parameter Input'!$P$109</f>
        <v>0.9</v>
      </c>
      <c r="P21" s="55">
        <f>'Parameter Input'!$Q$109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</row>
    <row r="22" spans="1:53" x14ac:dyDescent="0.3">
      <c r="A22" s="24" t="s">
        <v>41</v>
      </c>
      <c r="B22" s="43">
        <f>'Parameter Input'!$L$103</f>
        <v>20</v>
      </c>
      <c r="C22" s="44">
        <f>'Parameter Input'!$M$103</f>
        <v>20</v>
      </c>
      <c r="D22" s="1" t="s">
        <v>42</v>
      </c>
      <c r="L22" s="54">
        <f>'Parameter Input'!$O$103</f>
        <v>12</v>
      </c>
      <c r="M22" s="37">
        <v>0</v>
      </c>
      <c r="N22" s="37">
        <v>1</v>
      </c>
      <c r="O22" s="37">
        <f>'Parameter Input'!$P$103</f>
        <v>0.9</v>
      </c>
      <c r="P22" s="55">
        <f>'Parameter Input'!$Q$103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3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3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3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3">
      <c r="A26" s="24" t="s">
        <v>73</v>
      </c>
      <c r="B26" s="72">
        <f>'Parameter Input'!$L$107</f>
        <v>3.5714285714285712E-2</v>
      </c>
      <c r="C26" s="73">
        <f>'Parameter Input'!$M$107</f>
        <v>1.7857142857142856E-2</v>
      </c>
      <c r="D26" s="1" t="s">
        <v>57</v>
      </c>
      <c r="L26" s="54">
        <f>'Parameter Input'!$O$107</f>
        <v>12</v>
      </c>
      <c r="M26" s="37">
        <v>0</v>
      </c>
      <c r="N26" s="37">
        <v>1</v>
      </c>
      <c r="O26" s="37">
        <f>'Parameter Input'!$P$107</f>
        <v>0.9</v>
      </c>
      <c r="P26" s="55">
        <f>'Parameter Input'!$Q$107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3.5714285714285712E-2</v>
      </c>
      <c r="AV26" s="81">
        <f t="shared" si="9"/>
        <v>1.7857142857142856E-2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" thickBot="1" x14ac:dyDescent="0.35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" thickBot="1" x14ac:dyDescent="0.35">
      <c r="A28" s="25"/>
      <c r="B28" s="40"/>
    </row>
    <row r="29" spans="1:53" ht="15" thickBot="1" x14ac:dyDescent="0.35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Battery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3">
      <c r="A31" s="29" t="str">
        <f t="shared" ref="A31:A40" si="11">A11</f>
        <v>Capex vehicle</v>
      </c>
      <c r="B31" s="62">
        <f t="shared" ref="B31:B39" si="12">$B11+($C11-$B11)*(1-Q11)</f>
        <v>9950491.9809056409</v>
      </c>
      <c r="C31" s="62">
        <f t="shared" ref="C31:C39" si="13">$B11+($C11-$B11)*(1-R11)</f>
        <v>9929294.1161071844</v>
      </c>
      <c r="D31" s="62">
        <f t="shared" ref="D31:D39" si="14">$B11+($C11-$B11)*(1-S11)</f>
        <v>9899196.186845202</v>
      </c>
      <c r="E31" s="62">
        <f t="shared" ref="E31:E39" si="15">$B11+($C11-$B11)*(1-T11)</f>
        <v>9856655.6560597289</v>
      </c>
      <c r="F31" s="62">
        <f t="shared" ref="F31:F39" si="16">$B11+($C11-$B11)*(1-U11)</f>
        <v>9796929.5183316767</v>
      </c>
      <c r="G31" s="62">
        <f t="shared" ref="G31:G39" si="17">$B11+($C11-$B11)*(1-V11)</f>
        <v>9713888.5056303069</v>
      </c>
      <c r="H31" s="62">
        <f t="shared" ref="H31:H39" si="18">$B11+($C11-$B11)*(1-W11)</f>
        <v>9600042.3837871924</v>
      </c>
      <c r="I31" s="62">
        <f t="shared" ref="I31:I39" si="19">$B11+($C11-$B11)*(1-X11)</f>
        <v>9447045.3952872623</v>
      </c>
      <c r="J31" s="62">
        <f t="shared" ref="J31:J39" si="20">$B11+($C11-$B11)*(1-Y11)</f>
        <v>9247048.7744733952</v>
      </c>
      <c r="K31" s="62">
        <f t="shared" ref="K31:K39" si="21">$B11+($C11-$B11)*(1-Z11)</f>
        <v>8995186.8343747519</v>
      </c>
      <c r="L31" s="62">
        <f t="shared" ref="L31:L39" si="22">$B11+($C11-$B11)*(1-AA11)</f>
        <v>8692959.7359545007</v>
      </c>
      <c r="M31" s="62">
        <f t="shared" ref="M31:M39" si="23">$B11+($C11-$B11)*(1-AB11)</f>
        <v>8351209.2955318587</v>
      </c>
      <c r="N31" s="62">
        <f t="shared" ref="N31:N39" si="24">$B11+($C11-$B11)*(1-AC11)</f>
        <v>7990424.7577444501</v>
      </c>
      <c r="O31" s="62">
        <f t="shared" ref="O31:O39" si="25">$B11+($C11-$B11)*(1-AD11)</f>
        <v>7636739.7848321479</v>
      </c>
      <c r="P31" s="62">
        <f t="shared" ref="P31:P39" si="26">$B11+($C11-$B11)*(1-AE11)</f>
        <v>7314773.0738961697</v>
      </c>
      <c r="Q31" s="62">
        <f t="shared" ref="Q31:Q39" si="27">$B11+($C11-$B11)*(1-AF11)</f>
        <v>7041147.2185419146</v>
      </c>
      <c r="R31" s="62">
        <f t="shared" ref="R31:R39" si="28">$B11+($C11-$B11)*(1-AG11)</f>
        <v>6822021.912017433</v>
      </c>
      <c r="S31" s="62">
        <f t="shared" ref="S31:S39" si="29">$B11+($C11-$B11)*(1-AH11)</f>
        <v>6654819.5776641248</v>
      </c>
      <c r="T31" s="62">
        <f t="shared" ref="T31:T39" si="30">$B11+($C11-$B11)*(1-AI11)</f>
        <v>6531912.4522678442</v>
      </c>
      <c r="U31" s="62">
        <f t="shared" ref="U31:U39" si="31">$B11+($C11-$B11)*(1-AJ11)</f>
        <v>6444035.6356656328</v>
      </c>
      <c r="V31" s="62">
        <f t="shared" ref="V31:V39" si="32">$B11+($C11-$B11)*(1-AK11)</f>
        <v>6382446.9648450473</v>
      </c>
      <c r="W31" s="62">
        <f t="shared" ref="W31:W39" si="33">$B11+($C11-$B11)*(1-AL11)</f>
        <v>6339885.4077724684</v>
      </c>
      <c r="X31" s="62">
        <f t="shared" ref="X31:X39" si="34">$B11+($C11-$B11)*(1-AM11)</f>
        <v>6310758.4133439614</v>
      </c>
      <c r="Y31" s="62">
        <f t="shared" ref="Y31:Y39" si="35">$B11+($C11-$B11)*(1-AN11)</f>
        <v>6290958.4021154065</v>
      </c>
      <c r="Z31" s="62">
        <f t="shared" ref="Z31:Z39" si="36">$B11+($C11-$B11)*(1-AO11)</f>
        <v>6277559.9548397847</v>
      </c>
      <c r="AA31" s="62">
        <f t="shared" ref="AA31:AA39" si="37">$B11+($C11-$B11)*(1-AP11)</f>
        <v>6268521.3483193964</v>
      </c>
      <c r="AB31" s="62">
        <f t="shared" ref="AB31:AB39" si="38">$B11+($C11-$B11)*(1-AQ11)</f>
        <v>6262436.6033098586</v>
      </c>
      <c r="AC31" s="62">
        <f t="shared" ref="AC31:AC39" si="39">$B11+($C11-$B11)*(1-AR11)</f>
        <v>6258346.1358050052</v>
      </c>
      <c r="AT31" s="85" t="str">
        <f>A17</f>
        <v>Opex maintenance &amp; repair</v>
      </c>
      <c r="AU31" s="81">
        <f>B17</f>
        <v>1300000</v>
      </c>
      <c r="AV31" s="81">
        <f>C17</f>
        <v>812500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3">
      <c r="A32" s="30" t="str">
        <f t="shared" si="11"/>
        <v>Residual value (vehicle)</v>
      </c>
      <c r="B32" s="62">
        <f t="shared" si="12"/>
        <v>-505775.93556100863</v>
      </c>
      <c r="C32" s="62">
        <f t="shared" si="13"/>
        <v>-508249.01978749514</v>
      </c>
      <c r="D32" s="62">
        <f t="shared" si="14"/>
        <v>-511760.44486805983</v>
      </c>
      <c r="E32" s="62">
        <f t="shared" si="15"/>
        <v>-516723.50679303159</v>
      </c>
      <c r="F32" s="62">
        <f t="shared" si="16"/>
        <v>-523691.55619463779</v>
      </c>
      <c r="G32" s="62">
        <f t="shared" si="17"/>
        <v>-533379.67434313102</v>
      </c>
      <c r="H32" s="62">
        <f t="shared" si="18"/>
        <v>-546661.72189149424</v>
      </c>
      <c r="I32" s="62">
        <f t="shared" si="19"/>
        <v>-564511.37054981932</v>
      </c>
      <c r="J32" s="62">
        <f t="shared" si="20"/>
        <v>-587844.30964477046</v>
      </c>
      <c r="K32" s="62">
        <f t="shared" si="21"/>
        <v>-617228.20265627897</v>
      </c>
      <c r="L32" s="62">
        <f t="shared" si="22"/>
        <v>-652488.03080530826</v>
      </c>
      <c r="M32" s="62">
        <f t="shared" si="23"/>
        <v>-692358.91552128317</v>
      </c>
      <c r="N32" s="62">
        <f t="shared" si="24"/>
        <v>-734450.44492981408</v>
      </c>
      <c r="O32" s="62">
        <f t="shared" si="25"/>
        <v>-775713.6917695828</v>
      </c>
      <c r="P32" s="62">
        <f t="shared" si="26"/>
        <v>-813276.4747121135</v>
      </c>
      <c r="Q32" s="62">
        <f t="shared" si="27"/>
        <v>-845199.49117010995</v>
      </c>
      <c r="R32" s="62">
        <f t="shared" si="28"/>
        <v>-870764.11026463285</v>
      </c>
      <c r="S32" s="62">
        <f t="shared" si="29"/>
        <v>-890271.04927251884</v>
      </c>
      <c r="T32" s="62">
        <f t="shared" si="30"/>
        <v>-904610.21390208486</v>
      </c>
      <c r="U32" s="62">
        <f t="shared" si="31"/>
        <v>-914862.50917234272</v>
      </c>
      <c r="V32" s="62">
        <f t="shared" si="32"/>
        <v>-922047.85410141107</v>
      </c>
      <c r="W32" s="62">
        <f t="shared" si="33"/>
        <v>-927013.36909321207</v>
      </c>
      <c r="X32" s="62">
        <f t="shared" si="34"/>
        <v>-930411.51844320446</v>
      </c>
      <c r="Y32" s="62">
        <f t="shared" si="35"/>
        <v>-932721.51975320256</v>
      </c>
      <c r="Z32" s="62">
        <f t="shared" si="36"/>
        <v>-934284.67193535855</v>
      </c>
      <c r="AA32" s="62">
        <f t="shared" si="37"/>
        <v>-935339.17602940369</v>
      </c>
      <c r="AB32" s="62">
        <f t="shared" si="38"/>
        <v>-936049.06294718315</v>
      </c>
      <c r="AC32" s="62">
        <f t="shared" si="39"/>
        <v>-936526.28415608278</v>
      </c>
      <c r="AT32" s="85" t="str">
        <f t="shared" ref="AT32:AW33" si="40">A19</f>
        <v>Fuel Economy</v>
      </c>
      <c r="AU32" s="81">
        <f t="shared" si="40"/>
        <v>27.1614</v>
      </c>
      <c r="AV32" s="81">
        <f t="shared" si="40"/>
        <v>27.1614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3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9.2586511082899101E-2</v>
      </c>
      <c r="AV33" s="81">
        <f t="shared" si="40"/>
        <v>7.3304790352502799E-2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3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3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3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3">
      <c r="A37" s="30" t="str">
        <f t="shared" si="11"/>
        <v>Opex maintenance &amp; repair</v>
      </c>
      <c r="B37" s="62">
        <f t="shared" si="12"/>
        <v>1293563.9575177333</v>
      </c>
      <c r="C37" s="62">
        <f t="shared" si="13"/>
        <v>1290808.235093934</v>
      </c>
      <c r="D37" s="62">
        <f t="shared" si="14"/>
        <v>1286895.5042898762</v>
      </c>
      <c r="E37" s="62">
        <f t="shared" si="15"/>
        <v>1281365.2352877648</v>
      </c>
      <c r="F37" s="62">
        <f t="shared" si="16"/>
        <v>1273600.837383118</v>
      </c>
      <c r="G37" s="62">
        <f t="shared" si="17"/>
        <v>1262805.5057319398</v>
      </c>
      <c r="H37" s="62">
        <f t="shared" si="18"/>
        <v>1248005.5098923349</v>
      </c>
      <c r="I37" s="62">
        <f t="shared" si="19"/>
        <v>1228115.9013873441</v>
      </c>
      <c r="J37" s="62">
        <f t="shared" si="20"/>
        <v>1202116.3406815415</v>
      </c>
      <c r="K37" s="62">
        <f t="shared" si="21"/>
        <v>1169374.2884687176</v>
      </c>
      <c r="L37" s="62">
        <f t="shared" si="22"/>
        <v>1130084.7656740851</v>
      </c>
      <c r="M37" s="62">
        <f t="shared" si="23"/>
        <v>1085657.2084191416</v>
      </c>
      <c r="N37" s="62">
        <f t="shared" si="24"/>
        <v>1038755.2185067786</v>
      </c>
      <c r="O37" s="62">
        <f t="shared" si="25"/>
        <v>992776.17202817916</v>
      </c>
      <c r="P37" s="62">
        <f t="shared" si="26"/>
        <v>950920.49960650213</v>
      </c>
      <c r="Q37" s="62">
        <f t="shared" si="27"/>
        <v>915349.13841044903</v>
      </c>
      <c r="R37" s="62">
        <f t="shared" si="28"/>
        <v>886862.84856226621</v>
      </c>
      <c r="S37" s="62">
        <f t="shared" si="29"/>
        <v>865126.54509633617</v>
      </c>
      <c r="T37" s="62">
        <f t="shared" si="30"/>
        <v>849148.61879481981</v>
      </c>
      <c r="U37" s="62">
        <f t="shared" si="31"/>
        <v>837724.6326365323</v>
      </c>
      <c r="V37" s="62">
        <f t="shared" si="32"/>
        <v>829718.10542985611</v>
      </c>
      <c r="W37" s="62">
        <f t="shared" si="33"/>
        <v>824185.10301042092</v>
      </c>
      <c r="X37" s="62">
        <f t="shared" si="34"/>
        <v>820398.59373471502</v>
      </c>
      <c r="Y37" s="62">
        <f t="shared" si="35"/>
        <v>817824.59227500285</v>
      </c>
      <c r="Z37" s="62">
        <f t="shared" si="36"/>
        <v>816082.79412917187</v>
      </c>
      <c r="AA37" s="62">
        <f t="shared" si="37"/>
        <v>814907.77528152149</v>
      </c>
      <c r="AB37" s="62">
        <f t="shared" si="38"/>
        <v>814116.75843028165</v>
      </c>
      <c r="AC37" s="62">
        <f t="shared" si="39"/>
        <v>813584.99765465059</v>
      </c>
    </row>
    <row r="38" spans="1:53" x14ac:dyDescent="0.3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3">
      <c r="A39" s="30" t="str">
        <f t="shared" si="11"/>
        <v>Fuel Economy</v>
      </c>
      <c r="B39" s="62">
        <f t="shared" si="12"/>
        <v>27.1614</v>
      </c>
      <c r="C39" s="62">
        <f t="shared" si="13"/>
        <v>27.1614</v>
      </c>
      <c r="D39" s="62">
        <f t="shared" si="14"/>
        <v>27.1614</v>
      </c>
      <c r="E39" s="62">
        <f t="shared" si="15"/>
        <v>27.1614</v>
      </c>
      <c r="F39" s="62">
        <f t="shared" si="16"/>
        <v>27.1614</v>
      </c>
      <c r="G39" s="62">
        <f t="shared" si="17"/>
        <v>27.1614</v>
      </c>
      <c r="H39" s="62">
        <f t="shared" si="18"/>
        <v>27.1614</v>
      </c>
      <c r="I39" s="62">
        <f t="shared" si="19"/>
        <v>27.1614</v>
      </c>
      <c r="J39" s="62">
        <f t="shared" si="20"/>
        <v>27.1614</v>
      </c>
      <c r="K39" s="62">
        <f t="shared" si="21"/>
        <v>27.1614</v>
      </c>
      <c r="L39" s="62">
        <f t="shared" si="22"/>
        <v>27.1614</v>
      </c>
      <c r="M39" s="62">
        <f t="shared" si="23"/>
        <v>27.1614</v>
      </c>
      <c r="N39" s="62">
        <f t="shared" si="24"/>
        <v>27.1614</v>
      </c>
      <c r="O39" s="62">
        <f t="shared" si="25"/>
        <v>27.1614</v>
      </c>
      <c r="P39" s="62">
        <f t="shared" si="26"/>
        <v>27.1614</v>
      </c>
      <c r="Q39" s="62">
        <f t="shared" si="27"/>
        <v>27.1614</v>
      </c>
      <c r="R39" s="62">
        <f t="shared" si="28"/>
        <v>27.1614</v>
      </c>
      <c r="S39" s="62">
        <f t="shared" si="29"/>
        <v>27.1614</v>
      </c>
      <c r="T39" s="62">
        <f t="shared" si="30"/>
        <v>27.1614</v>
      </c>
      <c r="U39" s="62">
        <f t="shared" si="31"/>
        <v>27.1614</v>
      </c>
      <c r="V39" s="62">
        <f t="shared" si="32"/>
        <v>27.1614</v>
      </c>
      <c r="W39" s="62">
        <f t="shared" si="33"/>
        <v>27.1614</v>
      </c>
      <c r="X39" s="62">
        <f t="shared" si="34"/>
        <v>27.1614</v>
      </c>
      <c r="Y39" s="62">
        <f t="shared" si="35"/>
        <v>27.1614</v>
      </c>
      <c r="Z39" s="62">
        <f t="shared" si="36"/>
        <v>27.1614</v>
      </c>
      <c r="AA39" s="62">
        <f t="shared" si="37"/>
        <v>27.1614</v>
      </c>
      <c r="AB39" s="62">
        <f t="shared" si="38"/>
        <v>27.1614</v>
      </c>
      <c r="AC39" s="62">
        <f t="shared" si="39"/>
        <v>27.1614</v>
      </c>
    </row>
    <row r="40" spans="1:53" x14ac:dyDescent="0.3">
      <c r="A40" s="30" t="str">
        <f t="shared" si="11"/>
        <v>Fuel Cost</v>
      </c>
      <c r="B40" s="62">
        <f>$B20+($C20-$B20)*(1-Q20)</f>
        <v>9.2331951136741086E-2</v>
      </c>
      <c r="C40" s="62">
        <f>$B20+($C20-$B20)*(1-R20)</f>
        <v>9.2222956120974545E-2</v>
      </c>
      <c r="D40" s="62">
        <f>$B20+($C20-$B20)*(1-S20)</f>
        <v>9.2068198823216471E-2</v>
      </c>
      <c r="E40" s="62">
        <f t="shared" ref="E40:AC40" si="41">$B20+($C20-$B20)*(1-T20)</f>
        <v>9.1849464254062249E-2</v>
      </c>
      <c r="F40" s="62">
        <f t="shared" si="41"/>
        <v>9.1542364865268247E-2</v>
      </c>
      <c r="G40" s="62">
        <f t="shared" si="41"/>
        <v>9.1115385234314353E-2</v>
      </c>
      <c r="H40" s="62">
        <f t="shared" si="41"/>
        <v>9.0530012133616333E-2</v>
      </c>
      <c r="I40" s="62">
        <f t="shared" si="41"/>
        <v>8.9743333412323725E-2</v>
      </c>
      <c r="J40" s="62">
        <f t="shared" si="41"/>
        <v>8.8714992348442129E-2</v>
      </c>
      <c r="K40" s="62">
        <f t="shared" si="41"/>
        <v>8.7419970590682711E-2</v>
      </c>
      <c r="L40" s="62">
        <f t="shared" si="41"/>
        <v>8.5865981654976761E-2</v>
      </c>
      <c r="M40" s="62">
        <f t="shared" si="41"/>
        <v>8.4108771907851612E-2</v>
      </c>
      <c r="N40" s="62">
        <f t="shared" si="41"/>
        <v>8.2253692787461766E-2</v>
      </c>
      <c r="O40" s="62">
        <f t="shared" si="41"/>
        <v>8.0435118154333018E-2</v>
      </c>
      <c r="P40" s="62">
        <f t="shared" si="41"/>
        <v>7.8779632233065888E-2</v>
      </c>
      <c r="Q40" s="62">
        <f t="shared" si="41"/>
        <v>7.7372704945717463E-2</v>
      </c>
      <c r="R40" s="62">
        <f t="shared" si="41"/>
        <v>7.6246008154952791E-2</v>
      </c>
      <c r="S40" s="62">
        <f t="shared" si="41"/>
        <v>7.5386288497227227E-2</v>
      </c>
      <c r="T40" s="62">
        <f t="shared" si="41"/>
        <v>7.4754325599182742E-2</v>
      </c>
      <c r="U40" s="62">
        <f t="shared" si="41"/>
        <v>7.4302481269476042E-2</v>
      </c>
      <c r="V40" s="62">
        <f t="shared" si="41"/>
        <v>7.3985805122564349E-2</v>
      </c>
      <c r="W40" s="62">
        <f t="shared" si="41"/>
        <v>7.3766962440611206E-2</v>
      </c>
      <c r="X40" s="62">
        <f t="shared" si="41"/>
        <v>7.3617197488001537E-2</v>
      </c>
      <c r="Y40" s="62">
        <f t="shared" si="41"/>
        <v>7.3515389944810147E-2</v>
      </c>
      <c r="Z40" s="62">
        <f t="shared" si="41"/>
        <v>7.3446497913186276E-2</v>
      </c>
      <c r="AA40" s="62">
        <f t="shared" si="41"/>
        <v>7.3400023276728135E-2</v>
      </c>
      <c r="AB40" s="62">
        <f t="shared" si="41"/>
        <v>7.3368736782330912E-2</v>
      </c>
      <c r="AC40" s="62">
        <f t="shared" si="41"/>
        <v>7.3347704448441492E-2</v>
      </c>
    </row>
    <row r="41" spans="1:53" x14ac:dyDescent="0.3">
      <c r="A41" s="30" t="str">
        <f t="shared" ref="A41" si="42">A21</f>
        <v>Emission Cost</v>
      </c>
      <c r="B41" s="66">
        <f>$B21+($C21-$B21)*(1-Q21)</f>
        <v>6.2761939613426576E-2</v>
      </c>
      <c r="C41" s="66">
        <f t="shared" ref="C41:AC41" si="43">$B21+($C21-$B21)*(1-R21)</f>
        <v>6.2702174954862022E-2</v>
      </c>
      <c r="D41" s="66">
        <f t="shared" si="43"/>
        <v>6.2616623177277314E-2</v>
      </c>
      <c r="E41" s="66">
        <f t="shared" si="43"/>
        <v>6.249423534317243E-2</v>
      </c>
      <c r="F41" s="66">
        <f t="shared" si="43"/>
        <v>6.2319316122020151E-2</v>
      </c>
      <c r="G41" s="66">
        <f t="shared" si="43"/>
        <v>6.2069668591824577E-2</v>
      </c>
      <c r="H41" s="66">
        <f t="shared" si="43"/>
        <v>6.1714109263582916E-2</v>
      </c>
      <c r="I41" s="66">
        <f t="shared" si="43"/>
        <v>6.120926598754526E-2</v>
      </c>
      <c r="J41" s="66">
        <f t="shared" si="43"/>
        <v>6.0495718529207473E-2</v>
      </c>
      <c r="K41" s="66">
        <f t="shared" si="43"/>
        <v>5.9493910771163734E-2</v>
      </c>
      <c r="L41" s="66">
        <f t="shared" si="43"/>
        <v>5.8101034320005455E-2</v>
      </c>
      <c r="M41" s="66">
        <f t="shared" si="43"/>
        <v>5.6191452813079128E-2</v>
      </c>
      <c r="N41" s="66">
        <f t="shared" si="43"/>
        <v>5.3625179890251798E-2</v>
      </c>
      <c r="O41" s="66">
        <f t="shared" si="43"/>
        <v>5.0270565412648349E-2</v>
      </c>
      <c r="P41" s="66">
        <f t="shared" si="43"/>
        <v>4.6045995481546684E-2</v>
      </c>
      <c r="Q41" s="66">
        <f t="shared" si="43"/>
        <v>4.0976632830523538E-2</v>
      </c>
      <c r="R41" s="66">
        <f t="shared" si="43"/>
        <v>3.5244331102105231E-2</v>
      </c>
      <c r="S41" s="66">
        <f t="shared" si="43"/>
        <v>2.9192763686456215E-2</v>
      </c>
      <c r="T41" s="66">
        <f t="shared" si="43"/>
        <v>2.32602797984078E-2</v>
      </c>
      <c r="U41" s="66">
        <f t="shared" si="43"/>
        <v>1.7859817603512018E-2</v>
      </c>
      <c r="V41" s="66">
        <f t="shared" si="43"/>
        <v>1.3270193778456035E-2</v>
      </c>
      <c r="W41" s="66">
        <f t="shared" si="43"/>
        <v>9.5947270496434117E-3</v>
      </c>
      <c r="X41" s="66">
        <f t="shared" si="43"/>
        <v>6.7901828067048406E-3</v>
      </c>
      <c r="Y41" s="66">
        <f t="shared" si="43"/>
        <v>4.7286178633715731E-3</v>
      </c>
      <c r="Z41" s="66">
        <f t="shared" si="43"/>
        <v>3.2546287528563561E-3</v>
      </c>
      <c r="AA41" s="66">
        <f t="shared" si="43"/>
        <v>2.2215800645818892E-3</v>
      </c>
      <c r="AB41" s="66">
        <f t="shared" si="43"/>
        <v>1.5076799248495282E-3</v>
      </c>
      <c r="AC41" s="66">
        <f t="shared" si="43"/>
        <v>1.0191224842221736E-3</v>
      </c>
    </row>
    <row r="42" spans="1:53" x14ac:dyDescent="0.3">
      <c r="A42" s="30" t="str">
        <f>A22</f>
        <v>Lifetime vehicle</v>
      </c>
      <c r="B42" s="62">
        <f>$B22+($C22-$B22)*(1-Q22)</f>
        <v>20</v>
      </c>
      <c r="C42" s="62">
        <f t="shared" ref="C42:L44" si="44">$B22+($C22-$B22)*(1-R22)</f>
        <v>20</v>
      </c>
      <c r="D42" s="62">
        <f t="shared" si="44"/>
        <v>20</v>
      </c>
      <c r="E42" s="62">
        <f t="shared" si="44"/>
        <v>20</v>
      </c>
      <c r="F42" s="62">
        <f t="shared" si="44"/>
        <v>20</v>
      </c>
      <c r="G42" s="62">
        <f t="shared" si="44"/>
        <v>20</v>
      </c>
      <c r="H42" s="62">
        <f t="shared" si="44"/>
        <v>20</v>
      </c>
      <c r="I42" s="62">
        <f t="shared" si="44"/>
        <v>20</v>
      </c>
      <c r="J42" s="62">
        <f t="shared" si="44"/>
        <v>20</v>
      </c>
      <c r="K42" s="62">
        <f t="shared" si="44"/>
        <v>20</v>
      </c>
      <c r="L42" s="62">
        <f t="shared" si="44"/>
        <v>20</v>
      </c>
      <c r="M42" s="62">
        <f t="shared" ref="M42:V44" si="45">$B22+($C22-$B22)*(1-AB22)</f>
        <v>20</v>
      </c>
      <c r="N42" s="62">
        <f t="shared" si="45"/>
        <v>20</v>
      </c>
      <c r="O42" s="62">
        <f t="shared" si="45"/>
        <v>20</v>
      </c>
      <c r="P42" s="62">
        <f t="shared" si="45"/>
        <v>20</v>
      </c>
      <c r="Q42" s="62">
        <f t="shared" si="45"/>
        <v>20</v>
      </c>
      <c r="R42" s="62">
        <f t="shared" si="45"/>
        <v>20</v>
      </c>
      <c r="S42" s="62">
        <f t="shared" si="45"/>
        <v>20</v>
      </c>
      <c r="T42" s="62">
        <f t="shared" si="45"/>
        <v>20</v>
      </c>
      <c r="U42" s="62">
        <f t="shared" si="45"/>
        <v>20</v>
      </c>
      <c r="V42" s="62">
        <f t="shared" si="45"/>
        <v>20</v>
      </c>
      <c r="W42" s="62">
        <f t="shared" ref="W42:AC44" si="46">$B22+($C22-$B22)*(1-AL22)</f>
        <v>20</v>
      </c>
      <c r="X42" s="62">
        <f t="shared" si="46"/>
        <v>20</v>
      </c>
      <c r="Y42" s="62">
        <f t="shared" si="46"/>
        <v>20</v>
      </c>
      <c r="Z42" s="62">
        <f t="shared" si="46"/>
        <v>20</v>
      </c>
      <c r="AA42" s="62">
        <f t="shared" si="46"/>
        <v>20</v>
      </c>
      <c r="AB42" s="62">
        <f t="shared" si="46"/>
        <v>20</v>
      </c>
      <c r="AC42" s="62">
        <f t="shared" si="46"/>
        <v>20</v>
      </c>
    </row>
    <row r="43" spans="1:53" x14ac:dyDescent="0.3">
      <c r="A43" s="30" t="str">
        <f>A23</f>
        <v>Lifetime costumization</v>
      </c>
      <c r="B43" s="62">
        <f>$B23+($C23-$B23)*(1-Q23)</f>
        <v>30</v>
      </c>
      <c r="C43" s="62">
        <f t="shared" si="44"/>
        <v>30</v>
      </c>
      <c r="D43" s="62">
        <f t="shared" si="44"/>
        <v>30</v>
      </c>
      <c r="E43" s="62">
        <f t="shared" si="44"/>
        <v>30</v>
      </c>
      <c r="F43" s="62">
        <f t="shared" si="44"/>
        <v>30</v>
      </c>
      <c r="G43" s="62">
        <f t="shared" si="44"/>
        <v>30</v>
      </c>
      <c r="H43" s="62">
        <f t="shared" si="44"/>
        <v>30</v>
      </c>
      <c r="I43" s="62">
        <f t="shared" si="44"/>
        <v>30</v>
      </c>
      <c r="J43" s="62">
        <f t="shared" si="44"/>
        <v>30</v>
      </c>
      <c r="K43" s="62">
        <f t="shared" si="44"/>
        <v>30</v>
      </c>
      <c r="L43" s="62">
        <f t="shared" si="44"/>
        <v>30</v>
      </c>
      <c r="M43" s="62">
        <f t="shared" si="45"/>
        <v>30</v>
      </c>
      <c r="N43" s="62">
        <f t="shared" si="45"/>
        <v>30</v>
      </c>
      <c r="O43" s="62">
        <f t="shared" si="45"/>
        <v>30</v>
      </c>
      <c r="P43" s="62">
        <f t="shared" si="45"/>
        <v>30</v>
      </c>
      <c r="Q43" s="62">
        <f t="shared" si="45"/>
        <v>30</v>
      </c>
      <c r="R43" s="62">
        <f t="shared" si="45"/>
        <v>30</v>
      </c>
      <c r="S43" s="62">
        <f t="shared" si="45"/>
        <v>30</v>
      </c>
      <c r="T43" s="62">
        <f t="shared" si="45"/>
        <v>30</v>
      </c>
      <c r="U43" s="62">
        <f t="shared" si="45"/>
        <v>30</v>
      </c>
      <c r="V43" s="62">
        <f t="shared" si="45"/>
        <v>30</v>
      </c>
      <c r="W43" s="62">
        <f t="shared" si="46"/>
        <v>30</v>
      </c>
      <c r="X43" s="62">
        <f t="shared" si="46"/>
        <v>30</v>
      </c>
      <c r="Y43" s="62">
        <f t="shared" si="46"/>
        <v>30</v>
      </c>
      <c r="Z43" s="62">
        <f t="shared" si="46"/>
        <v>30</v>
      </c>
      <c r="AA43" s="62">
        <f t="shared" si="46"/>
        <v>30</v>
      </c>
      <c r="AB43" s="62">
        <f t="shared" si="46"/>
        <v>30</v>
      </c>
      <c r="AC43" s="62">
        <f t="shared" si="46"/>
        <v>30</v>
      </c>
    </row>
    <row r="44" spans="1:53" x14ac:dyDescent="0.3">
      <c r="A44" s="30" t="str">
        <f>A24</f>
        <v xml:space="preserve">Tonnage </v>
      </c>
      <c r="B44" s="62">
        <f>$B24+($C24-$B24)*(1-Q24)</f>
        <v>2240</v>
      </c>
      <c r="C44" s="62">
        <f t="shared" si="44"/>
        <v>2240</v>
      </c>
      <c r="D44" s="62">
        <f t="shared" si="44"/>
        <v>2240</v>
      </c>
      <c r="E44" s="62">
        <f t="shared" si="44"/>
        <v>2240</v>
      </c>
      <c r="F44" s="62">
        <f t="shared" si="44"/>
        <v>2240</v>
      </c>
      <c r="G44" s="62">
        <f t="shared" si="44"/>
        <v>2240</v>
      </c>
      <c r="H44" s="62">
        <f t="shared" si="44"/>
        <v>2240</v>
      </c>
      <c r="I44" s="62">
        <f t="shared" si="44"/>
        <v>2240</v>
      </c>
      <c r="J44" s="62">
        <f t="shared" si="44"/>
        <v>2240</v>
      </c>
      <c r="K44" s="62">
        <f t="shared" si="44"/>
        <v>2240</v>
      </c>
      <c r="L44" s="62">
        <f t="shared" si="44"/>
        <v>2240</v>
      </c>
      <c r="M44" s="62">
        <f t="shared" si="45"/>
        <v>2240</v>
      </c>
      <c r="N44" s="62">
        <f t="shared" si="45"/>
        <v>2240</v>
      </c>
      <c r="O44" s="62">
        <f t="shared" si="45"/>
        <v>2240</v>
      </c>
      <c r="P44" s="62">
        <f t="shared" si="45"/>
        <v>2240</v>
      </c>
      <c r="Q44" s="62">
        <f t="shared" si="45"/>
        <v>2240</v>
      </c>
      <c r="R44" s="62">
        <f t="shared" si="45"/>
        <v>2240</v>
      </c>
      <c r="S44" s="62">
        <f t="shared" si="45"/>
        <v>2240</v>
      </c>
      <c r="T44" s="62">
        <f t="shared" si="45"/>
        <v>2240</v>
      </c>
      <c r="U44" s="62">
        <f t="shared" si="45"/>
        <v>2240</v>
      </c>
      <c r="V44" s="62">
        <f t="shared" si="45"/>
        <v>2240</v>
      </c>
      <c r="W44" s="62">
        <f t="shared" si="46"/>
        <v>2240</v>
      </c>
      <c r="X44" s="62">
        <f t="shared" si="46"/>
        <v>2240</v>
      </c>
      <c r="Y44" s="62">
        <f t="shared" si="46"/>
        <v>2240</v>
      </c>
      <c r="Z44" s="62">
        <f t="shared" si="46"/>
        <v>2240</v>
      </c>
      <c r="AA44" s="62">
        <f t="shared" si="46"/>
        <v>2240</v>
      </c>
      <c r="AB44" s="62">
        <f t="shared" si="46"/>
        <v>2240</v>
      </c>
      <c r="AC44" s="62">
        <f t="shared" si="46"/>
        <v>2240</v>
      </c>
    </row>
    <row r="45" spans="1:53" x14ac:dyDescent="0.3">
      <c r="A45" s="30" t="str">
        <f>A25</f>
        <v>Market failure (av. utilization)</v>
      </c>
      <c r="B45" s="62">
        <f t="shared" ref="B45:K46" si="47">($B25+($C25-$B25)*(1-Q25))*B$44</f>
        <v>1075.2</v>
      </c>
      <c r="C45" s="62">
        <f t="shared" si="47"/>
        <v>1075.2</v>
      </c>
      <c r="D45" s="62">
        <f t="shared" si="47"/>
        <v>1075.2</v>
      </c>
      <c r="E45" s="62">
        <f t="shared" si="47"/>
        <v>1075.2</v>
      </c>
      <c r="F45" s="62">
        <f t="shared" si="47"/>
        <v>1075.2</v>
      </c>
      <c r="G45" s="62">
        <f t="shared" si="47"/>
        <v>1075.2</v>
      </c>
      <c r="H45" s="62">
        <f t="shared" si="47"/>
        <v>1075.2</v>
      </c>
      <c r="I45" s="62">
        <f t="shared" si="47"/>
        <v>1075.2</v>
      </c>
      <c r="J45" s="62">
        <f t="shared" si="47"/>
        <v>1075.2</v>
      </c>
      <c r="K45" s="62">
        <f t="shared" si="47"/>
        <v>1075.2</v>
      </c>
      <c r="L45" s="62">
        <f t="shared" ref="L45:U46" si="48">($B25+($C25-$B25)*(1-AA25))*L$44</f>
        <v>1075.2</v>
      </c>
      <c r="M45" s="62">
        <f t="shared" si="48"/>
        <v>1075.2</v>
      </c>
      <c r="N45" s="62">
        <f t="shared" si="48"/>
        <v>1075.2</v>
      </c>
      <c r="O45" s="62">
        <f t="shared" si="48"/>
        <v>1075.2</v>
      </c>
      <c r="P45" s="62">
        <f t="shared" si="48"/>
        <v>1075.2</v>
      </c>
      <c r="Q45" s="62">
        <f t="shared" si="48"/>
        <v>1075.2</v>
      </c>
      <c r="R45" s="62">
        <f t="shared" si="48"/>
        <v>1075.2</v>
      </c>
      <c r="S45" s="62">
        <f t="shared" si="48"/>
        <v>1075.2</v>
      </c>
      <c r="T45" s="62">
        <f t="shared" si="48"/>
        <v>1075.2</v>
      </c>
      <c r="U45" s="62">
        <f t="shared" si="48"/>
        <v>1075.2</v>
      </c>
      <c r="V45" s="62">
        <f t="shared" ref="V45:AC46" si="49">($B25+($C25-$B25)*(1-AK25))*V$44</f>
        <v>1075.2</v>
      </c>
      <c r="W45" s="62">
        <f t="shared" si="49"/>
        <v>1075.2</v>
      </c>
      <c r="X45" s="62">
        <f t="shared" si="49"/>
        <v>1075.2</v>
      </c>
      <c r="Y45" s="62">
        <f t="shared" si="49"/>
        <v>1075.2</v>
      </c>
      <c r="Z45" s="62">
        <f t="shared" si="49"/>
        <v>1075.2</v>
      </c>
      <c r="AA45" s="62">
        <f t="shared" si="49"/>
        <v>1075.2</v>
      </c>
      <c r="AB45" s="62">
        <f t="shared" si="49"/>
        <v>1075.2</v>
      </c>
      <c r="AC45" s="62">
        <f t="shared" si="49"/>
        <v>1075.2</v>
      </c>
    </row>
    <row r="46" spans="1:53" x14ac:dyDescent="0.3">
      <c r="A46" s="30" t="s">
        <v>73</v>
      </c>
      <c r="B46" s="62">
        <f t="shared" si="47"/>
        <v>79.471914462993496</v>
      </c>
      <c r="C46" s="62">
        <f t="shared" si="47"/>
        <v>79.245803905143291</v>
      </c>
      <c r="D46" s="62">
        <f t="shared" si="47"/>
        <v>78.924759326348806</v>
      </c>
      <c r="E46" s="62">
        <f t="shared" si="47"/>
        <v>78.470993664637106</v>
      </c>
      <c r="F46" s="62">
        <f t="shared" si="47"/>
        <v>77.833914862204551</v>
      </c>
      <c r="G46" s="62">
        <f t="shared" si="47"/>
        <v>76.948144060056592</v>
      </c>
      <c r="H46" s="62">
        <f t="shared" si="47"/>
        <v>75.733785427063381</v>
      </c>
      <c r="I46" s="62">
        <f t="shared" si="47"/>
        <v>74.101817549730796</v>
      </c>
      <c r="J46" s="62">
        <f t="shared" si="47"/>
        <v>71.968520261049548</v>
      </c>
      <c r="K46" s="62">
        <f t="shared" si="47"/>
        <v>69.281992899997348</v>
      </c>
      <c r="L46" s="62">
        <f t="shared" si="48"/>
        <v>66.058237183514677</v>
      </c>
      <c r="M46" s="62">
        <f t="shared" si="48"/>
        <v>62.412899152339826</v>
      </c>
      <c r="N46" s="62">
        <f t="shared" si="48"/>
        <v>58.564530749274141</v>
      </c>
      <c r="O46" s="62">
        <f t="shared" si="48"/>
        <v>54.79189103820957</v>
      </c>
      <c r="P46" s="62">
        <f t="shared" si="48"/>
        <v>51.357579454892473</v>
      </c>
      <c r="Q46" s="62">
        <f t="shared" si="48"/>
        <v>48.438903664447089</v>
      </c>
      <c r="R46" s="62">
        <f t="shared" si="48"/>
        <v>46.101567061519283</v>
      </c>
      <c r="S46" s="62">
        <f t="shared" si="48"/>
        <v>44.318075495083995</v>
      </c>
      <c r="T46" s="62">
        <f t="shared" si="48"/>
        <v>43.007066157523667</v>
      </c>
      <c r="U46" s="62">
        <f t="shared" si="48"/>
        <v>42.069713447100085</v>
      </c>
      <c r="V46" s="62">
        <f t="shared" si="49"/>
        <v>41.412767625013835</v>
      </c>
      <c r="W46" s="62">
        <f t="shared" si="49"/>
        <v>40.958777682906323</v>
      </c>
      <c r="X46" s="62">
        <f t="shared" si="49"/>
        <v>40.648089742335586</v>
      </c>
      <c r="Y46" s="62">
        <f t="shared" si="49"/>
        <v>40.43688962256433</v>
      </c>
      <c r="Z46" s="62">
        <f t="shared" si="49"/>
        <v>40.29397285162436</v>
      </c>
      <c r="AA46" s="62">
        <f t="shared" si="49"/>
        <v>40.197561048740226</v>
      </c>
      <c r="AB46" s="62">
        <f t="shared" si="49"/>
        <v>40.132657101971823</v>
      </c>
      <c r="AC46" s="62">
        <f t="shared" si="49"/>
        <v>40.08902544858671</v>
      </c>
    </row>
    <row r="47" spans="1:53" x14ac:dyDescent="0.3">
      <c r="A47" s="30" t="str">
        <f>A27</f>
        <v>Annual Mileage</v>
      </c>
      <c r="B47" s="62">
        <f t="shared" ref="B47:AC47" si="50">$B27+($C27-$B27)*(1-Q27)</f>
        <v>178500</v>
      </c>
      <c r="C47" s="62">
        <f t="shared" si="50"/>
        <v>178500</v>
      </c>
      <c r="D47" s="62">
        <f t="shared" si="50"/>
        <v>178500</v>
      </c>
      <c r="E47" s="62">
        <f t="shared" si="50"/>
        <v>178500</v>
      </c>
      <c r="F47" s="62">
        <f t="shared" si="50"/>
        <v>178500</v>
      </c>
      <c r="G47" s="62">
        <f t="shared" si="50"/>
        <v>178500</v>
      </c>
      <c r="H47" s="62">
        <f t="shared" si="50"/>
        <v>178500</v>
      </c>
      <c r="I47" s="62">
        <f t="shared" si="50"/>
        <v>178500</v>
      </c>
      <c r="J47" s="62">
        <f t="shared" si="50"/>
        <v>178500</v>
      </c>
      <c r="K47" s="62">
        <f t="shared" si="50"/>
        <v>178500</v>
      </c>
      <c r="L47" s="62">
        <f t="shared" si="50"/>
        <v>178500</v>
      </c>
      <c r="M47" s="62">
        <f t="shared" si="50"/>
        <v>178500</v>
      </c>
      <c r="N47" s="62">
        <f t="shared" si="50"/>
        <v>178500</v>
      </c>
      <c r="O47" s="62">
        <f t="shared" si="50"/>
        <v>178500</v>
      </c>
      <c r="P47" s="62">
        <f t="shared" si="50"/>
        <v>178500</v>
      </c>
      <c r="Q47" s="62">
        <f t="shared" si="50"/>
        <v>178500</v>
      </c>
      <c r="R47" s="62">
        <f t="shared" si="50"/>
        <v>178500</v>
      </c>
      <c r="S47" s="62">
        <f t="shared" si="50"/>
        <v>178500</v>
      </c>
      <c r="T47" s="62">
        <f t="shared" si="50"/>
        <v>178500</v>
      </c>
      <c r="U47" s="62">
        <f t="shared" si="50"/>
        <v>178500</v>
      </c>
      <c r="V47" s="62">
        <f t="shared" si="50"/>
        <v>178500</v>
      </c>
      <c r="W47" s="62">
        <f t="shared" si="50"/>
        <v>178500</v>
      </c>
      <c r="X47" s="62">
        <f t="shared" si="50"/>
        <v>178500</v>
      </c>
      <c r="Y47" s="62">
        <f t="shared" si="50"/>
        <v>178500</v>
      </c>
      <c r="Z47" s="62">
        <f t="shared" si="50"/>
        <v>178500</v>
      </c>
      <c r="AA47" s="62">
        <f t="shared" si="50"/>
        <v>178500</v>
      </c>
      <c r="AB47" s="62">
        <f t="shared" si="50"/>
        <v>178500</v>
      </c>
      <c r="AC47" s="62">
        <f t="shared" si="50"/>
        <v>178500</v>
      </c>
    </row>
    <row r="48" spans="1:53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867529.23505697085</v>
      </c>
      <c r="C50" s="63">
        <f t="shared" ref="C50:AC50" si="51">((1+C35)^C42)*C35/(((1+C35)^C42)-1)*(C31)</f>
        <v>865681.10860566224</v>
      </c>
      <c r="D50" s="63">
        <f t="shared" si="51"/>
        <v>863057.03397703567</v>
      </c>
      <c r="E50" s="63">
        <f t="shared" si="51"/>
        <v>859348.15664694412</v>
      </c>
      <c r="F50" s="63">
        <f t="shared" si="51"/>
        <v>854140.95978918544</v>
      </c>
      <c r="G50" s="63">
        <f t="shared" si="51"/>
        <v>846901.06588590739</v>
      </c>
      <c r="H50" s="63">
        <f t="shared" si="51"/>
        <v>836975.44218948286</v>
      </c>
      <c r="I50" s="63">
        <f t="shared" si="51"/>
        <v>823636.46752832399</v>
      </c>
      <c r="J50" s="63">
        <f t="shared" si="51"/>
        <v>806199.8507457996</v>
      </c>
      <c r="K50" s="63">
        <f t="shared" si="51"/>
        <v>784241.37907896913</v>
      </c>
      <c r="L50" s="63">
        <f t="shared" si="51"/>
        <v>757891.84339680034</v>
      </c>
      <c r="M50" s="63">
        <f t="shared" si="51"/>
        <v>728096.48265190842</v>
      </c>
      <c r="N50" s="63">
        <f t="shared" si="51"/>
        <v>696641.64256081509</v>
      </c>
      <c r="O50" s="63">
        <f t="shared" si="51"/>
        <v>665805.77488808637</v>
      </c>
      <c r="P50" s="63">
        <f t="shared" si="51"/>
        <v>637735.24983383913</v>
      </c>
      <c r="Q50" s="63">
        <f t="shared" si="51"/>
        <v>613879.3008573663</v>
      </c>
      <c r="R50" s="63">
        <f t="shared" si="51"/>
        <v>594774.95808561263</v>
      </c>
      <c r="S50" s="63">
        <f t="shared" si="51"/>
        <v>580197.49663952412</v>
      </c>
      <c r="T50" s="63">
        <f t="shared" si="51"/>
        <v>569481.893362551</v>
      </c>
      <c r="U50" s="63">
        <f t="shared" si="51"/>
        <v>561820.39203855116</v>
      </c>
      <c r="V50" s="63">
        <f t="shared" si="51"/>
        <v>556450.81105826527</v>
      </c>
      <c r="W50" s="63">
        <f t="shared" si="51"/>
        <v>552740.10056064755</v>
      </c>
      <c r="X50" s="63">
        <f t="shared" si="51"/>
        <v>550200.67645533092</v>
      </c>
      <c r="Y50" s="63">
        <f t="shared" si="51"/>
        <v>548474.42124823271</v>
      </c>
      <c r="Z50" s="63">
        <f t="shared" si="51"/>
        <v>547306.28355832992</v>
      </c>
      <c r="AA50" s="63">
        <f t="shared" si="51"/>
        <v>546518.25665316184</v>
      </c>
      <c r="AB50" s="63">
        <f t="shared" si="51"/>
        <v>545987.76085518813</v>
      </c>
      <c r="AC50" s="63">
        <f t="shared" si="51"/>
        <v>545631.13525794924</v>
      </c>
    </row>
    <row r="51" spans="1:29" x14ac:dyDescent="0.3">
      <c r="A51" s="30" t="str">
        <f>A32</f>
        <v>Residual value (vehicle)</v>
      </c>
      <c r="B51" s="62">
        <f>((1+B35)^B42)*B35/(((1+B35)^B42)-1)*(B32)</f>
        <v>-44095.850871439077</v>
      </c>
      <c r="C51" s="62">
        <f t="shared" ref="C51:AC51" si="52">((1+C35)^C42)*C35/(((1+C35)^C42)-1)*(C32)</f>
        <v>-44311.465624091747</v>
      </c>
      <c r="D51" s="62">
        <f t="shared" si="52"/>
        <v>-44617.607664098185</v>
      </c>
      <c r="E51" s="62">
        <f t="shared" si="52"/>
        <v>-45050.310019275523</v>
      </c>
      <c r="F51" s="62">
        <f t="shared" si="52"/>
        <v>-45657.816319347374</v>
      </c>
      <c r="G51" s="62">
        <f t="shared" si="52"/>
        <v>-46502.470608063151</v>
      </c>
      <c r="H51" s="62">
        <f t="shared" si="52"/>
        <v>-47660.460039312675</v>
      </c>
      <c r="I51" s="62">
        <f t="shared" si="52"/>
        <v>-49216.673749781199</v>
      </c>
      <c r="J51" s="62">
        <f t="shared" si="52"/>
        <v>-51250.945707742365</v>
      </c>
      <c r="K51" s="62">
        <f t="shared" si="52"/>
        <v>-53812.767402205936</v>
      </c>
      <c r="L51" s="62">
        <f t="shared" si="52"/>
        <v>-56886.879898458967</v>
      </c>
      <c r="M51" s="62">
        <f t="shared" si="52"/>
        <v>-60363.005318696356</v>
      </c>
      <c r="N51" s="62">
        <f t="shared" si="52"/>
        <v>-64032.73666265724</v>
      </c>
      <c r="O51" s="62">
        <f t="shared" si="52"/>
        <v>-67630.254557808934</v>
      </c>
      <c r="P51" s="62">
        <f t="shared" si="52"/>
        <v>-70905.149147471107</v>
      </c>
      <c r="Q51" s="62">
        <f t="shared" si="52"/>
        <v>-73688.343194726258</v>
      </c>
      <c r="R51" s="62">
        <f t="shared" si="52"/>
        <v>-75917.183184764202</v>
      </c>
      <c r="S51" s="62">
        <f t="shared" si="52"/>
        <v>-77617.887020141206</v>
      </c>
      <c r="T51" s="62">
        <f t="shared" si="52"/>
        <v>-78868.040735788047</v>
      </c>
      <c r="U51" s="62">
        <f t="shared" si="52"/>
        <v>-79761.882556921351</v>
      </c>
      <c r="V51" s="62">
        <f t="shared" si="52"/>
        <v>-80388.333671288041</v>
      </c>
      <c r="W51" s="62">
        <f t="shared" si="52"/>
        <v>-80821.249896010122</v>
      </c>
      <c r="X51" s="62">
        <f t="shared" si="52"/>
        <v>-81117.516041630384</v>
      </c>
      <c r="Y51" s="62">
        <f t="shared" si="52"/>
        <v>-81318.912482458516</v>
      </c>
      <c r="Z51" s="62">
        <f t="shared" si="52"/>
        <v>-81455.19521294719</v>
      </c>
      <c r="AA51" s="62">
        <f t="shared" si="52"/>
        <v>-81547.131685216795</v>
      </c>
      <c r="AB51" s="62">
        <f t="shared" si="52"/>
        <v>-81609.022861647056</v>
      </c>
      <c r="AC51" s="62">
        <f t="shared" si="52"/>
        <v>-81650.629181324926</v>
      </c>
    </row>
    <row r="52" spans="1:29" x14ac:dyDescent="0.3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3">((1+C35)^C43)*C35/(((1+C35)^C43)-1)*(C33)</f>
        <v>305125.4282581982</v>
      </c>
      <c r="D52" s="62">
        <f t="shared" si="53"/>
        <v>305125.4282581982</v>
      </c>
      <c r="E52" s="62">
        <f t="shared" si="53"/>
        <v>305125.4282581982</v>
      </c>
      <c r="F52" s="62">
        <f t="shared" si="53"/>
        <v>305125.4282581982</v>
      </c>
      <c r="G52" s="62">
        <f t="shared" si="53"/>
        <v>305125.4282581982</v>
      </c>
      <c r="H52" s="62">
        <f t="shared" si="53"/>
        <v>305125.4282581982</v>
      </c>
      <c r="I52" s="62">
        <f t="shared" si="53"/>
        <v>305125.4282581982</v>
      </c>
      <c r="J52" s="62">
        <f t="shared" si="53"/>
        <v>305125.4282581982</v>
      </c>
      <c r="K52" s="62">
        <f t="shared" si="53"/>
        <v>305125.4282581982</v>
      </c>
      <c r="L52" s="62">
        <f t="shared" si="53"/>
        <v>305125.4282581982</v>
      </c>
      <c r="M52" s="62">
        <f t="shared" si="53"/>
        <v>305125.4282581982</v>
      </c>
      <c r="N52" s="62">
        <f t="shared" si="53"/>
        <v>305125.4282581982</v>
      </c>
      <c r="O52" s="62">
        <f t="shared" si="53"/>
        <v>305125.4282581982</v>
      </c>
      <c r="P52" s="62">
        <f t="shared" si="53"/>
        <v>305125.4282581982</v>
      </c>
      <c r="Q52" s="62">
        <f t="shared" si="53"/>
        <v>305125.4282581982</v>
      </c>
      <c r="R52" s="62">
        <f t="shared" si="53"/>
        <v>305125.4282581982</v>
      </c>
      <c r="S52" s="62">
        <f t="shared" si="53"/>
        <v>305125.4282581982</v>
      </c>
      <c r="T52" s="62">
        <f t="shared" si="53"/>
        <v>305125.4282581982</v>
      </c>
      <c r="U52" s="62">
        <f t="shared" si="53"/>
        <v>305125.4282581982</v>
      </c>
      <c r="V52" s="62">
        <f t="shared" si="53"/>
        <v>305125.4282581982</v>
      </c>
      <c r="W52" s="62">
        <f t="shared" si="53"/>
        <v>305125.4282581982</v>
      </c>
      <c r="X52" s="62">
        <f t="shared" si="53"/>
        <v>305125.4282581982</v>
      </c>
      <c r="Y52" s="62">
        <f t="shared" si="53"/>
        <v>305125.4282581982</v>
      </c>
      <c r="Z52" s="62">
        <f t="shared" si="53"/>
        <v>305125.4282581982</v>
      </c>
      <c r="AA52" s="62">
        <f t="shared" si="53"/>
        <v>305125.4282581982</v>
      </c>
      <c r="AB52" s="62">
        <f t="shared" si="53"/>
        <v>305125.4282581982</v>
      </c>
      <c r="AC52" s="62">
        <f t="shared" si="53"/>
        <v>305125.4282581982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4">((1+C35)^C43)*C35/(((1+C35)^C43)-1)*(C34)</f>
        <v>-15256.271412909911</v>
      </c>
      <c r="D53" s="62">
        <f t="shared" si="54"/>
        <v>-15256.271412909911</v>
      </c>
      <c r="E53" s="62">
        <f t="shared" si="54"/>
        <v>-15256.271412909911</v>
      </c>
      <c r="F53" s="62">
        <f t="shared" si="54"/>
        <v>-15256.271412909911</v>
      </c>
      <c r="G53" s="62">
        <f t="shared" si="54"/>
        <v>-15256.271412909911</v>
      </c>
      <c r="H53" s="62">
        <f t="shared" si="54"/>
        <v>-15256.271412909911</v>
      </c>
      <c r="I53" s="62">
        <f t="shared" si="54"/>
        <v>-15256.271412909911</v>
      </c>
      <c r="J53" s="62">
        <f t="shared" si="54"/>
        <v>-15256.271412909911</v>
      </c>
      <c r="K53" s="62">
        <f t="shared" si="54"/>
        <v>-15256.271412909911</v>
      </c>
      <c r="L53" s="62">
        <f t="shared" si="54"/>
        <v>-15256.271412909911</v>
      </c>
      <c r="M53" s="62">
        <f t="shared" si="54"/>
        <v>-15256.271412909911</v>
      </c>
      <c r="N53" s="62">
        <f t="shared" si="54"/>
        <v>-15256.271412909911</v>
      </c>
      <c r="O53" s="62">
        <f t="shared" si="54"/>
        <v>-15256.271412909911</v>
      </c>
      <c r="P53" s="62">
        <f t="shared" si="54"/>
        <v>-15256.271412909911</v>
      </c>
      <c r="Q53" s="62">
        <f t="shared" si="54"/>
        <v>-15256.271412909911</v>
      </c>
      <c r="R53" s="62">
        <f t="shared" si="54"/>
        <v>-15256.271412909911</v>
      </c>
      <c r="S53" s="62">
        <f t="shared" si="54"/>
        <v>-15256.271412909911</v>
      </c>
      <c r="T53" s="62">
        <f t="shared" si="54"/>
        <v>-15256.271412909911</v>
      </c>
      <c r="U53" s="62">
        <f t="shared" si="54"/>
        <v>-15256.271412909911</v>
      </c>
      <c r="V53" s="62">
        <f t="shared" si="54"/>
        <v>-15256.271412909911</v>
      </c>
      <c r="W53" s="62">
        <f t="shared" si="54"/>
        <v>-15256.271412909911</v>
      </c>
      <c r="X53" s="62">
        <f t="shared" si="54"/>
        <v>-15256.271412909911</v>
      </c>
      <c r="Y53" s="62">
        <f t="shared" si="54"/>
        <v>-15256.271412909911</v>
      </c>
      <c r="Z53" s="62">
        <f t="shared" si="54"/>
        <v>-15256.271412909911</v>
      </c>
      <c r="AA53" s="62">
        <f t="shared" si="54"/>
        <v>-15256.271412909911</v>
      </c>
      <c r="AB53" s="62">
        <f t="shared" si="54"/>
        <v>-15256.271412909911</v>
      </c>
      <c r="AC53" s="62">
        <f t="shared" si="54"/>
        <v>-15256.271412909911</v>
      </c>
    </row>
    <row r="54" spans="1:29" x14ac:dyDescent="0.3">
      <c r="A54" s="30" t="str">
        <f t="shared" ref="A54:AC54" si="55">A36</f>
        <v>Opex fix (admin, crew, insurance)</v>
      </c>
      <c r="B54" s="62">
        <f t="shared" si="55"/>
        <v>650000</v>
      </c>
      <c r="C54" s="62">
        <f t="shared" si="55"/>
        <v>650000</v>
      </c>
      <c r="D54" s="62">
        <f t="shared" si="55"/>
        <v>650000</v>
      </c>
      <c r="E54" s="62">
        <f t="shared" si="55"/>
        <v>650000</v>
      </c>
      <c r="F54" s="62">
        <f t="shared" si="55"/>
        <v>650000</v>
      </c>
      <c r="G54" s="62">
        <f t="shared" si="55"/>
        <v>650000</v>
      </c>
      <c r="H54" s="62">
        <f t="shared" si="55"/>
        <v>650000</v>
      </c>
      <c r="I54" s="62">
        <f t="shared" si="55"/>
        <v>650000</v>
      </c>
      <c r="J54" s="62">
        <f t="shared" si="55"/>
        <v>650000</v>
      </c>
      <c r="K54" s="62">
        <f t="shared" si="55"/>
        <v>650000</v>
      </c>
      <c r="L54" s="62">
        <f t="shared" si="55"/>
        <v>650000</v>
      </c>
      <c r="M54" s="62">
        <f t="shared" si="55"/>
        <v>650000</v>
      </c>
      <c r="N54" s="62">
        <f t="shared" si="55"/>
        <v>650000</v>
      </c>
      <c r="O54" s="62">
        <f t="shared" si="55"/>
        <v>650000</v>
      </c>
      <c r="P54" s="62">
        <f t="shared" si="55"/>
        <v>650000</v>
      </c>
      <c r="Q54" s="62">
        <f t="shared" si="55"/>
        <v>650000</v>
      </c>
      <c r="R54" s="62">
        <f t="shared" si="55"/>
        <v>650000</v>
      </c>
      <c r="S54" s="62">
        <f t="shared" si="55"/>
        <v>650000</v>
      </c>
      <c r="T54" s="62">
        <f t="shared" si="55"/>
        <v>650000</v>
      </c>
      <c r="U54" s="62">
        <f t="shared" si="55"/>
        <v>650000</v>
      </c>
      <c r="V54" s="62">
        <f t="shared" si="55"/>
        <v>650000</v>
      </c>
      <c r="W54" s="62">
        <f t="shared" si="55"/>
        <v>650000</v>
      </c>
      <c r="X54" s="62">
        <f t="shared" si="55"/>
        <v>650000</v>
      </c>
      <c r="Y54" s="62">
        <f t="shared" si="55"/>
        <v>650000</v>
      </c>
      <c r="Z54" s="62">
        <f t="shared" si="55"/>
        <v>650000</v>
      </c>
      <c r="AA54" s="62">
        <f t="shared" si="55"/>
        <v>650000</v>
      </c>
      <c r="AB54" s="62">
        <f t="shared" si="55"/>
        <v>650000</v>
      </c>
      <c r="AC54" s="62">
        <f t="shared" si="55"/>
        <v>650000</v>
      </c>
    </row>
    <row r="55" spans="1:29" x14ac:dyDescent="0.3">
      <c r="A55" s="30" t="str">
        <f t="shared" ref="A55:AC55" si="56">A37</f>
        <v>Opex maintenance &amp; repair</v>
      </c>
      <c r="B55" s="62">
        <f t="shared" si="56"/>
        <v>1293563.9575177333</v>
      </c>
      <c r="C55" s="62">
        <f t="shared" si="56"/>
        <v>1290808.235093934</v>
      </c>
      <c r="D55" s="62">
        <f t="shared" si="56"/>
        <v>1286895.5042898762</v>
      </c>
      <c r="E55" s="62">
        <f t="shared" si="56"/>
        <v>1281365.2352877648</v>
      </c>
      <c r="F55" s="62">
        <f t="shared" si="56"/>
        <v>1273600.837383118</v>
      </c>
      <c r="G55" s="62">
        <f t="shared" si="56"/>
        <v>1262805.5057319398</v>
      </c>
      <c r="H55" s="62">
        <f t="shared" si="56"/>
        <v>1248005.5098923349</v>
      </c>
      <c r="I55" s="62">
        <f t="shared" si="56"/>
        <v>1228115.9013873441</v>
      </c>
      <c r="J55" s="62">
        <f t="shared" si="56"/>
        <v>1202116.3406815415</v>
      </c>
      <c r="K55" s="62">
        <f t="shared" si="56"/>
        <v>1169374.2884687176</v>
      </c>
      <c r="L55" s="62">
        <f t="shared" si="56"/>
        <v>1130084.7656740851</v>
      </c>
      <c r="M55" s="62">
        <f t="shared" si="56"/>
        <v>1085657.2084191416</v>
      </c>
      <c r="N55" s="62">
        <f t="shared" si="56"/>
        <v>1038755.2185067786</v>
      </c>
      <c r="O55" s="62">
        <f t="shared" si="56"/>
        <v>992776.17202817916</v>
      </c>
      <c r="P55" s="62">
        <f t="shared" si="56"/>
        <v>950920.49960650213</v>
      </c>
      <c r="Q55" s="62">
        <f t="shared" si="56"/>
        <v>915349.13841044903</v>
      </c>
      <c r="R55" s="62">
        <f t="shared" si="56"/>
        <v>886862.84856226621</v>
      </c>
      <c r="S55" s="62">
        <f t="shared" si="56"/>
        <v>865126.54509633617</v>
      </c>
      <c r="T55" s="62">
        <f t="shared" si="56"/>
        <v>849148.61879481981</v>
      </c>
      <c r="U55" s="62">
        <f t="shared" si="56"/>
        <v>837724.6326365323</v>
      </c>
      <c r="V55" s="62">
        <f t="shared" si="56"/>
        <v>829718.10542985611</v>
      </c>
      <c r="W55" s="62">
        <f t="shared" si="56"/>
        <v>824185.10301042092</v>
      </c>
      <c r="X55" s="62">
        <f t="shared" si="56"/>
        <v>820398.59373471502</v>
      </c>
      <c r="Y55" s="62">
        <f t="shared" si="56"/>
        <v>817824.59227500285</v>
      </c>
      <c r="Z55" s="62">
        <f t="shared" si="56"/>
        <v>816082.79412917187</v>
      </c>
      <c r="AA55" s="62">
        <f t="shared" si="56"/>
        <v>814907.77528152149</v>
      </c>
      <c r="AB55" s="62">
        <f t="shared" si="56"/>
        <v>814116.75843028165</v>
      </c>
      <c r="AC55" s="62">
        <f t="shared" si="56"/>
        <v>813584.99765465059</v>
      </c>
    </row>
    <row r="56" spans="1:29" x14ac:dyDescent="0.3">
      <c r="A56" s="30" t="str">
        <f>A38</f>
        <v>Opex var (mode-fees, shunting)</v>
      </c>
      <c r="B56" s="62">
        <f>B38*B47</f>
        <v>700000</v>
      </c>
      <c r="C56" s="62">
        <f t="shared" ref="C56:AC56" si="57">C38*C47</f>
        <v>700000</v>
      </c>
      <c r="D56" s="62">
        <f t="shared" si="57"/>
        <v>700000</v>
      </c>
      <c r="E56" s="62">
        <f t="shared" si="57"/>
        <v>700000</v>
      </c>
      <c r="F56" s="62">
        <f t="shared" si="57"/>
        <v>700000</v>
      </c>
      <c r="G56" s="62">
        <f t="shared" si="57"/>
        <v>700000</v>
      </c>
      <c r="H56" s="62">
        <f t="shared" si="57"/>
        <v>700000</v>
      </c>
      <c r="I56" s="62">
        <f t="shared" si="57"/>
        <v>700000</v>
      </c>
      <c r="J56" s="62">
        <f t="shared" si="57"/>
        <v>700000</v>
      </c>
      <c r="K56" s="62">
        <f t="shared" si="57"/>
        <v>700000</v>
      </c>
      <c r="L56" s="62">
        <f t="shared" si="57"/>
        <v>700000</v>
      </c>
      <c r="M56" s="62">
        <f t="shared" si="57"/>
        <v>700000</v>
      </c>
      <c r="N56" s="62">
        <f t="shared" si="57"/>
        <v>700000</v>
      </c>
      <c r="O56" s="62">
        <f t="shared" si="57"/>
        <v>700000</v>
      </c>
      <c r="P56" s="62">
        <f t="shared" si="57"/>
        <v>700000</v>
      </c>
      <c r="Q56" s="62">
        <f t="shared" si="57"/>
        <v>700000</v>
      </c>
      <c r="R56" s="62">
        <f t="shared" si="57"/>
        <v>700000</v>
      </c>
      <c r="S56" s="62">
        <f t="shared" si="57"/>
        <v>700000</v>
      </c>
      <c r="T56" s="62">
        <f t="shared" si="57"/>
        <v>700000</v>
      </c>
      <c r="U56" s="62">
        <f t="shared" si="57"/>
        <v>700000</v>
      </c>
      <c r="V56" s="62">
        <f t="shared" si="57"/>
        <v>700000</v>
      </c>
      <c r="W56" s="62">
        <f t="shared" si="57"/>
        <v>700000</v>
      </c>
      <c r="X56" s="62">
        <f t="shared" si="57"/>
        <v>700000</v>
      </c>
      <c r="Y56" s="62">
        <f t="shared" si="57"/>
        <v>700000</v>
      </c>
      <c r="Z56" s="62">
        <f t="shared" si="57"/>
        <v>700000</v>
      </c>
      <c r="AA56" s="62">
        <f t="shared" si="57"/>
        <v>700000</v>
      </c>
      <c r="AB56" s="62">
        <f t="shared" si="57"/>
        <v>700000</v>
      </c>
      <c r="AC56" s="62">
        <f t="shared" si="57"/>
        <v>700000</v>
      </c>
    </row>
    <row r="57" spans="1:29" x14ac:dyDescent="0.3">
      <c r="A57" s="30" t="str">
        <f>A40</f>
        <v>Fuel Cost</v>
      </c>
      <c r="B57" s="62">
        <f>B39*B40*B47</f>
        <v>447653.91278257803</v>
      </c>
      <c r="C57" s="62">
        <f t="shared" ref="C57:AC57" si="58">C39*C40*C47</f>
        <v>447125.47116858652</v>
      </c>
      <c r="D57" s="62">
        <f t="shared" si="58"/>
        <v>446375.15982976876</v>
      </c>
      <c r="E57" s="62">
        <f t="shared" si="58"/>
        <v>445314.66685266612</v>
      </c>
      <c r="F57" s="62">
        <f t="shared" si="58"/>
        <v>443825.7538456922</v>
      </c>
      <c r="G57" s="62">
        <f t="shared" si="58"/>
        <v>441755.62427384011</v>
      </c>
      <c r="H57" s="62">
        <f t="shared" si="58"/>
        <v>438917.55407453218</v>
      </c>
      <c r="I57" s="62">
        <f t="shared" si="58"/>
        <v>435103.4918419699</v>
      </c>
      <c r="J57" s="62">
        <f t="shared" si="58"/>
        <v>430117.77568137628</v>
      </c>
      <c r="K57" s="62">
        <f t="shared" si="58"/>
        <v>423839.10887251585</v>
      </c>
      <c r="L57" s="62">
        <f t="shared" si="58"/>
        <v>416304.88893104222</v>
      </c>
      <c r="M57" s="62">
        <f t="shared" si="58"/>
        <v>407785.39151767886</v>
      </c>
      <c r="N57" s="62">
        <f t="shared" si="58"/>
        <v>398791.39305300947</v>
      </c>
      <c r="O57" s="62">
        <f t="shared" si="58"/>
        <v>389974.37965532253</v>
      </c>
      <c r="P57" s="62">
        <f t="shared" si="58"/>
        <v>381948.07087393251</v>
      </c>
      <c r="Q57" s="62">
        <f t="shared" si="58"/>
        <v>375126.85137810098</v>
      </c>
      <c r="R57" s="62">
        <f t="shared" si="58"/>
        <v>369664.27617313835</v>
      </c>
      <c r="S57" s="62">
        <f t="shared" si="58"/>
        <v>365496.08884536289</v>
      </c>
      <c r="T57" s="62">
        <f t="shared" si="58"/>
        <v>362432.13687034114</v>
      </c>
      <c r="U57" s="62">
        <f t="shared" si="58"/>
        <v>360241.45553336525</v>
      </c>
      <c r="V57" s="62">
        <f t="shared" si="58"/>
        <v>358706.11143519945</v>
      </c>
      <c r="W57" s="62">
        <f t="shared" si="58"/>
        <v>357645.09429374349</v>
      </c>
      <c r="X57" s="62">
        <f t="shared" si="58"/>
        <v>356918.98739133298</v>
      </c>
      <c r="Y57" s="62">
        <f t="shared" si="58"/>
        <v>356425.39287178352</v>
      </c>
      <c r="Z57" s="62">
        <f t="shared" si="58"/>
        <v>356091.38295283035</v>
      </c>
      <c r="AA57" s="62">
        <f t="shared" si="58"/>
        <v>355866.05951279146</v>
      </c>
      <c r="AB57" s="62">
        <f t="shared" si="58"/>
        <v>355714.37289226911</v>
      </c>
      <c r="AC57" s="62">
        <f t="shared" si="58"/>
        <v>355612.40161965293</v>
      </c>
    </row>
    <row r="58" spans="1:29" ht="15" thickBot="1" x14ac:dyDescent="0.35">
      <c r="A58" s="59" t="str">
        <f>A21</f>
        <v>Emission Cost</v>
      </c>
      <c r="B58" s="62">
        <f>B41*B47</f>
        <v>11203.006220996644</v>
      </c>
      <c r="C58" s="62">
        <f t="shared" ref="C58:AC58" si="59">C41*C47</f>
        <v>11192.33822944287</v>
      </c>
      <c r="D58" s="62">
        <f t="shared" si="59"/>
        <v>11177.067237144001</v>
      </c>
      <c r="E58" s="62">
        <f t="shared" si="59"/>
        <v>11155.221008756278</v>
      </c>
      <c r="F58" s="62">
        <f t="shared" si="59"/>
        <v>11123.997927780596</v>
      </c>
      <c r="G58" s="62">
        <f t="shared" si="59"/>
        <v>11079.435843640687</v>
      </c>
      <c r="H58" s="62">
        <f t="shared" si="59"/>
        <v>11015.968503549551</v>
      </c>
      <c r="I58" s="62">
        <f t="shared" si="59"/>
        <v>10925.85397877683</v>
      </c>
      <c r="J58" s="62">
        <f t="shared" si="59"/>
        <v>10798.485757463533</v>
      </c>
      <c r="K58" s="62">
        <f t="shared" si="59"/>
        <v>10619.663072652727</v>
      </c>
      <c r="L58" s="62">
        <f t="shared" si="59"/>
        <v>10371.034626120974</v>
      </c>
      <c r="M58" s="62">
        <f t="shared" si="59"/>
        <v>10030.174327134624</v>
      </c>
      <c r="N58" s="62">
        <f t="shared" si="59"/>
        <v>9572.0946104099457</v>
      </c>
      <c r="O58" s="62">
        <f t="shared" si="59"/>
        <v>8973.2959261577307</v>
      </c>
      <c r="P58" s="62">
        <f t="shared" si="59"/>
        <v>8219.2101934560833</v>
      </c>
      <c r="Q58" s="62">
        <f t="shared" si="59"/>
        <v>7314.328960248451</v>
      </c>
      <c r="R58" s="62">
        <f t="shared" si="59"/>
        <v>6291.113101725784</v>
      </c>
      <c r="S58" s="62">
        <f t="shared" si="59"/>
        <v>5210.9083180324342</v>
      </c>
      <c r="T58" s="62">
        <f t="shared" si="59"/>
        <v>4151.9599440157926</v>
      </c>
      <c r="U58" s="62">
        <f t="shared" si="59"/>
        <v>3187.9774422268952</v>
      </c>
      <c r="V58" s="62">
        <f t="shared" si="59"/>
        <v>2368.7295894544022</v>
      </c>
      <c r="W58" s="62">
        <f t="shared" si="59"/>
        <v>1712.6587783613491</v>
      </c>
      <c r="X58" s="62">
        <f t="shared" si="59"/>
        <v>1212.047630996814</v>
      </c>
      <c r="Y58" s="62">
        <f t="shared" si="59"/>
        <v>844.05828861182579</v>
      </c>
      <c r="Z58" s="62">
        <f t="shared" si="59"/>
        <v>580.95123238485962</v>
      </c>
      <c r="AA58" s="62">
        <f t="shared" si="59"/>
        <v>396.55204152786723</v>
      </c>
      <c r="AB58" s="62">
        <f t="shared" si="59"/>
        <v>269.12086658564078</v>
      </c>
      <c r="AC58" s="62">
        <f t="shared" si="59"/>
        <v>181.91336343365799</v>
      </c>
    </row>
    <row r="59" spans="1:29" ht="15" thickBot="1" x14ac:dyDescent="0.35">
      <c r="A59" s="31" t="s">
        <v>209</v>
      </c>
      <c r="B59" s="64">
        <f>B50+B51+B52+B53+B54+B55+B56+B57+B58</f>
        <v>4215723.4175521275</v>
      </c>
      <c r="C59" s="64">
        <f t="shared" ref="C59:AC59" si="60">C50+C51+C52+C53+C54+C55+C56+C57+C58</f>
        <v>4210364.844318822</v>
      </c>
      <c r="D59" s="64">
        <f t="shared" si="60"/>
        <v>4202756.3145150151</v>
      </c>
      <c r="E59" s="64">
        <f t="shared" si="60"/>
        <v>4192002.1266221441</v>
      </c>
      <c r="F59" s="64">
        <f t="shared" si="60"/>
        <v>4176902.8894717172</v>
      </c>
      <c r="G59" s="64">
        <f t="shared" si="60"/>
        <v>4155908.3179725525</v>
      </c>
      <c r="H59" s="64">
        <f t="shared" si="60"/>
        <v>4127123.1714658756</v>
      </c>
      <c r="I59" s="64">
        <f t="shared" si="60"/>
        <v>4088434.1978319217</v>
      </c>
      <c r="J59" s="64">
        <f t="shared" si="60"/>
        <v>4037850.664003727</v>
      </c>
      <c r="K59" s="64">
        <f t="shared" si="60"/>
        <v>3974130.8289359375</v>
      </c>
      <c r="L59" s="64">
        <f t="shared" si="60"/>
        <v>3897634.8095748778</v>
      </c>
      <c r="M59" s="64">
        <f t="shared" si="60"/>
        <v>3811075.4084424553</v>
      </c>
      <c r="N59" s="64">
        <f t="shared" si="60"/>
        <v>3719596.7689136439</v>
      </c>
      <c r="O59" s="64">
        <f t="shared" si="60"/>
        <v>3629768.5247852253</v>
      </c>
      <c r="P59" s="64">
        <f t="shared" si="60"/>
        <v>3547787.0382055473</v>
      </c>
      <c r="Q59" s="64">
        <f t="shared" si="60"/>
        <v>3477850.4332567267</v>
      </c>
      <c r="R59" s="64">
        <f t="shared" si="60"/>
        <v>3421545.1695832675</v>
      </c>
      <c r="S59" s="64">
        <f t="shared" si="60"/>
        <v>3378282.3087244025</v>
      </c>
      <c r="T59" s="64">
        <f t="shared" si="60"/>
        <v>3346215.7250812282</v>
      </c>
      <c r="U59" s="64">
        <f t="shared" si="60"/>
        <v>3323081.7319390425</v>
      </c>
      <c r="V59" s="64">
        <f t="shared" si="60"/>
        <v>3306724.5806867755</v>
      </c>
      <c r="W59" s="64">
        <f t="shared" si="60"/>
        <v>3295330.8635924514</v>
      </c>
      <c r="X59" s="64">
        <f t="shared" si="60"/>
        <v>3287481.9460160336</v>
      </c>
      <c r="Y59" s="64">
        <f t="shared" si="60"/>
        <v>3282118.7090464607</v>
      </c>
      <c r="Z59" s="64">
        <f t="shared" si="60"/>
        <v>3278475.3735050582</v>
      </c>
      <c r="AA59" s="64">
        <f t="shared" si="60"/>
        <v>3276010.6686490737</v>
      </c>
      <c r="AB59" s="64">
        <f t="shared" si="60"/>
        <v>3274348.1470279656</v>
      </c>
      <c r="AC59" s="64">
        <f t="shared" si="60"/>
        <v>3273228.9755596495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61">A50</f>
        <v>Capex vehicle</v>
      </c>
      <c r="B62" s="65">
        <f>((1+B35)^B42)*B35/(((1+B35)^B42)-1)*(B31)/B47</f>
        <v>4.8601077594228057</v>
      </c>
      <c r="C62" s="65">
        <f t="shared" ref="C62:AC62" si="62">((1+C35)^C42)*C35/(((1+C35)^C42)-1)*(C31)/C47</f>
        <v>4.8497541098356427</v>
      </c>
      <c r="D62" s="65">
        <f t="shared" si="62"/>
        <v>4.8350534116360544</v>
      </c>
      <c r="E62" s="65">
        <f t="shared" si="62"/>
        <v>4.8142753873778386</v>
      </c>
      <c r="F62" s="65">
        <f t="shared" si="62"/>
        <v>4.7851034161859127</v>
      </c>
      <c r="G62" s="65">
        <f t="shared" si="62"/>
        <v>4.7445437864756714</v>
      </c>
      <c r="H62" s="65">
        <f t="shared" si="62"/>
        <v>4.6889380514816965</v>
      </c>
      <c r="I62" s="65">
        <f t="shared" si="62"/>
        <v>4.6142099021194625</v>
      </c>
      <c r="J62" s="65">
        <f t="shared" si="62"/>
        <v>4.5165257744862721</v>
      </c>
      <c r="K62" s="65">
        <f t="shared" si="62"/>
        <v>4.3935091264928241</v>
      </c>
      <c r="L62" s="65">
        <f t="shared" si="62"/>
        <v>4.2458926800941192</v>
      </c>
      <c r="M62" s="65">
        <f t="shared" si="62"/>
        <v>4.0789718916073303</v>
      </c>
      <c r="N62" s="65">
        <f t="shared" si="62"/>
        <v>3.9027543000605887</v>
      </c>
      <c r="O62" s="65">
        <f t="shared" si="62"/>
        <v>3.7300043411097277</v>
      </c>
      <c r="P62" s="65">
        <f t="shared" si="62"/>
        <v>3.5727464976685668</v>
      </c>
      <c r="Q62" s="65">
        <f t="shared" si="62"/>
        <v>3.4390997246911277</v>
      </c>
      <c r="R62" s="65">
        <f t="shared" si="62"/>
        <v>3.3320725943171574</v>
      </c>
      <c r="S62" s="65">
        <f t="shared" si="62"/>
        <v>3.2504061436387905</v>
      </c>
      <c r="T62" s="65">
        <f t="shared" si="62"/>
        <v>3.1903747527313779</v>
      </c>
      <c r="U62" s="65">
        <f t="shared" si="62"/>
        <v>3.147453176686561</v>
      </c>
      <c r="V62" s="65">
        <f t="shared" si="62"/>
        <v>3.1173714905224945</v>
      </c>
      <c r="W62" s="65">
        <f t="shared" si="62"/>
        <v>3.0965831964181936</v>
      </c>
      <c r="X62" s="65">
        <f t="shared" si="62"/>
        <v>3.0823567308421902</v>
      </c>
      <c r="Y62" s="65">
        <f t="shared" si="62"/>
        <v>3.0726858333234324</v>
      </c>
      <c r="Z62" s="65">
        <f t="shared" si="62"/>
        <v>3.0661416445844814</v>
      </c>
      <c r="AA62" s="65">
        <f t="shared" si="62"/>
        <v>3.0617269280289179</v>
      </c>
      <c r="AB62" s="65">
        <f t="shared" si="62"/>
        <v>3.058754962774163</v>
      </c>
      <c r="AC62" s="65">
        <f t="shared" si="62"/>
        <v>3.0567570602686231</v>
      </c>
    </row>
    <row r="63" spans="1:29" x14ac:dyDescent="0.3">
      <c r="A63" s="30" t="str">
        <f t="shared" si="61"/>
        <v>Residual value (vehicle)</v>
      </c>
      <c r="B63" s="66">
        <f>((1+B35)^B42)*B35/(((1+B35)^B42)-1)*(B32)/B47</f>
        <v>-0.24703557911170351</v>
      </c>
      <c r="C63" s="66">
        <f t="shared" ref="C63:AC63" si="63">((1+C35)^C42)*C35/(((1+C35)^C42)-1)*(C32)/C47</f>
        <v>-0.24824350489687252</v>
      </c>
      <c r="D63" s="66">
        <f t="shared" si="63"/>
        <v>-0.24995858635349122</v>
      </c>
      <c r="E63" s="66">
        <f t="shared" si="63"/>
        <v>-0.25238268918361639</v>
      </c>
      <c r="F63" s="66">
        <f t="shared" si="63"/>
        <v>-0.25578608582267437</v>
      </c>
      <c r="G63" s="66">
        <f t="shared" si="63"/>
        <v>-0.26051804262220252</v>
      </c>
      <c r="H63" s="66">
        <f t="shared" si="63"/>
        <v>-0.26700537837149957</v>
      </c>
      <c r="I63" s="66">
        <f t="shared" si="63"/>
        <v>-0.27572366246376023</v>
      </c>
      <c r="J63" s="66">
        <f t="shared" si="63"/>
        <v>-0.28712014402096564</v>
      </c>
      <c r="K63" s="66">
        <f t="shared" si="63"/>
        <v>-0.301472086286868</v>
      </c>
      <c r="L63" s="66">
        <f t="shared" si="63"/>
        <v>-0.31869400503338358</v>
      </c>
      <c r="M63" s="66">
        <f t="shared" si="63"/>
        <v>-0.33816809702350897</v>
      </c>
      <c r="N63" s="66">
        <f t="shared" si="63"/>
        <v>-0.35872681603729545</v>
      </c>
      <c r="O63" s="66">
        <f t="shared" si="63"/>
        <v>-0.378880977914896</v>
      </c>
      <c r="P63" s="66">
        <f t="shared" si="63"/>
        <v>-0.39722772631636477</v>
      </c>
      <c r="Q63" s="66">
        <f t="shared" si="63"/>
        <v>-0.41281984983039921</v>
      </c>
      <c r="R63" s="66">
        <f t="shared" si="63"/>
        <v>-0.42530634837402914</v>
      </c>
      <c r="S63" s="66">
        <f t="shared" si="63"/>
        <v>-0.43483410095317204</v>
      </c>
      <c r="T63" s="66">
        <f t="shared" si="63"/>
        <v>-0.44183776322570334</v>
      </c>
      <c r="U63" s="66">
        <f t="shared" si="63"/>
        <v>-0.44684528043093191</v>
      </c>
      <c r="V63" s="66">
        <f t="shared" si="63"/>
        <v>-0.45035481048340636</v>
      </c>
      <c r="W63" s="66">
        <f t="shared" si="63"/>
        <v>-0.45278011146224156</v>
      </c>
      <c r="X63" s="66">
        <f t="shared" si="63"/>
        <v>-0.45443986577944195</v>
      </c>
      <c r="Y63" s="66">
        <f t="shared" si="63"/>
        <v>-0.45556813715663036</v>
      </c>
      <c r="Z63" s="66">
        <f t="shared" si="63"/>
        <v>-0.45633162584284143</v>
      </c>
      <c r="AA63" s="66">
        <f t="shared" si="63"/>
        <v>-0.45684667610765711</v>
      </c>
      <c r="AB63" s="66">
        <f t="shared" si="63"/>
        <v>-0.45719340538737846</v>
      </c>
      <c r="AC63" s="66">
        <f t="shared" si="63"/>
        <v>-0.45742649401302482</v>
      </c>
    </row>
    <row r="64" spans="1:29" x14ac:dyDescent="0.3">
      <c r="A64" s="30" t="str">
        <f t="shared" si="61"/>
        <v>Capex costumization</v>
      </c>
      <c r="B64" s="66">
        <f>((1+B35)^B43)*B35/(((1+B35)^B43)-1)*(B33)/B47</f>
        <v>1.7093861527069927</v>
      </c>
      <c r="C64" s="66">
        <f t="shared" ref="C64:AC64" si="64">((1+C35)^C43)*C35/(((1+C35)^C43)-1)*(C33)/C47</f>
        <v>1.7093861527069927</v>
      </c>
      <c r="D64" s="66">
        <f t="shared" si="64"/>
        <v>1.7093861527069927</v>
      </c>
      <c r="E64" s="66">
        <f t="shared" si="64"/>
        <v>1.7093861527069927</v>
      </c>
      <c r="F64" s="66">
        <f t="shared" si="64"/>
        <v>1.7093861527069927</v>
      </c>
      <c r="G64" s="66">
        <f t="shared" si="64"/>
        <v>1.7093861527069927</v>
      </c>
      <c r="H64" s="66">
        <f t="shared" si="64"/>
        <v>1.7093861527069927</v>
      </c>
      <c r="I64" s="66">
        <f t="shared" si="64"/>
        <v>1.7093861527069927</v>
      </c>
      <c r="J64" s="66">
        <f t="shared" si="64"/>
        <v>1.7093861527069927</v>
      </c>
      <c r="K64" s="66">
        <f t="shared" si="64"/>
        <v>1.7093861527069927</v>
      </c>
      <c r="L64" s="66">
        <f t="shared" si="64"/>
        <v>1.7093861527069927</v>
      </c>
      <c r="M64" s="66">
        <f t="shared" si="64"/>
        <v>1.7093861527069927</v>
      </c>
      <c r="N64" s="66">
        <f t="shared" si="64"/>
        <v>1.7093861527069927</v>
      </c>
      <c r="O64" s="66">
        <f t="shared" si="64"/>
        <v>1.7093861527069927</v>
      </c>
      <c r="P64" s="66">
        <f t="shared" si="64"/>
        <v>1.7093861527069927</v>
      </c>
      <c r="Q64" s="66">
        <f t="shared" si="64"/>
        <v>1.7093861527069927</v>
      </c>
      <c r="R64" s="66">
        <f t="shared" si="64"/>
        <v>1.7093861527069927</v>
      </c>
      <c r="S64" s="66">
        <f t="shared" si="64"/>
        <v>1.7093861527069927</v>
      </c>
      <c r="T64" s="66">
        <f t="shared" si="64"/>
        <v>1.7093861527069927</v>
      </c>
      <c r="U64" s="66">
        <f t="shared" si="64"/>
        <v>1.7093861527069927</v>
      </c>
      <c r="V64" s="66">
        <f t="shared" si="64"/>
        <v>1.7093861527069927</v>
      </c>
      <c r="W64" s="66">
        <f t="shared" si="64"/>
        <v>1.7093861527069927</v>
      </c>
      <c r="X64" s="66">
        <f t="shared" si="64"/>
        <v>1.7093861527069927</v>
      </c>
      <c r="Y64" s="66">
        <f t="shared" si="64"/>
        <v>1.7093861527069927</v>
      </c>
      <c r="Z64" s="66">
        <f t="shared" si="64"/>
        <v>1.7093861527069927</v>
      </c>
      <c r="AA64" s="66">
        <f t="shared" si="64"/>
        <v>1.7093861527069927</v>
      </c>
      <c r="AB64" s="66">
        <f t="shared" si="64"/>
        <v>1.7093861527069927</v>
      </c>
      <c r="AC64" s="66">
        <f t="shared" si="64"/>
        <v>1.7093861527069927</v>
      </c>
    </row>
    <row r="65" spans="1:29" x14ac:dyDescent="0.3">
      <c r="A65" s="30" t="str">
        <f t="shared" si="61"/>
        <v>Residual value (costumization)</v>
      </c>
      <c r="B65" s="66">
        <f>((1+B35)^B43)*B35/(((1+B35)^B43)-1)*(B34)/B47</f>
        <v>-8.5469307635349642E-2</v>
      </c>
      <c r="C65" s="66">
        <f t="shared" ref="C65:AC65" si="65">((1+C35)^C43)*C35/(((1+C35)^C43)-1)*(C34)/C47</f>
        <v>-8.5469307635349642E-2</v>
      </c>
      <c r="D65" s="66">
        <f t="shared" si="65"/>
        <v>-8.5469307635349642E-2</v>
      </c>
      <c r="E65" s="66">
        <f t="shared" si="65"/>
        <v>-8.5469307635349642E-2</v>
      </c>
      <c r="F65" s="66">
        <f t="shared" si="65"/>
        <v>-8.5469307635349642E-2</v>
      </c>
      <c r="G65" s="66">
        <f t="shared" si="65"/>
        <v>-8.5469307635349642E-2</v>
      </c>
      <c r="H65" s="66">
        <f t="shared" si="65"/>
        <v>-8.5469307635349642E-2</v>
      </c>
      <c r="I65" s="66">
        <f t="shared" si="65"/>
        <v>-8.5469307635349642E-2</v>
      </c>
      <c r="J65" s="66">
        <f t="shared" si="65"/>
        <v>-8.5469307635349642E-2</v>
      </c>
      <c r="K65" s="66">
        <f t="shared" si="65"/>
        <v>-8.5469307635349642E-2</v>
      </c>
      <c r="L65" s="66">
        <f t="shared" si="65"/>
        <v>-8.5469307635349642E-2</v>
      </c>
      <c r="M65" s="66">
        <f t="shared" si="65"/>
        <v>-8.5469307635349642E-2</v>
      </c>
      <c r="N65" s="66">
        <f t="shared" si="65"/>
        <v>-8.5469307635349642E-2</v>
      </c>
      <c r="O65" s="66">
        <f t="shared" si="65"/>
        <v>-8.5469307635349642E-2</v>
      </c>
      <c r="P65" s="66">
        <f t="shared" si="65"/>
        <v>-8.5469307635349642E-2</v>
      </c>
      <c r="Q65" s="66">
        <f t="shared" si="65"/>
        <v>-8.5469307635349642E-2</v>
      </c>
      <c r="R65" s="66">
        <f t="shared" si="65"/>
        <v>-8.5469307635349642E-2</v>
      </c>
      <c r="S65" s="66">
        <f t="shared" si="65"/>
        <v>-8.5469307635349642E-2</v>
      </c>
      <c r="T65" s="66">
        <f t="shared" si="65"/>
        <v>-8.5469307635349642E-2</v>
      </c>
      <c r="U65" s="66">
        <f t="shared" si="65"/>
        <v>-8.5469307635349642E-2</v>
      </c>
      <c r="V65" s="66">
        <f t="shared" si="65"/>
        <v>-8.5469307635349642E-2</v>
      </c>
      <c r="W65" s="66">
        <f t="shared" si="65"/>
        <v>-8.5469307635349642E-2</v>
      </c>
      <c r="X65" s="66">
        <f t="shared" si="65"/>
        <v>-8.5469307635349642E-2</v>
      </c>
      <c r="Y65" s="66">
        <f t="shared" si="65"/>
        <v>-8.5469307635349642E-2</v>
      </c>
      <c r="Z65" s="66">
        <f t="shared" si="65"/>
        <v>-8.5469307635349642E-2</v>
      </c>
      <c r="AA65" s="66">
        <f t="shared" si="65"/>
        <v>-8.5469307635349642E-2</v>
      </c>
      <c r="AB65" s="66">
        <f t="shared" si="65"/>
        <v>-8.5469307635349642E-2</v>
      </c>
      <c r="AC65" s="66">
        <f t="shared" si="65"/>
        <v>-8.5469307635349642E-2</v>
      </c>
    </row>
    <row r="66" spans="1:29" x14ac:dyDescent="0.3">
      <c r="A66" s="30" t="str">
        <f t="shared" si="61"/>
        <v>Opex fix (admin, crew, insurance)</v>
      </c>
      <c r="B66" s="66">
        <f>B36/B47</f>
        <v>3.6414565826330532</v>
      </c>
      <c r="C66" s="66">
        <f t="shared" ref="C66:AC66" si="66">C36/C47</f>
        <v>3.6414565826330532</v>
      </c>
      <c r="D66" s="66">
        <f t="shared" si="66"/>
        <v>3.6414565826330532</v>
      </c>
      <c r="E66" s="66">
        <f t="shared" si="66"/>
        <v>3.6414565826330532</v>
      </c>
      <c r="F66" s="66">
        <f t="shared" si="66"/>
        <v>3.6414565826330532</v>
      </c>
      <c r="G66" s="66">
        <f t="shared" si="66"/>
        <v>3.6414565826330532</v>
      </c>
      <c r="H66" s="66">
        <f t="shared" si="66"/>
        <v>3.6414565826330532</v>
      </c>
      <c r="I66" s="66">
        <f t="shared" si="66"/>
        <v>3.6414565826330532</v>
      </c>
      <c r="J66" s="66">
        <f t="shared" si="66"/>
        <v>3.6414565826330532</v>
      </c>
      <c r="K66" s="66">
        <f t="shared" si="66"/>
        <v>3.6414565826330532</v>
      </c>
      <c r="L66" s="66">
        <f t="shared" si="66"/>
        <v>3.6414565826330532</v>
      </c>
      <c r="M66" s="66">
        <f t="shared" si="66"/>
        <v>3.6414565826330532</v>
      </c>
      <c r="N66" s="66">
        <f t="shared" si="66"/>
        <v>3.6414565826330532</v>
      </c>
      <c r="O66" s="66">
        <f t="shared" si="66"/>
        <v>3.6414565826330532</v>
      </c>
      <c r="P66" s="66">
        <f t="shared" si="66"/>
        <v>3.6414565826330532</v>
      </c>
      <c r="Q66" s="66">
        <f t="shared" si="66"/>
        <v>3.6414565826330532</v>
      </c>
      <c r="R66" s="66">
        <f t="shared" si="66"/>
        <v>3.6414565826330532</v>
      </c>
      <c r="S66" s="66">
        <f t="shared" si="66"/>
        <v>3.6414565826330532</v>
      </c>
      <c r="T66" s="66">
        <f t="shared" si="66"/>
        <v>3.6414565826330532</v>
      </c>
      <c r="U66" s="66">
        <f t="shared" si="66"/>
        <v>3.6414565826330532</v>
      </c>
      <c r="V66" s="66">
        <f t="shared" si="66"/>
        <v>3.6414565826330532</v>
      </c>
      <c r="W66" s="66">
        <f t="shared" si="66"/>
        <v>3.6414565826330532</v>
      </c>
      <c r="X66" s="66">
        <f t="shared" si="66"/>
        <v>3.6414565826330532</v>
      </c>
      <c r="Y66" s="66">
        <f t="shared" si="66"/>
        <v>3.6414565826330532</v>
      </c>
      <c r="Z66" s="66">
        <f t="shared" si="66"/>
        <v>3.6414565826330532</v>
      </c>
      <c r="AA66" s="66">
        <f t="shared" si="66"/>
        <v>3.6414565826330532</v>
      </c>
      <c r="AB66" s="66">
        <f t="shared" si="66"/>
        <v>3.6414565826330532</v>
      </c>
      <c r="AC66" s="66">
        <f t="shared" si="66"/>
        <v>3.6414565826330532</v>
      </c>
    </row>
    <row r="67" spans="1:29" x14ac:dyDescent="0.3">
      <c r="A67" s="30" t="str">
        <f t="shared" si="61"/>
        <v>Opex maintenance &amp; repair</v>
      </c>
      <c r="B67" s="66">
        <f>B37/B47</f>
        <v>7.246856904861251</v>
      </c>
      <c r="C67" s="66">
        <f t="shared" ref="C67:AC67" si="67">C37/C47</f>
        <v>7.2314186839996299</v>
      </c>
      <c r="D67" s="66">
        <f t="shared" si="67"/>
        <v>7.2094986234726957</v>
      </c>
      <c r="E67" s="66">
        <f t="shared" si="67"/>
        <v>7.1785167243012031</v>
      </c>
      <c r="F67" s="66">
        <f t="shared" si="67"/>
        <v>7.1350186968241909</v>
      </c>
      <c r="G67" s="66">
        <f t="shared" si="67"/>
        <v>7.0745406483582061</v>
      </c>
      <c r="H67" s="66">
        <f t="shared" si="67"/>
        <v>6.9916275063996354</v>
      </c>
      <c r="I67" s="66">
        <f t="shared" si="67"/>
        <v>6.8802011282204152</v>
      </c>
      <c r="J67" s="66">
        <f t="shared" si="67"/>
        <v>6.7345453259470114</v>
      </c>
      <c r="K67" s="66">
        <f t="shared" si="67"/>
        <v>6.5511164620096221</v>
      </c>
      <c r="L67" s="66">
        <f t="shared" si="67"/>
        <v>6.3310070906111209</v>
      </c>
      <c r="M67" s="66">
        <f t="shared" si="67"/>
        <v>6.0821132124321657</v>
      </c>
      <c r="N67" s="66">
        <f t="shared" si="67"/>
        <v>5.8193569664245297</v>
      </c>
      <c r="O67" s="66">
        <f t="shared" si="67"/>
        <v>5.56177127186655</v>
      </c>
      <c r="P67" s="66">
        <f t="shared" si="67"/>
        <v>5.3272857120812445</v>
      </c>
      <c r="Q67" s="66">
        <f t="shared" si="67"/>
        <v>5.1280063776495748</v>
      </c>
      <c r="R67" s="66">
        <f t="shared" si="67"/>
        <v>4.9684193196765616</v>
      </c>
      <c r="S67" s="66">
        <f t="shared" si="67"/>
        <v>4.8466473114640678</v>
      </c>
      <c r="T67" s="66">
        <f t="shared" si="67"/>
        <v>4.7571351192987104</v>
      </c>
      <c r="U67" s="66">
        <f t="shared" si="67"/>
        <v>4.6931351968433184</v>
      </c>
      <c r="V67" s="66">
        <f t="shared" si="67"/>
        <v>4.6482807026882691</v>
      </c>
      <c r="W67" s="66">
        <f t="shared" si="67"/>
        <v>4.6172834902544588</v>
      </c>
      <c r="X67" s="66">
        <f t="shared" si="67"/>
        <v>4.5960705531356583</v>
      </c>
      <c r="Y67" s="66">
        <f t="shared" si="67"/>
        <v>4.5816503768907726</v>
      </c>
      <c r="Z67" s="66">
        <f t="shared" si="67"/>
        <v>4.5718924040849966</v>
      </c>
      <c r="AA67" s="66">
        <f t="shared" si="67"/>
        <v>4.5653096654426975</v>
      </c>
      <c r="AB67" s="66">
        <f t="shared" si="67"/>
        <v>4.5608781984889726</v>
      </c>
      <c r="AC67" s="66">
        <f t="shared" si="67"/>
        <v>4.5578991465246528</v>
      </c>
    </row>
    <row r="68" spans="1:29" x14ac:dyDescent="0.3">
      <c r="A68" s="30" t="str">
        <f t="shared" si="61"/>
        <v>Opex var (mode-fees, shunting)</v>
      </c>
      <c r="B68" s="66">
        <f>B38*B47/B47</f>
        <v>3.9215686274509802</v>
      </c>
      <c r="C68" s="66">
        <f t="shared" ref="C68:AC68" si="68">C38*C47/C47</f>
        <v>3.9215686274509802</v>
      </c>
      <c r="D68" s="66">
        <f t="shared" si="68"/>
        <v>3.9215686274509802</v>
      </c>
      <c r="E68" s="66">
        <f t="shared" si="68"/>
        <v>3.9215686274509802</v>
      </c>
      <c r="F68" s="66">
        <f t="shared" si="68"/>
        <v>3.9215686274509802</v>
      </c>
      <c r="G68" s="66">
        <f t="shared" si="68"/>
        <v>3.9215686274509802</v>
      </c>
      <c r="H68" s="66">
        <f t="shared" si="68"/>
        <v>3.9215686274509802</v>
      </c>
      <c r="I68" s="66">
        <f t="shared" si="68"/>
        <v>3.9215686274509802</v>
      </c>
      <c r="J68" s="66">
        <f t="shared" si="68"/>
        <v>3.9215686274509802</v>
      </c>
      <c r="K68" s="66">
        <f t="shared" si="68"/>
        <v>3.9215686274509802</v>
      </c>
      <c r="L68" s="66">
        <f t="shared" si="68"/>
        <v>3.9215686274509802</v>
      </c>
      <c r="M68" s="66">
        <f t="shared" si="68"/>
        <v>3.9215686274509802</v>
      </c>
      <c r="N68" s="66">
        <f t="shared" si="68"/>
        <v>3.9215686274509802</v>
      </c>
      <c r="O68" s="66">
        <f t="shared" si="68"/>
        <v>3.9215686274509802</v>
      </c>
      <c r="P68" s="66">
        <f t="shared" si="68"/>
        <v>3.9215686274509802</v>
      </c>
      <c r="Q68" s="66">
        <f t="shared" si="68"/>
        <v>3.9215686274509802</v>
      </c>
      <c r="R68" s="66">
        <f t="shared" si="68"/>
        <v>3.9215686274509802</v>
      </c>
      <c r="S68" s="66">
        <f t="shared" si="68"/>
        <v>3.9215686274509802</v>
      </c>
      <c r="T68" s="66">
        <f t="shared" si="68"/>
        <v>3.9215686274509802</v>
      </c>
      <c r="U68" s="66">
        <f t="shared" si="68"/>
        <v>3.9215686274509802</v>
      </c>
      <c r="V68" s="66">
        <f t="shared" si="68"/>
        <v>3.9215686274509802</v>
      </c>
      <c r="W68" s="66">
        <f t="shared" si="68"/>
        <v>3.9215686274509802</v>
      </c>
      <c r="X68" s="66">
        <f t="shared" si="68"/>
        <v>3.9215686274509802</v>
      </c>
      <c r="Y68" s="66">
        <f t="shared" si="68"/>
        <v>3.9215686274509802</v>
      </c>
      <c r="Z68" s="66">
        <f t="shared" si="68"/>
        <v>3.9215686274509802</v>
      </c>
      <c r="AA68" s="66">
        <f t="shared" si="68"/>
        <v>3.9215686274509802</v>
      </c>
      <c r="AB68" s="66">
        <f t="shared" si="68"/>
        <v>3.9215686274509802</v>
      </c>
      <c r="AC68" s="66">
        <f t="shared" si="68"/>
        <v>3.9215686274509802</v>
      </c>
    </row>
    <row r="69" spans="1:29" x14ac:dyDescent="0.3">
      <c r="A69" s="30" t="str">
        <f t="shared" si="61"/>
        <v>Fuel Cost</v>
      </c>
      <c r="B69" s="66">
        <f>B39*B40*B47/B47</f>
        <v>2.5078650576054793</v>
      </c>
      <c r="C69" s="66">
        <f t="shared" ref="C69:AC69" si="69">C39*C40*C47/C47</f>
        <v>2.5049046003842381</v>
      </c>
      <c r="D69" s="66">
        <f t="shared" si="69"/>
        <v>2.500701175516912</v>
      </c>
      <c r="E69" s="66">
        <f t="shared" si="69"/>
        <v>2.4947600383902864</v>
      </c>
      <c r="F69" s="66">
        <f t="shared" si="69"/>
        <v>2.486418789051497</v>
      </c>
      <c r="G69" s="66">
        <f t="shared" si="69"/>
        <v>2.4748214245033058</v>
      </c>
      <c r="H69" s="66">
        <f t="shared" si="69"/>
        <v>2.4589218715660066</v>
      </c>
      <c r="I69" s="66">
        <f t="shared" si="69"/>
        <v>2.4375545761454895</v>
      </c>
      <c r="J69" s="66">
        <f t="shared" si="69"/>
        <v>2.4096233931729762</v>
      </c>
      <c r="K69" s="66">
        <f t="shared" si="69"/>
        <v>2.3744487892017694</v>
      </c>
      <c r="L69" s="66">
        <f t="shared" si="69"/>
        <v>2.3322402741234858</v>
      </c>
      <c r="M69" s="66">
        <f t="shared" si="69"/>
        <v>2.2845119972979209</v>
      </c>
      <c r="N69" s="66">
        <f t="shared" si="69"/>
        <v>2.2341254512773641</v>
      </c>
      <c r="O69" s="66">
        <f t="shared" si="69"/>
        <v>2.184730418237101</v>
      </c>
      <c r="P69" s="66">
        <f t="shared" si="69"/>
        <v>2.1397651029351961</v>
      </c>
      <c r="Q69" s="66">
        <f t="shared" si="69"/>
        <v>2.1015509881126104</v>
      </c>
      <c r="R69" s="66">
        <f t="shared" si="69"/>
        <v>2.0709483258999346</v>
      </c>
      <c r="S69" s="66">
        <f t="shared" si="69"/>
        <v>2.0475971363885876</v>
      </c>
      <c r="T69" s="66">
        <f t="shared" si="69"/>
        <v>2.0304321393296423</v>
      </c>
      <c r="U69" s="66">
        <f t="shared" si="69"/>
        <v>2.0181594147527466</v>
      </c>
      <c r="V69" s="66">
        <f t="shared" si="69"/>
        <v>2.0095580472560193</v>
      </c>
      <c r="W69" s="66">
        <f t="shared" si="69"/>
        <v>2.0036139736344172</v>
      </c>
      <c r="X69" s="66">
        <f t="shared" si="69"/>
        <v>1.9995461478506049</v>
      </c>
      <c r="Y69" s="66">
        <f t="shared" si="69"/>
        <v>1.9967809124469664</v>
      </c>
      <c r="Z69" s="66">
        <f t="shared" si="69"/>
        <v>1.9949097084192176</v>
      </c>
      <c r="AA69" s="66">
        <f t="shared" si="69"/>
        <v>1.9936473922285236</v>
      </c>
      <c r="AB69" s="66">
        <f t="shared" si="69"/>
        <v>1.9927976072396028</v>
      </c>
      <c r="AC69" s="66">
        <f t="shared" si="69"/>
        <v>1.9922263396058988</v>
      </c>
    </row>
    <row r="70" spans="1:29" ht="15" thickBot="1" x14ac:dyDescent="0.35">
      <c r="A70" s="59" t="str">
        <f t="shared" ref="A70" si="70">A58</f>
        <v>Emission Cost</v>
      </c>
      <c r="B70" s="66">
        <f>B41</f>
        <v>6.2761939613426576E-2</v>
      </c>
      <c r="C70" s="66">
        <f t="shared" ref="C70:AC70" si="71">C41</f>
        <v>6.2702174954862022E-2</v>
      </c>
      <c r="D70" s="66">
        <f t="shared" si="71"/>
        <v>6.2616623177277314E-2</v>
      </c>
      <c r="E70" s="66">
        <f t="shared" si="71"/>
        <v>6.249423534317243E-2</v>
      </c>
      <c r="F70" s="66">
        <f t="shared" si="71"/>
        <v>6.2319316122020151E-2</v>
      </c>
      <c r="G70" s="66">
        <f t="shared" si="71"/>
        <v>6.2069668591824577E-2</v>
      </c>
      <c r="H70" s="66">
        <f t="shared" si="71"/>
        <v>6.1714109263582916E-2</v>
      </c>
      <c r="I70" s="66">
        <f t="shared" si="71"/>
        <v>6.120926598754526E-2</v>
      </c>
      <c r="J70" s="66">
        <f t="shared" si="71"/>
        <v>6.0495718529207473E-2</v>
      </c>
      <c r="K70" s="66">
        <f t="shared" si="71"/>
        <v>5.9493910771163734E-2</v>
      </c>
      <c r="L70" s="66">
        <f t="shared" si="71"/>
        <v>5.8101034320005455E-2</v>
      </c>
      <c r="M70" s="66">
        <f t="shared" si="71"/>
        <v>5.6191452813079128E-2</v>
      </c>
      <c r="N70" s="66">
        <f t="shared" si="71"/>
        <v>5.3625179890251798E-2</v>
      </c>
      <c r="O70" s="66">
        <f t="shared" si="71"/>
        <v>5.0270565412648349E-2</v>
      </c>
      <c r="P70" s="66">
        <f t="shared" si="71"/>
        <v>4.6045995481546684E-2</v>
      </c>
      <c r="Q70" s="66">
        <f t="shared" si="71"/>
        <v>4.0976632830523538E-2</v>
      </c>
      <c r="R70" s="66">
        <f t="shared" si="71"/>
        <v>3.5244331102105231E-2</v>
      </c>
      <c r="S70" s="66">
        <f t="shared" si="71"/>
        <v>2.9192763686456215E-2</v>
      </c>
      <c r="T70" s="66">
        <f t="shared" si="71"/>
        <v>2.32602797984078E-2</v>
      </c>
      <c r="U70" s="66">
        <f t="shared" si="71"/>
        <v>1.7859817603512018E-2</v>
      </c>
      <c r="V70" s="66">
        <f t="shared" si="71"/>
        <v>1.3270193778456035E-2</v>
      </c>
      <c r="W70" s="66">
        <f t="shared" si="71"/>
        <v>9.5947270496434117E-3</v>
      </c>
      <c r="X70" s="66">
        <f t="shared" si="71"/>
        <v>6.7901828067048406E-3</v>
      </c>
      <c r="Y70" s="66">
        <f t="shared" si="71"/>
        <v>4.7286178633715731E-3</v>
      </c>
      <c r="Z70" s="66">
        <f t="shared" si="71"/>
        <v>3.2546287528563561E-3</v>
      </c>
      <c r="AA70" s="66">
        <f t="shared" si="71"/>
        <v>2.2215800645818892E-3</v>
      </c>
      <c r="AB70" s="66">
        <f t="shared" si="71"/>
        <v>1.5076799248495282E-3</v>
      </c>
      <c r="AC70" s="66">
        <f t="shared" si="71"/>
        <v>1.0191224842221736E-3</v>
      </c>
    </row>
    <row r="71" spans="1:29" ht="15" thickBot="1" x14ac:dyDescent="0.35">
      <c r="A71" s="31" t="s">
        <v>63</v>
      </c>
      <c r="B71" s="76">
        <f>B62+B63+B64-B65+B66+B67+B68+B69+B70</f>
        <v>23.788436752817635</v>
      </c>
      <c r="C71" s="76">
        <f t="shared" ref="C71:AC71" si="72">C62+C63+C64-C65+C66+C67+C68+C69+C70</f>
        <v>23.758416734703875</v>
      </c>
      <c r="D71" s="76">
        <f t="shared" si="72"/>
        <v>23.715791917875823</v>
      </c>
      <c r="E71" s="76">
        <f t="shared" si="72"/>
        <v>23.65554436665526</v>
      </c>
      <c r="F71" s="76">
        <f t="shared" si="72"/>
        <v>23.570954802787323</v>
      </c>
      <c r="G71" s="76">
        <f t="shared" si="72"/>
        <v>23.453338155733178</v>
      </c>
      <c r="H71" s="76">
        <f t="shared" si="72"/>
        <v>23.292076830765797</v>
      </c>
      <c r="I71" s="76">
        <f t="shared" si="72"/>
        <v>23.075331880435531</v>
      </c>
      <c r="J71" s="76">
        <f t="shared" si="72"/>
        <v>22.791950738540876</v>
      </c>
      <c r="K71" s="76">
        <f t="shared" si="72"/>
        <v>22.434976872614886</v>
      </c>
      <c r="L71" s="76">
        <f t="shared" si="72"/>
        <v>22.006427744541725</v>
      </c>
      <c r="M71" s="76">
        <f t="shared" si="72"/>
        <v>21.521501127553361</v>
      </c>
      <c r="N71" s="76">
        <f t="shared" si="72"/>
        <v>21.009015752041815</v>
      </c>
      <c r="O71" s="76">
        <f t="shared" si="72"/>
        <v>20.505776289137508</v>
      </c>
      <c r="P71" s="76">
        <f t="shared" si="72"/>
        <v>20.046496252276565</v>
      </c>
      <c r="Q71" s="76">
        <f t="shared" si="72"/>
        <v>19.654694543879813</v>
      </c>
      <c r="R71" s="76">
        <f t="shared" si="72"/>
        <v>19.339258893048104</v>
      </c>
      <c r="S71" s="76">
        <f t="shared" si="72"/>
        <v>19.096889924651109</v>
      </c>
      <c r="T71" s="76">
        <f t="shared" si="72"/>
        <v>18.917245198358813</v>
      </c>
      <c r="U71" s="76">
        <f t="shared" si="72"/>
        <v>18.78764299588158</v>
      </c>
      <c r="V71" s="76">
        <f t="shared" si="72"/>
        <v>18.696006294188209</v>
      </c>
      <c r="W71" s="76">
        <f t="shared" si="72"/>
        <v>18.632175946320846</v>
      </c>
      <c r="X71" s="76">
        <f t="shared" si="72"/>
        <v>18.588204419282093</v>
      </c>
      <c r="Y71" s="76">
        <f t="shared" si="72"/>
        <v>18.558158273794287</v>
      </c>
      <c r="Z71" s="76">
        <f t="shared" si="72"/>
        <v>18.537747430425085</v>
      </c>
      <c r="AA71" s="76">
        <f t="shared" si="72"/>
        <v>18.523939560083441</v>
      </c>
      <c r="AB71" s="76">
        <f t="shared" si="72"/>
        <v>18.514625713466586</v>
      </c>
      <c r="AC71" s="76">
        <f t="shared" si="72"/>
        <v>18.508355845296748</v>
      </c>
    </row>
    <row r="72" spans="1:29" ht="15" thickBot="1" x14ac:dyDescent="0.35"/>
    <row r="73" spans="1:29" ht="15" thickBot="1" x14ac:dyDescent="0.35">
      <c r="A73" s="26" t="s">
        <v>208</v>
      </c>
      <c r="B73" s="163">
        <v>2023</v>
      </c>
      <c r="C73" s="163">
        <v>2024</v>
      </c>
      <c r="D73" s="163">
        <v>2025</v>
      </c>
      <c r="E73" s="163">
        <v>2026</v>
      </c>
      <c r="F73" s="163">
        <v>2027</v>
      </c>
      <c r="G73" s="163">
        <v>2028</v>
      </c>
      <c r="H73" s="163">
        <v>2029</v>
      </c>
      <c r="I73" s="163">
        <v>2030</v>
      </c>
      <c r="J73" s="163">
        <v>2031</v>
      </c>
      <c r="K73" s="163">
        <v>2032</v>
      </c>
      <c r="L73" s="163">
        <v>2033</v>
      </c>
      <c r="M73" s="163">
        <v>2034</v>
      </c>
      <c r="N73" s="163">
        <v>2035</v>
      </c>
      <c r="O73" s="163">
        <v>2036</v>
      </c>
      <c r="P73" s="163">
        <v>2037</v>
      </c>
      <c r="Q73" s="163">
        <v>2038</v>
      </c>
      <c r="R73" s="163">
        <v>2039</v>
      </c>
      <c r="S73" s="163">
        <v>2040</v>
      </c>
      <c r="T73" s="163">
        <v>2041</v>
      </c>
      <c r="U73" s="163">
        <v>2042</v>
      </c>
      <c r="V73" s="163">
        <v>2043</v>
      </c>
      <c r="W73" s="163">
        <v>2044</v>
      </c>
      <c r="X73" s="163">
        <v>2045</v>
      </c>
      <c r="Y73" s="163">
        <v>2046</v>
      </c>
      <c r="Z73" s="163">
        <v>2047</v>
      </c>
      <c r="AA73" s="163">
        <v>2048</v>
      </c>
      <c r="AB73" s="163">
        <v>2049</v>
      </c>
      <c r="AC73" s="164">
        <v>2050</v>
      </c>
    </row>
    <row r="74" spans="1:29" x14ac:dyDescent="0.3">
      <c r="A74" s="29" t="str">
        <f t="shared" ref="A74:A81" si="73">A50</f>
        <v>Capex vehicle</v>
      </c>
      <c r="B74" s="65">
        <f>((1+B35)^B42)*B35/(((1+B35)^B42)-1)*(B31)/B47/(B44)</f>
        <v>2.1696909640280381E-3</v>
      </c>
      <c r="C74" s="65">
        <f t="shared" ref="C74:AC74" si="74">((1+C35)^C42)*C35/(((1+C35)^C42)-1)*(C31)/C47/(C44)</f>
        <v>2.1650687990337689E-3</v>
      </c>
      <c r="D74" s="65">
        <f t="shared" si="74"/>
        <v>2.1585059873375245E-3</v>
      </c>
      <c r="E74" s="65">
        <f t="shared" si="74"/>
        <v>2.1492300836508209E-3</v>
      </c>
      <c r="F74" s="65">
        <f t="shared" si="74"/>
        <v>2.1362068822258539E-3</v>
      </c>
      <c r="G74" s="65">
        <f t="shared" si="74"/>
        <v>2.1180999046766392E-3</v>
      </c>
      <c r="H74" s="65">
        <f t="shared" si="74"/>
        <v>2.093275915840043E-3</v>
      </c>
      <c r="I74" s="65">
        <f t="shared" si="74"/>
        <v>2.0599151348747601E-3</v>
      </c>
      <c r="J74" s="65">
        <f t="shared" si="74"/>
        <v>2.0163061493242286E-3</v>
      </c>
      <c r="K74" s="65">
        <f t="shared" si="74"/>
        <v>1.9613880028985821E-3</v>
      </c>
      <c r="L74" s="65">
        <f t="shared" si="74"/>
        <v>1.8954878036134461E-3</v>
      </c>
      <c r="M74" s="65">
        <f t="shared" si="74"/>
        <v>1.8209695944675583E-3</v>
      </c>
      <c r="N74" s="65">
        <f t="shared" si="74"/>
        <v>1.7423010268127629E-3</v>
      </c>
      <c r="O74" s="65">
        <f t="shared" si="74"/>
        <v>1.6651805094239855E-3</v>
      </c>
      <c r="P74" s="65">
        <f t="shared" si="74"/>
        <v>1.5949761150306102E-3</v>
      </c>
      <c r="Q74" s="65">
        <f t="shared" si="74"/>
        <v>1.5353123770942534E-3</v>
      </c>
      <c r="R74" s="65">
        <f t="shared" si="74"/>
        <v>1.4875324081773025E-3</v>
      </c>
      <c r="S74" s="65">
        <f t="shared" si="74"/>
        <v>1.4510741712673173E-3</v>
      </c>
      <c r="T74" s="65">
        <f t="shared" si="74"/>
        <v>1.4242744431836509E-3</v>
      </c>
      <c r="U74" s="65">
        <f t="shared" si="74"/>
        <v>1.4051130253065005E-3</v>
      </c>
      <c r="V74" s="65">
        <f t="shared" si="74"/>
        <v>1.3916837011261137E-3</v>
      </c>
      <c r="W74" s="65">
        <f t="shared" si="74"/>
        <v>1.3824032126866935E-3</v>
      </c>
      <c r="X74" s="65">
        <f t="shared" si="74"/>
        <v>1.3760521119831207E-3</v>
      </c>
      <c r="Y74" s="65">
        <f t="shared" si="74"/>
        <v>1.3717347470193894E-3</v>
      </c>
      <c r="Z74" s="65">
        <f t="shared" si="74"/>
        <v>1.3688132341895007E-3</v>
      </c>
      <c r="AA74" s="65">
        <f t="shared" si="74"/>
        <v>1.3668423785843384E-3</v>
      </c>
      <c r="AB74" s="65">
        <f t="shared" si="74"/>
        <v>1.3655156083813228E-3</v>
      </c>
      <c r="AC74" s="65">
        <f t="shared" si="74"/>
        <v>1.364623687619921E-3</v>
      </c>
    </row>
    <row r="75" spans="1:29" x14ac:dyDescent="0.3">
      <c r="A75" s="30" t="str">
        <f t="shared" si="73"/>
        <v>Residual value (vehicle)</v>
      </c>
      <c r="B75" s="68">
        <f>((1+B35)^B42)*B35/(((1+B35)^B42)-1)*(B32)/B47/(B44)</f>
        <v>-1.1028374067486764E-4</v>
      </c>
      <c r="C75" s="68">
        <f t="shared" ref="C75:AC75" si="75">((1+C35)^C42)*C35/(((1+C35)^C42)-1)*(C32)/C47/(C44)</f>
        <v>-1.1082299325753238E-4</v>
      </c>
      <c r="D75" s="68">
        <f t="shared" si="75"/>
        <v>-1.115886546220943E-4</v>
      </c>
      <c r="E75" s="68">
        <f t="shared" si="75"/>
        <v>-1.1267084338554303E-4</v>
      </c>
      <c r="F75" s="68">
        <f t="shared" si="75"/>
        <v>-1.1419021688512248E-4</v>
      </c>
      <c r="G75" s="68">
        <f t="shared" si="75"/>
        <v>-1.1630269759919755E-4</v>
      </c>
      <c r="H75" s="68">
        <f t="shared" si="75"/>
        <v>-1.1919882963013374E-4</v>
      </c>
      <c r="I75" s="68">
        <f t="shared" si="75"/>
        <v>-1.230909207427501E-4</v>
      </c>
      <c r="J75" s="68">
        <f t="shared" si="75"/>
        <v>-1.2817863572364536E-4</v>
      </c>
      <c r="K75" s="68">
        <f t="shared" si="75"/>
        <v>-1.345857528066375E-4</v>
      </c>
      <c r="L75" s="68">
        <f t="shared" si="75"/>
        <v>-1.4227410938990337E-4</v>
      </c>
      <c r="M75" s="68">
        <f t="shared" si="75"/>
        <v>-1.5096790045692366E-4</v>
      </c>
      <c r="N75" s="68">
        <f t="shared" si="75"/>
        <v>-1.6014590001664974E-4</v>
      </c>
      <c r="O75" s="68">
        <f t="shared" si="75"/>
        <v>-1.6914329371200715E-4</v>
      </c>
      <c r="P75" s="68">
        <f t="shared" si="75"/>
        <v>-1.7733380639123428E-4</v>
      </c>
      <c r="Q75" s="68">
        <f t="shared" si="75"/>
        <v>-1.842945758171425E-4</v>
      </c>
      <c r="R75" s="68">
        <f t="shared" si="75"/>
        <v>-1.8986890552412014E-4</v>
      </c>
      <c r="S75" s="68">
        <f t="shared" si="75"/>
        <v>-1.9412236649695181E-4</v>
      </c>
      <c r="T75" s="68">
        <f t="shared" si="75"/>
        <v>-1.9724900144004614E-4</v>
      </c>
      <c r="U75" s="68">
        <f t="shared" si="75"/>
        <v>-1.9948450019238032E-4</v>
      </c>
      <c r="V75" s="68">
        <f t="shared" si="75"/>
        <v>-2.0105125468009212E-4</v>
      </c>
      <c r="W75" s="68">
        <f t="shared" si="75"/>
        <v>-2.0213397833135783E-4</v>
      </c>
      <c r="X75" s="68">
        <f t="shared" si="75"/>
        <v>-2.0287494008010802E-4</v>
      </c>
      <c r="Y75" s="68">
        <f t="shared" si="75"/>
        <v>-2.0337863265920998E-4</v>
      </c>
      <c r="Z75" s="68">
        <f t="shared" si="75"/>
        <v>-2.0371947582269707E-4</v>
      </c>
      <c r="AA75" s="68">
        <f t="shared" si="75"/>
        <v>-2.0394940897663265E-4</v>
      </c>
      <c r="AB75" s="68">
        <f t="shared" si="75"/>
        <v>-2.0410419883365111E-4</v>
      </c>
      <c r="AC75" s="68">
        <f t="shared" si="75"/>
        <v>-2.0420825625581466E-4</v>
      </c>
    </row>
    <row r="76" spans="1:29" x14ac:dyDescent="0.3">
      <c r="A76" s="30" t="str">
        <f t="shared" si="73"/>
        <v>Capex costumization</v>
      </c>
      <c r="B76" s="66">
        <f>((1+B35)^B43)*B35/(((1+B35)^B43)-1)*(B33)/B47/(B44)</f>
        <v>7.6311881817276459E-4</v>
      </c>
      <c r="C76" s="66">
        <f t="shared" ref="C76:AC76" si="76">((1+C35)^C43)*C35/(((1+C35)^C43)-1)*(C33)/C47/(C44)</f>
        <v>7.6311881817276459E-4</v>
      </c>
      <c r="D76" s="66">
        <f t="shared" si="76"/>
        <v>7.6311881817276459E-4</v>
      </c>
      <c r="E76" s="66">
        <f t="shared" si="76"/>
        <v>7.6311881817276459E-4</v>
      </c>
      <c r="F76" s="66">
        <f t="shared" si="76"/>
        <v>7.6311881817276459E-4</v>
      </c>
      <c r="G76" s="66">
        <f t="shared" si="76"/>
        <v>7.6311881817276459E-4</v>
      </c>
      <c r="H76" s="66">
        <f t="shared" si="76"/>
        <v>7.6311881817276459E-4</v>
      </c>
      <c r="I76" s="66">
        <f t="shared" si="76"/>
        <v>7.6311881817276459E-4</v>
      </c>
      <c r="J76" s="66">
        <f t="shared" si="76"/>
        <v>7.6311881817276459E-4</v>
      </c>
      <c r="K76" s="66">
        <f t="shared" si="76"/>
        <v>7.6311881817276459E-4</v>
      </c>
      <c r="L76" s="66">
        <f t="shared" si="76"/>
        <v>7.6311881817276459E-4</v>
      </c>
      <c r="M76" s="66">
        <f t="shared" si="76"/>
        <v>7.6311881817276459E-4</v>
      </c>
      <c r="N76" s="66">
        <f t="shared" si="76"/>
        <v>7.6311881817276459E-4</v>
      </c>
      <c r="O76" s="66">
        <f t="shared" si="76"/>
        <v>7.6311881817276459E-4</v>
      </c>
      <c r="P76" s="66">
        <f t="shared" si="76"/>
        <v>7.6311881817276459E-4</v>
      </c>
      <c r="Q76" s="66">
        <f t="shared" si="76"/>
        <v>7.6311881817276459E-4</v>
      </c>
      <c r="R76" s="66">
        <f t="shared" si="76"/>
        <v>7.6311881817276459E-4</v>
      </c>
      <c r="S76" s="66">
        <f t="shared" si="76"/>
        <v>7.6311881817276459E-4</v>
      </c>
      <c r="T76" s="66">
        <f t="shared" si="76"/>
        <v>7.6311881817276459E-4</v>
      </c>
      <c r="U76" s="66">
        <f t="shared" si="76"/>
        <v>7.6311881817276459E-4</v>
      </c>
      <c r="V76" s="66">
        <f t="shared" si="76"/>
        <v>7.6311881817276459E-4</v>
      </c>
      <c r="W76" s="66">
        <f t="shared" si="76"/>
        <v>7.6311881817276459E-4</v>
      </c>
      <c r="X76" s="66">
        <f t="shared" si="76"/>
        <v>7.6311881817276459E-4</v>
      </c>
      <c r="Y76" s="66">
        <f t="shared" si="76"/>
        <v>7.6311881817276459E-4</v>
      </c>
      <c r="Z76" s="66">
        <f t="shared" si="76"/>
        <v>7.6311881817276459E-4</v>
      </c>
      <c r="AA76" s="66">
        <f t="shared" si="76"/>
        <v>7.6311881817276459E-4</v>
      </c>
      <c r="AB76" s="66">
        <f t="shared" si="76"/>
        <v>7.6311881817276459E-4</v>
      </c>
      <c r="AC76" s="66">
        <f t="shared" si="76"/>
        <v>7.6311881817276459E-4</v>
      </c>
    </row>
    <row r="77" spans="1:29" x14ac:dyDescent="0.3">
      <c r="A77" s="30" t="str">
        <f t="shared" si="73"/>
        <v>Residual value (costumization)</v>
      </c>
      <c r="B77" s="69">
        <f>((1+B35)^B43)*B35/(((1+B35)^B43)-1)*(B34)/B47/(B44)</f>
        <v>-3.8155940908638231E-5</v>
      </c>
      <c r="C77" s="69">
        <f t="shared" ref="C77:AC77" si="77">((1+C35)^C43)*C35/(((1+C35)^C43)-1)*(C34)/C47/(C44)</f>
        <v>-3.8155940908638231E-5</v>
      </c>
      <c r="D77" s="69">
        <f t="shared" si="77"/>
        <v>-3.8155940908638231E-5</v>
      </c>
      <c r="E77" s="69">
        <f t="shared" si="77"/>
        <v>-3.8155940908638231E-5</v>
      </c>
      <c r="F77" s="69">
        <f t="shared" si="77"/>
        <v>-3.8155940908638231E-5</v>
      </c>
      <c r="G77" s="69">
        <f t="shared" si="77"/>
        <v>-3.8155940908638231E-5</v>
      </c>
      <c r="H77" s="69">
        <f t="shared" si="77"/>
        <v>-3.8155940908638231E-5</v>
      </c>
      <c r="I77" s="69">
        <f t="shared" si="77"/>
        <v>-3.8155940908638231E-5</v>
      </c>
      <c r="J77" s="69">
        <f t="shared" si="77"/>
        <v>-3.8155940908638231E-5</v>
      </c>
      <c r="K77" s="69">
        <f t="shared" si="77"/>
        <v>-3.8155940908638231E-5</v>
      </c>
      <c r="L77" s="69">
        <f t="shared" si="77"/>
        <v>-3.8155940908638231E-5</v>
      </c>
      <c r="M77" s="69">
        <f t="shared" si="77"/>
        <v>-3.8155940908638231E-5</v>
      </c>
      <c r="N77" s="69">
        <f t="shared" si="77"/>
        <v>-3.8155940908638231E-5</v>
      </c>
      <c r="O77" s="69">
        <f t="shared" si="77"/>
        <v>-3.8155940908638231E-5</v>
      </c>
      <c r="P77" s="69">
        <f t="shared" si="77"/>
        <v>-3.8155940908638231E-5</v>
      </c>
      <c r="Q77" s="69">
        <f t="shared" si="77"/>
        <v>-3.8155940908638231E-5</v>
      </c>
      <c r="R77" s="69">
        <f t="shared" si="77"/>
        <v>-3.8155940908638231E-5</v>
      </c>
      <c r="S77" s="69">
        <f t="shared" si="77"/>
        <v>-3.8155940908638231E-5</v>
      </c>
      <c r="T77" s="69">
        <f t="shared" si="77"/>
        <v>-3.8155940908638231E-5</v>
      </c>
      <c r="U77" s="69">
        <f t="shared" si="77"/>
        <v>-3.8155940908638231E-5</v>
      </c>
      <c r="V77" s="69">
        <f t="shared" si="77"/>
        <v>-3.8155940908638231E-5</v>
      </c>
      <c r="W77" s="69">
        <f t="shared" si="77"/>
        <v>-3.8155940908638231E-5</v>
      </c>
      <c r="X77" s="69">
        <f t="shared" si="77"/>
        <v>-3.8155940908638231E-5</v>
      </c>
      <c r="Y77" s="69">
        <f t="shared" si="77"/>
        <v>-3.8155940908638231E-5</v>
      </c>
      <c r="Z77" s="69">
        <f t="shared" si="77"/>
        <v>-3.8155940908638231E-5</v>
      </c>
      <c r="AA77" s="69">
        <f t="shared" si="77"/>
        <v>-3.8155940908638231E-5</v>
      </c>
      <c r="AB77" s="69">
        <f t="shared" si="77"/>
        <v>-3.8155940908638231E-5</v>
      </c>
      <c r="AC77" s="69">
        <f t="shared" si="77"/>
        <v>-3.8155940908638231E-5</v>
      </c>
    </row>
    <row r="78" spans="1:29" x14ac:dyDescent="0.3">
      <c r="A78" s="30" t="str">
        <f t="shared" si="73"/>
        <v>Opex fix (admin, crew, insurance)</v>
      </c>
      <c r="B78" s="66">
        <f>B36/B47/(B44)</f>
        <v>1.6256502601040416E-3</v>
      </c>
      <c r="C78" s="66">
        <f t="shared" ref="C78:AC78" si="78">C36/C47/(C44)</f>
        <v>1.6256502601040416E-3</v>
      </c>
      <c r="D78" s="66">
        <f t="shared" si="78"/>
        <v>1.6256502601040416E-3</v>
      </c>
      <c r="E78" s="66">
        <f t="shared" si="78"/>
        <v>1.6256502601040416E-3</v>
      </c>
      <c r="F78" s="66">
        <f t="shared" si="78"/>
        <v>1.6256502601040416E-3</v>
      </c>
      <c r="G78" s="66">
        <f t="shared" si="78"/>
        <v>1.6256502601040416E-3</v>
      </c>
      <c r="H78" s="66">
        <f t="shared" si="78"/>
        <v>1.6256502601040416E-3</v>
      </c>
      <c r="I78" s="66">
        <f t="shared" si="78"/>
        <v>1.6256502601040416E-3</v>
      </c>
      <c r="J78" s="66">
        <f t="shared" si="78"/>
        <v>1.6256502601040416E-3</v>
      </c>
      <c r="K78" s="66">
        <f t="shared" si="78"/>
        <v>1.6256502601040416E-3</v>
      </c>
      <c r="L78" s="66">
        <f t="shared" si="78"/>
        <v>1.6256502601040416E-3</v>
      </c>
      <c r="M78" s="66">
        <f t="shared" si="78"/>
        <v>1.6256502601040416E-3</v>
      </c>
      <c r="N78" s="66">
        <f t="shared" si="78"/>
        <v>1.6256502601040416E-3</v>
      </c>
      <c r="O78" s="66">
        <f t="shared" si="78"/>
        <v>1.6256502601040416E-3</v>
      </c>
      <c r="P78" s="66">
        <f t="shared" si="78"/>
        <v>1.6256502601040416E-3</v>
      </c>
      <c r="Q78" s="66">
        <f t="shared" si="78"/>
        <v>1.6256502601040416E-3</v>
      </c>
      <c r="R78" s="66">
        <f t="shared" si="78"/>
        <v>1.6256502601040416E-3</v>
      </c>
      <c r="S78" s="66">
        <f t="shared" si="78"/>
        <v>1.6256502601040416E-3</v>
      </c>
      <c r="T78" s="66">
        <f t="shared" si="78"/>
        <v>1.6256502601040416E-3</v>
      </c>
      <c r="U78" s="66">
        <f t="shared" si="78"/>
        <v>1.6256502601040416E-3</v>
      </c>
      <c r="V78" s="66">
        <f t="shared" si="78"/>
        <v>1.6256502601040416E-3</v>
      </c>
      <c r="W78" s="66">
        <f t="shared" si="78"/>
        <v>1.6256502601040416E-3</v>
      </c>
      <c r="X78" s="66">
        <f t="shared" si="78"/>
        <v>1.6256502601040416E-3</v>
      </c>
      <c r="Y78" s="66">
        <f t="shared" si="78"/>
        <v>1.6256502601040416E-3</v>
      </c>
      <c r="Z78" s="66">
        <f t="shared" si="78"/>
        <v>1.6256502601040416E-3</v>
      </c>
      <c r="AA78" s="66">
        <f t="shared" si="78"/>
        <v>1.6256502601040416E-3</v>
      </c>
      <c r="AB78" s="66">
        <f t="shared" si="78"/>
        <v>1.6256502601040416E-3</v>
      </c>
      <c r="AC78" s="66">
        <f t="shared" si="78"/>
        <v>1.6256502601040416E-3</v>
      </c>
    </row>
    <row r="79" spans="1:29" x14ac:dyDescent="0.3">
      <c r="A79" s="30" t="str">
        <f t="shared" si="73"/>
        <v>Opex maintenance &amp; repair</v>
      </c>
      <c r="B79" s="66">
        <f>B37/B47/(B44)</f>
        <v>3.235203975384487E-3</v>
      </c>
      <c r="C79" s="66">
        <f t="shared" ref="C79:AC79" si="79">C37/C47/(C44)</f>
        <v>3.228311912499835E-3</v>
      </c>
      <c r="D79" s="66">
        <f t="shared" si="79"/>
        <v>3.2185261711931679E-3</v>
      </c>
      <c r="E79" s="66">
        <f t="shared" si="79"/>
        <v>3.2046949662058941E-3</v>
      </c>
      <c r="F79" s="66">
        <f t="shared" si="79"/>
        <v>3.1852762039393709E-3</v>
      </c>
      <c r="G79" s="66">
        <f t="shared" si="79"/>
        <v>3.1582770751599136E-3</v>
      </c>
      <c r="H79" s="66">
        <f t="shared" si="79"/>
        <v>3.1212622796426945E-3</v>
      </c>
      <c r="I79" s="66">
        <f t="shared" si="79"/>
        <v>3.0715183608126854E-3</v>
      </c>
      <c r="J79" s="66">
        <f t="shared" si="79"/>
        <v>3.0064934490834873E-3</v>
      </c>
      <c r="K79" s="66">
        <f t="shared" si="79"/>
        <v>2.9246055633971525E-3</v>
      </c>
      <c r="L79" s="66">
        <f t="shared" si="79"/>
        <v>2.826342451165679E-3</v>
      </c>
      <c r="M79" s="66">
        <f t="shared" si="79"/>
        <v>2.7152291126929309E-3</v>
      </c>
      <c r="N79" s="66">
        <f t="shared" si="79"/>
        <v>2.5979272171538078E-3</v>
      </c>
      <c r="O79" s="66">
        <f t="shared" si="79"/>
        <v>2.4829336035118526E-3</v>
      </c>
      <c r="P79" s="66">
        <f t="shared" si="79"/>
        <v>2.37825255003627E-3</v>
      </c>
      <c r="Q79" s="66">
        <f t="shared" si="79"/>
        <v>2.2892885614507032E-3</v>
      </c>
      <c r="R79" s="66">
        <f t="shared" si="79"/>
        <v>2.218044339141322E-3</v>
      </c>
      <c r="S79" s="66">
        <f t="shared" si="79"/>
        <v>2.1636818354750301E-3</v>
      </c>
      <c r="T79" s="66">
        <f t="shared" si="79"/>
        <v>2.12372103540121E-3</v>
      </c>
      <c r="U79" s="66">
        <f t="shared" si="79"/>
        <v>2.0951496414479101E-3</v>
      </c>
      <c r="V79" s="66">
        <f t="shared" si="79"/>
        <v>2.0751253137001203E-3</v>
      </c>
      <c r="W79" s="66">
        <f t="shared" si="79"/>
        <v>2.0612872724350261E-3</v>
      </c>
      <c r="X79" s="66">
        <f t="shared" si="79"/>
        <v>2.0518172112212762E-3</v>
      </c>
      <c r="Y79" s="66">
        <f t="shared" si="79"/>
        <v>2.0453796325405234E-3</v>
      </c>
      <c r="Z79" s="66">
        <f t="shared" si="79"/>
        <v>2.0410233946808022E-3</v>
      </c>
      <c r="AA79" s="66">
        <f t="shared" si="79"/>
        <v>2.0380846720726327E-3</v>
      </c>
      <c r="AB79" s="66">
        <f t="shared" si="79"/>
        <v>2.0361063386111484E-3</v>
      </c>
      <c r="AC79" s="66">
        <f t="shared" si="79"/>
        <v>2.0347764046985059E-3</v>
      </c>
    </row>
    <row r="80" spans="1:29" x14ac:dyDescent="0.3">
      <c r="A80" s="30" t="str">
        <f t="shared" si="73"/>
        <v>Opex var (mode-fees, shunting)</v>
      </c>
      <c r="B80" s="66">
        <f>B38*B47/B47/(B44)</f>
        <v>1.7507002801120447E-3</v>
      </c>
      <c r="C80" s="66">
        <f t="shared" ref="C80:AC80" si="80">C38*C47/C47/(C44)</f>
        <v>1.7507002801120447E-3</v>
      </c>
      <c r="D80" s="66">
        <f t="shared" si="80"/>
        <v>1.7507002801120447E-3</v>
      </c>
      <c r="E80" s="66">
        <f t="shared" si="80"/>
        <v>1.7507002801120447E-3</v>
      </c>
      <c r="F80" s="66">
        <f t="shared" si="80"/>
        <v>1.7507002801120447E-3</v>
      </c>
      <c r="G80" s="66">
        <f t="shared" si="80"/>
        <v>1.7507002801120447E-3</v>
      </c>
      <c r="H80" s="66">
        <f t="shared" si="80"/>
        <v>1.7507002801120447E-3</v>
      </c>
      <c r="I80" s="66">
        <f t="shared" si="80"/>
        <v>1.7507002801120447E-3</v>
      </c>
      <c r="J80" s="66">
        <f t="shared" si="80"/>
        <v>1.7507002801120447E-3</v>
      </c>
      <c r="K80" s="66">
        <f t="shared" si="80"/>
        <v>1.7507002801120447E-3</v>
      </c>
      <c r="L80" s="66">
        <f t="shared" si="80"/>
        <v>1.7507002801120447E-3</v>
      </c>
      <c r="M80" s="66">
        <f t="shared" si="80"/>
        <v>1.7507002801120447E-3</v>
      </c>
      <c r="N80" s="66">
        <f t="shared" si="80"/>
        <v>1.7507002801120447E-3</v>
      </c>
      <c r="O80" s="66">
        <f t="shared" si="80"/>
        <v>1.7507002801120447E-3</v>
      </c>
      <c r="P80" s="66">
        <f t="shared" si="80"/>
        <v>1.7507002801120447E-3</v>
      </c>
      <c r="Q80" s="66">
        <f t="shared" si="80"/>
        <v>1.7507002801120447E-3</v>
      </c>
      <c r="R80" s="66">
        <f t="shared" si="80"/>
        <v>1.7507002801120447E-3</v>
      </c>
      <c r="S80" s="66">
        <f t="shared" si="80"/>
        <v>1.7507002801120447E-3</v>
      </c>
      <c r="T80" s="66">
        <f t="shared" si="80"/>
        <v>1.7507002801120447E-3</v>
      </c>
      <c r="U80" s="66">
        <f t="shared" si="80"/>
        <v>1.7507002801120447E-3</v>
      </c>
      <c r="V80" s="66">
        <f t="shared" si="80"/>
        <v>1.7507002801120447E-3</v>
      </c>
      <c r="W80" s="66">
        <f t="shared" si="80"/>
        <v>1.7507002801120447E-3</v>
      </c>
      <c r="X80" s="66">
        <f t="shared" si="80"/>
        <v>1.7507002801120447E-3</v>
      </c>
      <c r="Y80" s="66">
        <f t="shared" si="80"/>
        <v>1.7507002801120447E-3</v>
      </c>
      <c r="Z80" s="66">
        <f t="shared" si="80"/>
        <v>1.7507002801120447E-3</v>
      </c>
      <c r="AA80" s="66">
        <f t="shared" si="80"/>
        <v>1.7507002801120447E-3</v>
      </c>
      <c r="AB80" s="66">
        <f t="shared" si="80"/>
        <v>1.7507002801120447E-3</v>
      </c>
      <c r="AC80" s="66">
        <f t="shared" si="80"/>
        <v>1.7507002801120447E-3</v>
      </c>
    </row>
    <row r="81" spans="1:29" x14ac:dyDescent="0.3">
      <c r="A81" s="30" t="str">
        <f t="shared" si="73"/>
        <v>Fuel Cost</v>
      </c>
      <c r="B81" s="66">
        <f>B39*B40*B47/B47/(B44)</f>
        <v>1.1195826150024461E-3</v>
      </c>
      <c r="C81" s="66">
        <f t="shared" ref="C81:AC81" si="81">C39*C40*C47/C47/(C44)</f>
        <v>1.118260982314392E-3</v>
      </c>
      <c r="D81" s="66">
        <f t="shared" si="81"/>
        <v>1.1163844533557642E-3</v>
      </c>
      <c r="E81" s="66">
        <f t="shared" si="81"/>
        <v>1.1137321599956635E-3</v>
      </c>
      <c r="F81" s="66">
        <f t="shared" si="81"/>
        <v>1.1100083879694183E-3</v>
      </c>
      <c r="G81" s="66">
        <f t="shared" si="81"/>
        <v>1.1048309930818329E-3</v>
      </c>
      <c r="H81" s="66">
        <f t="shared" si="81"/>
        <v>1.0977329783776815E-3</v>
      </c>
      <c r="I81" s="66">
        <f t="shared" si="81"/>
        <v>1.0881940072078079E-3</v>
      </c>
      <c r="J81" s="66">
        <f t="shared" si="81"/>
        <v>1.0757247290950787E-3</v>
      </c>
      <c r="K81" s="66">
        <f t="shared" si="81"/>
        <v>1.060021780893647E-3</v>
      </c>
      <c r="L81" s="66">
        <f t="shared" si="81"/>
        <v>1.0411786938051275E-3</v>
      </c>
      <c r="M81" s="66">
        <f t="shared" si="81"/>
        <v>1.0198714273651432E-3</v>
      </c>
      <c r="N81" s="66">
        <f t="shared" si="81"/>
        <v>9.9737743360596605E-4</v>
      </c>
      <c r="O81" s="66">
        <f t="shared" si="81"/>
        <v>9.7532607957013433E-4</v>
      </c>
      <c r="P81" s="66">
        <f t="shared" si="81"/>
        <v>9.5525227809606969E-4</v>
      </c>
      <c r="Q81" s="66">
        <f t="shared" si="81"/>
        <v>9.3819240540741534E-4</v>
      </c>
      <c r="R81" s="66">
        <f t="shared" si="81"/>
        <v>9.2453050263389936E-4</v>
      </c>
      <c r="S81" s="66">
        <f t="shared" si="81"/>
        <v>9.1410586445919088E-4</v>
      </c>
      <c r="T81" s="66">
        <f t="shared" si="81"/>
        <v>9.0644291934359033E-4</v>
      </c>
      <c r="U81" s="66">
        <f t="shared" si="81"/>
        <v>9.009640244431905E-4</v>
      </c>
      <c r="V81" s="66">
        <f t="shared" si="81"/>
        <v>8.971241282392943E-4</v>
      </c>
      <c r="W81" s="66">
        <f t="shared" si="81"/>
        <v>8.9447052394393627E-4</v>
      </c>
      <c r="X81" s="66">
        <f t="shared" si="81"/>
        <v>8.9265453029044859E-4</v>
      </c>
      <c r="Y81" s="66">
        <f t="shared" si="81"/>
        <v>8.9142005019953862E-4</v>
      </c>
      <c r="Z81" s="66">
        <f t="shared" si="81"/>
        <v>8.9058469125857928E-4</v>
      </c>
      <c r="AA81" s="66">
        <f t="shared" si="81"/>
        <v>8.9002115724487658E-4</v>
      </c>
      <c r="AB81" s="66">
        <f t="shared" si="81"/>
        <v>8.8964178894625125E-4</v>
      </c>
      <c r="AC81" s="66">
        <f t="shared" si="81"/>
        <v>8.8938675875263335E-4</v>
      </c>
    </row>
    <row r="82" spans="1:29" x14ac:dyDescent="0.3">
      <c r="A82" s="59" t="str">
        <f>A45</f>
        <v>Market failure (av. utilization)</v>
      </c>
      <c r="B82" s="66">
        <f t="shared" ref="B82:AC82" si="82">B71/B45-B71/B44</f>
        <v>1.1504824322419243E-2</v>
      </c>
      <c r="C82" s="66">
        <f t="shared" si="82"/>
        <v>1.1490305712468391E-2</v>
      </c>
      <c r="D82" s="66">
        <f t="shared" si="82"/>
        <v>1.1469691031710777E-2</v>
      </c>
      <c r="E82" s="66">
        <f t="shared" si="82"/>
        <v>1.1440553451135356E-2</v>
      </c>
      <c r="F82" s="66">
        <f t="shared" si="82"/>
        <v>1.1399643319800416E-2</v>
      </c>
      <c r="G82" s="66">
        <f t="shared" si="82"/>
        <v>1.1342760268769767E-2</v>
      </c>
      <c r="H82" s="66">
        <f t="shared" si="82"/>
        <v>1.1264769300593575E-2</v>
      </c>
      <c r="I82" s="66">
        <f t="shared" si="82"/>
        <v>1.1159944733841588E-2</v>
      </c>
      <c r="J82" s="66">
        <f t="shared" si="82"/>
        <v>1.1022892842300276E-2</v>
      </c>
      <c r="K82" s="66">
        <f t="shared" si="82"/>
        <v>1.0850249231547378E-2</v>
      </c>
      <c r="L82" s="66">
        <f t="shared" si="82"/>
        <v>1.0642989608595329E-2</v>
      </c>
      <c r="M82" s="66">
        <f t="shared" si="82"/>
        <v>1.040846408698637E-2</v>
      </c>
      <c r="N82" s="66">
        <f t="shared" si="82"/>
        <v>1.0160610296746414E-2</v>
      </c>
      <c r="O82" s="66">
        <f t="shared" si="82"/>
        <v>9.9172281160263241E-3</v>
      </c>
      <c r="P82" s="66">
        <f t="shared" si="82"/>
        <v>9.6951060743897064E-3</v>
      </c>
      <c r="Q82" s="66">
        <f t="shared" si="82"/>
        <v>9.5056186410133019E-3</v>
      </c>
      <c r="R82" s="66">
        <f t="shared" si="82"/>
        <v>9.3530641967866559E-3</v>
      </c>
      <c r="S82" s="66">
        <f t="shared" si="82"/>
        <v>9.2358470617732273E-3</v>
      </c>
      <c r="T82" s="66">
        <f t="shared" si="82"/>
        <v>9.1489653117062687E-3</v>
      </c>
      <c r="U82" s="66">
        <f t="shared" si="82"/>
        <v>9.086285675091536E-3</v>
      </c>
      <c r="V82" s="66">
        <f t="shared" si="82"/>
        <v>9.0419673297785219E-3</v>
      </c>
      <c r="W82" s="66">
        <f t="shared" si="82"/>
        <v>9.0110969978486211E-3</v>
      </c>
      <c r="X82" s="66">
        <f t="shared" si="82"/>
        <v>8.9898310063492252E-3</v>
      </c>
      <c r="Y82" s="66">
        <f t="shared" si="82"/>
        <v>8.9752997603915821E-3</v>
      </c>
      <c r="Z82" s="66">
        <f t="shared" si="82"/>
        <v>8.9654284447740346E-3</v>
      </c>
      <c r="AA82" s="66">
        <f t="shared" si="82"/>
        <v>8.9587505312903552E-3</v>
      </c>
      <c r="AB82" s="66">
        <f t="shared" si="82"/>
        <v>8.9542460667807137E-3</v>
      </c>
      <c r="AC82" s="66">
        <f t="shared" si="82"/>
        <v>8.9512137644664324E-3</v>
      </c>
    </row>
    <row r="83" spans="1:29" x14ac:dyDescent="0.3">
      <c r="A83" s="59" t="str">
        <f>A46</f>
        <v>Payload loss (fuel)</v>
      </c>
      <c r="B83" s="66">
        <f>B71/(B44-B46)-B71/B44</f>
        <v>3.9063544221873935E-4</v>
      </c>
      <c r="C83" s="66">
        <f t="shared" ref="C83:AC83" si="83">C71/(C44-C46)-C71/C44</f>
        <v>3.8899174753792738E-4</v>
      </c>
      <c r="D83" s="66">
        <f t="shared" si="83"/>
        <v>3.8666333407531318E-4</v>
      </c>
      <c r="E83" s="66">
        <f t="shared" si="83"/>
        <v>3.8338314210530078E-4</v>
      </c>
      <c r="F83" s="66">
        <f t="shared" si="83"/>
        <v>3.7879913696594811E-4</v>
      </c>
      <c r="G83" s="66">
        <f t="shared" si="83"/>
        <v>3.7246705516624443E-4</v>
      </c>
      <c r="H83" s="66">
        <f t="shared" si="83"/>
        <v>3.6386407636151974E-4</v>
      </c>
      <c r="I83" s="66">
        <f t="shared" si="83"/>
        <v>3.5244451906641001E-4</v>
      </c>
      <c r="J83" s="66">
        <f t="shared" si="83"/>
        <v>3.3776175198000323E-4</v>
      </c>
      <c r="K83" s="66">
        <f t="shared" si="83"/>
        <v>3.1966461905777802E-4</v>
      </c>
      <c r="L83" s="66">
        <f t="shared" si="83"/>
        <v>2.9852493068928398E-4</v>
      </c>
      <c r="M83" s="66">
        <f t="shared" si="83"/>
        <v>2.7537427266196256E-4</v>
      </c>
      <c r="N83" s="66">
        <f t="shared" si="83"/>
        <v>2.5179667208608328E-4</v>
      </c>
      <c r="O83" s="66">
        <f t="shared" si="83"/>
        <v>2.2953646175957743E-4</v>
      </c>
      <c r="P83" s="66">
        <f t="shared" si="83"/>
        <v>2.1000043435358273E-4</v>
      </c>
      <c r="Q83" s="66">
        <f t="shared" si="83"/>
        <v>1.9393625416901615E-4</v>
      </c>
      <c r="R83" s="66">
        <f t="shared" si="83"/>
        <v>1.8142242972604694E-4</v>
      </c>
      <c r="S83" s="66">
        <f t="shared" si="83"/>
        <v>1.7207829440554594E-4</v>
      </c>
      <c r="T83" s="66">
        <f t="shared" si="83"/>
        <v>1.6531833841083171E-4</v>
      </c>
      <c r="U83" s="66">
        <f t="shared" si="83"/>
        <v>1.6053876629227269E-4</v>
      </c>
      <c r="V83" s="66">
        <f t="shared" si="83"/>
        <v>1.5721405919378803E-4</v>
      </c>
      <c r="W83" s="66">
        <f t="shared" si="83"/>
        <v>1.5492773635303499E-4</v>
      </c>
      <c r="X83" s="66">
        <f t="shared" si="83"/>
        <v>1.533680294189127E-4</v>
      </c>
      <c r="Y83" s="66">
        <f t="shared" si="83"/>
        <v>1.5230991338993118E-4</v>
      </c>
      <c r="Z83" s="66">
        <f t="shared" si="83"/>
        <v>1.5159482888869522E-4</v>
      </c>
      <c r="AA83" s="66">
        <f t="shared" si="83"/>
        <v>1.5111283772597378E-4</v>
      </c>
      <c r="AB83" s="66">
        <f t="shared" si="83"/>
        <v>1.50788541443337E-4</v>
      </c>
      <c r="AC83" s="66">
        <f t="shared" si="83"/>
        <v>1.5057061177638394E-4</v>
      </c>
    </row>
    <row r="84" spans="1:29" ht="15" thickBot="1" x14ac:dyDescent="0.35">
      <c r="A84" s="59" t="str">
        <f>A21</f>
        <v>Emission Cost</v>
      </c>
      <c r="B84" s="68">
        <f>B41*B47/B47/(B44)</f>
        <v>2.8018723041708291E-5</v>
      </c>
      <c r="C84" s="68">
        <f t="shared" ref="C84:AC84" si="84">C41*C47/C47/(C44)</f>
        <v>2.7992042390563403E-5</v>
      </c>
      <c r="D84" s="68">
        <f t="shared" si="84"/>
        <v>2.7953849632713087E-5</v>
      </c>
      <c r="E84" s="68">
        <f t="shared" si="84"/>
        <v>2.7899212206773402E-5</v>
      </c>
      <c r="F84" s="68">
        <f t="shared" si="84"/>
        <v>2.7821123268758994E-5</v>
      </c>
      <c r="G84" s="68">
        <f t="shared" si="84"/>
        <v>2.7709673478493116E-5</v>
      </c>
      <c r="H84" s="68">
        <f t="shared" si="84"/>
        <v>2.7550941635528091E-5</v>
      </c>
      <c r="I84" s="68">
        <f t="shared" si="84"/>
        <v>2.7325565173011279E-5</v>
      </c>
      <c r="J84" s="68">
        <f t="shared" si="84"/>
        <v>2.7007017200539052E-5</v>
      </c>
      <c r="K84" s="68">
        <f t="shared" si="84"/>
        <v>2.6559781594269528E-5</v>
      </c>
      <c r="L84" s="68">
        <f t="shared" si="84"/>
        <v>2.5937961750002434E-5</v>
      </c>
      <c r="M84" s="68">
        <f t="shared" si="84"/>
        <v>2.5085470005838896E-5</v>
      </c>
      <c r="N84" s="68">
        <f t="shared" si="84"/>
        <v>2.3939812451005268E-5</v>
      </c>
      <c r="O84" s="68">
        <f t="shared" si="84"/>
        <v>2.2442216702075155E-5</v>
      </c>
      <c r="P84" s="68">
        <f t="shared" si="84"/>
        <v>2.0556247982833342E-5</v>
      </c>
      <c r="Q84" s="68">
        <f t="shared" si="84"/>
        <v>1.8293139656483724E-5</v>
      </c>
      <c r="R84" s="68">
        <f t="shared" si="84"/>
        <v>1.5734076384868407E-5</v>
      </c>
      <c r="S84" s="68">
        <f t="shared" si="84"/>
        <v>1.3032483788596525E-5</v>
      </c>
      <c r="T84" s="68">
        <f t="shared" si="84"/>
        <v>1.0384053481432056E-5</v>
      </c>
      <c r="U84" s="68">
        <f t="shared" si="84"/>
        <v>7.973132858710722E-6</v>
      </c>
      <c r="V84" s="68">
        <f t="shared" si="84"/>
        <v>5.9241936510964439E-6</v>
      </c>
      <c r="W84" s="68">
        <f t="shared" si="84"/>
        <v>4.2833602900193802E-6</v>
      </c>
      <c r="X84" s="68">
        <f t="shared" si="84"/>
        <v>3.0313316101360892E-6</v>
      </c>
      <c r="Y84" s="68">
        <f t="shared" si="84"/>
        <v>2.1109901175765951E-6</v>
      </c>
      <c r="Z84" s="68">
        <f t="shared" si="84"/>
        <v>1.4529592646680163E-6</v>
      </c>
      <c r="AA84" s="68">
        <f t="shared" si="84"/>
        <v>9.9177681454548619E-7</v>
      </c>
      <c r="AB84" s="68">
        <f t="shared" si="84"/>
        <v>6.730713950221108E-7</v>
      </c>
      <c r="AC84" s="68">
        <f t="shared" si="84"/>
        <v>4.5496539474204176E-7</v>
      </c>
    </row>
    <row r="85" spans="1:29" ht="15" thickBot="1" x14ac:dyDescent="0.35">
      <c r="A85" s="31" t="s">
        <v>210</v>
      </c>
      <c r="B85" s="77">
        <f>B74+B75+B76+B77+B78+B79+B80+B81+B82+B83+B84</f>
        <v>2.2438985718900011E-2</v>
      </c>
      <c r="C85" s="77">
        <f t="shared" ref="C85:AC85" si="85">C74+C75+C76+C77+C78+C79+C80+C81+C82+C83+C84</f>
        <v>2.2409421620467555E-2</v>
      </c>
      <c r="D85" s="77">
        <f t="shared" si="85"/>
        <v>2.2367449590163378E-2</v>
      </c>
      <c r="E85" s="77">
        <f t="shared" si="85"/>
        <v>2.2308135589394481E-2</v>
      </c>
      <c r="F85" s="77">
        <f t="shared" si="85"/>
        <v>2.2224878254764855E-2</v>
      </c>
      <c r="G85" s="77">
        <f t="shared" si="85"/>
        <v>2.2109155690213905E-2</v>
      </c>
      <c r="H85" s="77">
        <f t="shared" si="85"/>
        <v>2.1950570080301119E-2</v>
      </c>
      <c r="I85" s="77">
        <f t="shared" si="85"/>
        <v>2.1737564817713721E-2</v>
      </c>
      <c r="J85" s="77">
        <f t="shared" si="85"/>
        <v>2.1459320720740183E-2</v>
      </c>
      <c r="K85" s="77">
        <f t="shared" si="85"/>
        <v>2.1109216644062383E-2</v>
      </c>
      <c r="L85" s="77">
        <f t="shared" si="85"/>
        <v>2.068950075770918E-2</v>
      </c>
      <c r="M85" s="77">
        <f t="shared" si="85"/>
        <v>2.0215339481203094E-2</v>
      </c>
      <c r="N85" s="77">
        <f t="shared" si="85"/>
        <v>1.9715119976319605E-2</v>
      </c>
      <c r="O85" s="77">
        <f t="shared" si="85"/>
        <v>1.9224817110762151E-2</v>
      </c>
      <c r="P85" s="77">
        <f t="shared" si="85"/>
        <v>1.877812331097805E-2</v>
      </c>
      <c r="Q85" s="77">
        <f t="shared" si="85"/>
        <v>1.8397660220454241E-2</v>
      </c>
      <c r="R85" s="77">
        <f t="shared" si="85"/>
        <v>1.8091772464806186E-2</v>
      </c>
      <c r="S85" s="77">
        <f t="shared" si="85"/>
        <v>1.7857010762152167E-2</v>
      </c>
      <c r="T85" s="77">
        <f t="shared" si="85"/>
        <v>1.768317051756715E-2</v>
      </c>
      <c r="U85" s="77">
        <f t="shared" si="85"/>
        <v>1.7557853182727956E-2</v>
      </c>
      <c r="V85" s="77">
        <f t="shared" si="85"/>
        <v>1.7469300888489053E-2</v>
      </c>
      <c r="W85" s="77">
        <f t="shared" si="85"/>
        <v>1.7407648542706183E-2</v>
      </c>
      <c r="X85" s="77">
        <f t="shared" si="85"/>
        <v>1.7365192698273225E-2</v>
      </c>
      <c r="Y85" s="77">
        <f t="shared" si="85"/>
        <v>1.7336189878479541E-2</v>
      </c>
      <c r="Z85" s="77">
        <f t="shared" si="85"/>
        <v>1.7316491494713794E-2</v>
      </c>
      <c r="AA85" s="77">
        <f t="shared" si="85"/>
        <v>1.7303167362236301E-2</v>
      </c>
      <c r="AB85" s="77">
        <f t="shared" si="85"/>
        <v>1.7294180634204358E-2</v>
      </c>
      <c r="AC85" s="77">
        <f t="shared" si="85"/>
        <v>1.7288131353933017E-2</v>
      </c>
    </row>
    <row r="87" spans="1:29" x14ac:dyDescent="0.3">
      <c r="B87" s="40"/>
    </row>
    <row r="107" spans="1:2" s="3" customFormat="1" ht="21" x14ac:dyDescent="0.4">
      <c r="A107" s="2" t="str">
        <f>'Parameter Input'!A88</f>
        <v>Railway long-haul: Liquid bulk</v>
      </c>
    </row>
    <row r="108" spans="1:2" s="3" customFormat="1" ht="21" x14ac:dyDescent="0.4">
      <c r="A108" s="2" t="s">
        <v>87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Input'!$L$101</f>
        <v>10000000</v>
      </c>
      <c r="C117" s="42">
        <f>'Parameter Input'!$M$101</f>
        <v>6250000</v>
      </c>
      <c r="D117" s="1" t="s">
        <v>15</v>
      </c>
      <c r="L117" s="51">
        <f>'Parameter Input'!$O$101</f>
        <v>12</v>
      </c>
      <c r="M117" s="52">
        <v>0</v>
      </c>
      <c r="N117" s="52">
        <v>1</v>
      </c>
      <c r="O117" s="52">
        <f>'Parameter Input'!$P$101</f>
        <v>0.9</v>
      </c>
      <c r="P117" s="53">
        <f>'Parameter Input'!$Q$101</f>
        <v>0.4</v>
      </c>
      <c r="Q117" s="4">
        <f t="shared" ref="Q117:AR126" si="86">$N117+($M117-$N117)*((1/(1+EXP(-$P117*(Q$9-$L117)))^$O117))</f>
        <v>0.9867978615748374</v>
      </c>
      <c r="R117" s="4">
        <f t="shared" si="86"/>
        <v>0.98114509762858249</v>
      </c>
      <c r="S117" s="4">
        <f t="shared" si="86"/>
        <v>0.97311898315872036</v>
      </c>
      <c r="T117" s="4">
        <f t="shared" si="86"/>
        <v>0.96177484161592774</v>
      </c>
      <c r="U117" s="4">
        <f t="shared" si="86"/>
        <v>0.94584787155511363</v>
      </c>
      <c r="V117" s="4">
        <f t="shared" si="86"/>
        <v>0.92370360150141495</v>
      </c>
      <c r="W117" s="4">
        <f t="shared" si="86"/>
        <v>0.89334463567658451</v>
      </c>
      <c r="X117" s="4">
        <f t="shared" si="86"/>
        <v>0.85254543874327005</v>
      </c>
      <c r="Y117" s="4">
        <f t="shared" si="86"/>
        <v>0.79921300652623883</v>
      </c>
      <c r="Z117" s="4">
        <f t="shared" si="86"/>
        <v>0.73204982249993378</v>
      </c>
      <c r="AA117" s="4">
        <f t="shared" si="86"/>
        <v>0.65145592958786691</v>
      </c>
      <c r="AB117" s="4">
        <f t="shared" si="86"/>
        <v>0.56032247880849573</v>
      </c>
      <c r="AC117" s="4">
        <f t="shared" si="86"/>
        <v>0.46411326873185343</v>
      </c>
      <c r="AD117" s="4">
        <f t="shared" si="86"/>
        <v>0.36979727595523937</v>
      </c>
      <c r="AE117" s="4">
        <f t="shared" si="86"/>
        <v>0.28393948637231203</v>
      </c>
      <c r="AF117" s="4">
        <f t="shared" si="86"/>
        <v>0.21097259161117732</v>
      </c>
      <c r="AG117" s="4">
        <f t="shared" si="86"/>
        <v>0.15253917653798199</v>
      </c>
      <c r="AH117" s="4">
        <f t="shared" si="86"/>
        <v>0.10795188737709993</v>
      </c>
      <c r="AI117" s="4">
        <f t="shared" si="86"/>
        <v>7.5176653938091809E-2</v>
      </c>
      <c r="AJ117" s="4">
        <f t="shared" si="86"/>
        <v>5.1742836177502194E-2</v>
      </c>
      <c r="AK117" s="4">
        <f t="shared" si="86"/>
        <v>3.5319190625345942E-2</v>
      </c>
      <c r="AL117" s="4">
        <f t="shared" si="86"/>
        <v>2.3969442072658165E-2</v>
      </c>
      <c r="AM117" s="4">
        <f t="shared" si="86"/>
        <v>1.6202243558389728E-2</v>
      </c>
      <c r="AN117" s="4">
        <f t="shared" si="86"/>
        <v>1.0922240564108399E-2</v>
      </c>
      <c r="AO117" s="4">
        <f t="shared" si="86"/>
        <v>7.3493212906090566E-3</v>
      </c>
      <c r="AP117" s="4">
        <f t="shared" si="86"/>
        <v>4.9390262185057265E-3</v>
      </c>
      <c r="AQ117" s="4">
        <f t="shared" si="86"/>
        <v>3.3164275492956197E-3</v>
      </c>
      <c r="AR117" s="4">
        <f t="shared" si="86"/>
        <v>2.2256362146679809E-3</v>
      </c>
    </row>
    <row r="118" spans="1:44" x14ac:dyDescent="0.3">
      <c r="A118" s="24" t="s">
        <v>28</v>
      </c>
      <c r="B118" s="60">
        <f>'Parameter Input'!$L$102</f>
        <v>-500000</v>
      </c>
      <c r="C118" s="61">
        <f>'Parameter Input'!$M$102</f>
        <v>-937500</v>
      </c>
      <c r="D118" s="1" t="s">
        <v>15</v>
      </c>
      <c r="L118" s="54">
        <f>'Parameter Input'!$O$102</f>
        <v>12</v>
      </c>
      <c r="M118" s="37">
        <v>0</v>
      </c>
      <c r="N118" s="37">
        <v>1</v>
      </c>
      <c r="O118" s="37">
        <f>'Parameter Input'!$P$102</f>
        <v>0.9</v>
      </c>
      <c r="P118" s="55">
        <f>'Parameter Input'!$Q$102</f>
        <v>0.4</v>
      </c>
      <c r="Q118" s="4">
        <f t="shared" si="86"/>
        <v>0.9867978615748374</v>
      </c>
      <c r="R118" s="4">
        <f t="shared" si="86"/>
        <v>0.98114509762858249</v>
      </c>
      <c r="S118" s="4">
        <f t="shared" si="86"/>
        <v>0.97311898315872036</v>
      </c>
      <c r="T118" s="4">
        <f t="shared" si="86"/>
        <v>0.96177484161592774</v>
      </c>
      <c r="U118" s="4">
        <f t="shared" si="86"/>
        <v>0.94584787155511363</v>
      </c>
      <c r="V118" s="4">
        <f t="shared" si="86"/>
        <v>0.92370360150141495</v>
      </c>
      <c r="W118" s="4">
        <f t="shared" si="86"/>
        <v>0.89334463567658451</v>
      </c>
      <c r="X118" s="4">
        <f t="shared" si="86"/>
        <v>0.85254543874327005</v>
      </c>
      <c r="Y118" s="4">
        <f t="shared" si="86"/>
        <v>0.79921300652623883</v>
      </c>
      <c r="Z118" s="4">
        <f t="shared" si="86"/>
        <v>0.73204982249993378</v>
      </c>
      <c r="AA118" s="4">
        <f t="shared" si="86"/>
        <v>0.65145592958786691</v>
      </c>
      <c r="AB118" s="4">
        <f t="shared" si="86"/>
        <v>0.56032247880849573</v>
      </c>
      <c r="AC118" s="4">
        <f t="shared" si="86"/>
        <v>0.46411326873185343</v>
      </c>
      <c r="AD118" s="4">
        <f t="shared" si="86"/>
        <v>0.36979727595523937</v>
      </c>
      <c r="AE118" s="4">
        <f t="shared" si="86"/>
        <v>0.28393948637231203</v>
      </c>
      <c r="AF118" s="4">
        <f t="shared" si="86"/>
        <v>0.21097259161117732</v>
      </c>
      <c r="AG118" s="4">
        <f t="shared" si="86"/>
        <v>0.15253917653798199</v>
      </c>
      <c r="AH118" s="4">
        <f t="shared" si="86"/>
        <v>0.10795188737709993</v>
      </c>
      <c r="AI118" s="4">
        <f t="shared" si="86"/>
        <v>7.5176653938091809E-2</v>
      </c>
      <c r="AJ118" s="4">
        <f t="shared" si="86"/>
        <v>5.1742836177502194E-2</v>
      </c>
      <c r="AK118" s="4">
        <f t="shared" si="86"/>
        <v>3.5319190625345942E-2</v>
      </c>
      <c r="AL118" s="4">
        <f t="shared" si="86"/>
        <v>2.3969442072658165E-2</v>
      </c>
      <c r="AM118" s="4">
        <f t="shared" si="86"/>
        <v>1.6202243558389728E-2</v>
      </c>
      <c r="AN118" s="4">
        <f t="shared" si="86"/>
        <v>1.0922240564108399E-2</v>
      </c>
      <c r="AO118" s="4">
        <f t="shared" si="86"/>
        <v>7.3493212906090566E-3</v>
      </c>
      <c r="AP118" s="4">
        <f t="shared" si="86"/>
        <v>4.9390262185057265E-3</v>
      </c>
      <c r="AQ118" s="4">
        <f t="shared" si="86"/>
        <v>3.3164275492956197E-3</v>
      </c>
      <c r="AR118" s="4">
        <f t="shared" si="86"/>
        <v>2.2256362146679809E-3</v>
      </c>
    </row>
    <row r="119" spans="1:44" x14ac:dyDescent="0.3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6"/>
        <v>0.9867978615748374</v>
      </c>
      <c r="R119" s="4">
        <f t="shared" si="86"/>
        <v>0.98114509762858249</v>
      </c>
      <c r="S119" s="4">
        <f t="shared" si="86"/>
        <v>0.97311898315872036</v>
      </c>
      <c r="T119" s="4">
        <f t="shared" si="86"/>
        <v>0.96177484161592774</v>
      </c>
      <c r="U119" s="4">
        <f t="shared" si="86"/>
        <v>0.94584787155511363</v>
      </c>
      <c r="V119" s="4">
        <f t="shared" si="86"/>
        <v>0.92370360150141495</v>
      </c>
      <c r="W119" s="4">
        <f t="shared" si="86"/>
        <v>0.89334463567658451</v>
      </c>
      <c r="X119" s="4">
        <f t="shared" si="86"/>
        <v>0.85254543874327005</v>
      </c>
      <c r="Y119" s="4">
        <f t="shared" si="86"/>
        <v>0.79921300652623883</v>
      </c>
      <c r="Z119" s="4">
        <f t="shared" si="86"/>
        <v>0.73204982249993378</v>
      </c>
      <c r="AA119" s="4">
        <f t="shared" si="86"/>
        <v>0.65145592958786691</v>
      </c>
      <c r="AB119" s="4">
        <f t="shared" si="86"/>
        <v>0.56032247880849573</v>
      </c>
      <c r="AC119" s="4">
        <f t="shared" si="86"/>
        <v>0.46411326873185343</v>
      </c>
      <c r="AD119" s="4">
        <f t="shared" si="86"/>
        <v>0.36979727595523937</v>
      </c>
      <c r="AE119" s="4">
        <f t="shared" si="86"/>
        <v>0.28393948637231203</v>
      </c>
      <c r="AF119" s="4">
        <f t="shared" si="86"/>
        <v>0.21097259161117732</v>
      </c>
      <c r="AG119" s="4">
        <f t="shared" si="86"/>
        <v>0.15253917653798199</v>
      </c>
      <c r="AH119" s="4">
        <f t="shared" si="86"/>
        <v>0.10795188737709993</v>
      </c>
      <c r="AI119" s="4">
        <f t="shared" si="86"/>
        <v>7.5176653938091809E-2</v>
      </c>
      <c r="AJ119" s="4">
        <f t="shared" si="86"/>
        <v>5.1742836177502194E-2</v>
      </c>
      <c r="AK119" s="4">
        <f t="shared" si="86"/>
        <v>3.5319190625345942E-2</v>
      </c>
      <c r="AL119" s="4">
        <f t="shared" si="86"/>
        <v>2.3969442072658165E-2</v>
      </c>
      <c r="AM119" s="4">
        <f t="shared" si="86"/>
        <v>1.6202243558389728E-2</v>
      </c>
      <c r="AN119" s="4">
        <f t="shared" si="86"/>
        <v>1.0922240564108399E-2</v>
      </c>
      <c r="AO119" s="4">
        <f t="shared" si="86"/>
        <v>7.3493212906090566E-3</v>
      </c>
      <c r="AP119" s="4">
        <f t="shared" si="86"/>
        <v>4.9390262185057265E-3</v>
      </c>
      <c r="AQ119" s="4">
        <f t="shared" si="86"/>
        <v>3.3164275492956197E-3</v>
      </c>
      <c r="AR119" s="4">
        <f t="shared" si="86"/>
        <v>2.2256362146679809E-3</v>
      </c>
    </row>
    <row r="120" spans="1:44" x14ac:dyDescent="0.3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6"/>
        <v>0.9867978615748374</v>
      </c>
      <c r="R120" s="4">
        <f t="shared" si="86"/>
        <v>0.98114509762858249</v>
      </c>
      <c r="S120" s="4">
        <f t="shared" si="86"/>
        <v>0.97311898315872036</v>
      </c>
      <c r="T120" s="4">
        <f t="shared" si="86"/>
        <v>0.96177484161592774</v>
      </c>
      <c r="U120" s="4">
        <f t="shared" si="86"/>
        <v>0.94584787155511363</v>
      </c>
      <c r="V120" s="4">
        <f t="shared" si="86"/>
        <v>0.92370360150141495</v>
      </c>
      <c r="W120" s="4">
        <f t="shared" si="86"/>
        <v>0.89334463567658451</v>
      </c>
      <c r="X120" s="4">
        <f t="shared" si="86"/>
        <v>0.85254543874327005</v>
      </c>
      <c r="Y120" s="4">
        <f t="shared" si="86"/>
        <v>0.79921300652623883</v>
      </c>
      <c r="Z120" s="4">
        <f t="shared" si="86"/>
        <v>0.73204982249993378</v>
      </c>
      <c r="AA120" s="4">
        <f t="shared" si="86"/>
        <v>0.65145592958786691</v>
      </c>
      <c r="AB120" s="4">
        <f t="shared" si="86"/>
        <v>0.56032247880849573</v>
      </c>
      <c r="AC120" s="4">
        <f t="shared" si="86"/>
        <v>0.46411326873185343</v>
      </c>
      <c r="AD120" s="4">
        <f t="shared" si="86"/>
        <v>0.36979727595523937</v>
      </c>
      <c r="AE120" s="4">
        <f t="shared" si="86"/>
        <v>0.28393948637231203</v>
      </c>
      <c r="AF120" s="4">
        <f t="shared" si="86"/>
        <v>0.21097259161117732</v>
      </c>
      <c r="AG120" s="4">
        <f t="shared" si="86"/>
        <v>0.15253917653798199</v>
      </c>
      <c r="AH120" s="4">
        <f t="shared" si="86"/>
        <v>0.10795188737709993</v>
      </c>
      <c r="AI120" s="4">
        <f t="shared" si="86"/>
        <v>7.5176653938091809E-2</v>
      </c>
      <c r="AJ120" s="4">
        <f t="shared" si="86"/>
        <v>5.1742836177502194E-2</v>
      </c>
      <c r="AK120" s="4">
        <f t="shared" si="86"/>
        <v>3.5319190625345942E-2</v>
      </c>
      <c r="AL120" s="4">
        <f t="shared" si="86"/>
        <v>2.3969442072658165E-2</v>
      </c>
      <c r="AM120" s="4">
        <f t="shared" si="86"/>
        <v>1.6202243558389728E-2</v>
      </c>
      <c r="AN120" s="4">
        <f t="shared" si="86"/>
        <v>1.0922240564108399E-2</v>
      </c>
      <c r="AO120" s="4">
        <f t="shared" si="86"/>
        <v>7.3493212906090566E-3</v>
      </c>
      <c r="AP120" s="4">
        <f t="shared" si="86"/>
        <v>4.9390262185057265E-3</v>
      </c>
      <c r="AQ120" s="4">
        <f t="shared" si="86"/>
        <v>3.3164275492956197E-3</v>
      </c>
      <c r="AR120" s="4">
        <f t="shared" si="86"/>
        <v>2.2256362146679809E-3</v>
      </c>
    </row>
    <row r="121" spans="1:44" x14ac:dyDescent="0.3">
      <c r="A121" s="24" t="s">
        <v>79</v>
      </c>
      <c r="B121" s="45">
        <f>'Parameter Input'!$L$108</f>
        <v>0.06</v>
      </c>
      <c r="C121" s="46">
        <f>'Parameter Input'!$M$108</f>
        <v>0.06</v>
      </c>
      <c r="D121" s="1" t="s">
        <v>57</v>
      </c>
      <c r="L121" s="54">
        <f>'Parameter Input'!$O$108</f>
        <v>12</v>
      </c>
      <c r="M121" s="37">
        <v>0</v>
      </c>
      <c r="N121" s="37">
        <v>1</v>
      </c>
      <c r="O121" s="37">
        <f>'Parameter Input'!$P$108</f>
        <v>0.9</v>
      </c>
      <c r="P121" s="55">
        <f>'Parameter Input'!$Q$108</f>
        <v>0.4</v>
      </c>
      <c r="Q121" s="4">
        <f t="shared" si="86"/>
        <v>0.9867978615748374</v>
      </c>
      <c r="R121" s="4">
        <f t="shared" si="86"/>
        <v>0.98114509762858249</v>
      </c>
      <c r="S121" s="4">
        <f t="shared" si="86"/>
        <v>0.97311898315872036</v>
      </c>
      <c r="T121" s="4">
        <f t="shared" si="86"/>
        <v>0.96177484161592774</v>
      </c>
      <c r="U121" s="4">
        <f t="shared" si="86"/>
        <v>0.94584787155511363</v>
      </c>
      <c r="V121" s="4">
        <f t="shared" si="86"/>
        <v>0.92370360150141495</v>
      </c>
      <c r="W121" s="4">
        <f t="shared" si="86"/>
        <v>0.89334463567658451</v>
      </c>
      <c r="X121" s="4">
        <f t="shared" si="86"/>
        <v>0.85254543874327005</v>
      </c>
      <c r="Y121" s="4">
        <f t="shared" si="86"/>
        <v>0.79921300652623883</v>
      </c>
      <c r="Z121" s="4">
        <f t="shared" si="86"/>
        <v>0.73204982249993378</v>
      </c>
      <c r="AA121" s="4">
        <f t="shared" si="86"/>
        <v>0.65145592958786691</v>
      </c>
      <c r="AB121" s="4">
        <f t="shared" si="86"/>
        <v>0.56032247880849573</v>
      </c>
      <c r="AC121" s="4">
        <f t="shared" si="86"/>
        <v>0.46411326873185343</v>
      </c>
      <c r="AD121" s="4">
        <f t="shared" si="86"/>
        <v>0.36979727595523937</v>
      </c>
      <c r="AE121" s="4">
        <f t="shared" si="86"/>
        <v>0.28393948637231203</v>
      </c>
      <c r="AF121" s="4">
        <f t="shared" si="86"/>
        <v>0.21097259161117732</v>
      </c>
      <c r="AG121" s="4">
        <f t="shared" si="86"/>
        <v>0.15253917653798199</v>
      </c>
      <c r="AH121" s="4">
        <f t="shared" si="86"/>
        <v>0.10795188737709993</v>
      </c>
      <c r="AI121" s="4">
        <f t="shared" si="86"/>
        <v>7.5176653938091809E-2</v>
      </c>
      <c r="AJ121" s="4">
        <f t="shared" si="86"/>
        <v>5.1742836177502194E-2</v>
      </c>
      <c r="AK121" s="4">
        <f t="shared" si="86"/>
        <v>3.5319190625345942E-2</v>
      </c>
      <c r="AL121" s="4">
        <f t="shared" si="86"/>
        <v>2.3969442072658165E-2</v>
      </c>
      <c r="AM121" s="4">
        <f t="shared" si="86"/>
        <v>1.6202243558389728E-2</v>
      </c>
      <c r="AN121" s="4">
        <f t="shared" si="86"/>
        <v>1.0922240564108399E-2</v>
      </c>
      <c r="AO121" s="4">
        <f t="shared" si="86"/>
        <v>7.3493212906090566E-3</v>
      </c>
      <c r="AP121" s="4">
        <f t="shared" si="86"/>
        <v>4.9390262185057265E-3</v>
      </c>
      <c r="AQ121" s="4">
        <f t="shared" si="86"/>
        <v>3.3164275492956197E-3</v>
      </c>
      <c r="AR121" s="4">
        <f t="shared" si="86"/>
        <v>2.2256362146679809E-3</v>
      </c>
    </row>
    <row r="122" spans="1:44" x14ac:dyDescent="0.3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6"/>
        <v>0.9867978615748374</v>
      </c>
      <c r="R122" s="4">
        <f t="shared" si="86"/>
        <v>0.98114509762858249</v>
      </c>
      <c r="S122" s="4">
        <f t="shared" si="86"/>
        <v>0.97311898315872036</v>
      </c>
      <c r="T122" s="4">
        <f t="shared" si="86"/>
        <v>0.96177484161592774</v>
      </c>
      <c r="U122" s="4">
        <f t="shared" si="86"/>
        <v>0.94584787155511363</v>
      </c>
      <c r="V122" s="4">
        <f t="shared" si="86"/>
        <v>0.92370360150141495</v>
      </c>
      <c r="W122" s="4">
        <f t="shared" si="86"/>
        <v>0.89334463567658451</v>
      </c>
      <c r="X122" s="4">
        <f t="shared" si="86"/>
        <v>0.85254543874327005</v>
      </c>
      <c r="Y122" s="4">
        <f t="shared" si="86"/>
        <v>0.79921300652623883</v>
      </c>
      <c r="Z122" s="4">
        <f t="shared" si="86"/>
        <v>0.73204982249993378</v>
      </c>
      <c r="AA122" s="4">
        <f t="shared" si="86"/>
        <v>0.65145592958786691</v>
      </c>
      <c r="AB122" s="4">
        <f t="shared" si="86"/>
        <v>0.56032247880849573</v>
      </c>
      <c r="AC122" s="4">
        <f t="shared" si="86"/>
        <v>0.46411326873185343</v>
      </c>
      <c r="AD122" s="4">
        <f t="shared" si="86"/>
        <v>0.36979727595523937</v>
      </c>
      <c r="AE122" s="4">
        <f t="shared" si="86"/>
        <v>0.28393948637231203</v>
      </c>
      <c r="AF122" s="4">
        <f t="shared" si="86"/>
        <v>0.21097259161117732</v>
      </c>
      <c r="AG122" s="4">
        <f t="shared" si="86"/>
        <v>0.15253917653798199</v>
      </c>
      <c r="AH122" s="4">
        <f t="shared" si="86"/>
        <v>0.10795188737709993</v>
      </c>
      <c r="AI122" s="4">
        <f t="shared" si="86"/>
        <v>7.5176653938091809E-2</v>
      </c>
      <c r="AJ122" s="4">
        <f t="shared" si="86"/>
        <v>5.1742836177502194E-2</v>
      </c>
      <c r="AK122" s="4">
        <f t="shared" si="86"/>
        <v>3.5319190625345942E-2</v>
      </c>
      <c r="AL122" s="4">
        <f t="shared" si="86"/>
        <v>2.3969442072658165E-2</v>
      </c>
      <c r="AM122" s="4">
        <f t="shared" si="86"/>
        <v>1.6202243558389728E-2</v>
      </c>
      <c r="AN122" s="4">
        <f t="shared" si="86"/>
        <v>1.0922240564108399E-2</v>
      </c>
      <c r="AO122" s="4">
        <f t="shared" si="86"/>
        <v>7.3493212906090566E-3</v>
      </c>
      <c r="AP122" s="4">
        <f t="shared" si="86"/>
        <v>4.9390262185057265E-3</v>
      </c>
      <c r="AQ122" s="4">
        <f t="shared" si="86"/>
        <v>3.3164275492956197E-3</v>
      </c>
      <c r="AR122" s="4">
        <f t="shared" si="86"/>
        <v>2.2256362146679809E-3</v>
      </c>
    </row>
    <row r="123" spans="1:44" x14ac:dyDescent="0.3">
      <c r="A123" s="24" t="s">
        <v>52</v>
      </c>
      <c r="B123" s="43">
        <f>'Parameter Input'!$L$104</f>
        <v>1300000</v>
      </c>
      <c r="C123" s="44">
        <f>'Parameter Input'!$M$104</f>
        <v>812500</v>
      </c>
      <c r="D123" s="1" t="s">
        <v>38</v>
      </c>
      <c r="L123" s="54">
        <f>'Parameter Input'!$O$104</f>
        <v>12</v>
      </c>
      <c r="M123" s="37">
        <v>0</v>
      </c>
      <c r="N123" s="37">
        <v>1</v>
      </c>
      <c r="O123" s="37">
        <f>'Parameter Input'!$P$104</f>
        <v>0.9</v>
      </c>
      <c r="P123" s="55">
        <f>'Parameter Input'!$Q$104</f>
        <v>0.4</v>
      </c>
      <c r="Q123" s="4">
        <f t="shared" si="86"/>
        <v>0.9867978615748374</v>
      </c>
      <c r="R123" s="4">
        <f t="shared" si="86"/>
        <v>0.98114509762858249</v>
      </c>
      <c r="S123" s="4">
        <f t="shared" si="86"/>
        <v>0.97311898315872036</v>
      </c>
      <c r="T123" s="4">
        <f t="shared" si="86"/>
        <v>0.96177484161592774</v>
      </c>
      <c r="U123" s="4">
        <f t="shared" si="86"/>
        <v>0.94584787155511363</v>
      </c>
      <c r="V123" s="4">
        <f t="shared" si="86"/>
        <v>0.92370360150141495</v>
      </c>
      <c r="W123" s="4">
        <f t="shared" si="86"/>
        <v>0.89334463567658451</v>
      </c>
      <c r="X123" s="4">
        <f t="shared" si="86"/>
        <v>0.85254543874327005</v>
      </c>
      <c r="Y123" s="4">
        <f t="shared" si="86"/>
        <v>0.79921300652623883</v>
      </c>
      <c r="Z123" s="4">
        <f t="shared" si="86"/>
        <v>0.73204982249993378</v>
      </c>
      <c r="AA123" s="4">
        <f t="shared" si="86"/>
        <v>0.65145592958786691</v>
      </c>
      <c r="AB123" s="4">
        <f t="shared" si="86"/>
        <v>0.56032247880849573</v>
      </c>
      <c r="AC123" s="4">
        <f t="shared" si="86"/>
        <v>0.46411326873185343</v>
      </c>
      <c r="AD123" s="4">
        <f t="shared" si="86"/>
        <v>0.36979727595523937</v>
      </c>
      <c r="AE123" s="4">
        <f t="shared" si="86"/>
        <v>0.28393948637231203</v>
      </c>
      <c r="AF123" s="4">
        <f t="shared" si="86"/>
        <v>0.21097259161117732</v>
      </c>
      <c r="AG123" s="4">
        <f t="shared" si="86"/>
        <v>0.15253917653798199</v>
      </c>
      <c r="AH123" s="4">
        <f t="shared" si="86"/>
        <v>0.10795188737709993</v>
      </c>
      <c r="AI123" s="4">
        <f t="shared" si="86"/>
        <v>7.5176653938091809E-2</v>
      </c>
      <c r="AJ123" s="4">
        <f t="shared" si="86"/>
        <v>5.1742836177502194E-2</v>
      </c>
      <c r="AK123" s="4">
        <f t="shared" si="86"/>
        <v>3.5319190625345942E-2</v>
      </c>
      <c r="AL123" s="4">
        <f t="shared" si="86"/>
        <v>2.3969442072658165E-2</v>
      </c>
      <c r="AM123" s="4">
        <f t="shared" si="86"/>
        <v>1.6202243558389728E-2</v>
      </c>
      <c r="AN123" s="4">
        <f t="shared" si="86"/>
        <v>1.0922240564108399E-2</v>
      </c>
      <c r="AO123" s="4">
        <f t="shared" si="86"/>
        <v>7.3493212906090566E-3</v>
      </c>
      <c r="AP123" s="4">
        <f t="shared" si="86"/>
        <v>4.9390262185057265E-3</v>
      </c>
      <c r="AQ123" s="4">
        <f t="shared" si="86"/>
        <v>3.3164275492956197E-3</v>
      </c>
      <c r="AR123" s="4">
        <f t="shared" si="86"/>
        <v>2.2256362146679809E-3</v>
      </c>
    </row>
    <row r="124" spans="1:44" x14ac:dyDescent="0.3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6"/>
        <v>0.9867978615748374</v>
      </c>
      <c r="R124" s="4">
        <f t="shared" si="86"/>
        <v>0.98114509762858249</v>
      </c>
      <c r="S124" s="4">
        <f t="shared" si="86"/>
        <v>0.97311898315872036</v>
      </c>
      <c r="T124" s="4">
        <f t="shared" si="86"/>
        <v>0.96177484161592774</v>
      </c>
      <c r="U124" s="4">
        <f t="shared" si="86"/>
        <v>0.94584787155511363</v>
      </c>
      <c r="V124" s="4">
        <f t="shared" si="86"/>
        <v>0.92370360150141495</v>
      </c>
      <c r="W124" s="4">
        <f t="shared" si="86"/>
        <v>0.89334463567658451</v>
      </c>
      <c r="X124" s="4">
        <f t="shared" si="86"/>
        <v>0.85254543874327005</v>
      </c>
      <c r="Y124" s="4">
        <f t="shared" si="86"/>
        <v>0.79921300652623883</v>
      </c>
      <c r="Z124" s="4">
        <f t="shared" si="86"/>
        <v>0.73204982249993378</v>
      </c>
      <c r="AA124" s="4">
        <f t="shared" si="86"/>
        <v>0.65145592958786691</v>
      </c>
      <c r="AB124" s="4">
        <f t="shared" si="86"/>
        <v>0.56032247880849573</v>
      </c>
      <c r="AC124" s="4">
        <f t="shared" si="86"/>
        <v>0.46411326873185343</v>
      </c>
      <c r="AD124" s="4">
        <f t="shared" si="86"/>
        <v>0.36979727595523937</v>
      </c>
      <c r="AE124" s="4">
        <f t="shared" si="86"/>
        <v>0.28393948637231203</v>
      </c>
      <c r="AF124" s="4">
        <f t="shared" si="86"/>
        <v>0.21097259161117732</v>
      </c>
      <c r="AG124" s="4">
        <f t="shared" si="86"/>
        <v>0.15253917653798199</v>
      </c>
      <c r="AH124" s="4">
        <f t="shared" si="86"/>
        <v>0.10795188737709993</v>
      </c>
      <c r="AI124" s="4">
        <f t="shared" si="86"/>
        <v>7.5176653938091809E-2</v>
      </c>
      <c r="AJ124" s="4">
        <f t="shared" si="86"/>
        <v>5.1742836177502194E-2</v>
      </c>
      <c r="AK124" s="4">
        <f t="shared" si="86"/>
        <v>3.5319190625345942E-2</v>
      </c>
      <c r="AL124" s="4">
        <f t="shared" si="86"/>
        <v>2.3969442072658165E-2</v>
      </c>
      <c r="AM124" s="4">
        <f t="shared" si="86"/>
        <v>1.6202243558389728E-2</v>
      </c>
      <c r="AN124" s="4">
        <f t="shared" si="86"/>
        <v>1.0922240564108399E-2</v>
      </c>
      <c r="AO124" s="4">
        <f t="shared" si="86"/>
        <v>7.3493212906090566E-3</v>
      </c>
      <c r="AP124" s="4">
        <f t="shared" si="86"/>
        <v>4.9390262185057265E-3</v>
      </c>
      <c r="AQ124" s="4">
        <f t="shared" si="86"/>
        <v>3.3164275492956197E-3</v>
      </c>
      <c r="AR124" s="4">
        <f t="shared" si="86"/>
        <v>2.2256362146679809E-3</v>
      </c>
    </row>
    <row r="125" spans="1:44" x14ac:dyDescent="0.3">
      <c r="A125" s="24" t="s">
        <v>59</v>
      </c>
      <c r="B125" s="47">
        <f>'Parameter Input'!$L$105</f>
        <v>27.1614</v>
      </c>
      <c r="C125" s="48">
        <f>'Parameter Input'!$M$105</f>
        <v>27.1614</v>
      </c>
      <c r="D125" s="1" t="s">
        <v>60</v>
      </c>
      <c r="L125" s="54">
        <f>'Parameter Input'!$O$105</f>
        <v>12</v>
      </c>
      <c r="M125" s="37">
        <v>0</v>
      </c>
      <c r="N125" s="37">
        <v>1</v>
      </c>
      <c r="O125" s="37">
        <f>'Parameter Input'!$P$105</f>
        <v>0.9</v>
      </c>
      <c r="P125" s="55">
        <f>'Parameter Input'!$Q$105</f>
        <v>0.4</v>
      </c>
      <c r="Q125" s="4">
        <f t="shared" si="86"/>
        <v>0.9867978615748374</v>
      </c>
      <c r="R125" s="4">
        <f t="shared" si="86"/>
        <v>0.98114509762858249</v>
      </c>
      <c r="S125" s="4">
        <f t="shared" si="86"/>
        <v>0.97311898315872036</v>
      </c>
      <c r="T125" s="4">
        <f t="shared" si="86"/>
        <v>0.96177484161592774</v>
      </c>
      <c r="U125" s="4">
        <f t="shared" si="86"/>
        <v>0.94584787155511363</v>
      </c>
      <c r="V125" s="4">
        <f t="shared" si="86"/>
        <v>0.92370360150141495</v>
      </c>
      <c r="W125" s="4">
        <f t="shared" si="86"/>
        <v>0.89334463567658451</v>
      </c>
      <c r="X125" s="4">
        <f t="shared" si="86"/>
        <v>0.85254543874327005</v>
      </c>
      <c r="Y125" s="4">
        <f t="shared" si="86"/>
        <v>0.79921300652623883</v>
      </c>
      <c r="Z125" s="4">
        <f t="shared" si="86"/>
        <v>0.73204982249993378</v>
      </c>
      <c r="AA125" s="4">
        <f t="shared" si="86"/>
        <v>0.65145592958786691</v>
      </c>
      <c r="AB125" s="4">
        <f t="shared" si="86"/>
        <v>0.56032247880849573</v>
      </c>
      <c r="AC125" s="4">
        <f t="shared" si="86"/>
        <v>0.46411326873185343</v>
      </c>
      <c r="AD125" s="4">
        <f t="shared" si="86"/>
        <v>0.36979727595523937</v>
      </c>
      <c r="AE125" s="4">
        <f t="shared" si="86"/>
        <v>0.28393948637231203</v>
      </c>
      <c r="AF125" s="4">
        <f t="shared" si="86"/>
        <v>0.21097259161117732</v>
      </c>
      <c r="AG125" s="4">
        <f t="shared" si="86"/>
        <v>0.15253917653798199</v>
      </c>
      <c r="AH125" s="4">
        <f t="shared" si="86"/>
        <v>0.10795188737709993</v>
      </c>
      <c r="AI125" s="4">
        <f t="shared" si="86"/>
        <v>7.5176653938091809E-2</v>
      </c>
      <c r="AJ125" s="4">
        <f t="shared" si="86"/>
        <v>5.1742836177502194E-2</v>
      </c>
      <c r="AK125" s="4">
        <f t="shared" si="86"/>
        <v>3.5319190625345942E-2</v>
      </c>
      <c r="AL125" s="4">
        <f t="shared" si="86"/>
        <v>2.3969442072658165E-2</v>
      </c>
      <c r="AM125" s="4">
        <f t="shared" si="86"/>
        <v>1.6202243558389728E-2</v>
      </c>
      <c r="AN125" s="4">
        <f t="shared" si="86"/>
        <v>1.0922240564108399E-2</v>
      </c>
      <c r="AO125" s="4">
        <f t="shared" si="86"/>
        <v>7.3493212906090566E-3</v>
      </c>
      <c r="AP125" s="4">
        <f t="shared" si="86"/>
        <v>4.9390262185057265E-3</v>
      </c>
      <c r="AQ125" s="4">
        <f t="shared" si="86"/>
        <v>3.3164275492956197E-3</v>
      </c>
      <c r="AR125" s="4">
        <f t="shared" si="86"/>
        <v>2.2256362146679809E-3</v>
      </c>
    </row>
    <row r="126" spans="1:44" x14ac:dyDescent="0.3">
      <c r="A126" s="24" t="s">
        <v>67</v>
      </c>
      <c r="B126" s="45">
        <f>'Parameter Input'!$L$106</f>
        <v>9.2586511082899101E-2</v>
      </c>
      <c r="C126" s="46">
        <f>'Parameter Input'!$M$106</f>
        <v>7.3304790352502799E-2</v>
      </c>
      <c r="D126" s="1" t="s">
        <v>68</v>
      </c>
      <c r="L126" s="54">
        <f>'Parameter Input'!$O$106</f>
        <v>12</v>
      </c>
      <c r="M126" s="37">
        <v>0</v>
      </c>
      <c r="N126" s="37">
        <v>1</v>
      </c>
      <c r="O126" s="37">
        <f>'Parameter Input'!$P$106</f>
        <v>0.9</v>
      </c>
      <c r="P126" s="55">
        <f>'Parameter Input'!$Q$106</f>
        <v>0.4</v>
      </c>
      <c r="Q126" s="4">
        <f t="shared" si="86"/>
        <v>0.9867978615748374</v>
      </c>
      <c r="R126" s="4">
        <f t="shared" si="86"/>
        <v>0.98114509762858249</v>
      </c>
      <c r="S126" s="4">
        <f t="shared" si="86"/>
        <v>0.97311898315872036</v>
      </c>
      <c r="T126" s="4">
        <f t="shared" ref="T126:AI133" si="87">$N126+($M126-$N126)*((1/(1+EXP(-$P126*(T$9-$L126)))^$O126))</f>
        <v>0.96177484161592774</v>
      </c>
      <c r="U126" s="4">
        <f t="shared" si="87"/>
        <v>0.94584787155511363</v>
      </c>
      <c r="V126" s="4">
        <f t="shared" si="87"/>
        <v>0.92370360150141495</v>
      </c>
      <c r="W126" s="4">
        <f t="shared" si="87"/>
        <v>0.89334463567658451</v>
      </c>
      <c r="X126" s="4">
        <f t="shared" si="87"/>
        <v>0.85254543874327005</v>
      </c>
      <c r="Y126" s="4">
        <f t="shared" si="87"/>
        <v>0.79921300652623883</v>
      </c>
      <c r="Z126" s="4">
        <f t="shared" si="87"/>
        <v>0.73204982249993378</v>
      </c>
      <c r="AA126" s="4">
        <f t="shared" si="87"/>
        <v>0.65145592958786691</v>
      </c>
      <c r="AB126" s="4">
        <f t="shared" si="87"/>
        <v>0.56032247880849573</v>
      </c>
      <c r="AC126" s="4">
        <f t="shared" si="87"/>
        <v>0.46411326873185343</v>
      </c>
      <c r="AD126" s="4">
        <f t="shared" si="87"/>
        <v>0.36979727595523937</v>
      </c>
      <c r="AE126" s="4">
        <f t="shared" si="87"/>
        <v>0.28393948637231203</v>
      </c>
      <c r="AF126" s="4">
        <f t="shared" si="87"/>
        <v>0.21097259161117732</v>
      </c>
      <c r="AG126" s="4">
        <f t="shared" si="87"/>
        <v>0.15253917653798199</v>
      </c>
      <c r="AH126" s="4">
        <f t="shared" si="87"/>
        <v>0.10795188737709993</v>
      </c>
      <c r="AI126" s="4">
        <f t="shared" si="87"/>
        <v>7.5176653938091809E-2</v>
      </c>
      <c r="AJ126" s="4">
        <f t="shared" ref="AJ126:AR133" si="88">$N126+($M126-$N126)*((1/(1+EXP(-$P126*(AJ$9-$L126)))^$O126))</f>
        <v>5.1742836177502194E-2</v>
      </c>
      <c r="AK126" s="4">
        <f t="shared" si="88"/>
        <v>3.5319190625345942E-2</v>
      </c>
      <c r="AL126" s="4">
        <f t="shared" si="88"/>
        <v>2.3969442072658165E-2</v>
      </c>
      <c r="AM126" s="4">
        <f t="shared" si="88"/>
        <v>1.6202243558389728E-2</v>
      </c>
      <c r="AN126" s="4">
        <f t="shared" si="88"/>
        <v>1.0922240564108399E-2</v>
      </c>
      <c r="AO126" s="4">
        <f t="shared" si="88"/>
        <v>7.3493212906090566E-3</v>
      </c>
      <c r="AP126" s="4">
        <f t="shared" si="88"/>
        <v>4.9390262185057265E-3</v>
      </c>
      <c r="AQ126" s="4">
        <f t="shared" si="88"/>
        <v>3.3164275492956197E-3</v>
      </c>
      <c r="AR126" s="4">
        <f t="shared" si="88"/>
        <v>2.2256362146679809E-3</v>
      </c>
    </row>
    <row r="127" spans="1:44" x14ac:dyDescent="0.3">
      <c r="A127" s="24" t="s">
        <v>206</v>
      </c>
      <c r="B127" s="115">
        <f>'Parameter Input'!$L$109</f>
        <v>6.2900084210526327E-2</v>
      </c>
      <c r="C127" s="116">
        <f>'Parameter Input'!$M$109</f>
        <v>0</v>
      </c>
      <c r="D127" s="1" t="s">
        <v>76</v>
      </c>
      <c r="L127" s="54">
        <f>'Parameter Input'!$O$109</f>
        <v>17</v>
      </c>
      <c r="M127" s="37">
        <v>0</v>
      </c>
      <c r="N127" s="37">
        <v>1</v>
      </c>
      <c r="O127" s="37">
        <f>'Parameter Input'!$P$109</f>
        <v>0.9</v>
      </c>
      <c r="P127" s="55">
        <f>'Parameter Input'!$Q$109</f>
        <v>0.4</v>
      </c>
      <c r="Q127" s="4">
        <f t="shared" ref="Q127:AR127" si="89">$N127+($M127-$N127)*((1/(1+EXP(-$P127*(Q$9-$L127)))^$O127))</f>
        <v>0.99780374543478534</v>
      </c>
      <c r="R127" s="4">
        <f t="shared" si="89"/>
        <v>0.99685359315256394</v>
      </c>
      <c r="S127" s="4">
        <f t="shared" si="89"/>
        <v>0.99549347132349975</v>
      </c>
      <c r="T127" s="4">
        <f t="shared" si="89"/>
        <v>0.99354772139898062</v>
      </c>
      <c r="U127" s="4">
        <f t="shared" si="89"/>
        <v>0.99076681540580536</v>
      </c>
      <c r="V127" s="4">
        <f t="shared" si="89"/>
        <v>0.9867978615748374</v>
      </c>
      <c r="W127" s="4">
        <f t="shared" si="89"/>
        <v>0.98114509762858249</v>
      </c>
      <c r="X127" s="4">
        <f t="shared" si="89"/>
        <v>0.97311898315872036</v>
      </c>
      <c r="Y127" s="4">
        <f t="shared" si="89"/>
        <v>0.96177484161592774</v>
      </c>
      <c r="Z127" s="4">
        <f t="shared" si="89"/>
        <v>0.94584787155511363</v>
      </c>
      <c r="AA127" s="4">
        <f t="shared" si="89"/>
        <v>0.92370360150141495</v>
      </c>
      <c r="AB127" s="4">
        <f t="shared" si="89"/>
        <v>0.89334463567658451</v>
      </c>
      <c r="AC127" s="4">
        <f t="shared" si="89"/>
        <v>0.85254543874327005</v>
      </c>
      <c r="AD127" s="4">
        <f t="shared" si="89"/>
        <v>0.79921300652623883</v>
      </c>
      <c r="AE127" s="4">
        <f t="shared" si="89"/>
        <v>0.73204982249993378</v>
      </c>
      <c r="AF127" s="4">
        <f t="shared" si="89"/>
        <v>0.65145592958786691</v>
      </c>
      <c r="AG127" s="4">
        <f t="shared" si="89"/>
        <v>0.56032247880849573</v>
      </c>
      <c r="AH127" s="4">
        <f t="shared" si="89"/>
        <v>0.46411326873185343</v>
      </c>
      <c r="AI127" s="4">
        <f t="shared" si="89"/>
        <v>0.36979727595523937</v>
      </c>
      <c r="AJ127" s="4">
        <f t="shared" si="89"/>
        <v>0.28393948637231203</v>
      </c>
      <c r="AK127" s="4">
        <f t="shared" si="89"/>
        <v>0.21097259161117732</v>
      </c>
      <c r="AL127" s="4">
        <f t="shared" si="89"/>
        <v>0.15253917653798199</v>
      </c>
      <c r="AM127" s="4">
        <f t="shared" si="89"/>
        <v>0.10795188737709993</v>
      </c>
      <c r="AN127" s="4">
        <f t="shared" si="89"/>
        <v>7.5176653938091809E-2</v>
      </c>
      <c r="AO127" s="4">
        <f t="shared" si="89"/>
        <v>5.1742836177502194E-2</v>
      </c>
      <c r="AP127" s="4">
        <f t="shared" si="89"/>
        <v>3.5319190625345942E-2</v>
      </c>
      <c r="AQ127" s="4">
        <f t="shared" si="89"/>
        <v>2.3969442072658165E-2</v>
      </c>
      <c r="AR127" s="4">
        <f t="shared" si="89"/>
        <v>1.6202243558389728E-2</v>
      </c>
    </row>
    <row r="128" spans="1:44" x14ac:dyDescent="0.3">
      <c r="A128" s="24" t="s">
        <v>41</v>
      </c>
      <c r="B128" s="43">
        <f>'Parameter Input'!$L$103</f>
        <v>20</v>
      </c>
      <c r="C128" s="44">
        <f>'Parameter Input'!$M$103</f>
        <v>20</v>
      </c>
      <c r="D128" s="1" t="s">
        <v>42</v>
      </c>
      <c r="L128" s="54">
        <f>'Parameter Input'!$O$103</f>
        <v>12</v>
      </c>
      <c r="M128" s="37">
        <v>0</v>
      </c>
      <c r="N128" s="37">
        <v>1</v>
      </c>
      <c r="O128" s="37">
        <f>'Parameter Input'!$P$103</f>
        <v>0.9</v>
      </c>
      <c r="P128" s="55">
        <f>'Parameter Input'!$Q$103</f>
        <v>0.4</v>
      </c>
      <c r="Q128" s="4">
        <f t="shared" ref="Q128:AF133" si="90">$N128+($M128-$N128)*((1/(1+EXP(-$P128*(Q$9-$L128)))^$O128))</f>
        <v>0.9867978615748374</v>
      </c>
      <c r="R128" s="4">
        <f t="shared" si="90"/>
        <v>0.98114509762858249</v>
      </c>
      <c r="S128" s="4">
        <f t="shared" si="90"/>
        <v>0.97311898315872036</v>
      </c>
      <c r="T128" s="4">
        <f t="shared" si="90"/>
        <v>0.96177484161592774</v>
      </c>
      <c r="U128" s="4">
        <f t="shared" si="90"/>
        <v>0.94584787155511363</v>
      </c>
      <c r="V128" s="4">
        <f t="shared" si="90"/>
        <v>0.92370360150141495</v>
      </c>
      <c r="W128" s="4">
        <f t="shared" si="90"/>
        <v>0.89334463567658451</v>
      </c>
      <c r="X128" s="4">
        <f t="shared" si="90"/>
        <v>0.85254543874327005</v>
      </c>
      <c r="Y128" s="4">
        <f t="shared" si="90"/>
        <v>0.79921300652623883</v>
      </c>
      <c r="Z128" s="4">
        <f t="shared" si="90"/>
        <v>0.73204982249993378</v>
      </c>
      <c r="AA128" s="4">
        <f t="shared" si="90"/>
        <v>0.65145592958786691</v>
      </c>
      <c r="AB128" s="4">
        <f t="shared" si="90"/>
        <v>0.56032247880849573</v>
      </c>
      <c r="AC128" s="4">
        <f t="shared" si="90"/>
        <v>0.46411326873185343</v>
      </c>
      <c r="AD128" s="4">
        <f t="shared" si="90"/>
        <v>0.36979727595523937</v>
      </c>
      <c r="AE128" s="4">
        <f t="shared" si="90"/>
        <v>0.28393948637231203</v>
      </c>
      <c r="AF128" s="4">
        <f t="shared" si="90"/>
        <v>0.21097259161117732</v>
      </c>
      <c r="AG128" s="4">
        <f t="shared" si="87"/>
        <v>0.15253917653798199</v>
      </c>
      <c r="AH128" s="4">
        <f t="shared" si="87"/>
        <v>0.10795188737709993</v>
      </c>
      <c r="AI128" s="4">
        <f t="shared" si="87"/>
        <v>7.5176653938091809E-2</v>
      </c>
      <c r="AJ128" s="4">
        <f t="shared" si="88"/>
        <v>5.1742836177502194E-2</v>
      </c>
      <c r="AK128" s="4">
        <f t="shared" si="88"/>
        <v>3.5319190625345942E-2</v>
      </c>
      <c r="AL128" s="4">
        <f t="shared" si="88"/>
        <v>2.3969442072658165E-2</v>
      </c>
      <c r="AM128" s="4">
        <f t="shared" si="88"/>
        <v>1.6202243558389728E-2</v>
      </c>
      <c r="AN128" s="4">
        <f t="shared" si="88"/>
        <v>1.0922240564108399E-2</v>
      </c>
      <c r="AO128" s="4">
        <f t="shared" si="88"/>
        <v>7.3493212906090566E-3</v>
      </c>
      <c r="AP128" s="4">
        <f t="shared" si="88"/>
        <v>4.9390262185057265E-3</v>
      </c>
      <c r="AQ128" s="4">
        <f t="shared" si="88"/>
        <v>3.3164275492956197E-3</v>
      </c>
      <c r="AR128" s="4">
        <f t="shared" si="88"/>
        <v>2.2256362146679809E-3</v>
      </c>
    </row>
    <row r="129" spans="1:44" x14ac:dyDescent="0.3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90"/>
        <v>0.9867978615748374</v>
      </c>
      <c r="R129" s="4">
        <f t="shared" si="90"/>
        <v>0.98114509762858249</v>
      </c>
      <c r="S129" s="4">
        <f t="shared" si="90"/>
        <v>0.97311898315872036</v>
      </c>
      <c r="T129" s="4">
        <f t="shared" si="90"/>
        <v>0.96177484161592774</v>
      </c>
      <c r="U129" s="4">
        <f t="shared" si="90"/>
        <v>0.94584787155511363</v>
      </c>
      <c r="V129" s="4">
        <f t="shared" si="90"/>
        <v>0.92370360150141495</v>
      </c>
      <c r="W129" s="4">
        <f t="shared" si="90"/>
        <v>0.89334463567658451</v>
      </c>
      <c r="X129" s="4">
        <f t="shared" si="90"/>
        <v>0.85254543874327005</v>
      </c>
      <c r="Y129" s="4">
        <f t="shared" si="90"/>
        <v>0.79921300652623883</v>
      </c>
      <c r="Z129" s="4">
        <f t="shared" si="90"/>
        <v>0.73204982249993378</v>
      </c>
      <c r="AA129" s="4">
        <f t="shared" si="90"/>
        <v>0.65145592958786691</v>
      </c>
      <c r="AB129" s="4">
        <f t="shared" si="90"/>
        <v>0.56032247880849573</v>
      </c>
      <c r="AC129" s="4">
        <f t="shared" si="90"/>
        <v>0.46411326873185343</v>
      </c>
      <c r="AD129" s="4">
        <f t="shared" si="90"/>
        <v>0.36979727595523937</v>
      </c>
      <c r="AE129" s="4">
        <f t="shared" si="90"/>
        <v>0.28393948637231203</v>
      </c>
      <c r="AF129" s="4">
        <f t="shared" si="90"/>
        <v>0.21097259161117732</v>
      </c>
      <c r="AG129" s="4">
        <f t="shared" si="87"/>
        <v>0.15253917653798199</v>
      </c>
      <c r="AH129" s="4">
        <f t="shared" si="87"/>
        <v>0.10795188737709993</v>
      </c>
      <c r="AI129" s="4">
        <f t="shared" si="87"/>
        <v>7.5176653938091809E-2</v>
      </c>
      <c r="AJ129" s="4">
        <f t="shared" si="88"/>
        <v>5.1742836177502194E-2</v>
      </c>
      <c r="AK129" s="4">
        <f t="shared" si="88"/>
        <v>3.5319190625345942E-2</v>
      </c>
      <c r="AL129" s="4">
        <f t="shared" si="88"/>
        <v>2.3969442072658165E-2</v>
      </c>
      <c r="AM129" s="4">
        <f t="shared" si="88"/>
        <v>1.6202243558389728E-2</v>
      </c>
      <c r="AN129" s="4">
        <f t="shared" si="88"/>
        <v>1.0922240564108399E-2</v>
      </c>
      <c r="AO129" s="4">
        <f t="shared" si="88"/>
        <v>7.3493212906090566E-3</v>
      </c>
      <c r="AP129" s="4">
        <f t="shared" si="88"/>
        <v>4.9390262185057265E-3</v>
      </c>
      <c r="AQ129" s="4">
        <f t="shared" si="88"/>
        <v>3.3164275492956197E-3</v>
      </c>
      <c r="AR129" s="4">
        <f t="shared" si="88"/>
        <v>2.2256362146679809E-3</v>
      </c>
    </row>
    <row r="130" spans="1:44" x14ac:dyDescent="0.3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90"/>
        <v>0.9867978615748374</v>
      </c>
      <c r="R130" s="4">
        <f t="shared" si="90"/>
        <v>0.98114509762858249</v>
      </c>
      <c r="S130" s="4">
        <f t="shared" si="90"/>
        <v>0.97311898315872036</v>
      </c>
      <c r="T130" s="4">
        <f t="shared" si="90"/>
        <v>0.96177484161592774</v>
      </c>
      <c r="U130" s="4">
        <f t="shared" si="90"/>
        <v>0.94584787155511363</v>
      </c>
      <c r="V130" s="4">
        <f t="shared" si="90"/>
        <v>0.92370360150141495</v>
      </c>
      <c r="W130" s="4">
        <f t="shared" si="90"/>
        <v>0.89334463567658451</v>
      </c>
      <c r="X130" s="4">
        <f t="shared" si="90"/>
        <v>0.85254543874327005</v>
      </c>
      <c r="Y130" s="4">
        <f t="shared" si="90"/>
        <v>0.79921300652623883</v>
      </c>
      <c r="Z130" s="4">
        <f t="shared" si="90"/>
        <v>0.73204982249993378</v>
      </c>
      <c r="AA130" s="4">
        <f t="shared" si="90"/>
        <v>0.65145592958786691</v>
      </c>
      <c r="AB130" s="4">
        <f t="shared" si="90"/>
        <v>0.56032247880849573</v>
      </c>
      <c r="AC130" s="4">
        <f t="shared" si="90"/>
        <v>0.46411326873185343</v>
      </c>
      <c r="AD130" s="4">
        <f t="shared" si="90"/>
        <v>0.36979727595523937</v>
      </c>
      <c r="AE130" s="4">
        <f t="shared" si="90"/>
        <v>0.28393948637231203</v>
      </c>
      <c r="AF130" s="4">
        <f t="shared" si="90"/>
        <v>0.21097259161117732</v>
      </c>
      <c r="AG130" s="4">
        <f t="shared" si="87"/>
        <v>0.15253917653798199</v>
      </c>
      <c r="AH130" s="4">
        <f t="shared" si="87"/>
        <v>0.10795188737709993</v>
      </c>
      <c r="AI130" s="4">
        <f t="shared" si="87"/>
        <v>7.5176653938091809E-2</v>
      </c>
      <c r="AJ130" s="4">
        <f t="shared" si="88"/>
        <v>5.1742836177502194E-2</v>
      </c>
      <c r="AK130" s="4">
        <f t="shared" si="88"/>
        <v>3.5319190625345942E-2</v>
      </c>
      <c r="AL130" s="4">
        <f t="shared" si="88"/>
        <v>2.3969442072658165E-2</v>
      </c>
      <c r="AM130" s="4">
        <f t="shared" si="88"/>
        <v>1.6202243558389728E-2</v>
      </c>
      <c r="AN130" s="4">
        <f t="shared" si="88"/>
        <v>1.0922240564108399E-2</v>
      </c>
      <c r="AO130" s="4">
        <f t="shared" si="88"/>
        <v>7.3493212906090566E-3</v>
      </c>
      <c r="AP130" s="4">
        <f t="shared" si="88"/>
        <v>4.9390262185057265E-3</v>
      </c>
      <c r="AQ130" s="4">
        <f t="shared" si="88"/>
        <v>3.3164275492956197E-3</v>
      </c>
      <c r="AR130" s="4">
        <f t="shared" si="88"/>
        <v>2.2256362146679809E-3</v>
      </c>
    </row>
    <row r="131" spans="1:44" x14ac:dyDescent="0.3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90"/>
        <v>0.9867978615748374</v>
      </c>
      <c r="R131" s="4">
        <f t="shared" si="90"/>
        <v>0.98114509762858249</v>
      </c>
      <c r="S131" s="4">
        <f t="shared" si="90"/>
        <v>0.97311898315872036</v>
      </c>
      <c r="T131" s="4">
        <f t="shared" si="90"/>
        <v>0.96177484161592774</v>
      </c>
      <c r="U131" s="4">
        <f t="shared" si="90"/>
        <v>0.94584787155511363</v>
      </c>
      <c r="V131" s="4">
        <f t="shared" si="90"/>
        <v>0.92370360150141495</v>
      </c>
      <c r="W131" s="4">
        <f t="shared" si="90"/>
        <v>0.89334463567658451</v>
      </c>
      <c r="X131" s="4">
        <f t="shared" si="90"/>
        <v>0.85254543874327005</v>
      </c>
      <c r="Y131" s="4">
        <f t="shared" si="90"/>
        <v>0.79921300652623883</v>
      </c>
      <c r="Z131" s="4">
        <f t="shared" si="90"/>
        <v>0.73204982249993378</v>
      </c>
      <c r="AA131" s="4">
        <f t="shared" si="90"/>
        <v>0.65145592958786691</v>
      </c>
      <c r="AB131" s="4">
        <f t="shared" si="90"/>
        <v>0.56032247880849573</v>
      </c>
      <c r="AC131" s="4">
        <f t="shared" si="90"/>
        <v>0.46411326873185343</v>
      </c>
      <c r="AD131" s="4">
        <f t="shared" si="90"/>
        <v>0.36979727595523937</v>
      </c>
      <c r="AE131" s="4">
        <f t="shared" si="90"/>
        <v>0.28393948637231203</v>
      </c>
      <c r="AF131" s="4">
        <f t="shared" si="90"/>
        <v>0.21097259161117732</v>
      </c>
      <c r="AG131" s="4">
        <f t="shared" si="87"/>
        <v>0.15253917653798199</v>
      </c>
      <c r="AH131" s="4">
        <f t="shared" si="87"/>
        <v>0.10795188737709993</v>
      </c>
      <c r="AI131" s="4">
        <f t="shared" si="87"/>
        <v>7.5176653938091809E-2</v>
      </c>
      <c r="AJ131" s="4">
        <f t="shared" si="88"/>
        <v>5.1742836177502194E-2</v>
      </c>
      <c r="AK131" s="4">
        <f t="shared" si="88"/>
        <v>3.5319190625345942E-2</v>
      </c>
      <c r="AL131" s="4">
        <f t="shared" si="88"/>
        <v>2.3969442072658165E-2</v>
      </c>
      <c r="AM131" s="4">
        <f t="shared" si="88"/>
        <v>1.6202243558389728E-2</v>
      </c>
      <c r="AN131" s="4">
        <f t="shared" si="88"/>
        <v>1.0922240564108399E-2</v>
      </c>
      <c r="AO131" s="4">
        <f t="shared" si="88"/>
        <v>7.3493212906090566E-3</v>
      </c>
      <c r="AP131" s="4">
        <f t="shared" si="88"/>
        <v>4.9390262185057265E-3</v>
      </c>
      <c r="AQ131" s="4">
        <f t="shared" si="88"/>
        <v>3.3164275492956197E-3</v>
      </c>
      <c r="AR131" s="4">
        <f t="shared" si="88"/>
        <v>2.2256362146679809E-3</v>
      </c>
    </row>
    <row r="132" spans="1:44" x14ac:dyDescent="0.3">
      <c r="A132" s="24" t="s">
        <v>73</v>
      </c>
      <c r="B132" s="72">
        <f>'Parameter Input'!$L$107</f>
        <v>3.5714285714285712E-2</v>
      </c>
      <c r="C132" s="73">
        <f>'Parameter Input'!$M$107</f>
        <v>1.7857142857142856E-2</v>
      </c>
      <c r="D132" s="1" t="s">
        <v>57</v>
      </c>
      <c r="L132" s="54">
        <f>'Parameter Input'!$O$107</f>
        <v>12</v>
      </c>
      <c r="M132" s="37">
        <v>0</v>
      </c>
      <c r="N132" s="37">
        <v>1</v>
      </c>
      <c r="O132" s="37">
        <f>'Parameter Input'!$P$107</f>
        <v>0.9</v>
      </c>
      <c r="P132" s="55">
        <f>'Parameter Input'!$Q$107</f>
        <v>0.4</v>
      </c>
      <c r="Q132" s="4">
        <f t="shared" si="90"/>
        <v>0.9867978615748374</v>
      </c>
      <c r="R132" s="4">
        <f t="shared" si="90"/>
        <v>0.98114509762858249</v>
      </c>
      <c r="S132" s="4">
        <f t="shared" si="90"/>
        <v>0.97311898315872036</v>
      </c>
      <c r="T132" s="4">
        <f t="shared" si="90"/>
        <v>0.96177484161592774</v>
      </c>
      <c r="U132" s="4">
        <f t="shared" si="90"/>
        <v>0.94584787155511363</v>
      </c>
      <c r="V132" s="4">
        <f t="shared" si="90"/>
        <v>0.92370360150141495</v>
      </c>
      <c r="W132" s="4">
        <f t="shared" si="90"/>
        <v>0.89334463567658451</v>
      </c>
      <c r="X132" s="4">
        <f t="shared" si="90"/>
        <v>0.85254543874327005</v>
      </c>
      <c r="Y132" s="4">
        <f t="shared" si="90"/>
        <v>0.79921300652623883</v>
      </c>
      <c r="Z132" s="4">
        <f t="shared" si="90"/>
        <v>0.73204982249993378</v>
      </c>
      <c r="AA132" s="4">
        <f t="shared" si="90"/>
        <v>0.65145592958786691</v>
      </c>
      <c r="AB132" s="4">
        <f t="shared" si="90"/>
        <v>0.56032247880849573</v>
      </c>
      <c r="AC132" s="4">
        <f t="shared" si="90"/>
        <v>0.46411326873185343</v>
      </c>
      <c r="AD132" s="4">
        <f t="shared" si="90"/>
        <v>0.36979727595523937</v>
      </c>
      <c r="AE132" s="4">
        <f t="shared" si="90"/>
        <v>0.28393948637231203</v>
      </c>
      <c r="AF132" s="4">
        <f t="shared" si="90"/>
        <v>0.21097259161117732</v>
      </c>
      <c r="AG132" s="4">
        <f t="shared" si="87"/>
        <v>0.15253917653798199</v>
      </c>
      <c r="AH132" s="4">
        <f t="shared" si="87"/>
        <v>0.10795188737709993</v>
      </c>
      <c r="AI132" s="4">
        <f t="shared" si="87"/>
        <v>7.5176653938091809E-2</v>
      </c>
      <c r="AJ132" s="4">
        <f t="shared" si="88"/>
        <v>5.1742836177502194E-2</v>
      </c>
      <c r="AK132" s="4">
        <f t="shared" si="88"/>
        <v>3.5319190625345942E-2</v>
      </c>
      <c r="AL132" s="4">
        <f t="shared" si="88"/>
        <v>2.3969442072658165E-2</v>
      </c>
      <c r="AM132" s="4">
        <f t="shared" si="88"/>
        <v>1.6202243558389728E-2</v>
      </c>
      <c r="AN132" s="4">
        <f t="shared" si="88"/>
        <v>1.0922240564108399E-2</v>
      </c>
      <c r="AO132" s="4">
        <f t="shared" si="88"/>
        <v>7.3493212906090566E-3</v>
      </c>
      <c r="AP132" s="4">
        <f t="shared" si="88"/>
        <v>4.9390262185057265E-3</v>
      </c>
      <c r="AQ132" s="4">
        <f t="shared" si="88"/>
        <v>3.3164275492956197E-3</v>
      </c>
      <c r="AR132" s="4">
        <f t="shared" si="88"/>
        <v>2.2256362146679809E-3</v>
      </c>
    </row>
    <row r="133" spans="1:44" ht="15" thickBot="1" x14ac:dyDescent="0.35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90"/>
        <v>0.9867978615748374</v>
      </c>
      <c r="R133" s="4">
        <f t="shared" si="90"/>
        <v>0.98114509762858249</v>
      </c>
      <c r="S133" s="4">
        <f t="shared" si="90"/>
        <v>0.97311898315872036</v>
      </c>
      <c r="T133" s="4">
        <f t="shared" si="90"/>
        <v>0.96177484161592774</v>
      </c>
      <c r="U133" s="4">
        <f t="shared" si="90"/>
        <v>0.94584787155511363</v>
      </c>
      <c r="V133" s="4">
        <f t="shared" si="90"/>
        <v>0.92370360150141495</v>
      </c>
      <c r="W133" s="4">
        <f t="shared" si="90"/>
        <v>0.89334463567658451</v>
      </c>
      <c r="X133" s="4">
        <f t="shared" si="90"/>
        <v>0.85254543874327005</v>
      </c>
      <c r="Y133" s="4">
        <f t="shared" si="90"/>
        <v>0.79921300652623883</v>
      </c>
      <c r="Z133" s="4">
        <f t="shared" si="90"/>
        <v>0.73204982249993378</v>
      </c>
      <c r="AA133" s="4">
        <f t="shared" si="90"/>
        <v>0.65145592958786691</v>
      </c>
      <c r="AB133" s="4">
        <f t="shared" si="90"/>
        <v>0.56032247880849573</v>
      </c>
      <c r="AC133" s="4">
        <f t="shared" si="90"/>
        <v>0.46411326873185343</v>
      </c>
      <c r="AD133" s="4">
        <f t="shared" si="90"/>
        <v>0.36979727595523937</v>
      </c>
      <c r="AE133" s="4">
        <f t="shared" si="90"/>
        <v>0.28393948637231203</v>
      </c>
      <c r="AF133" s="4">
        <f t="shared" si="90"/>
        <v>0.21097259161117732</v>
      </c>
      <c r="AG133" s="4">
        <f t="shared" si="87"/>
        <v>0.15253917653798199</v>
      </c>
      <c r="AH133" s="4">
        <f t="shared" si="87"/>
        <v>0.10795188737709993</v>
      </c>
      <c r="AI133" s="4">
        <f t="shared" si="87"/>
        <v>7.5176653938091809E-2</v>
      </c>
      <c r="AJ133" s="4">
        <f t="shared" si="88"/>
        <v>5.1742836177502194E-2</v>
      </c>
      <c r="AK133" s="4">
        <f t="shared" si="88"/>
        <v>3.5319190625345942E-2</v>
      </c>
      <c r="AL133" s="4">
        <f t="shared" si="88"/>
        <v>2.3969442072658165E-2</v>
      </c>
      <c r="AM133" s="4">
        <f t="shared" si="88"/>
        <v>1.6202243558389728E-2</v>
      </c>
      <c r="AN133" s="4">
        <f t="shared" si="88"/>
        <v>1.0922240564108399E-2</v>
      </c>
      <c r="AO133" s="4">
        <f t="shared" si="88"/>
        <v>7.3493212906090566E-3</v>
      </c>
      <c r="AP133" s="4">
        <f t="shared" si="88"/>
        <v>4.9390262185057265E-3</v>
      </c>
      <c r="AQ133" s="4">
        <f t="shared" si="88"/>
        <v>3.3164275492956197E-3</v>
      </c>
      <c r="AR133" s="4">
        <f t="shared" si="88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91">A117</f>
        <v>Capex vehicle</v>
      </c>
      <c r="B137" s="62">
        <f t="shared" ref="B137:B146" si="92">$B117+($C117-$B117)*(1-Q117)</f>
        <v>9950491.9809056409</v>
      </c>
      <c r="C137" s="62">
        <f t="shared" ref="C137:C146" si="93">$B117+($C117-$B117)*(1-R117)</f>
        <v>9929294.1161071844</v>
      </c>
      <c r="D137" s="62">
        <f t="shared" ref="D137:D146" si="94">$B117+($C117-$B117)*(1-S117)</f>
        <v>9899196.186845202</v>
      </c>
      <c r="E137" s="62">
        <f t="shared" ref="E137:E146" si="95">$B117+($C117-$B117)*(1-T117)</f>
        <v>9856655.6560597289</v>
      </c>
      <c r="F137" s="62">
        <f t="shared" ref="F137:F146" si="96">$B117+($C117-$B117)*(1-U117)</f>
        <v>9796929.5183316767</v>
      </c>
      <c r="G137" s="62">
        <f t="shared" ref="G137:G146" si="97">$B117+($C117-$B117)*(1-V117)</f>
        <v>9713888.5056303069</v>
      </c>
      <c r="H137" s="62">
        <f t="shared" ref="H137:H146" si="98">$B117+($C117-$B117)*(1-W117)</f>
        <v>9600042.3837871924</v>
      </c>
      <c r="I137" s="62">
        <f t="shared" ref="I137:I146" si="99">$B117+($C117-$B117)*(1-X117)</f>
        <v>9447045.3952872623</v>
      </c>
      <c r="J137" s="62">
        <f t="shared" ref="J137:J146" si="100">$B117+($C117-$B117)*(1-Y117)</f>
        <v>9247048.7744733952</v>
      </c>
      <c r="K137" s="62">
        <f t="shared" ref="K137:K146" si="101">$B117+($C117-$B117)*(1-Z117)</f>
        <v>8995186.8343747519</v>
      </c>
      <c r="L137" s="62">
        <f t="shared" ref="L137:L146" si="102">$B117+($C117-$B117)*(1-AA117)</f>
        <v>8692959.7359545007</v>
      </c>
      <c r="M137" s="62">
        <f t="shared" ref="M137:M146" si="103">$B117+($C117-$B117)*(1-AB117)</f>
        <v>8351209.2955318587</v>
      </c>
      <c r="N137" s="62">
        <f t="shared" ref="N137:N146" si="104">$B117+($C117-$B117)*(1-AC117)</f>
        <v>7990424.7577444501</v>
      </c>
      <c r="O137" s="62">
        <f t="shared" ref="O137:O146" si="105">$B117+($C117-$B117)*(1-AD117)</f>
        <v>7636739.7848321479</v>
      </c>
      <c r="P137" s="62">
        <f t="shared" ref="P137:P146" si="106">$B117+($C117-$B117)*(1-AE117)</f>
        <v>7314773.0738961697</v>
      </c>
      <c r="Q137" s="62">
        <f t="shared" ref="Q137:Q146" si="107">$B117+($C117-$B117)*(1-AF117)</f>
        <v>7041147.2185419146</v>
      </c>
      <c r="R137" s="62">
        <f t="shared" ref="R137:R146" si="108">$B117+($C117-$B117)*(1-AG117)</f>
        <v>6822021.912017433</v>
      </c>
      <c r="S137" s="62">
        <f t="shared" ref="S137:S146" si="109">$B117+($C117-$B117)*(1-AH117)</f>
        <v>6654819.5776641248</v>
      </c>
      <c r="T137" s="62">
        <f t="shared" ref="T137:T146" si="110">$B117+($C117-$B117)*(1-AI117)</f>
        <v>6531912.4522678442</v>
      </c>
      <c r="U137" s="62">
        <f t="shared" ref="U137:U146" si="111">$B117+($C117-$B117)*(1-AJ117)</f>
        <v>6444035.6356656328</v>
      </c>
      <c r="V137" s="62">
        <f t="shared" ref="V137:V146" si="112">$B117+($C117-$B117)*(1-AK117)</f>
        <v>6382446.9648450473</v>
      </c>
      <c r="W137" s="62">
        <f t="shared" ref="W137:W146" si="113">$B117+($C117-$B117)*(1-AL117)</f>
        <v>6339885.4077724684</v>
      </c>
      <c r="X137" s="62">
        <f t="shared" ref="X137:X146" si="114">$B117+($C117-$B117)*(1-AM117)</f>
        <v>6310758.4133439614</v>
      </c>
      <c r="Y137" s="62">
        <f t="shared" ref="Y137:Y146" si="115">$B117+($C117-$B117)*(1-AN117)</f>
        <v>6290958.4021154065</v>
      </c>
      <c r="Z137" s="62">
        <f t="shared" ref="Z137:Z146" si="116">$B117+($C117-$B117)*(1-AO117)</f>
        <v>6277559.9548397847</v>
      </c>
      <c r="AA137" s="62">
        <f t="shared" ref="AA137:AA146" si="117">$B117+($C117-$B117)*(1-AP117)</f>
        <v>6268521.3483193964</v>
      </c>
      <c r="AB137" s="62">
        <f t="shared" ref="AB137:AB146" si="118">$B117+($C117-$B117)*(1-AQ117)</f>
        <v>6262436.6033098586</v>
      </c>
      <c r="AC137" s="62">
        <f t="shared" ref="AC137:AC146" si="119">$B117+($C117-$B117)*(1-AR117)</f>
        <v>6258346.1358050052</v>
      </c>
    </row>
    <row r="138" spans="1:44" x14ac:dyDescent="0.3">
      <c r="A138" s="30" t="str">
        <f t="shared" si="91"/>
        <v>Residual value (vehicle)</v>
      </c>
      <c r="B138" s="62">
        <f t="shared" si="92"/>
        <v>-505775.93556100863</v>
      </c>
      <c r="C138" s="62">
        <f t="shared" si="93"/>
        <v>-508249.01978749514</v>
      </c>
      <c r="D138" s="62">
        <f t="shared" si="94"/>
        <v>-511760.44486805983</v>
      </c>
      <c r="E138" s="62">
        <f t="shared" si="95"/>
        <v>-516723.50679303159</v>
      </c>
      <c r="F138" s="62">
        <f t="shared" si="96"/>
        <v>-523691.55619463779</v>
      </c>
      <c r="G138" s="62">
        <f t="shared" si="97"/>
        <v>-533379.67434313102</v>
      </c>
      <c r="H138" s="62">
        <f t="shared" si="98"/>
        <v>-546661.72189149424</v>
      </c>
      <c r="I138" s="62">
        <f t="shared" si="99"/>
        <v>-564511.37054981932</v>
      </c>
      <c r="J138" s="62">
        <f t="shared" si="100"/>
        <v>-587844.30964477046</v>
      </c>
      <c r="K138" s="62">
        <f t="shared" si="101"/>
        <v>-617228.20265627897</v>
      </c>
      <c r="L138" s="62">
        <f t="shared" si="102"/>
        <v>-652488.03080530826</v>
      </c>
      <c r="M138" s="62">
        <f t="shared" si="103"/>
        <v>-692358.91552128317</v>
      </c>
      <c r="N138" s="62">
        <f t="shared" si="104"/>
        <v>-734450.44492981408</v>
      </c>
      <c r="O138" s="62">
        <f t="shared" si="105"/>
        <v>-775713.6917695828</v>
      </c>
      <c r="P138" s="62">
        <f t="shared" si="106"/>
        <v>-813276.4747121135</v>
      </c>
      <c r="Q138" s="62">
        <f t="shared" si="107"/>
        <v>-845199.49117010995</v>
      </c>
      <c r="R138" s="62">
        <f t="shared" si="108"/>
        <v>-870764.11026463285</v>
      </c>
      <c r="S138" s="62">
        <f t="shared" si="109"/>
        <v>-890271.04927251884</v>
      </c>
      <c r="T138" s="62">
        <f t="shared" si="110"/>
        <v>-904610.21390208486</v>
      </c>
      <c r="U138" s="62">
        <f t="shared" si="111"/>
        <v>-914862.50917234272</v>
      </c>
      <c r="V138" s="62">
        <f t="shared" si="112"/>
        <v>-922047.85410141107</v>
      </c>
      <c r="W138" s="62">
        <f t="shared" si="113"/>
        <v>-927013.36909321207</v>
      </c>
      <c r="X138" s="62">
        <f t="shared" si="114"/>
        <v>-930411.51844320446</v>
      </c>
      <c r="Y138" s="62">
        <f t="shared" si="115"/>
        <v>-932721.51975320256</v>
      </c>
      <c r="Z138" s="62">
        <f t="shared" si="116"/>
        <v>-934284.67193535855</v>
      </c>
      <c r="AA138" s="62">
        <f t="shared" si="117"/>
        <v>-935339.17602940369</v>
      </c>
      <c r="AB138" s="62">
        <f t="shared" si="118"/>
        <v>-936049.06294718315</v>
      </c>
      <c r="AC138" s="62">
        <f t="shared" si="119"/>
        <v>-936526.28415608278</v>
      </c>
    </row>
    <row r="139" spans="1:44" x14ac:dyDescent="0.3">
      <c r="A139" s="30" t="str">
        <f t="shared" si="91"/>
        <v>Capex costumization</v>
      </c>
      <c r="B139" s="62">
        <f t="shared" si="92"/>
        <v>5600000</v>
      </c>
      <c r="C139" s="62">
        <f t="shared" si="93"/>
        <v>5600000</v>
      </c>
      <c r="D139" s="62">
        <f t="shared" si="94"/>
        <v>5600000</v>
      </c>
      <c r="E139" s="62">
        <f t="shared" si="95"/>
        <v>5600000</v>
      </c>
      <c r="F139" s="62">
        <f t="shared" si="96"/>
        <v>5600000</v>
      </c>
      <c r="G139" s="62">
        <f t="shared" si="97"/>
        <v>5600000</v>
      </c>
      <c r="H139" s="62">
        <f t="shared" si="98"/>
        <v>5600000</v>
      </c>
      <c r="I139" s="62">
        <f t="shared" si="99"/>
        <v>5600000</v>
      </c>
      <c r="J139" s="62">
        <f t="shared" si="100"/>
        <v>5600000</v>
      </c>
      <c r="K139" s="62">
        <f t="shared" si="101"/>
        <v>5600000</v>
      </c>
      <c r="L139" s="62">
        <f t="shared" si="102"/>
        <v>5600000</v>
      </c>
      <c r="M139" s="62">
        <f t="shared" si="103"/>
        <v>5600000</v>
      </c>
      <c r="N139" s="62">
        <f t="shared" si="104"/>
        <v>5600000</v>
      </c>
      <c r="O139" s="62">
        <f t="shared" si="105"/>
        <v>5600000</v>
      </c>
      <c r="P139" s="62">
        <f t="shared" si="106"/>
        <v>5600000</v>
      </c>
      <c r="Q139" s="62">
        <f t="shared" si="107"/>
        <v>5600000</v>
      </c>
      <c r="R139" s="62">
        <f t="shared" si="108"/>
        <v>5600000</v>
      </c>
      <c r="S139" s="62">
        <f t="shared" si="109"/>
        <v>5600000</v>
      </c>
      <c r="T139" s="62">
        <f t="shared" si="110"/>
        <v>5600000</v>
      </c>
      <c r="U139" s="62">
        <f t="shared" si="111"/>
        <v>5600000</v>
      </c>
      <c r="V139" s="62">
        <f t="shared" si="112"/>
        <v>5600000</v>
      </c>
      <c r="W139" s="62">
        <f t="shared" si="113"/>
        <v>5600000</v>
      </c>
      <c r="X139" s="62">
        <f t="shared" si="114"/>
        <v>5600000</v>
      </c>
      <c r="Y139" s="62">
        <f t="shared" si="115"/>
        <v>5600000</v>
      </c>
      <c r="Z139" s="62">
        <f t="shared" si="116"/>
        <v>5600000</v>
      </c>
      <c r="AA139" s="62">
        <f t="shared" si="117"/>
        <v>5600000</v>
      </c>
      <c r="AB139" s="62">
        <f t="shared" si="118"/>
        <v>5600000</v>
      </c>
      <c r="AC139" s="62">
        <f t="shared" si="119"/>
        <v>5600000</v>
      </c>
    </row>
    <row r="140" spans="1:44" x14ac:dyDescent="0.3">
      <c r="A140" s="30" t="str">
        <f t="shared" si="91"/>
        <v>Residual value (costumization)</v>
      </c>
      <c r="B140" s="62">
        <f t="shared" si="92"/>
        <v>-280000</v>
      </c>
      <c r="C140" s="62">
        <f t="shared" si="93"/>
        <v>-280000</v>
      </c>
      <c r="D140" s="62">
        <f t="shared" si="94"/>
        <v>-280000</v>
      </c>
      <c r="E140" s="62">
        <f t="shared" si="95"/>
        <v>-280000</v>
      </c>
      <c r="F140" s="62">
        <f t="shared" si="96"/>
        <v>-280000</v>
      </c>
      <c r="G140" s="62">
        <f t="shared" si="97"/>
        <v>-280000</v>
      </c>
      <c r="H140" s="62">
        <f t="shared" si="98"/>
        <v>-280000</v>
      </c>
      <c r="I140" s="62">
        <f t="shared" si="99"/>
        <v>-280000</v>
      </c>
      <c r="J140" s="62">
        <f t="shared" si="100"/>
        <v>-280000</v>
      </c>
      <c r="K140" s="62">
        <f t="shared" si="101"/>
        <v>-280000</v>
      </c>
      <c r="L140" s="62">
        <f t="shared" si="102"/>
        <v>-280000</v>
      </c>
      <c r="M140" s="62">
        <f t="shared" si="103"/>
        <v>-280000</v>
      </c>
      <c r="N140" s="62">
        <f t="shared" si="104"/>
        <v>-280000</v>
      </c>
      <c r="O140" s="62">
        <f t="shared" si="105"/>
        <v>-280000</v>
      </c>
      <c r="P140" s="62">
        <f t="shared" si="106"/>
        <v>-280000</v>
      </c>
      <c r="Q140" s="62">
        <f t="shared" si="107"/>
        <v>-280000</v>
      </c>
      <c r="R140" s="62">
        <f t="shared" si="108"/>
        <v>-280000</v>
      </c>
      <c r="S140" s="62">
        <f t="shared" si="109"/>
        <v>-280000</v>
      </c>
      <c r="T140" s="62">
        <f t="shared" si="110"/>
        <v>-280000</v>
      </c>
      <c r="U140" s="62">
        <f t="shared" si="111"/>
        <v>-280000</v>
      </c>
      <c r="V140" s="62">
        <f t="shared" si="112"/>
        <v>-280000</v>
      </c>
      <c r="W140" s="62">
        <f t="shared" si="113"/>
        <v>-280000</v>
      </c>
      <c r="X140" s="62">
        <f t="shared" si="114"/>
        <v>-280000</v>
      </c>
      <c r="Y140" s="62">
        <f t="shared" si="115"/>
        <v>-280000</v>
      </c>
      <c r="Z140" s="62">
        <f t="shared" si="116"/>
        <v>-280000</v>
      </c>
      <c r="AA140" s="62">
        <f t="shared" si="117"/>
        <v>-280000</v>
      </c>
      <c r="AB140" s="62">
        <f t="shared" si="118"/>
        <v>-280000</v>
      </c>
      <c r="AC140" s="62">
        <f t="shared" si="119"/>
        <v>-280000</v>
      </c>
    </row>
    <row r="141" spans="1:44" x14ac:dyDescent="0.3">
      <c r="A141" s="30" t="str">
        <f t="shared" si="91"/>
        <v>WACC</v>
      </c>
      <c r="B141" s="62">
        <f t="shared" si="92"/>
        <v>0.06</v>
      </c>
      <c r="C141" s="62">
        <f t="shared" si="93"/>
        <v>0.06</v>
      </c>
      <c r="D141" s="62">
        <f t="shared" si="94"/>
        <v>0.06</v>
      </c>
      <c r="E141" s="62">
        <f t="shared" si="95"/>
        <v>0.06</v>
      </c>
      <c r="F141" s="62">
        <f t="shared" si="96"/>
        <v>0.06</v>
      </c>
      <c r="G141" s="62">
        <f t="shared" si="97"/>
        <v>0.06</v>
      </c>
      <c r="H141" s="62">
        <f t="shared" si="98"/>
        <v>0.06</v>
      </c>
      <c r="I141" s="62">
        <f t="shared" si="99"/>
        <v>0.06</v>
      </c>
      <c r="J141" s="62">
        <f t="shared" si="100"/>
        <v>0.06</v>
      </c>
      <c r="K141" s="62">
        <f t="shared" si="101"/>
        <v>0.06</v>
      </c>
      <c r="L141" s="62">
        <f t="shared" si="102"/>
        <v>0.06</v>
      </c>
      <c r="M141" s="62">
        <f t="shared" si="103"/>
        <v>0.06</v>
      </c>
      <c r="N141" s="62">
        <f t="shared" si="104"/>
        <v>0.06</v>
      </c>
      <c r="O141" s="62">
        <f t="shared" si="105"/>
        <v>0.06</v>
      </c>
      <c r="P141" s="62">
        <f t="shared" si="106"/>
        <v>0.06</v>
      </c>
      <c r="Q141" s="62">
        <f t="shared" si="107"/>
        <v>0.06</v>
      </c>
      <c r="R141" s="62">
        <f t="shared" si="108"/>
        <v>0.06</v>
      </c>
      <c r="S141" s="62">
        <f t="shared" si="109"/>
        <v>0.06</v>
      </c>
      <c r="T141" s="62">
        <f t="shared" si="110"/>
        <v>0.06</v>
      </c>
      <c r="U141" s="62">
        <f t="shared" si="111"/>
        <v>0.06</v>
      </c>
      <c r="V141" s="62">
        <f t="shared" si="112"/>
        <v>0.06</v>
      </c>
      <c r="W141" s="62">
        <f t="shared" si="113"/>
        <v>0.06</v>
      </c>
      <c r="X141" s="62">
        <f t="shared" si="114"/>
        <v>0.06</v>
      </c>
      <c r="Y141" s="62">
        <f t="shared" si="115"/>
        <v>0.06</v>
      </c>
      <c r="Z141" s="62">
        <f t="shared" si="116"/>
        <v>0.06</v>
      </c>
      <c r="AA141" s="62">
        <f t="shared" si="117"/>
        <v>0.06</v>
      </c>
      <c r="AB141" s="62">
        <f t="shared" si="118"/>
        <v>0.06</v>
      </c>
      <c r="AC141" s="62">
        <f t="shared" si="119"/>
        <v>0.06</v>
      </c>
    </row>
    <row r="142" spans="1:44" x14ac:dyDescent="0.3">
      <c r="A142" s="30" t="str">
        <f t="shared" si="91"/>
        <v>Opex fix (admin, crew, insurance)</v>
      </c>
      <c r="B142" s="62">
        <f t="shared" si="92"/>
        <v>620000</v>
      </c>
      <c r="C142" s="62">
        <f t="shared" si="93"/>
        <v>620000</v>
      </c>
      <c r="D142" s="62">
        <f t="shared" si="94"/>
        <v>620000</v>
      </c>
      <c r="E142" s="62">
        <f t="shared" si="95"/>
        <v>620000</v>
      </c>
      <c r="F142" s="62">
        <f t="shared" si="96"/>
        <v>620000</v>
      </c>
      <c r="G142" s="62">
        <f t="shared" si="97"/>
        <v>620000</v>
      </c>
      <c r="H142" s="62">
        <f t="shared" si="98"/>
        <v>620000</v>
      </c>
      <c r="I142" s="62">
        <f t="shared" si="99"/>
        <v>620000</v>
      </c>
      <c r="J142" s="62">
        <f t="shared" si="100"/>
        <v>620000</v>
      </c>
      <c r="K142" s="62">
        <f t="shared" si="101"/>
        <v>620000</v>
      </c>
      <c r="L142" s="62">
        <f t="shared" si="102"/>
        <v>620000</v>
      </c>
      <c r="M142" s="62">
        <f t="shared" si="103"/>
        <v>620000</v>
      </c>
      <c r="N142" s="62">
        <f t="shared" si="104"/>
        <v>620000</v>
      </c>
      <c r="O142" s="62">
        <f t="shared" si="105"/>
        <v>620000</v>
      </c>
      <c r="P142" s="62">
        <f t="shared" si="106"/>
        <v>620000</v>
      </c>
      <c r="Q142" s="62">
        <f t="shared" si="107"/>
        <v>620000</v>
      </c>
      <c r="R142" s="62">
        <f t="shared" si="108"/>
        <v>620000</v>
      </c>
      <c r="S142" s="62">
        <f t="shared" si="109"/>
        <v>620000</v>
      </c>
      <c r="T142" s="62">
        <f t="shared" si="110"/>
        <v>620000</v>
      </c>
      <c r="U142" s="62">
        <f t="shared" si="111"/>
        <v>620000</v>
      </c>
      <c r="V142" s="62">
        <f t="shared" si="112"/>
        <v>620000</v>
      </c>
      <c r="W142" s="62">
        <f t="shared" si="113"/>
        <v>620000</v>
      </c>
      <c r="X142" s="62">
        <f t="shared" si="114"/>
        <v>620000</v>
      </c>
      <c r="Y142" s="62">
        <f t="shared" si="115"/>
        <v>620000</v>
      </c>
      <c r="Z142" s="62">
        <f t="shared" si="116"/>
        <v>620000</v>
      </c>
      <c r="AA142" s="62">
        <f t="shared" si="117"/>
        <v>620000</v>
      </c>
      <c r="AB142" s="62">
        <f t="shared" si="118"/>
        <v>620000</v>
      </c>
      <c r="AC142" s="62">
        <f t="shared" si="119"/>
        <v>620000</v>
      </c>
    </row>
    <row r="143" spans="1:44" x14ac:dyDescent="0.3">
      <c r="A143" s="30" t="str">
        <f t="shared" si="91"/>
        <v>Opex maintenance &amp; repair</v>
      </c>
      <c r="B143" s="62">
        <f t="shared" si="92"/>
        <v>1293563.9575177333</v>
      </c>
      <c r="C143" s="62">
        <f t="shared" si="93"/>
        <v>1290808.235093934</v>
      </c>
      <c r="D143" s="62">
        <f t="shared" si="94"/>
        <v>1286895.5042898762</v>
      </c>
      <c r="E143" s="62">
        <f t="shared" si="95"/>
        <v>1281365.2352877648</v>
      </c>
      <c r="F143" s="62">
        <f t="shared" si="96"/>
        <v>1273600.837383118</v>
      </c>
      <c r="G143" s="62">
        <f t="shared" si="97"/>
        <v>1262805.5057319398</v>
      </c>
      <c r="H143" s="62">
        <f t="shared" si="98"/>
        <v>1248005.5098923349</v>
      </c>
      <c r="I143" s="62">
        <f t="shared" si="99"/>
        <v>1228115.9013873441</v>
      </c>
      <c r="J143" s="62">
        <f t="shared" si="100"/>
        <v>1202116.3406815415</v>
      </c>
      <c r="K143" s="62">
        <f t="shared" si="101"/>
        <v>1169374.2884687176</v>
      </c>
      <c r="L143" s="62">
        <f t="shared" si="102"/>
        <v>1130084.7656740851</v>
      </c>
      <c r="M143" s="62">
        <f t="shared" si="103"/>
        <v>1085657.2084191416</v>
      </c>
      <c r="N143" s="62">
        <f t="shared" si="104"/>
        <v>1038755.2185067786</v>
      </c>
      <c r="O143" s="62">
        <f t="shared" si="105"/>
        <v>992776.17202817916</v>
      </c>
      <c r="P143" s="62">
        <f t="shared" si="106"/>
        <v>950920.49960650213</v>
      </c>
      <c r="Q143" s="62">
        <f t="shared" si="107"/>
        <v>915349.13841044903</v>
      </c>
      <c r="R143" s="62">
        <f t="shared" si="108"/>
        <v>886862.84856226621</v>
      </c>
      <c r="S143" s="62">
        <f t="shared" si="109"/>
        <v>865126.54509633617</v>
      </c>
      <c r="T143" s="62">
        <f t="shared" si="110"/>
        <v>849148.61879481981</v>
      </c>
      <c r="U143" s="62">
        <f t="shared" si="111"/>
        <v>837724.6326365323</v>
      </c>
      <c r="V143" s="62">
        <f t="shared" si="112"/>
        <v>829718.10542985611</v>
      </c>
      <c r="W143" s="62">
        <f t="shared" si="113"/>
        <v>824185.10301042092</v>
      </c>
      <c r="X143" s="62">
        <f t="shared" si="114"/>
        <v>820398.59373471502</v>
      </c>
      <c r="Y143" s="62">
        <f t="shared" si="115"/>
        <v>817824.59227500285</v>
      </c>
      <c r="Z143" s="62">
        <f t="shared" si="116"/>
        <v>816082.79412917187</v>
      </c>
      <c r="AA143" s="62">
        <f t="shared" si="117"/>
        <v>814907.77528152149</v>
      </c>
      <c r="AB143" s="62">
        <f t="shared" si="118"/>
        <v>814116.75843028165</v>
      </c>
      <c r="AC143" s="62">
        <f t="shared" si="119"/>
        <v>813584.99765465059</v>
      </c>
    </row>
    <row r="144" spans="1:44" x14ac:dyDescent="0.3">
      <c r="A144" s="30" t="str">
        <f t="shared" si="91"/>
        <v>Opex var (mode-fees, shunting)</v>
      </c>
      <c r="B144" s="62">
        <f t="shared" si="92"/>
        <v>3.6414565826330532</v>
      </c>
      <c r="C144" s="62">
        <f t="shared" si="93"/>
        <v>3.6414565826330532</v>
      </c>
      <c r="D144" s="62">
        <f t="shared" si="94"/>
        <v>3.6414565826330532</v>
      </c>
      <c r="E144" s="62">
        <f t="shared" si="95"/>
        <v>3.6414565826330532</v>
      </c>
      <c r="F144" s="62">
        <f t="shared" si="96"/>
        <v>3.6414565826330532</v>
      </c>
      <c r="G144" s="62">
        <f t="shared" si="97"/>
        <v>3.6414565826330532</v>
      </c>
      <c r="H144" s="62">
        <f t="shared" si="98"/>
        <v>3.6414565826330532</v>
      </c>
      <c r="I144" s="62">
        <f t="shared" si="99"/>
        <v>3.6414565826330532</v>
      </c>
      <c r="J144" s="62">
        <f t="shared" si="100"/>
        <v>3.6414565826330532</v>
      </c>
      <c r="K144" s="62">
        <f t="shared" si="101"/>
        <v>3.6414565826330532</v>
      </c>
      <c r="L144" s="62">
        <f t="shared" si="102"/>
        <v>3.6414565826330532</v>
      </c>
      <c r="M144" s="62">
        <f t="shared" si="103"/>
        <v>3.6414565826330532</v>
      </c>
      <c r="N144" s="62">
        <f t="shared" si="104"/>
        <v>3.6414565826330532</v>
      </c>
      <c r="O144" s="62">
        <f t="shared" si="105"/>
        <v>3.6414565826330532</v>
      </c>
      <c r="P144" s="62">
        <f t="shared" si="106"/>
        <v>3.6414565826330532</v>
      </c>
      <c r="Q144" s="62">
        <f t="shared" si="107"/>
        <v>3.6414565826330532</v>
      </c>
      <c r="R144" s="62">
        <f t="shared" si="108"/>
        <v>3.6414565826330532</v>
      </c>
      <c r="S144" s="62">
        <f t="shared" si="109"/>
        <v>3.6414565826330532</v>
      </c>
      <c r="T144" s="62">
        <f t="shared" si="110"/>
        <v>3.6414565826330532</v>
      </c>
      <c r="U144" s="62">
        <f t="shared" si="111"/>
        <v>3.6414565826330532</v>
      </c>
      <c r="V144" s="62">
        <f t="shared" si="112"/>
        <v>3.6414565826330532</v>
      </c>
      <c r="W144" s="62">
        <f t="shared" si="113"/>
        <v>3.6414565826330532</v>
      </c>
      <c r="X144" s="62">
        <f t="shared" si="114"/>
        <v>3.6414565826330532</v>
      </c>
      <c r="Y144" s="62">
        <f t="shared" si="115"/>
        <v>3.6414565826330532</v>
      </c>
      <c r="Z144" s="62">
        <f t="shared" si="116"/>
        <v>3.6414565826330532</v>
      </c>
      <c r="AA144" s="62">
        <f t="shared" si="117"/>
        <v>3.6414565826330532</v>
      </c>
      <c r="AB144" s="62">
        <f t="shared" si="118"/>
        <v>3.6414565826330532</v>
      </c>
      <c r="AC144" s="62">
        <f t="shared" si="119"/>
        <v>3.6414565826330532</v>
      </c>
    </row>
    <row r="145" spans="1:29" x14ac:dyDescent="0.3">
      <c r="A145" s="30" t="str">
        <f t="shared" si="91"/>
        <v>Fuel Economy</v>
      </c>
      <c r="B145" s="62">
        <f t="shared" si="92"/>
        <v>27.1614</v>
      </c>
      <c r="C145" s="62">
        <f t="shared" si="93"/>
        <v>27.1614</v>
      </c>
      <c r="D145" s="62">
        <f t="shared" si="94"/>
        <v>27.1614</v>
      </c>
      <c r="E145" s="62">
        <f t="shared" si="95"/>
        <v>27.1614</v>
      </c>
      <c r="F145" s="62">
        <f t="shared" si="96"/>
        <v>27.1614</v>
      </c>
      <c r="G145" s="62">
        <f t="shared" si="97"/>
        <v>27.1614</v>
      </c>
      <c r="H145" s="62">
        <f t="shared" si="98"/>
        <v>27.1614</v>
      </c>
      <c r="I145" s="62">
        <f t="shared" si="99"/>
        <v>27.1614</v>
      </c>
      <c r="J145" s="62">
        <f t="shared" si="100"/>
        <v>27.1614</v>
      </c>
      <c r="K145" s="62">
        <f t="shared" si="101"/>
        <v>27.1614</v>
      </c>
      <c r="L145" s="62">
        <f t="shared" si="102"/>
        <v>27.1614</v>
      </c>
      <c r="M145" s="62">
        <f t="shared" si="103"/>
        <v>27.1614</v>
      </c>
      <c r="N145" s="62">
        <f t="shared" si="104"/>
        <v>27.1614</v>
      </c>
      <c r="O145" s="62">
        <f t="shared" si="105"/>
        <v>27.1614</v>
      </c>
      <c r="P145" s="62">
        <f t="shared" si="106"/>
        <v>27.1614</v>
      </c>
      <c r="Q145" s="62">
        <f t="shared" si="107"/>
        <v>27.1614</v>
      </c>
      <c r="R145" s="62">
        <f t="shared" si="108"/>
        <v>27.1614</v>
      </c>
      <c r="S145" s="62">
        <f t="shared" si="109"/>
        <v>27.1614</v>
      </c>
      <c r="T145" s="62">
        <f t="shared" si="110"/>
        <v>27.1614</v>
      </c>
      <c r="U145" s="62">
        <f t="shared" si="111"/>
        <v>27.1614</v>
      </c>
      <c r="V145" s="62">
        <f t="shared" si="112"/>
        <v>27.1614</v>
      </c>
      <c r="W145" s="62">
        <f t="shared" si="113"/>
        <v>27.1614</v>
      </c>
      <c r="X145" s="62">
        <f t="shared" si="114"/>
        <v>27.1614</v>
      </c>
      <c r="Y145" s="62">
        <f t="shared" si="115"/>
        <v>27.1614</v>
      </c>
      <c r="Z145" s="62">
        <f t="shared" si="116"/>
        <v>27.1614</v>
      </c>
      <c r="AA145" s="62">
        <f t="shared" si="117"/>
        <v>27.1614</v>
      </c>
      <c r="AB145" s="62">
        <f t="shared" si="118"/>
        <v>27.1614</v>
      </c>
      <c r="AC145" s="62">
        <f t="shared" si="119"/>
        <v>27.1614</v>
      </c>
    </row>
    <row r="146" spans="1:29" x14ac:dyDescent="0.3">
      <c r="A146" s="30" t="str">
        <f t="shared" si="91"/>
        <v>Fuel Cost</v>
      </c>
      <c r="B146" s="62">
        <f t="shared" si="92"/>
        <v>9.2331951136741086E-2</v>
      </c>
      <c r="C146" s="62">
        <f t="shared" si="93"/>
        <v>9.2222956120974545E-2</v>
      </c>
      <c r="D146" s="62">
        <f t="shared" si="94"/>
        <v>9.2068198823216471E-2</v>
      </c>
      <c r="E146" s="62">
        <f t="shared" si="95"/>
        <v>9.1849464254062249E-2</v>
      </c>
      <c r="F146" s="62">
        <f t="shared" si="96"/>
        <v>9.1542364865268247E-2</v>
      </c>
      <c r="G146" s="62">
        <f t="shared" si="97"/>
        <v>9.1115385234314353E-2</v>
      </c>
      <c r="H146" s="62">
        <f t="shared" si="98"/>
        <v>9.0530012133616333E-2</v>
      </c>
      <c r="I146" s="62">
        <f t="shared" si="99"/>
        <v>8.9743333412323725E-2</v>
      </c>
      <c r="J146" s="62">
        <f t="shared" si="100"/>
        <v>8.8714992348442129E-2</v>
      </c>
      <c r="K146" s="62">
        <f t="shared" si="101"/>
        <v>8.7419970590682711E-2</v>
      </c>
      <c r="L146" s="62">
        <f t="shared" si="102"/>
        <v>8.5865981654976761E-2</v>
      </c>
      <c r="M146" s="62">
        <f t="shared" si="103"/>
        <v>8.4108771907851612E-2</v>
      </c>
      <c r="N146" s="62">
        <f t="shared" si="104"/>
        <v>8.2253692787461766E-2</v>
      </c>
      <c r="O146" s="62">
        <f t="shared" si="105"/>
        <v>8.0435118154333018E-2</v>
      </c>
      <c r="P146" s="62">
        <f t="shared" si="106"/>
        <v>7.8779632233065888E-2</v>
      </c>
      <c r="Q146" s="62">
        <f t="shared" si="107"/>
        <v>7.7372704945717463E-2</v>
      </c>
      <c r="R146" s="62">
        <f t="shared" si="108"/>
        <v>7.6246008154952791E-2</v>
      </c>
      <c r="S146" s="62">
        <f t="shared" si="109"/>
        <v>7.5386288497227227E-2</v>
      </c>
      <c r="T146" s="62">
        <f t="shared" si="110"/>
        <v>7.4754325599182742E-2</v>
      </c>
      <c r="U146" s="62">
        <f t="shared" si="111"/>
        <v>7.4302481269476042E-2</v>
      </c>
      <c r="V146" s="62">
        <f t="shared" si="112"/>
        <v>7.3985805122564349E-2</v>
      </c>
      <c r="W146" s="62">
        <f t="shared" si="113"/>
        <v>7.3766962440611206E-2</v>
      </c>
      <c r="X146" s="62">
        <f t="shared" si="114"/>
        <v>7.3617197488001537E-2</v>
      </c>
      <c r="Y146" s="62">
        <f t="shared" si="115"/>
        <v>7.3515389944810147E-2</v>
      </c>
      <c r="Z146" s="62">
        <f t="shared" si="116"/>
        <v>7.3446497913186276E-2</v>
      </c>
      <c r="AA146" s="62">
        <f t="shared" si="117"/>
        <v>7.3400023276728135E-2</v>
      </c>
      <c r="AB146" s="62">
        <f t="shared" si="118"/>
        <v>7.3368736782330912E-2</v>
      </c>
      <c r="AC146" s="62">
        <f t="shared" si="119"/>
        <v>7.3347704448441492E-2</v>
      </c>
    </row>
    <row r="147" spans="1:29" x14ac:dyDescent="0.3">
      <c r="A147" s="30" t="str">
        <f t="shared" ref="A147" si="120">A127</f>
        <v>Emission Cost</v>
      </c>
      <c r="B147" s="66">
        <f>$B127+($C127-$B127)*(1-Q127)</f>
        <v>6.2761939613426576E-2</v>
      </c>
      <c r="C147" s="66">
        <f t="shared" ref="C147:AC147" si="121">$B127+($C127-$B127)*(1-R127)</f>
        <v>6.2702174954862022E-2</v>
      </c>
      <c r="D147" s="66">
        <f t="shared" si="121"/>
        <v>6.2616623177277314E-2</v>
      </c>
      <c r="E147" s="66">
        <f t="shared" si="121"/>
        <v>6.249423534317243E-2</v>
      </c>
      <c r="F147" s="66">
        <f t="shared" si="121"/>
        <v>6.2319316122020151E-2</v>
      </c>
      <c r="G147" s="66">
        <f t="shared" si="121"/>
        <v>6.2069668591824577E-2</v>
      </c>
      <c r="H147" s="66">
        <f t="shared" si="121"/>
        <v>6.1714109263582916E-2</v>
      </c>
      <c r="I147" s="66">
        <f t="shared" si="121"/>
        <v>6.120926598754526E-2</v>
      </c>
      <c r="J147" s="66">
        <f t="shared" si="121"/>
        <v>6.0495718529207473E-2</v>
      </c>
      <c r="K147" s="66">
        <f t="shared" si="121"/>
        <v>5.9493910771163734E-2</v>
      </c>
      <c r="L147" s="66">
        <f t="shared" si="121"/>
        <v>5.8101034320005455E-2</v>
      </c>
      <c r="M147" s="66">
        <f t="shared" si="121"/>
        <v>5.6191452813079128E-2</v>
      </c>
      <c r="N147" s="66">
        <f t="shared" si="121"/>
        <v>5.3625179890251798E-2</v>
      </c>
      <c r="O147" s="66">
        <f t="shared" si="121"/>
        <v>5.0270565412648349E-2</v>
      </c>
      <c r="P147" s="66">
        <f t="shared" si="121"/>
        <v>4.6045995481546684E-2</v>
      </c>
      <c r="Q147" s="66">
        <f t="shared" si="121"/>
        <v>4.0976632830523538E-2</v>
      </c>
      <c r="R147" s="66">
        <f t="shared" si="121"/>
        <v>3.5244331102105231E-2</v>
      </c>
      <c r="S147" s="66">
        <f t="shared" si="121"/>
        <v>2.9192763686456215E-2</v>
      </c>
      <c r="T147" s="66">
        <f t="shared" si="121"/>
        <v>2.32602797984078E-2</v>
      </c>
      <c r="U147" s="66">
        <f t="shared" si="121"/>
        <v>1.7859817603512018E-2</v>
      </c>
      <c r="V147" s="66">
        <f t="shared" si="121"/>
        <v>1.3270193778456035E-2</v>
      </c>
      <c r="W147" s="66">
        <f t="shared" si="121"/>
        <v>9.5947270496434117E-3</v>
      </c>
      <c r="X147" s="66">
        <f t="shared" si="121"/>
        <v>6.7901828067048406E-3</v>
      </c>
      <c r="Y147" s="66">
        <f t="shared" si="121"/>
        <v>4.7286178633715731E-3</v>
      </c>
      <c r="Z147" s="66">
        <f t="shared" si="121"/>
        <v>3.2546287528563561E-3</v>
      </c>
      <c r="AA147" s="66">
        <f t="shared" si="121"/>
        <v>2.2215800645818892E-3</v>
      </c>
      <c r="AB147" s="66">
        <f t="shared" si="121"/>
        <v>1.5076799248495282E-3</v>
      </c>
      <c r="AC147" s="66">
        <f t="shared" si="121"/>
        <v>1.0191224842221736E-3</v>
      </c>
    </row>
    <row r="148" spans="1:29" x14ac:dyDescent="0.3">
      <c r="A148" s="30" t="str">
        <f>A128</f>
        <v>Lifetime vehicle</v>
      </c>
      <c r="B148" s="62">
        <f>$B128+($C128-$B128)*(1-Q128)</f>
        <v>20</v>
      </c>
      <c r="C148" s="62">
        <f t="shared" ref="C148:L150" si="122">$B128+($C128-$B128)*(1-R128)</f>
        <v>20</v>
      </c>
      <c r="D148" s="62">
        <f t="shared" si="122"/>
        <v>20</v>
      </c>
      <c r="E148" s="62">
        <f t="shared" si="122"/>
        <v>20</v>
      </c>
      <c r="F148" s="62">
        <f t="shared" si="122"/>
        <v>20</v>
      </c>
      <c r="G148" s="62">
        <f t="shared" si="122"/>
        <v>20</v>
      </c>
      <c r="H148" s="62">
        <f t="shared" si="122"/>
        <v>20</v>
      </c>
      <c r="I148" s="62">
        <f t="shared" si="122"/>
        <v>20</v>
      </c>
      <c r="J148" s="62">
        <f t="shared" si="122"/>
        <v>20</v>
      </c>
      <c r="K148" s="62">
        <f t="shared" si="122"/>
        <v>20</v>
      </c>
      <c r="L148" s="62">
        <f t="shared" si="122"/>
        <v>20</v>
      </c>
      <c r="M148" s="62">
        <f t="shared" ref="M148:V150" si="123">$B128+($C128-$B128)*(1-AB128)</f>
        <v>20</v>
      </c>
      <c r="N148" s="62">
        <f t="shared" si="123"/>
        <v>20</v>
      </c>
      <c r="O148" s="62">
        <f t="shared" si="123"/>
        <v>20</v>
      </c>
      <c r="P148" s="62">
        <f t="shared" si="123"/>
        <v>20</v>
      </c>
      <c r="Q148" s="62">
        <f t="shared" si="123"/>
        <v>20</v>
      </c>
      <c r="R148" s="62">
        <f t="shared" si="123"/>
        <v>20</v>
      </c>
      <c r="S148" s="62">
        <f t="shared" si="123"/>
        <v>20</v>
      </c>
      <c r="T148" s="62">
        <f t="shared" si="123"/>
        <v>20</v>
      </c>
      <c r="U148" s="62">
        <f t="shared" si="123"/>
        <v>20</v>
      </c>
      <c r="V148" s="62">
        <f t="shared" si="123"/>
        <v>20</v>
      </c>
      <c r="W148" s="62">
        <f t="shared" ref="W148:AC150" si="124">$B128+($C128-$B128)*(1-AL128)</f>
        <v>20</v>
      </c>
      <c r="X148" s="62">
        <f t="shared" si="124"/>
        <v>20</v>
      </c>
      <c r="Y148" s="62">
        <f t="shared" si="124"/>
        <v>20</v>
      </c>
      <c r="Z148" s="62">
        <f t="shared" si="124"/>
        <v>20</v>
      </c>
      <c r="AA148" s="62">
        <f t="shared" si="124"/>
        <v>20</v>
      </c>
      <c r="AB148" s="62">
        <f t="shared" si="124"/>
        <v>20</v>
      </c>
      <c r="AC148" s="62">
        <f t="shared" si="124"/>
        <v>20</v>
      </c>
    </row>
    <row r="149" spans="1:29" x14ac:dyDescent="0.3">
      <c r="A149" s="30" t="str">
        <f>A129</f>
        <v>Lifetime costumization</v>
      </c>
      <c r="B149" s="62">
        <f>$B129+($C129-$B129)*(1-Q129)</f>
        <v>30</v>
      </c>
      <c r="C149" s="62">
        <f t="shared" si="122"/>
        <v>30</v>
      </c>
      <c r="D149" s="62">
        <f t="shared" si="122"/>
        <v>30</v>
      </c>
      <c r="E149" s="62">
        <f t="shared" si="122"/>
        <v>30</v>
      </c>
      <c r="F149" s="62">
        <f t="shared" si="122"/>
        <v>30</v>
      </c>
      <c r="G149" s="62">
        <f t="shared" si="122"/>
        <v>30</v>
      </c>
      <c r="H149" s="62">
        <f t="shared" si="122"/>
        <v>30</v>
      </c>
      <c r="I149" s="62">
        <f t="shared" si="122"/>
        <v>30</v>
      </c>
      <c r="J149" s="62">
        <f t="shared" si="122"/>
        <v>30</v>
      </c>
      <c r="K149" s="62">
        <f t="shared" si="122"/>
        <v>30</v>
      </c>
      <c r="L149" s="62">
        <f t="shared" si="122"/>
        <v>30</v>
      </c>
      <c r="M149" s="62">
        <f t="shared" si="123"/>
        <v>30</v>
      </c>
      <c r="N149" s="62">
        <f t="shared" si="123"/>
        <v>30</v>
      </c>
      <c r="O149" s="62">
        <f t="shared" si="123"/>
        <v>30</v>
      </c>
      <c r="P149" s="62">
        <f t="shared" si="123"/>
        <v>30</v>
      </c>
      <c r="Q149" s="62">
        <f t="shared" si="123"/>
        <v>30</v>
      </c>
      <c r="R149" s="62">
        <f t="shared" si="123"/>
        <v>30</v>
      </c>
      <c r="S149" s="62">
        <f t="shared" si="123"/>
        <v>30</v>
      </c>
      <c r="T149" s="62">
        <f t="shared" si="123"/>
        <v>30</v>
      </c>
      <c r="U149" s="62">
        <f t="shared" si="123"/>
        <v>30</v>
      </c>
      <c r="V149" s="62">
        <f t="shared" si="123"/>
        <v>30</v>
      </c>
      <c r="W149" s="62">
        <f t="shared" si="124"/>
        <v>30</v>
      </c>
      <c r="X149" s="62">
        <f t="shared" si="124"/>
        <v>30</v>
      </c>
      <c r="Y149" s="62">
        <f t="shared" si="124"/>
        <v>30</v>
      </c>
      <c r="Z149" s="62">
        <f t="shared" si="124"/>
        <v>30</v>
      </c>
      <c r="AA149" s="62">
        <f t="shared" si="124"/>
        <v>30</v>
      </c>
      <c r="AB149" s="62">
        <f t="shared" si="124"/>
        <v>30</v>
      </c>
      <c r="AC149" s="62">
        <f t="shared" si="124"/>
        <v>30</v>
      </c>
    </row>
    <row r="150" spans="1:29" x14ac:dyDescent="0.3">
      <c r="A150" s="30" t="str">
        <f>A130</f>
        <v>Tonnage .</v>
      </c>
      <c r="B150" s="62">
        <f>$B130+($C130-$B130)*(1-Q130)</f>
        <v>2240</v>
      </c>
      <c r="C150" s="62">
        <f t="shared" si="122"/>
        <v>2240</v>
      </c>
      <c r="D150" s="62">
        <f t="shared" si="122"/>
        <v>2240</v>
      </c>
      <c r="E150" s="62">
        <f t="shared" si="122"/>
        <v>2240</v>
      </c>
      <c r="F150" s="62">
        <f t="shared" si="122"/>
        <v>2240</v>
      </c>
      <c r="G150" s="62">
        <f t="shared" si="122"/>
        <v>2240</v>
      </c>
      <c r="H150" s="62">
        <f t="shared" si="122"/>
        <v>2240</v>
      </c>
      <c r="I150" s="62">
        <f t="shared" si="122"/>
        <v>2240</v>
      </c>
      <c r="J150" s="62">
        <f t="shared" si="122"/>
        <v>2240</v>
      </c>
      <c r="K150" s="62">
        <f t="shared" si="122"/>
        <v>2240</v>
      </c>
      <c r="L150" s="62">
        <f t="shared" si="122"/>
        <v>2240</v>
      </c>
      <c r="M150" s="62">
        <f t="shared" si="123"/>
        <v>2240</v>
      </c>
      <c r="N150" s="62">
        <f t="shared" si="123"/>
        <v>2240</v>
      </c>
      <c r="O150" s="62">
        <f t="shared" si="123"/>
        <v>2240</v>
      </c>
      <c r="P150" s="62">
        <f t="shared" si="123"/>
        <v>2240</v>
      </c>
      <c r="Q150" s="62">
        <f t="shared" si="123"/>
        <v>2240</v>
      </c>
      <c r="R150" s="62">
        <f t="shared" si="123"/>
        <v>2240</v>
      </c>
      <c r="S150" s="62">
        <f t="shared" si="123"/>
        <v>2240</v>
      </c>
      <c r="T150" s="62">
        <f t="shared" si="123"/>
        <v>2240</v>
      </c>
      <c r="U150" s="62">
        <f t="shared" si="123"/>
        <v>2240</v>
      </c>
      <c r="V150" s="62">
        <f t="shared" si="123"/>
        <v>2240</v>
      </c>
      <c r="W150" s="62">
        <f t="shared" si="124"/>
        <v>2240</v>
      </c>
      <c r="X150" s="62">
        <f t="shared" si="124"/>
        <v>2240</v>
      </c>
      <c r="Y150" s="62">
        <f t="shared" si="124"/>
        <v>2240</v>
      </c>
      <c r="Z150" s="62">
        <f t="shared" si="124"/>
        <v>2240</v>
      </c>
      <c r="AA150" s="62">
        <f t="shared" si="124"/>
        <v>2240</v>
      </c>
      <c r="AB150" s="62">
        <f t="shared" si="124"/>
        <v>2240</v>
      </c>
      <c r="AC150" s="62">
        <f t="shared" si="124"/>
        <v>2240</v>
      </c>
    </row>
    <row r="151" spans="1:29" x14ac:dyDescent="0.3">
      <c r="A151" s="30" t="str">
        <f>A131</f>
        <v>Market failure (av. utilization)</v>
      </c>
      <c r="B151" s="62">
        <f t="shared" ref="B151:K152" si="125">($B131+($C131-$B131)*(1-Q131))*B$44</f>
        <v>716.80000000000007</v>
      </c>
      <c r="C151" s="62">
        <f t="shared" si="125"/>
        <v>716.80000000000007</v>
      </c>
      <c r="D151" s="62">
        <f t="shared" si="125"/>
        <v>716.80000000000007</v>
      </c>
      <c r="E151" s="62">
        <f t="shared" si="125"/>
        <v>716.80000000000007</v>
      </c>
      <c r="F151" s="62">
        <f t="shared" si="125"/>
        <v>716.80000000000007</v>
      </c>
      <c r="G151" s="62">
        <f t="shared" si="125"/>
        <v>716.80000000000007</v>
      </c>
      <c r="H151" s="62">
        <f t="shared" si="125"/>
        <v>716.80000000000007</v>
      </c>
      <c r="I151" s="62">
        <f t="shared" si="125"/>
        <v>716.80000000000007</v>
      </c>
      <c r="J151" s="62">
        <f t="shared" si="125"/>
        <v>716.80000000000007</v>
      </c>
      <c r="K151" s="62">
        <f t="shared" si="125"/>
        <v>716.80000000000007</v>
      </c>
      <c r="L151" s="62">
        <f t="shared" ref="L151:U152" si="126">($B131+($C131-$B131)*(1-AA131))*L$44</f>
        <v>716.80000000000007</v>
      </c>
      <c r="M151" s="62">
        <f t="shared" si="126"/>
        <v>716.80000000000007</v>
      </c>
      <c r="N151" s="62">
        <f t="shared" si="126"/>
        <v>716.80000000000007</v>
      </c>
      <c r="O151" s="62">
        <f t="shared" si="126"/>
        <v>716.80000000000007</v>
      </c>
      <c r="P151" s="62">
        <f t="shared" si="126"/>
        <v>716.80000000000007</v>
      </c>
      <c r="Q151" s="62">
        <f t="shared" si="126"/>
        <v>716.80000000000007</v>
      </c>
      <c r="R151" s="62">
        <f t="shared" si="126"/>
        <v>716.80000000000007</v>
      </c>
      <c r="S151" s="62">
        <f t="shared" si="126"/>
        <v>716.80000000000007</v>
      </c>
      <c r="T151" s="62">
        <f t="shared" si="126"/>
        <v>716.80000000000007</v>
      </c>
      <c r="U151" s="62">
        <f t="shared" si="126"/>
        <v>716.80000000000007</v>
      </c>
      <c r="V151" s="62">
        <f t="shared" ref="V151:AC152" si="127">($B131+($C131-$B131)*(1-AK131))*V$44</f>
        <v>716.80000000000007</v>
      </c>
      <c r="W151" s="62">
        <f t="shared" si="127"/>
        <v>716.80000000000007</v>
      </c>
      <c r="X151" s="62">
        <f t="shared" si="127"/>
        <v>716.80000000000007</v>
      </c>
      <c r="Y151" s="62">
        <f t="shared" si="127"/>
        <v>716.80000000000007</v>
      </c>
      <c r="Z151" s="62">
        <f t="shared" si="127"/>
        <v>716.80000000000007</v>
      </c>
      <c r="AA151" s="62">
        <f t="shared" si="127"/>
        <v>716.80000000000007</v>
      </c>
      <c r="AB151" s="62">
        <f t="shared" si="127"/>
        <v>716.80000000000007</v>
      </c>
      <c r="AC151" s="62">
        <f t="shared" si="127"/>
        <v>716.80000000000007</v>
      </c>
    </row>
    <row r="152" spans="1:29" x14ac:dyDescent="0.3">
      <c r="A152" s="30" t="s">
        <v>73</v>
      </c>
      <c r="B152" s="62">
        <f t="shared" si="125"/>
        <v>79.471914462993496</v>
      </c>
      <c r="C152" s="62">
        <f t="shared" si="125"/>
        <v>79.245803905143291</v>
      </c>
      <c r="D152" s="62">
        <f t="shared" si="125"/>
        <v>78.924759326348806</v>
      </c>
      <c r="E152" s="62">
        <f t="shared" si="125"/>
        <v>78.470993664637106</v>
      </c>
      <c r="F152" s="62">
        <f t="shared" si="125"/>
        <v>77.833914862204551</v>
      </c>
      <c r="G152" s="62">
        <f t="shared" si="125"/>
        <v>76.948144060056592</v>
      </c>
      <c r="H152" s="62">
        <f t="shared" si="125"/>
        <v>75.733785427063381</v>
      </c>
      <c r="I152" s="62">
        <f t="shared" si="125"/>
        <v>74.101817549730796</v>
      </c>
      <c r="J152" s="62">
        <f t="shared" si="125"/>
        <v>71.968520261049548</v>
      </c>
      <c r="K152" s="62">
        <f t="shared" si="125"/>
        <v>69.281992899997348</v>
      </c>
      <c r="L152" s="62">
        <f t="shared" si="126"/>
        <v>66.058237183514677</v>
      </c>
      <c r="M152" s="62">
        <f t="shared" si="126"/>
        <v>62.412899152339826</v>
      </c>
      <c r="N152" s="62">
        <f t="shared" si="126"/>
        <v>58.564530749274141</v>
      </c>
      <c r="O152" s="62">
        <f t="shared" si="126"/>
        <v>54.79189103820957</v>
      </c>
      <c r="P152" s="62">
        <f t="shared" si="126"/>
        <v>51.357579454892473</v>
      </c>
      <c r="Q152" s="62">
        <f t="shared" si="126"/>
        <v>48.438903664447089</v>
      </c>
      <c r="R152" s="62">
        <f t="shared" si="126"/>
        <v>46.101567061519283</v>
      </c>
      <c r="S152" s="62">
        <f t="shared" si="126"/>
        <v>44.318075495083995</v>
      </c>
      <c r="T152" s="62">
        <f t="shared" si="126"/>
        <v>43.007066157523667</v>
      </c>
      <c r="U152" s="62">
        <f t="shared" si="126"/>
        <v>42.069713447100085</v>
      </c>
      <c r="V152" s="62">
        <f t="shared" si="127"/>
        <v>41.412767625013835</v>
      </c>
      <c r="W152" s="62">
        <f t="shared" si="127"/>
        <v>40.958777682906323</v>
      </c>
      <c r="X152" s="62">
        <f t="shared" si="127"/>
        <v>40.648089742335586</v>
      </c>
      <c r="Y152" s="62">
        <f t="shared" si="127"/>
        <v>40.43688962256433</v>
      </c>
      <c r="Z152" s="62">
        <f t="shared" si="127"/>
        <v>40.29397285162436</v>
      </c>
      <c r="AA152" s="62">
        <f t="shared" si="127"/>
        <v>40.197561048740226</v>
      </c>
      <c r="AB152" s="62">
        <f t="shared" si="127"/>
        <v>40.132657101971823</v>
      </c>
      <c r="AC152" s="62">
        <f t="shared" si="127"/>
        <v>40.08902544858671</v>
      </c>
    </row>
    <row r="153" spans="1:29" x14ac:dyDescent="0.3">
      <c r="A153" s="30" t="str">
        <f>A133</f>
        <v>Annual Mileage</v>
      </c>
      <c r="B153" s="62">
        <f t="shared" ref="B153:AC153" si="128">$B133+($C133-$B133)*(1-Q133)</f>
        <v>178500</v>
      </c>
      <c r="C153" s="62">
        <f t="shared" si="128"/>
        <v>178500</v>
      </c>
      <c r="D153" s="62">
        <f t="shared" si="128"/>
        <v>178500</v>
      </c>
      <c r="E153" s="62">
        <f t="shared" si="128"/>
        <v>178500</v>
      </c>
      <c r="F153" s="62">
        <f t="shared" si="128"/>
        <v>178500</v>
      </c>
      <c r="G153" s="62">
        <f t="shared" si="128"/>
        <v>178500</v>
      </c>
      <c r="H153" s="62">
        <f t="shared" si="128"/>
        <v>178500</v>
      </c>
      <c r="I153" s="62">
        <f t="shared" si="128"/>
        <v>178500</v>
      </c>
      <c r="J153" s="62">
        <f t="shared" si="128"/>
        <v>178500</v>
      </c>
      <c r="K153" s="62">
        <f t="shared" si="128"/>
        <v>178500</v>
      </c>
      <c r="L153" s="62">
        <f t="shared" si="128"/>
        <v>178500</v>
      </c>
      <c r="M153" s="62">
        <f t="shared" si="128"/>
        <v>178500</v>
      </c>
      <c r="N153" s="62">
        <f t="shared" si="128"/>
        <v>178500</v>
      </c>
      <c r="O153" s="62">
        <f t="shared" si="128"/>
        <v>178500</v>
      </c>
      <c r="P153" s="62">
        <f t="shared" si="128"/>
        <v>178500</v>
      </c>
      <c r="Q153" s="62">
        <f t="shared" si="128"/>
        <v>178500</v>
      </c>
      <c r="R153" s="62">
        <f t="shared" si="128"/>
        <v>178500</v>
      </c>
      <c r="S153" s="62">
        <f t="shared" si="128"/>
        <v>178500</v>
      </c>
      <c r="T153" s="62">
        <f t="shared" si="128"/>
        <v>178500</v>
      </c>
      <c r="U153" s="62">
        <f t="shared" si="128"/>
        <v>178500</v>
      </c>
      <c r="V153" s="62">
        <f t="shared" si="128"/>
        <v>178500</v>
      </c>
      <c r="W153" s="62">
        <f t="shared" si="128"/>
        <v>178500</v>
      </c>
      <c r="X153" s="62">
        <f t="shared" si="128"/>
        <v>178500</v>
      </c>
      <c r="Y153" s="62">
        <f t="shared" si="128"/>
        <v>178500</v>
      </c>
      <c r="Z153" s="62">
        <f t="shared" si="128"/>
        <v>178500</v>
      </c>
      <c r="AA153" s="62">
        <f t="shared" si="128"/>
        <v>178500</v>
      </c>
      <c r="AB153" s="62">
        <f t="shared" si="128"/>
        <v>178500</v>
      </c>
      <c r="AC153" s="62">
        <f t="shared" si="128"/>
        <v>178500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867529.23505697085</v>
      </c>
      <c r="C156" s="63">
        <f t="shared" ref="C156:AC156" si="129">((1+C141)^C148)*C141/(((1+C141)^C148)-1)*(C137)</f>
        <v>865681.10860566224</v>
      </c>
      <c r="D156" s="63">
        <f t="shared" si="129"/>
        <v>863057.03397703567</v>
      </c>
      <c r="E156" s="63">
        <f t="shared" si="129"/>
        <v>859348.15664694412</v>
      </c>
      <c r="F156" s="63">
        <f t="shared" si="129"/>
        <v>854140.95978918544</v>
      </c>
      <c r="G156" s="63">
        <f t="shared" si="129"/>
        <v>846901.06588590739</v>
      </c>
      <c r="H156" s="63">
        <f t="shared" si="129"/>
        <v>836975.44218948286</v>
      </c>
      <c r="I156" s="63">
        <f t="shared" si="129"/>
        <v>823636.46752832399</v>
      </c>
      <c r="J156" s="63">
        <f t="shared" si="129"/>
        <v>806199.8507457996</v>
      </c>
      <c r="K156" s="63">
        <f t="shared" si="129"/>
        <v>784241.37907896913</v>
      </c>
      <c r="L156" s="63">
        <f t="shared" si="129"/>
        <v>757891.84339680034</v>
      </c>
      <c r="M156" s="63">
        <f t="shared" si="129"/>
        <v>728096.48265190842</v>
      </c>
      <c r="N156" s="63">
        <f t="shared" si="129"/>
        <v>696641.64256081509</v>
      </c>
      <c r="O156" s="63">
        <f t="shared" si="129"/>
        <v>665805.77488808637</v>
      </c>
      <c r="P156" s="63">
        <f t="shared" si="129"/>
        <v>637735.24983383913</v>
      </c>
      <c r="Q156" s="63">
        <f t="shared" si="129"/>
        <v>613879.3008573663</v>
      </c>
      <c r="R156" s="63">
        <f t="shared" si="129"/>
        <v>594774.95808561263</v>
      </c>
      <c r="S156" s="63">
        <f t="shared" si="129"/>
        <v>580197.49663952412</v>
      </c>
      <c r="T156" s="63">
        <f t="shared" si="129"/>
        <v>569481.893362551</v>
      </c>
      <c r="U156" s="63">
        <f t="shared" si="129"/>
        <v>561820.39203855116</v>
      </c>
      <c r="V156" s="63">
        <f t="shared" si="129"/>
        <v>556450.81105826527</v>
      </c>
      <c r="W156" s="63">
        <f t="shared" si="129"/>
        <v>552740.10056064755</v>
      </c>
      <c r="X156" s="63">
        <f t="shared" si="129"/>
        <v>550200.67645533092</v>
      </c>
      <c r="Y156" s="63">
        <f t="shared" si="129"/>
        <v>548474.42124823271</v>
      </c>
      <c r="Z156" s="63">
        <f t="shared" si="129"/>
        <v>547306.28355832992</v>
      </c>
      <c r="AA156" s="63">
        <f t="shared" si="129"/>
        <v>546518.25665316184</v>
      </c>
      <c r="AB156" s="63">
        <f t="shared" si="129"/>
        <v>545987.76085518813</v>
      </c>
      <c r="AC156" s="63">
        <f t="shared" si="129"/>
        <v>545631.13525794924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-44095.850871439077</v>
      </c>
      <c r="C157" s="62">
        <f t="shared" ref="C157:AC157" si="130">((1+C141)^C148)*C141/(((1+C141)^C148)-1)*(C138)</f>
        <v>-44311.465624091747</v>
      </c>
      <c r="D157" s="62">
        <f t="shared" si="130"/>
        <v>-44617.607664098185</v>
      </c>
      <c r="E157" s="62">
        <f t="shared" si="130"/>
        <v>-45050.310019275523</v>
      </c>
      <c r="F157" s="62">
        <f t="shared" si="130"/>
        <v>-45657.816319347374</v>
      </c>
      <c r="G157" s="62">
        <f t="shared" si="130"/>
        <v>-46502.470608063151</v>
      </c>
      <c r="H157" s="62">
        <f t="shared" si="130"/>
        <v>-47660.460039312675</v>
      </c>
      <c r="I157" s="62">
        <f t="shared" si="130"/>
        <v>-49216.673749781199</v>
      </c>
      <c r="J157" s="62">
        <f t="shared" si="130"/>
        <v>-51250.945707742365</v>
      </c>
      <c r="K157" s="62">
        <f t="shared" si="130"/>
        <v>-53812.767402205936</v>
      </c>
      <c r="L157" s="62">
        <f t="shared" si="130"/>
        <v>-56886.879898458967</v>
      </c>
      <c r="M157" s="62">
        <f t="shared" si="130"/>
        <v>-60363.005318696356</v>
      </c>
      <c r="N157" s="62">
        <f t="shared" si="130"/>
        <v>-64032.73666265724</v>
      </c>
      <c r="O157" s="62">
        <f t="shared" si="130"/>
        <v>-67630.254557808934</v>
      </c>
      <c r="P157" s="62">
        <f t="shared" si="130"/>
        <v>-70905.149147471107</v>
      </c>
      <c r="Q157" s="62">
        <f t="shared" si="130"/>
        <v>-73688.343194726258</v>
      </c>
      <c r="R157" s="62">
        <f t="shared" si="130"/>
        <v>-75917.183184764202</v>
      </c>
      <c r="S157" s="62">
        <f t="shared" si="130"/>
        <v>-77617.887020141206</v>
      </c>
      <c r="T157" s="62">
        <f t="shared" si="130"/>
        <v>-78868.040735788047</v>
      </c>
      <c r="U157" s="62">
        <f t="shared" si="130"/>
        <v>-79761.882556921351</v>
      </c>
      <c r="V157" s="62">
        <f t="shared" si="130"/>
        <v>-80388.333671288041</v>
      </c>
      <c r="W157" s="62">
        <f t="shared" si="130"/>
        <v>-80821.249896010122</v>
      </c>
      <c r="X157" s="62">
        <f t="shared" si="130"/>
        <v>-81117.516041630384</v>
      </c>
      <c r="Y157" s="62">
        <f t="shared" si="130"/>
        <v>-81318.912482458516</v>
      </c>
      <c r="Z157" s="62">
        <f t="shared" si="130"/>
        <v>-81455.19521294719</v>
      </c>
      <c r="AA157" s="62">
        <f t="shared" si="130"/>
        <v>-81547.131685216795</v>
      </c>
      <c r="AB157" s="62">
        <f t="shared" si="130"/>
        <v>-81609.022861647056</v>
      </c>
      <c r="AC157" s="62">
        <f t="shared" si="130"/>
        <v>-81650.629181324926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31">((1+C141)^C149)*C141/(((1+C141)^C149)-1)*(C139)</f>
        <v>406833.9043442643</v>
      </c>
      <c r="D158" s="62">
        <f t="shared" si="131"/>
        <v>406833.9043442643</v>
      </c>
      <c r="E158" s="62">
        <f t="shared" si="131"/>
        <v>406833.9043442643</v>
      </c>
      <c r="F158" s="62">
        <f t="shared" si="131"/>
        <v>406833.9043442643</v>
      </c>
      <c r="G158" s="62">
        <f t="shared" si="131"/>
        <v>406833.9043442643</v>
      </c>
      <c r="H158" s="62">
        <f t="shared" si="131"/>
        <v>406833.9043442643</v>
      </c>
      <c r="I158" s="62">
        <f t="shared" si="131"/>
        <v>406833.9043442643</v>
      </c>
      <c r="J158" s="62">
        <f t="shared" si="131"/>
        <v>406833.9043442643</v>
      </c>
      <c r="K158" s="62">
        <f t="shared" si="131"/>
        <v>406833.9043442643</v>
      </c>
      <c r="L158" s="62">
        <f t="shared" si="131"/>
        <v>406833.9043442643</v>
      </c>
      <c r="M158" s="62">
        <f t="shared" si="131"/>
        <v>406833.9043442643</v>
      </c>
      <c r="N158" s="62">
        <f t="shared" si="131"/>
        <v>406833.9043442643</v>
      </c>
      <c r="O158" s="62">
        <f t="shared" si="131"/>
        <v>406833.9043442643</v>
      </c>
      <c r="P158" s="62">
        <f t="shared" si="131"/>
        <v>406833.9043442643</v>
      </c>
      <c r="Q158" s="62">
        <f t="shared" si="131"/>
        <v>406833.9043442643</v>
      </c>
      <c r="R158" s="62">
        <f t="shared" si="131"/>
        <v>406833.9043442643</v>
      </c>
      <c r="S158" s="62">
        <f t="shared" si="131"/>
        <v>406833.9043442643</v>
      </c>
      <c r="T158" s="62">
        <f t="shared" si="131"/>
        <v>406833.9043442643</v>
      </c>
      <c r="U158" s="62">
        <f t="shared" si="131"/>
        <v>406833.9043442643</v>
      </c>
      <c r="V158" s="62">
        <f t="shared" si="131"/>
        <v>406833.9043442643</v>
      </c>
      <c r="W158" s="62">
        <f t="shared" si="131"/>
        <v>406833.9043442643</v>
      </c>
      <c r="X158" s="62">
        <f t="shared" si="131"/>
        <v>406833.9043442643</v>
      </c>
      <c r="Y158" s="62">
        <f t="shared" si="131"/>
        <v>406833.9043442643</v>
      </c>
      <c r="Z158" s="62">
        <f t="shared" si="131"/>
        <v>406833.9043442643</v>
      </c>
      <c r="AA158" s="62">
        <f t="shared" si="131"/>
        <v>406833.9043442643</v>
      </c>
      <c r="AB158" s="62">
        <f t="shared" si="131"/>
        <v>406833.9043442643</v>
      </c>
      <c r="AC158" s="62">
        <f t="shared" si="131"/>
        <v>406833.9043442643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32">((1+C141)^C149)*C141/(((1+C141)^C149)-1)*(C140)</f>
        <v>-20341.695217213215</v>
      </c>
      <c r="D159" s="62">
        <f t="shared" si="132"/>
        <v>-20341.695217213215</v>
      </c>
      <c r="E159" s="62">
        <f t="shared" si="132"/>
        <v>-20341.695217213215</v>
      </c>
      <c r="F159" s="62">
        <f t="shared" si="132"/>
        <v>-20341.695217213215</v>
      </c>
      <c r="G159" s="62">
        <f t="shared" si="132"/>
        <v>-20341.695217213215</v>
      </c>
      <c r="H159" s="62">
        <f t="shared" si="132"/>
        <v>-20341.695217213215</v>
      </c>
      <c r="I159" s="62">
        <f t="shared" si="132"/>
        <v>-20341.695217213215</v>
      </c>
      <c r="J159" s="62">
        <f t="shared" si="132"/>
        <v>-20341.695217213215</v>
      </c>
      <c r="K159" s="62">
        <f t="shared" si="132"/>
        <v>-20341.695217213215</v>
      </c>
      <c r="L159" s="62">
        <f t="shared" si="132"/>
        <v>-20341.695217213215</v>
      </c>
      <c r="M159" s="62">
        <f t="shared" si="132"/>
        <v>-20341.695217213215</v>
      </c>
      <c r="N159" s="62">
        <f t="shared" si="132"/>
        <v>-20341.695217213215</v>
      </c>
      <c r="O159" s="62">
        <f t="shared" si="132"/>
        <v>-20341.695217213215</v>
      </c>
      <c r="P159" s="62">
        <f t="shared" si="132"/>
        <v>-20341.695217213215</v>
      </c>
      <c r="Q159" s="62">
        <f t="shared" si="132"/>
        <v>-20341.695217213215</v>
      </c>
      <c r="R159" s="62">
        <f t="shared" si="132"/>
        <v>-20341.695217213215</v>
      </c>
      <c r="S159" s="62">
        <f t="shared" si="132"/>
        <v>-20341.695217213215</v>
      </c>
      <c r="T159" s="62">
        <f t="shared" si="132"/>
        <v>-20341.695217213215</v>
      </c>
      <c r="U159" s="62">
        <f t="shared" si="132"/>
        <v>-20341.695217213215</v>
      </c>
      <c r="V159" s="62">
        <f t="shared" si="132"/>
        <v>-20341.695217213215</v>
      </c>
      <c r="W159" s="62">
        <f t="shared" si="132"/>
        <v>-20341.695217213215</v>
      </c>
      <c r="X159" s="62">
        <f t="shared" si="132"/>
        <v>-20341.695217213215</v>
      </c>
      <c r="Y159" s="62">
        <f t="shared" si="132"/>
        <v>-20341.695217213215</v>
      </c>
      <c r="Z159" s="62">
        <f t="shared" si="132"/>
        <v>-20341.695217213215</v>
      </c>
      <c r="AA159" s="62">
        <f t="shared" si="132"/>
        <v>-20341.695217213215</v>
      </c>
      <c r="AB159" s="62">
        <f t="shared" si="132"/>
        <v>-20341.695217213215</v>
      </c>
      <c r="AC159" s="62">
        <f t="shared" si="132"/>
        <v>-20341.695217213215</v>
      </c>
    </row>
    <row r="160" spans="1:29" x14ac:dyDescent="0.3">
      <c r="A160" s="30" t="str">
        <f t="shared" ref="A160:AC160" si="133">A142</f>
        <v>Opex fix (admin, crew, insurance)</v>
      </c>
      <c r="B160" s="62">
        <f t="shared" si="133"/>
        <v>620000</v>
      </c>
      <c r="C160" s="62">
        <f t="shared" si="133"/>
        <v>620000</v>
      </c>
      <c r="D160" s="62">
        <f t="shared" si="133"/>
        <v>620000</v>
      </c>
      <c r="E160" s="62">
        <f t="shared" si="133"/>
        <v>620000</v>
      </c>
      <c r="F160" s="62">
        <f t="shared" si="133"/>
        <v>620000</v>
      </c>
      <c r="G160" s="62">
        <f t="shared" si="133"/>
        <v>620000</v>
      </c>
      <c r="H160" s="62">
        <f t="shared" si="133"/>
        <v>620000</v>
      </c>
      <c r="I160" s="62">
        <f t="shared" si="133"/>
        <v>620000</v>
      </c>
      <c r="J160" s="62">
        <f t="shared" si="133"/>
        <v>620000</v>
      </c>
      <c r="K160" s="62">
        <f t="shared" si="133"/>
        <v>620000</v>
      </c>
      <c r="L160" s="62">
        <f t="shared" si="133"/>
        <v>620000</v>
      </c>
      <c r="M160" s="62">
        <f t="shared" si="133"/>
        <v>620000</v>
      </c>
      <c r="N160" s="62">
        <f t="shared" si="133"/>
        <v>620000</v>
      </c>
      <c r="O160" s="62">
        <f t="shared" si="133"/>
        <v>620000</v>
      </c>
      <c r="P160" s="62">
        <f t="shared" si="133"/>
        <v>620000</v>
      </c>
      <c r="Q160" s="62">
        <f t="shared" si="133"/>
        <v>620000</v>
      </c>
      <c r="R160" s="62">
        <f t="shared" si="133"/>
        <v>620000</v>
      </c>
      <c r="S160" s="62">
        <f t="shared" si="133"/>
        <v>620000</v>
      </c>
      <c r="T160" s="62">
        <f t="shared" si="133"/>
        <v>620000</v>
      </c>
      <c r="U160" s="62">
        <f t="shared" si="133"/>
        <v>620000</v>
      </c>
      <c r="V160" s="62">
        <f t="shared" si="133"/>
        <v>620000</v>
      </c>
      <c r="W160" s="62">
        <f t="shared" si="133"/>
        <v>620000</v>
      </c>
      <c r="X160" s="62">
        <f t="shared" si="133"/>
        <v>620000</v>
      </c>
      <c r="Y160" s="62">
        <f t="shared" si="133"/>
        <v>620000</v>
      </c>
      <c r="Z160" s="62">
        <f t="shared" si="133"/>
        <v>620000</v>
      </c>
      <c r="AA160" s="62">
        <f t="shared" si="133"/>
        <v>620000</v>
      </c>
      <c r="AB160" s="62">
        <f t="shared" si="133"/>
        <v>620000</v>
      </c>
      <c r="AC160" s="62">
        <f t="shared" si="133"/>
        <v>620000</v>
      </c>
    </row>
    <row r="161" spans="1:29" x14ac:dyDescent="0.3">
      <c r="A161" s="30" t="str">
        <f t="shared" ref="A161:AC161" si="134">A143</f>
        <v>Opex maintenance &amp; repair</v>
      </c>
      <c r="B161" s="62">
        <f t="shared" si="134"/>
        <v>1293563.9575177333</v>
      </c>
      <c r="C161" s="62">
        <f t="shared" si="134"/>
        <v>1290808.235093934</v>
      </c>
      <c r="D161" s="62">
        <f t="shared" si="134"/>
        <v>1286895.5042898762</v>
      </c>
      <c r="E161" s="62">
        <f t="shared" si="134"/>
        <v>1281365.2352877648</v>
      </c>
      <c r="F161" s="62">
        <f t="shared" si="134"/>
        <v>1273600.837383118</v>
      </c>
      <c r="G161" s="62">
        <f t="shared" si="134"/>
        <v>1262805.5057319398</v>
      </c>
      <c r="H161" s="62">
        <f t="shared" si="134"/>
        <v>1248005.5098923349</v>
      </c>
      <c r="I161" s="62">
        <f t="shared" si="134"/>
        <v>1228115.9013873441</v>
      </c>
      <c r="J161" s="62">
        <f t="shared" si="134"/>
        <v>1202116.3406815415</v>
      </c>
      <c r="K161" s="62">
        <f t="shared" si="134"/>
        <v>1169374.2884687176</v>
      </c>
      <c r="L161" s="62">
        <f t="shared" si="134"/>
        <v>1130084.7656740851</v>
      </c>
      <c r="M161" s="62">
        <f t="shared" si="134"/>
        <v>1085657.2084191416</v>
      </c>
      <c r="N161" s="62">
        <f t="shared" si="134"/>
        <v>1038755.2185067786</v>
      </c>
      <c r="O161" s="62">
        <f t="shared" si="134"/>
        <v>992776.17202817916</v>
      </c>
      <c r="P161" s="62">
        <f t="shared" si="134"/>
        <v>950920.49960650213</v>
      </c>
      <c r="Q161" s="62">
        <f t="shared" si="134"/>
        <v>915349.13841044903</v>
      </c>
      <c r="R161" s="62">
        <f t="shared" si="134"/>
        <v>886862.84856226621</v>
      </c>
      <c r="S161" s="62">
        <f t="shared" si="134"/>
        <v>865126.54509633617</v>
      </c>
      <c r="T161" s="62">
        <f t="shared" si="134"/>
        <v>849148.61879481981</v>
      </c>
      <c r="U161" s="62">
        <f t="shared" si="134"/>
        <v>837724.6326365323</v>
      </c>
      <c r="V161" s="62">
        <f t="shared" si="134"/>
        <v>829718.10542985611</v>
      </c>
      <c r="W161" s="62">
        <f t="shared" si="134"/>
        <v>824185.10301042092</v>
      </c>
      <c r="X161" s="62">
        <f t="shared" si="134"/>
        <v>820398.59373471502</v>
      </c>
      <c r="Y161" s="62">
        <f t="shared" si="134"/>
        <v>817824.59227500285</v>
      </c>
      <c r="Z161" s="62">
        <f t="shared" si="134"/>
        <v>816082.79412917187</v>
      </c>
      <c r="AA161" s="62">
        <f t="shared" si="134"/>
        <v>814907.77528152149</v>
      </c>
      <c r="AB161" s="62">
        <f t="shared" si="134"/>
        <v>814116.75843028165</v>
      </c>
      <c r="AC161" s="62">
        <f t="shared" si="134"/>
        <v>813584.99765465059</v>
      </c>
    </row>
    <row r="162" spans="1:29" x14ac:dyDescent="0.3">
      <c r="A162" s="30" t="str">
        <f>A144</f>
        <v>Opex var (mode-fees, shunting)</v>
      </c>
      <c r="B162" s="62">
        <f>B144*B153</f>
        <v>650000</v>
      </c>
      <c r="C162" s="62">
        <f t="shared" ref="C162:AC162" si="135">C144*C153</f>
        <v>650000</v>
      </c>
      <c r="D162" s="62">
        <f t="shared" si="135"/>
        <v>650000</v>
      </c>
      <c r="E162" s="62">
        <f t="shared" si="135"/>
        <v>650000</v>
      </c>
      <c r="F162" s="62">
        <f t="shared" si="135"/>
        <v>650000</v>
      </c>
      <c r="G162" s="62">
        <f t="shared" si="135"/>
        <v>650000</v>
      </c>
      <c r="H162" s="62">
        <f t="shared" si="135"/>
        <v>650000</v>
      </c>
      <c r="I162" s="62">
        <f t="shared" si="135"/>
        <v>650000</v>
      </c>
      <c r="J162" s="62">
        <f t="shared" si="135"/>
        <v>650000</v>
      </c>
      <c r="K162" s="62">
        <f t="shared" si="135"/>
        <v>650000</v>
      </c>
      <c r="L162" s="62">
        <f t="shared" si="135"/>
        <v>650000</v>
      </c>
      <c r="M162" s="62">
        <f t="shared" si="135"/>
        <v>650000</v>
      </c>
      <c r="N162" s="62">
        <f t="shared" si="135"/>
        <v>650000</v>
      </c>
      <c r="O162" s="62">
        <f t="shared" si="135"/>
        <v>650000</v>
      </c>
      <c r="P162" s="62">
        <f t="shared" si="135"/>
        <v>650000</v>
      </c>
      <c r="Q162" s="62">
        <f t="shared" si="135"/>
        <v>650000</v>
      </c>
      <c r="R162" s="62">
        <f t="shared" si="135"/>
        <v>650000</v>
      </c>
      <c r="S162" s="62">
        <f t="shared" si="135"/>
        <v>650000</v>
      </c>
      <c r="T162" s="62">
        <f t="shared" si="135"/>
        <v>650000</v>
      </c>
      <c r="U162" s="62">
        <f t="shared" si="135"/>
        <v>650000</v>
      </c>
      <c r="V162" s="62">
        <f t="shared" si="135"/>
        <v>650000</v>
      </c>
      <c r="W162" s="62">
        <f t="shared" si="135"/>
        <v>650000</v>
      </c>
      <c r="X162" s="62">
        <f t="shared" si="135"/>
        <v>650000</v>
      </c>
      <c r="Y162" s="62">
        <f t="shared" si="135"/>
        <v>650000</v>
      </c>
      <c r="Z162" s="62">
        <f t="shared" si="135"/>
        <v>650000</v>
      </c>
      <c r="AA162" s="62">
        <f t="shared" si="135"/>
        <v>650000</v>
      </c>
      <c r="AB162" s="62">
        <f t="shared" si="135"/>
        <v>650000</v>
      </c>
      <c r="AC162" s="62">
        <f t="shared" si="135"/>
        <v>650000</v>
      </c>
    </row>
    <row r="163" spans="1:29" x14ac:dyDescent="0.3">
      <c r="A163" s="30" t="str">
        <f>A146</f>
        <v>Fuel Cost</v>
      </c>
      <c r="B163" s="62">
        <f>B145*B146*B153</f>
        <v>447653.91278257803</v>
      </c>
      <c r="C163" s="62">
        <f t="shared" ref="C163:AC163" si="136">C145*C146*C153</f>
        <v>447125.47116858652</v>
      </c>
      <c r="D163" s="62">
        <f t="shared" si="136"/>
        <v>446375.15982976876</v>
      </c>
      <c r="E163" s="62">
        <f t="shared" si="136"/>
        <v>445314.66685266612</v>
      </c>
      <c r="F163" s="62">
        <f t="shared" si="136"/>
        <v>443825.7538456922</v>
      </c>
      <c r="G163" s="62">
        <f t="shared" si="136"/>
        <v>441755.62427384011</v>
      </c>
      <c r="H163" s="62">
        <f t="shared" si="136"/>
        <v>438917.55407453218</v>
      </c>
      <c r="I163" s="62">
        <f t="shared" si="136"/>
        <v>435103.4918419699</v>
      </c>
      <c r="J163" s="62">
        <f t="shared" si="136"/>
        <v>430117.77568137628</v>
      </c>
      <c r="K163" s="62">
        <f t="shared" si="136"/>
        <v>423839.10887251585</v>
      </c>
      <c r="L163" s="62">
        <f t="shared" si="136"/>
        <v>416304.88893104222</v>
      </c>
      <c r="M163" s="62">
        <f t="shared" si="136"/>
        <v>407785.39151767886</v>
      </c>
      <c r="N163" s="62">
        <f t="shared" si="136"/>
        <v>398791.39305300947</v>
      </c>
      <c r="O163" s="62">
        <f t="shared" si="136"/>
        <v>389974.37965532253</v>
      </c>
      <c r="P163" s="62">
        <f t="shared" si="136"/>
        <v>381948.07087393251</v>
      </c>
      <c r="Q163" s="62">
        <f t="shared" si="136"/>
        <v>375126.85137810098</v>
      </c>
      <c r="R163" s="62">
        <f t="shared" si="136"/>
        <v>369664.27617313835</v>
      </c>
      <c r="S163" s="62">
        <f t="shared" si="136"/>
        <v>365496.08884536289</v>
      </c>
      <c r="T163" s="62">
        <f t="shared" si="136"/>
        <v>362432.13687034114</v>
      </c>
      <c r="U163" s="62">
        <f t="shared" si="136"/>
        <v>360241.45553336525</v>
      </c>
      <c r="V163" s="62">
        <f t="shared" si="136"/>
        <v>358706.11143519945</v>
      </c>
      <c r="W163" s="62">
        <f t="shared" si="136"/>
        <v>357645.09429374349</v>
      </c>
      <c r="X163" s="62">
        <f t="shared" si="136"/>
        <v>356918.98739133298</v>
      </c>
      <c r="Y163" s="62">
        <f t="shared" si="136"/>
        <v>356425.39287178352</v>
      </c>
      <c r="Z163" s="62">
        <f t="shared" si="136"/>
        <v>356091.38295283035</v>
      </c>
      <c r="AA163" s="62">
        <f t="shared" si="136"/>
        <v>355866.05951279146</v>
      </c>
      <c r="AB163" s="62">
        <f t="shared" si="136"/>
        <v>355714.37289226911</v>
      </c>
      <c r="AC163" s="62">
        <f t="shared" si="136"/>
        <v>355612.40161965293</v>
      </c>
    </row>
    <row r="164" spans="1:29" ht="15" thickBot="1" x14ac:dyDescent="0.35">
      <c r="A164" s="59" t="str">
        <f>A127</f>
        <v>Emission Cost</v>
      </c>
      <c r="B164" s="62">
        <f>B147*B153</f>
        <v>11203.006220996644</v>
      </c>
      <c r="C164" s="62">
        <f t="shared" ref="C164:AC164" si="137">C147*C153</f>
        <v>11192.33822944287</v>
      </c>
      <c r="D164" s="62">
        <f t="shared" si="137"/>
        <v>11177.067237144001</v>
      </c>
      <c r="E164" s="62">
        <f t="shared" si="137"/>
        <v>11155.221008756278</v>
      </c>
      <c r="F164" s="62">
        <f t="shared" si="137"/>
        <v>11123.997927780596</v>
      </c>
      <c r="G164" s="62">
        <f t="shared" si="137"/>
        <v>11079.435843640687</v>
      </c>
      <c r="H164" s="62">
        <f t="shared" si="137"/>
        <v>11015.968503549551</v>
      </c>
      <c r="I164" s="62">
        <f t="shared" si="137"/>
        <v>10925.85397877683</v>
      </c>
      <c r="J164" s="62">
        <f t="shared" si="137"/>
        <v>10798.485757463533</v>
      </c>
      <c r="K164" s="62">
        <f t="shared" si="137"/>
        <v>10619.663072652727</v>
      </c>
      <c r="L164" s="62">
        <f t="shared" si="137"/>
        <v>10371.034626120974</v>
      </c>
      <c r="M164" s="62">
        <f t="shared" si="137"/>
        <v>10030.174327134624</v>
      </c>
      <c r="N164" s="62">
        <f t="shared" si="137"/>
        <v>9572.0946104099457</v>
      </c>
      <c r="O164" s="62">
        <f t="shared" si="137"/>
        <v>8973.2959261577307</v>
      </c>
      <c r="P164" s="62">
        <f t="shared" si="137"/>
        <v>8219.2101934560833</v>
      </c>
      <c r="Q164" s="62">
        <f t="shared" si="137"/>
        <v>7314.328960248451</v>
      </c>
      <c r="R164" s="62">
        <f t="shared" si="137"/>
        <v>6291.113101725784</v>
      </c>
      <c r="S164" s="62">
        <f t="shared" si="137"/>
        <v>5210.9083180324342</v>
      </c>
      <c r="T164" s="62">
        <f t="shared" si="137"/>
        <v>4151.9599440157926</v>
      </c>
      <c r="U164" s="62">
        <f t="shared" si="137"/>
        <v>3187.9774422268952</v>
      </c>
      <c r="V164" s="62">
        <f t="shared" si="137"/>
        <v>2368.7295894544022</v>
      </c>
      <c r="W164" s="62">
        <f t="shared" si="137"/>
        <v>1712.6587783613491</v>
      </c>
      <c r="X164" s="62">
        <f t="shared" si="137"/>
        <v>1212.047630996814</v>
      </c>
      <c r="Y164" s="62">
        <f t="shared" si="137"/>
        <v>844.05828861182579</v>
      </c>
      <c r="Z164" s="62">
        <f t="shared" si="137"/>
        <v>580.95123238485962</v>
      </c>
      <c r="AA164" s="62">
        <f t="shared" si="137"/>
        <v>396.55204152786723</v>
      </c>
      <c r="AB164" s="62">
        <f t="shared" si="137"/>
        <v>269.12086658564078</v>
      </c>
      <c r="AC164" s="62">
        <f t="shared" si="137"/>
        <v>181.91336343365799</v>
      </c>
    </row>
    <row r="165" spans="1:29" ht="15" thickBot="1" x14ac:dyDescent="0.35">
      <c r="A165" s="31" t="s">
        <v>209</v>
      </c>
      <c r="B165" s="64">
        <f>B156+B157+B158+B159+B160+B161+B162+B163+B164</f>
        <v>4232346.4698338909</v>
      </c>
      <c r="C165" s="64">
        <f t="shared" ref="C165:AC165" si="138">C156+C157+C158+C159+C160+C161+C162+C163+C164</f>
        <v>4226987.8966005845</v>
      </c>
      <c r="D165" s="64">
        <f t="shared" si="138"/>
        <v>4219379.3667967776</v>
      </c>
      <c r="E165" s="64">
        <f t="shared" si="138"/>
        <v>4208625.1789039066</v>
      </c>
      <c r="F165" s="64">
        <f t="shared" si="138"/>
        <v>4193525.9417534801</v>
      </c>
      <c r="G165" s="64">
        <f t="shared" si="138"/>
        <v>4172531.3702543159</v>
      </c>
      <c r="H165" s="64">
        <f t="shared" si="138"/>
        <v>4143746.2237476381</v>
      </c>
      <c r="I165" s="64">
        <f t="shared" si="138"/>
        <v>4105057.2501136851</v>
      </c>
      <c r="J165" s="64">
        <f t="shared" si="138"/>
        <v>4054473.71628549</v>
      </c>
      <c r="K165" s="64">
        <f t="shared" si="138"/>
        <v>3990753.8812177009</v>
      </c>
      <c r="L165" s="64">
        <f t="shared" si="138"/>
        <v>3914257.8618566412</v>
      </c>
      <c r="M165" s="64">
        <f t="shared" si="138"/>
        <v>3827698.4607242178</v>
      </c>
      <c r="N165" s="64">
        <f t="shared" si="138"/>
        <v>3736219.8211954068</v>
      </c>
      <c r="O165" s="64">
        <f t="shared" si="138"/>
        <v>3646391.5770669882</v>
      </c>
      <c r="P165" s="64">
        <f t="shared" si="138"/>
        <v>3564410.0904873097</v>
      </c>
      <c r="Q165" s="64">
        <f t="shared" si="138"/>
        <v>3494473.4855384892</v>
      </c>
      <c r="R165" s="64">
        <f t="shared" si="138"/>
        <v>3438168.22186503</v>
      </c>
      <c r="S165" s="64">
        <f t="shared" si="138"/>
        <v>3394905.3610061659</v>
      </c>
      <c r="T165" s="64">
        <f t="shared" si="138"/>
        <v>3362838.7773629907</v>
      </c>
      <c r="U165" s="64">
        <f t="shared" si="138"/>
        <v>3339704.7842208054</v>
      </c>
      <c r="V165" s="64">
        <f t="shared" si="138"/>
        <v>3323347.6329685384</v>
      </c>
      <c r="W165" s="64">
        <f t="shared" si="138"/>
        <v>3311953.9158742144</v>
      </c>
      <c r="X165" s="64">
        <f t="shared" si="138"/>
        <v>3304104.9982977966</v>
      </c>
      <c r="Y165" s="64">
        <f t="shared" si="138"/>
        <v>3298741.7613282236</v>
      </c>
      <c r="Z165" s="64">
        <f t="shared" si="138"/>
        <v>3295098.4257868207</v>
      </c>
      <c r="AA165" s="64">
        <f t="shared" si="138"/>
        <v>3292633.7209308371</v>
      </c>
      <c r="AB165" s="64">
        <f t="shared" si="138"/>
        <v>3290971.1993097281</v>
      </c>
      <c r="AC165" s="64">
        <f t="shared" si="138"/>
        <v>3289852.027841412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39">A156</f>
        <v>Capex vehicle</v>
      </c>
      <c r="B168" s="65">
        <f>((1+B141)^B148)*B141/(((1+B141)^B148)-1)*(B137)/B153</f>
        <v>4.8601077594228057</v>
      </c>
      <c r="C168" s="65">
        <f t="shared" ref="C168:AC168" si="140">((1+C141)^C148)*C141/(((1+C141)^C148)-1)*(C137)/C153</f>
        <v>4.8497541098356427</v>
      </c>
      <c r="D168" s="65">
        <f t="shared" si="140"/>
        <v>4.8350534116360544</v>
      </c>
      <c r="E168" s="65">
        <f t="shared" si="140"/>
        <v>4.8142753873778386</v>
      </c>
      <c r="F168" s="65">
        <f t="shared" si="140"/>
        <v>4.7851034161859127</v>
      </c>
      <c r="G168" s="65">
        <f t="shared" si="140"/>
        <v>4.7445437864756714</v>
      </c>
      <c r="H168" s="65">
        <f t="shared" si="140"/>
        <v>4.6889380514816965</v>
      </c>
      <c r="I168" s="65">
        <f t="shared" si="140"/>
        <v>4.6142099021194625</v>
      </c>
      <c r="J168" s="65">
        <f t="shared" si="140"/>
        <v>4.5165257744862721</v>
      </c>
      <c r="K168" s="65">
        <f t="shared" si="140"/>
        <v>4.3935091264928241</v>
      </c>
      <c r="L168" s="65">
        <f t="shared" si="140"/>
        <v>4.2458926800941192</v>
      </c>
      <c r="M168" s="65">
        <f t="shared" si="140"/>
        <v>4.0789718916073303</v>
      </c>
      <c r="N168" s="65">
        <f t="shared" si="140"/>
        <v>3.9027543000605887</v>
      </c>
      <c r="O168" s="65">
        <f t="shared" si="140"/>
        <v>3.7300043411097277</v>
      </c>
      <c r="P168" s="65">
        <f t="shared" si="140"/>
        <v>3.5727464976685668</v>
      </c>
      <c r="Q168" s="65">
        <f t="shared" si="140"/>
        <v>3.4390997246911277</v>
      </c>
      <c r="R168" s="65">
        <f t="shared" si="140"/>
        <v>3.3320725943171574</v>
      </c>
      <c r="S168" s="65">
        <f t="shared" si="140"/>
        <v>3.2504061436387905</v>
      </c>
      <c r="T168" s="65">
        <f t="shared" si="140"/>
        <v>3.1903747527313779</v>
      </c>
      <c r="U168" s="65">
        <f t="shared" si="140"/>
        <v>3.147453176686561</v>
      </c>
      <c r="V168" s="65">
        <f t="shared" si="140"/>
        <v>3.1173714905224945</v>
      </c>
      <c r="W168" s="65">
        <f t="shared" si="140"/>
        <v>3.0965831964181936</v>
      </c>
      <c r="X168" s="65">
        <f t="shared" si="140"/>
        <v>3.0823567308421902</v>
      </c>
      <c r="Y168" s="65">
        <f t="shared" si="140"/>
        <v>3.0726858333234324</v>
      </c>
      <c r="Z168" s="65">
        <f t="shared" si="140"/>
        <v>3.0661416445844814</v>
      </c>
      <c r="AA168" s="65">
        <f t="shared" si="140"/>
        <v>3.0617269280289179</v>
      </c>
      <c r="AB168" s="65">
        <f t="shared" si="140"/>
        <v>3.058754962774163</v>
      </c>
      <c r="AC168" s="65">
        <f t="shared" si="140"/>
        <v>3.0567570602686231</v>
      </c>
    </row>
    <row r="169" spans="1:29" x14ac:dyDescent="0.3">
      <c r="A169" s="30" t="str">
        <f t="shared" si="139"/>
        <v>Residual value (vehicle)</v>
      </c>
      <c r="B169" s="66">
        <f>((1+B141)^B148)*B141/(((1+B141)^B148)-1)*(B138)/B153</f>
        <v>-0.24703557911170351</v>
      </c>
      <c r="C169" s="66">
        <f t="shared" ref="C169:AC169" si="141">((1+C141)^C148)*C141/(((1+C141)^C148)-1)*(C138)/C153</f>
        <v>-0.24824350489687252</v>
      </c>
      <c r="D169" s="66">
        <f t="shared" si="141"/>
        <v>-0.24995858635349122</v>
      </c>
      <c r="E169" s="66">
        <f t="shared" si="141"/>
        <v>-0.25238268918361639</v>
      </c>
      <c r="F169" s="66">
        <f t="shared" si="141"/>
        <v>-0.25578608582267437</v>
      </c>
      <c r="G169" s="66">
        <f t="shared" si="141"/>
        <v>-0.26051804262220252</v>
      </c>
      <c r="H169" s="66">
        <f t="shared" si="141"/>
        <v>-0.26700537837149957</v>
      </c>
      <c r="I169" s="66">
        <f t="shared" si="141"/>
        <v>-0.27572366246376023</v>
      </c>
      <c r="J169" s="66">
        <f t="shared" si="141"/>
        <v>-0.28712014402096564</v>
      </c>
      <c r="K169" s="66">
        <f t="shared" si="141"/>
        <v>-0.301472086286868</v>
      </c>
      <c r="L169" s="66">
        <f t="shared" si="141"/>
        <v>-0.31869400503338358</v>
      </c>
      <c r="M169" s="66">
        <f t="shared" si="141"/>
        <v>-0.33816809702350897</v>
      </c>
      <c r="N169" s="66">
        <f t="shared" si="141"/>
        <v>-0.35872681603729545</v>
      </c>
      <c r="O169" s="66">
        <f t="shared" si="141"/>
        <v>-0.378880977914896</v>
      </c>
      <c r="P169" s="66">
        <f t="shared" si="141"/>
        <v>-0.39722772631636477</v>
      </c>
      <c r="Q169" s="66">
        <f t="shared" si="141"/>
        <v>-0.41281984983039921</v>
      </c>
      <c r="R169" s="66">
        <f t="shared" si="141"/>
        <v>-0.42530634837402914</v>
      </c>
      <c r="S169" s="66">
        <f t="shared" si="141"/>
        <v>-0.43483410095317204</v>
      </c>
      <c r="T169" s="66">
        <f t="shared" si="141"/>
        <v>-0.44183776322570334</v>
      </c>
      <c r="U169" s="66">
        <f t="shared" si="141"/>
        <v>-0.44684528043093191</v>
      </c>
      <c r="V169" s="66">
        <f t="shared" si="141"/>
        <v>-0.45035481048340636</v>
      </c>
      <c r="W169" s="66">
        <f t="shared" si="141"/>
        <v>-0.45278011146224156</v>
      </c>
      <c r="X169" s="66">
        <f t="shared" si="141"/>
        <v>-0.45443986577944195</v>
      </c>
      <c r="Y169" s="66">
        <f t="shared" si="141"/>
        <v>-0.45556813715663036</v>
      </c>
      <c r="Z169" s="66">
        <f t="shared" si="141"/>
        <v>-0.45633162584284143</v>
      </c>
      <c r="AA169" s="66">
        <f t="shared" si="141"/>
        <v>-0.45684667610765711</v>
      </c>
      <c r="AB169" s="66">
        <f t="shared" si="141"/>
        <v>-0.45719340538737846</v>
      </c>
      <c r="AC169" s="66">
        <f t="shared" si="141"/>
        <v>-0.45742649401302482</v>
      </c>
    </row>
    <row r="170" spans="1:29" x14ac:dyDescent="0.3">
      <c r="A170" s="30" t="str">
        <f t="shared" si="139"/>
        <v>Capex costumization</v>
      </c>
      <c r="B170" s="66">
        <f>((1+B141)^B149)*B141/(((1+B141)^B149)-1)*(B139)/B153</f>
        <v>2.2791815369426573</v>
      </c>
      <c r="C170" s="66">
        <f t="shared" ref="C170:AC170" si="142">((1+C141)^C149)*C141/(((1+C141)^C149)-1)*(C139)/C153</f>
        <v>2.2791815369426573</v>
      </c>
      <c r="D170" s="66">
        <f t="shared" si="142"/>
        <v>2.2791815369426573</v>
      </c>
      <c r="E170" s="66">
        <f t="shared" si="142"/>
        <v>2.2791815369426573</v>
      </c>
      <c r="F170" s="66">
        <f t="shared" si="142"/>
        <v>2.2791815369426573</v>
      </c>
      <c r="G170" s="66">
        <f t="shared" si="142"/>
        <v>2.2791815369426573</v>
      </c>
      <c r="H170" s="66">
        <f t="shared" si="142"/>
        <v>2.2791815369426573</v>
      </c>
      <c r="I170" s="66">
        <f t="shared" si="142"/>
        <v>2.2791815369426573</v>
      </c>
      <c r="J170" s="66">
        <f t="shared" si="142"/>
        <v>2.2791815369426573</v>
      </c>
      <c r="K170" s="66">
        <f t="shared" si="142"/>
        <v>2.2791815369426573</v>
      </c>
      <c r="L170" s="66">
        <f t="shared" si="142"/>
        <v>2.2791815369426573</v>
      </c>
      <c r="M170" s="66">
        <f t="shared" si="142"/>
        <v>2.2791815369426573</v>
      </c>
      <c r="N170" s="66">
        <f t="shared" si="142"/>
        <v>2.2791815369426573</v>
      </c>
      <c r="O170" s="66">
        <f t="shared" si="142"/>
        <v>2.2791815369426573</v>
      </c>
      <c r="P170" s="66">
        <f t="shared" si="142"/>
        <v>2.2791815369426573</v>
      </c>
      <c r="Q170" s="66">
        <f t="shared" si="142"/>
        <v>2.2791815369426573</v>
      </c>
      <c r="R170" s="66">
        <f t="shared" si="142"/>
        <v>2.2791815369426573</v>
      </c>
      <c r="S170" s="66">
        <f t="shared" si="142"/>
        <v>2.2791815369426573</v>
      </c>
      <c r="T170" s="66">
        <f t="shared" si="142"/>
        <v>2.2791815369426573</v>
      </c>
      <c r="U170" s="66">
        <f t="shared" si="142"/>
        <v>2.2791815369426573</v>
      </c>
      <c r="V170" s="66">
        <f t="shared" si="142"/>
        <v>2.2791815369426573</v>
      </c>
      <c r="W170" s="66">
        <f t="shared" si="142"/>
        <v>2.2791815369426573</v>
      </c>
      <c r="X170" s="66">
        <f t="shared" si="142"/>
        <v>2.2791815369426573</v>
      </c>
      <c r="Y170" s="66">
        <f t="shared" si="142"/>
        <v>2.2791815369426573</v>
      </c>
      <c r="Z170" s="66">
        <f t="shared" si="142"/>
        <v>2.2791815369426573</v>
      </c>
      <c r="AA170" s="66">
        <f t="shared" si="142"/>
        <v>2.2791815369426573</v>
      </c>
      <c r="AB170" s="66">
        <f t="shared" si="142"/>
        <v>2.2791815369426573</v>
      </c>
      <c r="AC170" s="66">
        <f t="shared" si="142"/>
        <v>2.2791815369426573</v>
      </c>
    </row>
    <row r="171" spans="1:29" x14ac:dyDescent="0.3">
      <c r="A171" s="30" t="str">
        <f t="shared" si="139"/>
        <v>Residual value (costumization)</v>
      </c>
      <c r="B171" s="66">
        <f>((1+B141)^B149)*B141/(((1+B141)^B149)-1)*(B140)/B153</f>
        <v>-0.11395907684713286</v>
      </c>
      <c r="C171" s="66">
        <f t="shared" ref="C171:AC171" si="143">((1+C141)^C149)*C141/(((1+C141)^C149)-1)*(C140)/C153</f>
        <v>-0.11395907684713286</v>
      </c>
      <c r="D171" s="66">
        <f t="shared" si="143"/>
        <v>-0.11395907684713286</v>
      </c>
      <c r="E171" s="66">
        <f t="shared" si="143"/>
        <v>-0.11395907684713286</v>
      </c>
      <c r="F171" s="66">
        <f t="shared" si="143"/>
        <v>-0.11395907684713286</v>
      </c>
      <c r="G171" s="66">
        <f t="shared" si="143"/>
        <v>-0.11395907684713286</v>
      </c>
      <c r="H171" s="66">
        <f t="shared" si="143"/>
        <v>-0.11395907684713286</v>
      </c>
      <c r="I171" s="66">
        <f t="shared" si="143"/>
        <v>-0.11395907684713286</v>
      </c>
      <c r="J171" s="66">
        <f t="shared" si="143"/>
        <v>-0.11395907684713286</v>
      </c>
      <c r="K171" s="66">
        <f t="shared" si="143"/>
        <v>-0.11395907684713286</v>
      </c>
      <c r="L171" s="66">
        <f t="shared" si="143"/>
        <v>-0.11395907684713286</v>
      </c>
      <c r="M171" s="66">
        <f t="shared" si="143"/>
        <v>-0.11395907684713286</v>
      </c>
      <c r="N171" s="66">
        <f t="shared" si="143"/>
        <v>-0.11395907684713286</v>
      </c>
      <c r="O171" s="66">
        <f t="shared" si="143"/>
        <v>-0.11395907684713286</v>
      </c>
      <c r="P171" s="66">
        <f t="shared" si="143"/>
        <v>-0.11395907684713286</v>
      </c>
      <c r="Q171" s="66">
        <f t="shared" si="143"/>
        <v>-0.11395907684713286</v>
      </c>
      <c r="R171" s="66">
        <f t="shared" si="143"/>
        <v>-0.11395907684713286</v>
      </c>
      <c r="S171" s="66">
        <f t="shared" si="143"/>
        <v>-0.11395907684713286</v>
      </c>
      <c r="T171" s="66">
        <f t="shared" si="143"/>
        <v>-0.11395907684713286</v>
      </c>
      <c r="U171" s="66">
        <f t="shared" si="143"/>
        <v>-0.11395907684713286</v>
      </c>
      <c r="V171" s="66">
        <f t="shared" si="143"/>
        <v>-0.11395907684713286</v>
      </c>
      <c r="W171" s="66">
        <f t="shared" si="143"/>
        <v>-0.11395907684713286</v>
      </c>
      <c r="X171" s="66">
        <f t="shared" si="143"/>
        <v>-0.11395907684713286</v>
      </c>
      <c r="Y171" s="66">
        <f t="shared" si="143"/>
        <v>-0.11395907684713286</v>
      </c>
      <c r="Z171" s="66">
        <f t="shared" si="143"/>
        <v>-0.11395907684713286</v>
      </c>
      <c r="AA171" s="66">
        <f t="shared" si="143"/>
        <v>-0.11395907684713286</v>
      </c>
      <c r="AB171" s="66">
        <f t="shared" si="143"/>
        <v>-0.11395907684713286</v>
      </c>
      <c r="AC171" s="66">
        <f t="shared" si="143"/>
        <v>-0.11395907684713286</v>
      </c>
    </row>
    <row r="172" spans="1:29" x14ac:dyDescent="0.3">
      <c r="A172" s="30" t="str">
        <f t="shared" si="139"/>
        <v>Opex fix (admin, crew, insurance)</v>
      </c>
      <c r="B172" s="66">
        <f>B142/B153</f>
        <v>3.473389355742297</v>
      </c>
      <c r="C172" s="66">
        <f t="shared" ref="C172:AC172" si="144">C142/C153</f>
        <v>3.473389355742297</v>
      </c>
      <c r="D172" s="66">
        <f t="shared" si="144"/>
        <v>3.473389355742297</v>
      </c>
      <c r="E172" s="66">
        <f t="shared" si="144"/>
        <v>3.473389355742297</v>
      </c>
      <c r="F172" s="66">
        <f t="shared" si="144"/>
        <v>3.473389355742297</v>
      </c>
      <c r="G172" s="66">
        <f t="shared" si="144"/>
        <v>3.473389355742297</v>
      </c>
      <c r="H172" s="66">
        <f t="shared" si="144"/>
        <v>3.473389355742297</v>
      </c>
      <c r="I172" s="66">
        <f t="shared" si="144"/>
        <v>3.473389355742297</v>
      </c>
      <c r="J172" s="66">
        <f t="shared" si="144"/>
        <v>3.473389355742297</v>
      </c>
      <c r="K172" s="66">
        <f t="shared" si="144"/>
        <v>3.473389355742297</v>
      </c>
      <c r="L172" s="66">
        <f t="shared" si="144"/>
        <v>3.473389355742297</v>
      </c>
      <c r="M172" s="66">
        <f t="shared" si="144"/>
        <v>3.473389355742297</v>
      </c>
      <c r="N172" s="66">
        <f t="shared" si="144"/>
        <v>3.473389355742297</v>
      </c>
      <c r="O172" s="66">
        <f t="shared" si="144"/>
        <v>3.473389355742297</v>
      </c>
      <c r="P172" s="66">
        <f t="shared" si="144"/>
        <v>3.473389355742297</v>
      </c>
      <c r="Q172" s="66">
        <f t="shared" si="144"/>
        <v>3.473389355742297</v>
      </c>
      <c r="R172" s="66">
        <f t="shared" si="144"/>
        <v>3.473389355742297</v>
      </c>
      <c r="S172" s="66">
        <f t="shared" si="144"/>
        <v>3.473389355742297</v>
      </c>
      <c r="T172" s="66">
        <f t="shared" si="144"/>
        <v>3.473389355742297</v>
      </c>
      <c r="U172" s="66">
        <f t="shared" si="144"/>
        <v>3.473389355742297</v>
      </c>
      <c r="V172" s="66">
        <f t="shared" si="144"/>
        <v>3.473389355742297</v>
      </c>
      <c r="W172" s="66">
        <f t="shared" si="144"/>
        <v>3.473389355742297</v>
      </c>
      <c r="X172" s="66">
        <f t="shared" si="144"/>
        <v>3.473389355742297</v>
      </c>
      <c r="Y172" s="66">
        <f t="shared" si="144"/>
        <v>3.473389355742297</v>
      </c>
      <c r="Z172" s="66">
        <f t="shared" si="144"/>
        <v>3.473389355742297</v>
      </c>
      <c r="AA172" s="66">
        <f t="shared" si="144"/>
        <v>3.473389355742297</v>
      </c>
      <c r="AB172" s="66">
        <f t="shared" si="144"/>
        <v>3.473389355742297</v>
      </c>
      <c r="AC172" s="66">
        <f t="shared" si="144"/>
        <v>3.473389355742297</v>
      </c>
    </row>
    <row r="173" spans="1:29" x14ac:dyDescent="0.3">
      <c r="A173" s="30" t="str">
        <f t="shared" si="139"/>
        <v>Opex maintenance &amp; repair</v>
      </c>
      <c r="B173" s="66">
        <f>B143/B153</f>
        <v>7.246856904861251</v>
      </c>
      <c r="C173" s="66">
        <f t="shared" ref="C173:AC173" si="145">C143/C153</f>
        <v>7.2314186839996299</v>
      </c>
      <c r="D173" s="66">
        <f t="shared" si="145"/>
        <v>7.2094986234726957</v>
      </c>
      <c r="E173" s="66">
        <f t="shared" si="145"/>
        <v>7.1785167243012031</v>
      </c>
      <c r="F173" s="66">
        <f t="shared" si="145"/>
        <v>7.1350186968241909</v>
      </c>
      <c r="G173" s="66">
        <f t="shared" si="145"/>
        <v>7.0745406483582061</v>
      </c>
      <c r="H173" s="66">
        <f t="shared" si="145"/>
        <v>6.9916275063996354</v>
      </c>
      <c r="I173" s="66">
        <f t="shared" si="145"/>
        <v>6.8802011282204152</v>
      </c>
      <c r="J173" s="66">
        <f t="shared" si="145"/>
        <v>6.7345453259470114</v>
      </c>
      <c r="K173" s="66">
        <f t="shared" si="145"/>
        <v>6.5511164620096221</v>
      </c>
      <c r="L173" s="66">
        <f t="shared" si="145"/>
        <v>6.3310070906111209</v>
      </c>
      <c r="M173" s="66">
        <f t="shared" si="145"/>
        <v>6.0821132124321657</v>
      </c>
      <c r="N173" s="66">
        <f t="shared" si="145"/>
        <v>5.8193569664245297</v>
      </c>
      <c r="O173" s="66">
        <f t="shared" si="145"/>
        <v>5.56177127186655</v>
      </c>
      <c r="P173" s="66">
        <f t="shared" si="145"/>
        <v>5.3272857120812445</v>
      </c>
      <c r="Q173" s="66">
        <f t="shared" si="145"/>
        <v>5.1280063776495748</v>
      </c>
      <c r="R173" s="66">
        <f t="shared" si="145"/>
        <v>4.9684193196765616</v>
      </c>
      <c r="S173" s="66">
        <f t="shared" si="145"/>
        <v>4.8466473114640678</v>
      </c>
      <c r="T173" s="66">
        <f t="shared" si="145"/>
        <v>4.7571351192987104</v>
      </c>
      <c r="U173" s="66">
        <f t="shared" si="145"/>
        <v>4.6931351968433184</v>
      </c>
      <c r="V173" s="66">
        <f t="shared" si="145"/>
        <v>4.6482807026882691</v>
      </c>
      <c r="W173" s="66">
        <f t="shared" si="145"/>
        <v>4.6172834902544588</v>
      </c>
      <c r="X173" s="66">
        <f t="shared" si="145"/>
        <v>4.5960705531356583</v>
      </c>
      <c r="Y173" s="66">
        <f t="shared" si="145"/>
        <v>4.5816503768907726</v>
      </c>
      <c r="Z173" s="66">
        <f t="shared" si="145"/>
        <v>4.5718924040849966</v>
      </c>
      <c r="AA173" s="66">
        <f t="shared" si="145"/>
        <v>4.5653096654426975</v>
      </c>
      <c r="AB173" s="66">
        <f t="shared" si="145"/>
        <v>4.5608781984889726</v>
      </c>
      <c r="AC173" s="66">
        <f t="shared" si="145"/>
        <v>4.5578991465246528</v>
      </c>
    </row>
    <row r="174" spans="1:29" x14ac:dyDescent="0.3">
      <c r="A174" s="30" t="str">
        <f t="shared" si="139"/>
        <v>Opex var (mode-fees, shunting)</v>
      </c>
      <c r="B174" s="66">
        <f>B144*B153/B153</f>
        <v>3.6414565826330532</v>
      </c>
      <c r="C174" s="66">
        <f t="shared" ref="C174:AC174" si="146">C144*C153/C153</f>
        <v>3.6414565826330532</v>
      </c>
      <c r="D174" s="66">
        <f t="shared" si="146"/>
        <v>3.6414565826330532</v>
      </c>
      <c r="E174" s="66">
        <f t="shared" si="146"/>
        <v>3.6414565826330532</v>
      </c>
      <c r="F174" s="66">
        <f t="shared" si="146"/>
        <v>3.6414565826330532</v>
      </c>
      <c r="G174" s="66">
        <f t="shared" si="146"/>
        <v>3.6414565826330532</v>
      </c>
      <c r="H174" s="66">
        <f t="shared" si="146"/>
        <v>3.6414565826330532</v>
      </c>
      <c r="I174" s="66">
        <f t="shared" si="146"/>
        <v>3.6414565826330532</v>
      </c>
      <c r="J174" s="66">
        <f t="shared" si="146"/>
        <v>3.6414565826330532</v>
      </c>
      <c r="K174" s="66">
        <f t="shared" si="146"/>
        <v>3.6414565826330532</v>
      </c>
      <c r="L174" s="66">
        <f t="shared" si="146"/>
        <v>3.6414565826330532</v>
      </c>
      <c r="M174" s="66">
        <f t="shared" si="146"/>
        <v>3.6414565826330532</v>
      </c>
      <c r="N174" s="66">
        <f t="shared" si="146"/>
        <v>3.6414565826330532</v>
      </c>
      <c r="O174" s="66">
        <f t="shared" si="146"/>
        <v>3.6414565826330532</v>
      </c>
      <c r="P174" s="66">
        <f t="shared" si="146"/>
        <v>3.6414565826330532</v>
      </c>
      <c r="Q174" s="66">
        <f t="shared" si="146"/>
        <v>3.6414565826330532</v>
      </c>
      <c r="R174" s="66">
        <f t="shared" si="146"/>
        <v>3.6414565826330532</v>
      </c>
      <c r="S174" s="66">
        <f t="shared" si="146"/>
        <v>3.6414565826330532</v>
      </c>
      <c r="T174" s="66">
        <f t="shared" si="146"/>
        <v>3.6414565826330532</v>
      </c>
      <c r="U174" s="66">
        <f t="shared" si="146"/>
        <v>3.6414565826330532</v>
      </c>
      <c r="V174" s="66">
        <f t="shared" si="146"/>
        <v>3.6414565826330532</v>
      </c>
      <c r="W174" s="66">
        <f t="shared" si="146"/>
        <v>3.6414565826330532</v>
      </c>
      <c r="X174" s="66">
        <f t="shared" si="146"/>
        <v>3.6414565826330532</v>
      </c>
      <c r="Y174" s="66">
        <f t="shared" si="146"/>
        <v>3.6414565826330532</v>
      </c>
      <c r="Z174" s="66">
        <f t="shared" si="146"/>
        <v>3.6414565826330532</v>
      </c>
      <c r="AA174" s="66">
        <f t="shared" si="146"/>
        <v>3.6414565826330532</v>
      </c>
      <c r="AB174" s="66">
        <f t="shared" si="146"/>
        <v>3.6414565826330532</v>
      </c>
      <c r="AC174" s="66">
        <f t="shared" si="146"/>
        <v>3.6414565826330532</v>
      </c>
    </row>
    <row r="175" spans="1:29" x14ac:dyDescent="0.3">
      <c r="A175" s="30" t="str">
        <f t="shared" si="139"/>
        <v>Fuel Cost</v>
      </c>
      <c r="B175" s="66">
        <f>B145*B146*B153/B153</f>
        <v>2.5078650576054793</v>
      </c>
      <c r="C175" s="66">
        <f t="shared" ref="C175:AC175" si="147">C145*C146*C153/C153</f>
        <v>2.5049046003842381</v>
      </c>
      <c r="D175" s="66">
        <f t="shared" si="147"/>
        <v>2.500701175516912</v>
      </c>
      <c r="E175" s="66">
        <f t="shared" si="147"/>
        <v>2.4947600383902864</v>
      </c>
      <c r="F175" s="66">
        <f t="shared" si="147"/>
        <v>2.486418789051497</v>
      </c>
      <c r="G175" s="66">
        <f t="shared" si="147"/>
        <v>2.4748214245033058</v>
      </c>
      <c r="H175" s="66">
        <f t="shared" si="147"/>
        <v>2.4589218715660066</v>
      </c>
      <c r="I175" s="66">
        <f t="shared" si="147"/>
        <v>2.4375545761454895</v>
      </c>
      <c r="J175" s="66">
        <f t="shared" si="147"/>
        <v>2.4096233931729762</v>
      </c>
      <c r="K175" s="66">
        <f t="shared" si="147"/>
        <v>2.3744487892017694</v>
      </c>
      <c r="L175" s="66">
        <f t="shared" si="147"/>
        <v>2.3322402741234858</v>
      </c>
      <c r="M175" s="66">
        <f t="shared" si="147"/>
        <v>2.2845119972979209</v>
      </c>
      <c r="N175" s="66">
        <f t="shared" si="147"/>
        <v>2.2341254512773641</v>
      </c>
      <c r="O175" s="66">
        <f t="shared" si="147"/>
        <v>2.184730418237101</v>
      </c>
      <c r="P175" s="66">
        <f t="shared" si="147"/>
        <v>2.1397651029351961</v>
      </c>
      <c r="Q175" s="66">
        <f t="shared" si="147"/>
        <v>2.1015509881126104</v>
      </c>
      <c r="R175" s="66">
        <f t="shared" si="147"/>
        <v>2.0709483258999346</v>
      </c>
      <c r="S175" s="66">
        <f t="shared" si="147"/>
        <v>2.0475971363885876</v>
      </c>
      <c r="T175" s="66">
        <f t="shared" si="147"/>
        <v>2.0304321393296423</v>
      </c>
      <c r="U175" s="66">
        <f t="shared" si="147"/>
        <v>2.0181594147527466</v>
      </c>
      <c r="V175" s="66">
        <f t="shared" si="147"/>
        <v>2.0095580472560193</v>
      </c>
      <c r="W175" s="66">
        <f t="shared" si="147"/>
        <v>2.0036139736344172</v>
      </c>
      <c r="X175" s="66">
        <f t="shared" si="147"/>
        <v>1.9995461478506049</v>
      </c>
      <c r="Y175" s="66">
        <f t="shared" si="147"/>
        <v>1.9967809124469664</v>
      </c>
      <c r="Z175" s="66">
        <f t="shared" si="147"/>
        <v>1.9949097084192176</v>
      </c>
      <c r="AA175" s="66">
        <f t="shared" si="147"/>
        <v>1.9936473922285236</v>
      </c>
      <c r="AB175" s="66">
        <f t="shared" si="147"/>
        <v>1.9927976072396028</v>
      </c>
      <c r="AC175" s="66">
        <f t="shared" si="147"/>
        <v>1.9922263396058988</v>
      </c>
    </row>
    <row r="176" spans="1:29" ht="15" thickBot="1" x14ac:dyDescent="0.35">
      <c r="A176" s="59" t="str">
        <f t="shared" ref="A176" si="148">A164</f>
        <v>Emission Cost</v>
      </c>
      <c r="B176" s="66">
        <f>B147</f>
        <v>6.2761939613426576E-2</v>
      </c>
      <c r="C176" s="66">
        <f t="shared" ref="C176:AC176" si="149">C147</f>
        <v>6.2702174954862022E-2</v>
      </c>
      <c r="D176" s="66">
        <f t="shared" si="149"/>
        <v>6.2616623177277314E-2</v>
      </c>
      <c r="E176" s="66">
        <f t="shared" si="149"/>
        <v>6.249423534317243E-2</v>
      </c>
      <c r="F176" s="66">
        <f t="shared" si="149"/>
        <v>6.2319316122020151E-2</v>
      </c>
      <c r="G176" s="66">
        <f t="shared" si="149"/>
        <v>6.2069668591824577E-2</v>
      </c>
      <c r="H176" s="66">
        <f t="shared" si="149"/>
        <v>6.1714109263582916E-2</v>
      </c>
      <c r="I176" s="66">
        <f t="shared" si="149"/>
        <v>6.120926598754526E-2</v>
      </c>
      <c r="J176" s="66">
        <f t="shared" si="149"/>
        <v>6.0495718529207473E-2</v>
      </c>
      <c r="K176" s="66">
        <f t="shared" si="149"/>
        <v>5.9493910771163734E-2</v>
      </c>
      <c r="L176" s="66">
        <f t="shared" si="149"/>
        <v>5.8101034320005455E-2</v>
      </c>
      <c r="M176" s="66">
        <f t="shared" si="149"/>
        <v>5.6191452813079128E-2</v>
      </c>
      <c r="N176" s="66">
        <f t="shared" si="149"/>
        <v>5.3625179890251798E-2</v>
      </c>
      <c r="O176" s="66">
        <f t="shared" si="149"/>
        <v>5.0270565412648349E-2</v>
      </c>
      <c r="P176" s="66">
        <f t="shared" si="149"/>
        <v>4.6045995481546684E-2</v>
      </c>
      <c r="Q176" s="66">
        <f t="shared" si="149"/>
        <v>4.0976632830523538E-2</v>
      </c>
      <c r="R176" s="66">
        <f t="shared" si="149"/>
        <v>3.5244331102105231E-2</v>
      </c>
      <c r="S176" s="66">
        <f t="shared" si="149"/>
        <v>2.9192763686456215E-2</v>
      </c>
      <c r="T176" s="66">
        <f t="shared" si="149"/>
        <v>2.32602797984078E-2</v>
      </c>
      <c r="U176" s="66">
        <f t="shared" si="149"/>
        <v>1.7859817603512018E-2</v>
      </c>
      <c r="V176" s="66">
        <f t="shared" si="149"/>
        <v>1.3270193778456035E-2</v>
      </c>
      <c r="W176" s="66">
        <f t="shared" si="149"/>
        <v>9.5947270496434117E-3</v>
      </c>
      <c r="X176" s="66">
        <f t="shared" si="149"/>
        <v>6.7901828067048406E-3</v>
      </c>
      <c r="Y176" s="66">
        <f t="shared" si="149"/>
        <v>4.7286178633715731E-3</v>
      </c>
      <c r="Z176" s="66">
        <f t="shared" si="149"/>
        <v>3.2546287528563561E-3</v>
      </c>
      <c r="AA176" s="66">
        <f t="shared" si="149"/>
        <v>2.2215800645818892E-3</v>
      </c>
      <c r="AB176" s="66">
        <f t="shared" si="149"/>
        <v>1.5076799248495282E-3</v>
      </c>
      <c r="AC176" s="66">
        <f t="shared" si="149"/>
        <v>1.0191224842221736E-3</v>
      </c>
    </row>
    <row r="177" spans="1:29" ht="15" thickBot="1" x14ac:dyDescent="0.35">
      <c r="A177" s="31" t="s">
        <v>63</v>
      </c>
      <c r="B177" s="76">
        <f>B168+B169+B170-B171+B172+B173+B174+B175+B176</f>
        <v>23.938542634556399</v>
      </c>
      <c r="C177" s="76">
        <f t="shared" ref="C177:AC177" si="150">C168+C169+C170-C171+C172+C173+C174+C175+C176</f>
        <v>23.908522616442642</v>
      </c>
      <c r="D177" s="76">
        <f t="shared" si="150"/>
        <v>23.86589779961459</v>
      </c>
      <c r="E177" s="76">
        <f t="shared" si="150"/>
        <v>23.805650248394027</v>
      </c>
      <c r="F177" s="76">
        <f t="shared" si="150"/>
        <v>23.721060684526091</v>
      </c>
      <c r="G177" s="76">
        <f t="shared" si="150"/>
        <v>23.603444037471945</v>
      </c>
      <c r="H177" s="76">
        <f t="shared" si="150"/>
        <v>23.442182712504561</v>
      </c>
      <c r="I177" s="76">
        <f t="shared" si="150"/>
        <v>23.225437762174295</v>
      </c>
      <c r="J177" s="76">
        <f t="shared" si="150"/>
        <v>22.94205662027964</v>
      </c>
      <c r="K177" s="76">
        <f t="shared" si="150"/>
        <v>22.58508275435365</v>
      </c>
      <c r="L177" s="76">
        <f t="shared" si="150"/>
        <v>22.156533626280488</v>
      </c>
      <c r="M177" s="76">
        <f t="shared" si="150"/>
        <v>21.671607009292128</v>
      </c>
      <c r="N177" s="76">
        <f t="shared" si="150"/>
        <v>21.159121633780579</v>
      </c>
      <c r="O177" s="76">
        <f t="shared" si="150"/>
        <v>20.655882170876275</v>
      </c>
      <c r="P177" s="76">
        <f t="shared" si="150"/>
        <v>20.196602134015329</v>
      </c>
      <c r="Q177" s="76">
        <f t="shared" si="150"/>
        <v>19.804800425618577</v>
      </c>
      <c r="R177" s="76">
        <f t="shared" si="150"/>
        <v>19.489364774786871</v>
      </c>
      <c r="S177" s="76">
        <f t="shared" si="150"/>
        <v>19.246995806389872</v>
      </c>
      <c r="T177" s="76">
        <f t="shared" si="150"/>
        <v>19.067351080097573</v>
      </c>
      <c r="U177" s="76">
        <f t="shared" si="150"/>
        <v>18.937748877620347</v>
      </c>
      <c r="V177" s="76">
        <f t="shared" si="150"/>
        <v>18.846112175926972</v>
      </c>
      <c r="W177" s="76">
        <f t="shared" si="150"/>
        <v>18.782281828059613</v>
      </c>
      <c r="X177" s="76">
        <f t="shared" si="150"/>
        <v>18.738310301020856</v>
      </c>
      <c r="Y177" s="76">
        <f t="shared" si="150"/>
        <v>18.708264155533051</v>
      </c>
      <c r="Z177" s="76">
        <f t="shared" si="150"/>
        <v>18.687853312163853</v>
      </c>
      <c r="AA177" s="76">
        <f t="shared" si="150"/>
        <v>18.674045441822205</v>
      </c>
      <c r="AB177" s="76">
        <f t="shared" si="150"/>
        <v>18.66473159520535</v>
      </c>
      <c r="AC177" s="76">
        <f t="shared" si="150"/>
        <v>18.658461727035515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51">A156</f>
        <v>Capex vehicle</v>
      </c>
      <c r="B180" s="65">
        <f>((1+B141)^B148)*B141/(((1+B141)^B148)-1)*(B137)/B153/(B150)</f>
        <v>2.1696909640280381E-3</v>
      </c>
      <c r="C180" s="65">
        <f t="shared" ref="C180:AC180" si="152">((1+C141)^C148)*C141/(((1+C141)^C148)-1)*(C137)/C153/(C150)</f>
        <v>2.1650687990337689E-3</v>
      </c>
      <c r="D180" s="65">
        <f t="shared" si="152"/>
        <v>2.1585059873375245E-3</v>
      </c>
      <c r="E180" s="65">
        <f t="shared" si="152"/>
        <v>2.1492300836508209E-3</v>
      </c>
      <c r="F180" s="65">
        <f t="shared" si="152"/>
        <v>2.1362068822258539E-3</v>
      </c>
      <c r="G180" s="65">
        <f t="shared" si="152"/>
        <v>2.1180999046766392E-3</v>
      </c>
      <c r="H180" s="65">
        <f t="shared" si="152"/>
        <v>2.093275915840043E-3</v>
      </c>
      <c r="I180" s="65">
        <f t="shared" si="152"/>
        <v>2.0599151348747601E-3</v>
      </c>
      <c r="J180" s="65">
        <f t="shared" si="152"/>
        <v>2.0163061493242286E-3</v>
      </c>
      <c r="K180" s="65">
        <f t="shared" si="152"/>
        <v>1.9613880028985821E-3</v>
      </c>
      <c r="L180" s="65">
        <f t="shared" si="152"/>
        <v>1.8954878036134461E-3</v>
      </c>
      <c r="M180" s="65">
        <f t="shared" si="152"/>
        <v>1.8209695944675583E-3</v>
      </c>
      <c r="N180" s="65">
        <f t="shared" si="152"/>
        <v>1.7423010268127629E-3</v>
      </c>
      <c r="O180" s="65">
        <f t="shared" si="152"/>
        <v>1.6651805094239855E-3</v>
      </c>
      <c r="P180" s="65">
        <f t="shared" si="152"/>
        <v>1.5949761150306102E-3</v>
      </c>
      <c r="Q180" s="65">
        <f t="shared" si="152"/>
        <v>1.5353123770942534E-3</v>
      </c>
      <c r="R180" s="65">
        <f t="shared" si="152"/>
        <v>1.4875324081773025E-3</v>
      </c>
      <c r="S180" s="65">
        <f t="shared" si="152"/>
        <v>1.4510741712673173E-3</v>
      </c>
      <c r="T180" s="65">
        <f t="shared" si="152"/>
        <v>1.4242744431836509E-3</v>
      </c>
      <c r="U180" s="65">
        <f t="shared" si="152"/>
        <v>1.4051130253065005E-3</v>
      </c>
      <c r="V180" s="65">
        <f t="shared" si="152"/>
        <v>1.3916837011261137E-3</v>
      </c>
      <c r="W180" s="65">
        <f t="shared" si="152"/>
        <v>1.3824032126866935E-3</v>
      </c>
      <c r="X180" s="65">
        <f t="shared" si="152"/>
        <v>1.3760521119831207E-3</v>
      </c>
      <c r="Y180" s="65">
        <f t="shared" si="152"/>
        <v>1.3717347470193894E-3</v>
      </c>
      <c r="Z180" s="65">
        <f t="shared" si="152"/>
        <v>1.3688132341895007E-3</v>
      </c>
      <c r="AA180" s="65">
        <f t="shared" si="152"/>
        <v>1.3668423785843384E-3</v>
      </c>
      <c r="AB180" s="65">
        <f t="shared" si="152"/>
        <v>1.3655156083813228E-3</v>
      </c>
      <c r="AC180" s="65">
        <f t="shared" si="152"/>
        <v>1.364623687619921E-3</v>
      </c>
    </row>
    <row r="181" spans="1:29" x14ac:dyDescent="0.3">
      <c r="A181" s="30" t="str">
        <f t="shared" si="151"/>
        <v>Residual value (vehicle)</v>
      </c>
      <c r="B181" s="68">
        <f>((1+B141)^B148)*B141/(((1+B141)^B148)-1)*(B138)/B153/(B150)</f>
        <v>-1.1028374067486764E-4</v>
      </c>
      <c r="C181" s="68">
        <f t="shared" ref="C181:AC181" si="153">((1+C141)^C148)*C141/(((1+C141)^C148)-1)*(C138)/C153/(C150)</f>
        <v>-1.1082299325753238E-4</v>
      </c>
      <c r="D181" s="68">
        <f t="shared" si="153"/>
        <v>-1.115886546220943E-4</v>
      </c>
      <c r="E181" s="68">
        <f t="shared" si="153"/>
        <v>-1.1267084338554303E-4</v>
      </c>
      <c r="F181" s="68">
        <f t="shared" si="153"/>
        <v>-1.1419021688512248E-4</v>
      </c>
      <c r="G181" s="68">
        <f t="shared" si="153"/>
        <v>-1.1630269759919755E-4</v>
      </c>
      <c r="H181" s="68">
        <f t="shared" si="153"/>
        <v>-1.1919882963013374E-4</v>
      </c>
      <c r="I181" s="68">
        <f t="shared" si="153"/>
        <v>-1.230909207427501E-4</v>
      </c>
      <c r="J181" s="68">
        <f t="shared" si="153"/>
        <v>-1.2817863572364536E-4</v>
      </c>
      <c r="K181" s="68">
        <f t="shared" si="153"/>
        <v>-1.345857528066375E-4</v>
      </c>
      <c r="L181" s="68">
        <f t="shared" si="153"/>
        <v>-1.4227410938990337E-4</v>
      </c>
      <c r="M181" s="68">
        <f t="shared" si="153"/>
        <v>-1.5096790045692366E-4</v>
      </c>
      <c r="N181" s="68">
        <f t="shared" si="153"/>
        <v>-1.6014590001664974E-4</v>
      </c>
      <c r="O181" s="68">
        <f t="shared" si="153"/>
        <v>-1.6914329371200715E-4</v>
      </c>
      <c r="P181" s="68">
        <f t="shared" si="153"/>
        <v>-1.7733380639123428E-4</v>
      </c>
      <c r="Q181" s="68">
        <f t="shared" si="153"/>
        <v>-1.842945758171425E-4</v>
      </c>
      <c r="R181" s="68">
        <f t="shared" si="153"/>
        <v>-1.8986890552412014E-4</v>
      </c>
      <c r="S181" s="68">
        <f t="shared" si="153"/>
        <v>-1.9412236649695181E-4</v>
      </c>
      <c r="T181" s="68">
        <f t="shared" si="153"/>
        <v>-1.9724900144004614E-4</v>
      </c>
      <c r="U181" s="68">
        <f t="shared" si="153"/>
        <v>-1.9948450019238032E-4</v>
      </c>
      <c r="V181" s="68">
        <f t="shared" si="153"/>
        <v>-2.0105125468009212E-4</v>
      </c>
      <c r="W181" s="68">
        <f t="shared" si="153"/>
        <v>-2.0213397833135783E-4</v>
      </c>
      <c r="X181" s="68">
        <f t="shared" si="153"/>
        <v>-2.0287494008010802E-4</v>
      </c>
      <c r="Y181" s="68">
        <f t="shared" si="153"/>
        <v>-2.0337863265920998E-4</v>
      </c>
      <c r="Z181" s="68">
        <f t="shared" si="153"/>
        <v>-2.0371947582269707E-4</v>
      </c>
      <c r="AA181" s="68">
        <f t="shared" si="153"/>
        <v>-2.0394940897663265E-4</v>
      </c>
      <c r="AB181" s="68">
        <f t="shared" si="153"/>
        <v>-2.0410419883365111E-4</v>
      </c>
      <c r="AC181" s="68">
        <f t="shared" si="153"/>
        <v>-2.0420825625581466E-4</v>
      </c>
    </row>
    <row r="182" spans="1:29" x14ac:dyDescent="0.3">
      <c r="A182" s="30" t="str">
        <f t="shared" si="151"/>
        <v>Capex costumization</v>
      </c>
      <c r="B182" s="66">
        <f>((1+B141)^B149)*B141/(((1+B141)^B149)-1)*(B139)/B153/(B150)</f>
        <v>1.0174917575636864E-3</v>
      </c>
      <c r="C182" s="66">
        <f t="shared" ref="C182:AC182" si="154">((1+C141)^C149)*C141/(((1+C141)^C149)-1)*(C139)/C153/(C150)</f>
        <v>1.0174917575636864E-3</v>
      </c>
      <c r="D182" s="66">
        <f t="shared" si="154"/>
        <v>1.0174917575636864E-3</v>
      </c>
      <c r="E182" s="66">
        <f t="shared" si="154"/>
        <v>1.0174917575636864E-3</v>
      </c>
      <c r="F182" s="66">
        <f t="shared" si="154"/>
        <v>1.0174917575636864E-3</v>
      </c>
      <c r="G182" s="66">
        <f t="shared" si="154"/>
        <v>1.0174917575636864E-3</v>
      </c>
      <c r="H182" s="66">
        <f t="shared" si="154"/>
        <v>1.0174917575636864E-3</v>
      </c>
      <c r="I182" s="66">
        <f t="shared" si="154"/>
        <v>1.0174917575636864E-3</v>
      </c>
      <c r="J182" s="66">
        <f t="shared" si="154"/>
        <v>1.0174917575636864E-3</v>
      </c>
      <c r="K182" s="66">
        <f t="shared" si="154"/>
        <v>1.0174917575636864E-3</v>
      </c>
      <c r="L182" s="66">
        <f t="shared" si="154"/>
        <v>1.0174917575636864E-3</v>
      </c>
      <c r="M182" s="66">
        <f t="shared" si="154"/>
        <v>1.0174917575636864E-3</v>
      </c>
      <c r="N182" s="66">
        <f t="shared" si="154"/>
        <v>1.0174917575636864E-3</v>
      </c>
      <c r="O182" s="66">
        <f t="shared" si="154"/>
        <v>1.0174917575636864E-3</v>
      </c>
      <c r="P182" s="66">
        <f t="shared" si="154"/>
        <v>1.0174917575636864E-3</v>
      </c>
      <c r="Q182" s="66">
        <f t="shared" si="154"/>
        <v>1.0174917575636864E-3</v>
      </c>
      <c r="R182" s="66">
        <f t="shared" si="154"/>
        <v>1.0174917575636864E-3</v>
      </c>
      <c r="S182" s="66">
        <f t="shared" si="154"/>
        <v>1.0174917575636864E-3</v>
      </c>
      <c r="T182" s="66">
        <f t="shared" si="154"/>
        <v>1.0174917575636864E-3</v>
      </c>
      <c r="U182" s="66">
        <f t="shared" si="154"/>
        <v>1.0174917575636864E-3</v>
      </c>
      <c r="V182" s="66">
        <f t="shared" si="154"/>
        <v>1.0174917575636864E-3</v>
      </c>
      <c r="W182" s="66">
        <f t="shared" si="154"/>
        <v>1.0174917575636864E-3</v>
      </c>
      <c r="X182" s="66">
        <f t="shared" si="154"/>
        <v>1.0174917575636864E-3</v>
      </c>
      <c r="Y182" s="66">
        <f t="shared" si="154"/>
        <v>1.0174917575636864E-3</v>
      </c>
      <c r="Z182" s="66">
        <f t="shared" si="154"/>
        <v>1.0174917575636864E-3</v>
      </c>
      <c r="AA182" s="66">
        <f t="shared" si="154"/>
        <v>1.0174917575636864E-3</v>
      </c>
      <c r="AB182" s="66">
        <f t="shared" si="154"/>
        <v>1.0174917575636864E-3</v>
      </c>
      <c r="AC182" s="66">
        <f t="shared" si="154"/>
        <v>1.0174917575636864E-3</v>
      </c>
    </row>
    <row r="183" spans="1:29" x14ac:dyDescent="0.3">
      <c r="A183" s="30" t="str">
        <f t="shared" si="151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55">((1+C141)^C149)*C141/(((1+C141)^C149)-1)*(C140)/C153/(C150)</f>
        <v>-5.0874587878184312E-5</v>
      </c>
      <c r="D183" s="69">
        <f t="shared" si="155"/>
        <v>-5.0874587878184312E-5</v>
      </c>
      <c r="E183" s="69">
        <f t="shared" si="155"/>
        <v>-5.0874587878184312E-5</v>
      </c>
      <c r="F183" s="69">
        <f t="shared" si="155"/>
        <v>-5.0874587878184312E-5</v>
      </c>
      <c r="G183" s="69">
        <f t="shared" si="155"/>
        <v>-5.0874587878184312E-5</v>
      </c>
      <c r="H183" s="69">
        <f t="shared" si="155"/>
        <v>-5.0874587878184312E-5</v>
      </c>
      <c r="I183" s="69">
        <f t="shared" si="155"/>
        <v>-5.0874587878184312E-5</v>
      </c>
      <c r="J183" s="69">
        <f t="shared" si="155"/>
        <v>-5.0874587878184312E-5</v>
      </c>
      <c r="K183" s="69">
        <f t="shared" si="155"/>
        <v>-5.0874587878184312E-5</v>
      </c>
      <c r="L183" s="69">
        <f t="shared" si="155"/>
        <v>-5.0874587878184312E-5</v>
      </c>
      <c r="M183" s="69">
        <f t="shared" si="155"/>
        <v>-5.0874587878184312E-5</v>
      </c>
      <c r="N183" s="69">
        <f t="shared" si="155"/>
        <v>-5.0874587878184312E-5</v>
      </c>
      <c r="O183" s="69">
        <f t="shared" si="155"/>
        <v>-5.0874587878184312E-5</v>
      </c>
      <c r="P183" s="69">
        <f t="shared" si="155"/>
        <v>-5.0874587878184312E-5</v>
      </c>
      <c r="Q183" s="69">
        <f t="shared" si="155"/>
        <v>-5.0874587878184312E-5</v>
      </c>
      <c r="R183" s="69">
        <f t="shared" si="155"/>
        <v>-5.0874587878184312E-5</v>
      </c>
      <c r="S183" s="69">
        <f t="shared" si="155"/>
        <v>-5.0874587878184312E-5</v>
      </c>
      <c r="T183" s="69">
        <f t="shared" si="155"/>
        <v>-5.0874587878184312E-5</v>
      </c>
      <c r="U183" s="69">
        <f t="shared" si="155"/>
        <v>-5.0874587878184312E-5</v>
      </c>
      <c r="V183" s="69">
        <f t="shared" si="155"/>
        <v>-5.0874587878184312E-5</v>
      </c>
      <c r="W183" s="69">
        <f t="shared" si="155"/>
        <v>-5.0874587878184312E-5</v>
      </c>
      <c r="X183" s="69">
        <f t="shared" si="155"/>
        <v>-5.0874587878184312E-5</v>
      </c>
      <c r="Y183" s="69">
        <f t="shared" si="155"/>
        <v>-5.0874587878184312E-5</v>
      </c>
      <c r="Z183" s="69">
        <f t="shared" si="155"/>
        <v>-5.0874587878184312E-5</v>
      </c>
      <c r="AA183" s="69">
        <f t="shared" si="155"/>
        <v>-5.0874587878184312E-5</v>
      </c>
      <c r="AB183" s="69">
        <f t="shared" si="155"/>
        <v>-5.0874587878184312E-5</v>
      </c>
      <c r="AC183" s="69">
        <f t="shared" si="155"/>
        <v>-5.0874587878184312E-5</v>
      </c>
    </row>
    <row r="184" spans="1:29" x14ac:dyDescent="0.3">
      <c r="A184" s="30" t="str">
        <f t="shared" si="151"/>
        <v>Opex fix (admin, crew, insurance)</v>
      </c>
      <c r="B184" s="66">
        <f>B142/B153/(B150)</f>
        <v>1.5506202480992397E-3</v>
      </c>
      <c r="C184" s="66">
        <f t="shared" ref="C184:AC184" si="156">C142/C153/(C150)</f>
        <v>1.5506202480992397E-3</v>
      </c>
      <c r="D184" s="66">
        <f t="shared" si="156"/>
        <v>1.5506202480992397E-3</v>
      </c>
      <c r="E184" s="66">
        <f t="shared" si="156"/>
        <v>1.5506202480992397E-3</v>
      </c>
      <c r="F184" s="66">
        <f t="shared" si="156"/>
        <v>1.5506202480992397E-3</v>
      </c>
      <c r="G184" s="66">
        <f t="shared" si="156"/>
        <v>1.5506202480992397E-3</v>
      </c>
      <c r="H184" s="66">
        <f t="shared" si="156"/>
        <v>1.5506202480992397E-3</v>
      </c>
      <c r="I184" s="66">
        <f t="shared" si="156"/>
        <v>1.5506202480992397E-3</v>
      </c>
      <c r="J184" s="66">
        <f t="shared" si="156"/>
        <v>1.5506202480992397E-3</v>
      </c>
      <c r="K184" s="66">
        <f t="shared" si="156"/>
        <v>1.5506202480992397E-3</v>
      </c>
      <c r="L184" s="66">
        <f t="shared" si="156"/>
        <v>1.5506202480992397E-3</v>
      </c>
      <c r="M184" s="66">
        <f t="shared" si="156"/>
        <v>1.5506202480992397E-3</v>
      </c>
      <c r="N184" s="66">
        <f t="shared" si="156"/>
        <v>1.5506202480992397E-3</v>
      </c>
      <c r="O184" s="66">
        <f t="shared" si="156"/>
        <v>1.5506202480992397E-3</v>
      </c>
      <c r="P184" s="66">
        <f t="shared" si="156"/>
        <v>1.5506202480992397E-3</v>
      </c>
      <c r="Q184" s="66">
        <f t="shared" si="156"/>
        <v>1.5506202480992397E-3</v>
      </c>
      <c r="R184" s="66">
        <f t="shared" si="156"/>
        <v>1.5506202480992397E-3</v>
      </c>
      <c r="S184" s="66">
        <f t="shared" si="156"/>
        <v>1.5506202480992397E-3</v>
      </c>
      <c r="T184" s="66">
        <f t="shared" si="156"/>
        <v>1.5506202480992397E-3</v>
      </c>
      <c r="U184" s="66">
        <f t="shared" si="156"/>
        <v>1.5506202480992397E-3</v>
      </c>
      <c r="V184" s="66">
        <f t="shared" si="156"/>
        <v>1.5506202480992397E-3</v>
      </c>
      <c r="W184" s="66">
        <f t="shared" si="156"/>
        <v>1.5506202480992397E-3</v>
      </c>
      <c r="X184" s="66">
        <f t="shared" si="156"/>
        <v>1.5506202480992397E-3</v>
      </c>
      <c r="Y184" s="66">
        <f t="shared" si="156"/>
        <v>1.5506202480992397E-3</v>
      </c>
      <c r="Z184" s="66">
        <f t="shared" si="156"/>
        <v>1.5506202480992397E-3</v>
      </c>
      <c r="AA184" s="66">
        <f t="shared" si="156"/>
        <v>1.5506202480992397E-3</v>
      </c>
      <c r="AB184" s="66">
        <f t="shared" si="156"/>
        <v>1.5506202480992397E-3</v>
      </c>
      <c r="AC184" s="66">
        <f t="shared" si="156"/>
        <v>1.5506202480992397E-3</v>
      </c>
    </row>
    <row r="185" spans="1:29" x14ac:dyDescent="0.3">
      <c r="A185" s="30" t="str">
        <f t="shared" si="151"/>
        <v>Opex maintenance &amp; repair</v>
      </c>
      <c r="B185" s="66">
        <f>B143/B153/(B150)</f>
        <v>3.235203975384487E-3</v>
      </c>
      <c r="C185" s="66">
        <f t="shared" ref="C185:AC185" si="157">C143/C153/(C150)</f>
        <v>3.228311912499835E-3</v>
      </c>
      <c r="D185" s="66">
        <f t="shared" si="157"/>
        <v>3.2185261711931679E-3</v>
      </c>
      <c r="E185" s="66">
        <f t="shared" si="157"/>
        <v>3.2046949662058941E-3</v>
      </c>
      <c r="F185" s="66">
        <f t="shared" si="157"/>
        <v>3.1852762039393709E-3</v>
      </c>
      <c r="G185" s="66">
        <f t="shared" si="157"/>
        <v>3.1582770751599136E-3</v>
      </c>
      <c r="H185" s="66">
        <f t="shared" si="157"/>
        <v>3.1212622796426945E-3</v>
      </c>
      <c r="I185" s="66">
        <f t="shared" si="157"/>
        <v>3.0715183608126854E-3</v>
      </c>
      <c r="J185" s="66">
        <f t="shared" si="157"/>
        <v>3.0064934490834873E-3</v>
      </c>
      <c r="K185" s="66">
        <f t="shared" si="157"/>
        <v>2.9246055633971525E-3</v>
      </c>
      <c r="L185" s="66">
        <f t="shared" si="157"/>
        <v>2.826342451165679E-3</v>
      </c>
      <c r="M185" s="66">
        <f t="shared" si="157"/>
        <v>2.7152291126929309E-3</v>
      </c>
      <c r="N185" s="66">
        <f t="shared" si="157"/>
        <v>2.5979272171538078E-3</v>
      </c>
      <c r="O185" s="66">
        <f t="shared" si="157"/>
        <v>2.4829336035118526E-3</v>
      </c>
      <c r="P185" s="66">
        <f t="shared" si="157"/>
        <v>2.37825255003627E-3</v>
      </c>
      <c r="Q185" s="66">
        <f t="shared" si="157"/>
        <v>2.2892885614507032E-3</v>
      </c>
      <c r="R185" s="66">
        <f t="shared" si="157"/>
        <v>2.218044339141322E-3</v>
      </c>
      <c r="S185" s="66">
        <f t="shared" si="157"/>
        <v>2.1636818354750301E-3</v>
      </c>
      <c r="T185" s="66">
        <f t="shared" si="157"/>
        <v>2.12372103540121E-3</v>
      </c>
      <c r="U185" s="66">
        <f t="shared" si="157"/>
        <v>2.0951496414479101E-3</v>
      </c>
      <c r="V185" s="66">
        <f t="shared" si="157"/>
        <v>2.0751253137001203E-3</v>
      </c>
      <c r="W185" s="66">
        <f t="shared" si="157"/>
        <v>2.0612872724350261E-3</v>
      </c>
      <c r="X185" s="66">
        <f t="shared" si="157"/>
        <v>2.0518172112212762E-3</v>
      </c>
      <c r="Y185" s="66">
        <f t="shared" si="157"/>
        <v>2.0453796325405234E-3</v>
      </c>
      <c r="Z185" s="66">
        <f t="shared" si="157"/>
        <v>2.0410233946808022E-3</v>
      </c>
      <c r="AA185" s="66">
        <f t="shared" si="157"/>
        <v>2.0380846720726327E-3</v>
      </c>
      <c r="AB185" s="66">
        <f t="shared" si="157"/>
        <v>2.0361063386111484E-3</v>
      </c>
      <c r="AC185" s="66">
        <f t="shared" si="157"/>
        <v>2.0347764046985059E-3</v>
      </c>
    </row>
    <row r="186" spans="1:29" x14ac:dyDescent="0.3">
      <c r="A186" s="30" t="str">
        <f t="shared" si="151"/>
        <v>Opex var (mode-fees, shunting)</v>
      </c>
      <c r="B186" s="66">
        <f>B144*B153/B153/(B150)</f>
        <v>1.6256502601040416E-3</v>
      </c>
      <c r="C186" s="66">
        <f t="shared" ref="C186:AC186" si="158">C144*C153/C153/(C150)</f>
        <v>1.6256502601040416E-3</v>
      </c>
      <c r="D186" s="66">
        <f t="shared" si="158"/>
        <v>1.6256502601040416E-3</v>
      </c>
      <c r="E186" s="66">
        <f t="shared" si="158"/>
        <v>1.6256502601040416E-3</v>
      </c>
      <c r="F186" s="66">
        <f t="shared" si="158"/>
        <v>1.6256502601040416E-3</v>
      </c>
      <c r="G186" s="66">
        <f t="shared" si="158"/>
        <v>1.6256502601040416E-3</v>
      </c>
      <c r="H186" s="66">
        <f t="shared" si="158"/>
        <v>1.6256502601040416E-3</v>
      </c>
      <c r="I186" s="66">
        <f t="shared" si="158"/>
        <v>1.6256502601040416E-3</v>
      </c>
      <c r="J186" s="66">
        <f t="shared" si="158"/>
        <v>1.6256502601040416E-3</v>
      </c>
      <c r="K186" s="66">
        <f t="shared" si="158"/>
        <v>1.6256502601040416E-3</v>
      </c>
      <c r="L186" s="66">
        <f t="shared" si="158"/>
        <v>1.6256502601040416E-3</v>
      </c>
      <c r="M186" s="66">
        <f t="shared" si="158"/>
        <v>1.6256502601040416E-3</v>
      </c>
      <c r="N186" s="66">
        <f t="shared" si="158"/>
        <v>1.6256502601040416E-3</v>
      </c>
      <c r="O186" s="66">
        <f t="shared" si="158"/>
        <v>1.6256502601040416E-3</v>
      </c>
      <c r="P186" s="66">
        <f t="shared" si="158"/>
        <v>1.6256502601040416E-3</v>
      </c>
      <c r="Q186" s="66">
        <f t="shared" si="158"/>
        <v>1.6256502601040416E-3</v>
      </c>
      <c r="R186" s="66">
        <f t="shared" si="158"/>
        <v>1.6256502601040416E-3</v>
      </c>
      <c r="S186" s="66">
        <f t="shared" si="158"/>
        <v>1.6256502601040416E-3</v>
      </c>
      <c r="T186" s="66">
        <f t="shared" si="158"/>
        <v>1.6256502601040416E-3</v>
      </c>
      <c r="U186" s="66">
        <f t="shared" si="158"/>
        <v>1.6256502601040416E-3</v>
      </c>
      <c r="V186" s="66">
        <f t="shared" si="158"/>
        <v>1.6256502601040416E-3</v>
      </c>
      <c r="W186" s="66">
        <f t="shared" si="158"/>
        <v>1.6256502601040416E-3</v>
      </c>
      <c r="X186" s="66">
        <f t="shared" si="158"/>
        <v>1.6256502601040416E-3</v>
      </c>
      <c r="Y186" s="66">
        <f t="shared" si="158"/>
        <v>1.6256502601040416E-3</v>
      </c>
      <c r="Z186" s="66">
        <f t="shared" si="158"/>
        <v>1.6256502601040416E-3</v>
      </c>
      <c r="AA186" s="66">
        <f t="shared" si="158"/>
        <v>1.6256502601040416E-3</v>
      </c>
      <c r="AB186" s="66">
        <f t="shared" si="158"/>
        <v>1.6256502601040416E-3</v>
      </c>
      <c r="AC186" s="66">
        <f t="shared" si="158"/>
        <v>1.6256502601040416E-3</v>
      </c>
    </row>
    <row r="187" spans="1:29" x14ac:dyDescent="0.3">
      <c r="A187" s="30" t="str">
        <f t="shared" si="151"/>
        <v>Fuel Cost</v>
      </c>
      <c r="B187" s="66">
        <f>B145*B146*B153/B153/(B150)</f>
        <v>1.1195826150024461E-3</v>
      </c>
      <c r="C187" s="66">
        <f t="shared" ref="C187:AC187" si="159">C145*C146*C153/C153/(C150)</f>
        <v>1.118260982314392E-3</v>
      </c>
      <c r="D187" s="66">
        <f t="shared" si="159"/>
        <v>1.1163844533557642E-3</v>
      </c>
      <c r="E187" s="66">
        <f t="shared" si="159"/>
        <v>1.1137321599956635E-3</v>
      </c>
      <c r="F187" s="66">
        <f t="shared" si="159"/>
        <v>1.1100083879694183E-3</v>
      </c>
      <c r="G187" s="66">
        <f t="shared" si="159"/>
        <v>1.1048309930818329E-3</v>
      </c>
      <c r="H187" s="66">
        <f t="shared" si="159"/>
        <v>1.0977329783776815E-3</v>
      </c>
      <c r="I187" s="66">
        <f t="shared" si="159"/>
        <v>1.0881940072078079E-3</v>
      </c>
      <c r="J187" s="66">
        <f t="shared" si="159"/>
        <v>1.0757247290950787E-3</v>
      </c>
      <c r="K187" s="66">
        <f t="shared" si="159"/>
        <v>1.060021780893647E-3</v>
      </c>
      <c r="L187" s="66">
        <f t="shared" si="159"/>
        <v>1.0411786938051275E-3</v>
      </c>
      <c r="M187" s="66">
        <f t="shared" si="159"/>
        <v>1.0198714273651432E-3</v>
      </c>
      <c r="N187" s="66">
        <f t="shared" si="159"/>
        <v>9.9737743360596605E-4</v>
      </c>
      <c r="O187" s="66">
        <f t="shared" si="159"/>
        <v>9.7532607957013433E-4</v>
      </c>
      <c r="P187" s="66">
        <f t="shared" si="159"/>
        <v>9.5525227809606969E-4</v>
      </c>
      <c r="Q187" s="66">
        <f t="shared" si="159"/>
        <v>9.3819240540741534E-4</v>
      </c>
      <c r="R187" s="66">
        <f t="shared" si="159"/>
        <v>9.2453050263389936E-4</v>
      </c>
      <c r="S187" s="66">
        <f t="shared" si="159"/>
        <v>9.1410586445919088E-4</v>
      </c>
      <c r="T187" s="66">
        <f t="shared" si="159"/>
        <v>9.0644291934359033E-4</v>
      </c>
      <c r="U187" s="66">
        <f t="shared" si="159"/>
        <v>9.009640244431905E-4</v>
      </c>
      <c r="V187" s="66">
        <f t="shared" si="159"/>
        <v>8.971241282392943E-4</v>
      </c>
      <c r="W187" s="66">
        <f t="shared" si="159"/>
        <v>8.9447052394393627E-4</v>
      </c>
      <c r="X187" s="66">
        <f t="shared" si="159"/>
        <v>8.9265453029044859E-4</v>
      </c>
      <c r="Y187" s="66">
        <f t="shared" si="159"/>
        <v>8.9142005019953862E-4</v>
      </c>
      <c r="Z187" s="66">
        <f t="shared" si="159"/>
        <v>8.9058469125857928E-4</v>
      </c>
      <c r="AA187" s="66">
        <f t="shared" si="159"/>
        <v>8.9002115724487658E-4</v>
      </c>
      <c r="AB187" s="66">
        <f t="shared" si="159"/>
        <v>8.8964178894625125E-4</v>
      </c>
      <c r="AC187" s="66">
        <f t="shared" si="159"/>
        <v>8.8938675875263335E-4</v>
      </c>
    </row>
    <row r="188" spans="1:29" x14ac:dyDescent="0.3">
      <c r="A188" s="59" t="str">
        <f>A151</f>
        <v>Market failure (av. utilization)</v>
      </c>
      <c r="B188" s="66">
        <f t="shared" ref="B188:AC188" si="160">B177/B151-B177/B150</f>
        <v>2.2709554954657294E-2</v>
      </c>
      <c r="C188" s="66">
        <f t="shared" si="160"/>
        <v>2.2681076142830624E-2</v>
      </c>
      <c r="D188" s="66">
        <f t="shared" si="160"/>
        <v>2.264063965365223E-2</v>
      </c>
      <c r="E188" s="66">
        <f t="shared" si="160"/>
        <v>2.2583485168677364E-2</v>
      </c>
      <c r="F188" s="66">
        <f t="shared" si="160"/>
        <v>2.2503238372597288E-2</v>
      </c>
      <c r="G188" s="66">
        <f t="shared" si="160"/>
        <v>2.2391660080191014E-2</v>
      </c>
      <c r="H188" s="66">
        <f t="shared" si="160"/>
        <v>2.2238677796460798E-2</v>
      </c>
      <c r="I188" s="66">
        <f t="shared" si="160"/>
        <v>2.2033060377062662E-2</v>
      </c>
      <c r="J188" s="66">
        <f t="shared" si="160"/>
        <v>2.176422782057778E-2</v>
      </c>
      <c r="K188" s="66">
        <f t="shared" si="160"/>
        <v>2.1425580737947099E-2</v>
      </c>
      <c r="L188" s="66">
        <f t="shared" si="160"/>
        <v>2.1019033016002692E-2</v>
      </c>
      <c r="M188" s="66">
        <f t="shared" si="160"/>
        <v>2.0559002185154357E-2</v>
      </c>
      <c r="N188" s="66">
        <f t="shared" si="160"/>
        <v>2.007282744276059E-2</v>
      </c>
      <c r="O188" s="66">
        <f t="shared" si="160"/>
        <v>1.9595423934425035E-2</v>
      </c>
      <c r="P188" s="66">
        <f t="shared" si="160"/>
        <v>1.915972300659936E-2</v>
      </c>
      <c r="Q188" s="66">
        <f t="shared" si="160"/>
        <v>1.8788036118053332E-2</v>
      </c>
      <c r="R188" s="66">
        <f t="shared" si="160"/>
        <v>1.8488794708224149E-2</v>
      </c>
      <c r="S188" s="66">
        <f t="shared" si="160"/>
        <v>1.8258868789543962E-2</v>
      </c>
      <c r="T188" s="66">
        <f t="shared" si="160"/>
        <v>1.8088446895181846E-2</v>
      </c>
      <c r="U188" s="66">
        <f t="shared" si="160"/>
        <v>1.7965498377206797E-2</v>
      </c>
      <c r="V188" s="66">
        <f t="shared" si="160"/>
        <v>1.7878566238323575E-2</v>
      </c>
      <c r="W188" s="66">
        <f t="shared" si="160"/>
        <v>1.7818012894922623E-2</v>
      </c>
      <c r="X188" s="66">
        <f t="shared" si="160"/>
        <v>1.7776298834673798E-2</v>
      </c>
      <c r="Y188" s="66">
        <f t="shared" si="160"/>
        <v>1.7747795236833806E-2</v>
      </c>
      <c r="Z188" s="66">
        <f t="shared" si="160"/>
        <v>1.7728432271584008E-2</v>
      </c>
      <c r="AA188" s="66">
        <f t="shared" si="160"/>
        <v>1.7715333287442937E-2</v>
      </c>
      <c r="AB188" s="66">
        <f t="shared" si="160"/>
        <v>1.7706497607058641E-2</v>
      </c>
      <c r="AC188" s="66">
        <f t="shared" si="160"/>
        <v>1.7700549629442175E-2</v>
      </c>
    </row>
    <row r="189" spans="1:29" x14ac:dyDescent="0.3">
      <c r="A189" s="59" t="str">
        <f>A152</f>
        <v>Payload loss (fuel)</v>
      </c>
      <c r="B189" s="66">
        <f>B177/(B150-B152)-B177/B150</f>
        <v>3.9310036574868694E-4</v>
      </c>
      <c r="C189" s="66">
        <f t="shared" ref="C189:AC189" si="161">C177/(C150-C152)-C177/C150</f>
        <v>3.9144940075216787E-4</v>
      </c>
      <c r="D189" s="66">
        <f t="shared" si="161"/>
        <v>3.8911066709705622E-4</v>
      </c>
      <c r="E189" s="66">
        <f t="shared" si="161"/>
        <v>3.8581589375529662E-4</v>
      </c>
      <c r="F189" s="66">
        <f t="shared" si="161"/>
        <v>3.8121142696148982E-4</v>
      </c>
      <c r="G189" s="66">
        <f t="shared" si="161"/>
        <v>3.7485091606327854E-4</v>
      </c>
      <c r="H189" s="66">
        <f t="shared" si="161"/>
        <v>3.6620899984825608E-4</v>
      </c>
      <c r="I189" s="66">
        <f t="shared" si="161"/>
        <v>3.5473718361280111E-4</v>
      </c>
      <c r="J189" s="66">
        <f t="shared" si="161"/>
        <v>3.3998622263546434E-4</v>
      </c>
      <c r="K189" s="66">
        <f t="shared" si="161"/>
        <v>3.2180340171740658E-4</v>
      </c>
      <c r="L189" s="66">
        <f t="shared" si="161"/>
        <v>3.0056116975826427E-4</v>
      </c>
      <c r="M189" s="66">
        <f t="shared" si="161"/>
        <v>2.7729492391027032E-4</v>
      </c>
      <c r="N189" s="66">
        <f t="shared" si="161"/>
        <v>2.5359571693085031E-4</v>
      </c>
      <c r="O189" s="66">
        <f t="shared" si="161"/>
        <v>2.312167089493361E-4</v>
      </c>
      <c r="P189" s="66">
        <f t="shared" si="161"/>
        <v>2.1157289369847128E-4</v>
      </c>
      <c r="Q189" s="66">
        <f t="shared" si="161"/>
        <v>1.954173747414148E-4</v>
      </c>
      <c r="R189" s="66">
        <f t="shared" si="161"/>
        <v>1.8283057953839658E-4</v>
      </c>
      <c r="S189" s="66">
        <f t="shared" si="161"/>
        <v>1.7343086878869249E-4</v>
      </c>
      <c r="T189" s="66">
        <f t="shared" si="161"/>
        <v>1.666301179376363E-4</v>
      </c>
      <c r="U189" s="66">
        <f t="shared" si="161"/>
        <v>1.6182140792394585E-4</v>
      </c>
      <c r="V189" s="66">
        <f t="shared" si="161"/>
        <v>1.584762942725363E-4</v>
      </c>
      <c r="W189" s="66">
        <f t="shared" si="161"/>
        <v>1.5617587637372157E-4</v>
      </c>
      <c r="X189" s="66">
        <f t="shared" si="161"/>
        <v>1.5460652684271686E-4</v>
      </c>
      <c r="Y189" s="66">
        <f t="shared" si="161"/>
        <v>1.5354185750365498E-4</v>
      </c>
      <c r="Z189" s="66">
        <f t="shared" si="161"/>
        <v>1.5282233916429772E-4</v>
      </c>
      <c r="AA189" s="66">
        <f t="shared" si="161"/>
        <v>1.5233735725516534E-4</v>
      </c>
      <c r="AB189" s="66">
        <f t="shared" si="161"/>
        <v>1.5201104776454109E-4</v>
      </c>
      <c r="AC189" s="66">
        <f t="shared" si="161"/>
        <v>1.5179176478605921E-4</v>
      </c>
    </row>
    <row r="190" spans="1:29" ht="15" thickBot="1" x14ac:dyDescent="0.35">
      <c r="A190" s="59" t="str">
        <f>A127</f>
        <v>Emission Cost</v>
      </c>
      <c r="B190" s="68">
        <f>B147*B153/B153/(B150)</f>
        <v>2.8018723041708291E-5</v>
      </c>
      <c r="C190" s="68">
        <f t="shared" ref="C190:AC190" si="162">C147*C153/C153/(C150)</f>
        <v>2.7992042390563403E-5</v>
      </c>
      <c r="D190" s="68">
        <f t="shared" si="162"/>
        <v>2.7953849632713087E-5</v>
      </c>
      <c r="E190" s="68">
        <f t="shared" si="162"/>
        <v>2.7899212206773402E-5</v>
      </c>
      <c r="F190" s="68">
        <f t="shared" si="162"/>
        <v>2.7821123268758994E-5</v>
      </c>
      <c r="G190" s="68">
        <f t="shared" si="162"/>
        <v>2.7709673478493116E-5</v>
      </c>
      <c r="H190" s="68">
        <f t="shared" si="162"/>
        <v>2.7550941635528091E-5</v>
      </c>
      <c r="I190" s="68">
        <f t="shared" si="162"/>
        <v>2.7325565173011279E-5</v>
      </c>
      <c r="J190" s="68">
        <f t="shared" si="162"/>
        <v>2.7007017200539052E-5</v>
      </c>
      <c r="K190" s="68">
        <f t="shared" si="162"/>
        <v>2.6559781594269528E-5</v>
      </c>
      <c r="L190" s="68">
        <f t="shared" si="162"/>
        <v>2.5937961750002434E-5</v>
      </c>
      <c r="M190" s="68">
        <f t="shared" si="162"/>
        <v>2.5085470005838896E-5</v>
      </c>
      <c r="N190" s="68">
        <f t="shared" si="162"/>
        <v>2.3939812451005268E-5</v>
      </c>
      <c r="O190" s="68">
        <f t="shared" si="162"/>
        <v>2.2442216702075155E-5</v>
      </c>
      <c r="P190" s="68">
        <f t="shared" si="162"/>
        <v>2.0556247982833342E-5</v>
      </c>
      <c r="Q190" s="68">
        <f t="shared" si="162"/>
        <v>1.8293139656483724E-5</v>
      </c>
      <c r="R190" s="68">
        <f t="shared" si="162"/>
        <v>1.5734076384868407E-5</v>
      </c>
      <c r="S190" s="68">
        <f t="shared" si="162"/>
        <v>1.3032483788596525E-5</v>
      </c>
      <c r="T190" s="68">
        <f t="shared" si="162"/>
        <v>1.0384053481432056E-5</v>
      </c>
      <c r="U190" s="68">
        <f t="shared" si="162"/>
        <v>7.973132858710722E-6</v>
      </c>
      <c r="V190" s="68">
        <f t="shared" si="162"/>
        <v>5.9241936510964439E-6</v>
      </c>
      <c r="W190" s="68">
        <f t="shared" si="162"/>
        <v>4.2833602900193802E-6</v>
      </c>
      <c r="X190" s="68">
        <f t="shared" si="162"/>
        <v>3.0313316101360892E-6</v>
      </c>
      <c r="Y190" s="68">
        <f t="shared" si="162"/>
        <v>2.1109901175765951E-6</v>
      </c>
      <c r="Z190" s="68">
        <f t="shared" si="162"/>
        <v>1.4529592646680163E-6</v>
      </c>
      <c r="AA190" s="68">
        <f t="shared" si="162"/>
        <v>9.9177681454548619E-7</v>
      </c>
      <c r="AB190" s="68">
        <f t="shared" si="162"/>
        <v>6.730713950221108E-7</v>
      </c>
      <c r="AC190" s="68">
        <f t="shared" si="162"/>
        <v>4.5496539474204176E-7</v>
      </c>
    </row>
    <row r="191" spans="1:29" ht="15" thickBot="1" x14ac:dyDescent="0.35">
      <c r="A191" s="31" t="s">
        <v>210</v>
      </c>
      <c r="B191" s="67">
        <f>B180+B181+B182+B183+B184+B185+B186+B187+B188+B189+B190</f>
        <v>3.3687755535076573E-2</v>
      </c>
      <c r="C191" s="67">
        <f t="shared" ref="C191:AC191" si="163">C180+C181+C182+C183+C184+C185+C186+C187+C188+C189+C190</f>
        <v>3.3644223964452602E-2</v>
      </c>
      <c r="D191" s="67">
        <f t="shared" si="163"/>
        <v>3.3582419805535148E-2</v>
      </c>
      <c r="E191" s="67">
        <f t="shared" si="163"/>
        <v>3.3495074318995052E-2</v>
      </c>
      <c r="F191" s="67">
        <f t="shared" si="163"/>
        <v>3.3372459857965837E-2</v>
      </c>
      <c r="G191" s="67">
        <f t="shared" si="163"/>
        <v>3.3202013622940757E-2</v>
      </c>
      <c r="H191" s="67">
        <f t="shared" si="163"/>
        <v>3.2968397760063654E-2</v>
      </c>
      <c r="I191" s="67">
        <f t="shared" si="163"/>
        <v>3.2654547385889764E-2</v>
      </c>
      <c r="J191" s="67">
        <f t="shared" si="163"/>
        <v>3.2244454430081719E-2</v>
      </c>
      <c r="K191" s="67">
        <f t="shared" si="163"/>
        <v>3.1728261193530304E-2</v>
      </c>
      <c r="L191" s="67">
        <f t="shared" si="163"/>
        <v>3.1109154664594092E-2</v>
      </c>
      <c r="M191" s="67">
        <f t="shared" si="163"/>
        <v>3.0409372491027955E-2</v>
      </c>
      <c r="N191" s="67">
        <f t="shared" si="163"/>
        <v>2.9670710427587118E-2</v>
      </c>
      <c r="O191" s="67">
        <f t="shared" si="163"/>
        <v>2.8946267436759193E-2</v>
      </c>
      <c r="P191" s="67">
        <f t="shared" si="163"/>
        <v>2.8285886962941161E-2</v>
      </c>
      <c r="Q191" s="67">
        <f t="shared" si="163"/>
        <v>2.7723133078475244E-2</v>
      </c>
      <c r="R191" s="67">
        <f t="shared" si="163"/>
        <v>2.72704853864646E-2</v>
      </c>
      <c r="S191" s="67">
        <f t="shared" si="163"/>
        <v>2.692295932471462E-2</v>
      </c>
      <c r="T191" s="67">
        <f t="shared" si="163"/>
        <v>2.6665538140978107E-2</v>
      </c>
      <c r="U191" s="67">
        <f t="shared" si="163"/>
        <v>2.6479922786883457E-2</v>
      </c>
      <c r="V191" s="67">
        <f t="shared" si="163"/>
        <v>2.6348736292521425E-2</v>
      </c>
      <c r="W191" s="67">
        <f t="shared" si="163"/>
        <v>2.6257386840209448E-2</v>
      </c>
      <c r="X191" s="67">
        <f t="shared" si="163"/>
        <v>2.619447328443017E-2</v>
      </c>
      <c r="Y191" s="67">
        <f t="shared" si="163"/>
        <v>2.6151491559444063E-2</v>
      </c>
      <c r="Z191" s="67">
        <f t="shared" si="163"/>
        <v>2.6122297092207938E-2</v>
      </c>
      <c r="AA191" s="67">
        <f t="shared" si="163"/>
        <v>2.6102548898326649E-2</v>
      </c>
      <c r="AB191" s="67">
        <f t="shared" si="163"/>
        <v>2.6089228941212059E-2</v>
      </c>
      <c r="AC191" s="67">
        <f t="shared" si="163"/>
        <v>2.6080262632327007E-2</v>
      </c>
    </row>
    <row r="193" spans="2:2" x14ac:dyDescent="0.3">
      <c r="B193" s="40"/>
    </row>
    <row r="215" spans="1:44" s="3" customFormat="1" ht="21" x14ac:dyDescent="0.4">
      <c r="A215" s="2" t="str">
        <f>'Parameter Input'!A100</f>
        <v>Railway long-haul: Container</v>
      </c>
    </row>
    <row r="216" spans="1:44" s="3" customFormat="1" ht="21" x14ac:dyDescent="0.4">
      <c r="A216" s="2" t="s">
        <v>87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Input'!$L$101</f>
        <v>10000000</v>
      </c>
      <c r="C225" s="42">
        <f>'Parameter Input'!$M$101</f>
        <v>6250000</v>
      </c>
      <c r="D225" s="1" t="s">
        <v>15</v>
      </c>
      <c r="L225" s="51">
        <f>'Parameter Input'!$O$101</f>
        <v>12</v>
      </c>
      <c r="M225" s="52">
        <v>0</v>
      </c>
      <c r="N225" s="52">
        <v>1</v>
      </c>
      <c r="O225" s="52">
        <f>'Parameter Input'!$P$101</f>
        <v>0.9</v>
      </c>
      <c r="P225" s="53">
        <f>'Parameter Input'!$Q$101</f>
        <v>0.4</v>
      </c>
      <c r="Q225" s="4">
        <f t="shared" ref="Q225:AR234" si="164">$N225+($M225-$N225)*((1/(1+EXP(-$P225*(Q$9-$L225)))^$O225))</f>
        <v>0.9867978615748374</v>
      </c>
      <c r="R225" s="4">
        <f t="shared" si="164"/>
        <v>0.98114509762858249</v>
      </c>
      <c r="S225" s="4">
        <f t="shared" si="164"/>
        <v>0.97311898315872036</v>
      </c>
      <c r="T225" s="4">
        <f t="shared" si="164"/>
        <v>0.96177484161592774</v>
      </c>
      <c r="U225" s="4">
        <f t="shared" si="164"/>
        <v>0.94584787155511363</v>
      </c>
      <c r="V225" s="4">
        <f t="shared" si="164"/>
        <v>0.92370360150141495</v>
      </c>
      <c r="W225" s="4">
        <f t="shared" si="164"/>
        <v>0.89334463567658451</v>
      </c>
      <c r="X225" s="4">
        <f t="shared" si="164"/>
        <v>0.85254543874327005</v>
      </c>
      <c r="Y225" s="4">
        <f t="shared" si="164"/>
        <v>0.79921300652623883</v>
      </c>
      <c r="Z225" s="4">
        <f t="shared" si="164"/>
        <v>0.73204982249993378</v>
      </c>
      <c r="AA225" s="4">
        <f t="shared" si="164"/>
        <v>0.65145592958786691</v>
      </c>
      <c r="AB225" s="4">
        <f t="shared" si="164"/>
        <v>0.56032247880849573</v>
      </c>
      <c r="AC225" s="4">
        <f t="shared" si="164"/>
        <v>0.46411326873185343</v>
      </c>
      <c r="AD225" s="4">
        <f t="shared" si="164"/>
        <v>0.36979727595523937</v>
      </c>
      <c r="AE225" s="4">
        <f t="shared" si="164"/>
        <v>0.28393948637231203</v>
      </c>
      <c r="AF225" s="4">
        <f t="shared" si="164"/>
        <v>0.21097259161117732</v>
      </c>
      <c r="AG225" s="4">
        <f t="shared" si="164"/>
        <v>0.15253917653798199</v>
      </c>
      <c r="AH225" s="4">
        <f t="shared" si="164"/>
        <v>0.10795188737709993</v>
      </c>
      <c r="AI225" s="4">
        <f t="shared" si="164"/>
        <v>7.5176653938091809E-2</v>
      </c>
      <c r="AJ225" s="4">
        <f t="shared" si="164"/>
        <v>5.1742836177502194E-2</v>
      </c>
      <c r="AK225" s="4">
        <f t="shared" si="164"/>
        <v>3.5319190625345942E-2</v>
      </c>
      <c r="AL225" s="4">
        <f t="shared" si="164"/>
        <v>2.3969442072658165E-2</v>
      </c>
      <c r="AM225" s="4">
        <f t="shared" si="164"/>
        <v>1.6202243558389728E-2</v>
      </c>
      <c r="AN225" s="4">
        <f t="shared" si="164"/>
        <v>1.0922240564108399E-2</v>
      </c>
      <c r="AO225" s="4">
        <f t="shared" si="164"/>
        <v>7.3493212906090566E-3</v>
      </c>
      <c r="AP225" s="4">
        <f t="shared" si="164"/>
        <v>4.9390262185057265E-3</v>
      </c>
      <c r="AQ225" s="4">
        <f t="shared" si="164"/>
        <v>3.3164275492956197E-3</v>
      </c>
      <c r="AR225" s="4">
        <f t="shared" si="164"/>
        <v>2.2256362146679809E-3</v>
      </c>
    </row>
    <row r="226" spans="1:44" x14ac:dyDescent="0.3">
      <c r="A226" s="24" t="s">
        <v>28</v>
      </c>
      <c r="B226" s="60">
        <f>'Parameter Input'!$L$102</f>
        <v>-500000</v>
      </c>
      <c r="C226" s="61">
        <f>'Parameter Input'!$M$102</f>
        <v>-937500</v>
      </c>
      <c r="D226" s="1" t="s">
        <v>15</v>
      </c>
      <c r="L226" s="54">
        <f>'Parameter Input'!$O$102</f>
        <v>12</v>
      </c>
      <c r="M226" s="37">
        <v>0</v>
      </c>
      <c r="N226" s="37">
        <v>1</v>
      </c>
      <c r="O226" s="37">
        <f>'Parameter Input'!$P$102</f>
        <v>0.9</v>
      </c>
      <c r="P226" s="55">
        <f>'Parameter Input'!$Q$102</f>
        <v>0.4</v>
      </c>
      <c r="Q226" s="4">
        <f t="shared" si="164"/>
        <v>0.9867978615748374</v>
      </c>
      <c r="R226" s="4">
        <f t="shared" si="164"/>
        <v>0.98114509762858249</v>
      </c>
      <c r="S226" s="4">
        <f t="shared" si="164"/>
        <v>0.97311898315872036</v>
      </c>
      <c r="T226" s="4">
        <f t="shared" si="164"/>
        <v>0.96177484161592774</v>
      </c>
      <c r="U226" s="4">
        <f t="shared" si="164"/>
        <v>0.94584787155511363</v>
      </c>
      <c r="V226" s="4">
        <f t="shared" si="164"/>
        <v>0.92370360150141495</v>
      </c>
      <c r="W226" s="4">
        <f t="shared" si="164"/>
        <v>0.89334463567658451</v>
      </c>
      <c r="X226" s="4">
        <f t="shared" si="164"/>
        <v>0.85254543874327005</v>
      </c>
      <c r="Y226" s="4">
        <f t="shared" si="164"/>
        <v>0.79921300652623883</v>
      </c>
      <c r="Z226" s="4">
        <f t="shared" si="164"/>
        <v>0.73204982249993378</v>
      </c>
      <c r="AA226" s="4">
        <f t="shared" si="164"/>
        <v>0.65145592958786691</v>
      </c>
      <c r="AB226" s="4">
        <f t="shared" si="164"/>
        <v>0.56032247880849573</v>
      </c>
      <c r="AC226" s="4">
        <f t="shared" si="164"/>
        <v>0.46411326873185343</v>
      </c>
      <c r="AD226" s="4">
        <f t="shared" si="164"/>
        <v>0.36979727595523937</v>
      </c>
      <c r="AE226" s="4">
        <f t="shared" si="164"/>
        <v>0.28393948637231203</v>
      </c>
      <c r="AF226" s="4">
        <f t="shared" si="164"/>
        <v>0.21097259161117732</v>
      </c>
      <c r="AG226" s="4">
        <f t="shared" si="164"/>
        <v>0.15253917653798199</v>
      </c>
      <c r="AH226" s="4">
        <f t="shared" si="164"/>
        <v>0.10795188737709993</v>
      </c>
      <c r="AI226" s="4">
        <f t="shared" si="164"/>
        <v>7.5176653938091809E-2</v>
      </c>
      <c r="AJ226" s="4">
        <f t="shared" si="164"/>
        <v>5.1742836177502194E-2</v>
      </c>
      <c r="AK226" s="4">
        <f t="shared" si="164"/>
        <v>3.5319190625345942E-2</v>
      </c>
      <c r="AL226" s="4">
        <f t="shared" si="164"/>
        <v>2.3969442072658165E-2</v>
      </c>
      <c r="AM226" s="4">
        <f t="shared" si="164"/>
        <v>1.6202243558389728E-2</v>
      </c>
      <c r="AN226" s="4">
        <f t="shared" si="164"/>
        <v>1.0922240564108399E-2</v>
      </c>
      <c r="AO226" s="4">
        <f t="shared" si="164"/>
        <v>7.3493212906090566E-3</v>
      </c>
      <c r="AP226" s="4">
        <f t="shared" si="164"/>
        <v>4.9390262185057265E-3</v>
      </c>
      <c r="AQ226" s="4">
        <f t="shared" si="164"/>
        <v>3.3164275492956197E-3</v>
      </c>
      <c r="AR226" s="4">
        <f t="shared" si="164"/>
        <v>2.2256362146679809E-3</v>
      </c>
    </row>
    <row r="227" spans="1:44" x14ac:dyDescent="0.3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64"/>
        <v>0.9867978615748374</v>
      </c>
      <c r="R227" s="4">
        <f t="shared" si="164"/>
        <v>0.98114509762858249</v>
      </c>
      <c r="S227" s="4">
        <f t="shared" si="164"/>
        <v>0.97311898315872036</v>
      </c>
      <c r="T227" s="4">
        <f t="shared" si="164"/>
        <v>0.96177484161592774</v>
      </c>
      <c r="U227" s="4">
        <f t="shared" si="164"/>
        <v>0.94584787155511363</v>
      </c>
      <c r="V227" s="4">
        <f t="shared" si="164"/>
        <v>0.92370360150141495</v>
      </c>
      <c r="W227" s="4">
        <f t="shared" si="164"/>
        <v>0.89334463567658451</v>
      </c>
      <c r="X227" s="4">
        <f t="shared" si="164"/>
        <v>0.85254543874327005</v>
      </c>
      <c r="Y227" s="4">
        <f t="shared" si="164"/>
        <v>0.79921300652623883</v>
      </c>
      <c r="Z227" s="4">
        <f t="shared" si="164"/>
        <v>0.73204982249993378</v>
      </c>
      <c r="AA227" s="4">
        <f t="shared" si="164"/>
        <v>0.65145592958786691</v>
      </c>
      <c r="AB227" s="4">
        <f t="shared" si="164"/>
        <v>0.56032247880849573</v>
      </c>
      <c r="AC227" s="4">
        <f t="shared" si="164"/>
        <v>0.46411326873185343</v>
      </c>
      <c r="AD227" s="4">
        <f t="shared" si="164"/>
        <v>0.36979727595523937</v>
      </c>
      <c r="AE227" s="4">
        <f t="shared" si="164"/>
        <v>0.28393948637231203</v>
      </c>
      <c r="AF227" s="4">
        <f t="shared" si="164"/>
        <v>0.21097259161117732</v>
      </c>
      <c r="AG227" s="4">
        <f t="shared" si="164"/>
        <v>0.15253917653798199</v>
      </c>
      <c r="AH227" s="4">
        <f t="shared" si="164"/>
        <v>0.10795188737709993</v>
      </c>
      <c r="AI227" s="4">
        <f t="shared" si="164"/>
        <v>7.5176653938091809E-2</v>
      </c>
      <c r="AJ227" s="4">
        <f t="shared" si="164"/>
        <v>5.1742836177502194E-2</v>
      </c>
      <c r="AK227" s="4">
        <f t="shared" si="164"/>
        <v>3.5319190625345942E-2</v>
      </c>
      <c r="AL227" s="4">
        <f t="shared" si="164"/>
        <v>2.3969442072658165E-2</v>
      </c>
      <c r="AM227" s="4">
        <f t="shared" si="164"/>
        <v>1.6202243558389728E-2</v>
      </c>
      <c r="AN227" s="4">
        <f t="shared" si="164"/>
        <v>1.0922240564108399E-2</v>
      </c>
      <c r="AO227" s="4">
        <f t="shared" si="164"/>
        <v>7.3493212906090566E-3</v>
      </c>
      <c r="AP227" s="4">
        <f t="shared" si="164"/>
        <v>4.9390262185057265E-3</v>
      </c>
      <c r="AQ227" s="4">
        <f t="shared" si="164"/>
        <v>3.3164275492956197E-3</v>
      </c>
      <c r="AR227" s="4">
        <f t="shared" si="164"/>
        <v>2.2256362146679809E-3</v>
      </c>
    </row>
    <row r="228" spans="1:44" x14ac:dyDescent="0.3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64"/>
        <v>0.9867978615748374</v>
      </c>
      <c r="R228" s="4">
        <f t="shared" si="164"/>
        <v>0.98114509762858249</v>
      </c>
      <c r="S228" s="4">
        <f t="shared" si="164"/>
        <v>0.97311898315872036</v>
      </c>
      <c r="T228" s="4">
        <f t="shared" si="164"/>
        <v>0.96177484161592774</v>
      </c>
      <c r="U228" s="4">
        <f t="shared" si="164"/>
        <v>0.94584787155511363</v>
      </c>
      <c r="V228" s="4">
        <f t="shared" si="164"/>
        <v>0.92370360150141495</v>
      </c>
      <c r="W228" s="4">
        <f t="shared" si="164"/>
        <v>0.89334463567658451</v>
      </c>
      <c r="X228" s="4">
        <f t="shared" si="164"/>
        <v>0.85254543874327005</v>
      </c>
      <c r="Y228" s="4">
        <f t="shared" si="164"/>
        <v>0.79921300652623883</v>
      </c>
      <c r="Z228" s="4">
        <f t="shared" si="164"/>
        <v>0.73204982249993378</v>
      </c>
      <c r="AA228" s="4">
        <f t="shared" si="164"/>
        <v>0.65145592958786691</v>
      </c>
      <c r="AB228" s="4">
        <f t="shared" si="164"/>
        <v>0.56032247880849573</v>
      </c>
      <c r="AC228" s="4">
        <f t="shared" si="164"/>
        <v>0.46411326873185343</v>
      </c>
      <c r="AD228" s="4">
        <f t="shared" si="164"/>
        <v>0.36979727595523937</v>
      </c>
      <c r="AE228" s="4">
        <f t="shared" si="164"/>
        <v>0.28393948637231203</v>
      </c>
      <c r="AF228" s="4">
        <f t="shared" si="164"/>
        <v>0.21097259161117732</v>
      </c>
      <c r="AG228" s="4">
        <f t="shared" si="164"/>
        <v>0.15253917653798199</v>
      </c>
      <c r="AH228" s="4">
        <f t="shared" si="164"/>
        <v>0.10795188737709993</v>
      </c>
      <c r="AI228" s="4">
        <f t="shared" si="164"/>
        <v>7.5176653938091809E-2</v>
      </c>
      <c r="AJ228" s="4">
        <f t="shared" si="164"/>
        <v>5.1742836177502194E-2</v>
      </c>
      <c r="AK228" s="4">
        <f t="shared" si="164"/>
        <v>3.5319190625345942E-2</v>
      </c>
      <c r="AL228" s="4">
        <f t="shared" si="164"/>
        <v>2.3969442072658165E-2</v>
      </c>
      <c r="AM228" s="4">
        <f t="shared" si="164"/>
        <v>1.6202243558389728E-2</v>
      </c>
      <c r="AN228" s="4">
        <f t="shared" si="164"/>
        <v>1.0922240564108399E-2</v>
      </c>
      <c r="AO228" s="4">
        <f t="shared" si="164"/>
        <v>7.3493212906090566E-3</v>
      </c>
      <c r="AP228" s="4">
        <f t="shared" si="164"/>
        <v>4.9390262185057265E-3</v>
      </c>
      <c r="AQ228" s="4">
        <f t="shared" si="164"/>
        <v>3.3164275492956197E-3</v>
      </c>
      <c r="AR228" s="4">
        <f t="shared" si="164"/>
        <v>2.2256362146679809E-3</v>
      </c>
    </row>
    <row r="229" spans="1:44" x14ac:dyDescent="0.3">
      <c r="A229" s="24" t="s">
        <v>79</v>
      </c>
      <c r="B229" s="45">
        <f>'Parameter Input'!$L$108</f>
        <v>0.06</v>
      </c>
      <c r="C229" s="46">
        <f>'Parameter Input'!$M$108</f>
        <v>0.06</v>
      </c>
      <c r="D229" s="1" t="s">
        <v>57</v>
      </c>
      <c r="L229" s="54">
        <f>'Parameter Input'!$O$108</f>
        <v>12</v>
      </c>
      <c r="M229" s="37">
        <v>0</v>
      </c>
      <c r="N229" s="37">
        <v>1</v>
      </c>
      <c r="O229" s="37">
        <f>'Parameter Input'!$P$108</f>
        <v>0.9</v>
      </c>
      <c r="P229" s="55">
        <f>'Parameter Input'!$Q$108</f>
        <v>0.4</v>
      </c>
      <c r="Q229" s="4">
        <f t="shared" si="164"/>
        <v>0.9867978615748374</v>
      </c>
      <c r="R229" s="4">
        <f t="shared" si="164"/>
        <v>0.98114509762858249</v>
      </c>
      <c r="S229" s="4">
        <f t="shared" si="164"/>
        <v>0.97311898315872036</v>
      </c>
      <c r="T229" s="4">
        <f t="shared" si="164"/>
        <v>0.96177484161592774</v>
      </c>
      <c r="U229" s="4">
        <f t="shared" si="164"/>
        <v>0.94584787155511363</v>
      </c>
      <c r="V229" s="4">
        <f t="shared" si="164"/>
        <v>0.92370360150141495</v>
      </c>
      <c r="W229" s="4">
        <f t="shared" si="164"/>
        <v>0.89334463567658451</v>
      </c>
      <c r="X229" s="4">
        <f t="shared" si="164"/>
        <v>0.85254543874327005</v>
      </c>
      <c r="Y229" s="4">
        <f t="shared" si="164"/>
        <v>0.79921300652623883</v>
      </c>
      <c r="Z229" s="4">
        <f t="shared" si="164"/>
        <v>0.73204982249993378</v>
      </c>
      <c r="AA229" s="4">
        <f t="shared" si="164"/>
        <v>0.65145592958786691</v>
      </c>
      <c r="AB229" s="4">
        <f t="shared" si="164"/>
        <v>0.56032247880849573</v>
      </c>
      <c r="AC229" s="4">
        <f t="shared" si="164"/>
        <v>0.46411326873185343</v>
      </c>
      <c r="AD229" s="4">
        <f t="shared" si="164"/>
        <v>0.36979727595523937</v>
      </c>
      <c r="AE229" s="4">
        <f t="shared" si="164"/>
        <v>0.28393948637231203</v>
      </c>
      <c r="AF229" s="4">
        <f t="shared" si="164"/>
        <v>0.21097259161117732</v>
      </c>
      <c r="AG229" s="4">
        <f t="shared" si="164"/>
        <v>0.15253917653798199</v>
      </c>
      <c r="AH229" s="4">
        <f t="shared" si="164"/>
        <v>0.10795188737709993</v>
      </c>
      <c r="AI229" s="4">
        <f t="shared" si="164"/>
        <v>7.5176653938091809E-2</v>
      </c>
      <c r="AJ229" s="4">
        <f t="shared" si="164"/>
        <v>5.1742836177502194E-2</v>
      </c>
      <c r="AK229" s="4">
        <f t="shared" si="164"/>
        <v>3.5319190625345942E-2</v>
      </c>
      <c r="AL229" s="4">
        <f t="shared" si="164"/>
        <v>2.3969442072658165E-2</v>
      </c>
      <c r="AM229" s="4">
        <f t="shared" si="164"/>
        <v>1.6202243558389728E-2</v>
      </c>
      <c r="AN229" s="4">
        <f t="shared" si="164"/>
        <v>1.0922240564108399E-2</v>
      </c>
      <c r="AO229" s="4">
        <f t="shared" si="164"/>
        <v>7.3493212906090566E-3</v>
      </c>
      <c r="AP229" s="4">
        <f t="shared" si="164"/>
        <v>4.9390262185057265E-3</v>
      </c>
      <c r="AQ229" s="4">
        <f t="shared" si="164"/>
        <v>3.3164275492956197E-3</v>
      </c>
      <c r="AR229" s="4">
        <f t="shared" si="164"/>
        <v>2.2256362146679809E-3</v>
      </c>
    </row>
    <row r="230" spans="1:44" x14ac:dyDescent="0.3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64"/>
        <v>0.9867978615748374</v>
      </c>
      <c r="R230" s="4">
        <f t="shared" si="164"/>
        <v>0.98114509762858249</v>
      </c>
      <c r="S230" s="4">
        <f t="shared" si="164"/>
        <v>0.97311898315872036</v>
      </c>
      <c r="T230" s="4">
        <f t="shared" si="164"/>
        <v>0.96177484161592774</v>
      </c>
      <c r="U230" s="4">
        <f t="shared" si="164"/>
        <v>0.94584787155511363</v>
      </c>
      <c r="V230" s="4">
        <f t="shared" si="164"/>
        <v>0.92370360150141495</v>
      </c>
      <c r="W230" s="4">
        <f t="shared" si="164"/>
        <v>0.89334463567658451</v>
      </c>
      <c r="X230" s="4">
        <f t="shared" si="164"/>
        <v>0.85254543874327005</v>
      </c>
      <c r="Y230" s="4">
        <f t="shared" si="164"/>
        <v>0.79921300652623883</v>
      </c>
      <c r="Z230" s="4">
        <f t="shared" si="164"/>
        <v>0.73204982249993378</v>
      </c>
      <c r="AA230" s="4">
        <f t="shared" si="164"/>
        <v>0.65145592958786691</v>
      </c>
      <c r="AB230" s="4">
        <f t="shared" si="164"/>
        <v>0.56032247880849573</v>
      </c>
      <c r="AC230" s="4">
        <f t="shared" si="164"/>
        <v>0.46411326873185343</v>
      </c>
      <c r="AD230" s="4">
        <f t="shared" si="164"/>
        <v>0.36979727595523937</v>
      </c>
      <c r="AE230" s="4">
        <f t="shared" si="164"/>
        <v>0.28393948637231203</v>
      </c>
      <c r="AF230" s="4">
        <f t="shared" si="164"/>
        <v>0.21097259161117732</v>
      </c>
      <c r="AG230" s="4">
        <f t="shared" si="164"/>
        <v>0.15253917653798199</v>
      </c>
      <c r="AH230" s="4">
        <f t="shared" si="164"/>
        <v>0.10795188737709993</v>
      </c>
      <c r="AI230" s="4">
        <f t="shared" si="164"/>
        <v>7.5176653938091809E-2</v>
      </c>
      <c r="AJ230" s="4">
        <f t="shared" si="164"/>
        <v>5.1742836177502194E-2</v>
      </c>
      <c r="AK230" s="4">
        <f t="shared" si="164"/>
        <v>3.5319190625345942E-2</v>
      </c>
      <c r="AL230" s="4">
        <f t="shared" si="164"/>
        <v>2.3969442072658165E-2</v>
      </c>
      <c r="AM230" s="4">
        <f t="shared" si="164"/>
        <v>1.6202243558389728E-2</v>
      </c>
      <c r="AN230" s="4">
        <f t="shared" si="164"/>
        <v>1.0922240564108399E-2</v>
      </c>
      <c r="AO230" s="4">
        <f t="shared" si="164"/>
        <v>7.3493212906090566E-3</v>
      </c>
      <c r="AP230" s="4">
        <f t="shared" si="164"/>
        <v>4.9390262185057265E-3</v>
      </c>
      <c r="AQ230" s="4">
        <f t="shared" si="164"/>
        <v>3.3164275492956197E-3</v>
      </c>
      <c r="AR230" s="4">
        <f t="shared" si="164"/>
        <v>2.2256362146679809E-3</v>
      </c>
    </row>
    <row r="231" spans="1:44" x14ac:dyDescent="0.3">
      <c r="A231" s="24" t="s">
        <v>52</v>
      </c>
      <c r="B231" s="43">
        <f>'Parameter Input'!$L$104</f>
        <v>1300000</v>
      </c>
      <c r="C231" s="44">
        <f>'Parameter Input'!$M$104</f>
        <v>812500</v>
      </c>
      <c r="D231" s="1" t="s">
        <v>38</v>
      </c>
      <c r="L231" s="54">
        <f>'Parameter Input'!$O$104</f>
        <v>12</v>
      </c>
      <c r="M231" s="37">
        <v>0</v>
      </c>
      <c r="N231" s="37">
        <v>1</v>
      </c>
      <c r="O231" s="37">
        <f>'Parameter Input'!$P$104</f>
        <v>0.9</v>
      </c>
      <c r="P231" s="55">
        <f>'Parameter Input'!$Q$104</f>
        <v>0.4</v>
      </c>
      <c r="Q231" s="4">
        <f t="shared" si="164"/>
        <v>0.9867978615748374</v>
      </c>
      <c r="R231" s="4">
        <f t="shared" si="164"/>
        <v>0.98114509762858249</v>
      </c>
      <c r="S231" s="4">
        <f t="shared" si="164"/>
        <v>0.97311898315872036</v>
      </c>
      <c r="T231" s="4">
        <f t="shared" si="164"/>
        <v>0.96177484161592774</v>
      </c>
      <c r="U231" s="4">
        <f t="shared" si="164"/>
        <v>0.94584787155511363</v>
      </c>
      <c r="V231" s="4">
        <f t="shared" si="164"/>
        <v>0.92370360150141495</v>
      </c>
      <c r="W231" s="4">
        <f t="shared" si="164"/>
        <v>0.89334463567658451</v>
      </c>
      <c r="X231" s="4">
        <f t="shared" si="164"/>
        <v>0.85254543874327005</v>
      </c>
      <c r="Y231" s="4">
        <f t="shared" si="164"/>
        <v>0.79921300652623883</v>
      </c>
      <c r="Z231" s="4">
        <f t="shared" si="164"/>
        <v>0.73204982249993378</v>
      </c>
      <c r="AA231" s="4">
        <f t="shared" si="164"/>
        <v>0.65145592958786691</v>
      </c>
      <c r="AB231" s="4">
        <f t="shared" si="164"/>
        <v>0.56032247880849573</v>
      </c>
      <c r="AC231" s="4">
        <f t="shared" si="164"/>
        <v>0.46411326873185343</v>
      </c>
      <c r="AD231" s="4">
        <f t="shared" si="164"/>
        <v>0.36979727595523937</v>
      </c>
      <c r="AE231" s="4">
        <f t="shared" si="164"/>
        <v>0.28393948637231203</v>
      </c>
      <c r="AF231" s="4">
        <f t="shared" si="164"/>
        <v>0.21097259161117732</v>
      </c>
      <c r="AG231" s="4">
        <f t="shared" si="164"/>
        <v>0.15253917653798199</v>
      </c>
      <c r="AH231" s="4">
        <f t="shared" si="164"/>
        <v>0.10795188737709993</v>
      </c>
      <c r="AI231" s="4">
        <f t="shared" si="164"/>
        <v>7.5176653938091809E-2</v>
      </c>
      <c r="AJ231" s="4">
        <f t="shared" si="164"/>
        <v>5.1742836177502194E-2</v>
      </c>
      <c r="AK231" s="4">
        <f t="shared" si="164"/>
        <v>3.5319190625345942E-2</v>
      </c>
      <c r="AL231" s="4">
        <f t="shared" si="164"/>
        <v>2.3969442072658165E-2</v>
      </c>
      <c r="AM231" s="4">
        <f t="shared" si="164"/>
        <v>1.6202243558389728E-2</v>
      </c>
      <c r="AN231" s="4">
        <f t="shared" si="164"/>
        <v>1.0922240564108399E-2</v>
      </c>
      <c r="AO231" s="4">
        <f t="shared" si="164"/>
        <v>7.3493212906090566E-3</v>
      </c>
      <c r="AP231" s="4">
        <f t="shared" si="164"/>
        <v>4.9390262185057265E-3</v>
      </c>
      <c r="AQ231" s="4">
        <f t="shared" si="164"/>
        <v>3.3164275492956197E-3</v>
      </c>
      <c r="AR231" s="4">
        <f t="shared" si="164"/>
        <v>2.2256362146679809E-3</v>
      </c>
    </row>
    <row r="232" spans="1:44" x14ac:dyDescent="0.3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64"/>
        <v>0.9867978615748374</v>
      </c>
      <c r="R232" s="4">
        <f t="shared" si="164"/>
        <v>0.98114509762858249</v>
      </c>
      <c r="S232" s="4">
        <f t="shared" si="164"/>
        <v>0.97311898315872036</v>
      </c>
      <c r="T232" s="4">
        <f t="shared" si="164"/>
        <v>0.96177484161592774</v>
      </c>
      <c r="U232" s="4">
        <f t="shared" si="164"/>
        <v>0.94584787155511363</v>
      </c>
      <c r="V232" s="4">
        <f t="shared" si="164"/>
        <v>0.92370360150141495</v>
      </c>
      <c r="W232" s="4">
        <f t="shared" si="164"/>
        <v>0.89334463567658451</v>
      </c>
      <c r="X232" s="4">
        <f t="shared" si="164"/>
        <v>0.85254543874327005</v>
      </c>
      <c r="Y232" s="4">
        <f t="shared" si="164"/>
        <v>0.79921300652623883</v>
      </c>
      <c r="Z232" s="4">
        <f t="shared" si="164"/>
        <v>0.73204982249993378</v>
      </c>
      <c r="AA232" s="4">
        <f t="shared" si="164"/>
        <v>0.65145592958786691</v>
      </c>
      <c r="AB232" s="4">
        <f t="shared" si="164"/>
        <v>0.56032247880849573</v>
      </c>
      <c r="AC232" s="4">
        <f t="shared" si="164"/>
        <v>0.46411326873185343</v>
      </c>
      <c r="AD232" s="4">
        <f t="shared" si="164"/>
        <v>0.36979727595523937</v>
      </c>
      <c r="AE232" s="4">
        <f t="shared" si="164"/>
        <v>0.28393948637231203</v>
      </c>
      <c r="AF232" s="4">
        <f t="shared" si="164"/>
        <v>0.21097259161117732</v>
      </c>
      <c r="AG232" s="4">
        <f t="shared" si="164"/>
        <v>0.15253917653798199</v>
      </c>
      <c r="AH232" s="4">
        <f t="shared" si="164"/>
        <v>0.10795188737709993</v>
      </c>
      <c r="AI232" s="4">
        <f t="shared" si="164"/>
        <v>7.5176653938091809E-2</v>
      </c>
      <c r="AJ232" s="4">
        <f t="shared" si="164"/>
        <v>5.1742836177502194E-2</v>
      </c>
      <c r="AK232" s="4">
        <f t="shared" si="164"/>
        <v>3.5319190625345942E-2</v>
      </c>
      <c r="AL232" s="4">
        <f t="shared" si="164"/>
        <v>2.3969442072658165E-2</v>
      </c>
      <c r="AM232" s="4">
        <f t="shared" si="164"/>
        <v>1.6202243558389728E-2</v>
      </c>
      <c r="AN232" s="4">
        <f t="shared" si="164"/>
        <v>1.0922240564108399E-2</v>
      </c>
      <c r="AO232" s="4">
        <f t="shared" si="164"/>
        <v>7.3493212906090566E-3</v>
      </c>
      <c r="AP232" s="4">
        <f t="shared" si="164"/>
        <v>4.9390262185057265E-3</v>
      </c>
      <c r="AQ232" s="4">
        <f t="shared" si="164"/>
        <v>3.3164275492956197E-3</v>
      </c>
      <c r="AR232" s="4">
        <f t="shared" si="164"/>
        <v>2.2256362146679809E-3</v>
      </c>
    </row>
    <row r="233" spans="1:44" x14ac:dyDescent="0.3">
      <c r="A233" s="24" t="s">
        <v>59</v>
      </c>
      <c r="B233" s="47">
        <f>'Parameter Input'!$L$105</f>
        <v>27.1614</v>
      </c>
      <c r="C233" s="48">
        <f>'Parameter Input'!$M$105</f>
        <v>27.1614</v>
      </c>
      <c r="D233" s="1" t="s">
        <v>60</v>
      </c>
      <c r="L233" s="54">
        <f>'Parameter Input'!$O$105</f>
        <v>12</v>
      </c>
      <c r="M233" s="37">
        <v>0</v>
      </c>
      <c r="N233" s="37">
        <v>1</v>
      </c>
      <c r="O233" s="37">
        <f>'Parameter Input'!$P$105</f>
        <v>0.9</v>
      </c>
      <c r="P233" s="55">
        <f>'Parameter Input'!$Q$105</f>
        <v>0.4</v>
      </c>
      <c r="Q233" s="4">
        <f t="shared" si="164"/>
        <v>0.9867978615748374</v>
      </c>
      <c r="R233" s="4">
        <f t="shared" si="164"/>
        <v>0.98114509762858249</v>
      </c>
      <c r="S233" s="4">
        <f t="shared" si="164"/>
        <v>0.97311898315872036</v>
      </c>
      <c r="T233" s="4">
        <f t="shared" si="164"/>
        <v>0.96177484161592774</v>
      </c>
      <c r="U233" s="4">
        <f t="shared" si="164"/>
        <v>0.94584787155511363</v>
      </c>
      <c r="V233" s="4">
        <f t="shared" si="164"/>
        <v>0.92370360150141495</v>
      </c>
      <c r="W233" s="4">
        <f t="shared" si="164"/>
        <v>0.89334463567658451</v>
      </c>
      <c r="X233" s="4">
        <f t="shared" si="164"/>
        <v>0.85254543874327005</v>
      </c>
      <c r="Y233" s="4">
        <f t="shared" si="164"/>
        <v>0.79921300652623883</v>
      </c>
      <c r="Z233" s="4">
        <f t="shared" si="164"/>
        <v>0.73204982249993378</v>
      </c>
      <c r="AA233" s="4">
        <f t="shared" si="164"/>
        <v>0.65145592958786691</v>
      </c>
      <c r="AB233" s="4">
        <f t="shared" si="164"/>
        <v>0.56032247880849573</v>
      </c>
      <c r="AC233" s="4">
        <f t="shared" si="164"/>
        <v>0.46411326873185343</v>
      </c>
      <c r="AD233" s="4">
        <f t="shared" si="164"/>
        <v>0.36979727595523937</v>
      </c>
      <c r="AE233" s="4">
        <f t="shared" si="164"/>
        <v>0.28393948637231203</v>
      </c>
      <c r="AF233" s="4">
        <f t="shared" si="164"/>
        <v>0.21097259161117732</v>
      </c>
      <c r="AG233" s="4">
        <f t="shared" si="164"/>
        <v>0.15253917653798199</v>
      </c>
      <c r="AH233" s="4">
        <f t="shared" si="164"/>
        <v>0.10795188737709993</v>
      </c>
      <c r="AI233" s="4">
        <f t="shared" si="164"/>
        <v>7.5176653938091809E-2</v>
      </c>
      <c r="AJ233" s="4">
        <f t="shared" si="164"/>
        <v>5.1742836177502194E-2</v>
      </c>
      <c r="AK233" s="4">
        <f t="shared" si="164"/>
        <v>3.5319190625345942E-2</v>
      </c>
      <c r="AL233" s="4">
        <f t="shared" si="164"/>
        <v>2.3969442072658165E-2</v>
      </c>
      <c r="AM233" s="4">
        <f t="shared" si="164"/>
        <v>1.6202243558389728E-2</v>
      </c>
      <c r="AN233" s="4">
        <f t="shared" si="164"/>
        <v>1.0922240564108399E-2</v>
      </c>
      <c r="AO233" s="4">
        <f t="shared" si="164"/>
        <v>7.3493212906090566E-3</v>
      </c>
      <c r="AP233" s="4">
        <f t="shared" si="164"/>
        <v>4.9390262185057265E-3</v>
      </c>
      <c r="AQ233" s="4">
        <f t="shared" si="164"/>
        <v>3.3164275492956197E-3</v>
      </c>
      <c r="AR233" s="4">
        <f t="shared" si="164"/>
        <v>2.2256362146679809E-3</v>
      </c>
    </row>
    <row r="234" spans="1:44" x14ac:dyDescent="0.3">
      <c r="A234" s="24" t="s">
        <v>67</v>
      </c>
      <c r="B234" s="45">
        <f>'Parameter Input'!$L$106</f>
        <v>9.2586511082899101E-2</v>
      </c>
      <c r="C234" s="46">
        <f>'Parameter Input'!$M$106</f>
        <v>7.3304790352502799E-2</v>
      </c>
      <c r="D234" s="1" t="s">
        <v>68</v>
      </c>
      <c r="L234" s="54">
        <f>'Parameter Input'!$O$106</f>
        <v>12</v>
      </c>
      <c r="M234" s="37">
        <v>0</v>
      </c>
      <c r="N234" s="37">
        <v>1</v>
      </c>
      <c r="O234" s="37">
        <f>'Parameter Input'!$P$106</f>
        <v>0.9</v>
      </c>
      <c r="P234" s="55">
        <f>'Parameter Input'!$Q$106</f>
        <v>0.4</v>
      </c>
      <c r="Q234" s="4">
        <f t="shared" si="164"/>
        <v>0.9867978615748374</v>
      </c>
      <c r="R234" s="4">
        <f t="shared" si="164"/>
        <v>0.98114509762858249</v>
      </c>
      <c r="S234" s="4">
        <f t="shared" si="164"/>
        <v>0.97311898315872036</v>
      </c>
      <c r="T234" s="4">
        <f t="shared" ref="T234:AI241" si="165">$N234+($M234-$N234)*((1/(1+EXP(-$P234*(T$9-$L234)))^$O234))</f>
        <v>0.96177484161592774</v>
      </c>
      <c r="U234" s="4">
        <f t="shared" si="165"/>
        <v>0.94584787155511363</v>
      </c>
      <c r="V234" s="4">
        <f t="shared" si="165"/>
        <v>0.92370360150141495</v>
      </c>
      <c r="W234" s="4">
        <f t="shared" si="165"/>
        <v>0.89334463567658451</v>
      </c>
      <c r="X234" s="4">
        <f t="shared" si="165"/>
        <v>0.85254543874327005</v>
      </c>
      <c r="Y234" s="4">
        <f t="shared" si="165"/>
        <v>0.79921300652623883</v>
      </c>
      <c r="Z234" s="4">
        <f t="shared" si="165"/>
        <v>0.73204982249993378</v>
      </c>
      <c r="AA234" s="4">
        <f t="shared" si="165"/>
        <v>0.65145592958786691</v>
      </c>
      <c r="AB234" s="4">
        <f t="shared" si="165"/>
        <v>0.56032247880849573</v>
      </c>
      <c r="AC234" s="4">
        <f t="shared" si="165"/>
        <v>0.46411326873185343</v>
      </c>
      <c r="AD234" s="4">
        <f t="shared" si="165"/>
        <v>0.36979727595523937</v>
      </c>
      <c r="AE234" s="4">
        <f t="shared" si="165"/>
        <v>0.28393948637231203</v>
      </c>
      <c r="AF234" s="4">
        <f t="shared" si="165"/>
        <v>0.21097259161117732</v>
      </c>
      <c r="AG234" s="4">
        <f t="shared" si="165"/>
        <v>0.15253917653798199</v>
      </c>
      <c r="AH234" s="4">
        <f t="shared" si="165"/>
        <v>0.10795188737709993</v>
      </c>
      <c r="AI234" s="4">
        <f t="shared" si="165"/>
        <v>7.5176653938091809E-2</v>
      </c>
      <c r="AJ234" s="4">
        <f t="shared" ref="AJ234:AR241" si="166">$N234+($M234-$N234)*((1/(1+EXP(-$P234*(AJ$9-$L234)))^$O234))</f>
        <v>5.1742836177502194E-2</v>
      </c>
      <c r="AK234" s="4">
        <f t="shared" si="166"/>
        <v>3.5319190625345942E-2</v>
      </c>
      <c r="AL234" s="4">
        <f t="shared" si="166"/>
        <v>2.3969442072658165E-2</v>
      </c>
      <c r="AM234" s="4">
        <f t="shared" si="166"/>
        <v>1.6202243558389728E-2</v>
      </c>
      <c r="AN234" s="4">
        <f t="shared" si="166"/>
        <v>1.0922240564108399E-2</v>
      </c>
      <c r="AO234" s="4">
        <f t="shared" si="166"/>
        <v>7.3493212906090566E-3</v>
      </c>
      <c r="AP234" s="4">
        <f t="shared" si="166"/>
        <v>4.9390262185057265E-3</v>
      </c>
      <c r="AQ234" s="4">
        <f t="shared" si="166"/>
        <v>3.3164275492956197E-3</v>
      </c>
      <c r="AR234" s="4">
        <f t="shared" si="166"/>
        <v>2.2256362146679809E-3</v>
      </c>
    </row>
    <row r="235" spans="1:44" x14ac:dyDescent="0.3">
      <c r="A235" s="24" t="s">
        <v>206</v>
      </c>
      <c r="B235" s="115">
        <f>'Parameter Input'!$L$109</f>
        <v>6.2900084210526327E-2</v>
      </c>
      <c r="C235" s="116">
        <f>'Parameter Input'!$M$109</f>
        <v>0</v>
      </c>
      <c r="D235" s="1" t="s">
        <v>76</v>
      </c>
      <c r="L235" s="54">
        <f>'Parameter Input'!$O$109</f>
        <v>17</v>
      </c>
      <c r="M235" s="37">
        <v>0</v>
      </c>
      <c r="N235" s="37">
        <v>1</v>
      </c>
      <c r="O235" s="37">
        <f>'Parameter Input'!$P$109</f>
        <v>0.9</v>
      </c>
      <c r="P235" s="55">
        <f>'Parameter Input'!$Q$109</f>
        <v>0.4</v>
      </c>
      <c r="Q235" s="4">
        <f t="shared" ref="Q235:AR235" si="167">$N235+($M235-$N235)*((1/(1+EXP(-$P235*(Q$9-$L235)))^$O235))</f>
        <v>0.99780374543478534</v>
      </c>
      <c r="R235" s="4">
        <f t="shared" si="167"/>
        <v>0.99685359315256394</v>
      </c>
      <c r="S235" s="4">
        <f t="shared" si="167"/>
        <v>0.99549347132349975</v>
      </c>
      <c r="T235" s="4">
        <f t="shared" si="167"/>
        <v>0.99354772139898062</v>
      </c>
      <c r="U235" s="4">
        <f t="shared" si="167"/>
        <v>0.99076681540580536</v>
      </c>
      <c r="V235" s="4">
        <f t="shared" si="167"/>
        <v>0.9867978615748374</v>
      </c>
      <c r="W235" s="4">
        <f t="shared" si="167"/>
        <v>0.98114509762858249</v>
      </c>
      <c r="X235" s="4">
        <f t="shared" si="167"/>
        <v>0.97311898315872036</v>
      </c>
      <c r="Y235" s="4">
        <f t="shared" si="167"/>
        <v>0.96177484161592774</v>
      </c>
      <c r="Z235" s="4">
        <f t="shared" si="167"/>
        <v>0.94584787155511363</v>
      </c>
      <c r="AA235" s="4">
        <f t="shared" si="167"/>
        <v>0.92370360150141495</v>
      </c>
      <c r="AB235" s="4">
        <f t="shared" si="167"/>
        <v>0.89334463567658451</v>
      </c>
      <c r="AC235" s="4">
        <f t="shared" si="167"/>
        <v>0.85254543874327005</v>
      </c>
      <c r="AD235" s="4">
        <f t="shared" si="167"/>
        <v>0.79921300652623883</v>
      </c>
      <c r="AE235" s="4">
        <f t="shared" si="167"/>
        <v>0.73204982249993378</v>
      </c>
      <c r="AF235" s="4">
        <f t="shared" si="167"/>
        <v>0.65145592958786691</v>
      </c>
      <c r="AG235" s="4">
        <f t="shared" si="167"/>
        <v>0.56032247880849573</v>
      </c>
      <c r="AH235" s="4">
        <f t="shared" si="167"/>
        <v>0.46411326873185343</v>
      </c>
      <c r="AI235" s="4">
        <f t="shared" si="167"/>
        <v>0.36979727595523937</v>
      </c>
      <c r="AJ235" s="4">
        <f t="shared" si="167"/>
        <v>0.28393948637231203</v>
      </c>
      <c r="AK235" s="4">
        <f t="shared" si="167"/>
        <v>0.21097259161117732</v>
      </c>
      <c r="AL235" s="4">
        <f t="shared" si="167"/>
        <v>0.15253917653798199</v>
      </c>
      <c r="AM235" s="4">
        <f t="shared" si="167"/>
        <v>0.10795188737709993</v>
      </c>
      <c r="AN235" s="4">
        <f t="shared" si="167"/>
        <v>7.5176653938091809E-2</v>
      </c>
      <c r="AO235" s="4">
        <f t="shared" si="167"/>
        <v>5.1742836177502194E-2</v>
      </c>
      <c r="AP235" s="4">
        <f t="shared" si="167"/>
        <v>3.5319190625345942E-2</v>
      </c>
      <c r="AQ235" s="4">
        <f t="shared" si="167"/>
        <v>2.3969442072658165E-2</v>
      </c>
      <c r="AR235" s="4">
        <f t="shared" si="167"/>
        <v>1.6202243558389728E-2</v>
      </c>
    </row>
    <row r="236" spans="1:44" x14ac:dyDescent="0.3">
      <c r="A236" s="24" t="s">
        <v>41</v>
      </c>
      <c r="B236" s="43">
        <f>'Parameter Input'!$L$103</f>
        <v>20</v>
      </c>
      <c r="C236" s="44">
        <f>'Parameter Input'!$M$103</f>
        <v>20</v>
      </c>
      <c r="D236" s="1" t="s">
        <v>42</v>
      </c>
      <c r="L236" s="54">
        <f>'Parameter Input'!$O$103</f>
        <v>12</v>
      </c>
      <c r="M236" s="37">
        <v>0</v>
      </c>
      <c r="N236" s="37">
        <v>1</v>
      </c>
      <c r="O236" s="37">
        <f>'Parameter Input'!$P$103</f>
        <v>0.9</v>
      </c>
      <c r="P236" s="55">
        <f>'Parameter Input'!$Q$103</f>
        <v>0.4</v>
      </c>
      <c r="Q236" s="4">
        <f t="shared" ref="Q236:AF241" si="168">$N236+($M236-$N236)*((1/(1+EXP(-$P236*(Q$9-$L236)))^$O236))</f>
        <v>0.9867978615748374</v>
      </c>
      <c r="R236" s="4">
        <f t="shared" si="168"/>
        <v>0.98114509762858249</v>
      </c>
      <c r="S236" s="4">
        <f t="shared" si="168"/>
        <v>0.97311898315872036</v>
      </c>
      <c r="T236" s="4">
        <f t="shared" si="168"/>
        <v>0.96177484161592774</v>
      </c>
      <c r="U236" s="4">
        <f t="shared" si="168"/>
        <v>0.94584787155511363</v>
      </c>
      <c r="V236" s="4">
        <f t="shared" si="168"/>
        <v>0.92370360150141495</v>
      </c>
      <c r="W236" s="4">
        <f t="shared" si="168"/>
        <v>0.89334463567658451</v>
      </c>
      <c r="X236" s="4">
        <f t="shared" si="168"/>
        <v>0.85254543874327005</v>
      </c>
      <c r="Y236" s="4">
        <f t="shared" si="168"/>
        <v>0.79921300652623883</v>
      </c>
      <c r="Z236" s="4">
        <f t="shared" si="168"/>
        <v>0.73204982249993378</v>
      </c>
      <c r="AA236" s="4">
        <f t="shared" si="168"/>
        <v>0.65145592958786691</v>
      </c>
      <c r="AB236" s="4">
        <f t="shared" si="168"/>
        <v>0.56032247880849573</v>
      </c>
      <c r="AC236" s="4">
        <f t="shared" si="168"/>
        <v>0.46411326873185343</v>
      </c>
      <c r="AD236" s="4">
        <f t="shared" si="168"/>
        <v>0.36979727595523937</v>
      </c>
      <c r="AE236" s="4">
        <f t="shared" si="168"/>
        <v>0.28393948637231203</v>
      </c>
      <c r="AF236" s="4">
        <f t="shared" si="168"/>
        <v>0.21097259161117732</v>
      </c>
      <c r="AG236" s="4">
        <f t="shared" si="165"/>
        <v>0.15253917653798199</v>
      </c>
      <c r="AH236" s="4">
        <f t="shared" si="165"/>
        <v>0.10795188737709993</v>
      </c>
      <c r="AI236" s="4">
        <f t="shared" si="165"/>
        <v>7.5176653938091809E-2</v>
      </c>
      <c r="AJ236" s="4">
        <f t="shared" si="166"/>
        <v>5.1742836177502194E-2</v>
      </c>
      <c r="AK236" s="4">
        <f t="shared" si="166"/>
        <v>3.5319190625345942E-2</v>
      </c>
      <c r="AL236" s="4">
        <f t="shared" si="166"/>
        <v>2.3969442072658165E-2</v>
      </c>
      <c r="AM236" s="4">
        <f t="shared" si="166"/>
        <v>1.6202243558389728E-2</v>
      </c>
      <c r="AN236" s="4">
        <f t="shared" si="166"/>
        <v>1.0922240564108399E-2</v>
      </c>
      <c r="AO236" s="4">
        <f t="shared" si="166"/>
        <v>7.3493212906090566E-3</v>
      </c>
      <c r="AP236" s="4">
        <f t="shared" si="166"/>
        <v>4.9390262185057265E-3</v>
      </c>
      <c r="AQ236" s="4">
        <f t="shared" si="166"/>
        <v>3.3164275492956197E-3</v>
      </c>
      <c r="AR236" s="4">
        <f t="shared" si="166"/>
        <v>2.2256362146679809E-3</v>
      </c>
    </row>
    <row r="237" spans="1:44" x14ac:dyDescent="0.3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68"/>
        <v>0.9867978615748374</v>
      </c>
      <c r="R237" s="4">
        <f t="shared" si="168"/>
        <v>0.98114509762858249</v>
      </c>
      <c r="S237" s="4">
        <f t="shared" si="168"/>
        <v>0.97311898315872036</v>
      </c>
      <c r="T237" s="4">
        <f t="shared" si="168"/>
        <v>0.96177484161592774</v>
      </c>
      <c r="U237" s="4">
        <f t="shared" si="168"/>
        <v>0.94584787155511363</v>
      </c>
      <c r="V237" s="4">
        <f t="shared" si="168"/>
        <v>0.92370360150141495</v>
      </c>
      <c r="W237" s="4">
        <f t="shared" si="168"/>
        <v>0.89334463567658451</v>
      </c>
      <c r="X237" s="4">
        <f t="shared" si="168"/>
        <v>0.85254543874327005</v>
      </c>
      <c r="Y237" s="4">
        <f t="shared" si="168"/>
        <v>0.79921300652623883</v>
      </c>
      <c r="Z237" s="4">
        <f t="shared" si="168"/>
        <v>0.73204982249993378</v>
      </c>
      <c r="AA237" s="4">
        <f t="shared" si="168"/>
        <v>0.65145592958786691</v>
      </c>
      <c r="AB237" s="4">
        <f t="shared" si="168"/>
        <v>0.56032247880849573</v>
      </c>
      <c r="AC237" s="4">
        <f t="shared" si="168"/>
        <v>0.46411326873185343</v>
      </c>
      <c r="AD237" s="4">
        <f t="shared" si="168"/>
        <v>0.36979727595523937</v>
      </c>
      <c r="AE237" s="4">
        <f t="shared" si="168"/>
        <v>0.28393948637231203</v>
      </c>
      <c r="AF237" s="4">
        <f t="shared" si="168"/>
        <v>0.21097259161117732</v>
      </c>
      <c r="AG237" s="4">
        <f t="shared" si="165"/>
        <v>0.15253917653798199</v>
      </c>
      <c r="AH237" s="4">
        <f t="shared" si="165"/>
        <v>0.10795188737709993</v>
      </c>
      <c r="AI237" s="4">
        <f t="shared" si="165"/>
        <v>7.5176653938091809E-2</v>
      </c>
      <c r="AJ237" s="4">
        <f t="shared" si="166"/>
        <v>5.1742836177502194E-2</v>
      </c>
      <c r="AK237" s="4">
        <f t="shared" si="166"/>
        <v>3.5319190625345942E-2</v>
      </c>
      <c r="AL237" s="4">
        <f t="shared" si="166"/>
        <v>2.3969442072658165E-2</v>
      </c>
      <c r="AM237" s="4">
        <f t="shared" si="166"/>
        <v>1.6202243558389728E-2</v>
      </c>
      <c r="AN237" s="4">
        <f t="shared" si="166"/>
        <v>1.0922240564108399E-2</v>
      </c>
      <c r="AO237" s="4">
        <f t="shared" si="166"/>
        <v>7.3493212906090566E-3</v>
      </c>
      <c r="AP237" s="4">
        <f t="shared" si="166"/>
        <v>4.9390262185057265E-3</v>
      </c>
      <c r="AQ237" s="4">
        <f t="shared" si="166"/>
        <v>3.3164275492956197E-3</v>
      </c>
      <c r="AR237" s="4">
        <f t="shared" si="166"/>
        <v>2.2256362146679809E-3</v>
      </c>
    </row>
    <row r="238" spans="1:44" x14ac:dyDescent="0.3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68"/>
        <v>0.9867978615748374</v>
      </c>
      <c r="R238" s="4">
        <f t="shared" si="168"/>
        <v>0.98114509762858249</v>
      </c>
      <c r="S238" s="4">
        <f t="shared" si="168"/>
        <v>0.97311898315872036</v>
      </c>
      <c r="T238" s="4">
        <f t="shared" si="168"/>
        <v>0.96177484161592774</v>
      </c>
      <c r="U238" s="4">
        <f t="shared" si="168"/>
        <v>0.94584787155511363</v>
      </c>
      <c r="V238" s="4">
        <f t="shared" si="168"/>
        <v>0.92370360150141495</v>
      </c>
      <c r="W238" s="4">
        <f t="shared" si="168"/>
        <v>0.89334463567658451</v>
      </c>
      <c r="X238" s="4">
        <f t="shared" si="168"/>
        <v>0.85254543874327005</v>
      </c>
      <c r="Y238" s="4">
        <f t="shared" si="168"/>
        <v>0.79921300652623883</v>
      </c>
      <c r="Z238" s="4">
        <f t="shared" si="168"/>
        <v>0.73204982249993378</v>
      </c>
      <c r="AA238" s="4">
        <f t="shared" si="168"/>
        <v>0.65145592958786691</v>
      </c>
      <c r="AB238" s="4">
        <f t="shared" si="168"/>
        <v>0.56032247880849573</v>
      </c>
      <c r="AC238" s="4">
        <f t="shared" si="168"/>
        <v>0.46411326873185343</v>
      </c>
      <c r="AD238" s="4">
        <f t="shared" si="168"/>
        <v>0.36979727595523937</v>
      </c>
      <c r="AE238" s="4">
        <f t="shared" si="168"/>
        <v>0.28393948637231203</v>
      </c>
      <c r="AF238" s="4">
        <f t="shared" si="168"/>
        <v>0.21097259161117732</v>
      </c>
      <c r="AG238" s="4">
        <f t="shared" si="165"/>
        <v>0.15253917653798199</v>
      </c>
      <c r="AH238" s="4">
        <f t="shared" si="165"/>
        <v>0.10795188737709993</v>
      </c>
      <c r="AI238" s="4">
        <f t="shared" si="165"/>
        <v>7.5176653938091809E-2</v>
      </c>
      <c r="AJ238" s="4">
        <f t="shared" si="166"/>
        <v>5.1742836177502194E-2</v>
      </c>
      <c r="AK238" s="4">
        <f t="shared" si="166"/>
        <v>3.5319190625345942E-2</v>
      </c>
      <c r="AL238" s="4">
        <f t="shared" si="166"/>
        <v>2.3969442072658165E-2</v>
      </c>
      <c r="AM238" s="4">
        <f t="shared" si="166"/>
        <v>1.6202243558389728E-2</v>
      </c>
      <c r="AN238" s="4">
        <f t="shared" si="166"/>
        <v>1.0922240564108399E-2</v>
      </c>
      <c r="AO238" s="4">
        <f t="shared" si="166"/>
        <v>7.3493212906090566E-3</v>
      </c>
      <c r="AP238" s="4">
        <f t="shared" si="166"/>
        <v>4.9390262185057265E-3</v>
      </c>
      <c r="AQ238" s="4">
        <f t="shared" si="166"/>
        <v>3.3164275492956197E-3</v>
      </c>
      <c r="AR238" s="4">
        <f t="shared" si="166"/>
        <v>2.2256362146679809E-3</v>
      </c>
    </row>
    <row r="239" spans="1:44" x14ac:dyDescent="0.3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68"/>
        <v>0.9867978615748374</v>
      </c>
      <c r="R239" s="4">
        <f t="shared" si="168"/>
        <v>0.98114509762858249</v>
      </c>
      <c r="S239" s="4">
        <f t="shared" si="168"/>
        <v>0.97311898315872036</v>
      </c>
      <c r="T239" s="4">
        <f t="shared" si="168"/>
        <v>0.96177484161592774</v>
      </c>
      <c r="U239" s="4">
        <f t="shared" si="168"/>
        <v>0.94584787155511363</v>
      </c>
      <c r="V239" s="4">
        <f t="shared" si="168"/>
        <v>0.92370360150141495</v>
      </c>
      <c r="W239" s="4">
        <f t="shared" si="168"/>
        <v>0.89334463567658451</v>
      </c>
      <c r="X239" s="4">
        <f t="shared" si="168"/>
        <v>0.85254543874327005</v>
      </c>
      <c r="Y239" s="4">
        <f t="shared" si="168"/>
        <v>0.79921300652623883</v>
      </c>
      <c r="Z239" s="4">
        <f t="shared" si="168"/>
        <v>0.73204982249993378</v>
      </c>
      <c r="AA239" s="4">
        <f t="shared" si="168"/>
        <v>0.65145592958786691</v>
      </c>
      <c r="AB239" s="4">
        <f t="shared" si="168"/>
        <v>0.56032247880849573</v>
      </c>
      <c r="AC239" s="4">
        <f t="shared" si="168"/>
        <v>0.46411326873185343</v>
      </c>
      <c r="AD239" s="4">
        <f t="shared" si="168"/>
        <v>0.36979727595523937</v>
      </c>
      <c r="AE239" s="4">
        <f t="shared" si="168"/>
        <v>0.28393948637231203</v>
      </c>
      <c r="AF239" s="4">
        <f t="shared" si="168"/>
        <v>0.21097259161117732</v>
      </c>
      <c r="AG239" s="4">
        <f t="shared" si="165"/>
        <v>0.15253917653798199</v>
      </c>
      <c r="AH239" s="4">
        <f t="shared" si="165"/>
        <v>0.10795188737709993</v>
      </c>
      <c r="AI239" s="4">
        <f t="shared" si="165"/>
        <v>7.5176653938091809E-2</v>
      </c>
      <c r="AJ239" s="4">
        <f t="shared" si="166"/>
        <v>5.1742836177502194E-2</v>
      </c>
      <c r="AK239" s="4">
        <f t="shared" si="166"/>
        <v>3.5319190625345942E-2</v>
      </c>
      <c r="AL239" s="4">
        <f t="shared" si="166"/>
        <v>2.3969442072658165E-2</v>
      </c>
      <c r="AM239" s="4">
        <f t="shared" si="166"/>
        <v>1.6202243558389728E-2</v>
      </c>
      <c r="AN239" s="4">
        <f t="shared" si="166"/>
        <v>1.0922240564108399E-2</v>
      </c>
      <c r="AO239" s="4">
        <f t="shared" si="166"/>
        <v>7.3493212906090566E-3</v>
      </c>
      <c r="AP239" s="4">
        <f t="shared" si="166"/>
        <v>4.9390262185057265E-3</v>
      </c>
      <c r="AQ239" s="4">
        <f t="shared" si="166"/>
        <v>3.3164275492956197E-3</v>
      </c>
      <c r="AR239" s="4">
        <f t="shared" si="166"/>
        <v>2.2256362146679809E-3</v>
      </c>
    </row>
    <row r="240" spans="1:44" x14ac:dyDescent="0.3">
      <c r="A240" s="24" t="s">
        <v>73</v>
      </c>
      <c r="B240" s="72">
        <f>'Parameter Input'!$L$107</f>
        <v>3.5714285714285712E-2</v>
      </c>
      <c r="C240" s="73">
        <f>'Parameter Input'!$M$107</f>
        <v>1.7857142857142856E-2</v>
      </c>
      <c r="D240" s="1" t="s">
        <v>57</v>
      </c>
      <c r="L240" s="54">
        <f>'Parameter Input'!$O$107</f>
        <v>12</v>
      </c>
      <c r="M240" s="37">
        <v>0</v>
      </c>
      <c r="N240" s="37">
        <v>1</v>
      </c>
      <c r="O240" s="37">
        <f>'Parameter Input'!$P$107</f>
        <v>0.9</v>
      </c>
      <c r="P240" s="55">
        <f>'Parameter Input'!$Q$107</f>
        <v>0.4</v>
      </c>
      <c r="Q240" s="4">
        <f t="shared" si="168"/>
        <v>0.9867978615748374</v>
      </c>
      <c r="R240" s="4">
        <f t="shared" si="168"/>
        <v>0.98114509762858249</v>
      </c>
      <c r="S240" s="4">
        <f t="shared" si="168"/>
        <v>0.97311898315872036</v>
      </c>
      <c r="T240" s="4">
        <f t="shared" si="168"/>
        <v>0.96177484161592774</v>
      </c>
      <c r="U240" s="4">
        <f t="shared" si="168"/>
        <v>0.94584787155511363</v>
      </c>
      <c r="V240" s="4">
        <f t="shared" si="168"/>
        <v>0.92370360150141495</v>
      </c>
      <c r="W240" s="4">
        <f t="shared" si="168"/>
        <v>0.89334463567658451</v>
      </c>
      <c r="X240" s="4">
        <f t="shared" si="168"/>
        <v>0.85254543874327005</v>
      </c>
      <c r="Y240" s="4">
        <f t="shared" si="168"/>
        <v>0.79921300652623883</v>
      </c>
      <c r="Z240" s="4">
        <f t="shared" si="168"/>
        <v>0.73204982249993378</v>
      </c>
      <c r="AA240" s="4">
        <f t="shared" si="168"/>
        <v>0.65145592958786691</v>
      </c>
      <c r="AB240" s="4">
        <f t="shared" si="168"/>
        <v>0.56032247880849573</v>
      </c>
      <c r="AC240" s="4">
        <f t="shared" si="168"/>
        <v>0.46411326873185343</v>
      </c>
      <c r="AD240" s="4">
        <f t="shared" si="168"/>
        <v>0.36979727595523937</v>
      </c>
      <c r="AE240" s="4">
        <f t="shared" si="168"/>
        <v>0.28393948637231203</v>
      </c>
      <c r="AF240" s="4">
        <f t="shared" si="168"/>
        <v>0.21097259161117732</v>
      </c>
      <c r="AG240" s="4">
        <f t="shared" si="165"/>
        <v>0.15253917653798199</v>
      </c>
      <c r="AH240" s="4">
        <f t="shared" si="165"/>
        <v>0.10795188737709993</v>
      </c>
      <c r="AI240" s="4">
        <f t="shared" si="165"/>
        <v>7.5176653938091809E-2</v>
      </c>
      <c r="AJ240" s="4">
        <f t="shared" si="166"/>
        <v>5.1742836177502194E-2</v>
      </c>
      <c r="AK240" s="4">
        <f t="shared" si="166"/>
        <v>3.5319190625345942E-2</v>
      </c>
      <c r="AL240" s="4">
        <f t="shared" si="166"/>
        <v>2.3969442072658165E-2</v>
      </c>
      <c r="AM240" s="4">
        <f t="shared" si="166"/>
        <v>1.6202243558389728E-2</v>
      </c>
      <c r="AN240" s="4">
        <f t="shared" si="166"/>
        <v>1.0922240564108399E-2</v>
      </c>
      <c r="AO240" s="4">
        <f t="shared" si="166"/>
        <v>7.3493212906090566E-3</v>
      </c>
      <c r="AP240" s="4">
        <f t="shared" si="166"/>
        <v>4.9390262185057265E-3</v>
      </c>
      <c r="AQ240" s="4">
        <f t="shared" si="166"/>
        <v>3.3164275492956197E-3</v>
      </c>
      <c r="AR240" s="4">
        <f t="shared" si="166"/>
        <v>2.2256362146679809E-3</v>
      </c>
    </row>
    <row r="241" spans="1:44" ht="15" thickBot="1" x14ac:dyDescent="0.35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68"/>
        <v>0.9867978615748374</v>
      </c>
      <c r="R241" s="4">
        <f t="shared" si="168"/>
        <v>0.98114509762858249</v>
      </c>
      <c r="S241" s="4">
        <f t="shared" si="168"/>
        <v>0.97311898315872036</v>
      </c>
      <c r="T241" s="4">
        <f t="shared" si="168"/>
        <v>0.96177484161592774</v>
      </c>
      <c r="U241" s="4">
        <f t="shared" si="168"/>
        <v>0.94584787155511363</v>
      </c>
      <c r="V241" s="4">
        <f t="shared" si="168"/>
        <v>0.92370360150141495</v>
      </c>
      <c r="W241" s="4">
        <f t="shared" si="168"/>
        <v>0.89334463567658451</v>
      </c>
      <c r="X241" s="4">
        <f t="shared" si="168"/>
        <v>0.85254543874327005</v>
      </c>
      <c r="Y241" s="4">
        <f t="shared" si="168"/>
        <v>0.79921300652623883</v>
      </c>
      <c r="Z241" s="4">
        <f t="shared" si="168"/>
        <v>0.73204982249993378</v>
      </c>
      <c r="AA241" s="4">
        <f t="shared" si="168"/>
        <v>0.65145592958786691</v>
      </c>
      <c r="AB241" s="4">
        <f t="shared" si="168"/>
        <v>0.56032247880849573</v>
      </c>
      <c r="AC241" s="4">
        <f t="shared" si="168"/>
        <v>0.46411326873185343</v>
      </c>
      <c r="AD241" s="4">
        <f t="shared" si="168"/>
        <v>0.36979727595523937</v>
      </c>
      <c r="AE241" s="4">
        <f t="shared" si="168"/>
        <v>0.28393948637231203</v>
      </c>
      <c r="AF241" s="4">
        <f t="shared" si="168"/>
        <v>0.21097259161117732</v>
      </c>
      <c r="AG241" s="4">
        <f t="shared" si="165"/>
        <v>0.15253917653798199</v>
      </c>
      <c r="AH241" s="4">
        <f t="shared" si="165"/>
        <v>0.10795188737709993</v>
      </c>
      <c r="AI241" s="4">
        <f t="shared" si="165"/>
        <v>7.5176653938091809E-2</v>
      </c>
      <c r="AJ241" s="4">
        <f t="shared" si="166"/>
        <v>5.1742836177502194E-2</v>
      </c>
      <c r="AK241" s="4">
        <f t="shared" si="166"/>
        <v>3.5319190625345942E-2</v>
      </c>
      <c r="AL241" s="4">
        <f t="shared" si="166"/>
        <v>2.3969442072658165E-2</v>
      </c>
      <c r="AM241" s="4">
        <f t="shared" si="166"/>
        <v>1.6202243558389728E-2</v>
      </c>
      <c r="AN241" s="4">
        <f t="shared" si="166"/>
        <v>1.0922240564108399E-2</v>
      </c>
      <c r="AO241" s="4">
        <f t="shared" si="166"/>
        <v>7.3493212906090566E-3</v>
      </c>
      <c r="AP241" s="4">
        <f t="shared" si="166"/>
        <v>4.9390262185057265E-3</v>
      </c>
      <c r="AQ241" s="4">
        <f t="shared" si="166"/>
        <v>3.3164275492956197E-3</v>
      </c>
      <c r="AR241" s="4">
        <f t="shared" si="166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69">A225</f>
        <v>Capex vehicle</v>
      </c>
      <c r="B245" s="62">
        <f t="shared" ref="B245:B254" si="170">$B225+($C225-$B225)*(1-Q225)</f>
        <v>9950491.9809056409</v>
      </c>
      <c r="C245" s="62">
        <f t="shared" ref="C245:C254" si="171">$B225+($C225-$B225)*(1-R225)</f>
        <v>9929294.1161071844</v>
      </c>
      <c r="D245" s="62">
        <f t="shared" ref="D245:D254" si="172">$B225+($C225-$B225)*(1-S225)</f>
        <v>9899196.186845202</v>
      </c>
      <c r="E245" s="62">
        <f t="shared" ref="E245:E254" si="173">$B225+($C225-$B225)*(1-T225)</f>
        <v>9856655.6560597289</v>
      </c>
      <c r="F245" s="62">
        <f t="shared" ref="F245:F254" si="174">$B225+($C225-$B225)*(1-U225)</f>
        <v>9796929.5183316767</v>
      </c>
      <c r="G245" s="62">
        <f t="shared" ref="G245:G254" si="175">$B225+($C225-$B225)*(1-V225)</f>
        <v>9713888.5056303069</v>
      </c>
      <c r="H245" s="62">
        <f t="shared" ref="H245:H254" si="176">$B225+($C225-$B225)*(1-W225)</f>
        <v>9600042.3837871924</v>
      </c>
      <c r="I245" s="62">
        <f t="shared" ref="I245:I254" si="177">$B225+($C225-$B225)*(1-X225)</f>
        <v>9447045.3952872623</v>
      </c>
      <c r="J245" s="62">
        <f t="shared" ref="J245:J254" si="178">$B225+($C225-$B225)*(1-Y225)</f>
        <v>9247048.7744733952</v>
      </c>
      <c r="K245" s="62">
        <f t="shared" ref="K245:K254" si="179">$B225+($C225-$B225)*(1-Z225)</f>
        <v>8995186.8343747519</v>
      </c>
      <c r="L245" s="62">
        <f t="shared" ref="L245:L254" si="180">$B225+($C225-$B225)*(1-AA225)</f>
        <v>8692959.7359545007</v>
      </c>
      <c r="M245" s="62">
        <f t="shared" ref="M245:M254" si="181">$B225+($C225-$B225)*(1-AB225)</f>
        <v>8351209.2955318587</v>
      </c>
      <c r="N245" s="62">
        <f t="shared" ref="N245:N254" si="182">$B225+($C225-$B225)*(1-AC225)</f>
        <v>7990424.7577444501</v>
      </c>
      <c r="O245" s="62">
        <f t="shared" ref="O245:O254" si="183">$B225+($C225-$B225)*(1-AD225)</f>
        <v>7636739.7848321479</v>
      </c>
      <c r="P245" s="62">
        <f t="shared" ref="P245:P254" si="184">$B225+($C225-$B225)*(1-AE225)</f>
        <v>7314773.0738961697</v>
      </c>
      <c r="Q245" s="62">
        <f t="shared" ref="Q245:Q254" si="185">$B225+($C225-$B225)*(1-AF225)</f>
        <v>7041147.2185419146</v>
      </c>
      <c r="R245" s="62">
        <f t="shared" ref="R245:R254" si="186">$B225+($C225-$B225)*(1-AG225)</f>
        <v>6822021.912017433</v>
      </c>
      <c r="S245" s="62">
        <f t="shared" ref="S245:S254" si="187">$B225+($C225-$B225)*(1-AH225)</f>
        <v>6654819.5776641248</v>
      </c>
      <c r="T245" s="62">
        <f t="shared" ref="T245:T254" si="188">$B225+($C225-$B225)*(1-AI225)</f>
        <v>6531912.4522678442</v>
      </c>
      <c r="U245" s="62">
        <f t="shared" ref="U245:U254" si="189">$B225+($C225-$B225)*(1-AJ225)</f>
        <v>6444035.6356656328</v>
      </c>
      <c r="V245" s="62">
        <f t="shared" ref="V245:V254" si="190">$B225+($C225-$B225)*(1-AK225)</f>
        <v>6382446.9648450473</v>
      </c>
      <c r="W245" s="62">
        <f t="shared" ref="W245:W254" si="191">$B225+($C225-$B225)*(1-AL225)</f>
        <v>6339885.4077724684</v>
      </c>
      <c r="X245" s="62">
        <f t="shared" ref="X245:X254" si="192">$B225+($C225-$B225)*(1-AM225)</f>
        <v>6310758.4133439614</v>
      </c>
      <c r="Y245" s="62">
        <f t="shared" ref="Y245:Y254" si="193">$B225+($C225-$B225)*(1-AN225)</f>
        <v>6290958.4021154065</v>
      </c>
      <c r="Z245" s="62">
        <f t="shared" ref="Z245:Z254" si="194">$B225+($C225-$B225)*(1-AO225)</f>
        <v>6277559.9548397847</v>
      </c>
      <c r="AA245" s="62">
        <f t="shared" ref="AA245:AA254" si="195">$B225+($C225-$B225)*(1-AP225)</f>
        <v>6268521.3483193964</v>
      </c>
      <c r="AB245" s="62">
        <f t="shared" ref="AB245:AB254" si="196">$B225+($C225-$B225)*(1-AQ225)</f>
        <v>6262436.6033098586</v>
      </c>
      <c r="AC245" s="62">
        <f t="shared" ref="AC245:AC254" si="197">$B225+($C225-$B225)*(1-AR225)</f>
        <v>6258346.1358050052</v>
      </c>
    </row>
    <row r="246" spans="1:44" x14ac:dyDescent="0.3">
      <c r="A246" s="30" t="str">
        <f t="shared" si="169"/>
        <v>Residual value (vehicle)</v>
      </c>
      <c r="B246" s="62">
        <f t="shared" si="170"/>
        <v>-505775.93556100863</v>
      </c>
      <c r="C246" s="62">
        <f t="shared" si="171"/>
        <v>-508249.01978749514</v>
      </c>
      <c r="D246" s="62">
        <f t="shared" si="172"/>
        <v>-511760.44486805983</v>
      </c>
      <c r="E246" s="62">
        <f t="shared" si="173"/>
        <v>-516723.50679303159</v>
      </c>
      <c r="F246" s="62">
        <f t="shared" si="174"/>
        <v>-523691.55619463779</v>
      </c>
      <c r="G246" s="62">
        <f t="shared" si="175"/>
        <v>-533379.67434313102</v>
      </c>
      <c r="H246" s="62">
        <f t="shared" si="176"/>
        <v>-546661.72189149424</v>
      </c>
      <c r="I246" s="62">
        <f t="shared" si="177"/>
        <v>-564511.37054981932</v>
      </c>
      <c r="J246" s="62">
        <f t="shared" si="178"/>
        <v>-587844.30964477046</v>
      </c>
      <c r="K246" s="62">
        <f t="shared" si="179"/>
        <v>-617228.20265627897</v>
      </c>
      <c r="L246" s="62">
        <f t="shared" si="180"/>
        <v>-652488.03080530826</v>
      </c>
      <c r="M246" s="62">
        <f t="shared" si="181"/>
        <v>-692358.91552128317</v>
      </c>
      <c r="N246" s="62">
        <f t="shared" si="182"/>
        <v>-734450.44492981408</v>
      </c>
      <c r="O246" s="62">
        <f t="shared" si="183"/>
        <v>-775713.6917695828</v>
      </c>
      <c r="P246" s="62">
        <f t="shared" si="184"/>
        <v>-813276.4747121135</v>
      </c>
      <c r="Q246" s="62">
        <f t="shared" si="185"/>
        <v>-845199.49117010995</v>
      </c>
      <c r="R246" s="62">
        <f t="shared" si="186"/>
        <v>-870764.11026463285</v>
      </c>
      <c r="S246" s="62">
        <f t="shared" si="187"/>
        <v>-890271.04927251884</v>
      </c>
      <c r="T246" s="62">
        <f t="shared" si="188"/>
        <v>-904610.21390208486</v>
      </c>
      <c r="U246" s="62">
        <f t="shared" si="189"/>
        <v>-914862.50917234272</v>
      </c>
      <c r="V246" s="62">
        <f t="shared" si="190"/>
        <v>-922047.85410141107</v>
      </c>
      <c r="W246" s="62">
        <f t="shared" si="191"/>
        <v>-927013.36909321207</v>
      </c>
      <c r="X246" s="62">
        <f t="shared" si="192"/>
        <v>-930411.51844320446</v>
      </c>
      <c r="Y246" s="62">
        <f t="shared" si="193"/>
        <v>-932721.51975320256</v>
      </c>
      <c r="Z246" s="62">
        <f t="shared" si="194"/>
        <v>-934284.67193535855</v>
      </c>
      <c r="AA246" s="62">
        <f t="shared" si="195"/>
        <v>-935339.17602940369</v>
      </c>
      <c r="AB246" s="62">
        <f t="shared" si="196"/>
        <v>-936049.06294718315</v>
      </c>
      <c r="AC246" s="62">
        <f t="shared" si="197"/>
        <v>-936526.28415608278</v>
      </c>
    </row>
    <row r="247" spans="1:44" x14ac:dyDescent="0.3">
      <c r="A247" s="30" t="str">
        <f t="shared" si="169"/>
        <v>Capex costumization</v>
      </c>
      <c r="B247" s="62">
        <f t="shared" si="170"/>
        <v>2800000</v>
      </c>
      <c r="C247" s="62">
        <f t="shared" si="171"/>
        <v>2800000</v>
      </c>
      <c r="D247" s="62">
        <f t="shared" si="172"/>
        <v>2800000</v>
      </c>
      <c r="E247" s="62">
        <f t="shared" si="173"/>
        <v>2800000</v>
      </c>
      <c r="F247" s="62">
        <f t="shared" si="174"/>
        <v>2800000</v>
      </c>
      <c r="G247" s="62">
        <f t="shared" si="175"/>
        <v>2800000</v>
      </c>
      <c r="H247" s="62">
        <f t="shared" si="176"/>
        <v>2800000</v>
      </c>
      <c r="I247" s="62">
        <f t="shared" si="177"/>
        <v>2800000</v>
      </c>
      <c r="J247" s="62">
        <f t="shared" si="178"/>
        <v>2800000</v>
      </c>
      <c r="K247" s="62">
        <f t="shared" si="179"/>
        <v>2800000</v>
      </c>
      <c r="L247" s="62">
        <f t="shared" si="180"/>
        <v>2800000</v>
      </c>
      <c r="M247" s="62">
        <f t="shared" si="181"/>
        <v>2800000</v>
      </c>
      <c r="N247" s="62">
        <f t="shared" si="182"/>
        <v>2800000</v>
      </c>
      <c r="O247" s="62">
        <f t="shared" si="183"/>
        <v>2800000</v>
      </c>
      <c r="P247" s="62">
        <f t="shared" si="184"/>
        <v>2800000</v>
      </c>
      <c r="Q247" s="62">
        <f t="shared" si="185"/>
        <v>2800000</v>
      </c>
      <c r="R247" s="62">
        <f t="shared" si="186"/>
        <v>2800000</v>
      </c>
      <c r="S247" s="62">
        <f t="shared" si="187"/>
        <v>2800000</v>
      </c>
      <c r="T247" s="62">
        <f t="shared" si="188"/>
        <v>2800000</v>
      </c>
      <c r="U247" s="62">
        <f t="shared" si="189"/>
        <v>2800000</v>
      </c>
      <c r="V247" s="62">
        <f t="shared" si="190"/>
        <v>2800000</v>
      </c>
      <c r="W247" s="62">
        <f t="shared" si="191"/>
        <v>2800000</v>
      </c>
      <c r="X247" s="62">
        <f t="shared" si="192"/>
        <v>2800000</v>
      </c>
      <c r="Y247" s="62">
        <f t="shared" si="193"/>
        <v>2800000</v>
      </c>
      <c r="Z247" s="62">
        <f t="shared" si="194"/>
        <v>2800000</v>
      </c>
      <c r="AA247" s="62">
        <f t="shared" si="195"/>
        <v>2800000</v>
      </c>
      <c r="AB247" s="62">
        <f t="shared" si="196"/>
        <v>2800000</v>
      </c>
      <c r="AC247" s="62">
        <f t="shared" si="197"/>
        <v>2800000</v>
      </c>
    </row>
    <row r="248" spans="1:44" x14ac:dyDescent="0.3">
      <c r="A248" s="30" t="str">
        <f t="shared" si="169"/>
        <v>Residual value (costumization)</v>
      </c>
      <c r="B248" s="62">
        <f t="shared" si="170"/>
        <v>-140000</v>
      </c>
      <c r="C248" s="62">
        <f t="shared" si="171"/>
        <v>-140000</v>
      </c>
      <c r="D248" s="62">
        <f t="shared" si="172"/>
        <v>-140000</v>
      </c>
      <c r="E248" s="62">
        <f t="shared" si="173"/>
        <v>-140000</v>
      </c>
      <c r="F248" s="62">
        <f t="shared" si="174"/>
        <v>-140000</v>
      </c>
      <c r="G248" s="62">
        <f t="shared" si="175"/>
        <v>-140000</v>
      </c>
      <c r="H248" s="62">
        <f t="shared" si="176"/>
        <v>-140000</v>
      </c>
      <c r="I248" s="62">
        <f t="shared" si="177"/>
        <v>-140000</v>
      </c>
      <c r="J248" s="62">
        <f t="shared" si="178"/>
        <v>-140000</v>
      </c>
      <c r="K248" s="62">
        <f t="shared" si="179"/>
        <v>-140000</v>
      </c>
      <c r="L248" s="62">
        <f t="shared" si="180"/>
        <v>-140000</v>
      </c>
      <c r="M248" s="62">
        <f t="shared" si="181"/>
        <v>-140000</v>
      </c>
      <c r="N248" s="62">
        <f t="shared" si="182"/>
        <v>-140000</v>
      </c>
      <c r="O248" s="62">
        <f t="shared" si="183"/>
        <v>-140000</v>
      </c>
      <c r="P248" s="62">
        <f t="shared" si="184"/>
        <v>-140000</v>
      </c>
      <c r="Q248" s="62">
        <f t="shared" si="185"/>
        <v>-140000</v>
      </c>
      <c r="R248" s="62">
        <f t="shared" si="186"/>
        <v>-140000</v>
      </c>
      <c r="S248" s="62">
        <f t="shared" si="187"/>
        <v>-140000</v>
      </c>
      <c r="T248" s="62">
        <f t="shared" si="188"/>
        <v>-140000</v>
      </c>
      <c r="U248" s="62">
        <f t="shared" si="189"/>
        <v>-140000</v>
      </c>
      <c r="V248" s="62">
        <f t="shared" si="190"/>
        <v>-140000</v>
      </c>
      <c r="W248" s="62">
        <f t="shared" si="191"/>
        <v>-140000</v>
      </c>
      <c r="X248" s="62">
        <f t="shared" si="192"/>
        <v>-140000</v>
      </c>
      <c r="Y248" s="62">
        <f t="shared" si="193"/>
        <v>-140000</v>
      </c>
      <c r="Z248" s="62">
        <f t="shared" si="194"/>
        <v>-140000</v>
      </c>
      <c r="AA248" s="62">
        <f t="shared" si="195"/>
        <v>-140000</v>
      </c>
      <c r="AB248" s="62">
        <f t="shared" si="196"/>
        <v>-140000</v>
      </c>
      <c r="AC248" s="62">
        <f t="shared" si="197"/>
        <v>-140000</v>
      </c>
    </row>
    <row r="249" spans="1:44" x14ac:dyDescent="0.3">
      <c r="A249" s="30" t="str">
        <f t="shared" si="169"/>
        <v>WACC</v>
      </c>
      <c r="B249" s="62">
        <f t="shared" si="170"/>
        <v>0.06</v>
      </c>
      <c r="C249" s="62">
        <f t="shared" si="171"/>
        <v>0.06</v>
      </c>
      <c r="D249" s="62">
        <f t="shared" si="172"/>
        <v>0.06</v>
      </c>
      <c r="E249" s="62">
        <f t="shared" si="173"/>
        <v>0.06</v>
      </c>
      <c r="F249" s="62">
        <f t="shared" si="174"/>
        <v>0.06</v>
      </c>
      <c r="G249" s="62">
        <f t="shared" si="175"/>
        <v>0.06</v>
      </c>
      <c r="H249" s="62">
        <f t="shared" si="176"/>
        <v>0.06</v>
      </c>
      <c r="I249" s="62">
        <f t="shared" si="177"/>
        <v>0.06</v>
      </c>
      <c r="J249" s="62">
        <f t="shared" si="178"/>
        <v>0.06</v>
      </c>
      <c r="K249" s="62">
        <f t="shared" si="179"/>
        <v>0.06</v>
      </c>
      <c r="L249" s="62">
        <f t="shared" si="180"/>
        <v>0.06</v>
      </c>
      <c r="M249" s="62">
        <f t="shared" si="181"/>
        <v>0.06</v>
      </c>
      <c r="N249" s="62">
        <f t="shared" si="182"/>
        <v>0.06</v>
      </c>
      <c r="O249" s="62">
        <f t="shared" si="183"/>
        <v>0.06</v>
      </c>
      <c r="P249" s="62">
        <f t="shared" si="184"/>
        <v>0.06</v>
      </c>
      <c r="Q249" s="62">
        <f t="shared" si="185"/>
        <v>0.06</v>
      </c>
      <c r="R249" s="62">
        <f t="shared" si="186"/>
        <v>0.06</v>
      </c>
      <c r="S249" s="62">
        <f t="shared" si="187"/>
        <v>0.06</v>
      </c>
      <c r="T249" s="62">
        <f t="shared" si="188"/>
        <v>0.06</v>
      </c>
      <c r="U249" s="62">
        <f t="shared" si="189"/>
        <v>0.06</v>
      </c>
      <c r="V249" s="62">
        <f t="shared" si="190"/>
        <v>0.06</v>
      </c>
      <c r="W249" s="62">
        <f t="shared" si="191"/>
        <v>0.06</v>
      </c>
      <c r="X249" s="62">
        <f t="shared" si="192"/>
        <v>0.06</v>
      </c>
      <c r="Y249" s="62">
        <f t="shared" si="193"/>
        <v>0.06</v>
      </c>
      <c r="Z249" s="62">
        <f t="shared" si="194"/>
        <v>0.06</v>
      </c>
      <c r="AA249" s="62">
        <f t="shared" si="195"/>
        <v>0.06</v>
      </c>
      <c r="AB249" s="62">
        <f t="shared" si="196"/>
        <v>0.06</v>
      </c>
      <c r="AC249" s="62">
        <f t="shared" si="197"/>
        <v>0.06</v>
      </c>
    </row>
    <row r="250" spans="1:44" x14ac:dyDescent="0.3">
      <c r="A250" s="30" t="str">
        <f t="shared" si="169"/>
        <v>Opex fix (admin, crew, insurance)</v>
      </c>
      <c r="B250" s="62">
        <f t="shared" si="170"/>
        <v>610000</v>
      </c>
      <c r="C250" s="62">
        <f t="shared" si="171"/>
        <v>610000</v>
      </c>
      <c r="D250" s="62">
        <f t="shared" si="172"/>
        <v>610000</v>
      </c>
      <c r="E250" s="62">
        <f t="shared" si="173"/>
        <v>610000</v>
      </c>
      <c r="F250" s="62">
        <f t="shared" si="174"/>
        <v>610000</v>
      </c>
      <c r="G250" s="62">
        <f t="shared" si="175"/>
        <v>610000</v>
      </c>
      <c r="H250" s="62">
        <f t="shared" si="176"/>
        <v>610000</v>
      </c>
      <c r="I250" s="62">
        <f t="shared" si="177"/>
        <v>610000</v>
      </c>
      <c r="J250" s="62">
        <f t="shared" si="178"/>
        <v>610000</v>
      </c>
      <c r="K250" s="62">
        <f t="shared" si="179"/>
        <v>610000</v>
      </c>
      <c r="L250" s="62">
        <f t="shared" si="180"/>
        <v>610000</v>
      </c>
      <c r="M250" s="62">
        <f t="shared" si="181"/>
        <v>610000</v>
      </c>
      <c r="N250" s="62">
        <f t="shared" si="182"/>
        <v>610000</v>
      </c>
      <c r="O250" s="62">
        <f t="shared" si="183"/>
        <v>610000</v>
      </c>
      <c r="P250" s="62">
        <f t="shared" si="184"/>
        <v>610000</v>
      </c>
      <c r="Q250" s="62">
        <f t="shared" si="185"/>
        <v>610000</v>
      </c>
      <c r="R250" s="62">
        <f t="shared" si="186"/>
        <v>610000</v>
      </c>
      <c r="S250" s="62">
        <f t="shared" si="187"/>
        <v>610000</v>
      </c>
      <c r="T250" s="62">
        <f t="shared" si="188"/>
        <v>610000</v>
      </c>
      <c r="U250" s="62">
        <f t="shared" si="189"/>
        <v>610000</v>
      </c>
      <c r="V250" s="62">
        <f t="shared" si="190"/>
        <v>610000</v>
      </c>
      <c r="W250" s="62">
        <f t="shared" si="191"/>
        <v>610000</v>
      </c>
      <c r="X250" s="62">
        <f t="shared" si="192"/>
        <v>610000</v>
      </c>
      <c r="Y250" s="62">
        <f t="shared" si="193"/>
        <v>610000</v>
      </c>
      <c r="Z250" s="62">
        <f t="shared" si="194"/>
        <v>610000</v>
      </c>
      <c r="AA250" s="62">
        <f t="shared" si="195"/>
        <v>610000</v>
      </c>
      <c r="AB250" s="62">
        <f t="shared" si="196"/>
        <v>610000</v>
      </c>
      <c r="AC250" s="62">
        <f t="shared" si="197"/>
        <v>610000</v>
      </c>
    </row>
    <row r="251" spans="1:44" x14ac:dyDescent="0.3">
      <c r="A251" s="30" t="str">
        <f t="shared" si="169"/>
        <v>Opex maintenance &amp; repair</v>
      </c>
      <c r="B251" s="62">
        <f t="shared" si="170"/>
        <v>1293563.9575177333</v>
      </c>
      <c r="C251" s="62">
        <f t="shared" si="171"/>
        <v>1290808.235093934</v>
      </c>
      <c r="D251" s="62">
        <f t="shared" si="172"/>
        <v>1286895.5042898762</v>
      </c>
      <c r="E251" s="62">
        <f t="shared" si="173"/>
        <v>1281365.2352877648</v>
      </c>
      <c r="F251" s="62">
        <f t="shared" si="174"/>
        <v>1273600.837383118</v>
      </c>
      <c r="G251" s="62">
        <f t="shared" si="175"/>
        <v>1262805.5057319398</v>
      </c>
      <c r="H251" s="62">
        <f t="shared" si="176"/>
        <v>1248005.5098923349</v>
      </c>
      <c r="I251" s="62">
        <f t="shared" si="177"/>
        <v>1228115.9013873441</v>
      </c>
      <c r="J251" s="62">
        <f t="shared" si="178"/>
        <v>1202116.3406815415</v>
      </c>
      <c r="K251" s="62">
        <f t="shared" si="179"/>
        <v>1169374.2884687176</v>
      </c>
      <c r="L251" s="62">
        <f t="shared" si="180"/>
        <v>1130084.7656740851</v>
      </c>
      <c r="M251" s="62">
        <f t="shared" si="181"/>
        <v>1085657.2084191416</v>
      </c>
      <c r="N251" s="62">
        <f t="shared" si="182"/>
        <v>1038755.2185067786</v>
      </c>
      <c r="O251" s="62">
        <f t="shared" si="183"/>
        <v>992776.17202817916</v>
      </c>
      <c r="P251" s="62">
        <f t="shared" si="184"/>
        <v>950920.49960650213</v>
      </c>
      <c r="Q251" s="62">
        <f t="shared" si="185"/>
        <v>915349.13841044903</v>
      </c>
      <c r="R251" s="62">
        <f t="shared" si="186"/>
        <v>886862.84856226621</v>
      </c>
      <c r="S251" s="62">
        <f t="shared" si="187"/>
        <v>865126.54509633617</v>
      </c>
      <c r="T251" s="62">
        <f t="shared" si="188"/>
        <v>849148.61879481981</v>
      </c>
      <c r="U251" s="62">
        <f t="shared" si="189"/>
        <v>837724.6326365323</v>
      </c>
      <c r="V251" s="62">
        <f t="shared" si="190"/>
        <v>829718.10542985611</v>
      </c>
      <c r="W251" s="62">
        <f t="shared" si="191"/>
        <v>824185.10301042092</v>
      </c>
      <c r="X251" s="62">
        <f t="shared" si="192"/>
        <v>820398.59373471502</v>
      </c>
      <c r="Y251" s="62">
        <f t="shared" si="193"/>
        <v>817824.59227500285</v>
      </c>
      <c r="Z251" s="62">
        <f t="shared" si="194"/>
        <v>816082.79412917187</v>
      </c>
      <c r="AA251" s="62">
        <f t="shared" si="195"/>
        <v>814907.77528152149</v>
      </c>
      <c r="AB251" s="62">
        <f t="shared" si="196"/>
        <v>814116.75843028165</v>
      </c>
      <c r="AC251" s="62">
        <f t="shared" si="197"/>
        <v>813584.99765465059</v>
      </c>
    </row>
    <row r="252" spans="1:44" x14ac:dyDescent="0.3">
      <c r="A252" s="30" t="str">
        <f t="shared" si="169"/>
        <v>Opex var (mode-fees, shunting)</v>
      </c>
      <c r="B252" s="62">
        <f t="shared" si="170"/>
        <v>3.6414565826330532</v>
      </c>
      <c r="C252" s="62">
        <f t="shared" si="171"/>
        <v>3.6414565826330532</v>
      </c>
      <c r="D252" s="62">
        <f t="shared" si="172"/>
        <v>3.6414565826330532</v>
      </c>
      <c r="E252" s="62">
        <f t="shared" si="173"/>
        <v>3.6414565826330532</v>
      </c>
      <c r="F252" s="62">
        <f t="shared" si="174"/>
        <v>3.6414565826330532</v>
      </c>
      <c r="G252" s="62">
        <f t="shared" si="175"/>
        <v>3.6414565826330532</v>
      </c>
      <c r="H252" s="62">
        <f t="shared" si="176"/>
        <v>3.6414565826330532</v>
      </c>
      <c r="I252" s="62">
        <f t="shared" si="177"/>
        <v>3.6414565826330532</v>
      </c>
      <c r="J252" s="62">
        <f t="shared" si="178"/>
        <v>3.6414565826330532</v>
      </c>
      <c r="K252" s="62">
        <f t="shared" si="179"/>
        <v>3.6414565826330532</v>
      </c>
      <c r="L252" s="62">
        <f t="shared" si="180"/>
        <v>3.6414565826330532</v>
      </c>
      <c r="M252" s="62">
        <f t="shared" si="181"/>
        <v>3.6414565826330532</v>
      </c>
      <c r="N252" s="62">
        <f t="shared" si="182"/>
        <v>3.6414565826330532</v>
      </c>
      <c r="O252" s="62">
        <f t="shared" si="183"/>
        <v>3.6414565826330532</v>
      </c>
      <c r="P252" s="62">
        <f t="shared" si="184"/>
        <v>3.6414565826330532</v>
      </c>
      <c r="Q252" s="62">
        <f t="shared" si="185"/>
        <v>3.6414565826330532</v>
      </c>
      <c r="R252" s="62">
        <f t="shared" si="186"/>
        <v>3.6414565826330532</v>
      </c>
      <c r="S252" s="62">
        <f t="shared" si="187"/>
        <v>3.6414565826330532</v>
      </c>
      <c r="T252" s="62">
        <f t="shared" si="188"/>
        <v>3.6414565826330532</v>
      </c>
      <c r="U252" s="62">
        <f t="shared" si="189"/>
        <v>3.6414565826330532</v>
      </c>
      <c r="V252" s="62">
        <f t="shared" si="190"/>
        <v>3.6414565826330532</v>
      </c>
      <c r="W252" s="62">
        <f t="shared" si="191"/>
        <v>3.6414565826330532</v>
      </c>
      <c r="X252" s="62">
        <f t="shared" si="192"/>
        <v>3.6414565826330532</v>
      </c>
      <c r="Y252" s="62">
        <f t="shared" si="193"/>
        <v>3.6414565826330532</v>
      </c>
      <c r="Z252" s="62">
        <f t="shared" si="194"/>
        <v>3.6414565826330532</v>
      </c>
      <c r="AA252" s="62">
        <f t="shared" si="195"/>
        <v>3.6414565826330532</v>
      </c>
      <c r="AB252" s="62">
        <f t="shared" si="196"/>
        <v>3.6414565826330532</v>
      </c>
      <c r="AC252" s="62">
        <f t="shared" si="197"/>
        <v>3.6414565826330532</v>
      </c>
    </row>
    <row r="253" spans="1:44" x14ac:dyDescent="0.3">
      <c r="A253" s="30" t="str">
        <f t="shared" si="169"/>
        <v>Fuel Economy</v>
      </c>
      <c r="B253" s="62">
        <f t="shared" si="170"/>
        <v>27.1614</v>
      </c>
      <c r="C253" s="62">
        <f t="shared" si="171"/>
        <v>27.1614</v>
      </c>
      <c r="D253" s="62">
        <f t="shared" si="172"/>
        <v>27.1614</v>
      </c>
      <c r="E253" s="62">
        <f t="shared" si="173"/>
        <v>27.1614</v>
      </c>
      <c r="F253" s="62">
        <f t="shared" si="174"/>
        <v>27.1614</v>
      </c>
      <c r="G253" s="62">
        <f t="shared" si="175"/>
        <v>27.1614</v>
      </c>
      <c r="H253" s="62">
        <f t="shared" si="176"/>
        <v>27.1614</v>
      </c>
      <c r="I253" s="62">
        <f t="shared" si="177"/>
        <v>27.1614</v>
      </c>
      <c r="J253" s="62">
        <f t="shared" si="178"/>
        <v>27.1614</v>
      </c>
      <c r="K253" s="62">
        <f t="shared" si="179"/>
        <v>27.1614</v>
      </c>
      <c r="L253" s="62">
        <f t="shared" si="180"/>
        <v>27.1614</v>
      </c>
      <c r="M253" s="62">
        <f t="shared" si="181"/>
        <v>27.1614</v>
      </c>
      <c r="N253" s="62">
        <f t="shared" si="182"/>
        <v>27.1614</v>
      </c>
      <c r="O253" s="62">
        <f t="shared" si="183"/>
        <v>27.1614</v>
      </c>
      <c r="P253" s="62">
        <f t="shared" si="184"/>
        <v>27.1614</v>
      </c>
      <c r="Q253" s="62">
        <f t="shared" si="185"/>
        <v>27.1614</v>
      </c>
      <c r="R253" s="62">
        <f t="shared" si="186"/>
        <v>27.1614</v>
      </c>
      <c r="S253" s="62">
        <f t="shared" si="187"/>
        <v>27.1614</v>
      </c>
      <c r="T253" s="62">
        <f t="shared" si="188"/>
        <v>27.1614</v>
      </c>
      <c r="U253" s="62">
        <f t="shared" si="189"/>
        <v>27.1614</v>
      </c>
      <c r="V253" s="62">
        <f t="shared" si="190"/>
        <v>27.1614</v>
      </c>
      <c r="W253" s="62">
        <f t="shared" si="191"/>
        <v>27.1614</v>
      </c>
      <c r="X253" s="62">
        <f t="shared" si="192"/>
        <v>27.1614</v>
      </c>
      <c r="Y253" s="62">
        <f t="shared" si="193"/>
        <v>27.1614</v>
      </c>
      <c r="Z253" s="62">
        <f t="shared" si="194"/>
        <v>27.1614</v>
      </c>
      <c r="AA253" s="62">
        <f t="shared" si="195"/>
        <v>27.1614</v>
      </c>
      <c r="AB253" s="62">
        <f t="shared" si="196"/>
        <v>27.1614</v>
      </c>
      <c r="AC253" s="62">
        <f t="shared" si="197"/>
        <v>27.1614</v>
      </c>
    </row>
    <row r="254" spans="1:44" x14ac:dyDescent="0.3">
      <c r="A254" s="30" t="str">
        <f t="shared" si="169"/>
        <v>Fuel Cost</v>
      </c>
      <c r="B254" s="62">
        <f t="shared" si="170"/>
        <v>9.2331951136741086E-2</v>
      </c>
      <c r="C254" s="62">
        <f t="shared" si="171"/>
        <v>9.2222956120974545E-2</v>
      </c>
      <c r="D254" s="62">
        <f t="shared" si="172"/>
        <v>9.2068198823216471E-2</v>
      </c>
      <c r="E254" s="62">
        <f t="shared" si="173"/>
        <v>9.1849464254062249E-2</v>
      </c>
      <c r="F254" s="62">
        <f t="shared" si="174"/>
        <v>9.1542364865268247E-2</v>
      </c>
      <c r="G254" s="62">
        <f t="shared" si="175"/>
        <v>9.1115385234314353E-2</v>
      </c>
      <c r="H254" s="62">
        <f t="shared" si="176"/>
        <v>9.0530012133616333E-2</v>
      </c>
      <c r="I254" s="62">
        <f t="shared" si="177"/>
        <v>8.9743333412323725E-2</v>
      </c>
      <c r="J254" s="62">
        <f t="shared" si="178"/>
        <v>8.8714992348442129E-2</v>
      </c>
      <c r="K254" s="62">
        <f t="shared" si="179"/>
        <v>8.7419970590682711E-2</v>
      </c>
      <c r="L254" s="62">
        <f t="shared" si="180"/>
        <v>8.5865981654976761E-2</v>
      </c>
      <c r="M254" s="62">
        <f t="shared" si="181"/>
        <v>8.4108771907851612E-2</v>
      </c>
      <c r="N254" s="62">
        <f t="shared" si="182"/>
        <v>8.2253692787461766E-2</v>
      </c>
      <c r="O254" s="62">
        <f t="shared" si="183"/>
        <v>8.0435118154333018E-2</v>
      </c>
      <c r="P254" s="62">
        <f t="shared" si="184"/>
        <v>7.8779632233065888E-2</v>
      </c>
      <c r="Q254" s="62">
        <f t="shared" si="185"/>
        <v>7.7372704945717463E-2</v>
      </c>
      <c r="R254" s="62">
        <f t="shared" si="186"/>
        <v>7.6246008154952791E-2</v>
      </c>
      <c r="S254" s="62">
        <f t="shared" si="187"/>
        <v>7.5386288497227227E-2</v>
      </c>
      <c r="T254" s="62">
        <f t="shared" si="188"/>
        <v>7.4754325599182742E-2</v>
      </c>
      <c r="U254" s="62">
        <f t="shared" si="189"/>
        <v>7.4302481269476042E-2</v>
      </c>
      <c r="V254" s="62">
        <f t="shared" si="190"/>
        <v>7.3985805122564349E-2</v>
      </c>
      <c r="W254" s="62">
        <f t="shared" si="191"/>
        <v>7.3766962440611206E-2</v>
      </c>
      <c r="X254" s="62">
        <f t="shared" si="192"/>
        <v>7.3617197488001537E-2</v>
      </c>
      <c r="Y254" s="62">
        <f t="shared" si="193"/>
        <v>7.3515389944810147E-2</v>
      </c>
      <c r="Z254" s="62">
        <f t="shared" si="194"/>
        <v>7.3446497913186276E-2</v>
      </c>
      <c r="AA254" s="62">
        <f t="shared" si="195"/>
        <v>7.3400023276728135E-2</v>
      </c>
      <c r="AB254" s="62">
        <f t="shared" si="196"/>
        <v>7.3368736782330912E-2</v>
      </c>
      <c r="AC254" s="62">
        <f t="shared" si="197"/>
        <v>7.3347704448441492E-2</v>
      </c>
    </row>
    <row r="255" spans="1:44" x14ac:dyDescent="0.3">
      <c r="A255" s="30" t="str">
        <f t="shared" ref="A255" si="198">A235</f>
        <v>Emission Cost</v>
      </c>
      <c r="B255" s="66">
        <f>$B235+($C235-$B235)*(1-Q235)</f>
        <v>6.2761939613426576E-2</v>
      </c>
      <c r="C255" s="66">
        <f t="shared" ref="C255:AC255" si="199">$B235+($C235-$B235)*(1-R235)</f>
        <v>6.2702174954862022E-2</v>
      </c>
      <c r="D255" s="66">
        <f t="shared" si="199"/>
        <v>6.2616623177277314E-2</v>
      </c>
      <c r="E255" s="66">
        <f t="shared" si="199"/>
        <v>6.249423534317243E-2</v>
      </c>
      <c r="F255" s="66">
        <f t="shared" si="199"/>
        <v>6.2319316122020151E-2</v>
      </c>
      <c r="G255" s="66">
        <f t="shared" si="199"/>
        <v>6.2069668591824577E-2</v>
      </c>
      <c r="H255" s="66">
        <f t="shared" si="199"/>
        <v>6.1714109263582916E-2</v>
      </c>
      <c r="I255" s="66">
        <f t="shared" si="199"/>
        <v>6.120926598754526E-2</v>
      </c>
      <c r="J255" s="66">
        <f t="shared" si="199"/>
        <v>6.0495718529207473E-2</v>
      </c>
      <c r="K255" s="66">
        <f t="shared" si="199"/>
        <v>5.9493910771163734E-2</v>
      </c>
      <c r="L255" s="66">
        <f t="shared" si="199"/>
        <v>5.8101034320005455E-2</v>
      </c>
      <c r="M255" s="66">
        <f t="shared" si="199"/>
        <v>5.6191452813079128E-2</v>
      </c>
      <c r="N255" s="66">
        <f t="shared" si="199"/>
        <v>5.3625179890251798E-2</v>
      </c>
      <c r="O255" s="66">
        <f t="shared" si="199"/>
        <v>5.0270565412648349E-2</v>
      </c>
      <c r="P255" s="66">
        <f t="shared" si="199"/>
        <v>4.6045995481546684E-2</v>
      </c>
      <c r="Q255" s="66">
        <f t="shared" si="199"/>
        <v>4.0976632830523538E-2</v>
      </c>
      <c r="R255" s="66">
        <f t="shared" si="199"/>
        <v>3.5244331102105231E-2</v>
      </c>
      <c r="S255" s="66">
        <f t="shared" si="199"/>
        <v>2.9192763686456215E-2</v>
      </c>
      <c r="T255" s="66">
        <f t="shared" si="199"/>
        <v>2.32602797984078E-2</v>
      </c>
      <c r="U255" s="66">
        <f t="shared" si="199"/>
        <v>1.7859817603512018E-2</v>
      </c>
      <c r="V255" s="66">
        <f t="shared" si="199"/>
        <v>1.3270193778456035E-2</v>
      </c>
      <c r="W255" s="66">
        <f t="shared" si="199"/>
        <v>9.5947270496434117E-3</v>
      </c>
      <c r="X255" s="66">
        <f t="shared" si="199"/>
        <v>6.7901828067048406E-3</v>
      </c>
      <c r="Y255" s="66">
        <f t="shared" si="199"/>
        <v>4.7286178633715731E-3</v>
      </c>
      <c r="Z255" s="66">
        <f t="shared" si="199"/>
        <v>3.2546287528563561E-3</v>
      </c>
      <c r="AA255" s="66">
        <f t="shared" si="199"/>
        <v>2.2215800645818892E-3</v>
      </c>
      <c r="AB255" s="66">
        <f t="shared" si="199"/>
        <v>1.5076799248495282E-3</v>
      </c>
      <c r="AC255" s="66">
        <f t="shared" si="199"/>
        <v>1.0191224842221736E-3</v>
      </c>
    </row>
    <row r="256" spans="1:44" x14ac:dyDescent="0.3">
      <c r="A256" s="30" t="str">
        <f>A236</f>
        <v>Lifetime vehicle</v>
      </c>
      <c r="B256" s="62">
        <f>$B236+($C236-$B236)*(1-Q236)</f>
        <v>20</v>
      </c>
      <c r="C256" s="62">
        <f t="shared" ref="C256:L258" si="200">$B236+($C236-$B236)*(1-R236)</f>
        <v>20</v>
      </c>
      <c r="D256" s="62">
        <f t="shared" si="200"/>
        <v>20</v>
      </c>
      <c r="E256" s="62">
        <f t="shared" si="200"/>
        <v>20</v>
      </c>
      <c r="F256" s="62">
        <f t="shared" si="200"/>
        <v>20</v>
      </c>
      <c r="G256" s="62">
        <f t="shared" si="200"/>
        <v>20</v>
      </c>
      <c r="H256" s="62">
        <f t="shared" si="200"/>
        <v>20</v>
      </c>
      <c r="I256" s="62">
        <f t="shared" si="200"/>
        <v>20</v>
      </c>
      <c r="J256" s="62">
        <f t="shared" si="200"/>
        <v>20</v>
      </c>
      <c r="K256" s="62">
        <f t="shared" si="200"/>
        <v>20</v>
      </c>
      <c r="L256" s="62">
        <f t="shared" si="200"/>
        <v>20</v>
      </c>
      <c r="M256" s="62">
        <f t="shared" ref="M256:V258" si="201">$B236+($C236-$B236)*(1-AB236)</f>
        <v>20</v>
      </c>
      <c r="N256" s="62">
        <f t="shared" si="201"/>
        <v>20</v>
      </c>
      <c r="O256" s="62">
        <f t="shared" si="201"/>
        <v>20</v>
      </c>
      <c r="P256" s="62">
        <f t="shared" si="201"/>
        <v>20</v>
      </c>
      <c r="Q256" s="62">
        <f t="shared" si="201"/>
        <v>20</v>
      </c>
      <c r="R256" s="62">
        <f t="shared" si="201"/>
        <v>20</v>
      </c>
      <c r="S256" s="62">
        <f t="shared" si="201"/>
        <v>20</v>
      </c>
      <c r="T256" s="62">
        <f t="shared" si="201"/>
        <v>20</v>
      </c>
      <c r="U256" s="62">
        <f t="shared" si="201"/>
        <v>20</v>
      </c>
      <c r="V256" s="62">
        <f t="shared" si="201"/>
        <v>20</v>
      </c>
      <c r="W256" s="62">
        <f t="shared" ref="W256:AC258" si="202">$B236+($C236-$B236)*(1-AL236)</f>
        <v>20</v>
      </c>
      <c r="X256" s="62">
        <f t="shared" si="202"/>
        <v>20</v>
      </c>
      <c r="Y256" s="62">
        <f t="shared" si="202"/>
        <v>20</v>
      </c>
      <c r="Z256" s="62">
        <f t="shared" si="202"/>
        <v>20</v>
      </c>
      <c r="AA256" s="62">
        <f t="shared" si="202"/>
        <v>20</v>
      </c>
      <c r="AB256" s="62">
        <f t="shared" si="202"/>
        <v>20</v>
      </c>
      <c r="AC256" s="62">
        <f t="shared" si="202"/>
        <v>20</v>
      </c>
    </row>
    <row r="257" spans="1:29" x14ac:dyDescent="0.3">
      <c r="A257" s="30" t="str">
        <f>A237</f>
        <v>Lifetime costumization</v>
      </c>
      <c r="B257" s="62">
        <f>$B237+($C237-$B237)*(1-Q237)</f>
        <v>30</v>
      </c>
      <c r="C257" s="62">
        <f t="shared" si="200"/>
        <v>30</v>
      </c>
      <c r="D257" s="62">
        <f t="shared" si="200"/>
        <v>30</v>
      </c>
      <c r="E257" s="62">
        <f t="shared" si="200"/>
        <v>30</v>
      </c>
      <c r="F257" s="62">
        <f t="shared" si="200"/>
        <v>30</v>
      </c>
      <c r="G257" s="62">
        <f t="shared" si="200"/>
        <v>30</v>
      </c>
      <c r="H257" s="62">
        <f t="shared" si="200"/>
        <v>30</v>
      </c>
      <c r="I257" s="62">
        <f t="shared" si="200"/>
        <v>30</v>
      </c>
      <c r="J257" s="62">
        <f t="shared" si="200"/>
        <v>30</v>
      </c>
      <c r="K257" s="62">
        <f t="shared" si="200"/>
        <v>30</v>
      </c>
      <c r="L257" s="62">
        <f t="shared" si="200"/>
        <v>30</v>
      </c>
      <c r="M257" s="62">
        <f t="shared" si="201"/>
        <v>30</v>
      </c>
      <c r="N257" s="62">
        <f t="shared" si="201"/>
        <v>30</v>
      </c>
      <c r="O257" s="62">
        <f t="shared" si="201"/>
        <v>30</v>
      </c>
      <c r="P257" s="62">
        <f t="shared" si="201"/>
        <v>30</v>
      </c>
      <c r="Q257" s="62">
        <f t="shared" si="201"/>
        <v>30</v>
      </c>
      <c r="R257" s="62">
        <f t="shared" si="201"/>
        <v>30</v>
      </c>
      <c r="S257" s="62">
        <f t="shared" si="201"/>
        <v>30</v>
      </c>
      <c r="T257" s="62">
        <f t="shared" si="201"/>
        <v>30</v>
      </c>
      <c r="U257" s="62">
        <f t="shared" si="201"/>
        <v>30</v>
      </c>
      <c r="V257" s="62">
        <f t="shared" si="201"/>
        <v>30</v>
      </c>
      <c r="W257" s="62">
        <f t="shared" si="202"/>
        <v>30</v>
      </c>
      <c r="X257" s="62">
        <f t="shared" si="202"/>
        <v>30</v>
      </c>
      <c r="Y257" s="62">
        <f t="shared" si="202"/>
        <v>30</v>
      </c>
      <c r="Z257" s="62">
        <f t="shared" si="202"/>
        <v>30</v>
      </c>
      <c r="AA257" s="62">
        <f t="shared" si="202"/>
        <v>30</v>
      </c>
      <c r="AB257" s="62">
        <f t="shared" si="202"/>
        <v>30</v>
      </c>
      <c r="AC257" s="62">
        <f t="shared" si="202"/>
        <v>30</v>
      </c>
    </row>
    <row r="258" spans="1:29" x14ac:dyDescent="0.3">
      <c r="A258" s="30" t="str">
        <f>A238</f>
        <v>Tonnage .</v>
      </c>
      <c r="B258" s="62">
        <f>$B238+($C238-$B238)*(1-Q238)</f>
        <v>2240</v>
      </c>
      <c r="C258" s="62">
        <f t="shared" si="200"/>
        <v>2240</v>
      </c>
      <c r="D258" s="62">
        <f t="shared" si="200"/>
        <v>2240</v>
      </c>
      <c r="E258" s="62">
        <f t="shared" si="200"/>
        <v>2240</v>
      </c>
      <c r="F258" s="62">
        <f t="shared" si="200"/>
        <v>2240</v>
      </c>
      <c r="G258" s="62">
        <f t="shared" si="200"/>
        <v>2240</v>
      </c>
      <c r="H258" s="62">
        <f t="shared" si="200"/>
        <v>2240</v>
      </c>
      <c r="I258" s="62">
        <f t="shared" si="200"/>
        <v>2240</v>
      </c>
      <c r="J258" s="62">
        <f t="shared" si="200"/>
        <v>2240</v>
      </c>
      <c r="K258" s="62">
        <f t="shared" si="200"/>
        <v>2240</v>
      </c>
      <c r="L258" s="62">
        <f t="shared" si="200"/>
        <v>2240</v>
      </c>
      <c r="M258" s="62">
        <f t="shared" si="201"/>
        <v>2240</v>
      </c>
      <c r="N258" s="62">
        <f t="shared" si="201"/>
        <v>2240</v>
      </c>
      <c r="O258" s="62">
        <f t="shared" si="201"/>
        <v>2240</v>
      </c>
      <c r="P258" s="62">
        <f t="shared" si="201"/>
        <v>2240</v>
      </c>
      <c r="Q258" s="62">
        <f t="shared" si="201"/>
        <v>2240</v>
      </c>
      <c r="R258" s="62">
        <f t="shared" si="201"/>
        <v>2240</v>
      </c>
      <c r="S258" s="62">
        <f t="shared" si="201"/>
        <v>2240</v>
      </c>
      <c r="T258" s="62">
        <f t="shared" si="201"/>
        <v>2240</v>
      </c>
      <c r="U258" s="62">
        <f t="shared" si="201"/>
        <v>2240</v>
      </c>
      <c r="V258" s="62">
        <f t="shared" si="201"/>
        <v>2240</v>
      </c>
      <c r="W258" s="62">
        <f t="shared" si="202"/>
        <v>2240</v>
      </c>
      <c r="X258" s="62">
        <f t="shared" si="202"/>
        <v>2240</v>
      </c>
      <c r="Y258" s="62">
        <f t="shared" si="202"/>
        <v>2240</v>
      </c>
      <c r="Z258" s="62">
        <f t="shared" si="202"/>
        <v>2240</v>
      </c>
      <c r="AA258" s="62">
        <f t="shared" si="202"/>
        <v>2240</v>
      </c>
      <c r="AB258" s="62">
        <f t="shared" si="202"/>
        <v>2240</v>
      </c>
      <c r="AC258" s="62">
        <f t="shared" si="202"/>
        <v>2240</v>
      </c>
    </row>
    <row r="259" spans="1:29" x14ac:dyDescent="0.3">
      <c r="A259" s="30" t="str">
        <f>A239</f>
        <v>Market failure (av. utilization)</v>
      </c>
      <c r="B259" s="62">
        <f t="shared" ref="B259:K260" si="203">($B239+($C239-$B239)*(1-Q239))*B$44</f>
        <v>716.80000000000007</v>
      </c>
      <c r="C259" s="62">
        <f t="shared" si="203"/>
        <v>716.80000000000007</v>
      </c>
      <c r="D259" s="62">
        <f t="shared" si="203"/>
        <v>716.80000000000007</v>
      </c>
      <c r="E259" s="62">
        <f t="shared" si="203"/>
        <v>716.80000000000007</v>
      </c>
      <c r="F259" s="62">
        <f t="shared" si="203"/>
        <v>716.80000000000007</v>
      </c>
      <c r="G259" s="62">
        <f t="shared" si="203"/>
        <v>716.80000000000007</v>
      </c>
      <c r="H259" s="62">
        <f t="shared" si="203"/>
        <v>716.80000000000007</v>
      </c>
      <c r="I259" s="62">
        <f t="shared" si="203"/>
        <v>716.80000000000007</v>
      </c>
      <c r="J259" s="62">
        <f t="shared" si="203"/>
        <v>716.80000000000007</v>
      </c>
      <c r="K259" s="62">
        <f t="shared" si="203"/>
        <v>716.80000000000007</v>
      </c>
      <c r="L259" s="62">
        <f t="shared" ref="L259:U260" si="204">($B239+($C239-$B239)*(1-AA239))*L$44</f>
        <v>716.80000000000007</v>
      </c>
      <c r="M259" s="62">
        <f t="shared" si="204"/>
        <v>716.80000000000007</v>
      </c>
      <c r="N259" s="62">
        <f t="shared" si="204"/>
        <v>716.80000000000007</v>
      </c>
      <c r="O259" s="62">
        <f t="shared" si="204"/>
        <v>716.80000000000007</v>
      </c>
      <c r="P259" s="62">
        <f t="shared" si="204"/>
        <v>716.80000000000007</v>
      </c>
      <c r="Q259" s="62">
        <f t="shared" si="204"/>
        <v>716.80000000000007</v>
      </c>
      <c r="R259" s="62">
        <f t="shared" si="204"/>
        <v>716.80000000000007</v>
      </c>
      <c r="S259" s="62">
        <f t="shared" si="204"/>
        <v>716.80000000000007</v>
      </c>
      <c r="T259" s="62">
        <f t="shared" si="204"/>
        <v>716.80000000000007</v>
      </c>
      <c r="U259" s="62">
        <f t="shared" si="204"/>
        <v>716.80000000000007</v>
      </c>
      <c r="V259" s="62">
        <f t="shared" ref="V259:AC260" si="205">($B239+($C239-$B239)*(1-AK239))*V$44</f>
        <v>716.80000000000007</v>
      </c>
      <c r="W259" s="62">
        <f t="shared" si="205"/>
        <v>716.80000000000007</v>
      </c>
      <c r="X259" s="62">
        <f t="shared" si="205"/>
        <v>716.80000000000007</v>
      </c>
      <c r="Y259" s="62">
        <f t="shared" si="205"/>
        <v>716.80000000000007</v>
      </c>
      <c r="Z259" s="62">
        <f t="shared" si="205"/>
        <v>716.80000000000007</v>
      </c>
      <c r="AA259" s="62">
        <f t="shared" si="205"/>
        <v>716.80000000000007</v>
      </c>
      <c r="AB259" s="62">
        <f t="shared" si="205"/>
        <v>716.80000000000007</v>
      </c>
      <c r="AC259" s="62">
        <f t="shared" si="205"/>
        <v>716.80000000000007</v>
      </c>
    </row>
    <row r="260" spans="1:29" x14ac:dyDescent="0.3">
      <c r="A260" s="30" t="s">
        <v>73</v>
      </c>
      <c r="B260" s="62">
        <f t="shared" si="203"/>
        <v>79.471914462993496</v>
      </c>
      <c r="C260" s="62">
        <f t="shared" si="203"/>
        <v>79.245803905143291</v>
      </c>
      <c r="D260" s="62">
        <f t="shared" si="203"/>
        <v>78.924759326348806</v>
      </c>
      <c r="E260" s="62">
        <f t="shared" si="203"/>
        <v>78.470993664637106</v>
      </c>
      <c r="F260" s="62">
        <f t="shared" si="203"/>
        <v>77.833914862204551</v>
      </c>
      <c r="G260" s="62">
        <f t="shared" si="203"/>
        <v>76.948144060056592</v>
      </c>
      <c r="H260" s="62">
        <f t="shared" si="203"/>
        <v>75.733785427063381</v>
      </c>
      <c r="I260" s="62">
        <f t="shared" si="203"/>
        <v>74.101817549730796</v>
      </c>
      <c r="J260" s="62">
        <f t="shared" si="203"/>
        <v>71.968520261049548</v>
      </c>
      <c r="K260" s="62">
        <f t="shared" si="203"/>
        <v>69.281992899997348</v>
      </c>
      <c r="L260" s="62">
        <f t="shared" si="204"/>
        <v>66.058237183514677</v>
      </c>
      <c r="M260" s="62">
        <f t="shared" si="204"/>
        <v>62.412899152339826</v>
      </c>
      <c r="N260" s="62">
        <f t="shared" si="204"/>
        <v>58.564530749274141</v>
      </c>
      <c r="O260" s="62">
        <f t="shared" si="204"/>
        <v>54.79189103820957</v>
      </c>
      <c r="P260" s="62">
        <f t="shared" si="204"/>
        <v>51.357579454892473</v>
      </c>
      <c r="Q260" s="62">
        <f t="shared" si="204"/>
        <v>48.438903664447089</v>
      </c>
      <c r="R260" s="62">
        <f t="shared" si="204"/>
        <v>46.101567061519283</v>
      </c>
      <c r="S260" s="62">
        <f t="shared" si="204"/>
        <v>44.318075495083995</v>
      </c>
      <c r="T260" s="62">
        <f t="shared" si="204"/>
        <v>43.007066157523667</v>
      </c>
      <c r="U260" s="62">
        <f t="shared" si="204"/>
        <v>42.069713447100085</v>
      </c>
      <c r="V260" s="62">
        <f t="shared" si="205"/>
        <v>41.412767625013835</v>
      </c>
      <c r="W260" s="62">
        <f t="shared" si="205"/>
        <v>40.958777682906323</v>
      </c>
      <c r="X260" s="62">
        <f t="shared" si="205"/>
        <v>40.648089742335586</v>
      </c>
      <c r="Y260" s="62">
        <f t="shared" si="205"/>
        <v>40.43688962256433</v>
      </c>
      <c r="Z260" s="62">
        <f t="shared" si="205"/>
        <v>40.29397285162436</v>
      </c>
      <c r="AA260" s="62">
        <f t="shared" si="205"/>
        <v>40.197561048740226</v>
      </c>
      <c r="AB260" s="62">
        <f t="shared" si="205"/>
        <v>40.132657101971823</v>
      </c>
      <c r="AC260" s="62">
        <f t="shared" si="205"/>
        <v>40.08902544858671</v>
      </c>
    </row>
    <row r="261" spans="1:29" x14ac:dyDescent="0.3">
      <c r="A261" s="30" t="str">
        <f>A241</f>
        <v>Annual Mileage</v>
      </c>
      <c r="B261" s="62">
        <f t="shared" ref="B261:AC261" si="206">$B241+($C241-$B241)*(1-Q241)</f>
        <v>178500</v>
      </c>
      <c r="C261" s="62">
        <f t="shared" si="206"/>
        <v>178500</v>
      </c>
      <c r="D261" s="62">
        <f t="shared" si="206"/>
        <v>178500</v>
      </c>
      <c r="E261" s="62">
        <f t="shared" si="206"/>
        <v>178500</v>
      </c>
      <c r="F261" s="62">
        <f t="shared" si="206"/>
        <v>178500</v>
      </c>
      <c r="G261" s="62">
        <f t="shared" si="206"/>
        <v>178500</v>
      </c>
      <c r="H261" s="62">
        <f t="shared" si="206"/>
        <v>178500</v>
      </c>
      <c r="I261" s="62">
        <f t="shared" si="206"/>
        <v>178500</v>
      </c>
      <c r="J261" s="62">
        <f t="shared" si="206"/>
        <v>178500</v>
      </c>
      <c r="K261" s="62">
        <f t="shared" si="206"/>
        <v>178500</v>
      </c>
      <c r="L261" s="62">
        <f t="shared" si="206"/>
        <v>178500</v>
      </c>
      <c r="M261" s="62">
        <f t="shared" si="206"/>
        <v>178500</v>
      </c>
      <c r="N261" s="62">
        <f t="shared" si="206"/>
        <v>178500</v>
      </c>
      <c r="O261" s="62">
        <f t="shared" si="206"/>
        <v>178500</v>
      </c>
      <c r="P261" s="62">
        <f t="shared" si="206"/>
        <v>178500</v>
      </c>
      <c r="Q261" s="62">
        <f t="shared" si="206"/>
        <v>178500</v>
      </c>
      <c r="R261" s="62">
        <f t="shared" si="206"/>
        <v>178500</v>
      </c>
      <c r="S261" s="62">
        <f t="shared" si="206"/>
        <v>178500</v>
      </c>
      <c r="T261" s="62">
        <f t="shared" si="206"/>
        <v>178500</v>
      </c>
      <c r="U261" s="62">
        <f t="shared" si="206"/>
        <v>178500</v>
      </c>
      <c r="V261" s="62">
        <f t="shared" si="206"/>
        <v>178500</v>
      </c>
      <c r="W261" s="62">
        <f t="shared" si="206"/>
        <v>178500</v>
      </c>
      <c r="X261" s="62">
        <f t="shared" si="206"/>
        <v>178500</v>
      </c>
      <c r="Y261" s="62">
        <f t="shared" si="206"/>
        <v>178500</v>
      </c>
      <c r="Z261" s="62">
        <f t="shared" si="206"/>
        <v>178500</v>
      </c>
      <c r="AA261" s="62">
        <f t="shared" si="206"/>
        <v>178500</v>
      </c>
      <c r="AB261" s="62">
        <f t="shared" si="206"/>
        <v>178500</v>
      </c>
      <c r="AC261" s="62">
        <f t="shared" si="206"/>
        <v>178500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867529.23505697085</v>
      </c>
      <c r="C264" s="63">
        <f t="shared" ref="C264:AC264" si="207">((1+C249)^C256)*C249/(((1+C249)^C256)-1)*(C245)</f>
        <v>865681.10860566224</v>
      </c>
      <c r="D264" s="63">
        <f t="shared" si="207"/>
        <v>863057.03397703567</v>
      </c>
      <c r="E264" s="63">
        <f t="shared" si="207"/>
        <v>859348.15664694412</v>
      </c>
      <c r="F264" s="63">
        <f t="shared" si="207"/>
        <v>854140.95978918544</v>
      </c>
      <c r="G264" s="63">
        <f t="shared" si="207"/>
        <v>846901.06588590739</v>
      </c>
      <c r="H264" s="63">
        <f t="shared" si="207"/>
        <v>836975.44218948286</v>
      </c>
      <c r="I264" s="63">
        <f t="shared" si="207"/>
        <v>823636.46752832399</v>
      </c>
      <c r="J264" s="63">
        <f t="shared" si="207"/>
        <v>806199.8507457996</v>
      </c>
      <c r="K264" s="63">
        <f t="shared" si="207"/>
        <v>784241.37907896913</v>
      </c>
      <c r="L264" s="63">
        <f t="shared" si="207"/>
        <v>757891.84339680034</v>
      </c>
      <c r="M264" s="63">
        <f t="shared" si="207"/>
        <v>728096.48265190842</v>
      </c>
      <c r="N264" s="63">
        <f t="shared" si="207"/>
        <v>696641.64256081509</v>
      </c>
      <c r="O264" s="63">
        <f t="shared" si="207"/>
        <v>665805.77488808637</v>
      </c>
      <c r="P264" s="63">
        <f t="shared" si="207"/>
        <v>637735.24983383913</v>
      </c>
      <c r="Q264" s="63">
        <f t="shared" si="207"/>
        <v>613879.3008573663</v>
      </c>
      <c r="R264" s="63">
        <f t="shared" si="207"/>
        <v>594774.95808561263</v>
      </c>
      <c r="S264" s="63">
        <f t="shared" si="207"/>
        <v>580197.49663952412</v>
      </c>
      <c r="T264" s="63">
        <f t="shared" si="207"/>
        <v>569481.893362551</v>
      </c>
      <c r="U264" s="63">
        <f t="shared" si="207"/>
        <v>561820.39203855116</v>
      </c>
      <c r="V264" s="63">
        <f t="shared" si="207"/>
        <v>556450.81105826527</v>
      </c>
      <c r="W264" s="63">
        <f t="shared" si="207"/>
        <v>552740.10056064755</v>
      </c>
      <c r="X264" s="63">
        <f t="shared" si="207"/>
        <v>550200.67645533092</v>
      </c>
      <c r="Y264" s="63">
        <f t="shared" si="207"/>
        <v>548474.42124823271</v>
      </c>
      <c r="Z264" s="63">
        <f t="shared" si="207"/>
        <v>547306.28355832992</v>
      </c>
      <c r="AA264" s="63">
        <f t="shared" si="207"/>
        <v>546518.25665316184</v>
      </c>
      <c r="AB264" s="63">
        <f t="shared" si="207"/>
        <v>545987.76085518813</v>
      </c>
      <c r="AC264" s="63">
        <f t="shared" si="207"/>
        <v>545631.13525794924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-44095.850871439077</v>
      </c>
      <c r="C265" s="62">
        <f t="shared" ref="C265:AC265" si="208">((1+C249)^C256)*C249/(((1+C249)^C256)-1)*(C246)</f>
        <v>-44311.465624091747</v>
      </c>
      <c r="D265" s="62">
        <f t="shared" si="208"/>
        <v>-44617.607664098185</v>
      </c>
      <c r="E265" s="62">
        <f t="shared" si="208"/>
        <v>-45050.310019275523</v>
      </c>
      <c r="F265" s="62">
        <f t="shared" si="208"/>
        <v>-45657.816319347374</v>
      </c>
      <c r="G265" s="62">
        <f t="shared" si="208"/>
        <v>-46502.470608063151</v>
      </c>
      <c r="H265" s="62">
        <f t="shared" si="208"/>
        <v>-47660.460039312675</v>
      </c>
      <c r="I265" s="62">
        <f t="shared" si="208"/>
        <v>-49216.673749781199</v>
      </c>
      <c r="J265" s="62">
        <f t="shared" si="208"/>
        <v>-51250.945707742365</v>
      </c>
      <c r="K265" s="62">
        <f t="shared" si="208"/>
        <v>-53812.767402205936</v>
      </c>
      <c r="L265" s="62">
        <f t="shared" si="208"/>
        <v>-56886.879898458967</v>
      </c>
      <c r="M265" s="62">
        <f t="shared" si="208"/>
        <v>-60363.005318696356</v>
      </c>
      <c r="N265" s="62">
        <f t="shared" si="208"/>
        <v>-64032.73666265724</v>
      </c>
      <c r="O265" s="62">
        <f t="shared" si="208"/>
        <v>-67630.254557808934</v>
      </c>
      <c r="P265" s="62">
        <f t="shared" si="208"/>
        <v>-70905.149147471107</v>
      </c>
      <c r="Q265" s="62">
        <f t="shared" si="208"/>
        <v>-73688.343194726258</v>
      </c>
      <c r="R265" s="62">
        <f t="shared" si="208"/>
        <v>-75917.183184764202</v>
      </c>
      <c r="S265" s="62">
        <f t="shared" si="208"/>
        <v>-77617.887020141206</v>
      </c>
      <c r="T265" s="62">
        <f t="shared" si="208"/>
        <v>-78868.040735788047</v>
      </c>
      <c r="U265" s="62">
        <f t="shared" si="208"/>
        <v>-79761.882556921351</v>
      </c>
      <c r="V265" s="62">
        <f t="shared" si="208"/>
        <v>-80388.333671288041</v>
      </c>
      <c r="W265" s="62">
        <f t="shared" si="208"/>
        <v>-80821.249896010122</v>
      </c>
      <c r="X265" s="62">
        <f t="shared" si="208"/>
        <v>-81117.516041630384</v>
      </c>
      <c r="Y265" s="62">
        <f t="shared" si="208"/>
        <v>-81318.912482458516</v>
      </c>
      <c r="Z265" s="62">
        <f t="shared" si="208"/>
        <v>-81455.19521294719</v>
      </c>
      <c r="AA265" s="62">
        <f t="shared" si="208"/>
        <v>-81547.131685216795</v>
      </c>
      <c r="AB265" s="62">
        <f t="shared" si="208"/>
        <v>-81609.022861647056</v>
      </c>
      <c r="AC265" s="62">
        <f t="shared" si="208"/>
        <v>-81650.629181324926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09">((1+C249)^C257)*C249/(((1+C249)^C257)-1)*(C247)</f>
        <v>203416.95217213215</v>
      </c>
      <c r="D266" s="62">
        <f t="shared" si="209"/>
        <v>203416.95217213215</v>
      </c>
      <c r="E266" s="62">
        <f t="shared" si="209"/>
        <v>203416.95217213215</v>
      </c>
      <c r="F266" s="62">
        <f t="shared" si="209"/>
        <v>203416.95217213215</v>
      </c>
      <c r="G266" s="62">
        <f t="shared" si="209"/>
        <v>203416.95217213215</v>
      </c>
      <c r="H266" s="62">
        <f t="shared" si="209"/>
        <v>203416.95217213215</v>
      </c>
      <c r="I266" s="62">
        <f t="shared" si="209"/>
        <v>203416.95217213215</v>
      </c>
      <c r="J266" s="62">
        <f t="shared" si="209"/>
        <v>203416.95217213215</v>
      </c>
      <c r="K266" s="62">
        <f t="shared" si="209"/>
        <v>203416.95217213215</v>
      </c>
      <c r="L266" s="62">
        <f t="shared" si="209"/>
        <v>203416.95217213215</v>
      </c>
      <c r="M266" s="62">
        <f t="shared" si="209"/>
        <v>203416.95217213215</v>
      </c>
      <c r="N266" s="62">
        <f t="shared" si="209"/>
        <v>203416.95217213215</v>
      </c>
      <c r="O266" s="62">
        <f t="shared" si="209"/>
        <v>203416.95217213215</v>
      </c>
      <c r="P266" s="62">
        <f t="shared" si="209"/>
        <v>203416.95217213215</v>
      </c>
      <c r="Q266" s="62">
        <f t="shared" si="209"/>
        <v>203416.95217213215</v>
      </c>
      <c r="R266" s="62">
        <f t="shared" si="209"/>
        <v>203416.95217213215</v>
      </c>
      <c r="S266" s="62">
        <f t="shared" si="209"/>
        <v>203416.95217213215</v>
      </c>
      <c r="T266" s="62">
        <f t="shared" si="209"/>
        <v>203416.95217213215</v>
      </c>
      <c r="U266" s="62">
        <f t="shared" si="209"/>
        <v>203416.95217213215</v>
      </c>
      <c r="V266" s="62">
        <f t="shared" si="209"/>
        <v>203416.95217213215</v>
      </c>
      <c r="W266" s="62">
        <f t="shared" si="209"/>
        <v>203416.95217213215</v>
      </c>
      <c r="X266" s="62">
        <f t="shared" si="209"/>
        <v>203416.95217213215</v>
      </c>
      <c r="Y266" s="62">
        <f t="shared" si="209"/>
        <v>203416.95217213215</v>
      </c>
      <c r="Z266" s="62">
        <f t="shared" si="209"/>
        <v>203416.95217213215</v>
      </c>
      <c r="AA266" s="62">
        <f t="shared" si="209"/>
        <v>203416.95217213215</v>
      </c>
      <c r="AB266" s="62">
        <f t="shared" si="209"/>
        <v>203416.95217213215</v>
      </c>
      <c r="AC266" s="62">
        <f t="shared" si="209"/>
        <v>203416.95217213215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10">((1+C249)^C257)*C249/(((1+C249)^C257)-1)*(C248)</f>
        <v>-10170.847608606608</v>
      </c>
      <c r="D267" s="62">
        <f t="shared" si="210"/>
        <v>-10170.847608606608</v>
      </c>
      <c r="E267" s="62">
        <f t="shared" si="210"/>
        <v>-10170.847608606608</v>
      </c>
      <c r="F267" s="62">
        <f t="shared" si="210"/>
        <v>-10170.847608606608</v>
      </c>
      <c r="G267" s="62">
        <f t="shared" si="210"/>
        <v>-10170.847608606608</v>
      </c>
      <c r="H267" s="62">
        <f t="shared" si="210"/>
        <v>-10170.847608606608</v>
      </c>
      <c r="I267" s="62">
        <f t="shared" si="210"/>
        <v>-10170.847608606608</v>
      </c>
      <c r="J267" s="62">
        <f t="shared" si="210"/>
        <v>-10170.847608606608</v>
      </c>
      <c r="K267" s="62">
        <f t="shared" si="210"/>
        <v>-10170.847608606608</v>
      </c>
      <c r="L267" s="62">
        <f t="shared" si="210"/>
        <v>-10170.847608606608</v>
      </c>
      <c r="M267" s="62">
        <f t="shared" si="210"/>
        <v>-10170.847608606608</v>
      </c>
      <c r="N267" s="62">
        <f t="shared" si="210"/>
        <v>-10170.847608606608</v>
      </c>
      <c r="O267" s="62">
        <f t="shared" si="210"/>
        <v>-10170.847608606608</v>
      </c>
      <c r="P267" s="62">
        <f t="shared" si="210"/>
        <v>-10170.847608606608</v>
      </c>
      <c r="Q267" s="62">
        <f t="shared" si="210"/>
        <v>-10170.847608606608</v>
      </c>
      <c r="R267" s="62">
        <f t="shared" si="210"/>
        <v>-10170.847608606608</v>
      </c>
      <c r="S267" s="62">
        <f t="shared" si="210"/>
        <v>-10170.847608606608</v>
      </c>
      <c r="T267" s="62">
        <f t="shared" si="210"/>
        <v>-10170.847608606608</v>
      </c>
      <c r="U267" s="62">
        <f t="shared" si="210"/>
        <v>-10170.847608606608</v>
      </c>
      <c r="V267" s="62">
        <f t="shared" si="210"/>
        <v>-10170.847608606608</v>
      </c>
      <c r="W267" s="62">
        <f t="shared" si="210"/>
        <v>-10170.847608606608</v>
      </c>
      <c r="X267" s="62">
        <f t="shared" si="210"/>
        <v>-10170.847608606608</v>
      </c>
      <c r="Y267" s="62">
        <f t="shared" si="210"/>
        <v>-10170.847608606608</v>
      </c>
      <c r="Z267" s="62">
        <f t="shared" si="210"/>
        <v>-10170.847608606608</v>
      </c>
      <c r="AA267" s="62">
        <f t="shared" si="210"/>
        <v>-10170.847608606608</v>
      </c>
      <c r="AB267" s="62">
        <f t="shared" si="210"/>
        <v>-10170.847608606608</v>
      </c>
      <c r="AC267" s="62">
        <f t="shared" si="210"/>
        <v>-10170.847608606608</v>
      </c>
    </row>
    <row r="268" spans="1:29" x14ac:dyDescent="0.3">
      <c r="A268" s="30" t="str">
        <f t="shared" ref="A268:AC268" si="211">A250</f>
        <v>Opex fix (admin, crew, insurance)</v>
      </c>
      <c r="B268" s="62">
        <f t="shared" si="211"/>
        <v>610000</v>
      </c>
      <c r="C268" s="62">
        <f t="shared" si="211"/>
        <v>610000</v>
      </c>
      <c r="D268" s="62">
        <f t="shared" si="211"/>
        <v>610000</v>
      </c>
      <c r="E268" s="62">
        <f t="shared" si="211"/>
        <v>610000</v>
      </c>
      <c r="F268" s="62">
        <f t="shared" si="211"/>
        <v>610000</v>
      </c>
      <c r="G268" s="62">
        <f t="shared" si="211"/>
        <v>610000</v>
      </c>
      <c r="H268" s="62">
        <f t="shared" si="211"/>
        <v>610000</v>
      </c>
      <c r="I268" s="62">
        <f t="shared" si="211"/>
        <v>610000</v>
      </c>
      <c r="J268" s="62">
        <f t="shared" si="211"/>
        <v>610000</v>
      </c>
      <c r="K268" s="62">
        <f t="shared" si="211"/>
        <v>610000</v>
      </c>
      <c r="L268" s="62">
        <f t="shared" si="211"/>
        <v>610000</v>
      </c>
      <c r="M268" s="62">
        <f t="shared" si="211"/>
        <v>610000</v>
      </c>
      <c r="N268" s="62">
        <f t="shared" si="211"/>
        <v>610000</v>
      </c>
      <c r="O268" s="62">
        <f t="shared" si="211"/>
        <v>610000</v>
      </c>
      <c r="P268" s="62">
        <f t="shared" si="211"/>
        <v>610000</v>
      </c>
      <c r="Q268" s="62">
        <f t="shared" si="211"/>
        <v>610000</v>
      </c>
      <c r="R268" s="62">
        <f t="shared" si="211"/>
        <v>610000</v>
      </c>
      <c r="S268" s="62">
        <f t="shared" si="211"/>
        <v>610000</v>
      </c>
      <c r="T268" s="62">
        <f t="shared" si="211"/>
        <v>610000</v>
      </c>
      <c r="U268" s="62">
        <f t="shared" si="211"/>
        <v>610000</v>
      </c>
      <c r="V268" s="62">
        <f t="shared" si="211"/>
        <v>610000</v>
      </c>
      <c r="W268" s="62">
        <f t="shared" si="211"/>
        <v>610000</v>
      </c>
      <c r="X268" s="62">
        <f t="shared" si="211"/>
        <v>610000</v>
      </c>
      <c r="Y268" s="62">
        <f t="shared" si="211"/>
        <v>610000</v>
      </c>
      <c r="Z268" s="62">
        <f t="shared" si="211"/>
        <v>610000</v>
      </c>
      <c r="AA268" s="62">
        <f t="shared" si="211"/>
        <v>610000</v>
      </c>
      <c r="AB268" s="62">
        <f t="shared" si="211"/>
        <v>610000</v>
      </c>
      <c r="AC268" s="62">
        <f t="shared" si="211"/>
        <v>610000</v>
      </c>
    </row>
    <row r="269" spans="1:29" x14ac:dyDescent="0.3">
      <c r="A269" s="30" t="str">
        <f t="shared" ref="A269:AC269" si="212">A251</f>
        <v>Opex maintenance &amp; repair</v>
      </c>
      <c r="B269" s="62">
        <f t="shared" si="212"/>
        <v>1293563.9575177333</v>
      </c>
      <c r="C269" s="62">
        <f t="shared" si="212"/>
        <v>1290808.235093934</v>
      </c>
      <c r="D269" s="62">
        <f t="shared" si="212"/>
        <v>1286895.5042898762</v>
      </c>
      <c r="E269" s="62">
        <f t="shared" si="212"/>
        <v>1281365.2352877648</v>
      </c>
      <c r="F269" s="62">
        <f t="shared" si="212"/>
        <v>1273600.837383118</v>
      </c>
      <c r="G269" s="62">
        <f t="shared" si="212"/>
        <v>1262805.5057319398</v>
      </c>
      <c r="H269" s="62">
        <f t="shared" si="212"/>
        <v>1248005.5098923349</v>
      </c>
      <c r="I269" s="62">
        <f t="shared" si="212"/>
        <v>1228115.9013873441</v>
      </c>
      <c r="J269" s="62">
        <f t="shared" si="212"/>
        <v>1202116.3406815415</v>
      </c>
      <c r="K269" s="62">
        <f t="shared" si="212"/>
        <v>1169374.2884687176</v>
      </c>
      <c r="L269" s="62">
        <f t="shared" si="212"/>
        <v>1130084.7656740851</v>
      </c>
      <c r="M269" s="62">
        <f t="shared" si="212"/>
        <v>1085657.2084191416</v>
      </c>
      <c r="N269" s="62">
        <f t="shared" si="212"/>
        <v>1038755.2185067786</v>
      </c>
      <c r="O269" s="62">
        <f t="shared" si="212"/>
        <v>992776.17202817916</v>
      </c>
      <c r="P269" s="62">
        <f t="shared" si="212"/>
        <v>950920.49960650213</v>
      </c>
      <c r="Q269" s="62">
        <f t="shared" si="212"/>
        <v>915349.13841044903</v>
      </c>
      <c r="R269" s="62">
        <f t="shared" si="212"/>
        <v>886862.84856226621</v>
      </c>
      <c r="S269" s="62">
        <f t="shared" si="212"/>
        <v>865126.54509633617</v>
      </c>
      <c r="T269" s="62">
        <f t="shared" si="212"/>
        <v>849148.61879481981</v>
      </c>
      <c r="U269" s="62">
        <f t="shared" si="212"/>
        <v>837724.6326365323</v>
      </c>
      <c r="V269" s="62">
        <f t="shared" si="212"/>
        <v>829718.10542985611</v>
      </c>
      <c r="W269" s="62">
        <f t="shared" si="212"/>
        <v>824185.10301042092</v>
      </c>
      <c r="X269" s="62">
        <f t="shared" si="212"/>
        <v>820398.59373471502</v>
      </c>
      <c r="Y269" s="62">
        <f t="shared" si="212"/>
        <v>817824.59227500285</v>
      </c>
      <c r="Z269" s="62">
        <f t="shared" si="212"/>
        <v>816082.79412917187</v>
      </c>
      <c r="AA269" s="62">
        <f t="shared" si="212"/>
        <v>814907.77528152149</v>
      </c>
      <c r="AB269" s="62">
        <f t="shared" si="212"/>
        <v>814116.75843028165</v>
      </c>
      <c r="AC269" s="62">
        <f t="shared" si="212"/>
        <v>813584.99765465059</v>
      </c>
    </row>
    <row r="270" spans="1:29" x14ac:dyDescent="0.3">
      <c r="A270" s="30" t="str">
        <f>A252</f>
        <v>Opex var (mode-fees, shunting)</v>
      </c>
      <c r="B270" s="62">
        <f>B252*B261</f>
        <v>650000</v>
      </c>
      <c r="C270" s="62">
        <f t="shared" ref="C270:AC270" si="213">C252*C261</f>
        <v>650000</v>
      </c>
      <c r="D270" s="62">
        <f t="shared" si="213"/>
        <v>650000</v>
      </c>
      <c r="E270" s="62">
        <f t="shared" si="213"/>
        <v>650000</v>
      </c>
      <c r="F270" s="62">
        <f t="shared" si="213"/>
        <v>650000</v>
      </c>
      <c r="G270" s="62">
        <f t="shared" si="213"/>
        <v>650000</v>
      </c>
      <c r="H270" s="62">
        <f t="shared" si="213"/>
        <v>650000</v>
      </c>
      <c r="I270" s="62">
        <f t="shared" si="213"/>
        <v>650000</v>
      </c>
      <c r="J270" s="62">
        <f t="shared" si="213"/>
        <v>650000</v>
      </c>
      <c r="K270" s="62">
        <f t="shared" si="213"/>
        <v>650000</v>
      </c>
      <c r="L270" s="62">
        <f t="shared" si="213"/>
        <v>650000</v>
      </c>
      <c r="M270" s="62">
        <f t="shared" si="213"/>
        <v>650000</v>
      </c>
      <c r="N270" s="62">
        <f t="shared" si="213"/>
        <v>650000</v>
      </c>
      <c r="O270" s="62">
        <f t="shared" si="213"/>
        <v>650000</v>
      </c>
      <c r="P270" s="62">
        <f t="shared" si="213"/>
        <v>650000</v>
      </c>
      <c r="Q270" s="62">
        <f t="shared" si="213"/>
        <v>650000</v>
      </c>
      <c r="R270" s="62">
        <f t="shared" si="213"/>
        <v>650000</v>
      </c>
      <c r="S270" s="62">
        <f t="shared" si="213"/>
        <v>650000</v>
      </c>
      <c r="T270" s="62">
        <f t="shared" si="213"/>
        <v>650000</v>
      </c>
      <c r="U270" s="62">
        <f t="shared" si="213"/>
        <v>650000</v>
      </c>
      <c r="V270" s="62">
        <f t="shared" si="213"/>
        <v>650000</v>
      </c>
      <c r="W270" s="62">
        <f t="shared" si="213"/>
        <v>650000</v>
      </c>
      <c r="X270" s="62">
        <f t="shared" si="213"/>
        <v>650000</v>
      </c>
      <c r="Y270" s="62">
        <f t="shared" si="213"/>
        <v>650000</v>
      </c>
      <c r="Z270" s="62">
        <f t="shared" si="213"/>
        <v>650000</v>
      </c>
      <c r="AA270" s="62">
        <f t="shared" si="213"/>
        <v>650000</v>
      </c>
      <c r="AB270" s="62">
        <f t="shared" si="213"/>
        <v>650000</v>
      </c>
      <c r="AC270" s="62">
        <f t="shared" si="213"/>
        <v>650000</v>
      </c>
    </row>
    <row r="271" spans="1:29" x14ac:dyDescent="0.3">
      <c r="A271" s="30" t="str">
        <f>A254</f>
        <v>Fuel Cost</v>
      </c>
      <c r="B271" s="62">
        <f>B253*B254*B261</f>
        <v>447653.91278257803</v>
      </c>
      <c r="C271" s="62">
        <f t="shared" ref="C271:AC271" si="214">C253*C254*C261</f>
        <v>447125.47116858652</v>
      </c>
      <c r="D271" s="62">
        <f t="shared" si="214"/>
        <v>446375.15982976876</v>
      </c>
      <c r="E271" s="62">
        <f t="shared" si="214"/>
        <v>445314.66685266612</v>
      </c>
      <c r="F271" s="62">
        <f t="shared" si="214"/>
        <v>443825.7538456922</v>
      </c>
      <c r="G271" s="62">
        <f t="shared" si="214"/>
        <v>441755.62427384011</v>
      </c>
      <c r="H271" s="62">
        <f t="shared" si="214"/>
        <v>438917.55407453218</v>
      </c>
      <c r="I271" s="62">
        <f t="shared" si="214"/>
        <v>435103.4918419699</v>
      </c>
      <c r="J271" s="62">
        <f t="shared" si="214"/>
        <v>430117.77568137628</v>
      </c>
      <c r="K271" s="62">
        <f t="shared" si="214"/>
        <v>423839.10887251585</v>
      </c>
      <c r="L271" s="62">
        <f t="shared" si="214"/>
        <v>416304.88893104222</v>
      </c>
      <c r="M271" s="62">
        <f t="shared" si="214"/>
        <v>407785.39151767886</v>
      </c>
      <c r="N271" s="62">
        <f t="shared" si="214"/>
        <v>398791.39305300947</v>
      </c>
      <c r="O271" s="62">
        <f t="shared" si="214"/>
        <v>389974.37965532253</v>
      </c>
      <c r="P271" s="62">
        <f t="shared" si="214"/>
        <v>381948.07087393251</v>
      </c>
      <c r="Q271" s="62">
        <f t="shared" si="214"/>
        <v>375126.85137810098</v>
      </c>
      <c r="R271" s="62">
        <f t="shared" si="214"/>
        <v>369664.27617313835</v>
      </c>
      <c r="S271" s="62">
        <f t="shared" si="214"/>
        <v>365496.08884536289</v>
      </c>
      <c r="T271" s="62">
        <f t="shared" si="214"/>
        <v>362432.13687034114</v>
      </c>
      <c r="U271" s="62">
        <f t="shared" si="214"/>
        <v>360241.45553336525</v>
      </c>
      <c r="V271" s="62">
        <f t="shared" si="214"/>
        <v>358706.11143519945</v>
      </c>
      <c r="W271" s="62">
        <f t="shared" si="214"/>
        <v>357645.09429374349</v>
      </c>
      <c r="X271" s="62">
        <f t="shared" si="214"/>
        <v>356918.98739133298</v>
      </c>
      <c r="Y271" s="62">
        <f t="shared" si="214"/>
        <v>356425.39287178352</v>
      </c>
      <c r="Z271" s="62">
        <f t="shared" si="214"/>
        <v>356091.38295283035</v>
      </c>
      <c r="AA271" s="62">
        <f t="shared" si="214"/>
        <v>355866.05951279146</v>
      </c>
      <c r="AB271" s="62">
        <f t="shared" si="214"/>
        <v>355714.37289226911</v>
      </c>
      <c r="AC271" s="62">
        <f t="shared" si="214"/>
        <v>355612.40161965293</v>
      </c>
    </row>
    <row r="272" spans="1:29" ht="15" thickBot="1" x14ac:dyDescent="0.35">
      <c r="A272" s="59" t="str">
        <f>A235</f>
        <v>Emission Cost</v>
      </c>
      <c r="B272" s="62">
        <f>B255*B261</f>
        <v>11203.006220996644</v>
      </c>
      <c r="C272" s="62">
        <f t="shared" ref="C272:AC272" si="215">C255*C261</f>
        <v>11192.33822944287</v>
      </c>
      <c r="D272" s="62">
        <f t="shared" si="215"/>
        <v>11177.067237144001</v>
      </c>
      <c r="E272" s="62">
        <f t="shared" si="215"/>
        <v>11155.221008756278</v>
      </c>
      <c r="F272" s="62">
        <f t="shared" si="215"/>
        <v>11123.997927780596</v>
      </c>
      <c r="G272" s="62">
        <f t="shared" si="215"/>
        <v>11079.435843640687</v>
      </c>
      <c r="H272" s="62">
        <f t="shared" si="215"/>
        <v>11015.968503549551</v>
      </c>
      <c r="I272" s="62">
        <f t="shared" si="215"/>
        <v>10925.85397877683</v>
      </c>
      <c r="J272" s="62">
        <f t="shared" si="215"/>
        <v>10798.485757463533</v>
      </c>
      <c r="K272" s="62">
        <f t="shared" si="215"/>
        <v>10619.663072652727</v>
      </c>
      <c r="L272" s="62">
        <f t="shared" si="215"/>
        <v>10371.034626120974</v>
      </c>
      <c r="M272" s="62">
        <f t="shared" si="215"/>
        <v>10030.174327134624</v>
      </c>
      <c r="N272" s="62">
        <f t="shared" si="215"/>
        <v>9572.0946104099457</v>
      </c>
      <c r="O272" s="62">
        <f t="shared" si="215"/>
        <v>8973.2959261577307</v>
      </c>
      <c r="P272" s="62">
        <f t="shared" si="215"/>
        <v>8219.2101934560833</v>
      </c>
      <c r="Q272" s="62">
        <f t="shared" si="215"/>
        <v>7314.328960248451</v>
      </c>
      <c r="R272" s="62">
        <f t="shared" si="215"/>
        <v>6291.113101725784</v>
      </c>
      <c r="S272" s="62">
        <f t="shared" si="215"/>
        <v>5210.9083180324342</v>
      </c>
      <c r="T272" s="62">
        <f t="shared" si="215"/>
        <v>4151.9599440157926</v>
      </c>
      <c r="U272" s="62">
        <f t="shared" si="215"/>
        <v>3187.9774422268952</v>
      </c>
      <c r="V272" s="62">
        <f t="shared" si="215"/>
        <v>2368.7295894544022</v>
      </c>
      <c r="W272" s="62">
        <f t="shared" si="215"/>
        <v>1712.6587783613491</v>
      </c>
      <c r="X272" s="62">
        <f t="shared" si="215"/>
        <v>1212.047630996814</v>
      </c>
      <c r="Y272" s="62">
        <f t="shared" si="215"/>
        <v>844.05828861182579</v>
      </c>
      <c r="Z272" s="62">
        <f t="shared" si="215"/>
        <v>580.95123238485962</v>
      </c>
      <c r="AA272" s="62">
        <f t="shared" si="215"/>
        <v>396.55204152786723</v>
      </c>
      <c r="AB272" s="62">
        <f t="shared" si="215"/>
        <v>269.12086658564078</v>
      </c>
      <c r="AC272" s="62">
        <f t="shared" si="215"/>
        <v>181.91336343365799</v>
      </c>
    </row>
    <row r="273" spans="1:29" ht="15" thickBot="1" x14ac:dyDescent="0.35">
      <c r="A273" s="31" t="s">
        <v>209</v>
      </c>
      <c r="B273" s="64">
        <f>B264+B265+B266+B267+B268+B269+B270+B271+B272</f>
        <v>4029100.3652703655</v>
      </c>
      <c r="C273" s="64">
        <f t="shared" ref="C273:AC273" si="216">C264+C265+C266+C267+C268+C269+C270+C271+C272</f>
        <v>4023741.7920370596</v>
      </c>
      <c r="D273" s="64">
        <f t="shared" si="216"/>
        <v>4016133.2622332517</v>
      </c>
      <c r="E273" s="64">
        <f t="shared" si="216"/>
        <v>4005379.0743403812</v>
      </c>
      <c r="F273" s="64">
        <f t="shared" si="216"/>
        <v>3990279.8371899547</v>
      </c>
      <c r="G273" s="64">
        <f t="shared" si="216"/>
        <v>3969285.26569079</v>
      </c>
      <c r="H273" s="64">
        <f t="shared" si="216"/>
        <v>3940500.1191841126</v>
      </c>
      <c r="I273" s="64">
        <f t="shared" si="216"/>
        <v>3901811.1455501593</v>
      </c>
      <c r="J273" s="64">
        <f t="shared" si="216"/>
        <v>3851227.6117219646</v>
      </c>
      <c r="K273" s="64">
        <f t="shared" si="216"/>
        <v>3787507.776654175</v>
      </c>
      <c r="L273" s="64">
        <f t="shared" si="216"/>
        <v>3711011.7572931154</v>
      </c>
      <c r="M273" s="64">
        <f t="shared" si="216"/>
        <v>3624452.3561606929</v>
      </c>
      <c r="N273" s="64">
        <f t="shared" si="216"/>
        <v>3532973.7166318814</v>
      </c>
      <c r="O273" s="64">
        <f t="shared" si="216"/>
        <v>3443145.4725034623</v>
      </c>
      <c r="P273" s="64">
        <f t="shared" si="216"/>
        <v>3361163.9859237843</v>
      </c>
      <c r="Q273" s="64">
        <f t="shared" si="216"/>
        <v>3291227.3809749638</v>
      </c>
      <c r="R273" s="64">
        <f t="shared" si="216"/>
        <v>3234922.1173015046</v>
      </c>
      <c r="S273" s="64">
        <f t="shared" si="216"/>
        <v>3191659.25644264</v>
      </c>
      <c r="T273" s="64">
        <f t="shared" si="216"/>
        <v>3159592.6727994657</v>
      </c>
      <c r="U273" s="64">
        <f t="shared" si="216"/>
        <v>3136458.67965728</v>
      </c>
      <c r="V273" s="64">
        <f t="shared" si="216"/>
        <v>3120101.528405013</v>
      </c>
      <c r="W273" s="64">
        <f t="shared" si="216"/>
        <v>3108707.8113106885</v>
      </c>
      <c r="X273" s="64">
        <f t="shared" si="216"/>
        <v>3100858.8937342712</v>
      </c>
      <c r="Y273" s="64">
        <f t="shared" si="216"/>
        <v>3095495.6567646982</v>
      </c>
      <c r="Z273" s="64">
        <f t="shared" si="216"/>
        <v>3091852.3212232953</v>
      </c>
      <c r="AA273" s="64">
        <f t="shared" si="216"/>
        <v>3089387.6163673112</v>
      </c>
      <c r="AB273" s="64">
        <f t="shared" si="216"/>
        <v>3087725.0947462027</v>
      </c>
      <c r="AC273" s="64">
        <f t="shared" si="216"/>
        <v>3086605.9232778871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17">A264</f>
        <v>Capex vehicle</v>
      </c>
      <c r="B276" s="65">
        <f>((1+B249)^B256)*B249/(((1+B249)^B256)-1)*(B245)/B261</f>
        <v>4.8601077594228057</v>
      </c>
      <c r="C276" s="65">
        <f t="shared" ref="C276:AC276" si="218">((1+C249)^C256)*C249/(((1+C249)^C256)-1)*(C245)/C261</f>
        <v>4.8497541098356427</v>
      </c>
      <c r="D276" s="65">
        <f t="shared" si="218"/>
        <v>4.8350534116360544</v>
      </c>
      <c r="E276" s="65">
        <f t="shared" si="218"/>
        <v>4.8142753873778386</v>
      </c>
      <c r="F276" s="65">
        <f t="shared" si="218"/>
        <v>4.7851034161859127</v>
      </c>
      <c r="G276" s="65">
        <f t="shared" si="218"/>
        <v>4.7445437864756714</v>
      </c>
      <c r="H276" s="65">
        <f t="shared" si="218"/>
        <v>4.6889380514816965</v>
      </c>
      <c r="I276" s="65">
        <f t="shared" si="218"/>
        <v>4.6142099021194625</v>
      </c>
      <c r="J276" s="65">
        <f t="shared" si="218"/>
        <v>4.5165257744862721</v>
      </c>
      <c r="K276" s="65">
        <f t="shared" si="218"/>
        <v>4.3935091264928241</v>
      </c>
      <c r="L276" s="65">
        <f t="shared" si="218"/>
        <v>4.2458926800941192</v>
      </c>
      <c r="M276" s="65">
        <f t="shared" si="218"/>
        <v>4.0789718916073303</v>
      </c>
      <c r="N276" s="65">
        <f t="shared" si="218"/>
        <v>3.9027543000605887</v>
      </c>
      <c r="O276" s="65">
        <f t="shared" si="218"/>
        <v>3.7300043411097277</v>
      </c>
      <c r="P276" s="65">
        <f t="shared" si="218"/>
        <v>3.5727464976685668</v>
      </c>
      <c r="Q276" s="65">
        <f t="shared" si="218"/>
        <v>3.4390997246911277</v>
      </c>
      <c r="R276" s="65">
        <f t="shared" si="218"/>
        <v>3.3320725943171574</v>
      </c>
      <c r="S276" s="65">
        <f t="shared" si="218"/>
        <v>3.2504061436387905</v>
      </c>
      <c r="T276" s="65">
        <f t="shared" si="218"/>
        <v>3.1903747527313779</v>
      </c>
      <c r="U276" s="65">
        <f t="shared" si="218"/>
        <v>3.147453176686561</v>
      </c>
      <c r="V276" s="65">
        <f t="shared" si="218"/>
        <v>3.1173714905224945</v>
      </c>
      <c r="W276" s="65">
        <f t="shared" si="218"/>
        <v>3.0965831964181936</v>
      </c>
      <c r="X276" s="65">
        <f t="shared" si="218"/>
        <v>3.0823567308421902</v>
      </c>
      <c r="Y276" s="65">
        <f t="shared" si="218"/>
        <v>3.0726858333234324</v>
      </c>
      <c r="Z276" s="65">
        <f t="shared" si="218"/>
        <v>3.0661416445844814</v>
      </c>
      <c r="AA276" s="65">
        <f t="shared" si="218"/>
        <v>3.0617269280289179</v>
      </c>
      <c r="AB276" s="65">
        <f t="shared" si="218"/>
        <v>3.058754962774163</v>
      </c>
      <c r="AC276" s="65">
        <f t="shared" si="218"/>
        <v>3.0567570602686231</v>
      </c>
    </row>
    <row r="277" spans="1:29" x14ac:dyDescent="0.3">
      <c r="A277" s="30" t="str">
        <f t="shared" si="217"/>
        <v>Residual value (vehicle)</v>
      </c>
      <c r="B277" s="66">
        <f>((1+B249)^B256)*B249/(((1+B249)^B256)-1)*(B246)/B261</f>
        <v>-0.24703557911170351</v>
      </c>
      <c r="C277" s="66">
        <f t="shared" ref="C277:AC277" si="219">((1+C249)^C256)*C249/(((1+C249)^C256)-1)*(C246)/C261</f>
        <v>-0.24824350489687252</v>
      </c>
      <c r="D277" s="66">
        <f t="shared" si="219"/>
        <v>-0.24995858635349122</v>
      </c>
      <c r="E277" s="66">
        <f t="shared" si="219"/>
        <v>-0.25238268918361639</v>
      </c>
      <c r="F277" s="66">
        <f t="shared" si="219"/>
        <v>-0.25578608582267437</v>
      </c>
      <c r="G277" s="66">
        <f t="shared" si="219"/>
        <v>-0.26051804262220252</v>
      </c>
      <c r="H277" s="66">
        <f t="shared" si="219"/>
        <v>-0.26700537837149957</v>
      </c>
      <c r="I277" s="66">
        <f t="shared" si="219"/>
        <v>-0.27572366246376023</v>
      </c>
      <c r="J277" s="66">
        <f t="shared" si="219"/>
        <v>-0.28712014402096564</v>
      </c>
      <c r="K277" s="66">
        <f t="shared" si="219"/>
        <v>-0.301472086286868</v>
      </c>
      <c r="L277" s="66">
        <f t="shared" si="219"/>
        <v>-0.31869400503338358</v>
      </c>
      <c r="M277" s="66">
        <f t="shared" si="219"/>
        <v>-0.33816809702350897</v>
      </c>
      <c r="N277" s="66">
        <f t="shared" si="219"/>
        <v>-0.35872681603729545</v>
      </c>
      <c r="O277" s="66">
        <f t="shared" si="219"/>
        <v>-0.378880977914896</v>
      </c>
      <c r="P277" s="66">
        <f t="shared" si="219"/>
        <v>-0.39722772631636477</v>
      </c>
      <c r="Q277" s="66">
        <f t="shared" si="219"/>
        <v>-0.41281984983039921</v>
      </c>
      <c r="R277" s="66">
        <f t="shared" si="219"/>
        <v>-0.42530634837402914</v>
      </c>
      <c r="S277" s="66">
        <f t="shared" si="219"/>
        <v>-0.43483410095317204</v>
      </c>
      <c r="T277" s="66">
        <f t="shared" si="219"/>
        <v>-0.44183776322570334</v>
      </c>
      <c r="U277" s="66">
        <f t="shared" si="219"/>
        <v>-0.44684528043093191</v>
      </c>
      <c r="V277" s="66">
        <f t="shared" si="219"/>
        <v>-0.45035481048340636</v>
      </c>
      <c r="W277" s="66">
        <f t="shared" si="219"/>
        <v>-0.45278011146224156</v>
      </c>
      <c r="X277" s="66">
        <f t="shared" si="219"/>
        <v>-0.45443986577944195</v>
      </c>
      <c r="Y277" s="66">
        <f t="shared" si="219"/>
        <v>-0.45556813715663036</v>
      </c>
      <c r="Z277" s="66">
        <f t="shared" si="219"/>
        <v>-0.45633162584284143</v>
      </c>
      <c r="AA277" s="66">
        <f t="shared" si="219"/>
        <v>-0.45684667610765711</v>
      </c>
      <c r="AB277" s="66">
        <f t="shared" si="219"/>
        <v>-0.45719340538737846</v>
      </c>
      <c r="AC277" s="66">
        <f t="shared" si="219"/>
        <v>-0.45742649401302482</v>
      </c>
    </row>
    <row r="278" spans="1:29" x14ac:dyDescent="0.3">
      <c r="A278" s="30" t="str">
        <f t="shared" si="217"/>
        <v>Capex costumization</v>
      </c>
      <c r="B278" s="66">
        <f>((1+B249)^B257)*B249/(((1+B249)^B257)-1)*(B247)/B261</f>
        <v>1.1395907684713287</v>
      </c>
      <c r="C278" s="66">
        <f t="shared" ref="C278:AC278" si="220">((1+C249)^C257)*C249/(((1+C249)^C257)-1)*(C247)/C261</f>
        <v>1.1395907684713287</v>
      </c>
      <c r="D278" s="66">
        <f t="shared" si="220"/>
        <v>1.1395907684713287</v>
      </c>
      <c r="E278" s="66">
        <f t="shared" si="220"/>
        <v>1.1395907684713287</v>
      </c>
      <c r="F278" s="66">
        <f t="shared" si="220"/>
        <v>1.1395907684713287</v>
      </c>
      <c r="G278" s="66">
        <f t="shared" si="220"/>
        <v>1.1395907684713287</v>
      </c>
      <c r="H278" s="66">
        <f t="shared" si="220"/>
        <v>1.1395907684713287</v>
      </c>
      <c r="I278" s="66">
        <f t="shared" si="220"/>
        <v>1.1395907684713287</v>
      </c>
      <c r="J278" s="66">
        <f t="shared" si="220"/>
        <v>1.1395907684713287</v>
      </c>
      <c r="K278" s="66">
        <f t="shared" si="220"/>
        <v>1.1395907684713287</v>
      </c>
      <c r="L278" s="66">
        <f t="shared" si="220"/>
        <v>1.1395907684713287</v>
      </c>
      <c r="M278" s="66">
        <f t="shared" si="220"/>
        <v>1.1395907684713287</v>
      </c>
      <c r="N278" s="66">
        <f t="shared" si="220"/>
        <v>1.1395907684713287</v>
      </c>
      <c r="O278" s="66">
        <f t="shared" si="220"/>
        <v>1.1395907684713287</v>
      </c>
      <c r="P278" s="66">
        <f t="shared" si="220"/>
        <v>1.1395907684713287</v>
      </c>
      <c r="Q278" s="66">
        <f t="shared" si="220"/>
        <v>1.1395907684713287</v>
      </c>
      <c r="R278" s="66">
        <f t="shared" si="220"/>
        <v>1.1395907684713287</v>
      </c>
      <c r="S278" s="66">
        <f t="shared" si="220"/>
        <v>1.1395907684713287</v>
      </c>
      <c r="T278" s="66">
        <f t="shared" si="220"/>
        <v>1.1395907684713287</v>
      </c>
      <c r="U278" s="66">
        <f t="shared" si="220"/>
        <v>1.1395907684713287</v>
      </c>
      <c r="V278" s="66">
        <f t="shared" si="220"/>
        <v>1.1395907684713287</v>
      </c>
      <c r="W278" s="66">
        <f t="shared" si="220"/>
        <v>1.1395907684713287</v>
      </c>
      <c r="X278" s="66">
        <f t="shared" si="220"/>
        <v>1.1395907684713287</v>
      </c>
      <c r="Y278" s="66">
        <f t="shared" si="220"/>
        <v>1.1395907684713287</v>
      </c>
      <c r="Z278" s="66">
        <f t="shared" si="220"/>
        <v>1.1395907684713287</v>
      </c>
      <c r="AA278" s="66">
        <f t="shared" si="220"/>
        <v>1.1395907684713287</v>
      </c>
      <c r="AB278" s="66">
        <f t="shared" si="220"/>
        <v>1.1395907684713287</v>
      </c>
      <c r="AC278" s="66">
        <f t="shared" si="220"/>
        <v>1.1395907684713287</v>
      </c>
    </row>
    <row r="279" spans="1:29" x14ac:dyDescent="0.3">
      <c r="A279" s="30" t="str">
        <f t="shared" si="217"/>
        <v>Residual value (costumization)</v>
      </c>
      <c r="B279" s="66">
        <f>((1+B249)^B257)*B249/(((1+B249)^B257)-1)*(B248)/B261</f>
        <v>-5.6979538423566428E-2</v>
      </c>
      <c r="C279" s="66">
        <f t="shared" ref="C279:AC279" si="221">((1+C249)^C257)*C249/(((1+C249)^C257)-1)*(C248)/C261</f>
        <v>-5.6979538423566428E-2</v>
      </c>
      <c r="D279" s="66">
        <f t="shared" si="221"/>
        <v>-5.6979538423566428E-2</v>
      </c>
      <c r="E279" s="66">
        <f t="shared" si="221"/>
        <v>-5.6979538423566428E-2</v>
      </c>
      <c r="F279" s="66">
        <f t="shared" si="221"/>
        <v>-5.6979538423566428E-2</v>
      </c>
      <c r="G279" s="66">
        <f t="shared" si="221"/>
        <v>-5.6979538423566428E-2</v>
      </c>
      <c r="H279" s="66">
        <f t="shared" si="221"/>
        <v>-5.6979538423566428E-2</v>
      </c>
      <c r="I279" s="66">
        <f t="shared" si="221"/>
        <v>-5.6979538423566428E-2</v>
      </c>
      <c r="J279" s="66">
        <f t="shared" si="221"/>
        <v>-5.6979538423566428E-2</v>
      </c>
      <c r="K279" s="66">
        <f t="shared" si="221"/>
        <v>-5.6979538423566428E-2</v>
      </c>
      <c r="L279" s="66">
        <f t="shared" si="221"/>
        <v>-5.6979538423566428E-2</v>
      </c>
      <c r="M279" s="66">
        <f t="shared" si="221"/>
        <v>-5.6979538423566428E-2</v>
      </c>
      <c r="N279" s="66">
        <f t="shared" si="221"/>
        <v>-5.6979538423566428E-2</v>
      </c>
      <c r="O279" s="66">
        <f t="shared" si="221"/>
        <v>-5.6979538423566428E-2</v>
      </c>
      <c r="P279" s="66">
        <f t="shared" si="221"/>
        <v>-5.6979538423566428E-2</v>
      </c>
      <c r="Q279" s="66">
        <f t="shared" si="221"/>
        <v>-5.6979538423566428E-2</v>
      </c>
      <c r="R279" s="66">
        <f t="shared" si="221"/>
        <v>-5.6979538423566428E-2</v>
      </c>
      <c r="S279" s="66">
        <f t="shared" si="221"/>
        <v>-5.6979538423566428E-2</v>
      </c>
      <c r="T279" s="66">
        <f t="shared" si="221"/>
        <v>-5.6979538423566428E-2</v>
      </c>
      <c r="U279" s="66">
        <f t="shared" si="221"/>
        <v>-5.6979538423566428E-2</v>
      </c>
      <c r="V279" s="66">
        <f t="shared" si="221"/>
        <v>-5.6979538423566428E-2</v>
      </c>
      <c r="W279" s="66">
        <f t="shared" si="221"/>
        <v>-5.6979538423566428E-2</v>
      </c>
      <c r="X279" s="66">
        <f t="shared" si="221"/>
        <v>-5.6979538423566428E-2</v>
      </c>
      <c r="Y279" s="66">
        <f t="shared" si="221"/>
        <v>-5.6979538423566428E-2</v>
      </c>
      <c r="Z279" s="66">
        <f t="shared" si="221"/>
        <v>-5.6979538423566428E-2</v>
      </c>
      <c r="AA279" s="66">
        <f t="shared" si="221"/>
        <v>-5.6979538423566428E-2</v>
      </c>
      <c r="AB279" s="66">
        <f t="shared" si="221"/>
        <v>-5.6979538423566428E-2</v>
      </c>
      <c r="AC279" s="66">
        <f t="shared" si="221"/>
        <v>-5.6979538423566428E-2</v>
      </c>
    </row>
    <row r="280" spans="1:29" x14ac:dyDescent="0.3">
      <c r="A280" s="30" t="str">
        <f t="shared" si="217"/>
        <v>Opex fix (admin, crew, insurance)</v>
      </c>
      <c r="B280" s="66">
        <f>B250/B261</f>
        <v>3.4173669467787113</v>
      </c>
      <c r="C280" s="66">
        <f t="shared" ref="C280:AC280" si="222">C250/C261</f>
        <v>3.4173669467787113</v>
      </c>
      <c r="D280" s="66">
        <f t="shared" si="222"/>
        <v>3.4173669467787113</v>
      </c>
      <c r="E280" s="66">
        <f t="shared" si="222"/>
        <v>3.4173669467787113</v>
      </c>
      <c r="F280" s="66">
        <f t="shared" si="222"/>
        <v>3.4173669467787113</v>
      </c>
      <c r="G280" s="66">
        <f t="shared" si="222"/>
        <v>3.4173669467787113</v>
      </c>
      <c r="H280" s="66">
        <f t="shared" si="222"/>
        <v>3.4173669467787113</v>
      </c>
      <c r="I280" s="66">
        <f t="shared" si="222"/>
        <v>3.4173669467787113</v>
      </c>
      <c r="J280" s="66">
        <f t="shared" si="222"/>
        <v>3.4173669467787113</v>
      </c>
      <c r="K280" s="66">
        <f t="shared" si="222"/>
        <v>3.4173669467787113</v>
      </c>
      <c r="L280" s="66">
        <f t="shared" si="222"/>
        <v>3.4173669467787113</v>
      </c>
      <c r="M280" s="66">
        <f t="shared" si="222"/>
        <v>3.4173669467787113</v>
      </c>
      <c r="N280" s="66">
        <f t="shared" si="222"/>
        <v>3.4173669467787113</v>
      </c>
      <c r="O280" s="66">
        <f t="shared" si="222"/>
        <v>3.4173669467787113</v>
      </c>
      <c r="P280" s="66">
        <f t="shared" si="222"/>
        <v>3.4173669467787113</v>
      </c>
      <c r="Q280" s="66">
        <f t="shared" si="222"/>
        <v>3.4173669467787113</v>
      </c>
      <c r="R280" s="66">
        <f t="shared" si="222"/>
        <v>3.4173669467787113</v>
      </c>
      <c r="S280" s="66">
        <f t="shared" si="222"/>
        <v>3.4173669467787113</v>
      </c>
      <c r="T280" s="66">
        <f t="shared" si="222"/>
        <v>3.4173669467787113</v>
      </c>
      <c r="U280" s="66">
        <f t="shared" si="222"/>
        <v>3.4173669467787113</v>
      </c>
      <c r="V280" s="66">
        <f t="shared" si="222"/>
        <v>3.4173669467787113</v>
      </c>
      <c r="W280" s="66">
        <f t="shared" si="222"/>
        <v>3.4173669467787113</v>
      </c>
      <c r="X280" s="66">
        <f t="shared" si="222"/>
        <v>3.4173669467787113</v>
      </c>
      <c r="Y280" s="66">
        <f t="shared" si="222"/>
        <v>3.4173669467787113</v>
      </c>
      <c r="Z280" s="66">
        <f t="shared" si="222"/>
        <v>3.4173669467787113</v>
      </c>
      <c r="AA280" s="66">
        <f t="shared" si="222"/>
        <v>3.4173669467787113</v>
      </c>
      <c r="AB280" s="66">
        <f t="shared" si="222"/>
        <v>3.4173669467787113</v>
      </c>
      <c r="AC280" s="66">
        <f t="shared" si="222"/>
        <v>3.4173669467787113</v>
      </c>
    </row>
    <row r="281" spans="1:29" x14ac:dyDescent="0.3">
      <c r="A281" s="30" t="str">
        <f t="shared" si="217"/>
        <v>Opex maintenance &amp; repair</v>
      </c>
      <c r="B281" s="66">
        <f>B251/B261</f>
        <v>7.246856904861251</v>
      </c>
      <c r="C281" s="66">
        <f t="shared" ref="C281:AC281" si="223">C251/C261</f>
        <v>7.2314186839996299</v>
      </c>
      <c r="D281" s="66">
        <f t="shared" si="223"/>
        <v>7.2094986234726957</v>
      </c>
      <c r="E281" s="66">
        <f t="shared" si="223"/>
        <v>7.1785167243012031</v>
      </c>
      <c r="F281" s="66">
        <f t="shared" si="223"/>
        <v>7.1350186968241909</v>
      </c>
      <c r="G281" s="66">
        <f t="shared" si="223"/>
        <v>7.0745406483582061</v>
      </c>
      <c r="H281" s="66">
        <f t="shared" si="223"/>
        <v>6.9916275063996354</v>
      </c>
      <c r="I281" s="66">
        <f t="shared" si="223"/>
        <v>6.8802011282204152</v>
      </c>
      <c r="J281" s="66">
        <f t="shared" si="223"/>
        <v>6.7345453259470114</v>
      </c>
      <c r="K281" s="66">
        <f t="shared" si="223"/>
        <v>6.5511164620096221</v>
      </c>
      <c r="L281" s="66">
        <f t="shared" si="223"/>
        <v>6.3310070906111209</v>
      </c>
      <c r="M281" s="66">
        <f t="shared" si="223"/>
        <v>6.0821132124321657</v>
      </c>
      <c r="N281" s="66">
        <f t="shared" si="223"/>
        <v>5.8193569664245297</v>
      </c>
      <c r="O281" s="66">
        <f t="shared" si="223"/>
        <v>5.56177127186655</v>
      </c>
      <c r="P281" s="66">
        <f t="shared" si="223"/>
        <v>5.3272857120812445</v>
      </c>
      <c r="Q281" s="66">
        <f t="shared" si="223"/>
        <v>5.1280063776495748</v>
      </c>
      <c r="R281" s="66">
        <f t="shared" si="223"/>
        <v>4.9684193196765616</v>
      </c>
      <c r="S281" s="66">
        <f t="shared" si="223"/>
        <v>4.8466473114640678</v>
      </c>
      <c r="T281" s="66">
        <f t="shared" si="223"/>
        <v>4.7571351192987104</v>
      </c>
      <c r="U281" s="66">
        <f t="shared" si="223"/>
        <v>4.6931351968433184</v>
      </c>
      <c r="V281" s="66">
        <f t="shared" si="223"/>
        <v>4.6482807026882691</v>
      </c>
      <c r="W281" s="66">
        <f t="shared" si="223"/>
        <v>4.6172834902544588</v>
      </c>
      <c r="X281" s="66">
        <f t="shared" si="223"/>
        <v>4.5960705531356583</v>
      </c>
      <c r="Y281" s="66">
        <f t="shared" si="223"/>
        <v>4.5816503768907726</v>
      </c>
      <c r="Z281" s="66">
        <f t="shared" si="223"/>
        <v>4.5718924040849966</v>
      </c>
      <c r="AA281" s="66">
        <f t="shared" si="223"/>
        <v>4.5653096654426975</v>
      </c>
      <c r="AB281" s="66">
        <f t="shared" si="223"/>
        <v>4.5608781984889726</v>
      </c>
      <c r="AC281" s="66">
        <f t="shared" si="223"/>
        <v>4.5578991465246528</v>
      </c>
    </row>
    <row r="282" spans="1:29" x14ac:dyDescent="0.3">
      <c r="A282" s="30" t="str">
        <f t="shared" si="217"/>
        <v>Opex var (mode-fees, shunting)</v>
      </c>
      <c r="B282" s="66">
        <f>B252*B261/B261</f>
        <v>3.6414565826330532</v>
      </c>
      <c r="C282" s="66">
        <f t="shared" ref="C282:AC282" si="224">C252*C261/C261</f>
        <v>3.6414565826330532</v>
      </c>
      <c r="D282" s="66">
        <f t="shared" si="224"/>
        <v>3.6414565826330532</v>
      </c>
      <c r="E282" s="66">
        <f t="shared" si="224"/>
        <v>3.6414565826330532</v>
      </c>
      <c r="F282" s="66">
        <f t="shared" si="224"/>
        <v>3.6414565826330532</v>
      </c>
      <c r="G282" s="66">
        <f t="shared" si="224"/>
        <v>3.6414565826330532</v>
      </c>
      <c r="H282" s="66">
        <f t="shared" si="224"/>
        <v>3.6414565826330532</v>
      </c>
      <c r="I282" s="66">
        <f t="shared" si="224"/>
        <v>3.6414565826330532</v>
      </c>
      <c r="J282" s="66">
        <f t="shared" si="224"/>
        <v>3.6414565826330532</v>
      </c>
      <c r="K282" s="66">
        <f t="shared" si="224"/>
        <v>3.6414565826330532</v>
      </c>
      <c r="L282" s="66">
        <f t="shared" si="224"/>
        <v>3.6414565826330532</v>
      </c>
      <c r="M282" s="66">
        <f t="shared" si="224"/>
        <v>3.6414565826330532</v>
      </c>
      <c r="N282" s="66">
        <f t="shared" si="224"/>
        <v>3.6414565826330532</v>
      </c>
      <c r="O282" s="66">
        <f t="shared" si="224"/>
        <v>3.6414565826330532</v>
      </c>
      <c r="P282" s="66">
        <f t="shared" si="224"/>
        <v>3.6414565826330532</v>
      </c>
      <c r="Q282" s="66">
        <f t="shared" si="224"/>
        <v>3.6414565826330532</v>
      </c>
      <c r="R282" s="66">
        <f t="shared" si="224"/>
        <v>3.6414565826330532</v>
      </c>
      <c r="S282" s="66">
        <f t="shared" si="224"/>
        <v>3.6414565826330532</v>
      </c>
      <c r="T282" s="66">
        <f t="shared" si="224"/>
        <v>3.6414565826330532</v>
      </c>
      <c r="U282" s="66">
        <f t="shared" si="224"/>
        <v>3.6414565826330532</v>
      </c>
      <c r="V282" s="66">
        <f t="shared" si="224"/>
        <v>3.6414565826330532</v>
      </c>
      <c r="W282" s="66">
        <f t="shared" si="224"/>
        <v>3.6414565826330532</v>
      </c>
      <c r="X282" s="66">
        <f t="shared" si="224"/>
        <v>3.6414565826330532</v>
      </c>
      <c r="Y282" s="66">
        <f t="shared" si="224"/>
        <v>3.6414565826330532</v>
      </c>
      <c r="Z282" s="66">
        <f t="shared" si="224"/>
        <v>3.6414565826330532</v>
      </c>
      <c r="AA282" s="66">
        <f t="shared" si="224"/>
        <v>3.6414565826330532</v>
      </c>
      <c r="AB282" s="66">
        <f t="shared" si="224"/>
        <v>3.6414565826330532</v>
      </c>
      <c r="AC282" s="66">
        <f t="shared" si="224"/>
        <v>3.6414565826330532</v>
      </c>
    </row>
    <row r="283" spans="1:29" x14ac:dyDescent="0.3">
      <c r="A283" s="30" t="str">
        <f t="shared" si="217"/>
        <v>Fuel Cost</v>
      </c>
      <c r="B283" s="66">
        <f>B253*B254*B261/B261</f>
        <v>2.5078650576054793</v>
      </c>
      <c r="C283" s="66">
        <f t="shared" ref="C283:AC283" si="225">C253*C254*C261/C261</f>
        <v>2.5049046003842381</v>
      </c>
      <c r="D283" s="66">
        <f t="shared" si="225"/>
        <v>2.500701175516912</v>
      </c>
      <c r="E283" s="66">
        <f t="shared" si="225"/>
        <v>2.4947600383902864</v>
      </c>
      <c r="F283" s="66">
        <f t="shared" si="225"/>
        <v>2.486418789051497</v>
      </c>
      <c r="G283" s="66">
        <f t="shared" si="225"/>
        <v>2.4748214245033058</v>
      </c>
      <c r="H283" s="66">
        <f t="shared" si="225"/>
        <v>2.4589218715660066</v>
      </c>
      <c r="I283" s="66">
        <f t="shared" si="225"/>
        <v>2.4375545761454895</v>
      </c>
      <c r="J283" s="66">
        <f t="shared" si="225"/>
        <v>2.4096233931729762</v>
      </c>
      <c r="K283" s="66">
        <f t="shared" si="225"/>
        <v>2.3744487892017694</v>
      </c>
      <c r="L283" s="66">
        <f t="shared" si="225"/>
        <v>2.3322402741234858</v>
      </c>
      <c r="M283" s="66">
        <f t="shared" si="225"/>
        <v>2.2845119972979209</v>
      </c>
      <c r="N283" s="66">
        <f t="shared" si="225"/>
        <v>2.2341254512773641</v>
      </c>
      <c r="O283" s="66">
        <f t="shared" si="225"/>
        <v>2.184730418237101</v>
      </c>
      <c r="P283" s="66">
        <f t="shared" si="225"/>
        <v>2.1397651029351961</v>
      </c>
      <c r="Q283" s="66">
        <f t="shared" si="225"/>
        <v>2.1015509881126104</v>
      </c>
      <c r="R283" s="66">
        <f t="shared" si="225"/>
        <v>2.0709483258999346</v>
      </c>
      <c r="S283" s="66">
        <f t="shared" si="225"/>
        <v>2.0475971363885876</v>
      </c>
      <c r="T283" s="66">
        <f t="shared" si="225"/>
        <v>2.0304321393296423</v>
      </c>
      <c r="U283" s="66">
        <f t="shared" si="225"/>
        <v>2.0181594147527466</v>
      </c>
      <c r="V283" s="66">
        <f t="shared" si="225"/>
        <v>2.0095580472560193</v>
      </c>
      <c r="W283" s="66">
        <f t="shared" si="225"/>
        <v>2.0036139736344172</v>
      </c>
      <c r="X283" s="66">
        <f t="shared" si="225"/>
        <v>1.9995461478506049</v>
      </c>
      <c r="Y283" s="66">
        <f t="shared" si="225"/>
        <v>1.9967809124469664</v>
      </c>
      <c r="Z283" s="66">
        <f t="shared" si="225"/>
        <v>1.9949097084192176</v>
      </c>
      <c r="AA283" s="66">
        <f t="shared" si="225"/>
        <v>1.9936473922285236</v>
      </c>
      <c r="AB283" s="66">
        <f t="shared" si="225"/>
        <v>1.9927976072396028</v>
      </c>
      <c r="AC283" s="66">
        <f t="shared" si="225"/>
        <v>1.9922263396058988</v>
      </c>
    </row>
    <row r="284" spans="1:29" ht="15" thickBot="1" x14ac:dyDescent="0.35">
      <c r="A284" s="59" t="str">
        <f t="shared" ref="A284" si="226">A272</f>
        <v>Emission Cost</v>
      </c>
      <c r="B284" s="66">
        <f>B255</f>
        <v>6.2761939613426576E-2</v>
      </c>
      <c r="C284" s="66">
        <f t="shared" ref="C284:AC284" si="227">C255</f>
        <v>6.2702174954862022E-2</v>
      </c>
      <c r="D284" s="66">
        <f t="shared" si="227"/>
        <v>6.2616623177277314E-2</v>
      </c>
      <c r="E284" s="66">
        <f t="shared" si="227"/>
        <v>6.249423534317243E-2</v>
      </c>
      <c r="F284" s="66">
        <f t="shared" si="227"/>
        <v>6.2319316122020151E-2</v>
      </c>
      <c r="G284" s="66">
        <f t="shared" si="227"/>
        <v>6.2069668591824577E-2</v>
      </c>
      <c r="H284" s="66">
        <f t="shared" si="227"/>
        <v>6.1714109263582916E-2</v>
      </c>
      <c r="I284" s="66">
        <f t="shared" si="227"/>
        <v>6.120926598754526E-2</v>
      </c>
      <c r="J284" s="66">
        <f t="shared" si="227"/>
        <v>6.0495718529207473E-2</v>
      </c>
      <c r="K284" s="66">
        <f t="shared" si="227"/>
        <v>5.9493910771163734E-2</v>
      </c>
      <c r="L284" s="66">
        <f t="shared" si="227"/>
        <v>5.8101034320005455E-2</v>
      </c>
      <c r="M284" s="66">
        <f t="shared" si="227"/>
        <v>5.6191452813079128E-2</v>
      </c>
      <c r="N284" s="66">
        <f t="shared" si="227"/>
        <v>5.3625179890251798E-2</v>
      </c>
      <c r="O284" s="66">
        <f t="shared" si="227"/>
        <v>5.0270565412648349E-2</v>
      </c>
      <c r="P284" s="66">
        <f t="shared" si="227"/>
        <v>4.6045995481546684E-2</v>
      </c>
      <c r="Q284" s="66">
        <f t="shared" si="227"/>
        <v>4.0976632830523538E-2</v>
      </c>
      <c r="R284" s="66">
        <f t="shared" si="227"/>
        <v>3.5244331102105231E-2</v>
      </c>
      <c r="S284" s="66">
        <f t="shared" si="227"/>
        <v>2.9192763686456215E-2</v>
      </c>
      <c r="T284" s="66">
        <f t="shared" si="227"/>
        <v>2.32602797984078E-2</v>
      </c>
      <c r="U284" s="66">
        <f t="shared" si="227"/>
        <v>1.7859817603512018E-2</v>
      </c>
      <c r="V284" s="66">
        <f t="shared" si="227"/>
        <v>1.3270193778456035E-2</v>
      </c>
      <c r="W284" s="66">
        <f t="shared" si="227"/>
        <v>9.5947270496434117E-3</v>
      </c>
      <c r="X284" s="66">
        <f t="shared" si="227"/>
        <v>6.7901828067048406E-3</v>
      </c>
      <c r="Y284" s="66">
        <f t="shared" si="227"/>
        <v>4.7286178633715731E-3</v>
      </c>
      <c r="Z284" s="66">
        <f t="shared" si="227"/>
        <v>3.2546287528563561E-3</v>
      </c>
      <c r="AA284" s="66">
        <f t="shared" si="227"/>
        <v>2.2215800645818892E-3</v>
      </c>
      <c r="AB284" s="66">
        <f t="shared" si="227"/>
        <v>1.5076799248495282E-3</v>
      </c>
      <c r="AC284" s="66">
        <f t="shared" si="227"/>
        <v>1.0191224842221736E-3</v>
      </c>
    </row>
    <row r="285" spans="1:29" ht="15" thickBot="1" x14ac:dyDescent="0.35">
      <c r="A285" s="31" t="s">
        <v>63</v>
      </c>
      <c r="B285" s="76">
        <f>B276+B277+B278-B279+B280+B281+B282+B283+B284</f>
        <v>22.685949918697919</v>
      </c>
      <c r="C285" s="76">
        <f t="shared" ref="C285:AC285" si="228">C276+C277+C278-C279+C280+C281+C282+C283+C284</f>
        <v>22.655929900584159</v>
      </c>
      <c r="D285" s="76">
        <f t="shared" si="228"/>
        <v>22.613305083756106</v>
      </c>
      <c r="E285" s="76">
        <f t="shared" si="228"/>
        <v>22.553057532535544</v>
      </c>
      <c r="F285" s="76">
        <f t="shared" si="228"/>
        <v>22.468467968667611</v>
      </c>
      <c r="G285" s="76">
        <f t="shared" si="228"/>
        <v>22.350851321613469</v>
      </c>
      <c r="H285" s="76">
        <f t="shared" si="228"/>
        <v>22.189589996646081</v>
      </c>
      <c r="I285" s="76">
        <f t="shared" si="228"/>
        <v>21.972845046315815</v>
      </c>
      <c r="J285" s="76">
        <f t="shared" si="228"/>
        <v>21.68946390442116</v>
      </c>
      <c r="K285" s="76">
        <f t="shared" si="228"/>
        <v>21.33249003849517</v>
      </c>
      <c r="L285" s="76">
        <f t="shared" si="228"/>
        <v>20.903940910422008</v>
      </c>
      <c r="M285" s="76">
        <f t="shared" si="228"/>
        <v>20.419014293433644</v>
      </c>
      <c r="N285" s="76">
        <f t="shared" si="228"/>
        <v>19.906528917922099</v>
      </c>
      <c r="O285" s="76">
        <f t="shared" si="228"/>
        <v>19.403289455017795</v>
      </c>
      <c r="P285" s="76">
        <f t="shared" si="228"/>
        <v>18.944009418156849</v>
      </c>
      <c r="Q285" s="76">
        <f t="shared" si="228"/>
        <v>18.552207709760097</v>
      </c>
      <c r="R285" s="76">
        <f t="shared" si="228"/>
        <v>18.236772058928391</v>
      </c>
      <c r="S285" s="76">
        <f t="shared" si="228"/>
        <v>17.994403090531389</v>
      </c>
      <c r="T285" s="76">
        <f t="shared" si="228"/>
        <v>17.814758364239093</v>
      </c>
      <c r="U285" s="76">
        <f t="shared" si="228"/>
        <v>17.685156161761864</v>
      </c>
      <c r="V285" s="76">
        <f t="shared" si="228"/>
        <v>17.593519460068492</v>
      </c>
      <c r="W285" s="76">
        <f t="shared" si="228"/>
        <v>17.52968911220113</v>
      </c>
      <c r="X285" s="76">
        <f t="shared" si="228"/>
        <v>17.485717585162373</v>
      </c>
      <c r="Y285" s="76">
        <f t="shared" si="228"/>
        <v>17.455671439674571</v>
      </c>
      <c r="Z285" s="76">
        <f t="shared" si="228"/>
        <v>17.435260596305369</v>
      </c>
      <c r="AA285" s="76">
        <f t="shared" si="228"/>
        <v>17.421452725963722</v>
      </c>
      <c r="AB285" s="76">
        <f t="shared" si="228"/>
        <v>17.41213887934687</v>
      </c>
      <c r="AC285" s="76">
        <f t="shared" si="228"/>
        <v>17.405869011177032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29">A264</f>
        <v>Capex vehicle</v>
      </c>
      <c r="B288" s="65">
        <f>((1+B249)^B256)*B249/(((1+B249)^B256)-1)*(B245)/B261/(B258)</f>
        <v>2.1696909640280381E-3</v>
      </c>
      <c r="C288" s="65">
        <f t="shared" ref="C288:AC288" si="230">((1+C249)^C256)*C249/(((1+C249)^C256)-1)*(C245)/C261/(C258)</f>
        <v>2.1650687990337689E-3</v>
      </c>
      <c r="D288" s="65">
        <f t="shared" si="230"/>
        <v>2.1585059873375245E-3</v>
      </c>
      <c r="E288" s="65">
        <f t="shared" si="230"/>
        <v>2.1492300836508209E-3</v>
      </c>
      <c r="F288" s="65">
        <f t="shared" si="230"/>
        <v>2.1362068822258539E-3</v>
      </c>
      <c r="G288" s="65">
        <f t="shared" si="230"/>
        <v>2.1180999046766392E-3</v>
      </c>
      <c r="H288" s="65">
        <f t="shared" si="230"/>
        <v>2.093275915840043E-3</v>
      </c>
      <c r="I288" s="65">
        <f t="shared" si="230"/>
        <v>2.0599151348747601E-3</v>
      </c>
      <c r="J288" s="65">
        <f t="shared" si="230"/>
        <v>2.0163061493242286E-3</v>
      </c>
      <c r="K288" s="65">
        <f t="shared" si="230"/>
        <v>1.9613880028985821E-3</v>
      </c>
      <c r="L288" s="65">
        <f t="shared" si="230"/>
        <v>1.8954878036134461E-3</v>
      </c>
      <c r="M288" s="65">
        <f t="shared" si="230"/>
        <v>1.8209695944675583E-3</v>
      </c>
      <c r="N288" s="65">
        <f t="shared" si="230"/>
        <v>1.7423010268127629E-3</v>
      </c>
      <c r="O288" s="65">
        <f t="shared" si="230"/>
        <v>1.6651805094239855E-3</v>
      </c>
      <c r="P288" s="65">
        <f t="shared" si="230"/>
        <v>1.5949761150306102E-3</v>
      </c>
      <c r="Q288" s="65">
        <f t="shared" si="230"/>
        <v>1.5353123770942534E-3</v>
      </c>
      <c r="R288" s="65">
        <f t="shared" si="230"/>
        <v>1.4875324081773025E-3</v>
      </c>
      <c r="S288" s="65">
        <f t="shared" si="230"/>
        <v>1.4510741712673173E-3</v>
      </c>
      <c r="T288" s="65">
        <f t="shared" si="230"/>
        <v>1.4242744431836509E-3</v>
      </c>
      <c r="U288" s="65">
        <f t="shared" si="230"/>
        <v>1.4051130253065005E-3</v>
      </c>
      <c r="V288" s="65">
        <f t="shared" si="230"/>
        <v>1.3916837011261137E-3</v>
      </c>
      <c r="W288" s="65">
        <f t="shared" si="230"/>
        <v>1.3824032126866935E-3</v>
      </c>
      <c r="X288" s="65">
        <f t="shared" si="230"/>
        <v>1.3760521119831207E-3</v>
      </c>
      <c r="Y288" s="65">
        <f t="shared" si="230"/>
        <v>1.3717347470193894E-3</v>
      </c>
      <c r="Z288" s="65">
        <f t="shared" si="230"/>
        <v>1.3688132341895007E-3</v>
      </c>
      <c r="AA288" s="65">
        <f t="shared" si="230"/>
        <v>1.3668423785843384E-3</v>
      </c>
      <c r="AB288" s="65">
        <f t="shared" si="230"/>
        <v>1.3655156083813228E-3</v>
      </c>
      <c r="AC288" s="65">
        <f t="shared" si="230"/>
        <v>1.364623687619921E-3</v>
      </c>
    </row>
    <row r="289" spans="1:29" x14ac:dyDescent="0.3">
      <c r="A289" s="30" t="str">
        <f t="shared" si="229"/>
        <v>Residual value (vehicle)</v>
      </c>
      <c r="B289" s="68">
        <f>((1+B249)^B256)*B249/(((1+B249)^B256)-1)*(B246)/B261/(B258)</f>
        <v>-1.1028374067486764E-4</v>
      </c>
      <c r="C289" s="68">
        <f t="shared" ref="C289:AC289" si="231">((1+C249)^C256)*C249/(((1+C249)^C256)-1)*(C246)/C261/(C258)</f>
        <v>-1.1082299325753238E-4</v>
      </c>
      <c r="D289" s="68">
        <f t="shared" si="231"/>
        <v>-1.115886546220943E-4</v>
      </c>
      <c r="E289" s="68">
        <f t="shared" si="231"/>
        <v>-1.1267084338554303E-4</v>
      </c>
      <c r="F289" s="68">
        <f t="shared" si="231"/>
        <v>-1.1419021688512248E-4</v>
      </c>
      <c r="G289" s="68">
        <f t="shared" si="231"/>
        <v>-1.1630269759919755E-4</v>
      </c>
      <c r="H289" s="68">
        <f t="shared" si="231"/>
        <v>-1.1919882963013374E-4</v>
      </c>
      <c r="I289" s="68">
        <f t="shared" si="231"/>
        <v>-1.230909207427501E-4</v>
      </c>
      <c r="J289" s="68">
        <f t="shared" si="231"/>
        <v>-1.2817863572364536E-4</v>
      </c>
      <c r="K289" s="68">
        <f t="shared" si="231"/>
        <v>-1.345857528066375E-4</v>
      </c>
      <c r="L289" s="68">
        <f t="shared" si="231"/>
        <v>-1.4227410938990337E-4</v>
      </c>
      <c r="M289" s="68">
        <f t="shared" si="231"/>
        <v>-1.5096790045692366E-4</v>
      </c>
      <c r="N289" s="68">
        <f t="shared" si="231"/>
        <v>-1.6014590001664974E-4</v>
      </c>
      <c r="O289" s="68">
        <f t="shared" si="231"/>
        <v>-1.6914329371200715E-4</v>
      </c>
      <c r="P289" s="68">
        <f t="shared" si="231"/>
        <v>-1.7733380639123428E-4</v>
      </c>
      <c r="Q289" s="68">
        <f t="shared" si="231"/>
        <v>-1.842945758171425E-4</v>
      </c>
      <c r="R289" s="68">
        <f t="shared" si="231"/>
        <v>-1.8986890552412014E-4</v>
      </c>
      <c r="S289" s="68">
        <f t="shared" si="231"/>
        <v>-1.9412236649695181E-4</v>
      </c>
      <c r="T289" s="68">
        <f t="shared" si="231"/>
        <v>-1.9724900144004614E-4</v>
      </c>
      <c r="U289" s="68">
        <f t="shared" si="231"/>
        <v>-1.9948450019238032E-4</v>
      </c>
      <c r="V289" s="68">
        <f t="shared" si="231"/>
        <v>-2.0105125468009212E-4</v>
      </c>
      <c r="W289" s="68">
        <f t="shared" si="231"/>
        <v>-2.0213397833135783E-4</v>
      </c>
      <c r="X289" s="68">
        <f t="shared" si="231"/>
        <v>-2.0287494008010802E-4</v>
      </c>
      <c r="Y289" s="68">
        <f t="shared" si="231"/>
        <v>-2.0337863265920998E-4</v>
      </c>
      <c r="Z289" s="68">
        <f t="shared" si="231"/>
        <v>-2.0371947582269707E-4</v>
      </c>
      <c r="AA289" s="68">
        <f t="shared" si="231"/>
        <v>-2.0394940897663265E-4</v>
      </c>
      <c r="AB289" s="68">
        <f t="shared" si="231"/>
        <v>-2.0410419883365111E-4</v>
      </c>
      <c r="AC289" s="68">
        <f t="shared" si="231"/>
        <v>-2.0420825625581466E-4</v>
      </c>
    </row>
    <row r="290" spans="1:29" x14ac:dyDescent="0.3">
      <c r="A290" s="30" t="str">
        <f t="shared" si="229"/>
        <v>Capex costumization</v>
      </c>
      <c r="B290" s="66">
        <f>((1+B249)^B257)*B249/(((1+B249)^B257)-1)*(B247)/B261/(B258)</f>
        <v>5.087458787818432E-4</v>
      </c>
      <c r="C290" s="66">
        <f t="shared" ref="C290:AC290" si="232">((1+C249)^C257)*C249/(((1+C249)^C257)-1)*(C247)/C261/(C258)</f>
        <v>5.087458787818432E-4</v>
      </c>
      <c r="D290" s="66">
        <f t="shared" si="232"/>
        <v>5.087458787818432E-4</v>
      </c>
      <c r="E290" s="66">
        <f t="shared" si="232"/>
        <v>5.087458787818432E-4</v>
      </c>
      <c r="F290" s="66">
        <f t="shared" si="232"/>
        <v>5.087458787818432E-4</v>
      </c>
      <c r="G290" s="66">
        <f t="shared" si="232"/>
        <v>5.087458787818432E-4</v>
      </c>
      <c r="H290" s="66">
        <f t="shared" si="232"/>
        <v>5.087458787818432E-4</v>
      </c>
      <c r="I290" s="66">
        <f t="shared" si="232"/>
        <v>5.087458787818432E-4</v>
      </c>
      <c r="J290" s="66">
        <f t="shared" si="232"/>
        <v>5.087458787818432E-4</v>
      </c>
      <c r="K290" s="66">
        <f t="shared" si="232"/>
        <v>5.087458787818432E-4</v>
      </c>
      <c r="L290" s="66">
        <f t="shared" si="232"/>
        <v>5.087458787818432E-4</v>
      </c>
      <c r="M290" s="66">
        <f t="shared" si="232"/>
        <v>5.087458787818432E-4</v>
      </c>
      <c r="N290" s="66">
        <f t="shared" si="232"/>
        <v>5.087458787818432E-4</v>
      </c>
      <c r="O290" s="66">
        <f t="shared" si="232"/>
        <v>5.087458787818432E-4</v>
      </c>
      <c r="P290" s="66">
        <f t="shared" si="232"/>
        <v>5.087458787818432E-4</v>
      </c>
      <c r="Q290" s="66">
        <f t="shared" si="232"/>
        <v>5.087458787818432E-4</v>
      </c>
      <c r="R290" s="66">
        <f t="shared" si="232"/>
        <v>5.087458787818432E-4</v>
      </c>
      <c r="S290" s="66">
        <f t="shared" si="232"/>
        <v>5.087458787818432E-4</v>
      </c>
      <c r="T290" s="66">
        <f t="shared" si="232"/>
        <v>5.087458787818432E-4</v>
      </c>
      <c r="U290" s="66">
        <f t="shared" si="232"/>
        <v>5.087458787818432E-4</v>
      </c>
      <c r="V290" s="66">
        <f t="shared" si="232"/>
        <v>5.087458787818432E-4</v>
      </c>
      <c r="W290" s="66">
        <f t="shared" si="232"/>
        <v>5.087458787818432E-4</v>
      </c>
      <c r="X290" s="66">
        <f t="shared" si="232"/>
        <v>5.087458787818432E-4</v>
      </c>
      <c r="Y290" s="66">
        <f t="shared" si="232"/>
        <v>5.087458787818432E-4</v>
      </c>
      <c r="Z290" s="66">
        <f t="shared" si="232"/>
        <v>5.087458787818432E-4</v>
      </c>
      <c r="AA290" s="66">
        <f t="shared" si="232"/>
        <v>5.087458787818432E-4</v>
      </c>
      <c r="AB290" s="66">
        <f t="shared" si="232"/>
        <v>5.087458787818432E-4</v>
      </c>
      <c r="AC290" s="66">
        <f t="shared" si="232"/>
        <v>5.087458787818432E-4</v>
      </c>
    </row>
    <row r="291" spans="1:29" x14ac:dyDescent="0.3">
      <c r="A291" s="30" t="str">
        <f t="shared" si="229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33">((1+C249)^C257)*C249/(((1+C249)^C257)-1)*(C248)/C261/(C258)</f>
        <v>-2.5437293939092156E-5</v>
      </c>
      <c r="D291" s="69">
        <f t="shared" si="233"/>
        <v>-2.5437293939092156E-5</v>
      </c>
      <c r="E291" s="69">
        <f t="shared" si="233"/>
        <v>-2.5437293939092156E-5</v>
      </c>
      <c r="F291" s="69">
        <f t="shared" si="233"/>
        <v>-2.5437293939092156E-5</v>
      </c>
      <c r="G291" s="69">
        <f t="shared" si="233"/>
        <v>-2.5437293939092156E-5</v>
      </c>
      <c r="H291" s="69">
        <f t="shared" si="233"/>
        <v>-2.5437293939092156E-5</v>
      </c>
      <c r="I291" s="69">
        <f t="shared" si="233"/>
        <v>-2.5437293939092156E-5</v>
      </c>
      <c r="J291" s="69">
        <f t="shared" si="233"/>
        <v>-2.5437293939092156E-5</v>
      </c>
      <c r="K291" s="69">
        <f t="shared" si="233"/>
        <v>-2.5437293939092156E-5</v>
      </c>
      <c r="L291" s="69">
        <f t="shared" si="233"/>
        <v>-2.5437293939092156E-5</v>
      </c>
      <c r="M291" s="69">
        <f t="shared" si="233"/>
        <v>-2.5437293939092156E-5</v>
      </c>
      <c r="N291" s="69">
        <f t="shared" si="233"/>
        <v>-2.5437293939092156E-5</v>
      </c>
      <c r="O291" s="69">
        <f t="shared" si="233"/>
        <v>-2.5437293939092156E-5</v>
      </c>
      <c r="P291" s="69">
        <f t="shared" si="233"/>
        <v>-2.5437293939092156E-5</v>
      </c>
      <c r="Q291" s="69">
        <f t="shared" si="233"/>
        <v>-2.5437293939092156E-5</v>
      </c>
      <c r="R291" s="69">
        <f t="shared" si="233"/>
        <v>-2.5437293939092156E-5</v>
      </c>
      <c r="S291" s="69">
        <f t="shared" si="233"/>
        <v>-2.5437293939092156E-5</v>
      </c>
      <c r="T291" s="69">
        <f t="shared" si="233"/>
        <v>-2.5437293939092156E-5</v>
      </c>
      <c r="U291" s="69">
        <f t="shared" si="233"/>
        <v>-2.5437293939092156E-5</v>
      </c>
      <c r="V291" s="69">
        <f t="shared" si="233"/>
        <v>-2.5437293939092156E-5</v>
      </c>
      <c r="W291" s="69">
        <f t="shared" si="233"/>
        <v>-2.5437293939092156E-5</v>
      </c>
      <c r="X291" s="69">
        <f t="shared" si="233"/>
        <v>-2.5437293939092156E-5</v>
      </c>
      <c r="Y291" s="69">
        <f t="shared" si="233"/>
        <v>-2.5437293939092156E-5</v>
      </c>
      <c r="Z291" s="69">
        <f t="shared" si="233"/>
        <v>-2.5437293939092156E-5</v>
      </c>
      <c r="AA291" s="69">
        <f t="shared" si="233"/>
        <v>-2.5437293939092156E-5</v>
      </c>
      <c r="AB291" s="69">
        <f t="shared" si="233"/>
        <v>-2.5437293939092156E-5</v>
      </c>
      <c r="AC291" s="69">
        <f t="shared" si="233"/>
        <v>-2.5437293939092156E-5</v>
      </c>
    </row>
    <row r="292" spans="1:29" x14ac:dyDescent="0.3">
      <c r="A292" s="30" t="str">
        <f t="shared" si="229"/>
        <v>Opex fix (admin, crew, insurance)</v>
      </c>
      <c r="B292" s="66">
        <f>B250/B261/(B258)</f>
        <v>1.525610244097639E-3</v>
      </c>
      <c r="C292" s="66">
        <f t="shared" ref="C292:AC292" si="234">C250/C261/(C258)</f>
        <v>1.525610244097639E-3</v>
      </c>
      <c r="D292" s="66">
        <f t="shared" si="234"/>
        <v>1.525610244097639E-3</v>
      </c>
      <c r="E292" s="66">
        <f t="shared" si="234"/>
        <v>1.525610244097639E-3</v>
      </c>
      <c r="F292" s="66">
        <f t="shared" si="234"/>
        <v>1.525610244097639E-3</v>
      </c>
      <c r="G292" s="66">
        <f t="shared" si="234"/>
        <v>1.525610244097639E-3</v>
      </c>
      <c r="H292" s="66">
        <f t="shared" si="234"/>
        <v>1.525610244097639E-3</v>
      </c>
      <c r="I292" s="66">
        <f t="shared" si="234"/>
        <v>1.525610244097639E-3</v>
      </c>
      <c r="J292" s="66">
        <f t="shared" si="234"/>
        <v>1.525610244097639E-3</v>
      </c>
      <c r="K292" s="66">
        <f t="shared" si="234"/>
        <v>1.525610244097639E-3</v>
      </c>
      <c r="L292" s="66">
        <f t="shared" si="234"/>
        <v>1.525610244097639E-3</v>
      </c>
      <c r="M292" s="66">
        <f t="shared" si="234"/>
        <v>1.525610244097639E-3</v>
      </c>
      <c r="N292" s="66">
        <f t="shared" si="234"/>
        <v>1.525610244097639E-3</v>
      </c>
      <c r="O292" s="66">
        <f t="shared" si="234"/>
        <v>1.525610244097639E-3</v>
      </c>
      <c r="P292" s="66">
        <f t="shared" si="234"/>
        <v>1.525610244097639E-3</v>
      </c>
      <c r="Q292" s="66">
        <f t="shared" si="234"/>
        <v>1.525610244097639E-3</v>
      </c>
      <c r="R292" s="66">
        <f t="shared" si="234"/>
        <v>1.525610244097639E-3</v>
      </c>
      <c r="S292" s="66">
        <f t="shared" si="234"/>
        <v>1.525610244097639E-3</v>
      </c>
      <c r="T292" s="66">
        <f t="shared" si="234"/>
        <v>1.525610244097639E-3</v>
      </c>
      <c r="U292" s="66">
        <f t="shared" si="234"/>
        <v>1.525610244097639E-3</v>
      </c>
      <c r="V292" s="66">
        <f t="shared" si="234"/>
        <v>1.525610244097639E-3</v>
      </c>
      <c r="W292" s="66">
        <f t="shared" si="234"/>
        <v>1.525610244097639E-3</v>
      </c>
      <c r="X292" s="66">
        <f t="shared" si="234"/>
        <v>1.525610244097639E-3</v>
      </c>
      <c r="Y292" s="66">
        <f t="shared" si="234"/>
        <v>1.525610244097639E-3</v>
      </c>
      <c r="Z292" s="66">
        <f t="shared" si="234"/>
        <v>1.525610244097639E-3</v>
      </c>
      <c r="AA292" s="66">
        <f t="shared" si="234"/>
        <v>1.525610244097639E-3</v>
      </c>
      <c r="AB292" s="66">
        <f t="shared" si="234"/>
        <v>1.525610244097639E-3</v>
      </c>
      <c r="AC292" s="66">
        <f t="shared" si="234"/>
        <v>1.525610244097639E-3</v>
      </c>
    </row>
    <row r="293" spans="1:29" x14ac:dyDescent="0.3">
      <c r="A293" s="30" t="str">
        <f t="shared" si="229"/>
        <v>Opex maintenance &amp; repair</v>
      </c>
      <c r="B293" s="66">
        <f>B251/B261/(B258)</f>
        <v>3.235203975384487E-3</v>
      </c>
      <c r="C293" s="66">
        <f t="shared" ref="C293:AC293" si="235">C251/C261/(C258)</f>
        <v>3.228311912499835E-3</v>
      </c>
      <c r="D293" s="66">
        <f t="shared" si="235"/>
        <v>3.2185261711931679E-3</v>
      </c>
      <c r="E293" s="66">
        <f t="shared" si="235"/>
        <v>3.2046949662058941E-3</v>
      </c>
      <c r="F293" s="66">
        <f t="shared" si="235"/>
        <v>3.1852762039393709E-3</v>
      </c>
      <c r="G293" s="66">
        <f t="shared" si="235"/>
        <v>3.1582770751599136E-3</v>
      </c>
      <c r="H293" s="66">
        <f t="shared" si="235"/>
        <v>3.1212622796426945E-3</v>
      </c>
      <c r="I293" s="66">
        <f t="shared" si="235"/>
        <v>3.0715183608126854E-3</v>
      </c>
      <c r="J293" s="66">
        <f t="shared" si="235"/>
        <v>3.0064934490834873E-3</v>
      </c>
      <c r="K293" s="66">
        <f t="shared" si="235"/>
        <v>2.9246055633971525E-3</v>
      </c>
      <c r="L293" s="66">
        <f t="shared" si="235"/>
        <v>2.826342451165679E-3</v>
      </c>
      <c r="M293" s="66">
        <f t="shared" si="235"/>
        <v>2.7152291126929309E-3</v>
      </c>
      <c r="N293" s="66">
        <f t="shared" si="235"/>
        <v>2.5979272171538078E-3</v>
      </c>
      <c r="O293" s="66">
        <f t="shared" si="235"/>
        <v>2.4829336035118526E-3</v>
      </c>
      <c r="P293" s="66">
        <f t="shared" si="235"/>
        <v>2.37825255003627E-3</v>
      </c>
      <c r="Q293" s="66">
        <f t="shared" si="235"/>
        <v>2.2892885614507032E-3</v>
      </c>
      <c r="R293" s="66">
        <f t="shared" si="235"/>
        <v>2.218044339141322E-3</v>
      </c>
      <c r="S293" s="66">
        <f t="shared" si="235"/>
        <v>2.1636818354750301E-3</v>
      </c>
      <c r="T293" s="66">
        <f t="shared" si="235"/>
        <v>2.12372103540121E-3</v>
      </c>
      <c r="U293" s="66">
        <f t="shared" si="235"/>
        <v>2.0951496414479101E-3</v>
      </c>
      <c r="V293" s="66">
        <f t="shared" si="235"/>
        <v>2.0751253137001203E-3</v>
      </c>
      <c r="W293" s="66">
        <f t="shared" si="235"/>
        <v>2.0612872724350261E-3</v>
      </c>
      <c r="X293" s="66">
        <f t="shared" si="235"/>
        <v>2.0518172112212762E-3</v>
      </c>
      <c r="Y293" s="66">
        <f t="shared" si="235"/>
        <v>2.0453796325405234E-3</v>
      </c>
      <c r="Z293" s="66">
        <f t="shared" si="235"/>
        <v>2.0410233946808022E-3</v>
      </c>
      <c r="AA293" s="66">
        <f t="shared" si="235"/>
        <v>2.0380846720726327E-3</v>
      </c>
      <c r="AB293" s="66">
        <f t="shared" si="235"/>
        <v>2.0361063386111484E-3</v>
      </c>
      <c r="AC293" s="66">
        <f t="shared" si="235"/>
        <v>2.0347764046985059E-3</v>
      </c>
    </row>
    <row r="294" spans="1:29" x14ac:dyDescent="0.3">
      <c r="A294" s="30" t="str">
        <f t="shared" si="229"/>
        <v>Opex var (mode-fees, shunting)</v>
      </c>
      <c r="B294" s="66">
        <f>B252*B261/B261/(B258)</f>
        <v>1.6256502601040416E-3</v>
      </c>
      <c r="C294" s="66">
        <f t="shared" ref="C294:AC294" si="236">C252*C261/C261/(C258)</f>
        <v>1.6256502601040416E-3</v>
      </c>
      <c r="D294" s="66">
        <f t="shared" si="236"/>
        <v>1.6256502601040416E-3</v>
      </c>
      <c r="E294" s="66">
        <f t="shared" si="236"/>
        <v>1.6256502601040416E-3</v>
      </c>
      <c r="F294" s="66">
        <f t="shared" si="236"/>
        <v>1.6256502601040416E-3</v>
      </c>
      <c r="G294" s="66">
        <f t="shared" si="236"/>
        <v>1.6256502601040416E-3</v>
      </c>
      <c r="H294" s="66">
        <f t="shared" si="236"/>
        <v>1.6256502601040416E-3</v>
      </c>
      <c r="I294" s="66">
        <f t="shared" si="236"/>
        <v>1.6256502601040416E-3</v>
      </c>
      <c r="J294" s="66">
        <f t="shared" si="236"/>
        <v>1.6256502601040416E-3</v>
      </c>
      <c r="K294" s="66">
        <f t="shared" si="236"/>
        <v>1.6256502601040416E-3</v>
      </c>
      <c r="L294" s="66">
        <f t="shared" si="236"/>
        <v>1.6256502601040416E-3</v>
      </c>
      <c r="M294" s="66">
        <f t="shared" si="236"/>
        <v>1.6256502601040416E-3</v>
      </c>
      <c r="N294" s="66">
        <f t="shared" si="236"/>
        <v>1.6256502601040416E-3</v>
      </c>
      <c r="O294" s="66">
        <f t="shared" si="236"/>
        <v>1.6256502601040416E-3</v>
      </c>
      <c r="P294" s="66">
        <f t="shared" si="236"/>
        <v>1.6256502601040416E-3</v>
      </c>
      <c r="Q294" s="66">
        <f t="shared" si="236"/>
        <v>1.6256502601040416E-3</v>
      </c>
      <c r="R294" s="66">
        <f t="shared" si="236"/>
        <v>1.6256502601040416E-3</v>
      </c>
      <c r="S294" s="66">
        <f t="shared" si="236"/>
        <v>1.6256502601040416E-3</v>
      </c>
      <c r="T294" s="66">
        <f t="shared" si="236"/>
        <v>1.6256502601040416E-3</v>
      </c>
      <c r="U294" s="66">
        <f t="shared" si="236"/>
        <v>1.6256502601040416E-3</v>
      </c>
      <c r="V294" s="66">
        <f t="shared" si="236"/>
        <v>1.6256502601040416E-3</v>
      </c>
      <c r="W294" s="66">
        <f t="shared" si="236"/>
        <v>1.6256502601040416E-3</v>
      </c>
      <c r="X294" s="66">
        <f t="shared" si="236"/>
        <v>1.6256502601040416E-3</v>
      </c>
      <c r="Y294" s="66">
        <f t="shared" si="236"/>
        <v>1.6256502601040416E-3</v>
      </c>
      <c r="Z294" s="66">
        <f t="shared" si="236"/>
        <v>1.6256502601040416E-3</v>
      </c>
      <c r="AA294" s="66">
        <f t="shared" si="236"/>
        <v>1.6256502601040416E-3</v>
      </c>
      <c r="AB294" s="66">
        <f t="shared" si="236"/>
        <v>1.6256502601040416E-3</v>
      </c>
      <c r="AC294" s="66">
        <f t="shared" si="236"/>
        <v>1.6256502601040416E-3</v>
      </c>
    </row>
    <row r="295" spans="1:29" x14ac:dyDescent="0.3">
      <c r="A295" s="30" t="str">
        <f t="shared" si="229"/>
        <v>Fuel Cost</v>
      </c>
      <c r="B295" s="66">
        <f>B253*B254*B261/B261/(B258)</f>
        <v>1.1195826150024461E-3</v>
      </c>
      <c r="C295" s="66">
        <f t="shared" ref="C295:AC295" si="237">C253*C254*C261/C261/(C258)</f>
        <v>1.118260982314392E-3</v>
      </c>
      <c r="D295" s="66">
        <f t="shared" si="237"/>
        <v>1.1163844533557642E-3</v>
      </c>
      <c r="E295" s="66">
        <f t="shared" si="237"/>
        <v>1.1137321599956635E-3</v>
      </c>
      <c r="F295" s="66">
        <f t="shared" si="237"/>
        <v>1.1100083879694183E-3</v>
      </c>
      <c r="G295" s="66">
        <f t="shared" si="237"/>
        <v>1.1048309930818329E-3</v>
      </c>
      <c r="H295" s="66">
        <f t="shared" si="237"/>
        <v>1.0977329783776815E-3</v>
      </c>
      <c r="I295" s="66">
        <f t="shared" si="237"/>
        <v>1.0881940072078079E-3</v>
      </c>
      <c r="J295" s="66">
        <f t="shared" si="237"/>
        <v>1.0757247290950787E-3</v>
      </c>
      <c r="K295" s="66">
        <f t="shared" si="237"/>
        <v>1.060021780893647E-3</v>
      </c>
      <c r="L295" s="66">
        <f t="shared" si="237"/>
        <v>1.0411786938051275E-3</v>
      </c>
      <c r="M295" s="66">
        <f t="shared" si="237"/>
        <v>1.0198714273651432E-3</v>
      </c>
      <c r="N295" s="66">
        <f t="shared" si="237"/>
        <v>9.9737743360596605E-4</v>
      </c>
      <c r="O295" s="66">
        <f t="shared" si="237"/>
        <v>9.7532607957013433E-4</v>
      </c>
      <c r="P295" s="66">
        <f t="shared" si="237"/>
        <v>9.5525227809606969E-4</v>
      </c>
      <c r="Q295" s="66">
        <f t="shared" si="237"/>
        <v>9.3819240540741534E-4</v>
      </c>
      <c r="R295" s="66">
        <f t="shared" si="237"/>
        <v>9.2453050263389936E-4</v>
      </c>
      <c r="S295" s="66">
        <f t="shared" si="237"/>
        <v>9.1410586445919088E-4</v>
      </c>
      <c r="T295" s="66">
        <f t="shared" si="237"/>
        <v>9.0644291934359033E-4</v>
      </c>
      <c r="U295" s="66">
        <f t="shared" si="237"/>
        <v>9.009640244431905E-4</v>
      </c>
      <c r="V295" s="66">
        <f t="shared" si="237"/>
        <v>8.971241282392943E-4</v>
      </c>
      <c r="W295" s="66">
        <f t="shared" si="237"/>
        <v>8.9447052394393627E-4</v>
      </c>
      <c r="X295" s="66">
        <f t="shared" si="237"/>
        <v>8.9265453029044859E-4</v>
      </c>
      <c r="Y295" s="66">
        <f t="shared" si="237"/>
        <v>8.9142005019953862E-4</v>
      </c>
      <c r="Z295" s="66">
        <f t="shared" si="237"/>
        <v>8.9058469125857928E-4</v>
      </c>
      <c r="AA295" s="66">
        <f t="shared" si="237"/>
        <v>8.9002115724487658E-4</v>
      </c>
      <c r="AB295" s="66">
        <f t="shared" si="237"/>
        <v>8.8964178894625125E-4</v>
      </c>
      <c r="AC295" s="66">
        <f t="shared" si="237"/>
        <v>8.8938675875263335E-4</v>
      </c>
    </row>
    <row r="296" spans="1:29" x14ac:dyDescent="0.3">
      <c r="A296" s="59" t="str">
        <f>A259</f>
        <v>Market failure (av. utilization)</v>
      </c>
      <c r="B296" s="66">
        <f t="shared" ref="B296:AC296" si="238">B285/B259-B285/B258</f>
        <v>2.1521269454121909E-2</v>
      </c>
      <c r="C296" s="66">
        <f t="shared" si="238"/>
        <v>2.1492790642295236E-2</v>
      </c>
      <c r="D296" s="66">
        <f t="shared" si="238"/>
        <v>2.1452354153116839E-2</v>
      </c>
      <c r="E296" s="66">
        <f t="shared" si="238"/>
        <v>2.1395199668141976E-2</v>
      </c>
      <c r="F296" s="66">
        <f t="shared" si="238"/>
        <v>2.1314952872061907E-2</v>
      </c>
      <c r="G296" s="66">
        <f t="shared" si="238"/>
        <v>2.1203374579655633E-2</v>
      </c>
      <c r="H296" s="66">
        <f t="shared" si="238"/>
        <v>2.105039229592541E-2</v>
      </c>
      <c r="I296" s="66">
        <f t="shared" si="238"/>
        <v>2.0844774876527274E-2</v>
      </c>
      <c r="J296" s="66">
        <f t="shared" si="238"/>
        <v>2.0575942320042392E-2</v>
      </c>
      <c r="K296" s="66">
        <f t="shared" si="238"/>
        <v>2.0237295237411711E-2</v>
      </c>
      <c r="L296" s="66">
        <f t="shared" si="238"/>
        <v>1.9830747515467304E-2</v>
      </c>
      <c r="M296" s="66">
        <f t="shared" si="238"/>
        <v>1.9370716684618969E-2</v>
      </c>
      <c r="N296" s="66">
        <f t="shared" si="238"/>
        <v>1.8884541942225202E-2</v>
      </c>
      <c r="O296" s="66">
        <f t="shared" si="238"/>
        <v>1.840713843388965E-2</v>
      </c>
      <c r="P296" s="66">
        <f t="shared" si="238"/>
        <v>1.7971437506063972E-2</v>
      </c>
      <c r="Q296" s="66">
        <f t="shared" si="238"/>
        <v>1.7599750617517944E-2</v>
      </c>
      <c r="R296" s="66">
        <f t="shared" si="238"/>
        <v>1.7300509207688761E-2</v>
      </c>
      <c r="S296" s="66">
        <f t="shared" si="238"/>
        <v>1.7070583289008571E-2</v>
      </c>
      <c r="T296" s="66">
        <f t="shared" si="238"/>
        <v>1.6900161394646458E-2</v>
      </c>
      <c r="U296" s="66">
        <f t="shared" si="238"/>
        <v>1.6777212876671409E-2</v>
      </c>
      <c r="V296" s="66">
        <f t="shared" si="238"/>
        <v>1.6690280737788186E-2</v>
      </c>
      <c r="W296" s="66">
        <f t="shared" si="238"/>
        <v>1.6629727394387228E-2</v>
      </c>
      <c r="X296" s="66">
        <f t="shared" si="238"/>
        <v>1.658801333413841E-2</v>
      </c>
      <c r="Y296" s="66">
        <f t="shared" si="238"/>
        <v>1.6559509736298422E-2</v>
      </c>
      <c r="Z296" s="66">
        <f t="shared" si="238"/>
        <v>1.6540146771048619E-2</v>
      </c>
      <c r="AA296" s="66">
        <f t="shared" si="238"/>
        <v>1.6527047786907546E-2</v>
      </c>
      <c r="AB296" s="66">
        <f t="shared" si="238"/>
        <v>1.6518212106523256E-2</v>
      </c>
      <c r="AC296" s="66">
        <f t="shared" si="238"/>
        <v>1.651226412890678E-2</v>
      </c>
    </row>
    <row r="297" spans="1:29" x14ac:dyDescent="0.3">
      <c r="A297" s="59" t="str">
        <f>A260</f>
        <v>Payload loss (fuel)</v>
      </c>
      <c r="B297" s="66">
        <f>B285/(B258-B260)-B285/B258</f>
        <v>3.7253124998190904E-4</v>
      </c>
      <c r="C297" s="66">
        <f t="shared" ref="C297:AC297" si="239">C285/(C258-C260)-C285/C258</f>
        <v>3.7094095379057446E-4</v>
      </c>
      <c r="D297" s="66">
        <f t="shared" si="239"/>
        <v>3.6868833933210304E-4</v>
      </c>
      <c r="E297" s="66">
        <f t="shared" si="239"/>
        <v>3.655152435677253E-4</v>
      </c>
      <c r="F297" s="66">
        <f t="shared" si="239"/>
        <v>3.6108152370950726E-4</v>
      </c>
      <c r="G297" s="66">
        <f t="shared" si="239"/>
        <v>3.5495824589835273E-4</v>
      </c>
      <c r="H297" s="66">
        <f t="shared" si="239"/>
        <v>3.466412517713225E-4</v>
      </c>
      <c r="I297" s="66">
        <f t="shared" si="239"/>
        <v>3.356055221652287E-4</v>
      </c>
      <c r="J297" s="66">
        <f t="shared" si="239"/>
        <v>3.2142362064149256E-4</v>
      </c>
      <c r="K297" s="66">
        <f t="shared" si="239"/>
        <v>3.0395584271955545E-4</v>
      </c>
      <c r="L297" s="66">
        <f t="shared" si="239"/>
        <v>2.8356930910626403E-4</v>
      </c>
      <c r="M297" s="66">
        <f t="shared" si="239"/>
        <v>2.6126761215228105E-4</v>
      </c>
      <c r="N297" s="66">
        <f t="shared" si="239"/>
        <v>2.385831775023068E-4</v>
      </c>
      <c r="O297" s="66">
        <f t="shared" si="239"/>
        <v>2.1719550360846558E-4</v>
      </c>
      <c r="P297" s="66">
        <f t="shared" si="239"/>
        <v>1.9845114857712509E-4</v>
      </c>
      <c r="Q297" s="66">
        <f t="shared" si="239"/>
        <v>1.8305782680895152E-4</v>
      </c>
      <c r="R297" s="66">
        <f t="shared" si="239"/>
        <v>1.7107995273180771E-4</v>
      </c>
      <c r="S297" s="66">
        <f t="shared" si="239"/>
        <v>1.6214400380804884E-4</v>
      </c>
      <c r="T297" s="66">
        <f t="shared" si="239"/>
        <v>1.5568367492651419E-4</v>
      </c>
      <c r="U297" s="66">
        <f t="shared" si="239"/>
        <v>1.51118112714713E-4</v>
      </c>
      <c r="V297" s="66">
        <f t="shared" si="239"/>
        <v>1.4794328619166693E-4</v>
      </c>
      <c r="W297" s="66">
        <f t="shared" si="239"/>
        <v>1.4576048771491185E-4</v>
      </c>
      <c r="X297" s="66">
        <f t="shared" si="239"/>
        <v>1.4427160302961286E-4</v>
      </c>
      <c r="Y297" s="66">
        <f t="shared" si="239"/>
        <v>1.4326161927901131E-4</v>
      </c>
      <c r="Z297" s="66">
        <f t="shared" si="239"/>
        <v>1.4257910011163197E-4</v>
      </c>
      <c r="AA297" s="66">
        <f t="shared" si="239"/>
        <v>1.4211907516704318E-4</v>
      </c>
      <c r="AB297" s="66">
        <f t="shared" si="239"/>
        <v>1.4180956534896785E-4</v>
      </c>
      <c r="AC297" s="66">
        <f t="shared" si="239"/>
        <v>1.4160157538674681E-4</v>
      </c>
    </row>
    <row r="298" spans="1:29" ht="15" thickBot="1" x14ac:dyDescent="0.35">
      <c r="A298" s="59" t="str">
        <f>A235</f>
        <v>Emission Cost</v>
      </c>
      <c r="B298" s="68">
        <f>B255*B261/B261/(B258)</f>
        <v>2.8018723041708291E-5</v>
      </c>
      <c r="C298" s="68">
        <f t="shared" ref="C298:AC298" si="240">C255*C261/C261/(C258)</f>
        <v>2.7992042390563403E-5</v>
      </c>
      <c r="D298" s="68">
        <f t="shared" si="240"/>
        <v>2.7953849632713087E-5</v>
      </c>
      <c r="E298" s="68">
        <f t="shared" si="240"/>
        <v>2.7899212206773402E-5</v>
      </c>
      <c r="F298" s="68">
        <f t="shared" si="240"/>
        <v>2.7821123268758994E-5</v>
      </c>
      <c r="G298" s="68">
        <f t="shared" si="240"/>
        <v>2.7709673478493116E-5</v>
      </c>
      <c r="H298" s="68">
        <f t="shared" si="240"/>
        <v>2.7550941635528091E-5</v>
      </c>
      <c r="I298" s="68">
        <f t="shared" si="240"/>
        <v>2.7325565173011279E-5</v>
      </c>
      <c r="J298" s="68">
        <f t="shared" si="240"/>
        <v>2.7007017200539052E-5</v>
      </c>
      <c r="K298" s="68">
        <f t="shared" si="240"/>
        <v>2.6559781594269528E-5</v>
      </c>
      <c r="L298" s="68">
        <f t="shared" si="240"/>
        <v>2.5937961750002434E-5</v>
      </c>
      <c r="M298" s="68">
        <f t="shared" si="240"/>
        <v>2.5085470005838896E-5</v>
      </c>
      <c r="N298" s="68">
        <f t="shared" si="240"/>
        <v>2.3939812451005268E-5</v>
      </c>
      <c r="O298" s="68">
        <f t="shared" si="240"/>
        <v>2.2442216702075155E-5</v>
      </c>
      <c r="P298" s="68">
        <f t="shared" si="240"/>
        <v>2.0556247982833342E-5</v>
      </c>
      <c r="Q298" s="68">
        <f t="shared" si="240"/>
        <v>1.8293139656483724E-5</v>
      </c>
      <c r="R298" s="68">
        <f t="shared" si="240"/>
        <v>1.5734076384868407E-5</v>
      </c>
      <c r="S298" s="68">
        <f t="shared" si="240"/>
        <v>1.3032483788596525E-5</v>
      </c>
      <c r="T298" s="68">
        <f t="shared" si="240"/>
        <v>1.0384053481432056E-5</v>
      </c>
      <c r="U298" s="68">
        <f t="shared" si="240"/>
        <v>7.973132858710722E-6</v>
      </c>
      <c r="V298" s="68">
        <f t="shared" si="240"/>
        <v>5.9241936510964439E-6</v>
      </c>
      <c r="W298" s="68">
        <f t="shared" si="240"/>
        <v>4.2833602900193802E-6</v>
      </c>
      <c r="X298" s="68">
        <f t="shared" si="240"/>
        <v>3.0313316101360892E-6</v>
      </c>
      <c r="Y298" s="68">
        <f t="shared" si="240"/>
        <v>2.1109901175765951E-6</v>
      </c>
      <c r="Z298" s="68">
        <f t="shared" si="240"/>
        <v>1.4529592646680163E-6</v>
      </c>
      <c r="AA298" s="68">
        <f t="shared" si="240"/>
        <v>9.9177681454548619E-7</v>
      </c>
      <c r="AB298" s="68">
        <f t="shared" si="240"/>
        <v>6.730713950221108E-7</v>
      </c>
      <c r="AC298" s="68">
        <f t="shared" si="240"/>
        <v>4.5496539474204176E-7</v>
      </c>
    </row>
    <row r="299" spans="1:29" ht="15" thickBot="1" x14ac:dyDescent="0.35">
      <c r="A299" s="31" t="s">
        <v>210</v>
      </c>
      <c r="B299" s="67">
        <f>B288+B289+B290+B291+B292+B293+B294+B295+B296+B297+B298</f>
        <v>3.197058232993006E-2</v>
      </c>
      <c r="C299" s="67">
        <f t="shared" ref="C299:AC299" si="241">C288+C289+C290+C291+C292+C293+C294+C295+C296+C297+C298</f>
        <v>3.192711142811127E-2</v>
      </c>
      <c r="D299" s="67">
        <f t="shared" si="241"/>
        <v>3.1865393388390451E-2</v>
      </c>
      <c r="E299" s="67">
        <f t="shared" si="241"/>
        <v>3.1778169579427737E-2</v>
      </c>
      <c r="F299" s="67">
        <f t="shared" si="241"/>
        <v>3.1655725865334126E-2</v>
      </c>
      <c r="G299" s="67">
        <f t="shared" si="241"/>
        <v>3.1485516863396103E-2</v>
      </c>
      <c r="H299" s="67">
        <f t="shared" si="241"/>
        <v>3.1252225922606978E-2</v>
      </c>
      <c r="I299" s="67">
        <f t="shared" si="241"/>
        <v>3.0938811635062447E-2</v>
      </c>
      <c r="J299" s="67">
        <f t="shared" si="241"/>
        <v>3.0529287738708003E-2</v>
      </c>
      <c r="K299" s="67">
        <f t="shared" si="241"/>
        <v>3.0013809545152714E-2</v>
      </c>
      <c r="L299" s="67">
        <f t="shared" si="241"/>
        <v>2.9395558714562356E-2</v>
      </c>
      <c r="M299" s="67">
        <f t="shared" si="241"/>
        <v>2.8696741089890229E-2</v>
      </c>
      <c r="N299" s="67">
        <f t="shared" si="241"/>
        <v>2.7959093798778836E-2</v>
      </c>
      <c r="O299" s="67">
        <f t="shared" si="241"/>
        <v>2.7235642142038583E-2</v>
      </c>
      <c r="P299" s="67">
        <f t="shared" si="241"/>
        <v>2.6576161128440079E-2</v>
      </c>
      <c r="Q299" s="67">
        <f t="shared" si="241"/>
        <v>2.601416944116304E-2</v>
      </c>
      <c r="R299" s="67">
        <f t="shared" si="241"/>
        <v>2.5562130670278273E-2</v>
      </c>
      <c r="S299" s="67">
        <f t="shared" si="241"/>
        <v>2.5215068370354234E-2</v>
      </c>
      <c r="T299" s="67">
        <f t="shared" si="241"/>
        <v>2.4957987608587244E-2</v>
      </c>
      <c r="U299" s="67">
        <f t="shared" si="241"/>
        <v>2.4772615402294487E-2</v>
      </c>
      <c r="V299" s="67">
        <f t="shared" si="241"/>
        <v>2.4641599195060818E-2</v>
      </c>
      <c r="W299" s="67">
        <f t="shared" si="241"/>
        <v>2.4550367362170891E-2</v>
      </c>
      <c r="X299" s="67">
        <f t="shared" si="241"/>
        <v>2.448753427123733E-2</v>
      </c>
      <c r="Y299" s="67">
        <f t="shared" si="241"/>
        <v>2.4444607231839683E-2</v>
      </c>
      <c r="Z299" s="67">
        <f t="shared" si="241"/>
        <v>2.4415449763775535E-2</v>
      </c>
      <c r="AA299" s="67">
        <f t="shared" si="241"/>
        <v>2.4395726526858782E-2</v>
      </c>
      <c r="AB299" s="67">
        <f t="shared" si="241"/>
        <v>2.4382423369416751E-2</v>
      </c>
      <c r="AC299" s="67">
        <f t="shared" si="241"/>
        <v>2.4373468353547947E-2</v>
      </c>
    </row>
    <row r="301" spans="1:29" x14ac:dyDescent="0.3">
      <c r="B301" s="40"/>
    </row>
    <row r="324" spans="1:44" s="3" customFormat="1" ht="21" x14ac:dyDescent="0.4">
      <c r="A324" s="2" t="str">
        <f>'Parameter Input'!A112</f>
        <v>Railway long-haul: Break bulk</v>
      </c>
    </row>
    <row r="325" spans="1:44" s="3" customFormat="1" ht="21" x14ac:dyDescent="0.4">
      <c r="A325" s="2" t="s">
        <v>87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Input'!$L$101</f>
        <v>10000000</v>
      </c>
      <c r="C334" s="42">
        <f>'Parameter Input'!$M$101</f>
        <v>6250000</v>
      </c>
      <c r="D334" s="1" t="s">
        <v>15</v>
      </c>
      <c r="L334" s="51">
        <f>'Parameter Input'!$O$101</f>
        <v>12</v>
      </c>
      <c r="M334" s="52">
        <v>0</v>
      </c>
      <c r="N334" s="52">
        <v>1</v>
      </c>
      <c r="O334" s="52">
        <f>'Parameter Input'!$P$101</f>
        <v>0.9</v>
      </c>
      <c r="P334" s="53">
        <f>'Parameter Input'!$Q$101</f>
        <v>0.4</v>
      </c>
      <c r="Q334" s="4">
        <f t="shared" ref="Q334:AR343" si="242">$N334+($M334-$N334)*((1/(1+EXP(-$P334*(Q$9-$L334)))^$O334))</f>
        <v>0.9867978615748374</v>
      </c>
      <c r="R334" s="4">
        <f t="shared" si="242"/>
        <v>0.98114509762858249</v>
      </c>
      <c r="S334" s="4">
        <f t="shared" si="242"/>
        <v>0.97311898315872036</v>
      </c>
      <c r="T334" s="4">
        <f t="shared" si="242"/>
        <v>0.96177484161592774</v>
      </c>
      <c r="U334" s="4">
        <f t="shared" si="242"/>
        <v>0.94584787155511363</v>
      </c>
      <c r="V334" s="4">
        <f t="shared" si="242"/>
        <v>0.92370360150141495</v>
      </c>
      <c r="W334" s="4">
        <f t="shared" si="242"/>
        <v>0.89334463567658451</v>
      </c>
      <c r="X334" s="4">
        <f t="shared" si="242"/>
        <v>0.85254543874327005</v>
      </c>
      <c r="Y334" s="4">
        <f t="shared" si="242"/>
        <v>0.79921300652623883</v>
      </c>
      <c r="Z334" s="4">
        <f t="shared" si="242"/>
        <v>0.73204982249993378</v>
      </c>
      <c r="AA334" s="4">
        <f t="shared" si="242"/>
        <v>0.65145592958786691</v>
      </c>
      <c r="AB334" s="4">
        <f t="shared" si="242"/>
        <v>0.56032247880849573</v>
      </c>
      <c r="AC334" s="4">
        <f t="shared" si="242"/>
        <v>0.46411326873185343</v>
      </c>
      <c r="AD334" s="4">
        <f t="shared" si="242"/>
        <v>0.36979727595523937</v>
      </c>
      <c r="AE334" s="4">
        <f t="shared" si="242"/>
        <v>0.28393948637231203</v>
      </c>
      <c r="AF334" s="4">
        <f t="shared" si="242"/>
        <v>0.21097259161117732</v>
      </c>
      <c r="AG334" s="4">
        <f t="shared" si="242"/>
        <v>0.15253917653798199</v>
      </c>
      <c r="AH334" s="4">
        <f t="shared" si="242"/>
        <v>0.10795188737709993</v>
      </c>
      <c r="AI334" s="4">
        <f t="shared" si="242"/>
        <v>7.5176653938091809E-2</v>
      </c>
      <c r="AJ334" s="4">
        <f t="shared" si="242"/>
        <v>5.1742836177502194E-2</v>
      </c>
      <c r="AK334" s="4">
        <f t="shared" si="242"/>
        <v>3.5319190625345942E-2</v>
      </c>
      <c r="AL334" s="4">
        <f t="shared" si="242"/>
        <v>2.3969442072658165E-2</v>
      </c>
      <c r="AM334" s="4">
        <f t="shared" si="242"/>
        <v>1.6202243558389728E-2</v>
      </c>
      <c r="AN334" s="4">
        <f t="shared" si="242"/>
        <v>1.0922240564108399E-2</v>
      </c>
      <c r="AO334" s="4">
        <f t="shared" si="242"/>
        <v>7.3493212906090566E-3</v>
      </c>
      <c r="AP334" s="4">
        <f t="shared" si="242"/>
        <v>4.9390262185057265E-3</v>
      </c>
      <c r="AQ334" s="4">
        <f t="shared" si="242"/>
        <v>3.3164275492956197E-3</v>
      </c>
      <c r="AR334" s="4">
        <f t="shared" si="242"/>
        <v>2.2256362146679809E-3</v>
      </c>
    </row>
    <row r="335" spans="1:44" x14ac:dyDescent="0.3">
      <c r="A335" s="24" t="s">
        <v>28</v>
      </c>
      <c r="B335" s="60">
        <f>'Parameter Input'!$L$102</f>
        <v>-500000</v>
      </c>
      <c r="C335" s="61">
        <f>'Parameter Input'!$M$102</f>
        <v>-937500</v>
      </c>
      <c r="D335" s="1" t="s">
        <v>15</v>
      </c>
      <c r="L335" s="54">
        <f>'Parameter Input'!$O$102</f>
        <v>12</v>
      </c>
      <c r="M335" s="37">
        <v>0</v>
      </c>
      <c r="N335" s="37">
        <v>1</v>
      </c>
      <c r="O335" s="37">
        <f>'Parameter Input'!$P$102</f>
        <v>0.9</v>
      </c>
      <c r="P335" s="55">
        <f>'Parameter Input'!$Q$102</f>
        <v>0.4</v>
      </c>
      <c r="Q335" s="4">
        <f t="shared" si="242"/>
        <v>0.9867978615748374</v>
      </c>
      <c r="R335" s="4">
        <f t="shared" si="242"/>
        <v>0.98114509762858249</v>
      </c>
      <c r="S335" s="4">
        <f t="shared" si="242"/>
        <v>0.97311898315872036</v>
      </c>
      <c r="T335" s="4">
        <f t="shared" si="242"/>
        <v>0.96177484161592774</v>
      </c>
      <c r="U335" s="4">
        <f t="shared" si="242"/>
        <v>0.94584787155511363</v>
      </c>
      <c r="V335" s="4">
        <f t="shared" si="242"/>
        <v>0.92370360150141495</v>
      </c>
      <c r="W335" s="4">
        <f t="shared" si="242"/>
        <v>0.89334463567658451</v>
      </c>
      <c r="X335" s="4">
        <f t="shared" si="242"/>
        <v>0.85254543874327005</v>
      </c>
      <c r="Y335" s="4">
        <f t="shared" si="242"/>
        <v>0.79921300652623883</v>
      </c>
      <c r="Z335" s="4">
        <f t="shared" si="242"/>
        <v>0.73204982249993378</v>
      </c>
      <c r="AA335" s="4">
        <f t="shared" si="242"/>
        <v>0.65145592958786691</v>
      </c>
      <c r="AB335" s="4">
        <f t="shared" si="242"/>
        <v>0.56032247880849573</v>
      </c>
      <c r="AC335" s="4">
        <f t="shared" si="242"/>
        <v>0.46411326873185343</v>
      </c>
      <c r="AD335" s="4">
        <f t="shared" si="242"/>
        <v>0.36979727595523937</v>
      </c>
      <c r="AE335" s="4">
        <f t="shared" si="242"/>
        <v>0.28393948637231203</v>
      </c>
      <c r="AF335" s="4">
        <f t="shared" si="242"/>
        <v>0.21097259161117732</v>
      </c>
      <c r="AG335" s="4">
        <f t="shared" si="242"/>
        <v>0.15253917653798199</v>
      </c>
      <c r="AH335" s="4">
        <f t="shared" si="242"/>
        <v>0.10795188737709993</v>
      </c>
      <c r="AI335" s="4">
        <f t="shared" si="242"/>
        <v>7.5176653938091809E-2</v>
      </c>
      <c r="AJ335" s="4">
        <f t="shared" si="242"/>
        <v>5.1742836177502194E-2</v>
      </c>
      <c r="AK335" s="4">
        <f t="shared" si="242"/>
        <v>3.5319190625345942E-2</v>
      </c>
      <c r="AL335" s="4">
        <f t="shared" si="242"/>
        <v>2.3969442072658165E-2</v>
      </c>
      <c r="AM335" s="4">
        <f t="shared" si="242"/>
        <v>1.6202243558389728E-2</v>
      </c>
      <c r="AN335" s="4">
        <f t="shared" si="242"/>
        <v>1.0922240564108399E-2</v>
      </c>
      <c r="AO335" s="4">
        <f t="shared" si="242"/>
        <v>7.3493212906090566E-3</v>
      </c>
      <c r="AP335" s="4">
        <f t="shared" si="242"/>
        <v>4.9390262185057265E-3</v>
      </c>
      <c r="AQ335" s="4">
        <f t="shared" si="242"/>
        <v>3.3164275492956197E-3</v>
      </c>
      <c r="AR335" s="4">
        <f t="shared" si="242"/>
        <v>2.2256362146679809E-3</v>
      </c>
    </row>
    <row r="336" spans="1:44" x14ac:dyDescent="0.3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42"/>
        <v>0.9867978615748374</v>
      </c>
      <c r="R336" s="4">
        <f t="shared" si="242"/>
        <v>0.98114509762858249</v>
      </c>
      <c r="S336" s="4">
        <f t="shared" si="242"/>
        <v>0.97311898315872036</v>
      </c>
      <c r="T336" s="4">
        <f t="shared" si="242"/>
        <v>0.96177484161592774</v>
      </c>
      <c r="U336" s="4">
        <f t="shared" si="242"/>
        <v>0.94584787155511363</v>
      </c>
      <c r="V336" s="4">
        <f t="shared" si="242"/>
        <v>0.92370360150141495</v>
      </c>
      <c r="W336" s="4">
        <f t="shared" si="242"/>
        <v>0.89334463567658451</v>
      </c>
      <c r="X336" s="4">
        <f t="shared" si="242"/>
        <v>0.85254543874327005</v>
      </c>
      <c r="Y336" s="4">
        <f t="shared" si="242"/>
        <v>0.79921300652623883</v>
      </c>
      <c r="Z336" s="4">
        <f t="shared" si="242"/>
        <v>0.73204982249993378</v>
      </c>
      <c r="AA336" s="4">
        <f t="shared" si="242"/>
        <v>0.65145592958786691</v>
      </c>
      <c r="AB336" s="4">
        <f t="shared" si="242"/>
        <v>0.56032247880849573</v>
      </c>
      <c r="AC336" s="4">
        <f t="shared" si="242"/>
        <v>0.46411326873185343</v>
      </c>
      <c r="AD336" s="4">
        <f t="shared" si="242"/>
        <v>0.36979727595523937</v>
      </c>
      <c r="AE336" s="4">
        <f t="shared" si="242"/>
        <v>0.28393948637231203</v>
      </c>
      <c r="AF336" s="4">
        <f t="shared" si="242"/>
        <v>0.21097259161117732</v>
      </c>
      <c r="AG336" s="4">
        <f t="shared" si="242"/>
        <v>0.15253917653798199</v>
      </c>
      <c r="AH336" s="4">
        <f t="shared" si="242"/>
        <v>0.10795188737709993</v>
      </c>
      <c r="AI336" s="4">
        <f t="shared" si="242"/>
        <v>7.5176653938091809E-2</v>
      </c>
      <c r="AJ336" s="4">
        <f t="shared" si="242"/>
        <v>5.1742836177502194E-2</v>
      </c>
      <c r="AK336" s="4">
        <f t="shared" si="242"/>
        <v>3.5319190625345942E-2</v>
      </c>
      <c r="AL336" s="4">
        <f t="shared" si="242"/>
        <v>2.3969442072658165E-2</v>
      </c>
      <c r="AM336" s="4">
        <f t="shared" si="242"/>
        <v>1.6202243558389728E-2</v>
      </c>
      <c r="AN336" s="4">
        <f t="shared" si="242"/>
        <v>1.0922240564108399E-2</v>
      </c>
      <c r="AO336" s="4">
        <f t="shared" si="242"/>
        <v>7.3493212906090566E-3</v>
      </c>
      <c r="AP336" s="4">
        <f t="shared" si="242"/>
        <v>4.9390262185057265E-3</v>
      </c>
      <c r="AQ336" s="4">
        <f t="shared" si="242"/>
        <v>3.3164275492956197E-3</v>
      </c>
      <c r="AR336" s="4">
        <f t="shared" si="242"/>
        <v>2.2256362146679809E-3</v>
      </c>
    </row>
    <row r="337" spans="1:44" x14ac:dyDescent="0.3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42"/>
        <v>0.9867978615748374</v>
      </c>
      <c r="R337" s="4">
        <f t="shared" si="242"/>
        <v>0.98114509762858249</v>
      </c>
      <c r="S337" s="4">
        <f t="shared" si="242"/>
        <v>0.97311898315872036</v>
      </c>
      <c r="T337" s="4">
        <f t="shared" si="242"/>
        <v>0.96177484161592774</v>
      </c>
      <c r="U337" s="4">
        <f t="shared" si="242"/>
        <v>0.94584787155511363</v>
      </c>
      <c r="V337" s="4">
        <f t="shared" si="242"/>
        <v>0.92370360150141495</v>
      </c>
      <c r="W337" s="4">
        <f t="shared" si="242"/>
        <v>0.89334463567658451</v>
      </c>
      <c r="X337" s="4">
        <f t="shared" si="242"/>
        <v>0.85254543874327005</v>
      </c>
      <c r="Y337" s="4">
        <f t="shared" si="242"/>
        <v>0.79921300652623883</v>
      </c>
      <c r="Z337" s="4">
        <f t="shared" si="242"/>
        <v>0.73204982249993378</v>
      </c>
      <c r="AA337" s="4">
        <f t="shared" si="242"/>
        <v>0.65145592958786691</v>
      </c>
      <c r="AB337" s="4">
        <f t="shared" si="242"/>
        <v>0.56032247880849573</v>
      </c>
      <c r="AC337" s="4">
        <f t="shared" si="242"/>
        <v>0.46411326873185343</v>
      </c>
      <c r="AD337" s="4">
        <f t="shared" si="242"/>
        <v>0.36979727595523937</v>
      </c>
      <c r="AE337" s="4">
        <f t="shared" si="242"/>
        <v>0.28393948637231203</v>
      </c>
      <c r="AF337" s="4">
        <f t="shared" si="242"/>
        <v>0.21097259161117732</v>
      </c>
      <c r="AG337" s="4">
        <f t="shared" si="242"/>
        <v>0.15253917653798199</v>
      </c>
      <c r="AH337" s="4">
        <f t="shared" si="242"/>
        <v>0.10795188737709993</v>
      </c>
      <c r="AI337" s="4">
        <f t="shared" si="242"/>
        <v>7.5176653938091809E-2</v>
      </c>
      <c r="AJ337" s="4">
        <f t="shared" si="242"/>
        <v>5.1742836177502194E-2</v>
      </c>
      <c r="AK337" s="4">
        <f t="shared" si="242"/>
        <v>3.5319190625345942E-2</v>
      </c>
      <c r="AL337" s="4">
        <f t="shared" si="242"/>
        <v>2.3969442072658165E-2</v>
      </c>
      <c r="AM337" s="4">
        <f t="shared" si="242"/>
        <v>1.6202243558389728E-2</v>
      </c>
      <c r="AN337" s="4">
        <f t="shared" si="242"/>
        <v>1.0922240564108399E-2</v>
      </c>
      <c r="AO337" s="4">
        <f t="shared" si="242"/>
        <v>7.3493212906090566E-3</v>
      </c>
      <c r="AP337" s="4">
        <f t="shared" si="242"/>
        <v>4.9390262185057265E-3</v>
      </c>
      <c r="AQ337" s="4">
        <f t="shared" si="242"/>
        <v>3.3164275492956197E-3</v>
      </c>
      <c r="AR337" s="4">
        <f t="shared" si="242"/>
        <v>2.2256362146679809E-3</v>
      </c>
    </row>
    <row r="338" spans="1:44" x14ac:dyDescent="0.3">
      <c r="A338" s="24" t="s">
        <v>79</v>
      </c>
      <c r="B338" s="45">
        <f>'Parameter Input'!$L$108</f>
        <v>0.06</v>
      </c>
      <c r="C338" s="46">
        <f>'Parameter Input'!$M$108</f>
        <v>0.06</v>
      </c>
      <c r="D338" s="1" t="s">
        <v>57</v>
      </c>
      <c r="L338" s="54">
        <f>'Parameter Input'!$O$108</f>
        <v>12</v>
      </c>
      <c r="M338" s="37">
        <v>0</v>
      </c>
      <c r="N338" s="37">
        <v>1</v>
      </c>
      <c r="O338" s="37">
        <f>'Parameter Input'!$P$108</f>
        <v>0.9</v>
      </c>
      <c r="P338" s="55">
        <f>'Parameter Input'!$Q$108</f>
        <v>0.4</v>
      </c>
      <c r="Q338" s="4">
        <f t="shared" si="242"/>
        <v>0.9867978615748374</v>
      </c>
      <c r="R338" s="4">
        <f t="shared" si="242"/>
        <v>0.98114509762858249</v>
      </c>
      <c r="S338" s="4">
        <f t="shared" si="242"/>
        <v>0.97311898315872036</v>
      </c>
      <c r="T338" s="4">
        <f t="shared" si="242"/>
        <v>0.96177484161592774</v>
      </c>
      <c r="U338" s="4">
        <f t="shared" si="242"/>
        <v>0.94584787155511363</v>
      </c>
      <c r="V338" s="4">
        <f t="shared" si="242"/>
        <v>0.92370360150141495</v>
      </c>
      <c r="W338" s="4">
        <f t="shared" si="242"/>
        <v>0.89334463567658451</v>
      </c>
      <c r="X338" s="4">
        <f t="shared" si="242"/>
        <v>0.85254543874327005</v>
      </c>
      <c r="Y338" s="4">
        <f t="shared" si="242"/>
        <v>0.79921300652623883</v>
      </c>
      <c r="Z338" s="4">
        <f t="shared" si="242"/>
        <v>0.73204982249993378</v>
      </c>
      <c r="AA338" s="4">
        <f t="shared" si="242"/>
        <v>0.65145592958786691</v>
      </c>
      <c r="AB338" s="4">
        <f t="shared" si="242"/>
        <v>0.56032247880849573</v>
      </c>
      <c r="AC338" s="4">
        <f t="shared" si="242"/>
        <v>0.46411326873185343</v>
      </c>
      <c r="AD338" s="4">
        <f t="shared" si="242"/>
        <v>0.36979727595523937</v>
      </c>
      <c r="AE338" s="4">
        <f t="shared" si="242"/>
        <v>0.28393948637231203</v>
      </c>
      <c r="AF338" s="4">
        <f t="shared" si="242"/>
        <v>0.21097259161117732</v>
      </c>
      <c r="AG338" s="4">
        <f t="shared" si="242"/>
        <v>0.15253917653798199</v>
      </c>
      <c r="AH338" s="4">
        <f t="shared" si="242"/>
        <v>0.10795188737709993</v>
      </c>
      <c r="AI338" s="4">
        <f t="shared" si="242"/>
        <v>7.5176653938091809E-2</v>
      </c>
      <c r="AJ338" s="4">
        <f t="shared" si="242"/>
        <v>5.1742836177502194E-2</v>
      </c>
      <c r="AK338" s="4">
        <f t="shared" si="242"/>
        <v>3.5319190625345942E-2</v>
      </c>
      <c r="AL338" s="4">
        <f t="shared" si="242"/>
        <v>2.3969442072658165E-2</v>
      </c>
      <c r="AM338" s="4">
        <f t="shared" si="242"/>
        <v>1.6202243558389728E-2</v>
      </c>
      <c r="AN338" s="4">
        <f t="shared" si="242"/>
        <v>1.0922240564108399E-2</v>
      </c>
      <c r="AO338" s="4">
        <f t="shared" si="242"/>
        <v>7.3493212906090566E-3</v>
      </c>
      <c r="AP338" s="4">
        <f t="shared" si="242"/>
        <v>4.9390262185057265E-3</v>
      </c>
      <c r="AQ338" s="4">
        <f t="shared" si="242"/>
        <v>3.3164275492956197E-3</v>
      </c>
      <c r="AR338" s="4">
        <f t="shared" si="242"/>
        <v>2.2256362146679809E-3</v>
      </c>
    </row>
    <row r="339" spans="1:44" x14ac:dyDescent="0.3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42"/>
        <v>0.9867978615748374</v>
      </c>
      <c r="R339" s="4">
        <f t="shared" si="242"/>
        <v>0.98114509762858249</v>
      </c>
      <c r="S339" s="4">
        <f t="shared" si="242"/>
        <v>0.97311898315872036</v>
      </c>
      <c r="T339" s="4">
        <f t="shared" si="242"/>
        <v>0.96177484161592774</v>
      </c>
      <c r="U339" s="4">
        <f t="shared" si="242"/>
        <v>0.94584787155511363</v>
      </c>
      <c r="V339" s="4">
        <f t="shared" si="242"/>
        <v>0.92370360150141495</v>
      </c>
      <c r="W339" s="4">
        <f t="shared" si="242"/>
        <v>0.89334463567658451</v>
      </c>
      <c r="X339" s="4">
        <f t="shared" si="242"/>
        <v>0.85254543874327005</v>
      </c>
      <c r="Y339" s="4">
        <f t="shared" si="242"/>
        <v>0.79921300652623883</v>
      </c>
      <c r="Z339" s="4">
        <f t="shared" si="242"/>
        <v>0.73204982249993378</v>
      </c>
      <c r="AA339" s="4">
        <f t="shared" si="242"/>
        <v>0.65145592958786691</v>
      </c>
      <c r="AB339" s="4">
        <f t="shared" si="242"/>
        <v>0.56032247880849573</v>
      </c>
      <c r="AC339" s="4">
        <f t="shared" si="242"/>
        <v>0.46411326873185343</v>
      </c>
      <c r="AD339" s="4">
        <f t="shared" si="242"/>
        <v>0.36979727595523937</v>
      </c>
      <c r="AE339" s="4">
        <f t="shared" si="242"/>
        <v>0.28393948637231203</v>
      </c>
      <c r="AF339" s="4">
        <f t="shared" si="242"/>
        <v>0.21097259161117732</v>
      </c>
      <c r="AG339" s="4">
        <f t="shared" si="242"/>
        <v>0.15253917653798199</v>
      </c>
      <c r="AH339" s="4">
        <f t="shared" si="242"/>
        <v>0.10795188737709993</v>
      </c>
      <c r="AI339" s="4">
        <f t="shared" si="242"/>
        <v>7.5176653938091809E-2</v>
      </c>
      <c r="AJ339" s="4">
        <f t="shared" si="242"/>
        <v>5.1742836177502194E-2</v>
      </c>
      <c r="AK339" s="4">
        <f t="shared" si="242"/>
        <v>3.5319190625345942E-2</v>
      </c>
      <c r="AL339" s="4">
        <f t="shared" si="242"/>
        <v>2.3969442072658165E-2</v>
      </c>
      <c r="AM339" s="4">
        <f t="shared" si="242"/>
        <v>1.6202243558389728E-2</v>
      </c>
      <c r="AN339" s="4">
        <f t="shared" si="242"/>
        <v>1.0922240564108399E-2</v>
      </c>
      <c r="AO339" s="4">
        <f t="shared" si="242"/>
        <v>7.3493212906090566E-3</v>
      </c>
      <c r="AP339" s="4">
        <f t="shared" si="242"/>
        <v>4.9390262185057265E-3</v>
      </c>
      <c r="AQ339" s="4">
        <f t="shared" si="242"/>
        <v>3.3164275492956197E-3</v>
      </c>
      <c r="AR339" s="4">
        <f t="shared" si="242"/>
        <v>2.2256362146679809E-3</v>
      </c>
    </row>
    <row r="340" spans="1:44" x14ac:dyDescent="0.3">
      <c r="A340" s="24" t="s">
        <v>52</v>
      </c>
      <c r="B340" s="43">
        <f>'Parameter Input'!$L$104</f>
        <v>1300000</v>
      </c>
      <c r="C340" s="44">
        <f>'Parameter Input'!$M$104</f>
        <v>812500</v>
      </c>
      <c r="D340" s="1" t="s">
        <v>38</v>
      </c>
      <c r="L340" s="54">
        <f>'Parameter Input'!$O$104</f>
        <v>12</v>
      </c>
      <c r="M340" s="37">
        <v>0</v>
      </c>
      <c r="N340" s="37">
        <v>1</v>
      </c>
      <c r="O340" s="37">
        <f>'Parameter Input'!$P$104</f>
        <v>0.9</v>
      </c>
      <c r="P340" s="55">
        <f>'Parameter Input'!$Q$104</f>
        <v>0.4</v>
      </c>
      <c r="Q340" s="4">
        <f t="shared" si="242"/>
        <v>0.9867978615748374</v>
      </c>
      <c r="R340" s="4">
        <f t="shared" si="242"/>
        <v>0.98114509762858249</v>
      </c>
      <c r="S340" s="4">
        <f t="shared" si="242"/>
        <v>0.97311898315872036</v>
      </c>
      <c r="T340" s="4">
        <f t="shared" si="242"/>
        <v>0.96177484161592774</v>
      </c>
      <c r="U340" s="4">
        <f t="shared" si="242"/>
        <v>0.94584787155511363</v>
      </c>
      <c r="V340" s="4">
        <f t="shared" si="242"/>
        <v>0.92370360150141495</v>
      </c>
      <c r="W340" s="4">
        <f t="shared" si="242"/>
        <v>0.89334463567658451</v>
      </c>
      <c r="X340" s="4">
        <f t="shared" si="242"/>
        <v>0.85254543874327005</v>
      </c>
      <c r="Y340" s="4">
        <f t="shared" si="242"/>
        <v>0.79921300652623883</v>
      </c>
      <c r="Z340" s="4">
        <f t="shared" si="242"/>
        <v>0.73204982249993378</v>
      </c>
      <c r="AA340" s="4">
        <f t="shared" si="242"/>
        <v>0.65145592958786691</v>
      </c>
      <c r="AB340" s="4">
        <f t="shared" si="242"/>
        <v>0.56032247880849573</v>
      </c>
      <c r="AC340" s="4">
        <f t="shared" si="242"/>
        <v>0.46411326873185343</v>
      </c>
      <c r="AD340" s="4">
        <f t="shared" si="242"/>
        <v>0.36979727595523937</v>
      </c>
      <c r="AE340" s="4">
        <f t="shared" si="242"/>
        <v>0.28393948637231203</v>
      </c>
      <c r="AF340" s="4">
        <f t="shared" si="242"/>
        <v>0.21097259161117732</v>
      </c>
      <c r="AG340" s="4">
        <f t="shared" si="242"/>
        <v>0.15253917653798199</v>
      </c>
      <c r="AH340" s="4">
        <f t="shared" si="242"/>
        <v>0.10795188737709993</v>
      </c>
      <c r="AI340" s="4">
        <f t="shared" si="242"/>
        <v>7.5176653938091809E-2</v>
      </c>
      <c r="AJ340" s="4">
        <f t="shared" si="242"/>
        <v>5.1742836177502194E-2</v>
      </c>
      <c r="AK340" s="4">
        <f t="shared" si="242"/>
        <v>3.5319190625345942E-2</v>
      </c>
      <c r="AL340" s="4">
        <f t="shared" si="242"/>
        <v>2.3969442072658165E-2</v>
      </c>
      <c r="AM340" s="4">
        <f t="shared" si="242"/>
        <v>1.6202243558389728E-2</v>
      </c>
      <c r="AN340" s="4">
        <f t="shared" si="242"/>
        <v>1.0922240564108399E-2</v>
      </c>
      <c r="AO340" s="4">
        <f t="shared" si="242"/>
        <v>7.3493212906090566E-3</v>
      </c>
      <c r="AP340" s="4">
        <f t="shared" si="242"/>
        <v>4.9390262185057265E-3</v>
      </c>
      <c r="AQ340" s="4">
        <f t="shared" si="242"/>
        <v>3.3164275492956197E-3</v>
      </c>
      <c r="AR340" s="4">
        <f t="shared" si="242"/>
        <v>2.2256362146679809E-3</v>
      </c>
    </row>
    <row r="341" spans="1:44" x14ac:dyDescent="0.3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42"/>
        <v>0.9867978615748374</v>
      </c>
      <c r="R341" s="4">
        <f t="shared" si="242"/>
        <v>0.98114509762858249</v>
      </c>
      <c r="S341" s="4">
        <f t="shared" si="242"/>
        <v>0.97311898315872036</v>
      </c>
      <c r="T341" s="4">
        <f t="shared" si="242"/>
        <v>0.96177484161592774</v>
      </c>
      <c r="U341" s="4">
        <f t="shared" si="242"/>
        <v>0.94584787155511363</v>
      </c>
      <c r="V341" s="4">
        <f t="shared" si="242"/>
        <v>0.92370360150141495</v>
      </c>
      <c r="W341" s="4">
        <f t="shared" si="242"/>
        <v>0.89334463567658451</v>
      </c>
      <c r="X341" s="4">
        <f t="shared" si="242"/>
        <v>0.85254543874327005</v>
      </c>
      <c r="Y341" s="4">
        <f t="shared" si="242"/>
        <v>0.79921300652623883</v>
      </c>
      <c r="Z341" s="4">
        <f t="shared" si="242"/>
        <v>0.73204982249993378</v>
      </c>
      <c r="AA341" s="4">
        <f t="shared" si="242"/>
        <v>0.65145592958786691</v>
      </c>
      <c r="AB341" s="4">
        <f t="shared" si="242"/>
        <v>0.56032247880849573</v>
      </c>
      <c r="AC341" s="4">
        <f t="shared" si="242"/>
        <v>0.46411326873185343</v>
      </c>
      <c r="AD341" s="4">
        <f t="shared" si="242"/>
        <v>0.36979727595523937</v>
      </c>
      <c r="AE341" s="4">
        <f t="shared" si="242"/>
        <v>0.28393948637231203</v>
      </c>
      <c r="AF341" s="4">
        <f t="shared" si="242"/>
        <v>0.21097259161117732</v>
      </c>
      <c r="AG341" s="4">
        <f t="shared" si="242"/>
        <v>0.15253917653798199</v>
      </c>
      <c r="AH341" s="4">
        <f t="shared" si="242"/>
        <v>0.10795188737709993</v>
      </c>
      <c r="AI341" s="4">
        <f t="shared" si="242"/>
        <v>7.5176653938091809E-2</v>
      </c>
      <c r="AJ341" s="4">
        <f t="shared" si="242"/>
        <v>5.1742836177502194E-2</v>
      </c>
      <c r="AK341" s="4">
        <f t="shared" si="242"/>
        <v>3.5319190625345942E-2</v>
      </c>
      <c r="AL341" s="4">
        <f t="shared" si="242"/>
        <v>2.3969442072658165E-2</v>
      </c>
      <c r="AM341" s="4">
        <f t="shared" si="242"/>
        <v>1.6202243558389728E-2</v>
      </c>
      <c r="AN341" s="4">
        <f t="shared" si="242"/>
        <v>1.0922240564108399E-2</v>
      </c>
      <c r="AO341" s="4">
        <f t="shared" si="242"/>
        <v>7.3493212906090566E-3</v>
      </c>
      <c r="AP341" s="4">
        <f t="shared" si="242"/>
        <v>4.9390262185057265E-3</v>
      </c>
      <c r="AQ341" s="4">
        <f t="shared" si="242"/>
        <v>3.3164275492956197E-3</v>
      </c>
      <c r="AR341" s="4">
        <f t="shared" si="242"/>
        <v>2.2256362146679809E-3</v>
      </c>
    </row>
    <row r="342" spans="1:44" x14ac:dyDescent="0.3">
      <c r="A342" s="24" t="s">
        <v>59</v>
      </c>
      <c r="B342" s="47">
        <f>'Parameter Input'!$L$105</f>
        <v>27.1614</v>
      </c>
      <c r="C342" s="48">
        <f>'Parameter Input'!$M$105</f>
        <v>27.1614</v>
      </c>
      <c r="D342" s="1" t="s">
        <v>60</v>
      </c>
      <c r="L342" s="54">
        <f>'Parameter Input'!$O$105</f>
        <v>12</v>
      </c>
      <c r="M342" s="37">
        <v>0</v>
      </c>
      <c r="N342" s="37">
        <v>1</v>
      </c>
      <c r="O342" s="37">
        <f>'Parameter Input'!$P$105</f>
        <v>0.9</v>
      </c>
      <c r="P342" s="55">
        <f>'Parameter Input'!$Q$105</f>
        <v>0.4</v>
      </c>
      <c r="Q342" s="4">
        <f t="shared" si="242"/>
        <v>0.9867978615748374</v>
      </c>
      <c r="R342" s="4">
        <f t="shared" si="242"/>
        <v>0.98114509762858249</v>
      </c>
      <c r="S342" s="4">
        <f t="shared" si="242"/>
        <v>0.97311898315872036</v>
      </c>
      <c r="T342" s="4">
        <f t="shared" si="242"/>
        <v>0.96177484161592774</v>
      </c>
      <c r="U342" s="4">
        <f t="shared" si="242"/>
        <v>0.94584787155511363</v>
      </c>
      <c r="V342" s="4">
        <f t="shared" si="242"/>
        <v>0.92370360150141495</v>
      </c>
      <c r="W342" s="4">
        <f t="shared" si="242"/>
        <v>0.89334463567658451</v>
      </c>
      <c r="X342" s="4">
        <f t="shared" si="242"/>
        <v>0.85254543874327005</v>
      </c>
      <c r="Y342" s="4">
        <f t="shared" si="242"/>
        <v>0.79921300652623883</v>
      </c>
      <c r="Z342" s="4">
        <f t="shared" si="242"/>
        <v>0.73204982249993378</v>
      </c>
      <c r="AA342" s="4">
        <f t="shared" si="242"/>
        <v>0.65145592958786691</v>
      </c>
      <c r="AB342" s="4">
        <f t="shared" si="242"/>
        <v>0.56032247880849573</v>
      </c>
      <c r="AC342" s="4">
        <f t="shared" si="242"/>
        <v>0.46411326873185343</v>
      </c>
      <c r="AD342" s="4">
        <f t="shared" si="242"/>
        <v>0.36979727595523937</v>
      </c>
      <c r="AE342" s="4">
        <f t="shared" si="242"/>
        <v>0.28393948637231203</v>
      </c>
      <c r="AF342" s="4">
        <f t="shared" si="242"/>
        <v>0.21097259161117732</v>
      </c>
      <c r="AG342" s="4">
        <f t="shared" si="242"/>
        <v>0.15253917653798199</v>
      </c>
      <c r="AH342" s="4">
        <f t="shared" si="242"/>
        <v>0.10795188737709993</v>
      </c>
      <c r="AI342" s="4">
        <f t="shared" si="242"/>
        <v>7.5176653938091809E-2</v>
      </c>
      <c r="AJ342" s="4">
        <f t="shared" si="242"/>
        <v>5.1742836177502194E-2</v>
      </c>
      <c r="AK342" s="4">
        <f t="shared" si="242"/>
        <v>3.5319190625345942E-2</v>
      </c>
      <c r="AL342" s="4">
        <f t="shared" si="242"/>
        <v>2.3969442072658165E-2</v>
      </c>
      <c r="AM342" s="4">
        <f t="shared" si="242"/>
        <v>1.6202243558389728E-2</v>
      </c>
      <c r="AN342" s="4">
        <f t="shared" si="242"/>
        <v>1.0922240564108399E-2</v>
      </c>
      <c r="AO342" s="4">
        <f t="shared" si="242"/>
        <v>7.3493212906090566E-3</v>
      </c>
      <c r="AP342" s="4">
        <f t="shared" si="242"/>
        <v>4.9390262185057265E-3</v>
      </c>
      <c r="AQ342" s="4">
        <f t="shared" si="242"/>
        <v>3.3164275492956197E-3</v>
      </c>
      <c r="AR342" s="4">
        <f t="shared" si="242"/>
        <v>2.2256362146679809E-3</v>
      </c>
    </row>
    <row r="343" spans="1:44" x14ac:dyDescent="0.3">
      <c r="A343" s="24" t="s">
        <v>67</v>
      </c>
      <c r="B343" s="45">
        <f>'Parameter Input'!$L$106</f>
        <v>9.2586511082899101E-2</v>
      </c>
      <c r="C343" s="46">
        <f>'Parameter Input'!$M$106</f>
        <v>7.3304790352502799E-2</v>
      </c>
      <c r="D343" s="1" t="s">
        <v>68</v>
      </c>
      <c r="L343" s="54">
        <f>'Parameter Input'!$O$106</f>
        <v>12</v>
      </c>
      <c r="M343" s="37">
        <v>0</v>
      </c>
      <c r="N343" s="37">
        <v>1</v>
      </c>
      <c r="O343" s="37">
        <f>'Parameter Input'!$P$106</f>
        <v>0.9</v>
      </c>
      <c r="P343" s="55">
        <f>'Parameter Input'!$Q$106</f>
        <v>0.4</v>
      </c>
      <c r="Q343" s="4">
        <f t="shared" si="242"/>
        <v>0.9867978615748374</v>
      </c>
      <c r="R343" s="4">
        <f t="shared" si="242"/>
        <v>0.98114509762858249</v>
      </c>
      <c r="S343" s="4">
        <f t="shared" si="242"/>
        <v>0.97311898315872036</v>
      </c>
      <c r="T343" s="4">
        <f t="shared" ref="T343:AI350" si="243">$N343+($M343-$N343)*((1/(1+EXP(-$P343*(T$9-$L343)))^$O343))</f>
        <v>0.96177484161592774</v>
      </c>
      <c r="U343" s="4">
        <f t="shared" si="243"/>
        <v>0.94584787155511363</v>
      </c>
      <c r="V343" s="4">
        <f t="shared" si="243"/>
        <v>0.92370360150141495</v>
      </c>
      <c r="W343" s="4">
        <f t="shared" si="243"/>
        <v>0.89334463567658451</v>
      </c>
      <c r="X343" s="4">
        <f t="shared" si="243"/>
        <v>0.85254543874327005</v>
      </c>
      <c r="Y343" s="4">
        <f t="shared" si="243"/>
        <v>0.79921300652623883</v>
      </c>
      <c r="Z343" s="4">
        <f t="shared" si="243"/>
        <v>0.73204982249993378</v>
      </c>
      <c r="AA343" s="4">
        <f t="shared" si="243"/>
        <v>0.65145592958786691</v>
      </c>
      <c r="AB343" s="4">
        <f t="shared" si="243"/>
        <v>0.56032247880849573</v>
      </c>
      <c r="AC343" s="4">
        <f t="shared" si="243"/>
        <v>0.46411326873185343</v>
      </c>
      <c r="AD343" s="4">
        <f t="shared" si="243"/>
        <v>0.36979727595523937</v>
      </c>
      <c r="AE343" s="4">
        <f t="shared" si="243"/>
        <v>0.28393948637231203</v>
      </c>
      <c r="AF343" s="4">
        <f t="shared" si="243"/>
        <v>0.21097259161117732</v>
      </c>
      <c r="AG343" s="4">
        <f t="shared" si="243"/>
        <v>0.15253917653798199</v>
      </c>
      <c r="AH343" s="4">
        <f t="shared" si="243"/>
        <v>0.10795188737709993</v>
      </c>
      <c r="AI343" s="4">
        <f t="shared" si="243"/>
        <v>7.5176653938091809E-2</v>
      </c>
      <c r="AJ343" s="4">
        <f t="shared" ref="AJ343:AR350" si="244">$N343+($M343-$N343)*((1/(1+EXP(-$P343*(AJ$9-$L343)))^$O343))</f>
        <v>5.1742836177502194E-2</v>
      </c>
      <c r="AK343" s="4">
        <f t="shared" si="244"/>
        <v>3.5319190625345942E-2</v>
      </c>
      <c r="AL343" s="4">
        <f t="shared" si="244"/>
        <v>2.3969442072658165E-2</v>
      </c>
      <c r="AM343" s="4">
        <f t="shared" si="244"/>
        <v>1.6202243558389728E-2</v>
      </c>
      <c r="AN343" s="4">
        <f t="shared" si="244"/>
        <v>1.0922240564108399E-2</v>
      </c>
      <c r="AO343" s="4">
        <f t="shared" si="244"/>
        <v>7.3493212906090566E-3</v>
      </c>
      <c r="AP343" s="4">
        <f t="shared" si="244"/>
        <v>4.9390262185057265E-3</v>
      </c>
      <c r="AQ343" s="4">
        <f t="shared" si="244"/>
        <v>3.3164275492956197E-3</v>
      </c>
      <c r="AR343" s="4">
        <f t="shared" si="244"/>
        <v>2.2256362146679809E-3</v>
      </c>
    </row>
    <row r="344" spans="1:44" x14ac:dyDescent="0.3">
      <c r="A344" s="24" t="s">
        <v>206</v>
      </c>
      <c r="B344" s="115">
        <f>'Parameter Input'!$L$109</f>
        <v>6.2900084210526327E-2</v>
      </c>
      <c r="C344" s="116">
        <f>'Parameter Input'!$M$109</f>
        <v>0</v>
      </c>
      <c r="D344" s="1" t="s">
        <v>76</v>
      </c>
      <c r="L344" s="54">
        <f>'Parameter Input'!$O$109</f>
        <v>17</v>
      </c>
      <c r="M344" s="37">
        <v>0</v>
      </c>
      <c r="N344" s="37">
        <v>1</v>
      </c>
      <c r="O344" s="37">
        <f>'Parameter Input'!$P$109</f>
        <v>0.9</v>
      </c>
      <c r="P344" s="55">
        <f>'Parameter Input'!$Q$109</f>
        <v>0.4</v>
      </c>
      <c r="Q344" s="4">
        <f t="shared" ref="Q344:AR344" si="245">$N344+($M344-$N344)*((1/(1+EXP(-$P344*(Q$9-$L344)))^$O344))</f>
        <v>0.99780374543478534</v>
      </c>
      <c r="R344" s="4">
        <f t="shared" si="245"/>
        <v>0.99685359315256394</v>
      </c>
      <c r="S344" s="4">
        <f t="shared" si="245"/>
        <v>0.99549347132349975</v>
      </c>
      <c r="T344" s="4">
        <f t="shared" si="245"/>
        <v>0.99354772139898062</v>
      </c>
      <c r="U344" s="4">
        <f t="shared" si="245"/>
        <v>0.99076681540580536</v>
      </c>
      <c r="V344" s="4">
        <f t="shared" si="245"/>
        <v>0.9867978615748374</v>
      </c>
      <c r="W344" s="4">
        <f t="shared" si="245"/>
        <v>0.98114509762858249</v>
      </c>
      <c r="X344" s="4">
        <f t="shared" si="245"/>
        <v>0.97311898315872036</v>
      </c>
      <c r="Y344" s="4">
        <f t="shared" si="245"/>
        <v>0.96177484161592774</v>
      </c>
      <c r="Z344" s="4">
        <f t="shared" si="245"/>
        <v>0.94584787155511363</v>
      </c>
      <c r="AA344" s="4">
        <f t="shared" si="245"/>
        <v>0.92370360150141495</v>
      </c>
      <c r="AB344" s="4">
        <f t="shared" si="245"/>
        <v>0.89334463567658451</v>
      </c>
      <c r="AC344" s="4">
        <f t="shared" si="245"/>
        <v>0.85254543874327005</v>
      </c>
      <c r="AD344" s="4">
        <f t="shared" si="245"/>
        <v>0.79921300652623883</v>
      </c>
      <c r="AE344" s="4">
        <f t="shared" si="245"/>
        <v>0.73204982249993378</v>
      </c>
      <c r="AF344" s="4">
        <f t="shared" si="245"/>
        <v>0.65145592958786691</v>
      </c>
      <c r="AG344" s="4">
        <f t="shared" si="245"/>
        <v>0.56032247880849573</v>
      </c>
      <c r="AH344" s="4">
        <f t="shared" si="245"/>
        <v>0.46411326873185343</v>
      </c>
      <c r="AI344" s="4">
        <f t="shared" si="245"/>
        <v>0.36979727595523937</v>
      </c>
      <c r="AJ344" s="4">
        <f t="shared" si="245"/>
        <v>0.28393948637231203</v>
      </c>
      <c r="AK344" s="4">
        <f t="shared" si="245"/>
        <v>0.21097259161117732</v>
      </c>
      <c r="AL344" s="4">
        <f t="shared" si="245"/>
        <v>0.15253917653798199</v>
      </c>
      <c r="AM344" s="4">
        <f t="shared" si="245"/>
        <v>0.10795188737709993</v>
      </c>
      <c r="AN344" s="4">
        <f t="shared" si="245"/>
        <v>7.5176653938091809E-2</v>
      </c>
      <c r="AO344" s="4">
        <f t="shared" si="245"/>
        <v>5.1742836177502194E-2</v>
      </c>
      <c r="AP344" s="4">
        <f t="shared" si="245"/>
        <v>3.5319190625345942E-2</v>
      </c>
      <c r="AQ344" s="4">
        <f t="shared" si="245"/>
        <v>2.3969442072658165E-2</v>
      </c>
      <c r="AR344" s="4">
        <f t="shared" si="245"/>
        <v>1.6202243558389728E-2</v>
      </c>
    </row>
    <row r="345" spans="1:44" x14ac:dyDescent="0.3">
      <c r="A345" s="24" t="s">
        <v>41</v>
      </c>
      <c r="B345" s="43">
        <f>'Parameter Input'!$L$103</f>
        <v>20</v>
      </c>
      <c r="C345" s="44">
        <f>'Parameter Input'!$M$103</f>
        <v>20</v>
      </c>
      <c r="D345" s="1" t="s">
        <v>42</v>
      </c>
      <c r="L345" s="54">
        <f>'Parameter Input'!$O$103</f>
        <v>12</v>
      </c>
      <c r="M345" s="37">
        <v>0</v>
      </c>
      <c r="N345" s="37">
        <v>1</v>
      </c>
      <c r="O345" s="37">
        <f>'Parameter Input'!$P$103</f>
        <v>0.9</v>
      </c>
      <c r="P345" s="55">
        <f>'Parameter Input'!$Q$103</f>
        <v>0.4</v>
      </c>
      <c r="Q345" s="4">
        <f t="shared" ref="Q345:AF350" si="246">$N345+($M345-$N345)*((1/(1+EXP(-$P345*(Q$9-$L345)))^$O345))</f>
        <v>0.9867978615748374</v>
      </c>
      <c r="R345" s="4">
        <f t="shared" si="246"/>
        <v>0.98114509762858249</v>
      </c>
      <c r="S345" s="4">
        <f t="shared" si="246"/>
        <v>0.97311898315872036</v>
      </c>
      <c r="T345" s="4">
        <f t="shared" si="246"/>
        <v>0.96177484161592774</v>
      </c>
      <c r="U345" s="4">
        <f t="shared" si="246"/>
        <v>0.94584787155511363</v>
      </c>
      <c r="V345" s="4">
        <f t="shared" si="246"/>
        <v>0.92370360150141495</v>
      </c>
      <c r="W345" s="4">
        <f t="shared" si="246"/>
        <v>0.89334463567658451</v>
      </c>
      <c r="X345" s="4">
        <f t="shared" si="246"/>
        <v>0.85254543874327005</v>
      </c>
      <c r="Y345" s="4">
        <f t="shared" si="246"/>
        <v>0.79921300652623883</v>
      </c>
      <c r="Z345" s="4">
        <f t="shared" si="246"/>
        <v>0.73204982249993378</v>
      </c>
      <c r="AA345" s="4">
        <f t="shared" si="246"/>
        <v>0.65145592958786691</v>
      </c>
      <c r="AB345" s="4">
        <f t="shared" si="246"/>
        <v>0.56032247880849573</v>
      </c>
      <c r="AC345" s="4">
        <f t="shared" si="246"/>
        <v>0.46411326873185343</v>
      </c>
      <c r="AD345" s="4">
        <f t="shared" si="246"/>
        <v>0.36979727595523937</v>
      </c>
      <c r="AE345" s="4">
        <f t="shared" si="246"/>
        <v>0.28393948637231203</v>
      </c>
      <c r="AF345" s="4">
        <f t="shared" si="246"/>
        <v>0.21097259161117732</v>
      </c>
      <c r="AG345" s="4">
        <f t="shared" si="243"/>
        <v>0.15253917653798199</v>
      </c>
      <c r="AH345" s="4">
        <f t="shared" si="243"/>
        <v>0.10795188737709993</v>
      </c>
      <c r="AI345" s="4">
        <f t="shared" si="243"/>
        <v>7.5176653938091809E-2</v>
      </c>
      <c r="AJ345" s="4">
        <f t="shared" si="244"/>
        <v>5.1742836177502194E-2</v>
      </c>
      <c r="AK345" s="4">
        <f t="shared" si="244"/>
        <v>3.5319190625345942E-2</v>
      </c>
      <c r="AL345" s="4">
        <f t="shared" si="244"/>
        <v>2.3969442072658165E-2</v>
      </c>
      <c r="AM345" s="4">
        <f t="shared" si="244"/>
        <v>1.6202243558389728E-2</v>
      </c>
      <c r="AN345" s="4">
        <f t="shared" si="244"/>
        <v>1.0922240564108399E-2</v>
      </c>
      <c r="AO345" s="4">
        <f t="shared" si="244"/>
        <v>7.3493212906090566E-3</v>
      </c>
      <c r="AP345" s="4">
        <f t="shared" si="244"/>
        <v>4.9390262185057265E-3</v>
      </c>
      <c r="AQ345" s="4">
        <f t="shared" si="244"/>
        <v>3.3164275492956197E-3</v>
      </c>
      <c r="AR345" s="4">
        <f t="shared" si="244"/>
        <v>2.2256362146679809E-3</v>
      </c>
    </row>
    <row r="346" spans="1:44" x14ac:dyDescent="0.3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46"/>
        <v>0.9867978615748374</v>
      </c>
      <c r="R346" s="4">
        <f t="shared" si="246"/>
        <v>0.98114509762858249</v>
      </c>
      <c r="S346" s="4">
        <f t="shared" si="246"/>
        <v>0.97311898315872036</v>
      </c>
      <c r="T346" s="4">
        <f t="shared" si="246"/>
        <v>0.96177484161592774</v>
      </c>
      <c r="U346" s="4">
        <f t="shared" si="246"/>
        <v>0.94584787155511363</v>
      </c>
      <c r="V346" s="4">
        <f t="shared" si="246"/>
        <v>0.92370360150141495</v>
      </c>
      <c r="W346" s="4">
        <f t="shared" si="246"/>
        <v>0.89334463567658451</v>
      </c>
      <c r="X346" s="4">
        <f t="shared" si="246"/>
        <v>0.85254543874327005</v>
      </c>
      <c r="Y346" s="4">
        <f t="shared" si="246"/>
        <v>0.79921300652623883</v>
      </c>
      <c r="Z346" s="4">
        <f t="shared" si="246"/>
        <v>0.73204982249993378</v>
      </c>
      <c r="AA346" s="4">
        <f t="shared" si="246"/>
        <v>0.65145592958786691</v>
      </c>
      <c r="AB346" s="4">
        <f t="shared" si="246"/>
        <v>0.56032247880849573</v>
      </c>
      <c r="AC346" s="4">
        <f t="shared" si="246"/>
        <v>0.46411326873185343</v>
      </c>
      <c r="AD346" s="4">
        <f t="shared" si="246"/>
        <v>0.36979727595523937</v>
      </c>
      <c r="AE346" s="4">
        <f t="shared" si="246"/>
        <v>0.28393948637231203</v>
      </c>
      <c r="AF346" s="4">
        <f t="shared" si="246"/>
        <v>0.21097259161117732</v>
      </c>
      <c r="AG346" s="4">
        <f t="shared" si="243"/>
        <v>0.15253917653798199</v>
      </c>
      <c r="AH346" s="4">
        <f t="shared" si="243"/>
        <v>0.10795188737709993</v>
      </c>
      <c r="AI346" s="4">
        <f t="shared" si="243"/>
        <v>7.5176653938091809E-2</v>
      </c>
      <c r="AJ346" s="4">
        <f t="shared" si="244"/>
        <v>5.1742836177502194E-2</v>
      </c>
      <c r="AK346" s="4">
        <f t="shared" si="244"/>
        <v>3.5319190625345942E-2</v>
      </c>
      <c r="AL346" s="4">
        <f t="shared" si="244"/>
        <v>2.3969442072658165E-2</v>
      </c>
      <c r="AM346" s="4">
        <f t="shared" si="244"/>
        <v>1.6202243558389728E-2</v>
      </c>
      <c r="AN346" s="4">
        <f t="shared" si="244"/>
        <v>1.0922240564108399E-2</v>
      </c>
      <c r="AO346" s="4">
        <f t="shared" si="244"/>
        <v>7.3493212906090566E-3</v>
      </c>
      <c r="AP346" s="4">
        <f t="shared" si="244"/>
        <v>4.9390262185057265E-3</v>
      </c>
      <c r="AQ346" s="4">
        <f t="shared" si="244"/>
        <v>3.3164275492956197E-3</v>
      </c>
      <c r="AR346" s="4">
        <f t="shared" si="244"/>
        <v>2.2256362146679809E-3</v>
      </c>
    </row>
    <row r="347" spans="1:44" x14ac:dyDescent="0.3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46"/>
        <v>0.9867978615748374</v>
      </c>
      <c r="R347" s="4">
        <f t="shared" si="246"/>
        <v>0.98114509762858249</v>
      </c>
      <c r="S347" s="4">
        <f t="shared" si="246"/>
        <v>0.97311898315872036</v>
      </c>
      <c r="T347" s="4">
        <f t="shared" si="246"/>
        <v>0.96177484161592774</v>
      </c>
      <c r="U347" s="4">
        <f t="shared" si="246"/>
        <v>0.94584787155511363</v>
      </c>
      <c r="V347" s="4">
        <f t="shared" si="246"/>
        <v>0.92370360150141495</v>
      </c>
      <c r="W347" s="4">
        <f t="shared" si="246"/>
        <v>0.89334463567658451</v>
      </c>
      <c r="X347" s="4">
        <f t="shared" si="246"/>
        <v>0.85254543874327005</v>
      </c>
      <c r="Y347" s="4">
        <f t="shared" si="246"/>
        <v>0.79921300652623883</v>
      </c>
      <c r="Z347" s="4">
        <f t="shared" si="246"/>
        <v>0.73204982249993378</v>
      </c>
      <c r="AA347" s="4">
        <f t="shared" si="246"/>
        <v>0.65145592958786691</v>
      </c>
      <c r="AB347" s="4">
        <f t="shared" si="246"/>
        <v>0.56032247880849573</v>
      </c>
      <c r="AC347" s="4">
        <f t="shared" si="246"/>
        <v>0.46411326873185343</v>
      </c>
      <c r="AD347" s="4">
        <f t="shared" si="246"/>
        <v>0.36979727595523937</v>
      </c>
      <c r="AE347" s="4">
        <f t="shared" si="246"/>
        <v>0.28393948637231203</v>
      </c>
      <c r="AF347" s="4">
        <f t="shared" si="246"/>
        <v>0.21097259161117732</v>
      </c>
      <c r="AG347" s="4">
        <f t="shared" si="243"/>
        <v>0.15253917653798199</v>
      </c>
      <c r="AH347" s="4">
        <f t="shared" si="243"/>
        <v>0.10795188737709993</v>
      </c>
      <c r="AI347" s="4">
        <f t="shared" si="243"/>
        <v>7.5176653938091809E-2</v>
      </c>
      <c r="AJ347" s="4">
        <f t="shared" si="244"/>
        <v>5.1742836177502194E-2</v>
      </c>
      <c r="AK347" s="4">
        <f t="shared" si="244"/>
        <v>3.5319190625345942E-2</v>
      </c>
      <c r="AL347" s="4">
        <f t="shared" si="244"/>
        <v>2.3969442072658165E-2</v>
      </c>
      <c r="AM347" s="4">
        <f t="shared" si="244"/>
        <v>1.6202243558389728E-2</v>
      </c>
      <c r="AN347" s="4">
        <f t="shared" si="244"/>
        <v>1.0922240564108399E-2</v>
      </c>
      <c r="AO347" s="4">
        <f t="shared" si="244"/>
        <v>7.3493212906090566E-3</v>
      </c>
      <c r="AP347" s="4">
        <f t="shared" si="244"/>
        <v>4.9390262185057265E-3</v>
      </c>
      <c r="AQ347" s="4">
        <f t="shared" si="244"/>
        <v>3.3164275492956197E-3</v>
      </c>
      <c r="AR347" s="4">
        <f t="shared" si="244"/>
        <v>2.2256362146679809E-3</v>
      </c>
    </row>
    <row r="348" spans="1:44" x14ac:dyDescent="0.3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46"/>
        <v>0.9867978615748374</v>
      </c>
      <c r="R348" s="4">
        <f t="shared" si="246"/>
        <v>0.98114509762858249</v>
      </c>
      <c r="S348" s="4">
        <f t="shared" si="246"/>
        <v>0.97311898315872036</v>
      </c>
      <c r="T348" s="4">
        <f t="shared" si="246"/>
        <v>0.96177484161592774</v>
      </c>
      <c r="U348" s="4">
        <f t="shared" si="246"/>
        <v>0.94584787155511363</v>
      </c>
      <c r="V348" s="4">
        <f t="shared" si="246"/>
        <v>0.92370360150141495</v>
      </c>
      <c r="W348" s="4">
        <f t="shared" si="246"/>
        <v>0.89334463567658451</v>
      </c>
      <c r="X348" s="4">
        <f t="shared" si="246"/>
        <v>0.85254543874327005</v>
      </c>
      <c r="Y348" s="4">
        <f t="shared" si="246"/>
        <v>0.79921300652623883</v>
      </c>
      <c r="Z348" s="4">
        <f t="shared" si="246"/>
        <v>0.73204982249993378</v>
      </c>
      <c r="AA348" s="4">
        <f t="shared" si="246"/>
        <v>0.65145592958786691</v>
      </c>
      <c r="AB348" s="4">
        <f t="shared" si="246"/>
        <v>0.56032247880849573</v>
      </c>
      <c r="AC348" s="4">
        <f t="shared" si="246"/>
        <v>0.46411326873185343</v>
      </c>
      <c r="AD348" s="4">
        <f t="shared" si="246"/>
        <v>0.36979727595523937</v>
      </c>
      <c r="AE348" s="4">
        <f t="shared" si="246"/>
        <v>0.28393948637231203</v>
      </c>
      <c r="AF348" s="4">
        <f t="shared" si="246"/>
        <v>0.21097259161117732</v>
      </c>
      <c r="AG348" s="4">
        <f t="shared" si="243"/>
        <v>0.15253917653798199</v>
      </c>
      <c r="AH348" s="4">
        <f t="shared" si="243"/>
        <v>0.10795188737709993</v>
      </c>
      <c r="AI348" s="4">
        <f t="shared" si="243"/>
        <v>7.5176653938091809E-2</v>
      </c>
      <c r="AJ348" s="4">
        <f t="shared" si="244"/>
        <v>5.1742836177502194E-2</v>
      </c>
      <c r="AK348" s="4">
        <f t="shared" si="244"/>
        <v>3.5319190625345942E-2</v>
      </c>
      <c r="AL348" s="4">
        <f t="shared" si="244"/>
        <v>2.3969442072658165E-2</v>
      </c>
      <c r="AM348" s="4">
        <f t="shared" si="244"/>
        <v>1.6202243558389728E-2</v>
      </c>
      <c r="AN348" s="4">
        <f t="shared" si="244"/>
        <v>1.0922240564108399E-2</v>
      </c>
      <c r="AO348" s="4">
        <f t="shared" si="244"/>
        <v>7.3493212906090566E-3</v>
      </c>
      <c r="AP348" s="4">
        <f t="shared" si="244"/>
        <v>4.9390262185057265E-3</v>
      </c>
      <c r="AQ348" s="4">
        <f t="shared" si="244"/>
        <v>3.3164275492956197E-3</v>
      </c>
      <c r="AR348" s="4">
        <f t="shared" si="244"/>
        <v>2.2256362146679809E-3</v>
      </c>
    </row>
    <row r="349" spans="1:44" x14ac:dyDescent="0.3">
      <c r="A349" s="24" t="s">
        <v>73</v>
      </c>
      <c r="B349" s="72">
        <f>'Parameter Input'!$L$107</f>
        <v>3.5714285714285712E-2</v>
      </c>
      <c r="C349" s="73">
        <f>'Parameter Input'!$M$107</f>
        <v>1.7857142857142856E-2</v>
      </c>
      <c r="D349" s="1" t="s">
        <v>57</v>
      </c>
      <c r="L349" s="54">
        <f>'Parameter Input'!$O$107</f>
        <v>12</v>
      </c>
      <c r="M349" s="37">
        <v>0</v>
      </c>
      <c r="N349" s="37">
        <v>1</v>
      </c>
      <c r="O349" s="37">
        <f>'Parameter Input'!$P$107</f>
        <v>0.9</v>
      </c>
      <c r="P349" s="55">
        <f>'Parameter Input'!$Q$107</f>
        <v>0.4</v>
      </c>
      <c r="Q349" s="4">
        <f t="shared" si="246"/>
        <v>0.9867978615748374</v>
      </c>
      <c r="R349" s="4">
        <f t="shared" si="246"/>
        <v>0.98114509762858249</v>
      </c>
      <c r="S349" s="4">
        <f t="shared" si="246"/>
        <v>0.97311898315872036</v>
      </c>
      <c r="T349" s="4">
        <f t="shared" si="246"/>
        <v>0.96177484161592774</v>
      </c>
      <c r="U349" s="4">
        <f t="shared" si="246"/>
        <v>0.94584787155511363</v>
      </c>
      <c r="V349" s="4">
        <f t="shared" si="246"/>
        <v>0.92370360150141495</v>
      </c>
      <c r="W349" s="4">
        <f t="shared" si="246"/>
        <v>0.89334463567658451</v>
      </c>
      <c r="X349" s="4">
        <f t="shared" si="246"/>
        <v>0.85254543874327005</v>
      </c>
      <c r="Y349" s="4">
        <f t="shared" si="246"/>
        <v>0.79921300652623883</v>
      </c>
      <c r="Z349" s="4">
        <f t="shared" si="246"/>
        <v>0.73204982249993378</v>
      </c>
      <c r="AA349" s="4">
        <f t="shared" si="246"/>
        <v>0.65145592958786691</v>
      </c>
      <c r="AB349" s="4">
        <f t="shared" si="246"/>
        <v>0.56032247880849573</v>
      </c>
      <c r="AC349" s="4">
        <f t="shared" si="246"/>
        <v>0.46411326873185343</v>
      </c>
      <c r="AD349" s="4">
        <f t="shared" si="246"/>
        <v>0.36979727595523937</v>
      </c>
      <c r="AE349" s="4">
        <f t="shared" si="246"/>
        <v>0.28393948637231203</v>
      </c>
      <c r="AF349" s="4">
        <f t="shared" si="246"/>
        <v>0.21097259161117732</v>
      </c>
      <c r="AG349" s="4">
        <f t="shared" si="243"/>
        <v>0.15253917653798199</v>
      </c>
      <c r="AH349" s="4">
        <f t="shared" si="243"/>
        <v>0.10795188737709993</v>
      </c>
      <c r="AI349" s="4">
        <f t="shared" si="243"/>
        <v>7.5176653938091809E-2</v>
      </c>
      <c r="AJ349" s="4">
        <f t="shared" si="244"/>
        <v>5.1742836177502194E-2</v>
      </c>
      <c r="AK349" s="4">
        <f t="shared" si="244"/>
        <v>3.5319190625345942E-2</v>
      </c>
      <c r="AL349" s="4">
        <f t="shared" si="244"/>
        <v>2.3969442072658165E-2</v>
      </c>
      <c r="AM349" s="4">
        <f t="shared" si="244"/>
        <v>1.6202243558389728E-2</v>
      </c>
      <c r="AN349" s="4">
        <f t="shared" si="244"/>
        <v>1.0922240564108399E-2</v>
      </c>
      <c r="AO349" s="4">
        <f t="shared" si="244"/>
        <v>7.3493212906090566E-3</v>
      </c>
      <c r="AP349" s="4">
        <f t="shared" si="244"/>
        <v>4.9390262185057265E-3</v>
      </c>
      <c r="AQ349" s="4">
        <f t="shared" si="244"/>
        <v>3.3164275492956197E-3</v>
      </c>
      <c r="AR349" s="4">
        <f t="shared" si="244"/>
        <v>2.2256362146679809E-3</v>
      </c>
    </row>
    <row r="350" spans="1:44" ht="15" thickBot="1" x14ac:dyDescent="0.35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46"/>
        <v>0.9867978615748374</v>
      </c>
      <c r="R350" s="4">
        <f t="shared" si="246"/>
        <v>0.98114509762858249</v>
      </c>
      <c r="S350" s="4">
        <f t="shared" si="246"/>
        <v>0.97311898315872036</v>
      </c>
      <c r="T350" s="4">
        <f t="shared" si="246"/>
        <v>0.96177484161592774</v>
      </c>
      <c r="U350" s="4">
        <f t="shared" si="246"/>
        <v>0.94584787155511363</v>
      </c>
      <c r="V350" s="4">
        <f t="shared" si="246"/>
        <v>0.92370360150141495</v>
      </c>
      <c r="W350" s="4">
        <f t="shared" si="246"/>
        <v>0.89334463567658451</v>
      </c>
      <c r="X350" s="4">
        <f t="shared" si="246"/>
        <v>0.85254543874327005</v>
      </c>
      <c r="Y350" s="4">
        <f t="shared" si="246"/>
        <v>0.79921300652623883</v>
      </c>
      <c r="Z350" s="4">
        <f t="shared" si="246"/>
        <v>0.73204982249993378</v>
      </c>
      <c r="AA350" s="4">
        <f t="shared" si="246"/>
        <v>0.65145592958786691</v>
      </c>
      <c r="AB350" s="4">
        <f t="shared" si="246"/>
        <v>0.56032247880849573</v>
      </c>
      <c r="AC350" s="4">
        <f t="shared" si="246"/>
        <v>0.46411326873185343</v>
      </c>
      <c r="AD350" s="4">
        <f t="shared" si="246"/>
        <v>0.36979727595523937</v>
      </c>
      <c r="AE350" s="4">
        <f t="shared" si="246"/>
        <v>0.28393948637231203</v>
      </c>
      <c r="AF350" s="4">
        <f t="shared" si="246"/>
        <v>0.21097259161117732</v>
      </c>
      <c r="AG350" s="4">
        <f t="shared" si="243"/>
        <v>0.15253917653798199</v>
      </c>
      <c r="AH350" s="4">
        <f t="shared" si="243"/>
        <v>0.10795188737709993</v>
      </c>
      <c r="AI350" s="4">
        <f t="shared" si="243"/>
        <v>7.5176653938091809E-2</v>
      </c>
      <c r="AJ350" s="4">
        <f t="shared" si="244"/>
        <v>5.1742836177502194E-2</v>
      </c>
      <c r="AK350" s="4">
        <f t="shared" si="244"/>
        <v>3.5319190625345942E-2</v>
      </c>
      <c r="AL350" s="4">
        <f t="shared" si="244"/>
        <v>2.3969442072658165E-2</v>
      </c>
      <c r="AM350" s="4">
        <f t="shared" si="244"/>
        <v>1.6202243558389728E-2</v>
      </c>
      <c r="AN350" s="4">
        <f t="shared" si="244"/>
        <v>1.0922240564108399E-2</v>
      </c>
      <c r="AO350" s="4">
        <f t="shared" si="244"/>
        <v>7.3493212906090566E-3</v>
      </c>
      <c r="AP350" s="4">
        <f t="shared" si="244"/>
        <v>4.9390262185057265E-3</v>
      </c>
      <c r="AQ350" s="4">
        <f t="shared" si="244"/>
        <v>3.3164275492956197E-3</v>
      </c>
      <c r="AR350" s="4">
        <f t="shared" si="244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47">A334</f>
        <v>Capex vehicle</v>
      </c>
      <c r="B354" s="62">
        <f t="shared" ref="B354:B363" si="248">$B334+($C334-$B334)*(1-Q334)</f>
        <v>9950491.9809056409</v>
      </c>
      <c r="C354" s="62">
        <f t="shared" ref="C354:C363" si="249">$B334+($C334-$B334)*(1-R334)</f>
        <v>9929294.1161071844</v>
      </c>
      <c r="D354" s="62">
        <f t="shared" ref="D354:D363" si="250">$B334+($C334-$B334)*(1-S334)</f>
        <v>9899196.186845202</v>
      </c>
      <c r="E354" s="62">
        <f t="shared" ref="E354:E363" si="251">$B334+($C334-$B334)*(1-T334)</f>
        <v>9856655.6560597289</v>
      </c>
      <c r="F354" s="62">
        <f t="shared" ref="F354:F363" si="252">$B334+($C334-$B334)*(1-U334)</f>
        <v>9796929.5183316767</v>
      </c>
      <c r="G354" s="62">
        <f t="shared" ref="G354:G363" si="253">$B334+($C334-$B334)*(1-V334)</f>
        <v>9713888.5056303069</v>
      </c>
      <c r="H354" s="62">
        <f t="shared" ref="H354:H363" si="254">$B334+($C334-$B334)*(1-W334)</f>
        <v>9600042.3837871924</v>
      </c>
      <c r="I354" s="62">
        <f t="shared" ref="I354:I363" si="255">$B334+($C334-$B334)*(1-X334)</f>
        <v>9447045.3952872623</v>
      </c>
      <c r="J354" s="62">
        <f t="shared" ref="J354:J363" si="256">$B334+($C334-$B334)*(1-Y334)</f>
        <v>9247048.7744733952</v>
      </c>
      <c r="K354" s="62">
        <f t="shared" ref="K354:K363" si="257">$B334+($C334-$B334)*(1-Z334)</f>
        <v>8995186.8343747519</v>
      </c>
      <c r="L354" s="62">
        <f t="shared" ref="L354:L363" si="258">$B334+($C334-$B334)*(1-AA334)</f>
        <v>8692959.7359545007</v>
      </c>
      <c r="M354" s="62">
        <f t="shared" ref="M354:M363" si="259">$B334+($C334-$B334)*(1-AB334)</f>
        <v>8351209.2955318587</v>
      </c>
      <c r="N354" s="62">
        <f t="shared" ref="N354:N363" si="260">$B334+($C334-$B334)*(1-AC334)</f>
        <v>7990424.7577444501</v>
      </c>
      <c r="O354" s="62">
        <f t="shared" ref="O354:O363" si="261">$B334+($C334-$B334)*(1-AD334)</f>
        <v>7636739.7848321479</v>
      </c>
      <c r="P354" s="62">
        <f t="shared" ref="P354:P363" si="262">$B334+($C334-$B334)*(1-AE334)</f>
        <v>7314773.0738961697</v>
      </c>
      <c r="Q354" s="62">
        <f t="shared" ref="Q354:Q363" si="263">$B334+($C334-$B334)*(1-AF334)</f>
        <v>7041147.2185419146</v>
      </c>
      <c r="R354" s="62">
        <f t="shared" ref="R354:R363" si="264">$B334+($C334-$B334)*(1-AG334)</f>
        <v>6822021.912017433</v>
      </c>
      <c r="S354" s="62">
        <f t="shared" ref="S354:S363" si="265">$B334+($C334-$B334)*(1-AH334)</f>
        <v>6654819.5776641248</v>
      </c>
      <c r="T354" s="62">
        <f t="shared" ref="T354:T363" si="266">$B334+($C334-$B334)*(1-AI334)</f>
        <v>6531912.4522678442</v>
      </c>
      <c r="U354" s="62">
        <f t="shared" ref="U354:U363" si="267">$B334+($C334-$B334)*(1-AJ334)</f>
        <v>6444035.6356656328</v>
      </c>
      <c r="V354" s="62">
        <f t="shared" ref="V354:V363" si="268">$B334+($C334-$B334)*(1-AK334)</f>
        <v>6382446.9648450473</v>
      </c>
      <c r="W354" s="62">
        <f t="shared" ref="W354:W363" si="269">$B334+($C334-$B334)*(1-AL334)</f>
        <v>6339885.4077724684</v>
      </c>
      <c r="X354" s="62">
        <f t="shared" ref="X354:X363" si="270">$B334+($C334-$B334)*(1-AM334)</f>
        <v>6310758.4133439614</v>
      </c>
      <c r="Y354" s="62">
        <f t="shared" ref="Y354:Y363" si="271">$B334+($C334-$B334)*(1-AN334)</f>
        <v>6290958.4021154065</v>
      </c>
      <c r="Z354" s="62">
        <f t="shared" ref="Z354:Z363" si="272">$B334+($C334-$B334)*(1-AO334)</f>
        <v>6277559.9548397847</v>
      </c>
      <c r="AA354" s="62">
        <f t="shared" ref="AA354:AA363" si="273">$B334+($C334-$B334)*(1-AP334)</f>
        <v>6268521.3483193964</v>
      </c>
      <c r="AB354" s="62">
        <f t="shared" ref="AB354:AB363" si="274">$B334+($C334-$B334)*(1-AQ334)</f>
        <v>6262436.6033098586</v>
      </c>
      <c r="AC354" s="62">
        <f t="shared" ref="AC354:AC363" si="275">$B334+($C334-$B334)*(1-AR334)</f>
        <v>6258346.1358050052</v>
      </c>
    </row>
    <row r="355" spans="1:29" x14ac:dyDescent="0.3">
      <c r="A355" s="30" t="str">
        <f t="shared" si="247"/>
        <v>Residual value (vehicle)</v>
      </c>
      <c r="B355" s="62">
        <f t="shared" si="248"/>
        <v>-505775.93556100863</v>
      </c>
      <c r="C355" s="62">
        <f t="shared" si="249"/>
        <v>-508249.01978749514</v>
      </c>
      <c r="D355" s="62">
        <f t="shared" si="250"/>
        <v>-511760.44486805983</v>
      </c>
      <c r="E355" s="62">
        <f t="shared" si="251"/>
        <v>-516723.50679303159</v>
      </c>
      <c r="F355" s="62">
        <f t="shared" si="252"/>
        <v>-523691.55619463779</v>
      </c>
      <c r="G355" s="62">
        <f t="shared" si="253"/>
        <v>-533379.67434313102</v>
      </c>
      <c r="H355" s="62">
        <f t="shared" si="254"/>
        <v>-546661.72189149424</v>
      </c>
      <c r="I355" s="62">
        <f t="shared" si="255"/>
        <v>-564511.37054981932</v>
      </c>
      <c r="J355" s="62">
        <f t="shared" si="256"/>
        <v>-587844.30964477046</v>
      </c>
      <c r="K355" s="62">
        <f t="shared" si="257"/>
        <v>-617228.20265627897</v>
      </c>
      <c r="L355" s="62">
        <f t="shared" si="258"/>
        <v>-652488.03080530826</v>
      </c>
      <c r="M355" s="62">
        <f t="shared" si="259"/>
        <v>-692358.91552128317</v>
      </c>
      <c r="N355" s="62">
        <f t="shared" si="260"/>
        <v>-734450.44492981408</v>
      </c>
      <c r="O355" s="62">
        <f t="shared" si="261"/>
        <v>-775713.6917695828</v>
      </c>
      <c r="P355" s="62">
        <f t="shared" si="262"/>
        <v>-813276.4747121135</v>
      </c>
      <c r="Q355" s="62">
        <f t="shared" si="263"/>
        <v>-845199.49117010995</v>
      </c>
      <c r="R355" s="62">
        <f t="shared" si="264"/>
        <v>-870764.11026463285</v>
      </c>
      <c r="S355" s="62">
        <f t="shared" si="265"/>
        <v>-890271.04927251884</v>
      </c>
      <c r="T355" s="62">
        <f t="shared" si="266"/>
        <v>-904610.21390208486</v>
      </c>
      <c r="U355" s="62">
        <f t="shared" si="267"/>
        <v>-914862.50917234272</v>
      </c>
      <c r="V355" s="62">
        <f t="shared" si="268"/>
        <v>-922047.85410141107</v>
      </c>
      <c r="W355" s="62">
        <f t="shared" si="269"/>
        <v>-927013.36909321207</v>
      </c>
      <c r="X355" s="62">
        <f t="shared" si="270"/>
        <v>-930411.51844320446</v>
      </c>
      <c r="Y355" s="62">
        <f t="shared" si="271"/>
        <v>-932721.51975320256</v>
      </c>
      <c r="Z355" s="62">
        <f t="shared" si="272"/>
        <v>-934284.67193535855</v>
      </c>
      <c r="AA355" s="62">
        <f t="shared" si="273"/>
        <v>-935339.17602940369</v>
      </c>
      <c r="AB355" s="62">
        <f t="shared" si="274"/>
        <v>-936049.06294718315</v>
      </c>
      <c r="AC355" s="62">
        <f t="shared" si="275"/>
        <v>-936526.28415608278</v>
      </c>
    </row>
    <row r="356" spans="1:29" x14ac:dyDescent="0.3">
      <c r="A356" s="30" t="str">
        <f t="shared" si="247"/>
        <v>Capex costumization</v>
      </c>
      <c r="B356" s="62">
        <f t="shared" si="248"/>
        <v>4200000</v>
      </c>
      <c r="C356" s="62">
        <f t="shared" si="249"/>
        <v>4200000</v>
      </c>
      <c r="D356" s="62">
        <f t="shared" si="250"/>
        <v>4200000</v>
      </c>
      <c r="E356" s="62">
        <f t="shared" si="251"/>
        <v>4200000</v>
      </c>
      <c r="F356" s="62">
        <f t="shared" si="252"/>
        <v>4200000</v>
      </c>
      <c r="G356" s="62">
        <f t="shared" si="253"/>
        <v>4200000</v>
      </c>
      <c r="H356" s="62">
        <f t="shared" si="254"/>
        <v>4200000</v>
      </c>
      <c r="I356" s="62">
        <f t="shared" si="255"/>
        <v>4200000</v>
      </c>
      <c r="J356" s="62">
        <f t="shared" si="256"/>
        <v>4200000</v>
      </c>
      <c r="K356" s="62">
        <f t="shared" si="257"/>
        <v>4200000</v>
      </c>
      <c r="L356" s="62">
        <f t="shared" si="258"/>
        <v>4200000</v>
      </c>
      <c r="M356" s="62">
        <f t="shared" si="259"/>
        <v>4200000</v>
      </c>
      <c r="N356" s="62">
        <f t="shared" si="260"/>
        <v>4200000</v>
      </c>
      <c r="O356" s="62">
        <f t="shared" si="261"/>
        <v>4200000</v>
      </c>
      <c r="P356" s="62">
        <f t="shared" si="262"/>
        <v>4200000</v>
      </c>
      <c r="Q356" s="62">
        <f t="shared" si="263"/>
        <v>4200000</v>
      </c>
      <c r="R356" s="62">
        <f t="shared" si="264"/>
        <v>4200000</v>
      </c>
      <c r="S356" s="62">
        <f t="shared" si="265"/>
        <v>4200000</v>
      </c>
      <c r="T356" s="62">
        <f t="shared" si="266"/>
        <v>4200000</v>
      </c>
      <c r="U356" s="62">
        <f t="shared" si="267"/>
        <v>4200000</v>
      </c>
      <c r="V356" s="62">
        <f t="shared" si="268"/>
        <v>4200000</v>
      </c>
      <c r="W356" s="62">
        <f t="shared" si="269"/>
        <v>4200000</v>
      </c>
      <c r="X356" s="62">
        <f t="shared" si="270"/>
        <v>4200000</v>
      </c>
      <c r="Y356" s="62">
        <f t="shared" si="271"/>
        <v>4200000</v>
      </c>
      <c r="Z356" s="62">
        <f t="shared" si="272"/>
        <v>4200000</v>
      </c>
      <c r="AA356" s="62">
        <f t="shared" si="273"/>
        <v>4200000</v>
      </c>
      <c r="AB356" s="62">
        <f t="shared" si="274"/>
        <v>4200000</v>
      </c>
      <c r="AC356" s="62">
        <f t="shared" si="275"/>
        <v>4200000</v>
      </c>
    </row>
    <row r="357" spans="1:29" x14ac:dyDescent="0.3">
      <c r="A357" s="30" t="str">
        <f t="shared" si="247"/>
        <v>Residual value (costumization)</v>
      </c>
      <c r="B357" s="62">
        <f t="shared" si="248"/>
        <v>-210000</v>
      </c>
      <c r="C357" s="62">
        <f t="shared" si="249"/>
        <v>-210000</v>
      </c>
      <c r="D357" s="62">
        <f t="shared" si="250"/>
        <v>-210000</v>
      </c>
      <c r="E357" s="62">
        <f t="shared" si="251"/>
        <v>-210000</v>
      </c>
      <c r="F357" s="62">
        <f t="shared" si="252"/>
        <v>-210000</v>
      </c>
      <c r="G357" s="62">
        <f t="shared" si="253"/>
        <v>-210000</v>
      </c>
      <c r="H357" s="62">
        <f t="shared" si="254"/>
        <v>-210000</v>
      </c>
      <c r="I357" s="62">
        <f t="shared" si="255"/>
        <v>-210000</v>
      </c>
      <c r="J357" s="62">
        <f t="shared" si="256"/>
        <v>-210000</v>
      </c>
      <c r="K357" s="62">
        <f t="shared" si="257"/>
        <v>-210000</v>
      </c>
      <c r="L357" s="62">
        <f t="shared" si="258"/>
        <v>-210000</v>
      </c>
      <c r="M357" s="62">
        <f t="shared" si="259"/>
        <v>-210000</v>
      </c>
      <c r="N357" s="62">
        <f t="shared" si="260"/>
        <v>-210000</v>
      </c>
      <c r="O357" s="62">
        <f t="shared" si="261"/>
        <v>-210000</v>
      </c>
      <c r="P357" s="62">
        <f t="shared" si="262"/>
        <v>-210000</v>
      </c>
      <c r="Q357" s="62">
        <f t="shared" si="263"/>
        <v>-210000</v>
      </c>
      <c r="R357" s="62">
        <f t="shared" si="264"/>
        <v>-210000</v>
      </c>
      <c r="S357" s="62">
        <f t="shared" si="265"/>
        <v>-210000</v>
      </c>
      <c r="T357" s="62">
        <f t="shared" si="266"/>
        <v>-210000</v>
      </c>
      <c r="U357" s="62">
        <f t="shared" si="267"/>
        <v>-210000</v>
      </c>
      <c r="V357" s="62">
        <f t="shared" si="268"/>
        <v>-210000</v>
      </c>
      <c r="W357" s="62">
        <f t="shared" si="269"/>
        <v>-210000</v>
      </c>
      <c r="X357" s="62">
        <f t="shared" si="270"/>
        <v>-210000</v>
      </c>
      <c r="Y357" s="62">
        <f t="shared" si="271"/>
        <v>-210000</v>
      </c>
      <c r="Z357" s="62">
        <f t="shared" si="272"/>
        <v>-210000</v>
      </c>
      <c r="AA357" s="62">
        <f t="shared" si="273"/>
        <v>-210000</v>
      </c>
      <c r="AB357" s="62">
        <f t="shared" si="274"/>
        <v>-210000</v>
      </c>
      <c r="AC357" s="62">
        <f t="shared" si="275"/>
        <v>-210000</v>
      </c>
    </row>
    <row r="358" spans="1:29" x14ac:dyDescent="0.3">
      <c r="A358" s="30" t="str">
        <f t="shared" si="247"/>
        <v>WACC</v>
      </c>
      <c r="B358" s="62">
        <f t="shared" si="248"/>
        <v>0.06</v>
      </c>
      <c r="C358" s="62">
        <f t="shared" si="249"/>
        <v>0.06</v>
      </c>
      <c r="D358" s="62">
        <f t="shared" si="250"/>
        <v>0.06</v>
      </c>
      <c r="E358" s="62">
        <f t="shared" si="251"/>
        <v>0.06</v>
      </c>
      <c r="F358" s="62">
        <f t="shared" si="252"/>
        <v>0.06</v>
      </c>
      <c r="G358" s="62">
        <f t="shared" si="253"/>
        <v>0.06</v>
      </c>
      <c r="H358" s="62">
        <f t="shared" si="254"/>
        <v>0.06</v>
      </c>
      <c r="I358" s="62">
        <f t="shared" si="255"/>
        <v>0.06</v>
      </c>
      <c r="J358" s="62">
        <f t="shared" si="256"/>
        <v>0.06</v>
      </c>
      <c r="K358" s="62">
        <f t="shared" si="257"/>
        <v>0.06</v>
      </c>
      <c r="L358" s="62">
        <f t="shared" si="258"/>
        <v>0.06</v>
      </c>
      <c r="M358" s="62">
        <f t="shared" si="259"/>
        <v>0.06</v>
      </c>
      <c r="N358" s="62">
        <f t="shared" si="260"/>
        <v>0.06</v>
      </c>
      <c r="O358" s="62">
        <f t="shared" si="261"/>
        <v>0.06</v>
      </c>
      <c r="P358" s="62">
        <f t="shared" si="262"/>
        <v>0.06</v>
      </c>
      <c r="Q358" s="62">
        <f t="shared" si="263"/>
        <v>0.06</v>
      </c>
      <c r="R358" s="62">
        <f t="shared" si="264"/>
        <v>0.06</v>
      </c>
      <c r="S358" s="62">
        <f t="shared" si="265"/>
        <v>0.06</v>
      </c>
      <c r="T358" s="62">
        <f t="shared" si="266"/>
        <v>0.06</v>
      </c>
      <c r="U358" s="62">
        <f t="shared" si="267"/>
        <v>0.06</v>
      </c>
      <c r="V358" s="62">
        <f t="shared" si="268"/>
        <v>0.06</v>
      </c>
      <c r="W358" s="62">
        <f t="shared" si="269"/>
        <v>0.06</v>
      </c>
      <c r="X358" s="62">
        <f t="shared" si="270"/>
        <v>0.06</v>
      </c>
      <c r="Y358" s="62">
        <f t="shared" si="271"/>
        <v>0.06</v>
      </c>
      <c r="Z358" s="62">
        <f t="shared" si="272"/>
        <v>0.06</v>
      </c>
      <c r="AA358" s="62">
        <f t="shared" si="273"/>
        <v>0.06</v>
      </c>
      <c r="AB358" s="62">
        <f t="shared" si="274"/>
        <v>0.06</v>
      </c>
      <c r="AC358" s="62">
        <f t="shared" si="275"/>
        <v>0.06</v>
      </c>
    </row>
    <row r="359" spans="1:29" x14ac:dyDescent="0.3">
      <c r="A359" s="30" t="str">
        <f t="shared" si="247"/>
        <v>Opex fix (admin, crew, insurance)</v>
      </c>
      <c r="B359" s="62">
        <f t="shared" si="248"/>
        <v>1450000</v>
      </c>
      <c r="C359" s="62">
        <f t="shared" si="249"/>
        <v>1450000</v>
      </c>
      <c r="D359" s="62">
        <f t="shared" si="250"/>
        <v>1450000</v>
      </c>
      <c r="E359" s="62">
        <f t="shared" si="251"/>
        <v>1450000</v>
      </c>
      <c r="F359" s="62">
        <f t="shared" si="252"/>
        <v>1450000</v>
      </c>
      <c r="G359" s="62">
        <f t="shared" si="253"/>
        <v>1450000</v>
      </c>
      <c r="H359" s="62">
        <f t="shared" si="254"/>
        <v>1450000</v>
      </c>
      <c r="I359" s="62">
        <f t="shared" si="255"/>
        <v>1450000</v>
      </c>
      <c r="J359" s="62">
        <f t="shared" si="256"/>
        <v>1450000</v>
      </c>
      <c r="K359" s="62">
        <f t="shared" si="257"/>
        <v>1450000</v>
      </c>
      <c r="L359" s="62">
        <f t="shared" si="258"/>
        <v>1450000</v>
      </c>
      <c r="M359" s="62">
        <f t="shared" si="259"/>
        <v>1450000</v>
      </c>
      <c r="N359" s="62">
        <f t="shared" si="260"/>
        <v>1450000</v>
      </c>
      <c r="O359" s="62">
        <f t="shared" si="261"/>
        <v>1450000</v>
      </c>
      <c r="P359" s="62">
        <f t="shared" si="262"/>
        <v>1450000</v>
      </c>
      <c r="Q359" s="62">
        <f t="shared" si="263"/>
        <v>1450000</v>
      </c>
      <c r="R359" s="62">
        <f t="shared" si="264"/>
        <v>1450000</v>
      </c>
      <c r="S359" s="62">
        <f t="shared" si="265"/>
        <v>1450000</v>
      </c>
      <c r="T359" s="62">
        <f t="shared" si="266"/>
        <v>1450000</v>
      </c>
      <c r="U359" s="62">
        <f t="shared" si="267"/>
        <v>1450000</v>
      </c>
      <c r="V359" s="62">
        <f t="shared" si="268"/>
        <v>1450000</v>
      </c>
      <c r="W359" s="62">
        <f t="shared" si="269"/>
        <v>1450000</v>
      </c>
      <c r="X359" s="62">
        <f t="shared" si="270"/>
        <v>1450000</v>
      </c>
      <c r="Y359" s="62">
        <f t="shared" si="271"/>
        <v>1450000</v>
      </c>
      <c r="Z359" s="62">
        <f t="shared" si="272"/>
        <v>1450000</v>
      </c>
      <c r="AA359" s="62">
        <f t="shared" si="273"/>
        <v>1450000</v>
      </c>
      <c r="AB359" s="62">
        <f t="shared" si="274"/>
        <v>1450000</v>
      </c>
      <c r="AC359" s="62">
        <f t="shared" si="275"/>
        <v>1450000</v>
      </c>
    </row>
    <row r="360" spans="1:29" x14ac:dyDescent="0.3">
      <c r="A360" s="30" t="str">
        <f t="shared" si="247"/>
        <v>Opex maintenance &amp; repair</v>
      </c>
      <c r="B360" s="62">
        <f t="shared" si="248"/>
        <v>1293563.9575177333</v>
      </c>
      <c r="C360" s="62">
        <f t="shared" si="249"/>
        <v>1290808.235093934</v>
      </c>
      <c r="D360" s="62">
        <f t="shared" si="250"/>
        <v>1286895.5042898762</v>
      </c>
      <c r="E360" s="62">
        <f t="shared" si="251"/>
        <v>1281365.2352877648</v>
      </c>
      <c r="F360" s="62">
        <f t="shared" si="252"/>
        <v>1273600.837383118</v>
      </c>
      <c r="G360" s="62">
        <f t="shared" si="253"/>
        <v>1262805.5057319398</v>
      </c>
      <c r="H360" s="62">
        <f t="shared" si="254"/>
        <v>1248005.5098923349</v>
      </c>
      <c r="I360" s="62">
        <f t="shared" si="255"/>
        <v>1228115.9013873441</v>
      </c>
      <c r="J360" s="62">
        <f t="shared" si="256"/>
        <v>1202116.3406815415</v>
      </c>
      <c r="K360" s="62">
        <f t="shared" si="257"/>
        <v>1169374.2884687176</v>
      </c>
      <c r="L360" s="62">
        <f t="shared" si="258"/>
        <v>1130084.7656740851</v>
      </c>
      <c r="M360" s="62">
        <f t="shared" si="259"/>
        <v>1085657.2084191416</v>
      </c>
      <c r="N360" s="62">
        <f t="shared" si="260"/>
        <v>1038755.2185067786</v>
      </c>
      <c r="O360" s="62">
        <f t="shared" si="261"/>
        <v>992776.17202817916</v>
      </c>
      <c r="P360" s="62">
        <f t="shared" si="262"/>
        <v>950920.49960650213</v>
      </c>
      <c r="Q360" s="62">
        <f t="shared" si="263"/>
        <v>915349.13841044903</v>
      </c>
      <c r="R360" s="62">
        <f t="shared" si="264"/>
        <v>886862.84856226621</v>
      </c>
      <c r="S360" s="62">
        <f t="shared" si="265"/>
        <v>865126.54509633617</v>
      </c>
      <c r="T360" s="62">
        <f t="shared" si="266"/>
        <v>849148.61879481981</v>
      </c>
      <c r="U360" s="62">
        <f t="shared" si="267"/>
        <v>837724.6326365323</v>
      </c>
      <c r="V360" s="62">
        <f t="shared" si="268"/>
        <v>829718.10542985611</v>
      </c>
      <c r="W360" s="62">
        <f t="shared" si="269"/>
        <v>824185.10301042092</v>
      </c>
      <c r="X360" s="62">
        <f t="shared" si="270"/>
        <v>820398.59373471502</v>
      </c>
      <c r="Y360" s="62">
        <f t="shared" si="271"/>
        <v>817824.59227500285</v>
      </c>
      <c r="Z360" s="62">
        <f t="shared" si="272"/>
        <v>816082.79412917187</v>
      </c>
      <c r="AA360" s="62">
        <f t="shared" si="273"/>
        <v>814907.77528152149</v>
      </c>
      <c r="AB360" s="62">
        <f t="shared" si="274"/>
        <v>814116.75843028165</v>
      </c>
      <c r="AC360" s="62">
        <f t="shared" si="275"/>
        <v>813584.99765465059</v>
      </c>
    </row>
    <row r="361" spans="1:29" x14ac:dyDescent="0.3">
      <c r="A361" s="30" t="str">
        <f t="shared" si="247"/>
        <v>Opex var (mode-fees, shunting)</v>
      </c>
      <c r="B361" s="62">
        <f t="shared" si="248"/>
        <v>8.9635854341736696</v>
      </c>
      <c r="C361" s="62">
        <f t="shared" si="249"/>
        <v>8.9635854341736696</v>
      </c>
      <c r="D361" s="62">
        <f t="shared" si="250"/>
        <v>8.9635854341736696</v>
      </c>
      <c r="E361" s="62">
        <f t="shared" si="251"/>
        <v>8.9635854341736696</v>
      </c>
      <c r="F361" s="62">
        <f t="shared" si="252"/>
        <v>8.9635854341736696</v>
      </c>
      <c r="G361" s="62">
        <f t="shared" si="253"/>
        <v>8.9635854341736696</v>
      </c>
      <c r="H361" s="62">
        <f t="shared" si="254"/>
        <v>8.9635854341736696</v>
      </c>
      <c r="I361" s="62">
        <f t="shared" si="255"/>
        <v>8.9635854341736696</v>
      </c>
      <c r="J361" s="62">
        <f t="shared" si="256"/>
        <v>8.9635854341736696</v>
      </c>
      <c r="K361" s="62">
        <f t="shared" si="257"/>
        <v>8.9635854341736696</v>
      </c>
      <c r="L361" s="62">
        <f t="shared" si="258"/>
        <v>8.9635854341736696</v>
      </c>
      <c r="M361" s="62">
        <f t="shared" si="259"/>
        <v>8.9635854341736696</v>
      </c>
      <c r="N361" s="62">
        <f t="shared" si="260"/>
        <v>8.9635854341736696</v>
      </c>
      <c r="O361" s="62">
        <f t="shared" si="261"/>
        <v>8.9635854341736696</v>
      </c>
      <c r="P361" s="62">
        <f t="shared" si="262"/>
        <v>8.9635854341736696</v>
      </c>
      <c r="Q361" s="62">
        <f t="shared" si="263"/>
        <v>8.9635854341736696</v>
      </c>
      <c r="R361" s="62">
        <f t="shared" si="264"/>
        <v>8.9635854341736696</v>
      </c>
      <c r="S361" s="62">
        <f t="shared" si="265"/>
        <v>8.9635854341736696</v>
      </c>
      <c r="T361" s="62">
        <f t="shared" si="266"/>
        <v>8.9635854341736696</v>
      </c>
      <c r="U361" s="62">
        <f t="shared" si="267"/>
        <v>8.9635854341736696</v>
      </c>
      <c r="V361" s="62">
        <f t="shared" si="268"/>
        <v>8.9635854341736696</v>
      </c>
      <c r="W361" s="62">
        <f t="shared" si="269"/>
        <v>8.9635854341736696</v>
      </c>
      <c r="X361" s="62">
        <f t="shared" si="270"/>
        <v>8.9635854341736696</v>
      </c>
      <c r="Y361" s="62">
        <f t="shared" si="271"/>
        <v>8.9635854341736696</v>
      </c>
      <c r="Z361" s="62">
        <f t="shared" si="272"/>
        <v>8.9635854341736696</v>
      </c>
      <c r="AA361" s="62">
        <f t="shared" si="273"/>
        <v>8.9635854341736696</v>
      </c>
      <c r="AB361" s="62">
        <f t="shared" si="274"/>
        <v>8.9635854341736696</v>
      </c>
      <c r="AC361" s="62">
        <f t="shared" si="275"/>
        <v>8.9635854341736696</v>
      </c>
    </row>
    <row r="362" spans="1:29" x14ac:dyDescent="0.3">
      <c r="A362" s="30" t="str">
        <f t="shared" si="247"/>
        <v>Fuel Economy</v>
      </c>
      <c r="B362" s="62">
        <f t="shared" si="248"/>
        <v>27.1614</v>
      </c>
      <c r="C362" s="62">
        <f t="shared" si="249"/>
        <v>27.1614</v>
      </c>
      <c r="D362" s="62">
        <f t="shared" si="250"/>
        <v>27.1614</v>
      </c>
      <c r="E362" s="62">
        <f t="shared" si="251"/>
        <v>27.1614</v>
      </c>
      <c r="F362" s="62">
        <f t="shared" si="252"/>
        <v>27.1614</v>
      </c>
      <c r="G362" s="62">
        <f t="shared" si="253"/>
        <v>27.1614</v>
      </c>
      <c r="H362" s="62">
        <f t="shared" si="254"/>
        <v>27.1614</v>
      </c>
      <c r="I362" s="62">
        <f t="shared" si="255"/>
        <v>27.1614</v>
      </c>
      <c r="J362" s="62">
        <f t="shared" si="256"/>
        <v>27.1614</v>
      </c>
      <c r="K362" s="62">
        <f t="shared" si="257"/>
        <v>27.1614</v>
      </c>
      <c r="L362" s="62">
        <f t="shared" si="258"/>
        <v>27.1614</v>
      </c>
      <c r="M362" s="62">
        <f t="shared" si="259"/>
        <v>27.1614</v>
      </c>
      <c r="N362" s="62">
        <f t="shared" si="260"/>
        <v>27.1614</v>
      </c>
      <c r="O362" s="62">
        <f t="shared" si="261"/>
        <v>27.1614</v>
      </c>
      <c r="P362" s="62">
        <f t="shared" si="262"/>
        <v>27.1614</v>
      </c>
      <c r="Q362" s="62">
        <f t="shared" si="263"/>
        <v>27.1614</v>
      </c>
      <c r="R362" s="62">
        <f t="shared" si="264"/>
        <v>27.1614</v>
      </c>
      <c r="S362" s="62">
        <f t="shared" si="265"/>
        <v>27.1614</v>
      </c>
      <c r="T362" s="62">
        <f t="shared" si="266"/>
        <v>27.1614</v>
      </c>
      <c r="U362" s="62">
        <f t="shared" si="267"/>
        <v>27.1614</v>
      </c>
      <c r="V362" s="62">
        <f t="shared" si="268"/>
        <v>27.1614</v>
      </c>
      <c r="W362" s="62">
        <f t="shared" si="269"/>
        <v>27.1614</v>
      </c>
      <c r="X362" s="62">
        <f t="shared" si="270"/>
        <v>27.1614</v>
      </c>
      <c r="Y362" s="62">
        <f t="shared" si="271"/>
        <v>27.1614</v>
      </c>
      <c r="Z362" s="62">
        <f t="shared" si="272"/>
        <v>27.1614</v>
      </c>
      <c r="AA362" s="62">
        <f t="shared" si="273"/>
        <v>27.1614</v>
      </c>
      <c r="AB362" s="62">
        <f t="shared" si="274"/>
        <v>27.1614</v>
      </c>
      <c r="AC362" s="62">
        <f t="shared" si="275"/>
        <v>27.1614</v>
      </c>
    </row>
    <row r="363" spans="1:29" x14ac:dyDescent="0.3">
      <c r="A363" s="30" t="str">
        <f t="shared" si="247"/>
        <v>Fuel Cost</v>
      </c>
      <c r="B363" s="62">
        <f t="shared" si="248"/>
        <v>9.2331951136741086E-2</v>
      </c>
      <c r="C363" s="62">
        <f t="shared" si="249"/>
        <v>9.2222956120974545E-2</v>
      </c>
      <c r="D363" s="62">
        <f t="shared" si="250"/>
        <v>9.2068198823216471E-2</v>
      </c>
      <c r="E363" s="62">
        <f t="shared" si="251"/>
        <v>9.1849464254062249E-2</v>
      </c>
      <c r="F363" s="62">
        <f t="shared" si="252"/>
        <v>9.1542364865268247E-2</v>
      </c>
      <c r="G363" s="62">
        <f t="shared" si="253"/>
        <v>9.1115385234314353E-2</v>
      </c>
      <c r="H363" s="62">
        <f t="shared" si="254"/>
        <v>9.0530012133616333E-2</v>
      </c>
      <c r="I363" s="62">
        <f t="shared" si="255"/>
        <v>8.9743333412323725E-2</v>
      </c>
      <c r="J363" s="62">
        <f t="shared" si="256"/>
        <v>8.8714992348442129E-2</v>
      </c>
      <c r="K363" s="62">
        <f t="shared" si="257"/>
        <v>8.7419970590682711E-2</v>
      </c>
      <c r="L363" s="62">
        <f t="shared" si="258"/>
        <v>8.5865981654976761E-2</v>
      </c>
      <c r="M363" s="62">
        <f t="shared" si="259"/>
        <v>8.4108771907851612E-2</v>
      </c>
      <c r="N363" s="62">
        <f t="shared" si="260"/>
        <v>8.2253692787461766E-2</v>
      </c>
      <c r="O363" s="62">
        <f t="shared" si="261"/>
        <v>8.0435118154333018E-2</v>
      </c>
      <c r="P363" s="62">
        <f t="shared" si="262"/>
        <v>7.8779632233065888E-2</v>
      </c>
      <c r="Q363" s="62">
        <f t="shared" si="263"/>
        <v>7.7372704945717463E-2</v>
      </c>
      <c r="R363" s="62">
        <f t="shared" si="264"/>
        <v>7.6246008154952791E-2</v>
      </c>
      <c r="S363" s="62">
        <f t="shared" si="265"/>
        <v>7.5386288497227227E-2</v>
      </c>
      <c r="T363" s="62">
        <f t="shared" si="266"/>
        <v>7.4754325599182742E-2</v>
      </c>
      <c r="U363" s="62">
        <f t="shared" si="267"/>
        <v>7.4302481269476042E-2</v>
      </c>
      <c r="V363" s="62">
        <f t="shared" si="268"/>
        <v>7.3985805122564349E-2</v>
      </c>
      <c r="W363" s="62">
        <f t="shared" si="269"/>
        <v>7.3766962440611206E-2</v>
      </c>
      <c r="X363" s="62">
        <f t="shared" si="270"/>
        <v>7.3617197488001537E-2</v>
      </c>
      <c r="Y363" s="62">
        <f t="shared" si="271"/>
        <v>7.3515389944810147E-2</v>
      </c>
      <c r="Z363" s="62">
        <f t="shared" si="272"/>
        <v>7.3446497913186276E-2</v>
      </c>
      <c r="AA363" s="62">
        <f t="shared" si="273"/>
        <v>7.3400023276728135E-2</v>
      </c>
      <c r="AB363" s="62">
        <f t="shared" si="274"/>
        <v>7.3368736782330912E-2</v>
      </c>
      <c r="AC363" s="62">
        <f t="shared" si="275"/>
        <v>7.3347704448441492E-2</v>
      </c>
    </row>
    <row r="364" spans="1:29" x14ac:dyDescent="0.3">
      <c r="A364" s="30" t="str">
        <f t="shared" ref="A364" si="276">A344</f>
        <v>Emission Cost</v>
      </c>
      <c r="B364" s="66">
        <f>$B344+($C344-$B344)*(1-Q344)</f>
        <v>6.2761939613426576E-2</v>
      </c>
      <c r="C364" s="66">
        <f t="shared" ref="C364:AC364" si="277">$B344+($C344-$B344)*(1-R344)</f>
        <v>6.2702174954862022E-2</v>
      </c>
      <c r="D364" s="66">
        <f t="shared" si="277"/>
        <v>6.2616623177277314E-2</v>
      </c>
      <c r="E364" s="66">
        <f t="shared" si="277"/>
        <v>6.249423534317243E-2</v>
      </c>
      <c r="F364" s="66">
        <f t="shared" si="277"/>
        <v>6.2319316122020151E-2</v>
      </c>
      <c r="G364" s="66">
        <f t="shared" si="277"/>
        <v>6.2069668591824577E-2</v>
      </c>
      <c r="H364" s="66">
        <f t="shared" si="277"/>
        <v>6.1714109263582916E-2</v>
      </c>
      <c r="I364" s="66">
        <f t="shared" si="277"/>
        <v>6.120926598754526E-2</v>
      </c>
      <c r="J364" s="66">
        <f t="shared" si="277"/>
        <v>6.0495718529207473E-2</v>
      </c>
      <c r="K364" s="66">
        <f t="shared" si="277"/>
        <v>5.9493910771163734E-2</v>
      </c>
      <c r="L364" s="66">
        <f t="shared" si="277"/>
        <v>5.8101034320005455E-2</v>
      </c>
      <c r="M364" s="66">
        <f t="shared" si="277"/>
        <v>5.6191452813079128E-2</v>
      </c>
      <c r="N364" s="66">
        <f t="shared" si="277"/>
        <v>5.3625179890251798E-2</v>
      </c>
      <c r="O364" s="66">
        <f t="shared" si="277"/>
        <v>5.0270565412648349E-2</v>
      </c>
      <c r="P364" s="66">
        <f t="shared" si="277"/>
        <v>4.6045995481546684E-2</v>
      </c>
      <c r="Q364" s="66">
        <f t="shared" si="277"/>
        <v>4.0976632830523538E-2</v>
      </c>
      <c r="R364" s="66">
        <f t="shared" si="277"/>
        <v>3.5244331102105231E-2</v>
      </c>
      <c r="S364" s="66">
        <f t="shared" si="277"/>
        <v>2.9192763686456215E-2</v>
      </c>
      <c r="T364" s="66">
        <f t="shared" si="277"/>
        <v>2.32602797984078E-2</v>
      </c>
      <c r="U364" s="66">
        <f t="shared" si="277"/>
        <v>1.7859817603512018E-2</v>
      </c>
      <c r="V364" s="66">
        <f t="shared" si="277"/>
        <v>1.3270193778456035E-2</v>
      </c>
      <c r="W364" s="66">
        <f t="shared" si="277"/>
        <v>9.5947270496434117E-3</v>
      </c>
      <c r="X364" s="66">
        <f t="shared" si="277"/>
        <v>6.7901828067048406E-3</v>
      </c>
      <c r="Y364" s="66">
        <f t="shared" si="277"/>
        <v>4.7286178633715731E-3</v>
      </c>
      <c r="Z364" s="66">
        <f t="shared" si="277"/>
        <v>3.2546287528563561E-3</v>
      </c>
      <c r="AA364" s="66">
        <f t="shared" si="277"/>
        <v>2.2215800645818892E-3</v>
      </c>
      <c r="AB364" s="66">
        <f t="shared" si="277"/>
        <v>1.5076799248495282E-3</v>
      </c>
      <c r="AC364" s="66">
        <f t="shared" si="277"/>
        <v>1.0191224842221736E-3</v>
      </c>
    </row>
    <row r="365" spans="1:29" x14ac:dyDescent="0.3">
      <c r="A365" s="30" t="str">
        <f>A345</f>
        <v>Lifetime vehicle</v>
      </c>
      <c r="B365" s="62">
        <f>$B345+($C345-$B345)*(1-Q345)</f>
        <v>20</v>
      </c>
      <c r="C365" s="62">
        <f t="shared" ref="C365:L367" si="278">$B345+($C345-$B345)*(1-R345)</f>
        <v>20</v>
      </c>
      <c r="D365" s="62">
        <f t="shared" si="278"/>
        <v>20</v>
      </c>
      <c r="E365" s="62">
        <f t="shared" si="278"/>
        <v>20</v>
      </c>
      <c r="F365" s="62">
        <f t="shared" si="278"/>
        <v>20</v>
      </c>
      <c r="G365" s="62">
        <f t="shared" si="278"/>
        <v>20</v>
      </c>
      <c r="H365" s="62">
        <f t="shared" si="278"/>
        <v>20</v>
      </c>
      <c r="I365" s="62">
        <f t="shared" si="278"/>
        <v>20</v>
      </c>
      <c r="J365" s="62">
        <f t="shared" si="278"/>
        <v>20</v>
      </c>
      <c r="K365" s="62">
        <f t="shared" si="278"/>
        <v>20</v>
      </c>
      <c r="L365" s="62">
        <f t="shared" si="278"/>
        <v>20</v>
      </c>
      <c r="M365" s="62">
        <f t="shared" ref="M365:V367" si="279">$B345+($C345-$B345)*(1-AB345)</f>
        <v>20</v>
      </c>
      <c r="N365" s="62">
        <f t="shared" si="279"/>
        <v>20</v>
      </c>
      <c r="O365" s="62">
        <f t="shared" si="279"/>
        <v>20</v>
      </c>
      <c r="P365" s="62">
        <f t="shared" si="279"/>
        <v>20</v>
      </c>
      <c r="Q365" s="62">
        <f t="shared" si="279"/>
        <v>20</v>
      </c>
      <c r="R365" s="62">
        <f t="shared" si="279"/>
        <v>20</v>
      </c>
      <c r="S365" s="62">
        <f t="shared" si="279"/>
        <v>20</v>
      </c>
      <c r="T365" s="62">
        <f t="shared" si="279"/>
        <v>20</v>
      </c>
      <c r="U365" s="62">
        <f t="shared" si="279"/>
        <v>20</v>
      </c>
      <c r="V365" s="62">
        <f t="shared" si="279"/>
        <v>20</v>
      </c>
      <c r="W365" s="62">
        <f t="shared" ref="W365:AC367" si="280">$B345+($C345-$B345)*(1-AL345)</f>
        <v>20</v>
      </c>
      <c r="X365" s="62">
        <f t="shared" si="280"/>
        <v>20</v>
      </c>
      <c r="Y365" s="62">
        <f t="shared" si="280"/>
        <v>20</v>
      </c>
      <c r="Z365" s="62">
        <f t="shared" si="280"/>
        <v>20</v>
      </c>
      <c r="AA365" s="62">
        <f t="shared" si="280"/>
        <v>20</v>
      </c>
      <c r="AB365" s="62">
        <f t="shared" si="280"/>
        <v>20</v>
      </c>
      <c r="AC365" s="62">
        <f t="shared" si="280"/>
        <v>20</v>
      </c>
    </row>
    <row r="366" spans="1:29" x14ac:dyDescent="0.3">
      <c r="A366" s="30" t="str">
        <f>A346</f>
        <v>Lifetime costumization</v>
      </c>
      <c r="B366" s="62">
        <f>$B346+($C346-$B346)*(1-Q346)</f>
        <v>30</v>
      </c>
      <c r="C366" s="62">
        <f t="shared" si="278"/>
        <v>30</v>
      </c>
      <c r="D366" s="62">
        <f t="shared" si="278"/>
        <v>30</v>
      </c>
      <c r="E366" s="62">
        <f t="shared" si="278"/>
        <v>30</v>
      </c>
      <c r="F366" s="62">
        <f t="shared" si="278"/>
        <v>30</v>
      </c>
      <c r="G366" s="62">
        <f t="shared" si="278"/>
        <v>30</v>
      </c>
      <c r="H366" s="62">
        <f t="shared" si="278"/>
        <v>30</v>
      </c>
      <c r="I366" s="62">
        <f t="shared" si="278"/>
        <v>30</v>
      </c>
      <c r="J366" s="62">
        <f t="shared" si="278"/>
        <v>30</v>
      </c>
      <c r="K366" s="62">
        <f t="shared" si="278"/>
        <v>30</v>
      </c>
      <c r="L366" s="62">
        <f t="shared" si="278"/>
        <v>30</v>
      </c>
      <c r="M366" s="62">
        <f t="shared" si="279"/>
        <v>30</v>
      </c>
      <c r="N366" s="62">
        <f t="shared" si="279"/>
        <v>30</v>
      </c>
      <c r="O366" s="62">
        <f t="shared" si="279"/>
        <v>30</v>
      </c>
      <c r="P366" s="62">
        <f t="shared" si="279"/>
        <v>30</v>
      </c>
      <c r="Q366" s="62">
        <f t="shared" si="279"/>
        <v>30</v>
      </c>
      <c r="R366" s="62">
        <f t="shared" si="279"/>
        <v>30</v>
      </c>
      <c r="S366" s="62">
        <f t="shared" si="279"/>
        <v>30</v>
      </c>
      <c r="T366" s="62">
        <f t="shared" si="279"/>
        <v>30</v>
      </c>
      <c r="U366" s="62">
        <f t="shared" si="279"/>
        <v>30</v>
      </c>
      <c r="V366" s="62">
        <f t="shared" si="279"/>
        <v>30</v>
      </c>
      <c r="W366" s="62">
        <f t="shared" si="280"/>
        <v>30</v>
      </c>
      <c r="X366" s="62">
        <f t="shared" si="280"/>
        <v>30</v>
      </c>
      <c r="Y366" s="62">
        <f t="shared" si="280"/>
        <v>30</v>
      </c>
      <c r="Z366" s="62">
        <f t="shared" si="280"/>
        <v>30</v>
      </c>
      <c r="AA366" s="62">
        <f t="shared" si="280"/>
        <v>30</v>
      </c>
      <c r="AB366" s="62">
        <f t="shared" si="280"/>
        <v>30</v>
      </c>
      <c r="AC366" s="62">
        <f t="shared" si="280"/>
        <v>30</v>
      </c>
    </row>
    <row r="367" spans="1:29" x14ac:dyDescent="0.3">
      <c r="A367" s="30" t="str">
        <f>A347</f>
        <v>Tonnage .</v>
      </c>
      <c r="B367" s="62">
        <f>$B347+($C347-$B347)*(1-Q347)</f>
        <v>2240</v>
      </c>
      <c r="C367" s="62">
        <f t="shared" si="278"/>
        <v>2240</v>
      </c>
      <c r="D367" s="62">
        <f t="shared" si="278"/>
        <v>2240</v>
      </c>
      <c r="E367" s="62">
        <f t="shared" si="278"/>
        <v>2240</v>
      </c>
      <c r="F367" s="62">
        <f t="shared" si="278"/>
        <v>2240</v>
      </c>
      <c r="G367" s="62">
        <f t="shared" si="278"/>
        <v>2240</v>
      </c>
      <c r="H367" s="62">
        <f t="shared" si="278"/>
        <v>2240</v>
      </c>
      <c r="I367" s="62">
        <f t="shared" si="278"/>
        <v>2240</v>
      </c>
      <c r="J367" s="62">
        <f t="shared" si="278"/>
        <v>2240</v>
      </c>
      <c r="K367" s="62">
        <f t="shared" si="278"/>
        <v>2240</v>
      </c>
      <c r="L367" s="62">
        <f t="shared" si="278"/>
        <v>2240</v>
      </c>
      <c r="M367" s="62">
        <f t="shared" si="279"/>
        <v>2240</v>
      </c>
      <c r="N367" s="62">
        <f t="shared" si="279"/>
        <v>2240</v>
      </c>
      <c r="O367" s="62">
        <f t="shared" si="279"/>
        <v>2240</v>
      </c>
      <c r="P367" s="62">
        <f t="shared" si="279"/>
        <v>2240</v>
      </c>
      <c r="Q367" s="62">
        <f t="shared" si="279"/>
        <v>2240</v>
      </c>
      <c r="R367" s="62">
        <f t="shared" si="279"/>
        <v>2240</v>
      </c>
      <c r="S367" s="62">
        <f t="shared" si="279"/>
        <v>2240</v>
      </c>
      <c r="T367" s="62">
        <f t="shared" si="279"/>
        <v>2240</v>
      </c>
      <c r="U367" s="62">
        <f t="shared" si="279"/>
        <v>2240</v>
      </c>
      <c r="V367" s="62">
        <f t="shared" si="279"/>
        <v>2240</v>
      </c>
      <c r="W367" s="62">
        <f t="shared" si="280"/>
        <v>2240</v>
      </c>
      <c r="X367" s="62">
        <f t="shared" si="280"/>
        <v>2240</v>
      </c>
      <c r="Y367" s="62">
        <f t="shared" si="280"/>
        <v>2240</v>
      </c>
      <c r="Z367" s="62">
        <f t="shared" si="280"/>
        <v>2240</v>
      </c>
      <c r="AA367" s="62">
        <f t="shared" si="280"/>
        <v>2240</v>
      </c>
      <c r="AB367" s="62">
        <f t="shared" si="280"/>
        <v>2240</v>
      </c>
      <c r="AC367" s="62">
        <f t="shared" si="280"/>
        <v>2240</v>
      </c>
    </row>
    <row r="368" spans="1:29" x14ac:dyDescent="0.3">
      <c r="A368" s="30" t="str">
        <f>A348</f>
        <v>Market failure (av. utilization)</v>
      </c>
      <c r="B368" s="62">
        <f t="shared" ref="B368:K369" si="281">($B348+($C348-$B348)*(1-Q348))*B$44</f>
        <v>1209.6000000000001</v>
      </c>
      <c r="C368" s="62">
        <f t="shared" si="281"/>
        <v>1209.6000000000001</v>
      </c>
      <c r="D368" s="62">
        <f t="shared" si="281"/>
        <v>1209.6000000000001</v>
      </c>
      <c r="E368" s="62">
        <f t="shared" si="281"/>
        <v>1209.6000000000001</v>
      </c>
      <c r="F368" s="62">
        <f t="shared" si="281"/>
        <v>1209.6000000000001</v>
      </c>
      <c r="G368" s="62">
        <f t="shared" si="281"/>
        <v>1209.6000000000001</v>
      </c>
      <c r="H368" s="62">
        <f t="shared" si="281"/>
        <v>1209.6000000000001</v>
      </c>
      <c r="I368" s="62">
        <f t="shared" si="281"/>
        <v>1209.6000000000001</v>
      </c>
      <c r="J368" s="62">
        <f t="shared" si="281"/>
        <v>1209.6000000000001</v>
      </c>
      <c r="K368" s="62">
        <f t="shared" si="281"/>
        <v>1209.6000000000001</v>
      </c>
      <c r="L368" s="62">
        <f t="shared" ref="L368:U369" si="282">($B348+($C348-$B348)*(1-AA348))*L$44</f>
        <v>1209.6000000000001</v>
      </c>
      <c r="M368" s="62">
        <f t="shared" si="282"/>
        <v>1209.6000000000001</v>
      </c>
      <c r="N368" s="62">
        <f t="shared" si="282"/>
        <v>1209.6000000000001</v>
      </c>
      <c r="O368" s="62">
        <f t="shared" si="282"/>
        <v>1209.6000000000001</v>
      </c>
      <c r="P368" s="62">
        <f t="shared" si="282"/>
        <v>1209.6000000000001</v>
      </c>
      <c r="Q368" s="62">
        <f t="shared" si="282"/>
        <v>1209.6000000000001</v>
      </c>
      <c r="R368" s="62">
        <f t="shared" si="282"/>
        <v>1209.6000000000001</v>
      </c>
      <c r="S368" s="62">
        <f t="shared" si="282"/>
        <v>1209.6000000000001</v>
      </c>
      <c r="T368" s="62">
        <f t="shared" si="282"/>
        <v>1209.6000000000001</v>
      </c>
      <c r="U368" s="62">
        <f t="shared" si="282"/>
        <v>1209.6000000000001</v>
      </c>
      <c r="V368" s="62">
        <f t="shared" ref="V368:AC369" si="283">($B348+($C348-$B348)*(1-AK348))*V$44</f>
        <v>1209.6000000000001</v>
      </c>
      <c r="W368" s="62">
        <f t="shared" si="283"/>
        <v>1209.6000000000001</v>
      </c>
      <c r="X368" s="62">
        <f t="shared" si="283"/>
        <v>1209.6000000000001</v>
      </c>
      <c r="Y368" s="62">
        <f t="shared" si="283"/>
        <v>1209.6000000000001</v>
      </c>
      <c r="Z368" s="62">
        <f t="shared" si="283"/>
        <v>1209.6000000000001</v>
      </c>
      <c r="AA368" s="62">
        <f t="shared" si="283"/>
        <v>1209.6000000000001</v>
      </c>
      <c r="AB368" s="62">
        <f t="shared" si="283"/>
        <v>1209.6000000000001</v>
      </c>
      <c r="AC368" s="62">
        <f t="shared" si="283"/>
        <v>1209.6000000000001</v>
      </c>
    </row>
    <row r="369" spans="1:29" x14ac:dyDescent="0.3">
      <c r="A369" s="30" t="s">
        <v>73</v>
      </c>
      <c r="B369" s="62">
        <f t="shared" si="281"/>
        <v>79.471914462993496</v>
      </c>
      <c r="C369" s="62">
        <f t="shared" si="281"/>
        <v>79.245803905143291</v>
      </c>
      <c r="D369" s="62">
        <f t="shared" si="281"/>
        <v>78.924759326348806</v>
      </c>
      <c r="E369" s="62">
        <f t="shared" si="281"/>
        <v>78.470993664637106</v>
      </c>
      <c r="F369" s="62">
        <f t="shared" si="281"/>
        <v>77.833914862204551</v>
      </c>
      <c r="G369" s="62">
        <f t="shared" si="281"/>
        <v>76.948144060056592</v>
      </c>
      <c r="H369" s="62">
        <f t="shared" si="281"/>
        <v>75.733785427063381</v>
      </c>
      <c r="I369" s="62">
        <f t="shared" si="281"/>
        <v>74.101817549730796</v>
      </c>
      <c r="J369" s="62">
        <f t="shared" si="281"/>
        <v>71.968520261049548</v>
      </c>
      <c r="K369" s="62">
        <f t="shared" si="281"/>
        <v>69.281992899997348</v>
      </c>
      <c r="L369" s="62">
        <f t="shared" si="282"/>
        <v>66.058237183514677</v>
      </c>
      <c r="M369" s="62">
        <f t="shared" si="282"/>
        <v>62.412899152339826</v>
      </c>
      <c r="N369" s="62">
        <f t="shared" si="282"/>
        <v>58.564530749274141</v>
      </c>
      <c r="O369" s="62">
        <f t="shared" si="282"/>
        <v>54.79189103820957</v>
      </c>
      <c r="P369" s="62">
        <f t="shared" si="282"/>
        <v>51.357579454892473</v>
      </c>
      <c r="Q369" s="62">
        <f t="shared" si="282"/>
        <v>48.438903664447089</v>
      </c>
      <c r="R369" s="62">
        <f t="shared" si="282"/>
        <v>46.101567061519283</v>
      </c>
      <c r="S369" s="62">
        <f t="shared" si="282"/>
        <v>44.318075495083995</v>
      </c>
      <c r="T369" s="62">
        <f t="shared" si="282"/>
        <v>43.007066157523667</v>
      </c>
      <c r="U369" s="62">
        <f t="shared" si="282"/>
        <v>42.069713447100085</v>
      </c>
      <c r="V369" s="62">
        <f t="shared" si="283"/>
        <v>41.412767625013835</v>
      </c>
      <c r="W369" s="62">
        <f t="shared" si="283"/>
        <v>40.958777682906323</v>
      </c>
      <c r="X369" s="62">
        <f t="shared" si="283"/>
        <v>40.648089742335586</v>
      </c>
      <c r="Y369" s="62">
        <f t="shared" si="283"/>
        <v>40.43688962256433</v>
      </c>
      <c r="Z369" s="62">
        <f t="shared" si="283"/>
        <v>40.29397285162436</v>
      </c>
      <c r="AA369" s="62">
        <f t="shared" si="283"/>
        <v>40.197561048740226</v>
      </c>
      <c r="AB369" s="62">
        <f t="shared" si="283"/>
        <v>40.132657101971823</v>
      </c>
      <c r="AC369" s="62">
        <f t="shared" si="283"/>
        <v>40.08902544858671</v>
      </c>
    </row>
    <row r="370" spans="1:29" x14ac:dyDescent="0.3">
      <c r="A370" s="30" t="str">
        <f>A350</f>
        <v>Annual Mileage</v>
      </c>
      <c r="B370" s="62">
        <f t="shared" ref="B370:AC370" si="284">$B350+($C350-$B350)*(1-Q350)</f>
        <v>178500</v>
      </c>
      <c r="C370" s="62">
        <f t="shared" si="284"/>
        <v>178500</v>
      </c>
      <c r="D370" s="62">
        <f t="shared" si="284"/>
        <v>178500</v>
      </c>
      <c r="E370" s="62">
        <f t="shared" si="284"/>
        <v>178500</v>
      </c>
      <c r="F370" s="62">
        <f t="shared" si="284"/>
        <v>178500</v>
      </c>
      <c r="G370" s="62">
        <f t="shared" si="284"/>
        <v>178500</v>
      </c>
      <c r="H370" s="62">
        <f t="shared" si="284"/>
        <v>178500</v>
      </c>
      <c r="I370" s="62">
        <f t="shared" si="284"/>
        <v>178500</v>
      </c>
      <c r="J370" s="62">
        <f t="shared" si="284"/>
        <v>178500</v>
      </c>
      <c r="K370" s="62">
        <f t="shared" si="284"/>
        <v>178500</v>
      </c>
      <c r="L370" s="62">
        <f t="shared" si="284"/>
        <v>178500</v>
      </c>
      <c r="M370" s="62">
        <f t="shared" si="284"/>
        <v>178500</v>
      </c>
      <c r="N370" s="62">
        <f t="shared" si="284"/>
        <v>178500</v>
      </c>
      <c r="O370" s="62">
        <f t="shared" si="284"/>
        <v>178500</v>
      </c>
      <c r="P370" s="62">
        <f t="shared" si="284"/>
        <v>178500</v>
      </c>
      <c r="Q370" s="62">
        <f t="shared" si="284"/>
        <v>178500</v>
      </c>
      <c r="R370" s="62">
        <f t="shared" si="284"/>
        <v>178500</v>
      </c>
      <c r="S370" s="62">
        <f t="shared" si="284"/>
        <v>178500</v>
      </c>
      <c r="T370" s="62">
        <f t="shared" si="284"/>
        <v>178500</v>
      </c>
      <c r="U370" s="62">
        <f t="shared" si="284"/>
        <v>178500</v>
      </c>
      <c r="V370" s="62">
        <f t="shared" si="284"/>
        <v>178500</v>
      </c>
      <c r="W370" s="62">
        <f t="shared" si="284"/>
        <v>178500</v>
      </c>
      <c r="X370" s="62">
        <f t="shared" si="284"/>
        <v>178500</v>
      </c>
      <c r="Y370" s="62">
        <f t="shared" si="284"/>
        <v>178500</v>
      </c>
      <c r="Z370" s="62">
        <f t="shared" si="284"/>
        <v>178500</v>
      </c>
      <c r="AA370" s="62">
        <f t="shared" si="284"/>
        <v>178500</v>
      </c>
      <c r="AB370" s="62">
        <f t="shared" si="284"/>
        <v>178500</v>
      </c>
      <c r="AC370" s="62">
        <f t="shared" si="284"/>
        <v>178500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867529.23505697085</v>
      </c>
      <c r="C373" s="63">
        <f t="shared" ref="C373:AC373" si="285">((1+C358)^C365)*C358/(((1+C358)^C365)-1)*(C354)</f>
        <v>865681.10860566224</v>
      </c>
      <c r="D373" s="63">
        <f t="shared" si="285"/>
        <v>863057.03397703567</v>
      </c>
      <c r="E373" s="63">
        <f t="shared" si="285"/>
        <v>859348.15664694412</v>
      </c>
      <c r="F373" s="63">
        <f t="shared" si="285"/>
        <v>854140.95978918544</v>
      </c>
      <c r="G373" s="63">
        <f t="shared" si="285"/>
        <v>846901.06588590739</v>
      </c>
      <c r="H373" s="63">
        <f t="shared" si="285"/>
        <v>836975.44218948286</v>
      </c>
      <c r="I373" s="63">
        <f t="shared" si="285"/>
        <v>823636.46752832399</v>
      </c>
      <c r="J373" s="63">
        <f t="shared" si="285"/>
        <v>806199.8507457996</v>
      </c>
      <c r="K373" s="63">
        <f t="shared" si="285"/>
        <v>784241.37907896913</v>
      </c>
      <c r="L373" s="63">
        <f t="shared" si="285"/>
        <v>757891.84339680034</v>
      </c>
      <c r="M373" s="63">
        <f t="shared" si="285"/>
        <v>728096.48265190842</v>
      </c>
      <c r="N373" s="63">
        <f t="shared" si="285"/>
        <v>696641.64256081509</v>
      </c>
      <c r="O373" s="63">
        <f t="shared" si="285"/>
        <v>665805.77488808637</v>
      </c>
      <c r="P373" s="63">
        <f t="shared" si="285"/>
        <v>637735.24983383913</v>
      </c>
      <c r="Q373" s="63">
        <f t="shared" si="285"/>
        <v>613879.3008573663</v>
      </c>
      <c r="R373" s="63">
        <f t="shared" si="285"/>
        <v>594774.95808561263</v>
      </c>
      <c r="S373" s="63">
        <f t="shared" si="285"/>
        <v>580197.49663952412</v>
      </c>
      <c r="T373" s="63">
        <f t="shared" si="285"/>
        <v>569481.893362551</v>
      </c>
      <c r="U373" s="63">
        <f t="shared" si="285"/>
        <v>561820.39203855116</v>
      </c>
      <c r="V373" s="63">
        <f t="shared" si="285"/>
        <v>556450.81105826527</v>
      </c>
      <c r="W373" s="63">
        <f t="shared" si="285"/>
        <v>552740.10056064755</v>
      </c>
      <c r="X373" s="63">
        <f t="shared" si="285"/>
        <v>550200.67645533092</v>
      </c>
      <c r="Y373" s="63">
        <f t="shared" si="285"/>
        <v>548474.42124823271</v>
      </c>
      <c r="Z373" s="63">
        <f t="shared" si="285"/>
        <v>547306.28355832992</v>
      </c>
      <c r="AA373" s="63">
        <f t="shared" si="285"/>
        <v>546518.25665316184</v>
      </c>
      <c r="AB373" s="63">
        <f t="shared" si="285"/>
        <v>545987.76085518813</v>
      </c>
      <c r="AC373" s="63">
        <f t="shared" si="285"/>
        <v>545631.13525794924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-44095.850871439077</v>
      </c>
      <c r="C374" s="62">
        <f t="shared" ref="C374:AC374" si="286">((1+C358)^C365)*C358/(((1+C358)^C365)-1)*(C355)</f>
        <v>-44311.465624091747</v>
      </c>
      <c r="D374" s="62">
        <f t="shared" si="286"/>
        <v>-44617.607664098185</v>
      </c>
      <c r="E374" s="62">
        <f t="shared" si="286"/>
        <v>-45050.310019275523</v>
      </c>
      <c r="F374" s="62">
        <f t="shared" si="286"/>
        <v>-45657.816319347374</v>
      </c>
      <c r="G374" s="62">
        <f t="shared" si="286"/>
        <v>-46502.470608063151</v>
      </c>
      <c r="H374" s="62">
        <f t="shared" si="286"/>
        <v>-47660.460039312675</v>
      </c>
      <c r="I374" s="62">
        <f t="shared" si="286"/>
        <v>-49216.673749781199</v>
      </c>
      <c r="J374" s="62">
        <f t="shared" si="286"/>
        <v>-51250.945707742365</v>
      </c>
      <c r="K374" s="62">
        <f t="shared" si="286"/>
        <v>-53812.767402205936</v>
      </c>
      <c r="L374" s="62">
        <f t="shared" si="286"/>
        <v>-56886.879898458967</v>
      </c>
      <c r="M374" s="62">
        <f t="shared" si="286"/>
        <v>-60363.005318696356</v>
      </c>
      <c r="N374" s="62">
        <f t="shared" si="286"/>
        <v>-64032.73666265724</v>
      </c>
      <c r="O374" s="62">
        <f t="shared" si="286"/>
        <v>-67630.254557808934</v>
      </c>
      <c r="P374" s="62">
        <f t="shared" si="286"/>
        <v>-70905.149147471107</v>
      </c>
      <c r="Q374" s="62">
        <f t="shared" si="286"/>
        <v>-73688.343194726258</v>
      </c>
      <c r="R374" s="62">
        <f t="shared" si="286"/>
        <v>-75917.183184764202</v>
      </c>
      <c r="S374" s="62">
        <f t="shared" si="286"/>
        <v>-77617.887020141206</v>
      </c>
      <c r="T374" s="62">
        <f t="shared" si="286"/>
        <v>-78868.040735788047</v>
      </c>
      <c r="U374" s="62">
        <f t="shared" si="286"/>
        <v>-79761.882556921351</v>
      </c>
      <c r="V374" s="62">
        <f t="shared" si="286"/>
        <v>-80388.333671288041</v>
      </c>
      <c r="W374" s="62">
        <f t="shared" si="286"/>
        <v>-80821.249896010122</v>
      </c>
      <c r="X374" s="62">
        <f t="shared" si="286"/>
        <v>-81117.516041630384</v>
      </c>
      <c r="Y374" s="62">
        <f t="shared" si="286"/>
        <v>-81318.912482458516</v>
      </c>
      <c r="Z374" s="62">
        <f t="shared" si="286"/>
        <v>-81455.19521294719</v>
      </c>
      <c r="AA374" s="62">
        <f t="shared" si="286"/>
        <v>-81547.131685216795</v>
      </c>
      <c r="AB374" s="62">
        <f t="shared" si="286"/>
        <v>-81609.022861647056</v>
      </c>
      <c r="AC374" s="62">
        <f t="shared" si="286"/>
        <v>-81650.629181324926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287">((1+C358)^C366)*C358/(((1+C358)^C366)-1)*(C356)</f>
        <v>305125.4282581982</v>
      </c>
      <c r="D375" s="62">
        <f t="shared" si="287"/>
        <v>305125.4282581982</v>
      </c>
      <c r="E375" s="62">
        <f t="shared" si="287"/>
        <v>305125.4282581982</v>
      </c>
      <c r="F375" s="62">
        <f t="shared" si="287"/>
        <v>305125.4282581982</v>
      </c>
      <c r="G375" s="62">
        <f t="shared" si="287"/>
        <v>305125.4282581982</v>
      </c>
      <c r="H375" s="62">
        <f t="shared" si="287"/>
        <v>305125.4282581982</v>
      </c>
      <c r="I375" s="62">
        <f t="shared" si="287"/>
        <v>305125.4282581982</v>
      </c>
      <c r="J375" s="62">
        <f t="shared" si="287"/>
        <v>305125.4282581982</v>
      </c>
      <c r="K375" s="62">
        <f t="shared" si="287"/>
        <v>305125.4282581982</v>
      </c>
      <c r="L375" s="62">
        <f t="shared" si="287"/>
        <v>305125.4282581982</v>
      </c>
      <c r="M375" s="62">
        <f t="shared" si="287"/>
        <v>305125.4282581982</v>
      </c>
      <c r="N375" s="62">
        <f t="shared" si="287"/>
        <v>305125.4282581982</v>
      </c>
      <c r="O375" s="62">
        <f t="shared" si="287"/>
        <v>305125.4282581982</v>
      </c>
      <c r="P375" s="62">
        <f t="shared" si="287"/>
        <v>305125.4282581982</v>
      </c>
      <c r="Q375" s="62">
        <f t="shared" si="287"/>
        <v>305125.4282581982</v>
      </c>
      <c r="R375" s="62">
        <f t="shared" si="287"/>
        <v>305125.4282581982</v>
      </c>
      <c r="S375" s="62">
        <f t="shared" si="287"/>
        <v>305125.4282581982</v>
      </c>
      <c r="T375" s="62">
        <f t="shared" si="287"/>
        <v>305125.4282581982</v>
      </c>
      <c r="U375" s="62">
        <f t="shared" si="287"/>
        <v>305125.4282581982</v>
      </c>
      <c r="V375" s="62">
        <f t="shared" si="287"/>
        <v>305125.4282581982</v>
      </c>
      <c r="W375" s="62">
        <f t="shared" si="287"/>
        <v>305125.4282581982</v>
      </c>
      <c r="X375" s="62">
        <f t="shared" si="287"/>
        <v>305125.4282581982</v>
      </c>
      <c r="Y375" s="62">
        <f t="shared" si="287"/>
        <v>305125.4282581982</v>
      </c>
      <c r="Z375" s="62">
        <f t="shared" si="287"/>
        <v>305125.4282581982</v>
      </c>
      <c r="AA375" s="62">
        <f t="shared" si="287"/>
        <v>305125.4282581982</v>
      </c>
      <c r="AB375" s="62">
        <f t="shared" si="287"/>
        <v>305125.4282581982</v>
      </c>
      <c r="AC375" s="62">
        <f t="shared" si="287"/>
        <v>305125.4282581982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288">((1+C358)^C366)*C358/(((1+C358)^C366)-1)*(C357)</f>
        <v>-15256.271412909911</v>
      </c>
      <c r="D376" s="62">
        <f t="shared" si="288"/>
        <v>-15256.271412909911</v>
      </c>
      <c r="E376" s="62">
        <f t="shared" si="288"/>
        <v>-15256.271412909911</v>
      </c>
      <c r="F376" s="62">
        <f t="shared" si="288"/>
        <v>-15256.271412909911</v>
      </c>
      <c r="G376" s="62">
        <f t="shared" si="288"/>
        <v>-15256.271412909911</v>
      </c>
      <c r="H376" s="62">
        <f t="shared" si="288"/>
        <v>-15256.271412909911</v>
      </c>
      <c r="I376" s="62">
        <f t="shared" si="288"/>
        <v>-15256.271412909911</v>
      </c>
      <c r="J376" s="62">
        <f t="shared" si="288"/>
        <v>-15256.271412909911</v>
      </c>
      <c r="K376" s="62">
        <f t="shared" si="288"/>
        <v>-15256.271412909911</v>
      </c>
      <c r="L376" s="62">
        <f t="shared" si="288"/>
        <v>-15256.271412909911</v>
      </c>
      <c r="M376" s="62">
        <f t="shared" si="288"/>
        <v>-15256.271412909911</v>
      </c>
      <c r="N376" s="62">
        <f t="shared" si="288"/>
        <v>-15256.271412909911</v>
      </c>
      <c r="O376" s="62">
        <f t="shared" si="288"/>
        <v>-15256.271412909911</v>
      </c>
      <c r="P376" s="62">
        <f t="shared" si="288"/>
        <v>-15256.271412909911</v>
      </c>
      <c r="Q376" s="62">
        <f t="shared" si="288"/>
        <v>-15256.271412909911</v>
      </c>
      <c r="R376" s="62">
        <f t="shared" si="288"/>
        <v>-15256.271412909911</v>
      </c>
      <c r="S376" s="62">
        <f t="shared" si="288"/>
        <v>-15256.271412909911</v>
      </c>
      <c r="T376" s="62">
        <f t="shared" si="288"/>
        <v>-15256.271412909911</v>
      </c>
      <c r="U376" s="62">
        <f t="shared" si="288"/>
        <v>-15256.271412909911</v>
      </c>
      <c r="V376" s="62">
        <f t="shared" si="288"/>
        <v>-15256.271412909911</v>
      </c>
      <c r="W376" s="62">
        <f t="shared" si="288"/>
        <v>-15256.271412909911</v>
      </c>
      <c r="X376" s="62">
        <f t="shared" si="288"/>
        <v>-15256.271412909911</v>
      </c>
      <c r="Y376" s="62">
        <f t="shared" si="288"/>
        <v>-15256.271412909911</v>
      </c>
      <c r="Z376" s="62">
        <f t="shared" si="288"/>
        <v>-15256.271412909911</v>
      </c>
      <c r="AA376" s="62">
        <f t="shared" si="288"/>
        <v>-15256.271412909911</v>
      </c>
      <c r="AB376" s="62">
        <f t="shared" si="288"/>
        <v>-15256.271412909911</v>
      </c>
      <c r="AC376" s="62">
        <f t="shared" si="288"/>
        <v>-15256.271412909911</v>
      </c>
    </row>
    <row r="377" spans="1:29" x14ac:dyDescent="0.3">
      <c r="A377" s="30" t="str">
        <f t="shared" ref="A377:AC377" si="289">A359</f>
        <v>Opex fix (admin, crew, insurance)</v>
      </c>
      <c r="B377" s="62">
        <f t="shared" si="289"/>
        <v>1450000</v>
      </c>
      <c r="C377" s="62">
        <f t="shared" si="289"/>
        <v>1450000</v>
      </c>
      <c r="D377" s="62">
        <f t="shared" si="289"/>
        <v>1450000</v>
      </c>
      <c r="E377" s="62">
        <f t="shared" si="289"/>
        <v>1450000</v>
      </c>
      <c r="F377" s="62">
        <f t="shared" si="289"/>
        <v>1450000</v>
      </c>
      <c r="G377" s="62">
        <f t="shared" si="289"/>
        <v>1450000</v>
      </c>
      <c r="H377" s="62">
        <f t="shared" si="289"/>
        <v>1450000</v>
      </c>
      <c r="I377" s="62">
        <f t="shared" si="289"/>
        <v>1450000</v>
      </c>
      <c r="J377" s="62">
        <f t="shared" si="289"/>
        <v>1450000</v>
      </c>
      <c r="K377" s="62">
        <f t="shared" si="289"/>
        <v>1450000</v>
      </c>
      <c r="L377" s="62">
        <f t="shared" si="289"/>
        <v>1450000</v>
      </c>
      <c r="M377" s="62">
        <f t="shared" si="289"/>
        <v>1450000</v>
      </c>
      <c r="N377" s="62">
        <f t="shared" si="289"/>
        <v>1450000</v>
      </c>
      <c r="O377" s="62">
        <f t="shared" si="289"/>
        <v>1450000</v>
      </c>
      <c r="P377" s="62">
        <f t="shared" si="289"/>
        <v>1450000</v>
      </c>
      <c r="Q377" s="62">
        <f t="shared" si="289"/>
        <v>1450000</v>
      </c>
      <c r="R377" s="62">
        <f t="shared" si="289"/>
        <v>1450000</v>
      </c>
      <c r="S377" s="62">
        <f t="shared" si="289"/>
        <v>1450000</v>
      </c>
      <c r="T377" s="62">
        <f t="shared" si="289"/>
        <v>1450000</v>
      </c>
      <c r="U377" s="62">
        <f t="shared" si="289"/>
        <v>1450000</v>
      </c>
      <c r="V377" s="62">
        <f t="shared" si="289"/>
        <v>1450000</v>
      </c>
      <c r="W377" s="62">
        <f t="shared" si="289"/>
        <v>1450000</v>
      </c>
      <c r="X377" s="62">
        <f t="shared" si="289"/>
        <v>1450000</v>
      </c>
      <c r="Y377" s="62">
        <f t="shared" si="289"/>
        <v>1450000</v>
      </c>
      <c r="Z377" s="62">
        <f t="shared" si="289"/>
        <v>1450000</v>
      </c>
      <c r="AA377" s="62">
        <f t="shared" si="289"/>
        <v>1450000</v>
      </c>
      <c r="AB377" s="62">
        <f t="shared" si="289"/>
        <v>1450000</v>
      </c>
      <c r="AC377" s="62">
        <f t="shared" si="289"/>
        <v>1450000</v>
      </c>
    </row>
    <row r="378" spans="1:29" x14ac:dyDescent="0.3">
      <c r="A378" s="30" t="str">
        <f t="shared" ref="A378:AC378" si="290">A360</f>
        <v>Opex maintenance &amp; repair</v>
      </c>
      <c r="B378" s="62">
        <f t="shared" si="290"/>
        <v>1293563.9575177333</v>
      </c>
      <c r="C378" s="62">
        <f t="shared" si="290"/>
        <v>1290808.235093934</v>
      </c>
      <c r="D378" s="62">
        <f t="shared" si="290"/>
        <v>1286895.5042898762</v>
      </c>
      <c r="E378" s="62">
        <f t="shared" si="290"/>
        <v>1281365.2352877648</v>
      </c>
      <c r="F378" s="62">
        <f t="shared" si="290"/>
        <v>1273600.837383118</v>
      </c>
      <c r="G378" s="62">
        <f t="shared" si="290"/>
        <v>1262805.5057319398</v>
      </c>
      <c r="H378" s="62">
        <f t="shared" si="290"/>
        <v>1248005.5098923349</v>
      </c>
      <c r="I378" s="62">
        <f t="shared" si="290"/>
        <v>1228115.9013873441</v>
      </c>
      <c r="J378" s="62">
        <f t="shared" si="290"/>
        <v>1202116.3406815415</v>
      </c>
      <c r="K378" s="62">
        <f t="shared" si="290"/>
        <v>1169374.2884687176</v>
      </c>
      <c r="L378" s="62">
        <f t="shared" si="290"/>
        <v>1130084.7656740851</v>
      </c>
      <c r="M378" s="62">
        <f t="shared" si="290"/>
        <v>1085657.2084191416</v>
      </c>
      <c r="N378" s="62">
        <f t="shared" si="290"/>
        <v>1038755.2185067786</v>
      </c>
      <c r="O378" s="62">
        <f t="shared" si="290"/>
        <v>992776.17202817916</v>
      </c>
      <c r="P378" s="62">
        <f t="shared" si="290"/>
        <v>950920.49960650213</v>
      </c>
      <c r="Q378" s="62">
        <f t="shared" si="290"/>
        <v>915349.13841044903</v>
      </c>
      <c r="R378" s="62">
        <f t="shared" si="290"/>
        <v>886862.84856226621</v>
      </c>
      <c r="S378" s="62">
        <f t="shared" si="290"/>
        <v>865126.54509633617</v>
      </c>
      <c r="T378" s="62">
        <f t="shared" si="290"/>
        <v>849148.61879481981</v>
      </c>
      <c r="U378" s="62">
        <f t="shared" si="290"/>
        <v>837724.6326365323</v>
      </c>
      <c r="V378" s="62">
        <f t="shared" si="290"/>
        <v>829718.10542985611</v>
      </c>
      <c r="W378" s="62">
        <f t="shared" si="290"/>
        <v>824185.10301042092</v>
      </c>
      <c r="X378" s="62">
        <f t="shared" si="290"/>
        <v>820398.59373471502</v>
      </c>
      <c r="Y378" s="62">
        <f t="shared" si="290"/>
        <v>817824.59227500285</v>
      </c>
      <c r="Z378" s="62">
        <f t="shared" si="290"/>
        <v>816082.79412917187</v>
      </c>
      <c r="AA378" s="62">
        <f t="shared" si="290"/>
        <v>814907.77528152149</v>
      </c>
      <c r="AB378" s="62">
        <f t="shared" si="290"/>
        <v>814116.75843028165</v>
      </c>
      <c r="AC378" s="62">
        <f t="shared" si="290"/>
        <v>813584.99765465059</v>
      </c>
    </row>
    <row r="379" spans="1:29" x14ac:dyDescent="0.3">
      <c r="A379" s="30" t="str">
        <f>A361</f>
        <v>Opex var (mode-fees, shunting)</v>
      </c>
      <c r="B379" s="62">
        <f>B361*B370</f>
        <v>1600000</v>
      </c>
      <c r="C379" s="62">
        <f t="shared" ref="C379:AC379" si="291">C361*C370</f>
        <v>1600000</v>
      </c>
      <c r="D379" s="62">
        <f t="shared" si="291"/>
        <v>1600000</v>
      </c>
      <c r="E379" s="62">
        <f t="shared" si="291"/>
        <v>1600000</v>
      </c>
      <c r="F379" s="62">
        <f t="shared" si="291"/>
        <v>1600000</v>
      </c>
      <c r="G379" s="62">
        <f t="shared" si="291"/>
        <v>1600000</v>
      </c>
      <c r="H379" s="62">
        <f t="shared" si="291"/>
        <v>1600000</v>
      </c>
      <c r="I379" s="62">
        <f t="shared" si="291"/>
        <v>1600000</v>
      </c>
      <c r="J379" s="62">
        <f t="shared" si="291"/>
        <v>1600000</v>
      </c>
      <c r="K379" s="62">
        <f t="shared" si="291"/>
        <v>1600000</v>
      </c>
      <c r="L379" s="62">
        <f t="shared" si="291"/>
        <v>1600000</v>
      </c>
      <c r="M379" s="62">
        <f t="shared" si="291"/>
        <v>1600000</v>
      </c>
      <c r="N379" s="62">
        <f t="shared" si="291"/>
        <v>1600000</v>
      </c>
      <c r="O379" s="62">
        <f t="shared" si="291"/>
        <v>1600000</v>
      </c>
      <c r="P379" s="62">
        <f t="shared" si="291"/>
        <v>1600000</v>
      </c>
      <c r="Q379" s="62">
        <f t="shared" si="291"/>
        <v>1600000</v>
      </c>
      <c r="R379" s="62">
        <f t="shared" si="291"/>
        <v>1600000</v>
      </c>
      <c r="S379" s="62">
        <f t="shared" si="291"/>
        <v>1600000</v>
      </c>
      <c r="T379" s="62">
        <f t="shared" si="291"/>
        <v>1600000</v>
      </c>
      <c r="U379" s="62">
        <f t="shared" si="291"/>
        <v>1600000</v>
      </c>
      <c r="V379" s="62">
        <f t="shared" si="291"/>
        <v>1600000</v>
      </c>
      <c r="W379" s="62">
        <f t="shared" si="291"/>
        <v>1600000</v>
      </c>
      <c r="X379" s="62">
        <f t="shared" si="291"/>
        <v>1600000</v>
      </c>
      <c r="Y379" s="62">
        <f t="shared" si="291"/>
        <v>1600000</v>
      </c>
      <c r="Z379" s="62">
        <f t="shared" si="291"/>
        <v>1600000</v>
      </c>
      <c r="AA379" s="62">
        <f t="shared" si="291"/>
        <v>1600000</v>
      </c>
      <c r="AB379" s="62">
        <f t="shared" si="291"/>
        <v>1600000</v>
      </c>
      <c r="AC379" s="62">
        <f t="shared" si="291"/>
        <v>1600000</v>
      </c>
    </row>
    <row r="380" spans="1:29" x14ac:dyDescent="0.3">
      <c r="A380" s="30" t="str">
        <f>A363</f>
        <v>Fuel Cost</v>
      </c>
      <c r="B380" s="62">
        <f>B362*B363*B370</f>
        <v>447653.91278257803</v>
      </c>
      <c r="C380" s="62">
        <f t="shared" ref="C380:AC380" si="292">C362*C363*C370</f>
        <v>447125.47116858652</v>
      </c>
      <c r="D380" s="62">
        <f t="shared" si="292"/>
        <v>446375.15982976876</v>
      </c>
      <c r="E380" s="62">
        <f t="shared" si="292"/>
        <v>445314.66685266612</v>
      </c>
      <c r="F380" s="62">
        <f t="shared" si="292"/>
        <v>443825.7538456922</v>
      </c>
      <c r="G380" s="62">
        <f t="shared" si="292"/>
        <v>441755.62427384011</v>
      </c>
      <c r="H380" s="62">
        <f t="shared" si="292"/>
        <v>438917.55407453218</v>
      </c>
      <c r="I380" s="62">
        <f t="shared" si="292"/>
        <v>435103.4918419699</v>
      </c>
      <c r="J380" s="62">
        <f t="shared" si="292"/>
        <v>430117.77568137628</v>
      </c>
      <c r="K380" s="62">
        <f t="shared" si="292"/>
        <v>423839.10887251585</v>
      </c>
      <c r="L380" s="62">
        <f t="shared" si="292"/>
        <v>416304.88893104222</v>
      </c>
      <c r="M380" s="62">
        <f t="shared" si="292"/>
        <v>407785.39151767886</v>
      </c>
      <c r="N380" s="62">
        <f t="shared" si="292"/>
        <v>398791.39305300947</v>
      </c>
      <c r="O380" s="62">
        <f t="shared" si="292"/>
        <v>389974.37965532253</v>
      </c>
      <c r="P380" s="62">
        <f t="shared" si="292"/>
        <v>381948.07087393251</v>
      </c>
      <c r="Q380" s="62">
        <f t="shared" si="292"/>
        <v>375126.85137810098</v>
      </c>
      <c r="R380" s="62">
        <f t="shared" si="292"/>
        <v>369664.27617313835</v>
      </c>
      <c r="S380" s="62">
        <f t="shared" si="292"/>
        <v>365496.08884536289</v>
      </c>
      <c r="T380" s="62">
        <f t="shared" si="292"/>
        <v>362432.13687034114</v>
      </c>
      <c r="U380" s="62">
        <f t="shared" si="292"/>
        <v>360241.45553336525</v>
      </c>
      <c r="V380" s="62">
        <f t="shared" si="292"/>
        <v>358706.11143519945</v>
      </c>
      <c r="W380" s="62">
        <f t="shared" si="292"/>
        <v>357645.09429374349</v>
      </c>
      <c r="X380" s="62">
        <f t="shared" si="292"/>
        <v>356918.98739133298</v>
      </c>
      <c r="Y380" s="62">
        <f t="shared" si="292"/>
        <v>356425.39287178352</v>
      </c>
      <c r="Z380" s="62">
        <f t="shared" si="292"/>
        <v>356091.38295283035</v>
      </c>
      <c r="AA380" s="62">
        <f t="shared" si="292"/>
        <v>355866.05951279146</v>
      </c>
      <c r="AB380" s="62">
        <f t="shared" si="292"/>
        <v>355714.37289226911</v>
      </c>
      <c r="AC380" s="62">
        <f t="shared" si="292"/>
        <v>355612.40161965293</v>
      </c>
    </row>
    <row r="381" spans="1:29" ht="15" thickBot="1" x14ac:dyDescent="0.35">
      <c r="A381" s="59" t="str">
        <f>A344</f>
        <v>Emission Cost</v>
      </c>
      <c r="B381" s="62">
        <f>B364*B370</f>
        <v>11203.006220996644</v>
      </c>
      <c r="C381" s="62">
        <f t="shared" ref="C381:AC381" si="293">C364*C370</f>
        <v>11192.33822944287</v>
      </c>
      <c r="D381" s="62">
        <f t="shared" si="293"/>
        <v>11177.067237144001</v>
      </c>
      <c r="E381" s="62">
        <f t="shared" si="293"/>
        <v>11155.221008756278</v>
      </c>
      <c r="F381" s="62">
        <f t="shared" si="293"/>
        <v>11123.997927780596</v>
      </c>
      <c r="G381" s="62">
        <f t="shared" si="293"/>
        <v>11079.435843640687</v>
      </c>
      <c r="H381" s="62">
        <f t="shared" si="293"/>
        <v>11015.968503549551</v>
      </c>
      <c r="I381" s="62">
        <f t="shared" si="293"/>
        <v>10925.85397877683</v>
      </c>
      <c r="J381" s="62">
        <f t="shared" si="293"/>
        <v>10798.485757463533</v>
      </c>
      <c r="K381" s="62">
        <f t="shared" si="293"/>
        <v>10619.663072652727</v>
      </c>
      <c r="L381" s="62">
        <f t="shared" si="293"/>
        <v>10371.034626120974</v>
      </c>
      <c r="M381" s="62">
        <f t="shared" si="293"/>
        <v>10030.174327134624</v>
      </c>
      <c r="N381" s="62">
        <f t="shared" si="293"/>
        <v>9572.0946104099457</v>
      </c>
      <c r="O381" s="62">
        <f t="shared" si="293"/>
        <v>8973.2959261577307</v>
      </c>
      <c r="P381" s="62">
        <f t="shared" si="293"/>
        <v>8219.2101934560833</v>
      </c>
      <c r="Q381" s="62">
        <f t="shared" si="293"/>
        <v>7314.328960248451</v>
      </c>
      <c r="R381" s="62">
        <f t="shared" si="293"/>
        <v>6291.113101725784</v>
      </c>
      <c r="S381" s="62">
        <f t="shared" si="293"/>
        <v>5210.9083180324342</v>
      </c>
      <c r="T381" s="62">
        <f t="shared" si="293"/>
        <v>4151.9599440157926</v>
      </c>
      <c r="U381" s="62">
        <f t="shared" si="293"/>
        <v>3187.9774422268952</v>
      </c>
      <c r="V381" s="62">
        <f t="shared" si="293"/>
        <v>2368.7295894544022</v>
      </c>
      <c r="W381" s="62">
        <f t="shared" si="293"/>
        <v>1712.6587783613491</v>
      </c>
      <c r="X381" s="62">
        <f t="shared" si="293"/>
        <v>1212.047630996814</v>
      </c>
      <c r="Y381" s="62">
        <f t="shared" si="293"/>
        <v>844.05828861182579</v>
      </c>
      <c r="Z381" s="62">
        <f t="shared" si="293"/>
        <v>580.95123238485962</v>
      </c>
      <c r="AA381" s="62">
        <f t="shared" si="293"/>
        <v>396.55204152786723</v>
      </c>
      <c r="AB381" s="62">
        <f t="shared" si="293"/>
        <v>269.12086658564078</v>
      </c>
      <c r="AC381" s="62">
        <f t="shared" si="293"/>
        <v>181.91336343365799</v>
      </c>
    </row>
    <row r="382" spans="1:29" ht="15" thickBot="1" x14ac:dyDescent="0.35">
      <c r="A382" s="31" t="s">
        <v>209</v>
      </c>
      <c r="B382" s="64">
        <f>B373+B374+B375+B376+B377+B378+B379+B380+B381</f>
        <v>5915723.4175521275</v>
      </c>
      <c r="C382" s="64">
        <f t="shared" ref="C382:AC382" si="294">C373+C374+C375+C376+C377+C378+C379+C380+C381</f>
        <v>5910364.844318823</v>
      </c>
      <c r="D382" s="64">
        <f t="shared" si="294"/>
        <v>5902756.3145150142</v>
      </c>
      <c r="E382" s="64">
        <f t="shared" si="294"/>
        <v>5892002.1266221441</v>
      </c>
      <c r="F382" s="64">
        <f t="shared" si="294"/>
        <v>5876902.8894717172</v>
      </c>
      <c r="G382" s="64">
        <f t="shared" si="294"/>
        <v>5855908.3179725539</v>
      </c>
      <c r="H382" s="64">
        <f t="shared" si="294"/>
        <v>5827123.1714658756</v>
      </c>
      <c r="I382" s="64">
        <f t="shared" si="294"/>
        <v>5788434.1978319213</v>
      </c>
      <c r="J382" s="64">
        <f t="shared" si="294"/>
        <v>5737850.664003727</v>
      </c>
      <c r="K382" s="64">
        <f t="shared" si="294"/>
        <v>5674130.828935938</v>
      </c>
      <c r="L382" s="64">
        <f t="shared" si="294"/>
        <v>5597634.8095748778</v>
      </c>
      <c r="M382" s="64">
        <f t="shared" si="294"/>
        <v>5511075.4084424563</v>
      </c>
      <c r="N382" s="64">
        <f t="shared" si="294"/>
        <v>5419596.7689136434</v>
      </c>
      <c r="O382" s="64">
        <f t="shared" si="294"/>
        <v>5329768.5247852243</v>
      </c>
      <c r="P382" s="64">
        <f t="shared" si="294"/>
        <v>5247787.0382055482</v>
      </c>
      <c r="Q382" s="64">
        <f t="shared" si="294"/>
        <v>5177850.4332567267</v>
      </c>
      <c r="R382" s="64">
        <f t="shared" si="294"/>
        <v>5121545.1695832666</v>
      </c>
      <c r="S382" s="64">
        <f t="shared" si="294"/>
        <v>5078282.3087244025</v>
      </c>
      <c r="T382" s="64">
        <f t="shared" si="294"/>
        <v>5046215.7250812277</v>
      </c>
      <c r="U382" s="64">
        <f t="shared" si="294"/>
        <v>5023081.731939042</v>
      </c>
      <c r="V382" s="64">
        <f t="shared" si="294"/>
        <v>5006724.580686776</v>
      </c>
      <c r="W382" s="64">
        <f t="shared" si="294"/>
        <v>4995330.8635924505</v>
      </c>
      <c r="X382" s="64">
        <f t="shared" si="294"/>
        <v>4987481.9460160332</v>
      </c>
      <c r="Y382" s="64">
        <f t="shared" si="294"/>
        <v>4982118.7090464598</v>
      </c>
      <c r="Z382" s="64">
        <f t="shared" si="294"/>
        <v>4978475.3735050587</v>
      </c>
      <c r="AA382" s="64">
        <f t="shared" si="294"/>
        <v>4976010.6686490737</v>
      </c>
      <c r="AB382" s="64">
        <f t="shared" si="294"/>
        <v>4974348.1470279656</v>
      </c>
      <c r="AC382" s="64">
        <f t="shared" si="294"/>
        <v>4973228.97555965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95">A373</f>
        <v>Capex vehicle</v>
      </c>
      <c r="B385" s="65">
        <f>((1+B358)^B365)*B358/(((1+B358)^B365)-1)*(B354)/B370</f>
        <v>4.8601077594228057</v>
      </c>
      <c r="C385" s="65">
        <f t="shared" ref="C385:AC385" si="296">((1+C358)^C365)*C358/(((1+C358)^C365)-1)*(C354)/C370</f>
        <v>4.8497541098356427</v>
      </c>
      <c r="D385" s="65">
        <f t="shared" si="296"/>
        <v>4.8350534116360544</v>
      </c>
      <c r="E385" s="65">
        <f t="shared" si="296"/>
        <v>4.8142753873778386</v>
      </c>
      <c r="F385" s="65">
        <f t="shared" si="296"/>
        <v>4.7851034161859127</v>
      </c>
      <c r="G385" s="65">
        <f t="shared" si="296"/>
        <v>4.7445437864756714</v>
      </c>
      <c r="H385" s="65">
        <f t="shared" si="296"/>
        <v>4.6889380514816965</v>
      </c>
      <c r="I385" s="65">
        <f t="shared" si="296"/>
        <v>4.6142099021194625</v>
      </c>
      <c r="J385" s="65">
        <f t="shared" si="296"/>
        <v>4.5165257744862721</v>
      </c>
      <c r="K385" s="65">
        <f t="shared" si="296"/>
        <v>4.3935091264928241</v>
      </c>
      <c r="L385" s="65">
        <f t="shared" si="296"/>
        <v>4.2458926800941192</v>
      </c>
      <c r="M385" s="65">
        <f t="shared" si="296"/>
        <v>4.0789718916073303</v>
      </c>
      <c r="N385" s="65">
        <f t="shared" si="296"/>
        <v>3.9027543000605887</v>
      </c>
      <c r="O385" s="65">
        <f t="shared" si="296"/>
        <v>3.7300043411097277</v>
      </c>
      <c r="P385" s="65">
        <f t="shared" si="296"/>
        <v>3.5727464976685668</v>
      </c>
      <c r="Q385" s="65">
        <f t="shared" si="296"/>
        <v>3.4390997246911277</v>
      </c>
      <c r="R385" s="65">
        <f t="shared" si="296"/>
        <v>3.3320725943171574</v>
      </c>
      <c r="S385" s="65">
        <f t="shared" si="296"/>
        <v>3.2504061436387905</v>
      </c>
      <c r="T385" s="65">
        <f t="shared" si="296"/>
        <v>3.1903747527313779</v>
      </c>
      <c r="U385" s="65">
        <f t="shared" si="296"/>
        <v>3.147453176686561</v>
      </c>
      <c r="V385" s="65">
        <f t="shared" si="296"/>
        <v>3.1173714905224945</v>
      </c>
      <c r="W385" s="65">
        <f t="shared" si="296"/>
        <v>3.0965831964181936</v>
      </c>
      <c r="X385" s="65">
        <f t="shared" si="296"/>
        <v>3.0823567308421902</v>
      </c>
      <c r="Y385" s="65">
        <f t="shared" si="296"/>
        <v>3.0726858333234324</v>
      </c>
      <c r="Z385" s="65">
        <f t="shared" si="296"/>
        <v>3.0661416445844814</v>
      </c>
      <c r="AA385" s="65">
        <f t="shared" si="296"/>
        <v>3.0617269280289179</v>
      </c>
      <c r="AB385" s="65">
        <f t="shared" si="296"/>
        <v>3.058754962774163</v>
      </c>
      <c r="AC385" s="65">
        <f t="shared" si="296"/>
        <v>3.0567570602686231</v>
      </c>
    </row>
    <row r="386" spans="1:29" x14ac:dyDescent="0.3">
      <c r="A386" s="30" t="str">
        <f t="shared" si="295"/>
        <v>Residual value (vehicle)</v>
      </c>
      <c r="B386" s="66">
        <f>((1+B358)^B365)*B358/(((1+B358)^B365)-1)*(B355)/B370</f>
        <v>-0.24703557911170351</v>
      </c>
      <c r="C386" s="66">
        <f t="shared" ref="C386:AC386" si="297">((1+C358)^C365)*C358/(((1+C358)^C365)-1)*(C355)/C370</f>
        <v>-0.24824350489687252</v>
      </c>
      <c r="D386" s="66">
        <f t="shared" si="297"/>
        <v>-0.24995858635349122</v>
      </c>
      <c r="E386" s="66">
        <f t="shared" si="297"/>
        <v>-0.25238268918361639</v>
      </c>
      <c r="F386" s="66">
        <f t="shared" si="297"/>
        <v>-0.25578608582267437</v>
      </c>
      <c r="G386" s="66">
        <f t="shared" si="297"/>
        <v>-0.26051804262220252</v>
      </c>
      <c r="H386" s="66">
        <f t="shared" si="297"/>
        <v>-0.26700537837149957</v>
      </c>
      <c r="I386" s="66">
        <f t="shared" si="297"/>
        <v>-0.27572366246376023</v>
      </c>
      <c r="J386" s="66">
        <f t="shared" si="297"/>
        <v>-0.28712014402096564</v>
      </c>
      <c r="K386" s="66">
        <f t="shared" si="297"/>
        <v>-0.301472086286868</v>
      </c>
      <c r="L386" s="66">
        <f t="shared" si="297"/>
        <v>-0.31869400503338358</v>
      </c>
      <c r="M386" s="66">
        <f t="shared" si="297"/>
        <v>-0.33816809702350897</v>
      </c>
      <c r="N386" s="66">
        <f t="shared" si="297"/>
        <v>-0.35872681603729545</v>
      </c>
      <c r="O386" s="66">
        <f t="shared" si="297"/>
        <v>-0.378880977914896</v>
      </c>
      <c r="P386" s="66">
        <f t="shared" si="297"/>
        <v>-0.39722772631636477</v>
      </c>
      <c r="Q386" s="66">
        <f t="shared" si="297"/>
        <v>-0.41281984983039921</v>
      </c>
      <c r="R386" s="66">
        <f t="shared" si="297"/>
        <v>-0.42530634837402914</v>
      </c>
      <c r="S386" s="66">
        <f t="shared" si="297"/>
        <v>-0.43483410095317204</v>
      </c>
      <c r="T386" s="66">
        <f t="shared" si="297"/>
        <v>-0.44183776322570334</v>
      </c>
      <c r="U386" s="66">
        <f t="shared" si="297"/>
        <v>-0.44684528043093191</v>
      </c>
      <c r="V386" s="66">
        <f t="shared" si="297"/>
        <v>-0.45035481048340636</v>
      </c>
      <c r="W386" s="66">
        <f t="shared" si="297"/>
        <v>-0.45278011146224156</v>
      </c>
      <c r="X386" s="66">
        <f t="shared" si="297"/>
        <v>-0.45443986577944195</v>
      </c>
      <c r="Y386" s="66">
        <f t="shared" si="297"/>
        <v>-0.45556813715663036</v>
      </c>
      <c r="Z386" s="66">
        <f t="shared" si="297"/>
        <v>-0.45633162584284143</v>
      </c>
      <c r="AA386" s="66">
        <f t="shared" si="297"/>
        <v>-0.45684667610765711</v>
      </c>
      <c r="AB386" s="66">
        <f t="shared" si="297"/>
        <v>-0.45719340538737846</v>
      </c>
      <c r="AC386" s="66">
        <f t="shared" si="297"/>
        <v>-0.45742649401302482</v>
      </c>
    </row>
    <row r="387" spans="1:29" x14ac:dyDescent="0.3">
      <c r="A387" s="30" t="str">
        <f t="shared" si="295"/>
        <v>Capex costumization</v>
      </c>
      <c r="B387" s="66">
        <f>((1+B358)^B366)*B358/(((1+B358)^B366)-1)*(B356)/B370</f>
        <v>1.7093861527069927</v>
      </c>
      <c r="C387" s="66">
        <f t="shared" ref="C387:AC387" si="298">((1+C358)^C366)*C358/(((1+C358)^C366)-1)*(C356)/C370</f>
        <v>1.7093861527069927</v>
      </c>
      <c r="D387" s="66">
        <f t="shared" si="298"/>
        <v>1.7093861527069927</v>
      </c>
      <c r="E387" s="66">
        <f t="shared" si="298"/>
        <v>1.7093861527069927</v>
      </c>
      <c r="F387" s="66">
        <f t="shared" si="298"/>
        <v>1.7093861527069927</v>
      </c>
      <c r="G387" s="66">
        <f t="shared" si="298"/>
        <v>1.7093861527069927</v>
      </c>
      <c r="H387" s="66">
        <f t="shared" si="298"/>
        <v>1.7093861527069927</v>
      </c>
      <c r="I387" s="66">
        <f t="shared" si="298"/>
        <v>1.7093861527069927</v>
      </c>
      <c r="J387" s="66">
        <f t="shared" si="298"/>
        <v>1.7093861527069927</v>
      </c>
      <c r="K387" s="66">
        <f t="shared" si="298"/>
        <v>1.7093861527069927</v>
      </c>
      <c r="L387" s="66">
        <f t="shared" si="298"/>
        <v>1.7093861527069927</v>
      </c>
      <c r="M387" s="66">
        <f t="shared" si="298"/>
        <v>1.7093861527069927</v>
      </c>
      <c r="N387" s="66">
        <f t="shared" si="298"/>
        <v>1.7093861527069927</v>
      </c>
      <c r="O387" s="66">
        <f t="shared" si="298"/>
        <v>1.7093861527069927</v>
      </c>
      <c r="P387" s="66">
        <f t="shared" si="298"/>
        <v>1.7093861527069927</v>
      </c>
      <c r="Q387" s="66">
        <f t="shared" si="298"/>
        <v>1.7093861527069927</v>
      </c>
      <c r="R387" s="66">
        <f t="shared" si="298"/>
        <v>1.7093861527069927</v>
      </c>
      <c r="S387" s="66">
        <f t="shared" si="298"/>
        <v>1.7093861527069927</v>
      </c>
      <c r="T387" s="66">
        <f t="shared" si="298"/>
        <v>1.7093861527069927</v>
      </c>
      <c r="U387" s="66">
        <f t="shared" si="298"/>
        <v>1.7093861527069927</v>
      </c>
      <c r="V387" s="66">
        <f t="shared" si="298"/>
        <v>1.7093861527069927</v>
      </c>
      <c r="W387" s="66">
        <f t="shared" si="298"/>
        <v>1.7093861527069927</v>
      </c>
      <c r="X387" s="66">
        <f t="shared" si="298"/>
        <v>1.7093861527069927</v>
      </c>
      <c r="Y387" s="66">
        <f t="shared" si="298"/>
        <v>1.7093861527069927</v>
      </c>
      <c r="Z387" s="66">
        <f t="shared" si="298"/>
        <v>1.7093861527069927</v>
      </c>
      <c r="AA387" s="66">
        <f t="shared" si="298"/>
        <v>1.7093861527069927</v>
      </c>
      <c r="AB387" s="66">
        <f t="shared" si="298"/>
        <v>1.7093861527069927</v>
      </c>
      <c r="AC387" s="66">
        <f t="shared" si="298"/>
        <v>1.7093861527069927</v>
      </c>
    </row>
    <row r="388" spans="1:29" x14ac:dyDescent="0.3">
      <c r="A388" s="30" t="str">
        <f t="shared" si="295"/>
        <v>Residual value (costumization)</v>
      </c>
      <c r="B388" s="66">
        <f>((1+B358)^B366)*B358/(((1+B358)^B366)-1)*(B357)/B370</f>
        <v>-8.5469307635349642E-2</v>
      </c>
      <c r="C388" s="66">
        <f t="shared" ref="C388:AC388" si="299">((1+C358)^C366)*C358/(((1+C358)^C366)-1)*(C357)/C370</f>
        <v>-8.5469307635349642E-2</v>
      </c>
      <c r="D388" s="66">
        <f t="shared" si="299"/>
        <v>-8.5469307635349642E-2</v>
      </c>
      <c r="E388" s="66">
        <f t="shared" si="299"/>
        <v>-8.5469307635349642E-2</v>
      </c>
      <c r="F388" s="66">
        <f t="shared" si="299"/>
        <v>-8.5469307635349642E-2</v>
      </c>
      <c r="G388" s="66">
        <f t="shared" si="299"/>
        <v>-8.5469307635349642E-2</v>
      </c>
      <c r="H388" s="66">
        <f t="shared" si="299"/>
        <v>-8.5469307635349642E-2</v>
      </c>
      <c r="I388" s="66">
        <f t="shared" si="299"/>
        <v>-8.5469307635349642E-2</v>
      </c>
      <c r="J388" s="66">
        <f t="shared" si="299"/>
        <v>-8.5469307635349642E-2</v>
      </c>
      <c r="K388" s="66">
        <f t="shared" si="299"/>
        <v>-8.5469307635349642E-2</v>
      </c>
      <c r="L388" s="66">
        <f t="shared" si="299"/>
        <v>-8.5469307635349642E-2</v>
      </c>
      <c r="M388" s="66">
        <f t="shared" si="299"/>
        <v>-8.5469307635349642E-2</v>
      </c>
      <c r="N388" s="66">
        <f t="shared" si="299"/>
        <v>-8.5469307635349642E-2</v>
      </c>
      <c r="O388" s="66">
        <f t="shared" si="299"/>
        <v>-8.5469307635349642E-2</v>
      </c>
      <c r="P388" s="66">
        <f t="shared" si="299"/>
        <v>-8.5469307635349642E-2</v>
      </c>
      <c r="Q388" s="66">
        <f t="shared" si="299"/>
        <v>-8.5469307635349642E-2</v>
      </c>
      <c r="R388" s="66">
        <f t="shared" si="299"/>
        <v>-8.5469307635349642E-2</v>
      </c>
      <c r="S388" s="66">
        <f t="shared" si="299"/>
        <v>-8.5469307635349642E-2</v>
      </c>
      <c r="T388" s="66">
        <f t="shared" si="299"/>
        <v>-8.5469307635349642E-2</v>
      </c>
      <c r="U388" s="66">
        <f t="shared" si="299"/>
        <v>-8.5469307635349642E-2</v>
      </c>
      <c r="V388" s="66">
        <f t="shared" si="299"/>
        <v>-8.5469307635349642E-2</v>
      </c>
      <c r="W388" s="66">
        <f t="shared" si="299"/>
        <v>-8.5469307635349642E-2</v>
      </c>
      <c r="X388" s="66">
        <f t="shared" si="299"/>
        <v>-8.5469307635349642E-2</v>
      </c>
      <c r="Y388" s="66">
        <f t="shared" si="299"/>
        <v>-8.5469307635349642E-2</v>
      </c>
      <c r="Z388" s="66">
        <f t="shared" si="299"/>
        <v>-8.5469307635349642E-2</v>
      </c>
      <c r="AA388" s="66">
        <f t="shared" si="299"/>
        <v>-8.5469307635349642E-2</v>
      </c>
      <c r="AB388" s="66">
        <f t="shared" si="299"/>
        <v>-8.5469307635349642E-2</v>
      </c>
      <c r="AC388" s="66">
        <f t="shared" si="299"/>
        <v>-8.5469307635349642E-2</v>
      </c>
    </row>
    <row r="389" spans="1:29" x14ac:dyDescent="0.3">
      <c r="A389" s="30" t="str">
        <f t="shared" si="295"/>
        <v>Opex fix (admin, crew, insurance)</v>
      </c>
      <c r="B389" s="66">
        <f>B359/B370</f>
        <v>8.1232492997198875</v>
      </c>
      <c r="C389" s="66">
        <f t="shared" ref="C389:AC389" si="300">C359/C370</f>
        <v>8.1232492997198875</v>
      </c>
      <c r="D389" s="66">
        <f t="shared" si="300"/>
        <v>8.1232492997198875</v>
      </c>
      <c r="E389" s="66">
        <f t="shared" si="300"/>
        <v>8.1232492997198875</v>
      </c>
      <c r="F389" s="66">
        <f t="shared" si="300"/>
        <v>8.1232492997198875</v>
      </c>
      <c r="G389" s="66">
        <f t="shared" si="300"/>
        <v>8.1232492997198875</v>
      </c>
      <c r="H389" s="66">
        <f t="shared" si="300"/>
        <v>8.1232492997198875</v>
      </c>
      <c r="I389" s="66">
        <f t="shared" si="300"/>
        <v>8.1232492997198875</v>
      </c>
      <c r="J389" s="66">
        <f t="shared" si="300"/>
        <v>8.1232492997198875</v>
      </c>
      <c r="K389" s="66">
        <f t="shared" si="300"/>
        <v>8.1232492997198875</v>
      </c>
      <c r="L389" s="66">
        <f t="shared" si="300"/>
        <v>8.1232492997198875</v>
      </c>
      <c r="M389" s="66">
        <f t="shared" si="300"/>
        <v>8.1232492997198875</v>
      </c>
      <c r="N389" s="66">
        <f t="shared" si="300"/>
        <v>8.1232492997198875</v>
      </c>
      <c r="O389" s="66">
        <f t="shared" si="300"/>
        <v>8.1232492997198875</v>
      </c>
      <c r="P389" s="66">
        <f t="shared" si="300"/>
        <v>8.1232492997198875</v>
      </c>
      <c r="Q389" s="66">
        <f t="shared" si="300"/>
        <v>8.1232492997198875</v>
      </c>
      <c r="R389" s="66">
        <f t="shared" si="300"/>
        <v>8.1232492997198875</v>
      </c>
      <c r="S389" s="66">
        <f t="shared" si="300"/>
        <v>8.1232492997198875</v>
      </c>
      <c r="T389" s="66">
        <f t="shared" si="300"/>
        <v>8.1232492997198875</v>
      </c>
      <c r="U389" s="66">
        <f t="shared" si="300"/>
        <v>8.1232492997198875</v>
      </c>
      <c r="V389" s="66">
        <f t="shared" si="300"/>
        <v>8.1232492997198875</v>
      </c>
      <c r="W389" s="66">
        <f t="shared" si="300"/>
        <v>8.1232492997198875</v>
      </c>
      <c r="X389" s="66">
        <f t="shared" si="300"/>
        <v>8.1232492997198875</v>
      </c>
      <c r="Y389" s="66">
        <f t="shared" si="300"/>
        <v>8.1232492997198875</v>
      </c>
      <c r="Z389" s="66">
        <f t="shared" si="300"/>
        <v>8.1232492997198875</v>
      </c>
      <c r="AA389" s="66">
        <f t="shared" si="300"/>
        <v>8.1232492997198875</v>
      </c>
      <c r="AB389" s="66">
        <f t="shared" si="300"/>
        <v>8.1232492997198875</v>
      </c>
      <c r="AC389" s="66">
        <f t="shared" si="300"/>
        <v>8.1232492997198875</v>
      </c>
    </row>
    <row r="390" spans="1:29" x14ac:dyDescent="0.3">
      <c r="A390" s="30" t="str">
        <f t="shared" si="295"/>
        <v>Opex maintenance &amp; repair</v>
      </c>
      <c r="B390" s="66">
        <f>B360/B370</f>
        <v>7.246856904861251</v>
      </c>
      <c r="C390" s="66">
        <f t="shared" ref="C390:AC390" si="301">C360/C370</f>
        <v>7.2314186839996299</v>
      </c>
      <c r="D390" s="66">
        <f t="shared" si="301"/>
        <v>7.2094986234726957</v>
      </c>
      <c r="E390" s="66">
        <f t="shared" si="301"/>
        <v>7.1785167243012031</v>
      </c>
      <c r="F390" s="66">
        <f t="shared" si="301"/>
        <v>7.1350186968241909</v>
      </c>
      <c r="G390" s="66">
        <f t="shared" si="301"/>
        <v>7.0745406483582061</v>
      </c>
      <c r="H390" s="66">
        <f t="shared" si="301"/>
        <v>6.9916275063996354</v>
      </c>
      <c r="I390" s="66">
        <f t="shared" si="301"/>
        <v>6.8802011282204152</v>
      </c>
      <c r="J390" s="66">
        <f t="shared" si="301"/>
        <v>6.7345453259470114</v>
      </c>
      <c r="K390" s="66">
        <f t="shared" si="301"/>
        <v>6.5511164620096221</v>
      </c>
      <c r="L390" s="66">
        <f t="shared" si="301"/>
        <v>6.3310070906111209</v>
      </c>
      <c r="M390" s="66">
        <f t="shared" si="301"/>
        <v>6.0821132124321657</v>
      </c>
      <c r="N390" s="66">
        <f t="shared" si="301"/>
        <v>5.8193569664245297</v>
      </c>
      <c r="O390" s="66">
        <f t="shared" si="301"/>
        <v>5.56177127186655</v>
      </c>
      <c r="P390" s="66">
        <f t="shared" si="301"/>
        <v>5.3272857120812445</v>
      </c>
      <c r="Q390" s="66">
        <f t="shared" si="301"/>
        <v>5.1280063776495748</v>
      </c>
      <c r="R390" s="66">
        <f t="shared" si="301"/>
        <v>4.9684193196765616</v>
      </c>
      <c r="S390" s="66">
        <f t="shared" si="301"/>
        <v>4.8466473114640678</v>
      </c>
      <c r="T390" s="66">
        <f t="shared" si="301"/>
        <v>4.7571351192987104</v>
      </c>
      <c r="U390" s="66">
        <f t="shared" si="301"/>
        <v>4.6931351968433184</v>
      </c>
      <c r="V390" s="66">
        <f t="shared" si="301"/>
        <v>4.6482807026882691</v>
      </c>
      <c r="W390" s="66">
        <f t="shared" si="301"/>
        <v>4.6172834902544588</v>
      </c>
      <c r="X390" s="66">
        <f t="shared" si="301"/>
        <v>4.5960705531356583</v>
      </c>
      <c r="Y390" s="66">
        <f t="shared" si="301"/>
        <v>4.5816503768907726</v>
      </c>
      <c r="Z390" s="66">
        <f t="shared" si="301"/>
        <v>4.5718924040849966</v>
      </c>
      <c r="AA390" s="66">
        <f t="shared" si="301"/>
        <v>4.5653096654426975</v>
      </c>
      <c r="AB390" s="66">
        <f t="shared" si="301"/>
        <v>4.5608781984889726</v>
      </c>
      <c r="AC390" s="66">
        <f t="shared" si="301"/>
        <v>4.5578991465246528</v>
      </c>
    </row>
    <row r="391" spans="1:29" x14ac:dyDescent="0.3">
      <c r="A391" s="30" t="str">
        <f t="shared" si="295"/>
        <v>Opex var (mode-fees, shunting)</v>
      </c>
      <c r="B391" s="66">
        <f>B361*B370/B370</f>
        <v>8.9635854341736696</v>
      </c>
      <c r="C391" s="66">
        <f t="shared" ref="C391:AC391" si="302">C361*C370/C370</f>
        <v>8.9635854341736696</v>
      </c>
      <c r="D391" s="66">
        <f t="shared" si="302"/>
        <v>8.9635854341736696</v>
      </c>
      <c r="E391" s="66">
        <f t="shared" si="302"/>
        <v>8.9635854341736696</v>
      </c>
      <c r="F391" s="66">
        <f t="shared" si="302"/>
        <v>8.9635854341736696</v>
      </c>
      <c r="G391" s="66">
        <f t="shared" si="302"/>
        <v>8.9635854341736696</v>
      </c>
      <c r="H391" s="66">
        <f t="shared" si="302"/>
        <v>8.9635854341736696</v>
      </c>
      <c r="I391" s="66">
        <f t="shared" si="302"/>
        <v>8.9635854341736696</v>
      </c>
      <c r="J391" s="66">
        <f t="shared" si="302"/>
        <v>8.9635854341736696</v>
      </c>
      <c r="K391" s="66">
        <f t="shared" si="302"/>
        <v>8.9635854341736696</v>
      </c>
      <c r="L391" s="66">
        <f t="shared" si="302"/>
        <v>8.9635854341736696</v>
      </c>
      <c r="M391" s="66">
        <f t="shared" si="302"/>
        <v>8.9635854341736696</v>
      </c>
      <c r="N391" s="66">
        <f t="shared" si="302"/>
        <v>8.9635854341736696</v>
      </c>
      <c r="O391" s="66">
        <f t="shared" si="302"/>
        <v>8.9635854341736696</v>
      </c>
      <c r="P391" s="66">
        <f t="shared" si="302"/>
        <v>8.9635854341736696</v>
      </c>
      <c r="Q391" s="66">
        <f t="shared" si="302"/>
        <v>8.9635854341736696</v>
      </c>
      <c r="R391" s="66">
        <f t="shared" si="302"/>
        <v>8.9635854341736696</v>
      </c>
      <c r="S391" s="66">
        <f t="shared" si="302"/>
        <v>8.9635854341736696</v>
      </c>
      <c r="T391" s="66">
        <f t="shared" si="302"/>
        <v>8.9635854341736696</v>
      </c>
      <c r="U391" s="66">
        <f t="shared" si="302"/>
        <v>8.9635854341736696</v>
      </c>
      <c r="V391" s="66">
        <f t="shared" si="302"/>
        <v>8.9635854341736696</v>
      </c>
      <c r="W391" s="66">
        <f t="shared" si="302"/>
        <v>8.9635854341736696</v>
      </c>
      <c r="X391" s="66">
        <f t="shared" si="302"/>
        <v>8.9635854341736696</v>
      </c>
      <c r="Y391" s="66">
        <f t="shared" si="302"/>
        <v>8.9635854341736696</v>
      </c>
      <c r="Z391" s="66">
        <f t="shared" si="302"/>
        <v>8.9635854341736696</v>
      </c>
      <c r="AA391" s="66">
        <f t="shared" si="302"/>
        <v>8.9635854341736696</v>
      </c>
      <c r="AB391" s="66">
        <f t="shared" si="302"/>
        <v>8.9635854341736696</v>
      </c>
      <c r="AC391" s="66">
        <f t="shared" si="302"/>
        <v>8.9635854341736696</v>
      </c>
    </row>
    <row r="392" spans="1:29" x14ac:dyDescent="0.3">
      <c r="A392" s="30" t="str">
        <f t="shared" si="295"/>
        <v>Fuel Cost</v>
      </c>
      <c r="B392" s="66">
        <f>B362*B363*B370/B370</f>
        <v>2.5078650576054793</v>
      </c>
      <c r="C392" s="66">
        <f t="shared" ref="C392:AC392" si="303">C362*C363*C370/C370</f>
        <v>2.5049046003842381</v>
      </c>
      <c r="D392" s="66">
        <f t="shared" si="303"/>
        <v>2.500701175516912</v>
      </c>
      <c r="E392" s="66">
        <f t="shared" si="303"/>
        <v>2.4947600383902864</v>
      </c>
      <c r="F392" s="66">
        <f t="shared" si="303"/>
        <v>2.486418789051497</v>
      </c>
      <c r="G392" s="66">
        <f t="shared" si="303"/>
        <v>2.4748214245033058</v>
      </c>
      <c r="H392" s="66">
        <f t="shared" si="303"/>
        <v>2.4589218715660066</v>
      </c>
      <c r="I392" s="66">
        <f t="shared" si="303"/>
        <v>2.4375545761454895</v>
      </c>
      <c r="J392" s="66">
        <f t="shared" si="303"/>
        <v>2.4096233931729762</v>
      </c>
      <c r="K392" s="66">
        <f t="shared" si="303"/>
        <v>2.3744487892017694</v>
      </c>
      <c r="L392" s="66">
        <f t="shared" si="303"/>
        <v>2.3322402741234858</v>
      </c>
      <c r="M392" s="66">
        <f t="shared" si="303"/>
        <v>2.2845119972979209</v>
      </c>
      <c r="N392" s="66">
        <f t="shared" si="303"/>
        <v>2.2341254512773641</v>
      </c>
      <c r="O392" s="66">
        <f t="shared" si="303"/>
        <v>2.184730418237101</v>
      </c>
      <c r="P392" s="66">
        <f t="shared" si="303"/>
        <v>2.1397651029351961</v>
      </c>
      <c r="Q392" s="66">
        <f t="shared" si="303"/>
        <v>2.1015509881126104</v>
      </c>
      <c r="R392" s="66">
        <f t="shared" si="303"/>
        <v>2.0709483258999346</v>
      </c>
      <c r="S392" s="66">
        <f t="shared" si="303"/>
        <v>2.0475971363885876</v>
      </c>
      <c r="T392" s="66">
        <f t="shared" si="303"/>
        <v>2.0304321393296423</v>
      </c>
      <c r="U392" s="66">
        <f t="shared" si="303"/>
        <v>2.0181594147527466</v>
      </c>
      <c r="V392" s="66">
        <f t="shared" si="303"/>
        <v>2.0095580472560193</v>
      </c>
      <c r="W392" s="66">
        <f t="shared" si="303"/>
        <v>2.0036139736344172</v>
      </c>
      <c r="X392" s="66">
        <f t="shared" si="303"/>
        <v>1.9995461478506049</v>
      </c>
      <c r="Y392" s="66">
        <f t="shared" si="303"/>
        <v>1.9967809124469664</v>
      </c>
      <c r="Z392" s="66">
        <f t="shared" si="303"/>
        <v>1.9949097084192176</v>
      </c>
      <c r="AA392" s="66">
        <f t="shared" si="303"/>
        <v>1.9936473922285236</v>
      </c>
      <c r="AB392" s="66">
        <f t="shared" si="303"/>
        <v>1.9927976072396028</v>
      </c>
      <c r="AC392" s="66">
        <f t="shared" si="303"/>
        <v>1.9922263396058988</v>
      </c>
    </row>
    <row r="393" spans="1:29" ht="15" thickBot="1" x14ac:dyDescent="0.35">
      <c r="A393" s="59" t="str">
        <f t="shared" ref="A393" si="304">A381</f>
        <v>Emission Cost</v>
      </c>
      <c r="B393" s="66">
        <f>B364</f>
        <v>6.2761939613426576E-2</v>
      </c>
      <c r="C393" s="66">
        <f t="shared" ref="C393:AC393" si="305">C364</f>
        <v>6.2702174954862022E-2</v>
      </c>
      <c r="D393" s="66">
        <f t="shared" si="305"/>
        <v>6.2616623177277314E-2</v>
      </c>
      <c r="E393" s="66">
        <f t="shared" si="305"/>
        <v>6.249423534317243E-2</v>
      </c>
      <c r="F393" s="66">
        <f t="shared" si="305"/>
        <v>6.2319316122020151E-2</v>
      </c>
      <c r="G393" s="66">
        <f t="shared" si="305"/>
        <v>6.2069668591824577E-2</v>
      </c>
      <c r="H393" s="66">
        <f t="shared" si="305"/>
        <v>6.1714109263582916E-2</v>
      </c>
      <c r="I393" s="66">
        <f t="shared" si="305"/>
        <v>6.120926598754526E-2</v>
      </c>
      <c r="J393" s="66">
        <f t="shared" si="305"/>
        <v>6.0495718529207473E-2</v>
      </c>
      <c r="K393" s="66">
        <f t="shared" si="305"/>
        <v>5.9493910771163734E-2</v>
      </c>
      <c r="L393" s="66">
        <f t="shared" si="305"/>
        <v>5.8101034320005455E-2</v>
      </c>
      <c r="M393" s="66">
        <f t="shared" si="305"/>
        <v>5.6191452813079128E-2</v>
      </c>
      <c r="N393" s="66">
        <f t="shared" si="305"/>
        <v>5.3625179890251798E-2</v>
      </c>
      <c r="O393" s="66">
        <f t="shared" si="305"/>
        <v>5.0270565412648349E-2</v>
      </c>
      <c r="P393" s="66">
        <f t="shared" si="305"/>
        <v>4.6045995481546684E-2</v>
      </c>
      <c r="Q393" s="66">
        <f t="shared" si="305"/>
        <v>4.0976632830523538E-2</v>
      </c>
      <c r="R393" s="66">
        <f t="shared" si="305"/>
        <v>3.5244331102105231E-2</v>
      </c>
      <c r="S393" s="66">
        <f t="shared" si="305"/>
        <v>2.9192763686456215E-2</v>
      </c>
      <c r="T393" s="66">
        <f t="shared" si="305"/>
        <v>2.32602797984078E-2</v>
      </c>
      <c r="U393" s="66">
        <f t="shared" si="305"/>
        <v>1.7859817603512018E-2</v>
      </c>
      <c r="V393" s="66">
        <f t="shared" si="305"/>
        <v>1.3270193778456035E-2</v>
      </c>
      <c r="W393" s="66">
        <f t="shared" si="305"/>
        <v>9.5947270496434117E-3</v>
      </c>
      <c r="X393" s="66">
        <f t="shared" si="305"/>
        <v>6.7901828067048406E-3</v>
      </c>
      <c r="Y393" s="66">
        <f t="shared" si="305"/>
        <v>4.7286178633715731E-3</v>
      </c>
      <c r="Z393" s="66">
        <f t="shared" si="305"/>
        <v>3.2546287528563561E-3</v>
      </c>
      <c r="AA393" s="66">
        <f t="shared" si="305"/>
        <v>2.2215800645818892E-3</v>
      </c>
      <c r="AB393" s="66">
        <f t="shared" si="305"/>
        <v>1.5076799248495282E-3</v>
      </c>
      <c r="AC393" s="66">
        <f t="shared" si="305"/>
        <v>1.0191224842221736E-3</v>
      </c>
    </row>
    <row r="394" spans="1:29" ht="15" thickBot="1" x14ac:dyDescent="0.35">
      <c r="A394" s="31" t="s">
        <v>63</v>
      </c>
      <c r="B394" s="76">
        <f>B385+B386+B387-B388+B389+B390+B391+B392+B393</f>
        <v>33.312246276627157</v>
      </c>
      <c r="C394" s="76">
        <f t="shared" ref="C394:AC394" si="306">C385+C386+C387-C388+C389+C390+C391+C392+C393</f>
        <v>33.282226258513404</v>
      </c>
      <c r="D394" s="76">
        <f t="shared" si="306"/>
        <v>33.239601441685345</v>
      </c>
      <c r="E394" s="76">
        <f t="shared" si="306"/>
        <v>33.179353890464789</v>
      </c>
      <c r="F394" s="76">
        <f t="shared" si="306"/>
        <v>33.094764326596845</v>
      </c>
      <c r="G394" s="76">
        <f t="shared" si="306"/>
        <v>32.977147679542703</v>
      </c>
      <c r="H394" s="76">
        <f t="shared" si="306"/>
        <v>32.815886354575319</v>
      </c>
      <c r="I394" s="76">
        <f t="shared" si="306"/>
        <v>32.599141404245053</v>
      </c>
      <c r="J394" s="76">
        <f t="shared" si="306"/>
        <v>32.315760262350402</v>
      </c>
      <c r="K394" s="76">
        <f t="shared" si="306"/>
        <v>31.958786396424411</v>
      </c>
      <c r="L394" s="76">
        <f t="shared" si="306"/>
        <v>31.530237268351247</v>
      </c>
      <c r="M394" s="76">
        <f t="shared" si="306"/>
        <v>31.045310651362886</v>
      </c>
      <c r="N394" s="76">
        <f t="shared" si="306"/>
        <v>30.532825275851337</v>
      </c>
      <c r="O394" s="76">
        <f t="shared" si="306"/>
        <v>30.029585812947033</v>
      </c>
      <c r="P394" s="76">
        <f t="shared" si="306"/>
        <v>29.570305776086087</v>
      </c>
      <c r="Q394" s="76">
        <f t="shared" si="306"/>
        <v>29.178504067689335</v>
      </c>
      <c r="R394" s="76">
        <f t="shared" si="306"/>
        <v>28.863068416857629</v>
      </c>
      <c r="S394" s="76">
        <f t="shared" si="306"/>
        <v>28.620699448460631</v>
      </c>
      <c r="T394" s="76">
        <f t="shared" si="306"/>
        <v>28.441054722168332</v>
      </c>
      <c r="U394" s="76">
        <f t="shared" si="306"/>
        <v>28.311452519691105</v>
      </c>
      <c r="V394" s="76">
        <f t="shared" si="306"/>
        <v>28.219815817997731</v>
      </c>
      <c r="W394" s="76">
        <f t="shared" si="306"/>
        <v>28.155985470130371</v>
      </c>
      <c r="X394" s="76">
        <f t="shared" si="306"/>
        <v>28.112013943091615</v>
      </c>
      <c r="Y394" s="76">
        <f t="shared" si="306"/>
        <v>28.081967797603813</v>
      </c>
      <c r="Z394" s="76">
        <f t="shared" si="306"/>
        <v>28.061556954234611</v>
      </c>
      <c r="AA394" s="76">
        <f t="shared" si="306"/>
        <v>28.047749083892963</v>
      </c>
      <c r="AB394" s="76">
        <f t="shared" si="306"/>
        <v>28.038435237276108</v>
      </c>
      <c r="AC394" s="76">
        <f t="shared" si="306"/>
        <v>28.032165369106274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307">A373</f>
        <v>Capex vehicle</v>
      </c>
      <c r="B397" s="65">
        <f>((1+B358)^B365)*B358/(((1+B358)^B365)-1)*(B354)/B370/(B367)</f>
        <v>2.1696909640280381E-3</v>
      </c>
      <c r="C397" s="65">
        <f t="shared" ref="C397:AC397" si="308">((1+C358)^C365)*C358/(((1+C358)^C365)-1)*(C354)/C370/(C367)</f>
        <v>2.1650687990337689E-3</v>
      </c>
      <c r="D397" s="65">
        <f t="shared" si="308"/>
        <v>2.1585059873375245E-3</v>
      </c>
      <c r="E397" s="65">
        <f t="shared" si="308"/>
        <v>2.1492300836508209E-3</v>
      </c>
      <c r="F397" s="65">
        <f t="shared" si="308"/>
        <v>2.1362068822258539E-3</v>
      </c>
      <c r="G397" s="65">
        <f t="shared" si="308"/>
        <v>2.1180999046766392E-3</v>
      </c>
      <c r="H397" s="65">
        <f t="shared" si="308"/>
        <v>2.093275915840043E-3</v>
      </c>
      <c r="I397" s="65">
        <f t="shared" si="308"/>
        <v>2.0599151348747601E-3</v>
      </c>
      <c r="J397" s="65">
        <f t="shared" si="308"/>
        <v>2.0163061493242286E-3</v>
      </c>
      <c r="K397" s="65">
        <f t="shared" si="308"/>
        <v>1.9613880028985821E-3</v>
      </c>
      <c r="L397" s="65">
        <f t="shared" si="308"/>
        <v>1.8954878036134461E-3</v>
      </c>
      <c r="M397" s="65">
        <f t="shared" si="308"/>
        <v>1.8209695944675583E-3</v>
      </c>
      <c r="N397" s="65">
        <f t="shared" si="308"/>
        <v>1.7423010268127629E-3</v>
      </c>
      <c r="O397" s="65">
        <f t="shared" si="308"/>
        <v>1.6651805094239855E-3</v>
      </c>
      <c r="P397" s="65">
        <f t="shared" si="308"/>
        <v>1.5949761150306102E-3</v>
      </c>
      <c r="Q397" s="65">
        <f t="shared" si="308"/>
        <v>1.5353123770942534E-3</v>
      </c>
      <c r="R397" s="65">
        <f t="shared" si="308"/>
        <v>1.4875324081773025E-3</v>
      </c>
      <c r="S397" s="65">
        <f t="shared" si="308"/>
        <v>1.4510741712673173E-3</v>
      </c>
      <c r="T397" s="65">
        <f t="shared" si="308"/>
        <v>1.4242744431836509E-3</v>
      </c>
      <c r="U397" s="65">
        <f t="shared" si="308"/>
        <v>1.4051130253065005E-3</v>
      </c>
      <c r="V397" s="65">
        <f t="shared" si="308"/>
        <v>1.3916837011261137E-3</v>
      </c>
      <c r="W397" s="65">
        <f t="shared" si="308"/>
        <v>1.3824032126866935E-3</v>
      </c>
      <c r="X397" s="65">
        <f t="shared" si="308"/>
        <v>1.3760521119831207E-3</v>
      </c>
      <c r="Y397" s="65">
        <f t="shared" si="308"/>
        <v>1.3717347470193894E-3</v>
      </c>
      <c r="Z397" s="65">
        <f t="shared" si="308"/>
        <v>1.3688132341895007E-3</v>
      </c>
      <c r="AA397" s="65">
        <f t="shared" si="308"/>
        <v>1.3668423785843384E-3</v>
      </c>
      <c r="AB397" s="65">
        <f t="shared" si="308"/>
        <v>1.3655156083813228E-3</v>
      </c>
      <c r="AC397" s="65">
        <f t="shared" si="308"/>
        <v>1.364623687619921E-3</v>
      </c>
    </row>
    <row r="398" spans="1:29" x14ac:dyDescent="0.3">
      <c r="A398" s="30" t="str">
        <f t="shared" si="307"/>
        <v>Residual value (vehicle)</v>
      </c>
      <c r="B398" s="68">
        <f>((1+B358)^B365)*B358/(((1+B358)^B365)-1)*(B355)/B370/(B367)</f>
        <v>-1.1028374067486764E-4</v>
      </c>
      <c r="C398" s="68">
        <f t="shared" ref="C398:AC398" si="309">((1+C358)^C365)*C358/(((1+C358)^C365)-1)*(C355)/C370/(C367)</f>
        <v>-1.1082299325753238E-4</v>
      </c>
      <c r="D398" s="68">
        <f t="shared" si="309"/>
        <v>-1.115886546220943E-4</v>
      </c>
      <c r="E398" s="68">
        <f t="shared" si="309"/>
        <v>-1.1267084338554303E-4</v>
      </c>
      <c r="F398" s="68">
        <f t="shared" si="309"/>
        <v>-1.1419021688512248E-4</v>
      </c>
      <c r="G398" s="68">
        <f t="shared" si="309"/>
        <v>-1.1630269759919755E-4</v>
      </c>
      <c r="H398" s="68">
        <f t="shared" si="309"/>
        <v>-1.1919882963013374E-4</v>
      </c>
      <c r="I398" s="68">
        <f t="shared" si="309"/>
        <v>-1.230909207427501E-4</v>
      </c>
      <c r="J398" s="68">
        <f t="shared" si="309"/>
        <v>-1.2817863572364536E-4</v>
      </c>
      <c r="K398" s="68">
        <f t="shared" si="309"/>
        <v>-1.345857528066375E-4</v>
      </c>
      <c r="L398" s="68">
        <f t="shared" si="309"/>
        <v>-1.4227410938990337E-4</v>
      </c>
      <c r="M398" s="68">
        <f t="shared" si="309"/>
        <v>-1.5096790045692366E-4</v>
      </c>
      <c r="N398" s="68">
        <f t="shared" si="309"/>
        <v>-1.6014590001664974E-4</v>
      </c>
      <c r="O398" s="68">
        <f t="shared" si="309"/>
        <v>-1.6914329371200715E-4</v>
      </c>
      <c r="P398" s="68">
        <f t="shared" si="309"/>
        <v>-1.7733380639123428E-4</v>
      </c>
      <c r="Q398" s="68">
        <f t="shared" si="309"/>
        <v>-1.842945758171425E-4</v>
      </c>
      <c r="R398" s="68">
        <f t="shared" si="309"/>
        <v>-1.8986890552412014E-4</v>
      </c>
      <c r="S398" s="68">
        <f t="shared" si="309"/>
        <v>-1.9412236649695181E-4</v>
      </c>
      <c r="T398" s="68">
        <f t="shared" si="309"/>
        <v>-1.9724900144004614E-4</v>
      </c>
      <c r="U398" s="68">
        <f t="shared" si="309"/>
        <v>-1.9948450019238032E-4</v>
      </c>
      <c r="V398" s="68">
        <f t="shared" si="309"/>
        <v>-2.0105125468009212E-4</v>
      </c>
      <c r="W398" s="68">
        <f t="shared" si="309"/>
        <v>-2.0213397833135783E-4</v>
      </c>
      <c r="X398" s="68">
        <f t="shared" si="309"/>
        <v>-2.0287494008010802E-4</v>
      </c>
      <c r="Y398" s="68">
        <f t="shared" si="309"/>
        <v>-2.0337863265920998E-4</v>
      </c>
      <c r="Z398" s="68">
        <f t="shared" si="309"/>
        <v>-2.0371947582269707E-4</v>
      </c>
      <c r="AA398" s="68">
        <f t="shared" si="309"/>
        <v>-2.0394940897663265E-4</v>
      </c>
      <c r="AB398" s="68">
        <f t="shared" si="309"/>
        <v>-2.0410419883365111E-4</v>
      </c>
      <c r="AC398" s="68">
        <f t="shared" si="309"/>
        <v>-2.0420825625581466E-4</v>
      </c>
    </row>
    <row r="399" spans="1:29" x14ac:dyDescent="0.3">
      <c r="A399" s="30" t="str">
        <f t="shared" si="307"/>
        <v>Capex costumization</v>
      </c>
      <c r="B399" s="66">
        <f>((1+B358)^B366)*B358/(((1+B358)^B366)-1)*(B356)/B370/(B367)</f>
        <v>7.6311881817276459E-4</v>
      </c>
      <c r="C399" s="66">
        <f t="shared" ref="C399:AC399" si="310">((1+C358)^C366)*C358/(((1+C358)^C366)-1)*(C356)/C370/(C367)</f>
        <v>7.6311881817276459E-4</v>
      </c>
      <c r="D399" s="66">
        <f t="shared" si="310"/>
        <v>7.6311881817276459E-4</v>
      </c>
      <c r="E399" s="66">
        <f t="shared" si="310"/>
        <v>7.6311881817276459E-4</v>
      </c>
      <c r="F399" s="66">
        <f t="shared" si="310"/>
        <v>7.6311881817276459E-4</v>
      </c>
      <c r="G399" s="66">
        <f t="shared" si="310"/>
        <v>7.6311881817276459E-4</v>
      </c>
      <c r="H399" s="66">
        <f t="shared" si="310"/>
        <v>7.6311881817276459E-4</v>
      </c>
      <c r="I399" s="66">
        <f t="shared" si="310"/>
        <v>7.6311881817276459E-4</v>
      </c>
      <c r="J399" s="66">
        <f t="shared" si="310"/>
        <v>7.6311881817276459E-4</v>
      </c>
      <c r="K399" s="66">
        <f t="shared" si="310"/>
        <v>7.6311881817276459E-4</v>
      </c>
      <c r="L399" s="66">
        <f t="shared" si="310"/>
        <v>7.6311881817276459E-4</v>
      </c>
      <c r="M399" s="66">
        <f t="shared" si="310"/>
        <v>7.6311881817276459E-4</v>
      </c>
      <c r="N399" s="66">
        <f t="shared" si="310"/>
        <v>7.6311881817276459E-4</v>
      </c>
      <c r="O399" s="66">
        <f t="shared" si="310"/>
        <v>7.6311881817276459E-4</v>
      </c>
      <c r="P399" s="66">
        <f t="shared" si="310"/>
        <v>7.6311881817276459E-4</v>
      </c>
      <c r="Q399" s="66">
        <f t="shared" si="310"/>
        <v>7.6311881817276459E-4</v>
      </c>
      <c r="R399" s="66">
        <f t="shared" si="310"/>
        <v>7.6311881817276459E-4</v>
      </c>
      <c r="S399" s="66">
        <f t="shared" si="310"/>
        <v>7.6311881817276459E-4</v>
      </c>
      <c r="T399" s="66">
        <f t="shared" si="310"/>
        <v>7.6311881817276459E-4</v>
      </c>
      <c r="U399" s="66">
        <f t="shared" si="310"/>
        <v>7.6311881817276459E-4</v>
      </c>
      <c r="V399" s="66">
        <f t="shared" si="310"/>
        <v>7.6311881817276459E-4</v>
      </c>
      <c r="W399" s="66">
        <f t="shared" si="310"/>
        <v>7.6311881817276459E-4</v>
      </c>
      <c r="X399" s="66">
        <f t="shared" si="310"/>
        <v>7.6311881817276459E-4</v>
      </c>
      <c r="Y399" s="66">
        <f t="shared" si="310"/>
        <v>7.6311881817276459E-4</v>
      </c>
      <c r="Z399" s="66">
        <f t="shared" si="310"/>
        <v>7.6311881817276459E-4</v>
      </c>
      <c r="AA399" s="66">
        <f t="shared" si="310"/>
        <v>7.6311881817276459E-4</v>
      </c>
      <c r="AB399" s="66">
        <f t="shared" si="310"/>
        <v>7.6311881817276459E-4</v>
      </c>
      <c r="AC399" s="66">
        <f t="shared" si="310"/>
        <v>7.6311881817276459E-4</v>
      </c>
    </row>
    <row r="400" spans="1:29" x14ac:dyDescent="0.3">
      <c r="A400" s="30" t="str">
        <f t="shared" si="307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11">((1+C358)^C366)*C358/(((1+C358)^C366)-1)*(C357)/C370/(C367)</f>
        <v>-3.8155940908638231E-5</v>
      </c>
      <c r="D400" s="69">
        <f t="shared" si="311"/>
        <v>-3.8155940908638231E-5</v>
      </c>
      <c r="E400" s="69">
        <f t="shared" si="311"/>
        <v>-3.8155940908638231E-5</v>
      </c>
      <c r="F400" s="69">
        <f t="shared" si="311"/>
        <v>-3.8155940908638231E-5</v>
      </c>
      <c r="G400" s="69">
        <f t="shared" si="311"/>
        <v>-3.8155940908638231E-5</v>
      </c>
      <c r="H400" s="69">
        <f t="shared" si="311"/>
        <v>-3.8155940908638231E-5</v>
      </c>
      <c r="I400" s="69">
        <f t="shared" si="311"/>
        <v>-3.8155940908638231E-5</v>
      </c>
      <c r="J400" s="69">
        <f t="shared" si="311"/>
        <v>-3.8155940908638231E-5</v>
      </c>
      <c r="K400" s="69">
        <f t="shared" si="311"/>
        <v>-3.8155940908638231E-5</v>
      </c>
      <c r="L400" s="69">
        <f t="shared" si="311"/>
        <v>-3.8155940908638231E-5</v>
      </c>
      <c r="M400" s="69">
        <f t="shared" si="311"/>
        <v>-3.8155940908638231E-5</v>
      </c>
      <c r="N400" s="69">
        <f t="shared" si="311"/>
        <v>-3.8155940908638231E-5</v>
      </c>
      <c r="O400" s="69">
        <f t="shared" si="311"/>
        <v>-3.8155940908638231E-5</v>
      </c>
      <c r="P400" s="69">
        <f t="shared" si="311"/>
        <v>-3.8155940908638231E-5</v>
      </c>
      <c r="Q400" s="69">
        <f t="shared" si="311"/>
        <v>-3.8155940908638231E-5</v>
      </c>
      <c r="R400" s="69">
        <f t="shared" si="311"/>
        <v>-3.8155940908638231E-5</v>
      </c>
      <c r="S400" s="69">
        <f t="shared" si="311"/>
        <v>-3.8155940908638231E-5</v>
      </c>
      <c r="T400" s="69">
        <f t="shared" si="311"/>
        <v>-3.8155940908638231E-5</v>
      </c>
      <c r="U400" s="69">
        <f t="shared" si="311"/>
        <v>-3.8155940908638231E-5</v>
      </c>
      <c r="V400" s="69">
        <f t="shared" si="311"/>
        <v>-3.8155940908638231E-5</v>
      </c>
      <c r="W400" s="69">
        <f t="shared" si="311"/>
        <v>-3.8155940908638231E-5</v>
      </c>
      <c r="X400" s="69">
        <f t="shared" si="311"/>
        <v>-3.8155940908638231E-5</v>
      </c>
      <c r="Y400" s="69">
        <f t="shared" si="311"/>
        <v>-3.8155940908638231E-5</v>
      </c>
      <c r="Z400" s="69">
        <f t="shared" si="311"/>
        <v>-3.8155940908638231E-5</v>
      </c>
      <c r="AA400" s="69">
        <f t="shared" si="311"/>
        <v>-3.8155940908638231E-5</v>
      </c>
      <c r="AB400" s="69">
        <f t="shared" si="311"/>
        <v>-3.8155940908638231E-5</v>
      </c>
      <c r="AC400" s="69">
        <f t="shared" si="311"/>
        <v>-3.8155940908638231E-5</v>
      </c>
    </row>
    <row r="401" spans="1:29" x14ac:dyDescent="0.3">
      <c r="A401" s="30" t="str">
        <f t="shared" si="307"/>
        <v>Opex fix (admin, crew, insurance)</v>
      </c>
      <c r="B401" s="66">
        <f>B359/B370/(B367)</f>
        <v>3.6264505802320927E-3</v>
      </c>
      <c r="C401" s="66">
        <f t="shared" ref="C401:AC401" si="312">C359/C370/(C367)</f>
        <v>3.6264505802320927E-3</v>
      </c>
      <c r="D401" s="66">
        <f t="shared" si="312"/>
        <v>3.6264505802320927E-3</v>
      </c>
      <c r="E401" s="66">
        <f t="shared" si="312"/>
        <v>3.6264505802320927E-3</v>
      </c>
      <c r="F401" s="66">
        <f t="shared" si="312"/>
        <v>3.6264505802320927E-3</v>
      </c>
      <c r="G401" s="66">
        <f t="shared" si="312"/>
        <v>3.6264505802320927E-3</v>
      </c>
      <c r="H401" s="66">
        <f t="shared" si="312"/>
        <v>3.6264505802320927E-3</v>
      </c>
      <c r="I401" s="66">
        <f t="shared" si="312"/>
        <v>3.6264505802320927E-3</v>
      </c>
      <c r="J401" s="66">
        <f t="shared" si="312"/>
        <v>3.6264505802320927E-3</v>
      </c>
      <c r="K401" s="66">
        <f t="shared" si="312"/>
        <v>3.6264505802320927E-3</v>
      </c>
      <c r="L401" s="66">
        <f t="shared" si="312"/>
        <v>3.6264505802320927E-3</v>
      </c>
      <c r="M401" s="66">
        <f t="shared" si="312"/>
        <v>3.6264505802320927E-3</v>
      </c>
      <c r="N401" s="66">
        <f t="shared" si="312"/>
        <v>3.6264505802320927E-3</v>
      </c>
      <c r="O401" s="66">
        <f t="shared" si="312"/>
        <v>3.6264505802320927E-3</v>
      </c>
      <c r="P401" s="66">
        <f t="shared" si="312"/>
        <v>3.6264505802320927E-3</v>
      </c>
      <c r="Q401" s="66">
        <f t="shared" si="312"/>
        <v>3.6264505802320927E-3</v>
      </c>
      <c r="R401" s="66">
        <f t="shared" si="312"/>
        <v>3.6264505802320927E-3</v>
      </c>
      <c r="S401" s="66">
        <f t="shared" si="312"/>
        <v>3.6264505802320927E-3</v>
      </c>
      <c r="T401" s="66">
        <f t="shared" si="312"/>
        <v>3.6264505802320927E-3</v>
      </c>
      <c r="U401" s="66">
        <f t="shared" si="312"/>
        <v>3.6264505802320927E-3</v>
      </c>
      <c r="V401" s="66">
        <f t="shared" si="312"/>
        <v>3.6264505802320927E-3</v>
      </c>
      <c r="W401" s="66">
        <f t="shared" si="312"/>
        <v>3.6264505802320927E-3</v>
      </c>
      <c r="X401" s="66">
        <f t="shared" si="312"/>
        <v>3.6264505802320927E-3</v>
      </c>
      <c r="Y401" s="66">
        <f t="shared" si="312"/>
        <v>3.6264505802320927E-3</v>
      </c>
      <c r="Z401" s="66">
        <f t="shared" si="312"/>
        <v>3.6264505802320927E-3</v>
      </c>
      <c r="AA401" s="66">
        <f t="shared" si="312"/>
        <v>3.6264505802320927E-3</v>
      </c>
      <c r="AB401" s="66">
        <f t="shared" si="312"/>
        <v>3.6264505802320927E-3</v>
      </c>
      <c r="AC401" s="66">
        <f t="shared" si="312"/>
        <v>3.6264505802320927E-3</v>
      </c>
    </row>
    <row r="402" spans="1:29" x14ac:dyDescent="0.3">
      <c r="A402" s="30" t="str">
        <f t="shared" si="307"/>
        <v>Opex maintenance &amp; repair</v>
      </c>
      <c r="B402" s="66">
        <f>B360/B370/(B367)</f>
        <v>3.235203975384487E-3</v>
      </c>
      <c r="C402" s="66">
        <f t="shared" ref="C402:AC402" si="313">C360/C370/(C367)</f>
        <v>3.228311912499835E-3</v>
      </c>
      <c r="D402" s="66">
        <f t="shared" si="313"/>
        <v>3.2185261711931679E-3</v>
      </c>
      <c r="E402" s="66">
        <f t="shared" si="313"/>
        <v>3.2046949662058941E-3</v>
      </c>
      <c r="F402" s="66">
        <f t="shared" si="313"/>
        <v>3.1852762039393709E-3</v>
      </c>
      <c r="G402" s="66">
        <f t="shared" si="313"/>
        <v>3.1582770751599136E-3</v>
      </c>
      <c r="H402" s="66">
        <f t="shared" si="313"/>
        <v>3.1212622796426945E-3</v>
      </c>
      <c r="I402" s="66">
        <f t="shared" si="313"/>
        <v>3.0715183608126854E-3</v>
      </c>
      <c r="J402" s="66">
        <f t="shared" si="313"/>
        <v>3.0064934490834873E-3</v>
      </c>
      <c r="K402" s="66">
        <f t="shared" si="313"/>
        <v>2.9246055633971525E-3</v>
      </c>
      <c r="L402" s="66">
        <f t="shared" si="313"/>
        <v>2.826342451165679E-3</v>
      </c>
      <c r="M402" s="66">
        <f t="shared" si="313"/>
        <v>2.7152291126929309E-3</v>
      </c>
      <c r="N402" s="66">
        <f t="shared" si="313"/>
        <v>2.5979272171538078E-3</v>
      </c>
      <c r="O402" s="66">
        <f t="shared" si="313"/>
        <v>2.4829336035118526E-3</v>
      </c>
      <c r="P402" s="66">
        <f t="shared" si="313"/>
        <v>2.37825255003627E-3</v>
      </c>
      <c r="Q402" s="66">
        <f t="shared" si="313"/>
        <v>2.2892885614507032E-3</v>
      </c>
      <c r="R402" s="66">
        <f t="shared" si="313"/>
        <v>2.218044339141322E-3</v>
      </c>
      <c r="S402" s="66">
        <f t="shared" si="313"/>
        <v>2.1636818354750301E-3</v>
      </c>
      <c r="T402" s="66">
        <f t="shared" si="313"/>
        <v>2.12372103540121E-3</v>
      </c>
      <c r="U402" s="66">
        <f t="shared" si="313"/>
        <v>2.0951496414479101E-3</v>
      </c>
      <c r="V402" s="66">
        <f t="shared" si="313"/>
        <v>2.0751253137001203E-3</v>
      </c>
      <c r="W402" s="66">
        <f t="shared" si="313"/>
        <v>2.0612872724350261E-3</v>
      </c>
      <c r="X402" s="66">
        <f t="shared" si="313"/>
        <v>2.0518172112212762E-3</v>
      </c>
      <c r="Y402" s="66">
        <f t="shared" si="313"/>
        <v>2.0453796325405234E-3</v>
      </c>
      <c r="Z402" s="66">
        <f t="shared" si="313"/>
        <v>2.0410233946808022E-3</v>
      </c>
      <c r="AA402" s="66">
        <f t="shared" si="313"/>
        <v>2.0380846720726327E-3</v>
      </c>
      <c r="AB402" s="66">
        <f t="shared" si="313"/>
        <v>2.0361063386111484E-3</v>
      </c>
      <c r="AC402" s="66">
        <f t="shared" si="313"/>
        <v>2.0347764046985059E-3</v>
      </c>
    </row>
    <row r="403" spans="1:29" x14ac:dyDescent="0.3">
      <c r="A403" s="30" t="str">
        <f t="shared" si="307"/>
        <v>Opex var (mode-fees, shunting)</v>
      </c>
      <c r="B403" s="66">
        <f>B361*B370/B370/(B367)</f>
        <v>4.0016006402561026E-3</v>
      </c>
      <c r="C403" s="66">
        <f t="shared" ref="C403:AC403" si="314">C361*C370/C370/(C367)</f>
        <v>4.0016006402561026E-3</v>
      </c>
      <c r="D403" s="66">
        <f t="shared" si="314"/>
        <v>4.0016006402561026E-3</v>
      </c>
      <c r="E403" s="66">
        <f t="shared" si="314"/>
        <v>4.0016006402561026E-3</v>
      </c>
      <c r="F403" s="66">
        <f t="shared" si="314"/>
        <v>4.0016006402561026E-3</v>
      </c>
      <c r="G403" s="66">
        <f t="shared" si="314"/>
        <v>4.0016006402561026E-3</v>
      </c>
      <c r="H403" s="66">
        <f t="shared" si="314"/>
        <v>4.0016006402561026E-3</v>
      </c>
      <c r="I403" s="66">
        <f t="shared" si="314"/>
        <v>4.0016006402561026E-3</v>
      </c>
      <c r="J403" s="66">
        <f t="shared" si="314"/>
        <v>4.0016006402561026E-3</v>
      </c>
      <c r="K403" s="66">
        <f t="shared" si="314"/>
        <v>4.0016006402561026E-3</v>
      </c>
      <c r="L403" s="66">
        <f t="shared" si="314"/>
        <v>4.0016006402561026E-3</v>
      </c>
      <c r="M403" s="66">
        <f t="shared" si="314"/>
        <v>4.0016006402561026E-3</v>
      </c>
      <c r="N403" s="66">
        <f t="shared" si="314"/>
        <v>4.0016006402561026E-3</v>
      </c>
      <c r="O403" s="66">
        <f t="shared" si="314"/>
        <v>4.0016006402561026E-3</v>
      </c>
      <c r="P403" s="66">
        <f t="shared" si="314"/>
        <v>4.0016006402561026E-3</v>
      </c>
      <c r="Q403" s="66">
        <f t="shared" si="314"/>
        <v>4.0016006402561026E-3</v>
      </c>
      <c r="R403" s="66">
        <f t="shared" si="314"/>
        <v>4.0016006402561026E-3</v>
      </c>
      <c r="S403" s="66">
        <f t="shared" si="314"/>
        <v>4.0016006402561026E-3</v>
      </c>
      <c r="T403" s="66">
        <f t="shared" si="314"/>
        <v>4.0016006402561026E-3</v>
      </c>
      <c r="U403" s="66">
        <f t="shared" si="314"/>
        <v>4.0016006402561026E-3</v>
      </c>
      <c r="V403" s="66">
        <f t="shared" si="314"/>
        <v>4.0016006402561026E-3</v>
      </c>
      <c r="W403" s="66">
        <f t="shared" si="314"/>
        <v>4.0016006402561026E-3</v>
      </c>
      <c r="X403" s="66">
        <f t="shared" si="314"/>
        <v>4.0016006402561026E-3</v>
      </c>
      <c r="Y403" s="66">
        <f t="shared" si="314"/>
        <v>4.0016006402561026E-3</v>
      </c>
      <c r="Z403" s="66">
        <f t="shared" si="314"/>
        <v>4.0016006402561026E-3</v>
      </c>
      <c r="AA403" s="66">
        <f t="shared" si="314"/>
        <v>4.0016006402561026E-3</v>
      </c>
      <c r="AB403" s="66">
        <f t="shared" si="314"/>
        <v>4.0016006402561026E-3</v>
      </c>
      <c r="AC403" s="66">
        <f t="shared" si="314"/>
        <v>4.0016006402561026E-3</v>
      </c>
    </row>
    <row r="404" spans="1:29" x14ac:dyDescent="0.3">
      <c r="A404" s="30" t="str">
        <f t="shared" si="307"/>
        <v>Fuel Cost</v>
      </c>
      <c r="B404" s="66">
        <f>B362*B363*B370/B370/(B367)</f>
        <v>1.1195826150024461E-3</v>
      </c>
      <c r="C404" s="66">
        <f t="shared" ref="C404:AC404" si="315">C362*C363*C370/C370/(C367)</f>
        <v>1.118260982314392E-3</v>
      </c>
      <c r="D404" s="66">
        <f t="shared" si="315"/>
        <v>1.1163844533557642E-3</v>
      </c>
      <c r="E404" s="66">
        <f t="shared" si="315"/>
        <v>1.1137321599956635E-3</v>
      </c>
      <c r="F404" s="66">
        <f t="shared" si="315"/>
        <v>1.1100083879694183E-3</v>
      </c>
      <c r="G404" s="66">
        <f t="shared" si="315"/>
        <v>1.1048309930818329E-3</v>
      </c>
      <c r="H404" s="66">
        <f t="shared" si="315"/>
        <v>1.0977329783776815E-3</v>
      </c>
      <c r="I404" s="66">
        <f t="shared" si="315"/>
        <v>1.0881940072078079E-3</v>
      </c>
      <c r="J404" s="66">
        <f t="shared" si="315"/>
        <v>1.0757247290950787E-3</v>
      </c>
      <c r="K404" s="66">
        <f t="shared" si="315"/>
        <v>1.060021780893647E-3</v>
      </c>
      <c r="L404" s="66">
        <f t="shared" si="315"/>
        <v>1.0411786938051275E-3</v>
      </c>
      <c r="M404" s="66">
        <f t="shared" si="315"/>
        <v>1.0198714273651432E-3</v>
      </c>
      <c r="N404" s="66">
        <f t="shared" si="315"/>
        <v>9.9737743360596605E-4</v>
      </c>
      <c r="O404" s="66">
        <f t="shared" si="315"/>
        <v>9.7532607957013433E-4</v>
      </c>
      <c r="P404" s="66">
        <f t="shared" si="315"/>
        <v>9.5525227809606969E-4</v>
      </c>
      <c r="Q404" s="66">
        <f t="shared" si="315"/>
        <v>9.3819240540741534E-4</v>
      </c>
      <c r="R404" s="66">
        <f t="shared" si="315"/>
        <v>9.2453050263389936E-4</v>
      </c>
      <c r="S404" s="66">
        <f t="shared" si="315"/>
        <v>9.1410586445919088E-4</v>
      </c>
      <c r="T404" s="66">
        <f t="shared" si="315"/>
        <v>9.0644291934359033E-4</v>
      </c>
      <c r="U404" s="66">
        <f t="shared" si="315"/>
        <v>9.009640244431905E-4</v>
      </c>
      <c r="V404" s="66">
        <f t="shared" si="315"/>
        <v>8.971241282392943E-4</v>
      </c>
      <c r="W404" s="66">
        <f t="shared" si="315"/>
        <v>8.9447052394393627E-4</v>
      </c>
      <c r="X404" s="66">
        <f t="shared" si="315"/>
        <v>8.9265453029044859E-4</v>
      </c>
      <c r="Y404" s="66">
        <f t="shared" si="315"/>
        <v>8.9142005019953862E-4</v>
      </c>
      <c r="Z404" s="66">
        <f t="shared" si="315"/>
        <v>8.9058469125857928E-4</v>
      </c>
      <c r="AA404" s="66">
        <f t="shared" si="315"/>
        <v>8.9002115724487658E-4</v>
      </c>
      <c r="AB404" s="66">
        <f t="shared" si="315"/>
        <v>8.8964178894625125E-4</v>
      </c>
      <c r="AC404" s="66">
        <f t="shared" si="315"/>
        <v>8.8938675875263335E-4</v>
      </c>
    </row>
    <row r="405" spans="1:29" x14ac:dyDescent="0.3">
      <c r="A405" s="59" t="str">
        <f>A368</f>
        <v>Market failure (av. utilization)</v>
      </c>
      <c r="B405" s="66">
        <f t="shared" ref="B405:AC405" si="316">B394/B368-B394/B367</f>
        <v>1.2668347625040086E-2</v>
      </c>
      <c r="C405" s="66">
        <f t="shared" si="316"/>
        <v>1.2656931282172755E-2</v>
      </c>
      <c r="D405" s="66">
        <f t="shared" si="316"/>
        <v>1.2640721447730865E-2</v>
      </c>
      <c r="E405" s="66">
        <f t="shared" si="316"/>
        <v>1.2617809845910878E-2</v>
      </c>
      <c r="F405" s="66">
        <f t="shared" si="316"/>
        <v>1.2585641195630411E-2</v>
      </c>
      <c r="G405" s="66">
        <f t="shared" si="316"/>
        <v>1.2540912642683234E-2</v>
      </c>
      <c r="H405" s="66">
        <f t="shared" si="316"/>
        <v>1.2479586411296829E-2</v>
      </c>
      <c r="I405" s="66">
        <f t="shared" si="316"/>
        <v>1.2397160256243983E-2</v>
      </c>
      <c r="J405" s="66">
        <f t="shared" si="316"/>
        <v>1.2289392956912353E-2</v>
      </c>
      <c r="K405" s="66">
        <f t="shared" si="316"/>
        <v>1.215363900657674E-2</v>
      </c>
      <c r="L405" s="66">
        <f t="shared" si="316"/>
        <v>1.1990665627845213E-2</v>
      </c>
      <c r="M405" s="66">
        <f t="shared" si="316"/>
        <v>1.1806252397178342E-2</v>
      </c>
      <c r="N405" s="66">
        <f t="shared" si="316"/>
        <v>1.1611358818528119E-2</v>
      </c>
      <c r="O405" s="66">
        <f t="shared" si="316"/>
        <v>1.1419981377278137E-2</v>
      </c>
      <c r="P405" s="66">
        <f t="shared" si="316"/>
        <v>1.1245321310350196E-2</v>
      </c>
      <c r="Q405" s="66">
        <f t="shared" si="316"/>
        <v>1.1096322644789262E-2</v>
      </c>
      <c r="R405" s="66">
        <f t="shared" si="316"/>
        <v>1.097636530402985E-2</v>
      </c>
      <c r="S405" s="66">
        <f t="shared" si="316"/>
        <v>1.0884194565386812E-2</v>
      </c>
      <c r="T405" s="66">
        <f t="shared" si="316"/>
        <v>1.0815877291829883E-2</v>
      </c>
      <c r="U405" s="66">
        <f t="shared" si="316"/>
        <v>1.0766590739961893E-2</v>
      </c>
      <c r="V405" s="66">
        <f t="shared" si="316"/>
        <v>1.0731742126553366E-2</v>
      </c>
      <c r="W405" s="66">
        <f t="shared" si="316"/>
        <v>1.0707468019394813E-2</v>
      </c>
      <c r="X405" s="66">
        <f t="shared" si="316"/>
        <v>1.0690746043173067E-2</v>
      </c>
      <c r="Y405" s="66">
        <f t="shared" si="316"/>
        <v>1.0679319764300388E-2</v>
      </c>
      <c r="Z405" s="66">
        <f t="shared" si="316"/>
        <v>1.0671557704156677E-2</v>
      </c>
      <c r="AA405" s="66">
        <f t="shared" si="316"/>
        <v>1.0666306695263524E-2</v>
      </c>
      <c r="AB405" s="66">
        <f t="shared" si="316"/>
        <v>1.0662764723170477E-2</v>
      </c>
      <c r="AC405" s="66">
        <f t="shared" si="316"/>
        <v>1.0660380348701126E-2</v>
      </c>
    </row>
    <row r="406" spans="1:29" x14ac:dyDescent="0.3">
      <c r="A406" s="59" t="str">
        <f>A369</f>
        <v>Payload loss (fuel)</v>
      </c>
      <c r="B406" s="66">
        <f>B394/(B367-B369)-B394/B367</f>
        <v>5.4702812928758213E-4</v>
      </c>
      <c r="C406" s="66">
        <f t="shared" ref="C406:AC406" si="317">C394/(C367-C369)-C394/C367</f>
        <v>5.449231528690604E-4</v>
      </c>
      <c r="D406" s="66">
        <f t="shared" si="317"/>
        <v>5.419399512899669E-4</v>
      </c>
      <c r="E406" s="66">
        <f t="shared" si="317"/>
        <v>5.3773461098112832E-4</v>
      </c>
      <c r="F406" s="66">
        <f t="shared" si="317"/>
        <v>5.3185236957494463E-4</v>
      </c>
      <c r="G406" s="66">
        <f t="shared" si="317"/>
        <v>5.2371653887483237E-4</v>
      </c>
      <c r="H406" s="66">
        <f t="shared" si="317"/>
        <v>5.1264308739615294E-4</v>
      </c>
      <c r="I406" s="66">
        <f t="shared" si="317"/>
        <v>4.9790784261431915E-4</v>
      </c>
      <c r="J406" s="66">
        <f t="shared" si="317"/>
        <v>4.7889835881051099E-4</v>
      </c>
      <c r="K406" s="66">
        <f t="shared" si="317"/>
        <v>4.5536455584369549E-4</v>
      </c>
      <c r="L406" s="66">
        <f t="shared" si="317"/>
        <v>4.2771875582968411E-4</v>
      </c>
      <c r="M406" s="66">
        <f t="shared" si="317"/>
        <v>3.9723436527569315E-4</v>
      </c>
      <c r="N406" s="66">
        <f t="shared" si="317"/>
        <v>3.659411694761569E-4</v>
      </c>
      <c r="O406" s="66">
        <f t="shared" si="317"/>
        <v>3.36143571373149E-4</v>
      </c>
      <c r="P406" s="66">
        <f t="shared" si="317"/>
        <v>3.0976869866928061E-4</v>
      </c>
      <c r="Q406" s="66">
        <f t="shared" si="317"/>
        <v>2.8790932204566556E-4</v>
      </c>
      <c r="R406" s="66">
        <f t="shared" si="317"/>
        <v>2.7076570154494287E-4</v>
      </c>
      <c r="S406" s="66">
        <f t="shared" si="317"/>
        <v>2.5789545654904961E-4</v>
      </c>
      <c r="T406" s="66">
        <f t="shared" si="317"/>
        <v>2.4854717798595237E-4</v>
      </c>
      <c r="U406" s="66">
        <f t="shared" si="317"/>
        <v>2.4191888575111897E-4</v>
      </c>
      <c r="V406" s="66">
        <f t="shared" si="317"/>
        <v>2.372994384275337E-4</v>
      </c>
      <c r="W406" s="66">
        <f t="shared" si="317"/>
        <v>2.3411882252741614E-4</v>
      </c>
      <c r="X406" s="66">
        <f t="shared" si="317"/>
        <v>2.3194731907383824E-4</v>
      </c>
      <c r="Y406" s="66">
        <f t="shared" si="317"/>
        <v>2.3047341336190734E-4</v>
      </c>
      <c r="Z406" s="66">
        <f t="shared" si="317"/>
        <v>2.2947701390330436E-4</v>
      </c>
      <c r="AA406" s="66">
        <f t="shared" si="317"/>
        <v>2.2880526802334517E-4</v>
      </c>
      <c r="AB406" s="66">
        <f t="shared" si="317"/>
        <v>2.2835323917497208E-4</v>
      </c>
      <c r="AC406" s="66">
        <f t="shared" si="317"/>
        <v>2.280494455759903E-4</v>
      </c>
    </row>
    <row r="407" spans="1:29" ht="15" thickBot="1" x14ac:dyDescent="0.35">
      <c r="A407" s="59" t="str">
        <f>A344</f>
        <v>Emission Cost</v>
      </c>
      <c r="B407" s="68">
        <f>B364*B370/B370/(B367)</f>
        <v>2.8018723041708291E-5</v>
      </c>
      <c r="C407" s="68">
        <f t="shared" ref="C407:AC407" si="318">C364*C370/C370/(C367)</f>
        <v>2.7992042390563403E-5</v>
      </c>
      <c r="D407" s="68">
        <f t="shared" si="318"/>
        <v>2.7953849632713087E-5</v>
      </c>
      <c r="E407" s="68">
        <f t="shared" si="318"/>
        <v>2.7899212206773402E-5</v>
      </c>
      <c r="F407" s="68">
        <f t="shared" si="318"/>
        <v>2.7821123268758994E-5</v>
      </c>
      <c r="G407" s="68">
        <f t="shared" si="318"/>
        <v>2.7709673478493116E-5</v>
      </c>
      <c r="H407" s="68">
        <f t="shared" si="318"/>
        <v>2.7550941635528091E-5</v>
      </c>
      <c r="I407" s="68">
        <f t="shared" si="318"/>
        <v>2.7325565173011279E-5</v>
      </c>
      <c r="J407" s="68">
        <f t="shared" si="318"/>
        <v>2.7007017200539052E-5</v>
      </c>
      <c r="K407" s="68">
        <f t="shared" si="318"/>
        <v>2.6559781594269528E-5</v>
      </c>
      <c r="L407" s="68">
        <f t="shared" si="318"/>
        <v>2.5937961750002434E-5</v>
      </c>
      <c r="M407" s="68">
        <f t="shared" si="318"/>
        <v>2.5085470005838896E-5</v>
      </c>
      <c r="N407" s="68">
        <f t="shared" si="318"/>
        <v>2.3939812451005268E-5</v>
      </c>
      <c r="O407" s="68">
        <f t="shared" si="318"/>
        <v>2.2442216702075155E-5</v>
      </c>
      <c r="P407" s="68">
        <f t="shared" si="318"/>
        <v>2.0556247982833342E-5</v>
      </c>
      <c r="Q407" s="68">
        <f t="shared" si="318"/>
        <v>1.8293139656483724E-5</v>
      </c>
      <c r="R407" s="68">
        <f t="shared" si="318"/>
        <v>1.5734076384868407E-5</v>
      </c>
      <c r="S407" s="68">
        <f t="shared" si="318"/>
        <v>1.3032483788596525E-5</v>
      </c>
      <c r="T407" s="68">
        <f t="shared" si="318"/>
        <v>1.0384053481432056E-5</v>
      </c>
      <c r="U407" s="68">
        <f t="shared" si="318"/>
        <v>7.973132858710722E-6</v>
      </c>
      <c r="V407" s="68">
        <f t="shared" si="318"/>
        <v>5.9241936510964439E-6</v>
      </c>
      <c r="W407" s="68">
        <f t="shared" si="318"/>
        <v>4.2833602900193802E-6</v>
      </c>
      <c r="X407" s="68">
        <f t="shared" si="318"/>
        <v>3.0313316101360892E-6</v>
      </c>
      <c r="Y407" s="68">
        <f t="shared" si="318"/>
        <v>2.1109901175765951E-6</v>
      </c>
      <c r="Z407" s="68">
        <f t="shared" si="318"/>
        <v>1.4529592646680163E-6</v>
      </c>
      <c r="AA407" s="68">
        <f t="shared" si="318"/>
        <v>9.9177681454548619E-7</v>
      </c>
      <c r="AB407" s="68">
        <f t="shared" si="318"/>
        <v>6.730713950221108E-7</v>
      </c>
      <c r="AC407" s="68">
        <f t="shared" si="318"/>
        <v>4.5496539474204176E-7</v>
      </c>
    </row>
    <row r="408" spans="1:29" ht="15" thickBot="1" x14ac:dyDescent="0.35">
      <c r="A408" s="31" t="s">
        <v>210</v>
      </c>
      <c r="B408" s="67">
        <f>B397+B398+B399+B400+B401+B402+B403+B404+B405+B406+B407</f>
        <v>2.8010602388861803E-2</v>
      </c>
      <c r="C408" s="67">
        <f t="shared" ref="C408:AC408" si="319">C397+C398+C399+C400+C401+C402+C403+C404+C405+C406+C407</f>
        <v>2.7983679275775167E-2</v>
      </c>
      <c r="D408" s="67">
        <f t="shared" si="319"/>
        <v>2.7945457303670231E-2</v>
      </c>
      <c r="E408" s="67">
        <f t="shared" si="319"/>
        <v>2.7891444133317938E-2</v>
      </c>
      <c r="F408" s="67">
        <f t="shared" si="319"/>
        <v>2.781563004347596E-2</v>
      </c>
      <c r="G408" s="67">
        <f t="shared" si="319"/>
        <v>2.7710258228108072E-2</v>
      </c>
      <c r="H408" s="67">
        <f t="shared" si="319"/>
        <v>2.7565866882311114E-2</v>
      </c>
      <c r="I408" s="67">
        <f t="shared" si="319"/>
        <v>2.7371944343936135E-2</v>
      </c>
      <c r="J408" s="67">
        <f t="shared" si="319"/>
        <v>2.7118658122454876E-2</v>
      </c>
      <c r="K408" s="67">
        <f t="shared" si="319"/>
        <v>2.6800007036149771E-2</v>
      </c>
      <c r="L408" s="67">
        <f t="shared" si="319"/>
        <v>2.6418071282371572E-2</v>
      </c>
      <c r="M408" s="67">
        <f t="shared" si="319"/>
        <v>2.5986688564280904E-2</v>
      </c>
      <c r="N408" s="67">
        <f t="shared" si="319"/>
        <v>2.5531713675763488E-2</v>
      </c>
      <c r="O408" s="67">
        <f t="shared" si="319"/>
        <v>2.5085878161899642E-2</v>
      </c>
      <c r="P408" s="67">
        <f t="shared" si="319"/>
        <v>2.4679807491526349E-2</v>
      </c>
      <c r="Q408" s="67">
        <f t="shared" si="319"/>
        <v>2.4334037972378958E-2</v>
      </c>
      <c r="R408" s="67">
        <f t="shared" si="319"/>
        <v>2.4056117524140386E-2</v>
      </c>
      <c r="S408" s="67">
        <f t="shared" si="319"/>
        <v>2.3842876108181366E-2</v>
      </c>
      <c r="T408" s="67">
        <f t="shared" si="319"/>
        <v>2.3685012017538001E-2</v>
      </c>
      <c r="U408" s="67">
        <f t="shared" si="319"/>
        <v>2.3571239047329266E-2</v>
      </c>
      <c r="V408" s="67">
        <f t="shared" si="319"/>
        <v>2.3490861744769755E-2</v>
      </c>
      <c r="W408" s="67">
        <f t="shared" si="319"/>
        <v>2.343491133069887E-2</v>
      </c>
      <c r="X408" s="67">
        <f t="shared" si="319"/>
        <v>2.3396387705024099E-2</v>
      </c>
      <c r="Y408" s="67">
        <f t="shared" si="319"/>
        <v>2.3370074062632439E-2</v>
      </c>
      <c r="Z408" s="67">
        <f t="shared" si="319"/>
        <v>2.3352203619383154E-2</v>
      </c>
      <c r="AA408" s="67">
        <f t="shared" si="319"/>
        <v>2.3340116636778954E-2</v>
      </c>
      <c r="AB408" s="67">
        <f t="shared" si="319"/>
        <v>2.3331964668597865E-2</v>
      </c>
      <c r="AC408" s="67">
        <f t="shared" si="319"/>
        <v>2.3326477452239425E-2</v>
      </c>
    </row>
    <row r="410" spans="1:29" x14ac:dyDescent="0.3">
      <c r="B410" s="40"/>
    </row>
    <row r="429" spans="1:1" s="3" customFormat="1" ht="21" x14ac:dyDescent="0.4">
      <c r="A429" s="2" t="str">
        <f>'Parameter Input'!A123</f>
        <v>Railway long-haul:  Neo bulk</v>
      </c>
    </row>
    <row r="430" spans="1:1" s="3" customFormat="1" ht="21" x14ac:dyDescent="0.4">
      <c r="A430" s="2" t="s">
        <v>87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Input'!$L$101</f>
        <v>10000000</v>
      </c>
      <c r="C439" s="42">
        <f>'Parameter Input'!$M$101</f>
        <v>6250000</v>
      </c>
      <c r="D439" s="1" t="s">
        <v>15</v>
      </c>
      <c r="L439" s="51">
        <f>'Parameter Input'!$O$101</f>
        <v>12</v>
      </c>
      <c r="M439" s="52">
        <v>0</v>
      </c>
      <c r="N439" s="52">
        <v>1</v>
      </c>
      <c r="O439" s="52">
        <f>'Parameter Input'!$P$101</f>
        <v>0.9</v>
      </c>
      <c r="P439" s="53">
        <f>'Parameter Input'!$Q$101</f>
        <v>0.4</v>
      </c>
      <c r="Q439" s="4">
        <f t="shared" ref="Q439:AR448" si="320">$N439+($M439-$N439)*((1/(1+EXP(-$P439*(Q$9-$L439)))^$O439))</f>
        <v>0.9867978615748374</v>
      </c>
      <c r="R439" s="4">
        <f t="shared" si="320"/>
        <v>0.98114509762858249</v>
      </c>
      <c r="S439" s="4">
        <f t="shared" si="320"/>
        <v>0.97311898315872036</v>
      </c>
      <c r="T439" s="4">
        <f t="shared" si="320"/>
        <v>0.96177484161592774</v>
      </c>
      <c r="U439" s="4">
        <f t="shared" si="320"/>
        <v>0.94584787155511363</v>
      </c>
      <c r="V439" s="4">
        <f t="shared" si="320"/>
        <v>0.92370360150141495</v>
      </c>
      <c r="W439" s="4">
        <f t="shared" si="320"/>
        <v>0.89334463567658451</v>
      </c>
      <c r="X439" s="4">
        <f t="shared" si="320"/>
        <v>0.85254543874327005</v>
      </c>
      <c r="Y439" s="4">
        <f t="shared" si="320"/>
        <v>0.79921300652623883</v>
      </c>
      <c r="Z439" s="4">
        <f t="shared" si="320"/>
        <v>0.73204982249993378</v>
      </c>
      <c r="AA439" s="4">
        <f t="shared" si="320"/>
        <v>0.65145592958786691</v>
      </c>
      <c r="AB439" s="4">
        <f t="shared" si="320"/>
        <v>0.56032247880849573</v>
      </c>
      <c r="AC439" s="4">
        <f t="shared" si="320"/>
        <v>0.46411326873185343</v>
      </c>
      <c r="AD439" s="4">
        <f t="shared" si="320"/>
        <v>0.36979727595523937</v>
      </c>
      <c r="AE439" s="4">
        <f t="shared" si="320"/>
        <v>0.28393948637231203</v>
      </c>
      <c r="AF439" s="4">
        <f t="shared" si="320"/>
        <v>0.21097259161117732</v>
      </c>
      <c r="AG439" s="4">
        <f t="shared" si="320"/>
        <v>0.15253917653798199</v>
      </c>
      <c r="AH439" s="4">
        <f t="shared" si="320"/>
        <v>0.10795188737709993</v>
      </c>
      <c r="AI439" s="4">
        <f t="shared" si="320"/>
        <v>7.5176653938091809E-2</v>
      </c>
      <c r="AJ439" s="4">
        <f t="shared" si="320"/>
        <v>5.1742836177502194E-2</v>
      </c>
      <c r="AK439" s="4">
        <f t="shared" si="320"/>
        <v>3.5319190625345942E-2</v>
      </c>
      <c r="AL439" s="4">
        <f t="shared" si="320"/>
        <v>2.3969442072658165E-2</v>
      </c>
      <c r="AM439" s="4">
        <f t="shared" si="320"/>
        <v>1.6202243558389728E-2</v>
      </c>
      <c r="AN439" s="4">
        <f t="shared" si="320"/>
        <v>1.0922240564108399E-2</v>
      </c>
      <c r="AO439" s="4">
        <f t="shared" si="320"/>
        <v>7.3493212906090566E-3</v>
      </c>
      <c r="AP439" s="4">
        <f t="shared" si="320"/>
        <v>4.9390262185057265E-3</v>
      </c>
      <c r="AQ439" s="4">
        <f t="shared" si="320"/>
        <v>3.3164275492956197E-3</v>
      </c>
      <c r="AR439" s="4">
        <f t="shared" si="320"/>
        <v>2.2256362146679809E-3</v>
      </c>
    </row>
    <row r="440" spans="1:44" x14ac:dyDescent="0.3">
      <c r="A440" s="24" t="s">
        <v>28</v>
      </c>
      <c r="B440" s="60">
        <f>'Parameter Input'!$L$102</f>
        <v>-500000</v>
      </c>
      <c r="C440" s="61">
        <f>'Parameter Input'!$M$102</f>
        <v>-937500</v>
      </c>
      <c r="D440" s="1" t="s">
        <v>15</v>
      </c>
      <c r="L440" s="54">
        <f>'Parameter Input'!$O$102</f>
        <v>12</v>
      </c>
      <c r="M440" s="37">
        <v>0</v>
      </c>
      <c r="N440" s="37">
        <v>1</v>
      </c>
      <c r="O440" s="37">
        <f>'Parameter Input'!$P$102</f>
        <v>0.9</v>
      </c>
      <c r="P440" s="55">
        <f>'Parameter Input'!$Q$102</f>
        <v>0.4</v>
      </c>
      <c r="Q440" s="4">
        <f t="shared" si="320"/>
        <v>0.9867978615748374</v>
      </c>
      <c r="R440" s="4">
        <f t="shared" si="320"/>
        <v>0.98114509762858249</v>
      </c>
      <c r="S440" s="4">
        <f t="shared" si="320"/>
        <v>0.97311898315872036</v>
      </c>
      <c r="T440" s="4">
        <f t="shared" si="320"/>
        <v>0.96177484161592774</v>
      </c>
      <c r="U440" s="4">
        <f t="shared" si="320"/>
        <v>0.94584787155511363</v>
      </c>
      <c r="V440" s="4">
        <f t="shared" si="320"/>
        <v>0.92370360150141495</v>
      </c>
      <c r="W440" s="4">
        <f t="shared" si="320"/>
        <v>0.89334463567658451</v>
      </c>
      <c r="X440" s="4">
        <f t="shared" si="320"/>
        <v>0.85254543874327005</v>
      </c>
      <c r="Y440" s="4">
        <f t="shared" si="320"/>
        <v>0.79921300652623883</v>
      </c>
      <c r="Z440" s="4">
        <f t="shared" si="320"/>
        <v>0.73204982249993378</v>
      </c>
      <c r="AA440" s="4">
        <f t="shared" si="320"/>
        <v>0.65145592958786691</v>
      </c>
      <c r="AB440" s="4">
        <f t="shared" si="320"/>
        <v>0.56032247880849573</v>
      </c>
      <c r="AC440" s="4">
        <f t="shared" si="320"/>
        <v>0.46411326873185343</v>
      </c>
      <c r="AD440" s="4">
        <f t="shared" si="320"/>
        <v>0.36979727595523937</v>
      </c>
      <c r="AE440" s="4">
        <f t="shared" si="320"/>
        <v>0.28393948637231203</v>
      </c>
      <c r="AF440" s="4">
        <f t="shared" si="320"/>
        <v>0.21097259161117732</v>
      </c>
      <c r="AG440" s="4">
        <f t="shared" si="320"/>
        <v>0.15253917653798199</v>
      </c>
      <c r="AH440" s="4">
        <f t="shared" si="320"/>
        <v>0.10795188737709993</v>
      </c>
      <c r="AI440" s="4">
        <f t="shared" si="320"/>
        <v>7.5176653938091809E-2</v>
      </c>
      <c r="AJ440" s="4">
        <f t="shared" si="320"/>
        <v>5.1742836177502194E-2</v>
      </c>
      <c r="AK440" s="4">
        <f t="shared" si="320"/>
        <v>3.5319190625345942E-2</v>
      </c>
      <c r="AL440" s="4">
        <f t="shared" si="320"/>
        <v>2.3969442072658165E-2</v>
      </c>
      <c r="AM440" s="4">
        <f t="shared" si="320"/>
        <v>1.6202243558389728E-2</v>
      </c>
      <c r="AN440" s="4">
        <f t="shared" si="320"/>
        <v>1.0922240564108399E-2</v>
      </c>
      <c r="AO440" s="4">
        <f t="shared" si="320"/>
        <v>7.3493212906090566E-3</v>
      </c>
      <c r="AP440" s="4">
        <f t="shared" si="320"/>
        <v>4.9390262185057265E-3</v>
      </c>
      <c r="AQ440" s="4">
        <f t="shared" si="320"/>
        <v>3.3164275492956197E-3</v>
      </c>
      <c r="AR440" s="4">
        <f t="shared" si="320"/>
        <v>2.2256362146679809E-3</v>
      </c>
    </row>
    <row r="441" spans="1:44" x14ac:dyDescent="0.3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20"/>
        <v>0.9867978615748374</v>
      </c>
      <c r="R441" s="4">
        <f t="shared" si="320"/>
        <v>0.98114509762858249</v>
      </c>
      <c r="S441" s="4">
        <f t="shared" si="320"/>
        <v>0.97311898315872036</v>
      </c>
      <c r="T441" s="4">
        <f t="shared" si="320"/>
        <v>0.96177484161592774</v>
      </c>
      <c r="U441" s="4">
        <f t="shared" si="320"/>
        <v>0.94584787155511363</v>
      </c>
      <c r="V441" s="4">
        <f t="shared" si="320"/>
        <v>0.92370360150141495</v>
      </c>
      <c r="W441" s="4">
        <f t="shared" si="320"/>
        <v>0.89334463567658451</v>
      </c>
      <c r="X441" s="4">
        <f t="shared" si="320"/>
        <v>0.85254543874327005</v>
      </c>
      <c r="Y441" s="4">
        <f t="shared" si="320"/>
        <v>0.79921300652623883</v>
      </c>
      <c r="Z441" s="4">
        <f t="shared" si="320"/>
        <v>0.73204982249993378</v>
      </c>
      <c r="AA441" s="4">
        <f t="shared" si="320"/>
        <v>0.65145592958786691</v>
      </c>
      <c r="AB441" s="4">
        <f t="shared" si="320"/>
        <v>0.56032247880849573</v>
      </c>
      <c r="AC441" s="4">
        <f t="shared" si="320"/>
        <v>0.46411326873185343</v>
      </c>
      <c r="AD441" s="4">
        <f t="shared" si="320"/>
        <v>0.36979727595523937</v>
      </c>
      <c r="AE441" s="4">
        <f t="shared" si="320"/>
        <v>0.28393948637231203</v>
      </c>
      <c r="AF441" s="4">
        <f t="shared" si="320"/>
        <v>0.21097259161117732</v>
      </c>
      <c r="AG441" s="4">
        <f t="shared" si="320"/>
        <v>0.15253917653798199</v>
      </c>
      <c r="AH441" s="4">
        <f t="shared" si="320"/>
        <v>0.10795188737709993</v>
      </c>
      <c r="AI441" s="4">
        <f t="shared" si="320"/>
        <v>7.5176653938091809E-2</v>
      </c>
      <c r="AJ441" s="4">
        <f t="shared" si="320"/>
        <v>5.1742836177502194E-2</v>
      </c>
      <c r="AK441" s="4">
        <f t="shared" si="320"/>
        <v>3.5319190625345942E-2</v>
      </c>
      <c r="AL441" s="4">
        <f t="shared" si="320"/>
        <v>2.3969442072658165E-2</v>
      </c>
      <c r="AM441" s="4">
        <f t="shared" si="320"/>
        <v>1.6202243558389728E-2</v>
      </c>
      <c r="AN441" s="4">
        <f t="shared" si="320"/>
        <v>1.0922240564108399E-2</v>
      </c>
      <c r="AO441" s="4">
        <f t="shared" si="320"/>
        <v>7.3493212906090566E-3</v>
      </c>
      <c r="AP441" s="4">
        <f t="shared" si="320"/>
        <v>4.9390262185057265E-3</v>
      </c>
      <c r="AQ441" s="4">
        <f t="shared" si="320"/>
        <v>3.3164275492956197E-3</v>
      </c>
      <c r="AR441" s="4">
        <f t="shared" si="320"/>
        <v>2.2256362146679809E-3</v>
      </c>
    </row>
    <row r="442" spans="1:44" x14ac:dyDescent="0.3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20"/>
        <v>0.9867978615748374</v>
      </c>
      <c r="R442" s="4">
        <f t="shared" si="320"/>
        <v>0.98114509762858249</v>
      </c>
      <c r="S442" s="4">
        <f t="shared" si="320"/>
        <v>0.97311898315872036</v>
      </c>
      <c r="T442" s="4">
        <f t="shared" si="320"/>
        <v>0.96177484161592774</v>
      </c>
      <c r="U442" s="4">
        <f t="shared" si="320"/>
        <v>0.94584787155511363</v>
      </c>
      <c r="V442" s="4">
        <f t="shared" si="320"/>
        <v>0.92370360150141495</v>
      </c>
      <c r="W442" s="4">
        <f t="shared" si="320"/>
        <v>0.89334463567658451</v>
      </c>
      <c r="X442" s="4">
        <f t="shared" si="320"/>
        <v>0.85254543874327005</v>
      </c>
      <c r="Y442" s="4">
        <f t="shared" si="320"/>
        <v>0.79921300652623883</v>
      </c>
      <c r="Z442" s="4">
        <f t="shared" si="320"/>
        <v>0.73204982249993378</v>
      </c>
      <c r="AA442" s="4">
        <f t="shared" si="320"/>
        <v>0.65145592958786691</v>
      </c>
      <c r="AB442" s="4">
        <f t="shared" si="320"/>
        <v>0.56032247880849573</v>
      </c>
      <c r="AC442" s="4">
        <f t="shared" si="320"/>
        <v>0.46411326873185343</v>
      </c>
      <c r="AD442" s="4">
        <f t="shared" si="320"/>
        <v>0.36979727595523937</v>
      </c>
      <c r="AE442" s="4">
        <f t="shared" si="320"/>
        <v>0.28393948637231203</v>
      </c>
      <c r="AF442" s="4">
        <f t="shared" si="320"/>
        <v>0.21097259161117732</v>
      </c>
      <c r="AG442" s="4">
        <f t="shared" si="320"/>
        <v>0.15253917653798199</v>
      </c>
      <c r="AH442" s="4">
        <f t="shared" si="320"/>
        <v>0.10795188737709993</v>
      </c>
      <c r="AI442" s="4">
        <f t="shared" si="320"/>
        <v>7.5176653938091809E-2</v>
      </c>
      <c r="AJ442" s="4">
        <f t="shared" si="320"/>
        <v>5.1742836177502194E-2</v>
      </c>
      <c r="AK442" s="4">
        <f t="shared" si="320"/>
        <v>3.5319190625345942E-2</v>
      </c>
      <c r="AL442" s="4">
        <f t="shared" si="320"/>
        <v>2.3969442072658165E-2</v>
      </c>
      <c r="AM442" s="4">
        <f t="shared" si="320"/>
        <v>1.6202243558389728E-2</v>
      </c>
      <c r="AN442" s="4">
        <f t="shared" si="320"/>
        <v>1.0922240564108399E-2</v>
      </c>
      <c r="AO442" s="4">
        <f t="shared" si="320"/>
        <v>7.3493212906090566E-3</v>
      </c>
      <c r="AP442" s="4">
        <f t="shared" si="320"/>
        <v>4.9390262185057265E-3</v>
      </c>
      <c r="AQ442" s="4">
        <f t="shared" si="320"/>
        <v>3.3164275492956197E-3</v>
      </c>
      <c r="AR442" s="4">
        <f t="shared" si="320"/>
        <v>2.2256362146679809E-3</v>
      </c>
    </row>
    <row r="443" spans="1:44" x14ac:dyDescent="0.3">
      <c r="A443" s="24" t="s">
        <v>79</v>
      </c>
      <c r="B443" s="45">
        <f>'Parameter Input'!$L$108</f>
        <v>0.06</v>
      </c>
      <c r="C443" s="46">
        <f>'Parameter Input'!$M$108</f>
        <v>0.06</v>
      </c>
      <c r="D443" s="1" t="s">
        <v>57</v>
      </c>
      <c r="L443" s="54">
        <f>'Parameter Input'!$O$108</f>
        <v>12</v>
      </c>
      <c r="M443" s="37">
        <v>0</v>
      </c>
      <c r="N443" s="37">
        <v>1</v>
      </c>
      <c r="O443" s="37">
        <f>'Parameter Input'!$P$108</f>
        <v>0.9</v>
      </c>
      <c r="P443" s="55">
        <f>'Parameter Input'!$Q$108</f>
        <v>0.4</v>
      </c>
      <c r="Q443" s="4">
        <f t="shared" si="320"/>
        <v>0.9867978615748374</v>
      </c>
      <c r="R443" s="4">
        <f t="shared" si="320"/>
        <v>0.98114509762858249</v>
      </c>
      <c r="S443" s="4">
        <f t="shared" si="320"/>
        <v>0.97311898315872036</v>
      </c>
      <c r="T443" s="4">
        <f t="shared" si="320"/>
        <v>0.96177484161592774</v>
      </c>
      <c r="U443" s="4">
        <f t="shared" si="320"/>
        <v>0.94584787155511363</v>
      </c>
      <c r="V443" s="4">
        <f t="shared" si="320"/>
        <v>0.92370360150141495</v>
      </c>
      <c r="W443" s="4">
        <f t="shared" si="320"/>
        <v>0.89334463567658451</v>
      </c>
      <c r="X443" s="4">
        <f t="shared" si="320"/>
        <v>0.85254543874327005</v>
      </c>
      <c r="Y443" s="4">
        <f t="shared" si="320"/>
        <v>0.79921300652623883</v>
      </c>
      <c r="Z443" s="4">
        <f t="shared" si="320"/>
        <v>0.73204982249993378</v>
      </c>
      <c r="AA443" s="4">
        <f t="shared" si="320"/>
        <v>0.65145592958786691</v>
      </c>
      <c r="AB443" s="4">
        <f t="shared" si="320"/>
        <v>0.56032247880849573</v>
      </c>
      <c r="AC443" s="4">
        <f t="shared" si="320"/>
        <v>0.46411326873185343</v>
      </c>
      <c r="AD443" s="4">
        <f t="shared" si="320"/>
        <v>0.36979727595523937</v>
      </c>
      <c r="AE443" s="4">
        <f t="shared" si="320"/>
        <v>0.28393948637231203</v>
      </c>
      <c r="AF443" s="4">
        <f t="shared" si="320"/>
        <v>0.21097259161117732</v>
      </c>
      <c r="AG443" s="4">
        <f t="shared" si="320"/>
        <v>0.15253917653798199</v>
      </c>
      <c r="AH443" s="4">
        <f t="shared" si="320"/>
        <v>0.10795188737709993</v>
      </c>
      <c r="AI443" s="4">
        <f t="shared" si="320"/>
        <v>7.5176653938091809E-2</v>
      </c>
      <c r="AJ443" s="4">
        <f t="shared" si="320"/>
        <v>5.1742836177502194E-2</v>
      </c>
      <c r="AK443" s="4">
        <f t="shared" si="320"/>
        <v>3.5319190625345942E-2</v>
      </c>
      <c r="AL443" s="4">
        <f t="shared" si="320"/>
        <v>2.3969442072658165E-2</v>
      </c>
      <c r="AM443" s="4">
        <f t="shared" si="320"/>
        <v>1.6202243558389728E-2</v>
      </c>
      <c r="AN443" s="4">
        <f t="shared" si="320"/>
        <v>1.0922240564108399E-2</v>
      </c>
      <c r="AO443" s="4">
        <f t="shared" si="320"/>
        <v>7.3493212906090566E-3</v>
      </c>
      <c r="AP443" s="4">
        <f t="shared" si="320"/>
        <v>4.9390262185057265E-3</v>
      </c>
      <c r="AQ443" s="4">
        <f t="shared" si="320"/>
        <v>3.3164275492956197E-3</v>
      </c>
      <c r="AR443" s="4">
        <f t="shared" si="320"/>
        <v>2.2256362146679809E-3</v>
      </c>
    </row>
    <row r="444" spans="1:44" x14ac:dyDescent="0.3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20"/>
        <v>0.9867978615748374</v>
      </c>
      <c r="R444" s="4">
        <f t="shared" si="320"/>
        <v>0.98114509762858249</v>
      </c>
      <c r="S444" s="4">
        <f t="shared" si="320"/>
        <v>0.97311898315872036</v>
      </c>
      <c r="T444" s="4">
        <f t="shared" si="320"/>
        <v>0.96177484161592774</v>
      </c>
      <c r="U444" s="4">
        <f t="shared" si="320"/>
        <v>0.94584787155511363</v>
      </c>
      <c r="V444" s="4">
        <f t="shared" si="320"/>
        <v>0.92370360150141495</v>
      </c>
      <c r="W444" s="4">
        <f t="shared" si="320"/>
        <v>0.89334463567658451</v>
      </c>
      <c r="X444" s="4">
        <f t="shared" si="320"/>
        <v>0.85254543874327005</v>
      </c>
      <c r="Y444" s="4">
        <f t="shared" si="320"/>
        <v>0.79921300652623883</v>
      </c>
      <c r="Z444" s="4">
        <f t="shared" si="320"/>
        <v>0.73204982249993378</v>
      </c>
      <c r="AA444" s="4">
        <f t="shared" si="320"/>
        <v>0.65145592958786691</v>
      </c>
      <c r="AB444" s="4">
        <f t="shared" si="320"/>
        <v>0.56032247880849573</v>
      </c>
      <c r="AC444" s="4">
        <f t="shared" si="320"/>
        <v>0.46411326873185343</v>
      </c>
      <c r="AD444" s="4">
        <f t="shared" si="320"/>
        <v>0.36979727595523937</v>
      </c>
      <c r="AE444" s="4">
        <f t="shared" si="320"/>
        <v>0.28393948637231203</v>
      </c>
      <c r="AF444" s="4">
        <f t="shared" si="320"/>
        <v>0.21097259161117732</v>
      </c>
      <c r="AG444" s="4">
        <f t="shared" si="320"/>
        <v>0.15253917653798199</v>
      </c>
      <c r="AH444" s="4">
        <f t="shared" si="320"/>
        <v>0.10795188737709993</v>
      </c>
      <c r="AI444" s="4">
        <f t="shared" si="320"/>
        <v>7.5176653938091809E-2</v>
      </c>
      <c r="AJ444" s="4">
        <f t="shared" si="320"/>
        <v>5.1742836177502194E-2</v>
      </c>
      <c r="AK444" s="4">
        <f t="shared" si="320"/>
        <v>3.5319190625345942E-2</v>
      </c>
      <c r="AL444" s="4">
        <f t="shared" si="320"/>
        <v>2.3969442072658165E-2</v>
      </c>
      <c r="AM444" s="4">
        <f t="shared" si="320"/>
        <v>1.6202243558389728E-2</v>
      </c>
      <c r="AN444" s="4">
        <f t="shared" si="320"/>
        <v>1.0922240564108399E-2</v>
      </c>
      <c r="AO444" s="4">
        <f t="shared" si="320"/>
        <v>7.3493212906090566E-3</v>
      </c>
      <c r="AP444" s="4">
        <f t="shared" si="320"/>
        <v>4.9390262185057265E-3</v>
      </c>
      <c r="AQ444" s="4">
        <f t="shared" si="320"/>
        <v>3.3164275492956197E-3</v>
      </c>
      <c r="AR444" s="4">
        <f t="shared" si="320"/>
        <v>2.2256362146679809E-3</v>
      </c>
    </row>
    <row r="445" spans="1:44" x14ac:dyDescent="0.3">
      <c r="A445" s="24" t="s">
        <v>52</v>
      </c>
      <c r="B445" s="43">
        <f>'Parameter Input'!$L$104</f>
        <v>1300000</v>
      </c>
      <c r="C445" s="44">
        <f>'Parameter Input'!$M$104</f>
        <v>812500</v>
      </c>
      <c r="D445" s="1" t="s">
        <v>38</v>
      </c>
      <c r="L445" s="54">
        <f>'Parameter Input'!$O$104</f>
        <v>12</v>
      </c>
      <c r="M445" s="37">
        <v>0</v>
      </c>
      <c r="N445" s="37">
        <v>1</v>
      </c>
      <c r="O445" s="37">
        <f>'Parameter Input'!$P$104</f>
        <v>0.9</v>
      </c>
      <c r="P445" s="55">
        <f>'Parameter Input'!$Q$104</f>
        <v>0.4</v>
      </c>
      <c r="Q445" s="4">
        <f t="shared" si="320"/>
        <v>0.9867978615748374</v>
      </c>
      <c r="R445" s="4">
        <f t="shared" si="320"/>
        <v>0.98114509762858249</v>
      </c>
      <c r="S445" s="4">
        <f t="shared" si="320"/>
        <v>0.97311898315872036</v>
      </c>
      <c r="T445" s="4">
        <f t="shared" si="320"/>
        <v>0.96177484161592774</v>
      </c>
      <c r="U445" s="4">
        <f t="shared" si="320"/>
        <v>0.94584787155511363</v>
      </c>
      <c r="V445" s="4">
        <f t="shared" si="320"/>
        <v>0.92370360150141495</v>
      </c>
      <c r="W445" s="4">
        <f t="shared" si="320"/>
        <v>0.89334463567658451</v>
      </c>
      <c r="X445" s="4">
        <f t="shared" si="320"/>
        <v>0.85254543874327005</v>
      </c>
      <c r="Y445" s="4">
        <f t="shared" si="320"/>
        <v>0.79921300652623883</v>
      </c>
      <c r="Z445" s="4">
        <f t="shared" si="320"/>
        <v>0.73204982249993378</v>
      </c>
      <c r="AA445" s="4">
        <f t="shared" si="320"/>
        <v>0.65145592958786691</v>
      </c>
      <c r="AB445" s="4">
        <f t="shared" si="320"/>
        <v>0.56032247880849573</v>
      </c>
      <c r="AC445" s="4">
        <f t="shared" si="320"/>
        <v>0.46411326873185343</v>
      </c>
      <c r="AD445" s="4">
        <f t="shared" si="320"/>
        <v>0.36979727595523937</v>
      </c>
      <c r="AE445" s="4">
        <f t="shared" si="320"/>
        <v>0.28393948637231203</v>
      </c>
      <c r="AF445" s="4">
        <f t="shared" si="320"/>
        <v>0.21097259161117732</v>
      </c>
      <c r="AG445" s="4">
        <f t="shared" si="320"/>
        <v>0.15253917653798199</v>
      </c>
      <c r="AH445" s="4">
        <f t="shared" si="320"/>
        <v>0.10795188737709993</v>
      </c>
      <c r="AI445" s="4">
        <f t="shared" si="320"/>
        <v>7.5176653938091809E-2</v>
      </c>
      <c r="AJ445" s="4">
        <f t="shared" si="320"/>
        <v>5.1742836177502194E-2</v>
      </c>
      <c r="AK445" s="4">
        <f t="shared" si="320"/>
        <v>3.5319190625345942E-2</v>
      </c>
      <c r="AL445" s="4">
        <f t="shared" si="320"/>
        <v>2.3969442072658165E-2</v>
      </c>
      <c r="AM445" s="4">
        <f t="shared" si="320"/>
        <v>1.6202243558389728E-2</v>
      </c>
      <c r="AN445" s="4">
        <f t="shared" si="320"/>
        <v>1.0922240564108399E-2</v>
      </c>
      <c r="AO445" s="4">
        <f t="shared" si="320"/>
        <v>7.3493212906090566E-3</v>
      </c>
      <c r="AP445" s="4">
        <f t="shared" si="320"/>
        <v>4.9390262185057265E-3</v>
      </c>
      <c r="AQ445" s="4">
        <f t="shared" si="320"/>
        <v>3.3164275492956197E-3</v>
      </c>
      <c r="AR445" s="4">
        <f t="shared" si="320"/>
        <v>2.2256362146679809E-3</v>
      </c>
    </row>
    <row r="446" spans="1:44" x14ac:dyDescent="0.3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20"/>
        <v>0.9867978615748374</v>
      </c>
      <c r="R446" s="4">
        <f t="shared" si="320"/>
        <v>0.98114509762858249</v>
      </c>
      <c r="S446" s="4">
        <f t="shared" si="320"/>
        <v>0.97311898315872036</v>
      </c>
      <c r="T446" s="4">
        <f t="shared" si="320"/>
        <v>0.96177484161592774</v>
      </c>
      <c r="U446" s="4">
        <f t="shared" si="320"/>
        <v>0.94584787155511363</v>
      </c>
      <c r="V446" s="4">
        <f t="shared" si="320"/>
        <v>0.92370360150141495</v>
      </c>
      <c r="W446" s="4">
        <f t="shared" si="320"/>
        <v>0.89334463567658451</v>
      </c>
      <c r="X446" s="4">
        <f t="shared" si="320"/>
        <v>0.85254543874327005</v>
      </c>
      <c r="Y446" s="4">
        <f t="shared" si="320"/>
        <v>0.79921300652623883</v>
      </c>
      <c r="Z446" s="4">
        <f t="shared" si="320"/>
        <v>0.73204982249993378</v>
      </c>
      <c r="AA446" s="4">
        <f t="shared" si="320"/>
        <v>0.65145592958786691</v>
      </c>
      <c r="AB446" s="4">
        <f t="shared" si="320"/>
        <v>0.56032247880849573</v>
      </c>
      <c r="AC446" s="4">
        <f t="shared" si="320"/>
        <v>0.46411326873185343</v>
      </c>
      <c r="AD446" s="4">
        <f t="shared" si="320"/>
        <v>0.36979727595523937</v>
      </c>
      <c r="AE446" s="4">
        <f t="shared" si="320"/>
        <v>0.28393948637231203</v>
      </c>
      <c r="AF446" s="4">
        <f t="shared" si="320"/>
        <v>0.21097259161117732</v>
      </c>
      <c r="AG446" s="4">
        <f t="shared" si="320"/>
        <v>0.15253917653798199</v>
      </c>
      <c r="AH446" s="4">
        <f t="shared" si="320"/>
        <v>0.10795188737709993</v>
      </c>
      <c r="AI446" s="4">
        <f t="shared" si="320"/>
        <v>7.5176653938091809E-2</v>
      </c>
      <c r="AJ446" s="4">
        <f t="shared" si="320"/>
        <v>5.1742836177502194E-2</v>
      </c>
      <c r="AK446" s="4">
        <f t="shared" si="320"/>
        <v>3.5319190625345942E-2</v>
      </c>
      <c r="AL446" s="4">
        <f t="shared" si="320"/>
        <v>2.3969442072658165E-2</v>
      </c>
      <c r="AM446" s="4">
        <f t="shared" si="320"/>
        <v>1.6202243558389728E-2</v>
      </c>
      <c r="AN446" s="4">
        <f t="shared" si="320"/>
        <v>1.0922240564108399E-2</v>
      </c>
      <c r="AO446" s="4">
        <f t="shared" si="320"/>
        <v>7.3493212906090566E-3</v>
      </c>
      <c r="AP446" s="4">
        <f t="shared" si="320"/>
        <v>4.9390262185057265E-3</v>
      </c>
      <c r="AQ446" s="4">
        <f t="shared" si="320"/>
        <v>3.3164275492956197E-3</v>
      </c>
      <c r="AR446" s="4">
        <f t="shared" si="320"/>
        <v>2.2256362146679809E-3</v>
      </c>
    </row>
    <row r="447" spans="1:44" x14ac:dyDescent="0.3">
      <c r="A447" s="24" t="s">
        <v>59</v>
      </c>
      <c r="B447" s="47">
        <f>'Parameter Input'!$L$105</f>
        <v>27.1614</v>
      </c>
      <c r="C447" s="48">
        <f>'Parameter Input'!$M$105</f>
        <v>27.1614</v>
      </c>
      <c r="D447" s="1" t="s">
        <v>60</v>
      </c>
      <c r="L447" s="54">
        <f>'Parameter Input'!$O$105</f>
        <v>12</v>
      </c>
      <c r="M447" s="37">
        <v>0</v>
      </c>
      <c r="N447" s="37">
        <v>1</v>
      </c>
      <c r="O447" s="37">
        <f>'Parameter Input'!$P$105</f>
        <v>0.9</v>
      </c>
      <c r="P447" s="55">
        <f>'Parameter Input'!$Q$105</f>
        <v>0.4</v>
      </c>
      <c r="Q447" s="4">
        <f t="shared" si="320"/>
        <v>0.9867978615748374</v>
      </c>
      <c r="R447" s="4">
        <f t="shared" si="320"/>
        <v>0.98114509762858249</v>
      </c>
      <c r="S447" s="4">
        <f t="shared" si="320"/>
        <v>0.97311898315872036</v>
      </c>
      <c r="T447" s="4">
        <f t="shared" si="320"/>
        <v>0.96177484161592774</v>
      </c>
      <c r="U447" s="4">
        <f t="shared" si="320"/>
        <v>0.94584787155511363</v>
      </c>
      <c r="V447" s="4">
        <f t="shared" si="320"/>
        <v>0.92370360150141495</v>
      </c>
      <c r="W447" s="4">
        <f t="shared" si="320"/>
        <v>0.89334463567658451</v>
      </c>
      <c r="X447" s="4">
        <f t="shared" si="320"/>
        <v>0.85254543874327005</v>
      </c>
      <c r="Y447" s="4">
        <f t="shared" si="320"/>
        <v>0.79921300652623883</v>
      </c>
      <c r="Z447" s="4">
        <f t="shared" si="320"/>
        <v>0.73204982249993378</v>
      </c>
      <c r="AA447" s="4">
        <f t="shared" si="320"/>
        <v>0.65145592958786691</v>
      </c>
      <c r="AB447" s="4">
        <f t="shared" si="320"/>
        <v>0.56032247880849573</v>
      </c>
      <c r="AC447" s="4">
        <f t="shared" si="320"/>
        <v>0.46411326873185343</v>
      </c>
      <c r="AD447" s="4">
        <f t="shared" si="320"/>
        <v>0.36979727595523937</v>
      </c>
      <c r="AE447" s="4">
        <f t="shared" si="320"/>
        <v>0.28393948637231203</v>
      </c>
      <c r="AF447" s="4">
        <f t="shared" si="320"/>
        <v>0.21097259161117732</v>
      </c>
      <c r="AG447" s="4">
        <f t="shared" si="320"/>
        <v>0.15253917653798199</v>
      </c>
      <c r="AH447" s="4">
        <f t="shared" si="320"/>
        <v>0.10795188737709993</v>
      </c>
      <c r="AI447" s="4">
        <f t="shared" si="320"/>
        <v>7.5176653938091809E-2</v>
      </c>
      <c r="AJ447" s="4">
        <f t="shared" si="320"/>
        <v>5.1742836177502194E-2</v>
      </c>
      <c r="AK447" s="4">
        <f t="shared" si="320"/>
        <v>3.5319190625345942E-2</v>
      </c>
      <c r="AL447" s="4">
        <f t="shared" si="320"/>
        <v>2.3969442072658165E-2</v>
      </c>
      <c r="AM447" s="4">
        <f t="shared" si="320"/>
        <v>1.6202243558389728E-2</v>
      </c>
      <c r="AN447" s="4">
        <f t="shared" si="320"/>
        <v>1.0922240564108399E-2</v>
      </c>
      <c r="AO447" s="4">
        <f t="shared" si="320"/>
        <v>7.3493212906090566E-3</v>
      </c>
      <c r="AP447" s="4">
        <f t="shared" si="320"/>
        <v>4.9390262185057265E-3</v>
      </c>
      <c r="AQ447" s="4">
        <f t="shared" si="320"/>
        <v>3.3164275492956197E-3</v>
      </c>
      <c r="AR447" s="4">
        <f t="shared" si="320"/>
        <v>2.2256362146679809E-3</v>
      </c>
    </row>
    <row r="448" spans="1:44" x14ac:dyDescent="0.3">
      <c r="A448" s="24" t="s">
        <v>67</v>
      </c>
      <c r="B448" s="45">
        <f>'Parameter Input'!$L$106</f>
        <v>9.2586511082899101E-2</v>
      </c>
      <c r="C448" s="46">
        <f>'Parameter Input'!$M$106</f>
        <v>7.3304790352502799E-2</v>
      </c>
      <c r="D448" s="1" t="s">
        <v>68</v>
      </c>
      <c r="L448" s="54">
        <f>'Parameter Input'!$O$106</f>
        <v>12</v>
      </c>
      <c r="M448" s="37">
        <v>0</v>
      </c>
      <c r="N448" s="37">
        <v>1</v>
      </c>
      <c r="O448" s="37">
        <f>'Parameter Input'!$P$106</f>
        <v>0.9</v>
      </c>
      <c r="P448" s="55">
        <f>'Parameter Input'!$Q$106</f>
        <v>0.4</v>
      </c>
      <c r="Q448" s="4">
        <f t="shared" si="320"/>
        <v>0.9867978615748374</v>
      </c>
      <c r="R448" s="4">
        <f t="shared" si="320"/>
        <v>0.98114509762858249</v>
      </c>
      <c r="S448" s="4">
        <f t="shared" si="320"/>
        <v>0.97311898315872036</v>
      </c>
      <c r="T448" s="4">
        <f t="shared" ref="T448:AI455" si="321">$N448+($M448-$N448)*((1/(1+EXP(-$P448*(T$9-$L448)))^$O448))</f>
        <v>0.96177484161592774</v>
      </c>
      <c r="U448" s="4">
        <f t="shared" si="321"/>
        <v>0.94584787155511363</v>
      </c>
      <c r="V448" s="4">
        <f t="shared" si="321"/>
        <v>0.92370360150141495</v>
      </c>
      <c r="W448" s="4">
        <f t="shared" si="321"/>
        <v>0.89334463567658451</v>
      </c>
      <c r="X448" s="4">
        <f t="shared" si="321"/>
        <v>0.85254543874327005</v>
      </c>
      <c r="Y448" s="4">
        <f t="shared" si="321"/>
        <v>0.79921300652623883</v>
      </c>
      <c r="Z448" s="4">
        <f t="shared" si="321"/>
        <v>0.73204982249993378</v>
      </c>
      <c r="AA448" s="4">
        <f t="shared" si="321"/>
        <v>0.65145592958786691</v>
      </c>
      <c r="AB448" s="4">
        <f t="shared" si="321"/>
        <v>0.56032247880849573</v>
      </c>
      <c r="AC448" s="4">
        <f t="shared" si="321"/>
        <v>0.46411326873185343</v>
      </c>
      <c r="AD448" s="4">
        <f t="shared" si="321"/>
        <v>0.36979727595523937</v>
      </c>
      <c r="AE448" s="4">
        <f t="shared" si="321"/>
        <v>0.28393948637231203</v>
      </c>
      <c r="AF448" s="4">
        <f t="shared" si="321"/>
        <v>0.21097259161117732</v>
      </c>
      <c r="AG448" s="4">
        <f t="shared" si="321"/>
        <v>0.15253917653798199</v>
      </c>
      <c r="AH448" s="4">
        <f t="shared" si="321"/>
        <v>0.10795188737709993</v>
      </c>
      <c r="AI448" s="4">
        <f t="shared" si="321"/>
        <v>7.5176653938091809E-2</v>
      </c>
      <c r="AJ448" s="4">
        <f t="shared" ref="AJ448:AR455" si="322">$N448+($M448-$N448)*((1/(1+EXP(-$P448*(AJ$9-$L448)))^$O448))</f>
        <v>5.1742836177502194E-2</v>
      </c>
      <c r="AK448" s="4">
        <f t="shared" si="322"/>
        <v>3.5319190625345942E-2</v>
      </c>
      <c r="AL448" s="4">
        <f t="shared" si="322"/>
        <v>2.3969442072658165E-2</v>
      </c>
      <c r="AM448" s="4">
        <f t="shared" si="322"/>
        <v>1.6202243558389728E-2</v>
      </c>
      <c r="AN448" s="4">
        <f t="shared" si="322"/>
        <v>1.0922240564108399E-2</v>
      </c>
      <c r="AO448" s="4">
        <f t="shared" si="322"/>
        <v>7.3493212906090566E-3</v>
      </c>
      <c r="AP448" s="4">
        <f t="shared" si="322"/>
        <v>4.9390262185057265E-3</v>
      </c>
      <c r="AQ448" s="4">
        <f t="shared" si="322"/>
        <v>3.3164275492956197E-3</v>
      </c>
      <c r="AR448" s="4">
        <f t="shared" si="322"/>
        <v>2.2256362146679809E-3</v>
      </c>
    </row>
    <row r="449" spans="1:44" x14ac:dyDescent="0.3">
      <c r="A449" s="24" t="s">
        <v>206</v>
      </c>
      <c r="B449" s="115">
        <f>'Parameter Input'!$L$109</f>
        <v>6.2900084210526327E-2</v>
      </c>
      <c r="C449" s="116">
        <f>'Parameter Input'!$M$109</f>
        <v>0</v>
      </c>
      <c r="D449" s="1" t="s">
        <v>76</v>
      </c>
      <c r="L449" s="54">
        <f>'Parameter Input'!$O$109</f>
        <v>17</v>
      </c>
      <c r="M449" s="37">
        <v>0</v>
      </c>
      <c r="N449" s="37">
        <v>1</v>
      </c>
      <c r="O449" s="37">
        <f>'Parameter Input'!$P$109</f>
        <v>0.9</v>
      </c>
      <c r="P449" s="55">
        <f>'Parameter Input'!$Q$109</f>
        <v>0.4</v>
      </c>
      <c r="Q449" s="4">
        <f t="shared" ref="Q449:AR449" si="323">$N449+($M449-$N449)*((1/(1+EXP(-$P449*(Q$9-$L449)))^$O449))</f>
        <v>0.99780374543478534</v>
      </c>
      <c r="R449" s="4">
        <f t="shared" si="323"/>
        <v>0.99685359315256394</v>
      </c>
      <c r="S449" s="4">
        <f t="shared" si="323"/>
        <v>0.99549347132349975</v>
      </c>
      <c r="T449" s="4">
        <f t="shared" si="323"/>
        <v>0.99354772139898062</v>
      </c>
      <c r="U449" s="4">
        <f t="shared" si="323"/>
        <v>0.99076681540580536</v>
      </c>
      <c r="V449" s="4">
        <f t="shared" si="323"/>
        <v>0.9867978615748374</v>
      </c>
      <c r="W449" s="4">
        <f t="shared" si="323"/>
        <v>0.98114509762858249</v>
      </c>
      <c r="X449" s="4">
        <f t="shared" si="323"/>
        <v>0.97311898315872036</v>
      </c>
      <c r="Y449" s="4">
        <f t="shared" si="323"/>
        <v>0.96177484161592774</v>
      </c>
      <c r="Z449" s="4">
        <f t="shared" si="323"/>
        <v>0.94584787155511363</v>
      </c>
      <c r="AA449" s="4">
        <f t="shared" si="323"/>
        <v>0.92370360150141495</v>
      </c>
      <c r="AB449" s="4">
        <f t="shared" si="323"/>
        <v>0.89334463567658451</v>
      </c>
      <c r="AC449" s="4">
        <f t="shared" si="323"/>
        <v>0.85254543874327005</v>
      </c>
      <c r="AD449" s="4">
        <f t="shared" si="323"/>
        <v>0.79921300652623883</v>
      </c>
      <c r="AE449" s="4">
        <f t="shared" si="323"/>
        <v>0.73204982249993378</v>
      </c>
      <c r="AF449" s="4">
        <f t="shared" si="323"/>
        <v>0.65145592958786691</v>
      </c>
      <c r="AG449" s="4">
        <f t="shared" si="323"/>
        <v>0.56032247880849573</v>
      </c>
      <c r="AH449" s="4">
        <f t="shared" si="323"/>
        <v>0.46411326873185343</v>
      </c>
      <c r="AI449" s="4">
        <f t="shared" si="323"/>
        <v>0.36979727595523937</v>
      </c>
      <c r="AJ449" s="4">
        <f t="shared" si="323"/>
        <v>0.28393948637231203</v>
      </c>
      <c r="AK449" s="4">
        <f t="shared" si="323"/>
        <v>0.21097259161117732</v>
      </c>
      <c r="AL449" s="4">
        <f t="shared" si="323"/>
        <v>0.15253917653798199</v>
      </c>
      <c r="AM449" s="4">
        <f t="shared" si="323"/>
        <v>0.10795188737709993</v>
      </c>
      <c r="AN449" s="4">
        <f t="shared" si="323"/>
        <v>7.5176653938091809E-2</v>
      </c>
      <c r="AO449" s="4">
        <f t="shared" si="323"/>
        <v>5.1742836177502194E-2</v>
      </c>
      <c r="AP449" s="4">
        <f t="shared" si="323"/>
        <v>3.5319190625345942E-2</v>
      </c>
      <c r="AQ449" s="4">
        <f t="shared" si="323"/>
        <v>2.3969442072658165E-2</v>
      </c>
      <c r="AR449" s="4">
        <f t="shared" si="323"/>
        <v>1.6202243558389728E-2</v>
      </c>
    </row>
    <row r="450" spans="1:44" x14ac:dyDescent="0.3">
      <c r="A450" s="24" t="s">
        <v>41</v>
      </c>
      <c r="B450" s="43">
        <f>'Parameter Input'!$L$103</f>
        <v>20</v>
      </c>
      <c r="C450" s="44">
        <f>'Parameter Input'!$M$103</f>
        <v>20</v>
      </c>
      <c r="D450" s="1" t="s">
        <v>42</v>
      </c>
      <c r="L450" s="54">
        <f>'Parameter Input'!$O$103</f>
        <v>12</v>
      </c>
      <c r="M450" s="37">
        <v>0</v>
      </c>
      <c r="N450" s="37">
        <v>1</v>
      </c>
      <c r="O450" s="37">
        <f>'Parameter Input'!$P$103</f>
        <v>0.9</v>
      </c>
      <c r="P450" s="55">
        <f>'Parameter Input'!$Q$103</f>
        <v>0.4</v>
      </c>
      <c r="Q450" s="4">
        <f t="shared" ref="Q450:AF455" si="324">$N450+($M450-$N450)*((1/(1+EXP(-$P450*(Q$9-$L450)))^$O450))</f>
        <v>0.9867978615748374</v>
      </c>
      <c r="R450" s="4">
        <f t="shared" si="324"/>
        <v>0.98114509762858249</v>
      </c>
      <c r="S450" s="4">
        <f t="shared" si="324"/>
        <v>0.97311898315872036</v>
      </c>
      <c r="T450" s="4">
        <f t="shared" si="324"/>
        <v>0.96177484161592774</v>
      </c>
      <c r="U450" s="4">
        <f t="shared" si="324"/>
        <v>0.94584787155511363</v>
      </c>
      <c r="V450" s="4">
        <f t="shared" si="324"/>
        <v>0.92370360150141495</v>
      </c>
      <c r="W450" s="4">
        <f t="shared" si="324"/>
        <v>0.89334463567658451</v>
      </c>
      <c r="X450" s="4">
        <f t="shared" si="324"/>
        <v>0.85254543874327005</v>
      </c>
      <c r="Y450" s="4">
        <f t="shared" si="324"/>
        <v>0.79921300652623883</v>
      </c>
      <c r="Z450" s="4">
        <f t="shared" si="324"/>
        <v>0.73204982249993378</v>
      </c>
      <c r="AA450" s="4">
        <f t="shared" si="324"/>
        <v>0.65145592958786691</v>
      </c>
      <c r="AB450" s="4">
        <f t="shared" si="324"/>
        <v>0.56032247880849573</v>
      </c>
      <c r="AC450" s="4">
        <f t="shared" si="324"/>
        <v>0.46411326873185343</v>
      </c>
      <c r="AD450" s="4">
        <f t="shared" si="324"/>
        <v>0.36979727595523937</v>
      </c>
      <c r="AE450" s="4">
        <f t="shared" si="324"/>
        <v>0.28393948637231203</v>
      </c>
      <c r="AF450" s="4">
        <f t="shared" si="324"/>
        <v>0.21097259161117732</v>
      </c>
      <c r="AG450" s="4">
        <f t="shared" si="321"/>
        <v>0.15253917653798199</v>
      </c>
      <c r="AH450" s="4">
        <f t="shared" si="321"/>
        <v>0.10795188737709993</v>
      </c>
      <c r="AI450" s="4">
        <f t="shared" si="321"/>
        <v>7.5176653938091809E-2</v>
      </c>
      <c r="AJ450" s="4">
        <f t="shared" si="322"/>
        <v>5.1742836177502194E-2</v>
      </c>
      <c r="AK450" s="4">
        <f t="shared" si="322"/>
        <v>3.5319190625345942E-2</v>
      </c>
      <c r="AL450" s="4">
        <f t="shared" si="322"/>
        <v>2.3969442072658165E-2</v>
      </c>
      <c r="AM450" s="4">
        <f t="shared" si="322"/>
        <v>1.6202243558389728E-2</v>
      </c>
      <c r="AN450" s="4">
        <f t="shared" si="322"/>
        <v>1.0922240564108399E-2</v>
      </c>
      <c r="AO450" s="4">
        <f t="shared" si="322"/>
        <v>7.3493212906090566E-3</v>
      </c>
      <c r="AP450" s="4">
        <f t="shared" si="322"/>
        <v>4.9390262185057265E-3</v>
      </c>
      <c r="AQ450" s="4">
        <f t="shared" si="322"/>
        <v>3.3164275492956197E-3</v>
      </c>
      <c r="AR450" s="4">
        <f t="shared" si="322"/>
        <v>2.2256362146679809E-3</v>
      </c>
    </row>
    <row r="451" spans="1:44" x14ac:dyDescent="0.3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324"/>
        <v>0.9867978615748374</v>
      </c>
      <c r="R451" s="4">
        <f t="shared" si="324"/>
        <v>0.98114509762858249</v>
      </c>
      <c r="S451" s="4">
        <f t="shared" si="324"/>
        <v>0.97311898315872036</v>
      </c>
      <c r="T451" s="4">
        <f t="shared" si="324"/>
        <v>0.96177484161592774</v>
      </c>
      <c r="U451" s="4">
        <f t="shared" si="324"/>
        <v>0.94584787155511363</v>
      </c>
      <c r="V451" s="4">
        <f t="shared" si="324"/>
        <v>0.92370360150141495</v>
      </c>
      <c r="W451" s="4">
        <f t="shared" si="324"/>
        <v>0.89334463567658451</v>
      </c>
      <c r="X451" s="4">
        <f t="shared" si="324"/>
        <v>0.85254543874327005</v>
      </c>
      <c r="Y451" s="4">
        <f t="shared" si="324"/>
        <v>0.79921300652623883</v>
      </c>
      <c r="Z451" s="4">
        <f t="shared" si="324"/>
        <v>0.73204982249993378</v>
      </c>
      <c r="AA451" s="4">
        <f t="shared" si="324"/>
        <v>0.65145592958786691</v>
      </c>
      <c r="AB451" s="4">
        <f t="shared" si="324"/>
        <v>0.56032247880849573</v>
      </c>
      <c r="AC451" s="4">
        <f t="shared" si="324"/>
        <v>0.46411326873185343</v>
      </c>
      <c r="AD451" s="4">
        <f t="shared" si="324"/>
        <v>0.36979727595523937</v>
      </c>
      <c r="AE451" s="4">
        <f t="shared" si="324"/>
        <v>0.28393948637231203</v>
      </c>
      <c r="AF451" s="4">
        <f t="shared" si="324"/>
        <v>0.21097259161117732</v>
      </c>
      <c r="AG451" s="4">
        <f t="shared" si="321"/>
        <v>0.15253917653798199</v>
      </c>
      <c r="AH451" s="4">
        <f t="shared" si="321"/>
        <v>0.10795188737709993</v>
      </c>
      <c r="AI451" s="4">
        <f t="shared" si="321"/>
        <v>7.5176653938091809E-2</v>
      </c>
      <c r="AJ451" s="4">
        <f t="shared" si="322"/>
        <v>5.1742836177502194E-2</v>
      </c>
      <c r="AK451" s="4">
        <f t="shared" si="322"/>
        <v>3.5319190625345942E-2</v>
      </c>
      <c r="AL451" s="4">
        <f t="shared" si="322"/>
        <v>2.3969442072658165E-2</v>
      </c>
      <c r="AM451" s="4">
        <f t="shared" si="322"/>
        <v>1.6202243558389728E-2</v>
      </c>
      <c r="AN451" s="4">
        <f t="shared" si="322"/>
        <v>1.0922240564108399E-2</v>
      </c>
      <c r="AO451" s="4">
        <f t="shared" si="322"/>
        <v>7.3493212906090566E-3</v>
      </c>
      <c r="AP451" s="4">
        <f t="shared" si="322"/>
        <v>4.9390262185057265E-3</v>
      </c>
      <c r="AQ451" s="4">
        <f t="shared" si="322"/>
        <v>3.3164275492956197E-3</v>
      </c>
      <c r="AR451" s="4">
        <f t="shared" si="322"/>
        <v>2.2256362146679809E-3</v>
      </c>
    </row>
    <row r="452" spans="1:44" x14ac:dyDescent="0.3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324"/>
        <v>0.9867978615748374</v>
      </c>
      <c r="R452" s="4">
        <f t="shared" si="324"/>
        <v>0.98114509762858249</v>
      </c>
      <c r="S452" s="4">
        <f t="shared" si="324"/>
        <v>0.97311898315872036</v>
      </c>
      <c r="T452" s="4">
        <f t="shared" si="324"/>
        <v>0.96177484161592774</v>
      </c>
      <c r="U452" s="4">
        <f t="shared" si="324"/>
        <v>0.94584787155511363</v>
      </c>
      <c r="V452" s="4">
        <f t="shared" si="324"/>
        <v>0.92370360150141495</v>
      </c>
      <c r="W452" s="4">
        <f t="shared" si="324"/>
        <v>0.89334463567658451</v>
      </c>
      <c r="X452" s="4">
        <f t="shared" si="324"/>
        <v>0.85254543874327005</v>
      </c>
      <c r="Y452" s="4">
        <f t="shared" si="324"/>
        <v>0.79921300652623883</v>
      </c>
      <c r="Z452" s="4">
        <f t="shared" si="324"/>
        <v>0.73204982249993378</v>
      </c>
      <c r="AA452" s="4">
        <f t="shared" si="324"/>
        <v>0.65145592958786691</v>
      </c>
      <c r="AB452" s="4">
        <f t="shared" si="324"/>
        <v>0.56032247880849573</v>
      </c>
      <c r="AC452" s="4">
        <f t="shared" si="324"/>
        <v>0.46411326873185343</v>
      </c>
      <c r="AD452" s="4">
        <f t="shared" si="324"/>
        <v>0.36979727595523937</v>
      </c>
      <c r="AE452" s="4">
        <f t="shared" si="324"/>
        <v>0.28393948637231203</v>
      </c>
      <c r="AF452" s="4">
        <f t="shared" si="324"/>
        <v>0.21097259161117732</v>
      </c>
      <c r="AG452" s="4">
        <f t="shared" si="321"/>
        <v>0.15253917653798199</v>
      </c>
      <c r="AH452" s="4">
        <f t="shared" si="321"/>
        <v>0.10795188737709993</v>
      </c>
      <c r="AI452" s="4">
        <f t="shared" si="321"/>
        <v>7.5176653938091809E-2</v>
      </c>
      <c r="AJ452" s="4">
        <f t="shared" si="322"/>
        <v>5.1742836177502194E-2</v>
      </c>
      <c r="AK452" s="4">
        <f t="shared" si="322"/>
        <v>3.5319190625345942E-2</v>
      </c>
      <c r="AL452" s="4">
        <f t="shared" si="322"/>
        <v>2.3969442072658165E-2</v>
      </c>
      <c r="AM452" s="4">
        <f t="shared" si="322"/>
        <v>1.6202243558389728E-2</v>
      </c>
      <c r="AN452" s="4">
        <f t="shared" si="322"/>
        <v>1.0922240564108399E-2</v>
      </c>
      <c r="AO452" s="4">
        <f t="shared" si="322"/>
        <v>7.3493212906090566E-3</v>
      </c>
      <c r="AP452" s="4">
        <f t="shared" si="322"/>
        <v>4.9390262185057265E-3</v>
      </c>
      <c r="AQ452" s="4">
        <f t="shared" si="322"/>
        <v>3.3164275492956197E-3</v>
      </c>
      <c r="AR452" s="4">
        <f t="shared" si="322"/>
        <v>2.2256362146679809E-3</v>
      </c>
    </row>
    <row r="453" spans="1:44" x14ac:dyDescent="0.3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324"/>
        <v>0.9867978615748374</v>
      </c>
      <c r="R453" s="4">
        <f t="shared" si="324"/>
        <v>0.98114509762858249</v>
      </c>
      <c r="S453" s="4">
        <f t="shared" si="324"/>
        <v>0.97311898315872036</v>
      </c>
      <c r="T453" s="4">
        <f t="shared" si="324"/>
        <v>0.96177484161592774</v>
      </c>
      <c r="U453" s="4">
        <f t="shared" si="324"/>
        <v>0.94584787155511363</v>
      </c>
      <c r="V453" s="4">
        <f t="shared" si="324"/>
        <v>0.92370360150141495</v>
      </c>
      <c r="W453" s="4">
        <f t="shared" si="324"/>
        <v>0.89334463567658451</v>
      </c>
      <c r="X453" s="4">
        <f t="shared" si="324"/>
        <v>0.85254543874327005</v>
      </c>
      <c r="Y453" s="4">
        <f t="shared" si="324"/>
        <v>0.79921300652623883</v>
      </c>
      <c r="Z453" s="4">
        <f t="shared" si="324"/>
        <v>0.73204982249993378</v>
      </c>
      <c r="AA453" s="4">
        <f t="shared" si="324"/>
        <v>0.65145592958786691</v>
      </c>
      <c r="AB453" s="4">
        <f t="shared" si="324"/>
        <v>0.56032247880849573</v>
      </c>
      <c r="AC453" s="4">
        <f t="shared" si="324"/>
        <v>0.46411326873185343</v>
      </c>
      <c r="AD453" s="4">
        <f t="shared" si="324"/>
        <v>0.36979727595523937</v>
      </c>
      <c r="AE453" s="4">
        <f t="shared" si="324"/>
        <v>0.28393948637231203</v>
      </c>
      <c r="AF453" s="4">
        <f t="shared" si="324"/>
        <v>0.21097259161117732</v>
      </c>
      <c r="AG453" s="4">
        <f t="shared" si="321"/>
        <v>0.15253917653798199</v>
      </c>
      <c r="AH453" s="4">
        <f t="shared" si="321"/>
        <v>0.10795188737709993</v>
      </c>
      <c r="AI453" s="4">
        <f t="shared" si="321"/>
        <v>7.5176653938091809E-2</v>
      </c>
      <c r="AJ453" s="4">
        <f t="shared" si="322"/>
        <v>5.1742836177502194E-2</v>
      </c>
      <c r="AK453" s="4">
        <f t="shared" si="322"/>
        <v>3.5319190625345942E-2</v>
      </c>
      <c r="AL453" s="4">
        <f t="shared" si="322"/>
        <v>2.3969442072658165E-2</v>
      </c>
      <c r="AM453" s="4">
        <f t="shared" si="322"/>
        <v>1.6202243558389728E-2</v>
      </c>
      <c r="AN453" s="4">
        <f t="shared" si="322"/>
        <v>1.0922240564108399E-2</v>
      </c>
      <c r="AO453" s="4">
        <f t="shared" si="322"/>
        <v>7.3493212906090566E-3</v>
      </c>
      <c r="AP453" s="4">
        <f t="shared" si="322"/>
        <v>4.9390262185057265E-3</v>
      </c>
      <c r="AQ453" s="4">
        <f t="shared" si="322"/>
        <v>3.3164275492956197E-3</v>
      </c>
      <c r="AR453" s="4">
        <f t="shared" si="322"/>
        <v>2.2256362146679809E-3</v>
      </c>
    </row>
    <row r="454" spans="1:44" x14ac:dyDescent="0.3">
      <c r="A454" s="24" t="s">
        <v>73</v>
      </c>
      <c r="B454" s="72">
        <f>'Parameter Input'!$L$107</f>
        <v>3.5714285714285712E-2</v>
      </c>
      <c r="C454" s="73">
        <f>'Parameter Input'!$M$107</f>
        <v>1.7857142857142856E-2</v>
      </c>
      <c r="D454" s="1" t="s">
        <v>57</v>
      </c>
      <c r="L454" s="54">
        <f>'Parameter Input'!$O$107</f>
        <v>12</v>
      </c>
      <c r="M454" s="37">
        <v>0</v>
      </c>
      <c r="N454" s="37">
        <v>1</v>
      </c>
      <c r="O454" s="37">
        <f>'Parameter Input'!$P$107</f>
        <v>0.9</v>
      </c>
      <c r="P454" s="55">
        <f>'Parameter Input'!$Q$107</f>
        <v>0.4</v>
      </c>
      <c r="Q454" s="4">
        <f t="shared" si="324"/>
        <v>0.9867978615748374</v>
      </c>
      <c r="R454" s="4">
        <f t="shared" si="324"/>
        <v>0.98114509762858249</v>
      </c>
      <c r="S454" s="4">
        <f t="shared" si="324"/>
        <v>0.97311898315872036</v>
      </c>
      <c r="T454" s="4">
        <f t="shared" si="324"/>
        <v>0.96177484161592774</v>
      </c>
      <c r="U454" s="4">
        <f t="shared" si="324"/>
        <v>0.94584787155511363</v>
      </c>
      <c r="V454" s="4">
        <f t="shared" si="324"/>
        <v>0.92370360150141495</v>
      </c>
      <c r="W454" s="4">
        <f t="shared" si="324"/>
        <v>0.89334463567658451</v>
      </c>
      <c r="X454" s="4">
        <f t="shared" si="324"/>
        <v>0.85254543874327005</v>
      </c>
      <c r="Y454" s="4">
        <f t="shared" si="324"/>
        <v>0.79921300652623883</v>
      </c>
      <c r="Z454" s="4">
        <f t="shared" si="324"/>
        <v>0.73204982249993378</v>
      </c>
      <c r="AA454" s="4">
        <f t="shared" si="324"/>
        <v>0.65145592958786691</v>
      </c>
      <c r="AB454" s="4">
        <f t="shared" si="324"/>
        <v>0.56032247880849573</v>
      </c>
      <c r="AC454" s="4">
        <f t="shared" si="324"/>
        <v>0.46411326873185343</v>
      </c>
      <c r="AD454" s="4">
        <f t="shared" si="324"/>
        <v>0.36979727595523937</v>
      </c>
      <c r="AE454" s="4">
        <f t="shared" si="324"/>
        <v>0.28393948637231203</v>
      </c>
      <c r="AF454" s="4">
        <f t="shared" si="324"/>
        <v>0.21097259161117732</v>
      </c>
      <c r="AG454" s="4">
        <f t="shared" si="321"/>
        <v>0.15253917653798199</v>
      </c>
      <c r="AH454" s="4">
        <f t="shared" si="321"/>
        <v>0.10795188737709993</v>
      </c>
      <c r="AI454" s="4">
        <f t="shared" si="321"/>
        <v>7.5176653938091809E-2</v>
      </c>
      <c r="AJ454" s="4">
        <f t="shared" si="322"/>
        <v>5.1742836177502194E-2</v>
      </c>
      <c r="AK454" s="4">
        <f t="shared" si="322"/>
        <v>3.5319190625345942E-2</v>
      </c>
      <c r="AL454" s="4">
        <f t="shared" si="322"/>
        <v>2.3969442072658165E-2</v>
      </c>
      <c r="AM454" s="4">
        <f t="shared" si="322"/>
        <v>1.6202243558389728E-2</v>
      </c>
      <c r="AN454" s="4">
        <f t="shared" si="322"/>
        <v>1.0922240564108399E-2</v>
      </c>
      <c r="AO454" s="4">
        <f t="shared" si="322"/>
        <v>7.3493212906090566E-3</v>
      </c>
      <c r="AP454" s="4">
        <f t="shared" si="322"/>
        <v>4.9390262185057265E-3</v>
      </c>
      <c r="AQ454" s="4">
        <f t="shared" si="322"/>
        <v>3.3164275492956197E-3</v>
      </c>
      <c r="AR454" s="4">
        <f t="shared" si="322"/>
        <v>2.2256362146679809E-3</v>
      </c>
    </row>
    <row r="455" spans="1:44" ht="15" thickBot="1" x14ac:dyDescent="0.35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324"/>
        <v>0.9867978615748374</v>
      </c>
      <c r="R455" s="4">
        <f t="shared" si="324"/>
        <v>0.98114509762858249</v>
      </c>
      <c r="S455" s="4">
        <f t="shared" si="324"/>
        <v>0.97311898315872036</v>
      </c>
      <c r="T455" s="4">
        <f t="shared" si="324"/>
        <v>0.96177484161592774</v>
      </c>
      <c r="U455" s="4">
        <f t="shared" si="324"/>
        <v>0.94584787155511363</v>
      </c>
      <c r="V455" s="4">
        <f t="shared" si="324"/>
        <v>0.92370360150141495</v>
      </c>
      <c r="W455" s="4">
        <f t="shared" si="324"/>
        <v>0.89334463567658451</v>
      </c>
      <c r="X455" s="4">
        <f t="shared" si="324"/>
        <v>0.85254543874327005</v>
      </c>
      <c r="Y455" s="4">
        <f t="shared" si="324"/>
        <v>0.79921300652623883</v>
      </c>
      <c r="Z455" s="4">
        <f t="shared" si="324"/>
        <v>0.73204982249993378</v>
      </c>
      <c r="AA455" s="4">
        <f t="shared" si="324"/>
        <v>0.65145592958786691</v>
      </c>
      <c r="AB455" s="4">
        <f t="shared" si="324"/>
        <v>0.56032247880849573</v>
      </c>
      <c r="AC455" s="4">
        <f t="shared" si="324"/>
        <v>0.46411326873185343</v>
      </c>
      <c r="AD455" s="4">
        <f t="shared" si="324"/>
        <v>0.36979727595523937</v>
      </c>
      <c r="AE455" s="4">
        <f t="shared" si="324"/>
        <v>0.28393948637231203</v>
      </c>
      <c r="AF455" s="4">
        <f t="shared" si="324"/>
        <v>0.21097259161117732</v>
      </c>
      <c r="AG455" s="4">
        <f t="shared" si="321"/>
        <v>0.15253917653798199</v>
      </c>
      <c r="AH455" s="4">
        <f t="shared" si="321"/>
        <v>0.10795188737709993</v>
      </c>
      <c r="AI455" s="4">
        <f t="shared" si="321"/>
        <v>7.5176653938091809E-2</v>
      </c>
      <c r="AJ455" s="4">
        <f t="shared" si="322"/>
        <v>5.1742836177502194E-2</v>
      </c>
      <c r="AK455" s="4">
        <f t="shared" si="322"/>
        <v>3.5319190625345942E-2</v>
      </c>
      <c r="AL455" s="4">
        <f t="shared" si="322"/>
        <v>2.3969442072658165E-2</v>
      </c>
      <c r="AM455" s="4">
        <f t="shared" si="322"/>
        <v>1.6202243558389728E-2</v>
      </c>
      <c r="AN455" s="4">
        <f t="shared" si="322"/>
        <v>1.0922240564108399E-2</v>
      </c>
      <c r="AO455" s="4">
        <f t="shared" si="322"/>
        <v>7.3493212906090566E-3</v>
      </c>
      <c r="AP455" s="4">
        <f t="shared" si="322"/>
        <v>4.9390262185057265E-3</v>
      </c>
      <c r="AQ455" s="4">
        <f t="shared" si="322"/>
        <v>3.3164275492956197E-3</v>
      </c>
      <c r="AR455" s="4">
        <f t="shared" si="322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68" si="325">A439</f>
        <v>Capex vehicle</v>
      </c>
      <c r="B459" s="62">
        <f t="shared" ref="B459:B468" si="326">$B439+($C439-$B439)*(1-Q439)</f>
        <v>9950491.9809056409</v>
      </c>
      <c r="C459" s="62">
        <f t="shared" ref="C459:C468" si="327">$B439+($C439-$B439)*(1-R439)</f>
        <v>9929294.1161071844</v>
      </c>
      <c r="D459" s="62">
        <f t="shared" ref="D459:D468" si="328">$B439+($C439-$B439)*(1-S439)</f>
        <v>9899196.186845202</v>
      </c>
      <c r="E459" s="62">
        <f t="shared" ref="E459:E468" si="329">$B439+($C439-$B439)*(1-T439)</f>
        <v>9856655.6560597289</v>
      </c>
      <c r="F459" s="62">
        <f t="shared" ref="F459:F468" si="330">$B439+($C439-$B439)*(1-U439)</f>
        <v>9796929.5183316767</v>
      </c>
      <c r="G459" s="62">
        <f t="shared" ref="G459:G468" si="331">$B439+($C439-$B439)*(1-V439)</f>
        <v>9713888.5056303069</v>
      </c>
      <c r="H459" s="62">
        <f t="shared" ref="H459:H468" si="332">$B439+($C439-$B439)*(1-W439)</f>
        <v>9600042.3837871924</v>
      </c>
      <c r="I459" s="62">
        <f t="shared" ref="I459:I468" si="333">$B439+($C439-$B439)*(1-X439)</f>
        <v>9447045.3952872623</v>
      </c>
      <c r="J459" s="62">
        <f t="shared" ref="J459:J468" si="334">$B439+($C439-$B439)*(1-Y439)</f>
        <v>9247048.7744733952</v>
      </c>
      <c r="K459" s="62">
        <f t="shared" ref="K459:K468" si="335">$B439+($C439-$B439)*(1-Z439)</f>
        <v>8995186.8343747519</v>
      </c>
      <c r="L459" s="62">
        <f t="shared" ref="L459:L468" si="336">$B439+($C439-$B439)*(1-AA439)</f>
        <v>8692959.7359545007</v>
      </c>
      <c r="M459" s="62">
        <f t="shared" ref="M459:M468" si="337">$B439+($C439-$B439)*(1-AB439)</f>
        <v>8351209.2955318587</v>
      </c>
      <c r="N459" s="62">
        <f t="shared" ref="N459:N468" si="338">$B439+($C439-$B439)*(1-AC439)</f>
        <v>7990424.7577444501</v>
      </c>
      <c r="O459" s="62">
        <f t="shared" ref="O459:O468" si="339">$B439+($C439-$B439)*(1-AD439)</f>
        <v>7636739.7848321479</v>
      </c>
      <c r="P459" s="62">
        <f t="shared" ref="P459:P468" si="340">$B439+($C439-$B439)*(1-AE439)</f>
        <v>7314773.0738961697</v>
      </c>
      <c r="Q459" s="62">
        <f t="shared" ref="Q459:Q468" si="341">$B439+($C439-$B439)*(1-AF439)</f>
        <v>7041147.2185419146</v>
      </c>
      <c r="R459" s="62">
        <f t="shared" ref="R459:R468" si="342">$B439+($C439-$B439)*(1-AG439)</f>
        <v>6822021.912017433</v>
      </c>
      <c r="S459" s="62">
        <f t="shared" ref="S459:S468" si="343">$B439+($C439-$B439)*(1-AH439)</f>
        <v>6654819.5776641248</v>
      </c>
      <c r="T459" s="62">
        <f t="shared" ref="T459:T468" si="344">$B439+($C439-$B439)*(1-AI439)</f>
        <v>6531912.4522678442</v>
      </c>
      <c r="U459" s="62">
        <f t="shared" ref="U459:U468" si="345">$B439+($C439-$B439)*(1-AJ439)</f>
        <v>6444035.6356656328</v>
      </c>
      <c r="V459" s="62">
        <f t="shared" ref="V459:V468" si="346">$B439+($C439-$B439)*(1-AK439)</f>
        <v>6382446.9648450473</v>
      </c>
      <c r="W459" s="62">
        <f t="shared" ref="W459:W468" si="347">$B439+($C439-$B439)*(1-AL439)</f>
        <v>6339885.4077724684</v>
      </c>
      <c r="X459" s="62">
        <f t="shared" ref="X459:X468" si="348">$B439+($C439-$B439)*(1-AM439)</f>
        <v>6310758.4133439614</v>
      </c>
      <c r="Y459" s="62">
        <f t="shared" ref="Y459:Y468" si="349">$B439+($C439-$B439)*(1-AN439)</f>
        <v>6290958.4021154065</v>
      </c>
      <c r="Z459" s="62">
        <f t="shared" ref="Z459:Z468" si="350">$B439+($C439-$B439)*(1-AO439)</f>
        <v>6277559.9548397847</v>
      </c>
      <c r="AA459" s="62">
        <f t="shared" ref="AA459:AA468" si="351">$B439+($C439-$B439)*(1-AP439)</f>
        <v>6268521.3483193964</v>
      </c>
      <c r="AB459" s="62">
        <f t="shared" ref="AB459:AB468" si="352">$B439+($C439-$B439)*(1-AQ439)</f>
        <v>6262436.6033098586</v>
      </c>
      <c r="AC459" s="62">
        <f t="shared" ref="AC459:AC468" si="353">$B439+($C439-$B439)*(1-AR439)</f>
        <v>6258346.1358050052</v>
      </c>
    </row>
    <row r="460" spans="1:44" x14ac:dyDescent="0.3">
      <c r="A460" s="30" t="str">
        <f t="shared" si="325"/>
        <v>Residual value (vehicle)</v>
      </c>
      <c r="B460" s="62">
        <f t="shared" si="326"/>
        <v>-505775.93556100863</v>
      </c>
      <c r="C460" s="62">
        <f t="shared" si="327"/>
        <v>-508249.01978749514</v>
      </c>
      <c r="D460" s="62">
        <f t="shared" si="328"/>
        <v>-511760.44486805983</v>
      </c>
      <c r="E460" s="62">
        <f t="shared" si="329"/>
        <v>-516723.50679303159</v>
      </c>
      <c r="F460" s="62">
        <f t="shared" si="330"/>
        <v>-523691.55619463779</v>
      </c>
      <c r="G460" s="62">
        <f t="shared" si="331"/>
        <v>-533379.67434313102</v>
      </c>
      <c r="H460" s="62">
        <f t="shared" si="332"/>
        <v>-546661.72189149424</v>
      </c>
      <c r="I460" s="62">
        <f t="shared" si="333"/>
        <v>-564511.37054981932</v>
      </c>
      <c r="J460" s="62">
        <f t="shared" si="334"/>
        <v>-587844.30964477046</v>
      </c>
      <c r="K460" s="62">
        <f t="shared" si="335"/>
        <v>-617228.20265627897</v>
      </c>
      <c r="L460" s="62">
        <f t="shared" si="336"/>
        <v>-652488.03080530826</v>
      </c>
      <c r="M460" s="62">
        <f t="shared" si="337"/>
        <v>-692358.91552128317</v>
      </c>
      <c r="N460" s="62">
        <f t="shared" si="338"/>
        <v>-734450.44492981408</v>
      </c>
      <c r="O460" s="62">
        <f t="shared" si="339"/>
        <v>-775713.6917695828</v>
      </c>
      <c r="P460" s="62">
        <f t="shared" si="340"/>
        <v>-813276.4747121135</v>
      </c>
      <c r="Q460" s="62">
        <f t="shared" si="341"/>
        <v>-845199.49117010995</v>
      </c>
      <c r="R460" s="62">
        <f t="shared" si="342"/>
        <v>-870764.11026463285</v>
      </c>
      <c r="S460" s="62">
        <f t="shared" si="343"/>
        <v>-890271.04927251884</v>
      </c>
      <c r="T460" s="62">
        <f t="shared" si="344"/>
        <v>-904610.21390208486</v>
      </c>
      <c r="U460" s="62">
        <f t="shared" si="345"/>
        <v>-914862.50917234272</v>
      </c>
      <c r="V460" s="62">
        <f t="shared" si="346"/>
        <v>-922047.85410141107</v>
      </c>
      <c r="W460" s="62">
        <f t="shared" si="347"/>
        <v>-927013.36909321207</v>
      </c>
      <c r="X460" s="62">
        <f t="shared" si="348"/>
        <v>-930411.51844320446</v>
      </c>
      <c r="Y460" s="62">
        <f t="shared" si="349"/>
        <v>-932721.51975320256</v>
      </c>
      <c r="Z460" s="62">
        <f t="shared" si="350"/>
        <v>-934284.67193535855</v>
      </c>
      <c r="AA460" s="62">
        <f t="shared" si="351"/>
        <v>-935339.17602940369</v>
      </c>
      <c r="AB460" s="62">
        <f t="shared" si="352"/>
        <v>-936049.06294718315</v>
      </c>
      <c r="AC460" s="62">
        <f t="shared" si="353"/>
        <v>-936526.28415608278</v>
      </c>
    </row>
    <row r="461" spans="1:44" x14ac:dyDescent="0.3">
      <c r="A461" s="30" t="str">
        <f t="shared" si="325"/>
        <v>Capex costumization</v>
      </c>
      <c r="B461" s="62">
        <f t="shared" si="326"/>
        <v>3500000</v>
      </c>
      <c r="C461" s="62">
        <f t="shared" si="327"/>
        <v>3500000</v>
      </c>
      <c r="D461" s="62">
        <f t="shared" si="328"/>
        <v>3500000</v>
      </c>
      <c r="E461" s="62">
        <f t="shared" si="329"/>
        <v>3500000</v>
      </c>
      <c r="F461" s="62">
        <f t="shared" si="330"/>
        <v>3500000</v>
      </c>
      <c r="G461" s="62">
        <f t="shared" si="331"/>
        <v>3500000</v>
      </c>
      <c r="H461" s="62">
        <f t="shared" si="332"/>
        <v>3500000</v>
      </c>
      <c r="I461" s="62">
        <f t="shared" si="333"/>
        <v>3500000</v>
      </c>
      <c r="J461" s="62">
        <f t="shared" si="334"/>
        <v>3500000</v>
      </c>
      <c r="K461" s="62">
        <f t="shared" si="335"/>
        <v>3500000</v>
      </c>
      <c r="L461" s="62">
        <f t="shared" si="336"/>
        <v>3500000</v>
      </c>
      <c r="M461" s="62">
        <f t="shared" si="337"/>
        <v>3500000</v>
      </c>
      <c r="N461" s="62">
        <f t="shared" si="338"/>
        <v>3500000</v>
      </c>
      <c r="O461" s="62">
        <f t="shared" si="339"/>
        <v>3500000</v>
      </c>
      <c r="P461" s="62">
        <f t="shared" si="340"/>
        <v>3500000</v>
      </c>
      <c r="Q461" s="62">
        <f t="shared" si="341"/>
        <v>3500000</v>
      </c>
      <c r="R461" s="62">
        <f t="shared" si="342"/>
        <v>3500000</v>
      </c>
      <c r="S461" s="62">
        <f t="shared" si="343"/>
        <v>3500000</v>
      </c>
      <c r="T461" s="62">
        <f t="shared" si="344"/>
        <v>3500000</v>
      </c>
      <c r="U461" s="62">
        <f t="shared" si="345"/>
        <v>3500000</v>
      </c>
      <c r="V461" s="62">
        <f t="shared" si="346"/>
        <v>3500000</v>
      </c>
      <c r="W461" s="62">
        <f t="shared" si="347"/>
        <v>3500000</v>
      </c>
      <c r="X461" s="62">
        <f t="shared" si="348"/>
        <v>3500000</v>
      </c>
      <c r="Y461" s="62">
        <f t="shared" si="349"/>
        <v>3500000</v>
      </c>
      <c r="Z461" s="62">
        <f t="shared" si="350"/>
        <v>3500000</v>
      </c>
      <c r="AA461" s="62">
        <f t="shared" si="351"/>
        <v>3500000</v>
      </c>
      <c r="AB461" s="62">
        <f t="shared" si="352"/>
        <v>3500000</v>
      </c>
      <c r="AC461" s="62">
        <f t="shared" si="353"/>
        <v>3500000</v>
      </c>
    </row>
    <row r="462" spans="1:44" x14ac:dyDescent="0.3">
      <c r="A462" s="30" t="str">
        <f t="shared" si="325"/>
        <v>Residual value (costumization)</v>
      </c>
      <c r="B462" s="62">
        <f t="shared" si="326"/>
        <v>-175000</v>
      </c>
      <c r="C462" s="62">
        <f t="shared" si="327"/>
        <v>-175000</v>
      </c>
      <c r="D462" s="62">
        <f t="shared" si="328"/>
        <v>-175000</v>
      </c>
      <c r="E462" s="62">
        <f t="shared" si="329"/>
        <v>-175000</v>
      </c>
      <c r="F462" s="62">
        <f t="shared" si="330"/>
        <v>-175000</v>
      </c>
      <c r="G462" s="62">
        <f t="shared" si="331"/>
        <v>-175000</v>
      </c>
      <c r="H462" s="62">
        <f t="shared" si="332"/>
        <v>-175000</v>
      </c>
      <c r="I462" s="62">
        <f t="shared" si="333"/>
        <v>-175000</v>
      </c>
      <c r="J462" s="62">
        <f t="shared" si="334"/>
        <v>-175000</v>
      </c>
      <c r="K462" s="62">
        <f t="shared" si="335"/>
        <v>-175000</v>
      </c>
      <c r="L462" s="62">
        <f t="shared" si="336"/>
        <v>-175000</v>
      </c>
      <c r="M462" s="62">
        <f t="shared" si="337"/>
        <v>-175000</v>
      </c>
      <c r="N462" s="62">
        <f t="shared" si="338"/>
        <v>-175000</v>
      </c>
      <c r="O462" s="62">
        <f t="shared" si="339"/>
        <v>-175000</v>
      </c>
      <c r="P462" s="62">
        <f t="shared" si="340"/>
        <v>-175000</v>
      </c>
      <c r="Q462" s="62">
        <f t="shared" si="341"/>
        <v>-175000</v>
      </c>
      <c r="R462" s="62">
        <f t="shared" si="342"/>
        <v>-175000</v>
      </c>
      <c r="S462" s="62">
        <f t="shared" si="343"/>
        <v>-175000</v>
      </c>
      <c r="T462" s="62">
        <f t="shared" si="344"/>
        <v>-175000</v>
      </c>
      <c r="U462" s="62">
        <f t="shared" si="345"/>
        <v>-175000</v>
      </c>
      <c r="V462" s="62">
        <f t="shared" si="346"/>
        <v>-175000</v>
      </c>
      <c r="W462" s="62">
        <f t="shared" si="347"/>
        <v>-175000</v>
      </c>
      <c r="X462" s="62">
        <f t="shared" si="348"/>
        <v>-175000</v>
      </c>
      <c r="Y462" s="62">
        <f t="shared" si="349"/>
        <v>-175000</v>
      </c>
      <c r="Z462" s="62">
        <f t="shared" si="350"/>
        <v>-175000</v>
      </c>
      <c r="AA462" s="62">
        <f t="shared" si="351"/>
        <v>-175000</v>
      </c>
      <c r="AB462" s="62">
        <f t="shared" si="352"/>
        <v>-175000</v>
      </c>
      <c r="AC462" s="62">
        <f t="shared" si="353"/>
        <v>-175000</v>
      </c>
    </row>
    <row r="463" spans="1:44" x14ac:dyDescent="0.3">
      <c r="A463" s="30" t="str">
        <f t="shared" si="325"/>
        <v>WACC</v>
      </c>
      <c r="B463" s="62">
        <f t="shared" si="326"/>
        <v>0.06</v>
      </c>
      <c r="C463" s="62">
        <f t="shared" si="327"/>
        <v>0.06</v>
      </c>
      <c r="D463" s="62">
        <f t="shared" si="328"/>
        <v>0.06</v>
      </c>
      <c r="E463" s="62">
        <f t="shared" si="329"/>
        <v>0.06</v>
      </c>
      <c r="F463" s="62">
        <f t="shared" si="330"/>
        <v>0.06</v>
      </c>
      <c r="G463" s="62">
        <f t="shared" si="331"/>
        <v>0.06</v>
      </c>
      <c r="H463" s="62">
        <f t="shared" si="332"/>
        <v>0.06</v>
      </c>
      <c r="I463" s="62">
        <f t="shared" si="333"/>
        <v>0.06</v>
      </c>
      <c r="J463" s="62">
        <f t="shared" si="334"/>
        <v>0.06</v>
      </c>
      <c r="K463" s="62">
        <f t="shared" si="335"/>
        <v>0.06</v>
      </c>
      <c r="L463" s="62">
        <f t="shared" si="336"/>
        <v>0.06</v>
      </c>
      <c r="M463" s="62">
        <f t="shared" si="337"/>
        <v>0.06</v>
      </c>
      <c r="N463" s="62">
        <f t="shared" si="338"/>
        <v>0.06</v>
      </c>
      <c r="O463" s="62">
        <f t="shared" si="339"/>
        <v>0.06</v>
      </c>
      <c r="P463" s="62">
        <f t="shared" si="340"/>
        <v>0.06</v>
      </c>
      <c r="Q463" s="62">
        <f t="shared" si="341"/>
        <v>0.06</v>
      </c>
      <c r="R463" s="62">
        <f t="shared" si="342"/>
        <v>0.06</v>
      </c>
      <c r="S463" s="62">
        <f t="shared" si="343"/>
        <v>0.06</v>
      </c>
      <c r="T463" s="62">
        <f t="shared" si="344"/>
        <v>0.06</v>
      </c>
      <c r="U463" s="62">
        <f t="shared" si="345"/>
        <v>0.06</v>
      </c>
      <c r="V463" s="62">
        <f t="shared" si="346"/>
        <v>0.06</v>
      </c>
      <c r="W463" s="62">
        <f t="shared" si="347"/>
        <v>0.06</v>
      </c>
      <c r="X463" s="62">
        <f t="shared" si="348"/>
        <v>0.06</v>
      </c>
      <c r="Y463" s="62">
        <f t="shared" si="349"/>
        <v>0.06</v>
      </c>
      <c r="Z463" s="62">
        <f t="shared" si="350"/>
        <v>0.06</v>
      </c>
      <c r="AA463" s="62">
        <f t="shared" si="351"/>
        <v>0.06</v>
      </c>
      <c r="AB463" s="62">
        <f t="shared" si="352"/>
        <v>0.06</v>
      </c>
      <c r="AC463" s="62">
        <f t="shared" si="353"/>
        <v>0.06</v>
      </c>
    </row>
    <row r="464" spans="1:44" x14ac:dyDescent="0.3">
      <c r="A464" s="30" t="str">
        <f t="shared" si="325"/>
        <v>Opex fix (admin, crew, insurance)</v>
      </c>
      <c r="B464" s="62">
        <f t="shared" si="326"/>
        <v>650000</v>
      </c>
      <c r="C464" s="62">
        <f t="shared" si="327"/>
        <v>650000</v>
      </c>
      <c r="D464" s="62">
        <f t="shared" si="328"/>
        <v>650000</v>
      </c>
      <c r="E464" s="62">
        <f t="shared" si="329"/>
        <v>650000</v>
      </c>
      <c r="F464" s="62">
        <f t="shared" si="330"/>
        <v>650000</v>
      </c>
      <c r="G464" s="62">
        <f t="shared" si="331"/>
        <v>650000</v>
      </c>
      <c r="H464" s="62">
        <f t="shared" si="332"/>
        <v>650000</v>
      </c>
      <c r="I464" s="62">
        <f t="shared" si="333"/>
        <v>650000</v>
      </c>
      <c r="J464" s="62">
        <f t="shared" si="334"/>
        <v>650000</v>
      </c>
      <c r="K464" s="62">
        <f t="shared" si="335"/>
        <v>650000</v>
      </c>
      <c r="L464" s="62">
        <f t="shared" si="336"/>
        <v>650000</v>
      </c>
      <c r="M464" s="62">
        <f t="shared" si="337"/>
        <v>650000</v>
      </c>
      <c r="N464" s="62">
        <f t="shared" si="338"/>
        <v>650000</v>
      </c>
      <c r="O464" s="62">
        <f t="shared" si="339"/>
        <v>650000</v>
      </c>
      <c r="P464" s="62">
        <f t="shared" si="340"/>
        <v>650000</v>
      </c>
      <c r="Q464" s="62">
        <f t="shared" si="341"/>
        <v>650000</v>
      </c>
      <c r="R464" s="62">
        <f t="shared" si="342"/>
        <v>650000</v>
      </c>
      <c r="S464" s="62">
        <f t="shared" si="343"/>
        <v>650000</v>
      </c>
      <c r="T464" s="62">
        <f t="shared" si="344"/>
        <v>650000</v>
      </c>
      <c r="U464" s="62">
        <f t="shared" si="345"/>
        <v>650000</v>
      </c>
      <c r="V464" s="62">
        <f t="shared" si="346"/>
        <v>650000</v>
      </c>
      <c r="W464" s="62">
        <f t="shared" si="347"/>
        <v>650000</v>
      </c>
      <c r="X464" s="62">
        <f t="shared" si="348"/>
        <v>650000</v>
      </c>
      <c r="Y464" s="62">
        <f t="shared" si="349"/>
        <v>650000</v>
      </c>
      <c r="Z464" s="62">
        <f t="shared" si="350"/>
        <v>650000</v>
      </c>
      <c r="AA464" s="62">
        <f t="shared" si="351"/>
        <v>650000</v>
      </c>
      <c r="AB464" s="62">
        <f t="shared" si="352"/>
        <v>650000</v>
      </c>
      <c r="AC464" s="62">
        <f t="shared" si="353"/>
        <v>650000</v>
      </c>
    </row>
    <row r="465" spans="1:29" x14ac:dyDescent="0.3">
      <c r="A465" s="30" t="str">
        <f t="shared" si="325"/>
        <v>Opex maintenance &amp; repair</v>
      </c>
      <c r="B465" s="62">
        <f t="shared" si="326"/>
        <v>1293563.9575177333</v>
      </c>
      <c r="C465" s="62">
        <f t="shared" si="327"/>
        <v>1290808.235093934</v>
      </c>
      <c r="D465" s="62">
        <f t="shared" si="328"/>
        <v>1286895.5042898762</v>
      </c>
      <c r="E465" s="62">
        <f t="shared" si="329"/>
        <v>1281365.2352877648</v>
      </c>
      <c r="F465" s="62">
        <f t="shared" si="330"/>
        <v>1273600.837383118</v>
      </c>
      <c r="G465" s="62">
        <f t="shared" si="331"/>
        <v>1262805.5057319398</v>
      </c>
      <c r="H465" s="62">
        <f t="shared" si="332"/>
        <v>1248005.5098923349</v>
      </c>
      <c r="I465" s="62">
        <f t="shared" si="333"/>
        <v>1228115.9013873441</v>
      </c>
      <c r="J465" s="62">
        <f t="shared" si="334"/>
        <v>1202116.3406815415</v>
      </c>
      <c r="K465" s="62">
        <f t="shared" si="335"/>
        <v>1169374.2884687176</v>
      </c>
      <c r="L465" s="62">
        <f t="shared" si="336"/>
        <v>1130084.7656740851</v>
      </c>
      <c r="M465" s="62">
        <f t="shared" si="337"/>
        <v>1085657.2084191416</v>
      </c>
      <c r="N465" s="62">
        <f t="shared" si="338"/>
        <v>1038755.2185067786</v>
      </c>
      <c r="O465" s="62">
        <f t="shared" si="339"/>
        <v>992776.17202817916</v>
      </c>
      <c r="P465" s="62">
        <f t="shared" si="340"/>
        <v>950920.49960650213</v>
      </c>
      <c r="Q465" s="62">
        <f t="shared" si="341"/>
        <v>915349.13841044903</v>
      </c>
      <c r="R465" s="62">
        <f t="shared" si="342"/>
        <v>886862.84856226621</v>
      </c>
      <c r="S465" s="62">
        <f t="shared" si="343"/>
        <v>865126.54509633617</v>
      </c>
      <c r="T465" s="62">
        <f t="shared" si="344"/>
        <v>849148.61879481981</v>
      </c>
      <c r="U465" s="62">
        <f t="shared" si="345"/>
        <v>837724.6326365323</v>
      </c>
      <c r="V465" s="62">
        <f t="shared" si="346"/>
        <v>829718.10542985611</v>
      </c>
      <c r="W465" s="62">
        <f t="shared" si="347"/>
        <v>824185.10301042092</v>
      </c>
      <c r="X465" s="62">
        <f t="shared" si="348"/>
        <v>820398.59373471502</v>
      </c>
      <c r="Y465" s="62">
        <f t="shared" si="349"/>
        <v>817824.59227500285</v>
      </c>
      <c r="Z465" s="62">
        <f t="shared" si="350"/>
        <v>816082.79412917187</v>
      </c>
      <c r="AA465" s="62">
        <f t="shared" si="351"/>
        <v>814907.77528152149</v>
      </c>
      <c r="AB465" s="62">
        <f t="shared" si="352"/>
        <v>814116.75843028165</v>
      </c>
      <c r="AC465" s="62">
        <f t="shared" si="353"/>
        <v>813584.99765465059</v>
      </c>
    </row>
    <row r="466" spans="1:29" x14ac:dyDescent="0.3">
      <c r="A466" s="30" t="str">
        <f t="shared" si="325"/>
        <v>Opex var (mode-fees, shunting)</v>
      </c>
      <c r="B466" s="62">
        <f t="shared" si="326"/>
        <v>3.9215686274509802</v>
      </c>
      <c r="C466" s="62">
        <f t="shared" si="327"/>
        <v>3.9215686274509802</v>
      </c>
      <c r="D466" s="62">
        <f t="shared" si="328"/>
        <v>3.9215686274509802</v>
      </c>
      <c r="E466" s="62">
        <f t="shared" si="329"/>
        <v>3.9215686274509802</v>
      </c>
      <c r="F466" s="62">
        <f t="shared" si="330"/>
        <v>3.9215686274509802</v>
      </c>
      <c r="G466" s="62">
        <f t="shared" si="331"/>
        <v>3.9215686274509802</v>
      </c>
      <c r="H466" s="62">
        <f t="shared" si="332"/>
        <v>3.9215686274509802</v>
      </c>
      <c r="I466" s="62">
        <f t="shared" si="333"/>
        <v>3.9215686274509802</v>
      </c>
      <c r="J466" s="62">
        <f t="shared" si="334"/>
        <v>3.9215686274509802</v>
      </c>
      <c r="K466" s="62">
        <f t="shared" si="335"/>
        <v>3.9215686274509802</v>
      </c>
      <c r="L466" s="62">
        <f t="shared" si="336"/>
        <v>3.9215686274509802</v>
      </c>
      <c r="M466" s="62">
        <f t="shared" si="337"/>
        <v>3.9215686274509802</v>
      </c>
      <c r="N466" s="62">
        <f t="shared" si="338"/>
        <v>3.9215686274509802</v>
      </c>
      <c r="O466" s="62">
        <f t="shared" si="339"/>
        <v>3.9215686274509802</v>
      </c>
      <c r="P466" s="62">
        <f t="shared" si="340"/>
        <v>3.9215686274509802</v>
      </c>
      <c r="Q466" s="62">
        <f t="shared" si="341"/>
        <v>3.9215686274509802</v>
      </c>
      <c r="R466" s="62">
        <f t="shared" si="342"/>
        <v>3.9215686274509802</v>
      </c>
      <c r="S466" s="62">
        <f t="shared" si="343"/>
        <v>3.9215686274509802</v>
      </c>
      <c r="T466" s="62">
        <f t="shared" si="344"/>
        <v>3.9215686274509802</v>
      </c>
      <c r="U466" s="62">
        <f t="shared" si="345"/>
        <v>3.9215686274509802</v>
      </c>
      <c r="V466" s="62">
        <f t="shared" si="346"/>
        <v>3.9215686274509802</v>
      </c>
      <c r="W466" s="62">
        <f t="shared" si="347"/>
        <v>3.9215686274509802</v>
      </c>
      <c r="X466" s="62">
        <f t="shared" si="348"/>
        <v>3.9215686274509802</v>
      </c>
      <c r="Y466" s="62">
        <f t="shared" si="349"/>
        <v>3.9215686274509802</v>
      </c>
      <c r="Z466" s="62">
        <f t="shared" si="350"/>
        <v>3.9215686274509802</v>
      </c>
      <c r="AA466" s="62">
        <f t="shared" si="351"/>
        <v>3.9215686274509802</v>
      </c>
      <c r="AB466" s="62">
        <f t="shared" si="352"/>
        <v>3.9215686274509802</v>
      </c>
      <c r="AC466" s="62">
        <f t="shared" si="353"/>
        <v>3.9215686274509802</v>
      </c>
    </row>
    <row r="467" spans="1:29" x14ac:dyDescent="0.3">
      <c r="A467" s="30" t="str">
        <f t="shared" si="325"/>
        <v>Fuel Economy</v>
      </c>
      <c r="B467" s="62">
        <f t="shared" si="326"/>
        <v>27.1614</v>
      </c>
      <c r="C467" s="62">
        <f t="shared" si="327"/>
        <v>27.1614</v>
      </c>
      <c r="D467" s="62">
        <f t="shared" si="328"/>
        <v>27.1614</v>
      </c>
      <c r="E467" s="62">
        <f t="shared" si="329"/>
        <v>27.1614</v>
      </c>
      <c r="F467" s="62">
        <f t="shared" si="330"/>
        <v>27.1614</v>
      </c>
      <c r="G467" s="62">
        <f t="shared" si="331"/>
        <v>27.1614</v>
      </c>
      <c r="H467" s="62">
        <f t="shared" si="332"/>
        <v>27.1614</v>
      </c>
      <c r="I467" s="62">
        <f t="shared" si="333"/>
        <v>27.1614</v>
      </c>
      <c r="J467" s="62">
        <f t="shared" si="334"/>
        <v>27.1614</v>
      </c>
      <c r="K467" s="62">
        <f t="shared" si="335"/>
        <v>27.1614</v>
      </c>
      <c r="L467" s="62">
        <f t="shared" si="336"/>
        <v>27.1614</v>
      </c>
      <c r="M467" s="62">
        <f t="shared" si="337"/>
        <v>27.1614</v>
      </c>
      <c r="N467" s="62">
        <f t="shared" si="338"/>
        <v>27.1614</v>
      </c>
      <c r="O467" s="62">
        <f t="shared" si="339"/>
        <v>27.1614</v>
      </c>
      <c r="P467" s="62">
        <f t="shared" si="340"/>
        <v>27.1614</v>
      </c>
      <c r="Q467" s="62">
        <f t="shared" si="341"/>
        <v>27.1614</v>
      </c>
      <c r="R467" s="62">
        <f t="shared" si="342"/>
        <v>27.1614</v>
      </c>
      <c r="S467" s="62">
        <f t="shared" si="343"/>
        <v>27.1614</v>
      </c>
      <c r="T467" s="62">
        <f t="shared" si="344"/>
        <v>27.1614</v>
      </c>
      <c r="U467" s="62">
        <f t="shared" si="345"/>
        <v>27.1614</v>
      </c>
      <c r="V467" s="62">
        <f t="shared" si="346"/>
        <v>27.1614</v>
      </c>
      <c r="W467" s="62">
        <f t="shared" si="347"/>
        <v>27.1614</v>
      </c>
      <c r="X467" s="62">
        <f t="shared" si="348"/>
        <v>27.1614</v>
      </c>
      <c r="Y467" s="62">
        <f t="shared" si="349"/>
        <v>27.1614</v>
      </c>
      <c r="Z467" s="62">
        <f t="shared" si="350"/>
        <v>27.1614</v>
      </c>
      <c r="AA467" s="62">
        <f t="shared" si="351"/>
        <v>27.1614</v>
      </c>
      <c r="AB467" s="62">
        <f t="shared" si="352"/>
        <v>27.1614</v>
      </c>
      <c r="AC467" s="62">
        <f t="shared" si="353"/>
        <v>27.1614</v>
      </c>
    </row>
    <row r="468" spans="1:29" x14ac:dyDescent="0.3">
      <c r="A468" s="30" t="str">
        <f t="shared" si="325"/>
        <v>Fuel Cost</v>
      </c>
      <c r="B468" s="62">
        <f t="shared" si="326"/>
        <v>9.2331951136741086E-2</v>
      </c>
      <c r="C468" s="62">
        <f t="shared" si="327"/>
        <v>9.2222956120974545E-2</v>
      </c>
      <c r="D468" s="62">
        <f t="shared" si="328"/>
        <v>9.2068198823216471E-2</v>
      </c>
      <c r="E468" s="62">
        <f t="shared" si="329"/>
        <v>9.1849464254062249E-2</v>
      </c>
      <c r="F468" s="62">
        <f t="shared" si="330"/>
        <v>9.1542364865268247E-2</v>
      </c>
      <c r="G468" s="62">
        <f t="shared" si="331"/>
        <v>9.1115385234314353E-2</v>
      </c>
      <c r="H468" s="62">
        <f t="shared" si="332"/>
        <v>9.0530012133616333E-2</v>
      </c>
      <c r="I468" s="62">
        <f t="shared" si="333"/>
        <v>8.9743333412323725E-2</v>
      </c>
      <c r="J468" s="62">
        <f t="shared" si="334"/>
        <v>8.8714992348442129E-2</v>
      </c>
      <c r="K468" s="62">
        <f t="shared" si="335"/>
        <v>8.7419970590682711E-2</v>
      </c>
      <c r="L468" s="62">
        <f t="shared" si="336"/>
        <v>8.5865981654976761E-2</v>
      </c>
      <c r="M468" s="62">
        <f t="shared" si="337"/>
        <v>8.4108771907851612E-2</v>
      </c>
      <c r="N468" s="62">
        <f t="shared" si="338"/>
        <v>8.2253692787461766E-2</v>
      </c>
      <c r="O468" s="62">
        <f t="shared" si="339"/>
        <v>8.0435118154333018E-2</v>
      </c>
      <c r="P468" s="62">
        <f t="shared" si="340"/>
        <v>7.8779632233065888E-2</v>
      </c>
      <c r="Q468" s="62">
        <f t="shared" si="341"/>
        <v>7.7372704945717463E-2</v>
      </c>
      <c r="R468" s="62">
        <f t="shared" si="342"/>
        <v>7.6246008154952791E-2</v>
      </c>
      <c r="S468" s="62">
        <f t="shared" si="343"/>
        <v>7.5386288497227227E-2</v>
      </c>
      <c r="T468" s="62">
        <f t="shared" si="344"/>
        <v>7.4754325599182742E-2</v>
      </c>
      <c r="U468" s="62">
        <f t="shared" si="345"/>
        <v>7.4302481269476042E-2</v>
      </c>
      <c r="V468" s="62">
        <f t="shared" si="346"/>
        <v>7.3985805122564349E-2</v>
      </c>
      <c r="W468" s="62">
        <f t="shared" si="347"/>
        <v>7.3766962440611206E-2</v>
      </c>
      <c r="X468" s="62">
        <f t="shared" si="348"/>
        <v>7.3617197488001537E-2</v>
      </c>
      <c r="Y468" s="62">
        <f t="shared" si="349"/>
        <v>7.3515389944810147E-2</v>
      </c>
      <c r="Z468" s="62">
        <f t="shared" si="350"/>
        <v>7.3446497913186276E-2</v>
      </c>
      <c r="AA468" s="62">
        <f t="shared" si="351"/>
        <v>7.3400023276728135E-2</v>
      </c>
      <c r="AB468" s="62">
        <f t="shared" si="352"/>
        <v>7.3368736782330912E-2</v>
      </c>
      <c r="AC468" s="62">
        <f t="shared" si="353"/>
        <v>7.3347704448441492E-2</v>
      </c>
    </row>
    <row r="469" spans="1:29" x14ac:dyDescent="0.3">
      <c r="A469" s="30" t="str">
        <f t="shared" ref="A469" si="354">A449</f>
        <v>Emission Cost</v>
      </c>
      <c r="B469" s="66">
        <f>$B449+($C449-$B449)*(1-Q449)</f>
        <v>6.2761939613426576E-2</v>
      </c>
      <c r="C469" s="66">
        <f t="shared" ref="C469:AC469" si="355">$B449+($C449-$B449)*(1-R449)</f>
        <v>6.2702174954862022E-2</v>
      </c>
      <c r="D469" s="66">
        <f t="shared" si="355"/>
        <v>6.2616623177277314E-2</v>
      </c>
      <c r="E469" s="66">
        <f t="shared" si="355"/>
        <v>6.249423534317243E-2</v>
      </c>
      <c r="F469" s="66">
        <f t="shared" si="355"/>
        <v>6.2319316122020151E-2</v>
      </c>
      <c r="G469" s="66">
        <f t="shared" si="355"/>
        <v>6.2069668591824577E-2</v>
      </c>
      <c r="H469" s="66">
        <f t="shared" si="355"/>
        <v>6.1714109263582916E-2</v>
      </c>
      <c r="I469" s="66">
        <f t="shared" si="355"/>
        <v>6.120926598754526E-2</v>
      </c>
      <c r="J469" s="66">
        <f t="shared" si="355"/>
        <v>6.0495718529207473E-2</v>
      </c>
      <c r="K469" s="66">
        <f t="shared" si="355"/>
        <v>5.9493910771163734E-2</v>
      </c>
      <c r="L469" s="66">
        <f t="shared" si="355"/>
        <v>5.8101034320005455E-2</v>
      </c>
      <c r="M469" s="66">
        <f t="shared" si="355"/>
        <v>5.6191452813079128E-2</v>
      </c>
      <c r="N469" s="66">
        <f t="shared" si="355"/>
        <v>5.3625179890251798E-2</v>
      </c>
      <c r="O469" s="66">
        <f t="shared" si="355"/>
        <v>5.0270565412648349E-2</v>
      </c>
      <c r="P469" s="66">
        <f t="shared" si="355"/>
        <v>4.6045995481546684E-2</v>
      </c>
      <c r="Q469" s="66">
        <f t="shared" si="355"/>
        <v>4.0976632830523538E-2</v>
      </c>
      <c r="R469" s="66">
        <f t="shared" si="355"/>
        <v>3.5244331102105231E-2</v>
      </c>
      <c r="S469" s="66">
        <f t="shared" si="355"/>
        <v>2.9192763686456215E-2</v>
      </c>
      <c r="T469" s="66">
        <f t="shared" si="355"/>
        <v>2.32602797984078E-2</v>
      </c>
      <c r="U469" s="66">
        <f t="shared" si="355"/>
        <v>1.7859817603512018E-2</v>
      </c>
      <c r="V469" s="66">
        <f t="shared" si="355"/>
        <v>1.3270193778456035E-2</v>
      </c>
      <c r="W469" s="66">
        <f t="shared" si="355"/>
        <v>9.5947270496434117E-3</v>
      </c>
      <c r="X469" s="66">
        <f t="shared" si="355"/>
        <v>6.7901828067048406E-3</v>
      </c>
      <c r="Y469" s="66">
        <f t="shared" si="355"/>
        <v>4.7286178633715731E-3</v>
      </c>
      <c r="Z469" s="66">
        <f t="shared" si="355"/>
        <v>3.2546287528563561E-3</v>
      </c>
      <c r="AA469" s="66">
        <f t="shared" si="355"/>
        <v>2.2215800645818892E-3</v>
      </c>
      <c r="AB469" s="66">
        <f t="shared" si="355"/>
        <v>1.5076799248495282E-3</v>
      </c>
      <c r="AC469" s="66">
        <f t="shared" si="355"/>
        <v>1.0191224842221736E-3</v>
      </c>
    </row>
    <row r="470" spans="1:29" x14ac:dyDescent="0.3">
      <c r="A470" s="30" t="str">
        <f>A450</f>
        <v>Lifetime vehicle</v>
      </c>
      <c r="B470" s="62">
        <f>$B450+($C450-$B450)*(1-Q450)</f>
        <v>20</v>
      </c>
      <c r="C470" s="62">
        <f t="shared" ref="C470:L472" si="356">$B450+($C450-$B450)*(1-R450)</f>
        <v>20</v>
      </c>
      <c r="D470" s="62">
        <f t="shared" si="356"/>
        <v>20</v>
      </c>
      <c r="E470" s="62">
        <f t="shared" si="356"/>
        <v>20</v>
      </c>
      <c r="F470" s="62">
        <f t="shared" si="356"/>
        <v>20</v>
      </c>
      <c r="G470" s="62">
        <f t="shared" si="356"/>
        <v>20</v>
      </c>
      <c r="H470" s="62">
        <f t="shared" si="356"/>
        <v>20</v>
      </c>
      <c r="I470" s="62">
        <f t="shared" si="356"/>
        <v>20</v>
      </c>
      <c r="J470" s="62">
        <f t="shared" si="356"/>
        <v>20</v>
      </c>
      <c r="K470" s="62">
        <f t="shared" si="356"/>
        <v>20</v>
      </c>
      <c r="L470" s="62">
        <f t="shared" si="356"/>
        <v>20</v>
      </c>
      <c r="M470" s="62">
        <f t="shared" ref="M470:V472" si="357">$B450+($C450-$B450)*(1-AB450)</f>
        <v>20</v>
      </c>
      <c r="N470" s="62">
        <f t="shared" si="357"/>
        <v>20</v>
      </c>
      <c r="O470" s="62">
        <f t="shared" si="357"/>
        <v>20</v>
      </c>
      <c r="P470" s="62">
        <f t="shared" si="357"/>
        <v>20</v>
      </c>
      <c r="Q470" s="62">
        <f t="shared" si="357"/>
        <v>20</v>
      </c>
      <c r="R470" s="62">
        <f t="shared" si="357"/>
        <v>20</v>
      </c>
      <c r="S470" s="62">
        <f t="shared" si="357"/>
        <v>20</v>
      </c>
      <c r="T470" s="62">
        <f t="shared" si="357"/>
        <v>20</v>
      </c>
      <c r="U470" s="62">
        <f t="shared" si="357"/>
        <v>20</v>
      </c>
      <c r="V470" s="62">
        <f t="shared" si="357"/>
        <v>20</v>
      </c>
      <c r="W470" s="62">
        <f t="shared" ref="W470:AC472" si="358">$B450+($C450-$B450)*(1-AL450)</f>
        <v>20</v>
      </c>
      <c r="X470" s="62">
        <f t="shared" si="358"/>
        <v>20</v>
      </c>
      <c r="Y470" s="62">
        <f t="shared" si="358"/>
        <v>20</v>
      </c>
      <c r="Z470" s="62">
        <f t="shared" si="358"/>
        <v>20</v>
      </c>
      <c r="AA470" s="62">
        <f t="shared" si="358"/>
        <v>20</v>
      </c>
      <c r="AB470" s="62">
        <f t="shared" si="358"/>
        <v>20</v>
      </c>
      <c r="AC470" s="62">
        <f t="shared" si="358"/>
        <v>20</v>
      </c>
    </row>
    <row r="471" spans="1:29" x14ac:dyDescent="0.3">
      <c r="A471" s="30" t="str">
        <f>A451</f>
        <v>Lifetime costumization</v>
      </c>
      <c r="B471" s="62">
        <f>$B451+($C451-$B451)*(1-Q451)</f>
        <v>30</v>
      </c>
      <c r="C471" s="62">
        <f t="shared" si="356"/>
        <v>30</v>
      </c>
      <c r="D471" s="62">
        <f t="shared" si="356"/>
        <v>30</v>
      </c>
      <c r="E471" s="62">
        <f t="shared" si="356"/>
        <v>30</v>
      </c>
      <c r="F471" s="62">
        <f t="shared" si="356"/>
        <v>30</v>
      </c>
      <c r="G471" s="62">
        <f t="shared" si="356"/>
        <v>30</v>
      </c>
      <c r="H471" s="62">
        <f t="shared" si="356"/>
        <v>30</v>
      </c>
      <c r="I471" s="62">
        <f t="shared" si="356"/>
        <v>30</v>
      </c>
      <c r="J471" s="62">
        <f t="shared" si="356"/>
        <v>30</v>
      </c>
      <c r="K471" s="62">
        <f t="shared" si="356"/>
        <v>30</v>
      </c>
      <c r="L471" s="62">
        <f t="shared" si="356"/>
        <v>30</v>
      </c>
      <c r="M471" s="62">
        <f t="shared" si="357"/>
        <v>30</v>
      </c>
      <c r="N471" s="62">
        <f t="shared" si="357"/>
        <v>30</v>
      </c>
      <c r="O471" s="62">
        <f t="shared" si="357"/>
        <v>30</v>
      </c>
      <c r="P471" s="62">
        <f t="shared" si="357"/>
        <v>30</v>
      </c>
      <c r="Q471" s="62">
        <f t="shared" si="357"/>
        <v>30</v>
      </c>
      <c r="R471" s="62">
        <f t="shared" si="357"/>
        <v>30</v>
      </c>
      <c r="S471" s="62">
        <f t="shared" si="357"/>
        <v>30</v>
      </c>
      <c r="T471" s="62">
        <f t="shared" si="357"/>
        <v>30</v>
      </c>
      <c r="U471" s="62">
        <f t="shared" si="357"/>
        <v>30</v>
      </c>
      <c r="V471" s="62">
        <f t="shared" si="357"/>
        <v>30</v>
      </c>
      <c r="W471" s="62">
        <f t="shared" si="358"/>
        <v>30</v>
      </c>
      <c r="X471" s="62">
        <f t="shared" si="358"/>
        <v>30</v>
      </c>
      <c r="Y471" s="62">
        <f t="shared" si="358"/>
        <v>30</v>
      </c>
      <c r="Z471" s="62">
        <f t="shared" si="358"/>
        <v>30</v>
      </c>
      <c r="AA471" s="62">
        <f t="shared" si="358"/>
        <v>30</v>
      </c>
      <c r="AB471" s="62">
        <f t="shared" si="358"/>
        <v>30</v>
      </c>
      <c r="AC471" s="62">
        <f t="shared" si="358"/>
        <v>30</v>
      </c>
    </row>
    <row r="472" spans="1:29" x14ac:dyDescent="0.3">
      <c r="A472" s="30" t="str">
        <f>A452</f>
        <v>Tonnage .</v>
      </c>
      <c r="B472" s="62">
        <f>$B452+($C452-$B452)*(1-Q452)</f>
        <v>2800</v>
      </c>
      <c r="C472" s="62">
        <f t="shared" si="356"/>
        <v>2800</v>
      </c>
      <c r="D472" s="62">
        <f t="shared" si="356"/>
        <v>2800</v>
      </c>
      <c r="E472" s="62">
        <f t="shared" si="356"/>
        <v>2800</v>
      </c>
      <c r="F472" s="62">
        <f t="shared" si="356"/>
        <v>2800</v>
      </c>
      <c r="G472" s="62">
        <f t="shared" si="356"/>
        <v>2800</v>
      </c>
      <c r="H472" s="62">
        <f t="shared" si="356"/>
        <v>2800</v>
      </c>
      <c r="I472" s="62">
        <f t="shared" si="356"/>
        <v>2800</v>
      </c>
      <c r="J472" s="62">
        <f t="shared" si="356"/>
        <v>2800</v>
      </c>
      <c r="K472" s="62">
        <f t="shared" si="356"/>
        <v>2800</v>
      </c>
      <c r="L472" s="62">
        <f t="shared" si="356"/>
        <v>2800</v>
      </c>
      <c r="M472" s="62">
        <f t="shared" si="357"/>
        <v>2800</v>
      </c>
      <c r="N472" s="62">
        <f t="shared" si="357"/>
        <v>2800</v>
      </c>
      <c r="O472" s="62">
        <f t="shared" si="357"/>
        <v>2800</v>
      </c>
      <c r="P472" s="62">
        <f t="shared" si="357"/>
        <v>2800</v>
      </c>
      <c r="Q472" s="62">
        <f t="shared" si="357"/>
        <v>2800</v>
      </c>
      <c r="R472" s="62">
        <f t="shared" si="357"/>
        <v>2800</v>
      </c>
      <c r="S472" s="62">
        <f t="shared" si="357"/>
        <v>2800</v>
      </c>
      <c r="T472" s="62">
        <f t="shared" si="357"/>
        <v>2800</v>
      </c>
      <c r="U472" s="62">
        <f t="shared" si="357"/>
        <v>2800</v>
      </c>
      <c r="V472" s="62">
        <f t="shared" si="357"/>
        <v>2800</v>
      </c>
      <c r="W472" s="62">
        <f t="shared" si="358"/>
        <v>2800</v>
      </c>
      <c r="X472" s="62">
        <f t="shared" si="358"/>
        <v>2800</v>
      </c>
      <c r="Y472" s="62">
        <f t="shared" si="358"/>
        <v>2800</v>
      </c>
      <c r="Z472" s="62">
        <f t="shared" si="358"/>
        <v>2800</v>
      </c>
      <c r="AA472" s="62">
        <f t="shared" si="358"/>
        <v>2800</v>
      </c>
      <c r="AB472" s="62">
        <f t="shared" si="358"/>
        <v>2800</v>
      </c>
      <c r="AC472" s="62">
        <f t="shared" si="358"/>
        <v>2800</v>
      </c>
    </row>
    <row r="473" spans="1:29" x14ac:dyDescent="0.3">
      <c r="A473" s="30" t="str">
        <f>A453</f>
        <v>Market failure (av. utilization)</v>
      </c>
      <c r="B473" s="62">
        <f t="shared" ref="B473:K474" si="359">($B453+($C453-$B453)*(1-Q453))*B$44</f>
        <v>716.80000000000007</v>
      </c>
      <c r="C473" s="62">
        <f t="shared" si="359"/>
        <v>716.80000000000007</v>
      </c>
      <c r="D473" s="62">
        <f t="shared" si="359"/>
        <v>716.80000000000007</v>
      </c>
      <c r="E473" s="62">
        <f t="shared" si="359"/>
        <v>716.80000000000007</v>
      </c>
      <c r="F473" s="62">
        <f t="shared" si="359"/>
        <v>716.80000000000007</v>
      </c>
      <c r="G473" s="62">
        <f t="shared" si="359"/>
        <v>716.80000000000007</v>
      </c>
      <c r="H473" s="62">
        <f t="shared" si="359"/>
        <v>716.80000000000007</v>
      </c>
      <c r="I473" s="62">
        <f t="shared" si="359"/>
        <v>716.80000000000007</v>
      </c>
      <c r="J473" s="62">
        <f t="shared" si="359"/>
        <v>716.80000000000007</v>
      </c>
      <c r="K473" s="62">
        <f t="shared" si="359"/>
        <v>716.80000000000007</v>
      </c>
      <c r="L473" s="62">
        <f t="shared" ref="L473:U474" si="360">($B453+($C453-$B453)*(1-AA453))*L$44</f>
        <v>716.80000000000007</v>
      </c>
      <c r="M473" s="62">
        <f t="shared" si="360"/>
        <v>716.80000000000007</v>
      </c>
      <c r="N473" s="62">
        <f t="shared" si="360"/>
        <v>716.80000000000007</v>
      </c>
      <c r="O473" s="62">
        <f t="shared" si="360"/>
        <v>716.80000000000007</v>
      </c>
      <c r="P473" s="62">
        <f t="shared" si="360"/>
        <v>716.80000000000007</v>
      </c>
      <c r="Q473" s="62">
        <f t="shared" si="360"/>
        <v>716.80000000000007</v>
      </c>
      <c r="R473" s="62">
        <f t="shared" si="360"/>
        <v>716.80000000000007</v>
      </c>
      <c r="S473" s="62">
        <f t="shared" si="360"/>
        <v>716.80000000000007</v>
      </c>
      <c r="T473" s="62">
        <f t="shared" si="360"/>
        <v>716.80000000000007</v>
      </c>
      <c r="U473" s="62">
        <f t="shared" si="360"/>
        <v>716.80000000000007</v>
      </c>
      <c r="V473" s="62">
        <f t="shared" ref="V473:AC474" si="361">($B453+($C453-$B453)*(1-AK453))*V$44</f>
        <v>716.80000000000007</v>
      </c>
      <c r="W473" s="62">
        <f t="shared" si="361"/>
        <v>716.80000000000007</v>
      </c>
      <c r="X473" s="62">
        <f t="shared" si="361"/>
        <v>716.80000000000007</v>
      </c>
      <c r="Y473" s="62">
        <f t="shared" si="361"/>
        <v>716.80000000000007</v>
      </c>
      <c r="Z473" s="62">
        <f t="shared" si="361"/>
        <v>716.80000000000007</v>
      </c>
      <c r="AA473" s="62">
        <f t="shared" si="361"/>
        <v>716.80000000000007</v>
      </c>
      <c r="AB473" s="62">
        <f t="shared" si="361"/>
        <v>716.80000000000007</v>
      </c>
      <c r="AC473" s="62">
        <f t="shared" si="361"/>
        <v>716.80000000000007</v>
      </c>
    </row>
    <row r="474" spans="1:29" x14ac:dyDescent="0.3">
      <c r="A474" s="30" t="s">
        <v>73</v>
      </c>
      <c r="B474" s="62">
        <f t="shared" si="359"/>
        <v>79.471914462993496</v>
      </c>
      <c r="C474" s="62">
        <f t="shared" si="359"/>
        <v>79.245803905143291</v>
      </c>
      <c r="D474" s="62">
        <f t="shared" si="359"/>
        <v>78.924759326348806</v>
      </c>
      <c r="E474" s="62">
        <f t="shared" si="359"/>
        <v>78.470993664637106</v>
      </c>
      <c r="F474" s="62">
        <f t="shared" si="359"/>
        <v>77.833914862204551</v>
      </c>
      <c r="G474" s="62">
        <f t="shared" si="359"/>
        <v>76.948144060056592</v>
      </c>
      <c r="H474" s="62">
        <f t="shared" si="359"/>
        <v>75.733785427063381</v>
      </c>
      <c r="I474" s="62">
        <f t="shared" si="359"/>
        <v>74.101817549730796</v>
      </c>
      <c r="J474" s="62">
        <f t="shared" si="359"/>
        <v>71.968520261049548</v>
      </c>
      <c r="K474" s="62">
        <f t="shared" si="359"/>
        <v>69.281992899997348</v>
      </c>
      <c r="L474" s="62">
        <f t="shared" si="360"/>
        <v>66.058237183514677</v>
      </c>
      <c r="M474" s="62">
        <f t="shared" si="360"/>
        <v>62.412899152339826</v>
      </c>
      <c r="N474" s="62">
        <f t="shared" si="360"/>
        <v>58.564530749274141</v>
      </c>
      <c r="O474" s="62">
        <f t="shared" si="360"/>
        <v>54.79189103820957</v>
      </c>
      <c r="P474" s="62">
        <f t="shared" si="360"/>
        <v>51.357579454892473</v>
      </c>
      <c r="Q474" s="62">
        <f t="shared" si="360"/>
        <v>48.438903664447089</v>
      </c>
      <c r="R474" s="62">
        <f t="shared" si="360"/>
        <v>46.101567061519283</v>
      </c>
      <c r="S474" s="62">
        <f t="shared" si="360"/>
        <v>44.318075495083995</v>
      </c>
      <c r="T474" s="62">
        <f t="shared" si="360"/>
        <v>43.007066157523667</v>
      </c>
      <c r="U474" s="62">
        <f t="shared" si="360"/>
        <v>42.069713447100085</v>
      </c>
      <c r="V474" s="62">
        <f t="shared" si="361"/>
        <v>41.412767625013835</v>
      </c>
      <c r="W474" s="62">
        <f t="shared" si="361"/>
        <v>40.958777682906323</v>
      </c>
      <c r="X474" s="62">
        <f t="shared" si="361"/>
        <v>40.648089742335586</v>
      </c>
      <c r="Y474" s="62">
        <f t="shared" si="361"/>
        <v>40.43688962256433</v>
      </c>
      <c r="Z474" s="62">
        <f t="shared" si="361"/>
        <v>40.29397285162436</v>
      </c>
      <c r="AA474" s="62">
        <f t="shared" si="361"/>
        <v>40.197561048740226</v>
      </c>
      <c r="AB474" s="62">
        <f t="shared" si="361"/>
        <v>40.132657101971823</v>
      </c>
      <c r="AC474" s="62">
        <f t="shared" si="361"/>
        <v>40.08902544858671</v>
      </c>
    </row>
    <row r="475" spans="1:29" x14ac:dyDescent="0.3">
      <c r="A475" s="30" t="str">
        <f>A455</f>
        <v>Annual Mileage</v>
      </c>
      <c r="B475" s="62">
        <f t="shared" ref="B475:AC475" si="362">$B455+($C455-$B455)*(1-Q455)</f>
        <v>178500</v>
      </c>
      <c r="C475" s="62">
        <f t="shared" si="362"/>
        <v>178500</v>
      </c>
      <c r="D475" s="62">
        <f t="shared" si="362"/>
        <v>178500</v>
      </c>
      <c r="E475" s="62">
        <f t="shared" si="362"/>
        <v>178500</v>
      </c>
      <c r="F475" s="62">
        <f t="shared" si="362"/>
        <v>178500</v>
      </c>
      <c r="G475" s="62">
        <f t="shared" si="362"/>
        <v>178500</v>
      </c>
      <c r="H475" s="62">
        <f t="shared" si="362"/>
        <v>178500</v>
      </c>
      <c r="I475" s="62">
        <f t="shared" si="362"/>
        <v>178500</v>
      </c>
      <c r="J475" s="62">
        <f t="shared" si="362"/>
        <v>178500</v>
      </c>
      <c r="K475" s="62">
        <f t="shared" si="362"/>
        <v>178500</v>
      </c>
      <c r="L475" s="62">
        <f t="shared" si="362"/>
        <v>178500</v>
      </c>
      <c r="M475" s="62">
        <f t="shared" si="362"/>
        <v>178500</v>
      </c>
      <c r="N475" s="62">
        <f t="shared" si="362"/>
        <v>178500</v>
      </c>
      <c r="O475" s="62">
        <f t="shared" si="362"/>
        <v>178500</v>
      </c>
      <c r="P475" s="62">
        <f t="shared" si="362"/>
        <v>178500</v>
      </c>
      <c r="Q475" s="62">
        <f t="shared" si="362"/>
        <v>178500</v>
      </c>
      <c r="R475" s="62">
        <f t="shared" si="362"/>
        <v>178500</v>
      </c>
      <c r="S475" s="62">
        <f t="shared" si="362"/>
        <v>178500</v>
      </c>
      <c r="T475" s="62">
        <f t="shared" si="362"/>
        <v>178500</v>
      </c>
      <c r="U475" s="62">
        <f t="shared" si="362"/>
        <v>178500</v>
      </c>
      <c r="V475" s="62">
        <f t="shared" si="362"/>
        <v>178500</v>
      </c>
      <c r="W475" s="62">
        <f t="shared" si="362"/>
        <v>178500</v>
      </c>
      <c r="X475" s="62">
        <f t="shared" si="362"/>
        <v>178500</v>
      </c>
      <c r="Y475" s="62">
        <f t="shared" si="362"/>
        <v>178500</v>
      </c>
      <c r="Z475" s="62">
        <f t="shared" si="362"/>
        <v>178500</v>
      </c>
      <c r="AA475" s="62">
        <f t="shared" si="362"/>
        <v>178500</v>
      </c>
      <c r="AB475" s="62">
        <f t="shared" si="362"/>
        <v>178500</v>
      </c>
      <c r="AC475" s="62">
        <f t="shared" si="362"/>
        <v>178500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867529.23505697085</v>
      </c>
      <c r="C478" s="63">
        <f t="shared" ref="C478:AC478" si="363">((1+C463)^C470)*C463/(((1+C463)^C470)-1)*(C459)</f>
        <v>865681.10860566224</v>
      </c>
      <c r="D478" s="63">
        <f t="shared" si="363"/>
        <v>863057.03397703567</v>
      </c>
      <c r="E478" s="63">
        <f t="shared" si="363"/>
        <v>859348.15664694412</v>
      </c>
      <c r="F478" s="63">
        <f t="shared" si="363"/>
        <v>854140.95978918544</v>
      </c>
      <c r="G478" s="63">
        <f t="shared" si="363"/>
        <v>846901.06588590739</v>
      </c>
      <c r="H478" s="63">
        <f t="shared" si="363"/>
        <v>836975.44218948286</v>
      </c>
      <c r="I478" s="63">
        <f t="shared" si="363"/>
        <v>823636.46752832399</v>
      </c>
      <c r="J478" s="63">
        <f t="shared" si="363"/>
        <v>806199.8507457996</v>
      </c>
      <c r="K478" s="63">
        <f t="shared" si="363"/>
        <v>784241.37907896913</v>
      </c>
      <c r="L478" s="63">
        <f t="shared" si="363"/>
        <v>757891.84339680034</v>
      </c>
      <c r="M478" s="63">
        <f t="shared" si="363"/>
        <v>728096.48265190842</v>
      </c>
      <c r="N478" s="63">
        <f t="shared" si="363"/>
        <v>696641.64256081509</v>
      </c>
      <c r="O478" s="63">
        <f t="shared" si="363"/>
        <v>665805.77488808637</v>
      </c>
      <c r="P478" s="63">
        <f t="shared" si="363"/>
        <v>637735.24983383913</v>
      </c>
      <c r="Q478" s="63">
        <f t="shared" si="363"/>
        <v>613879.3008573663</v>
      </c>
      <c r="R478" s="63">
        <f t="shared" si="363"/>
        <v>594774.95808561263</v>
      </c>
      <c r="S478" s="63">
        <f t="shared" si="363"/>
        <v>580197.49663952412</v>
      </c>
      <c r="T478" s="63">
        <f t="shared" si="363"/>
        <v>569481.893362551</v>
      </c>
      <c r="U478" s="63">
        <f t="shared" si="363"/>
        <v>561820.39203855116</v>
      </c>
      <c r="V478" s="63">
        <f t="shared" si="363"/>
        <v>556450.81105826527</v>
      </c>
      <c r="W478" s="63">
        <f t="shared" si="363"/>
        <v>552740.10056064755</v>
      </c>
      <c r="X478" s="63">
        <f t="shared" si="363"/>
        <v>550200.67645533092</v>
      </c>
      <c r="Y478" s="63">
        <f t="shared" si="363"/>
        <v>548474.42124823271</v>
      </c>
      <c r="Z478" s="63">
        <f t="shared" si="363"/>
        <v>547306.28355832992</v>
      </c>
      <c r="AA478" s="63">
        <f t="shared" si="363"/>
        <v>546518.25665316184</v>
      </c>
      <c r="AB478" s="63">
        <f t="shared" si="363"/>
        <v>545987.76085518813</v>
      </c>
      <c r="AC478" s="63">
        <f t="shared" si="363"/>
        <v>545631.13525794924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-44095.850871439077</v>
      </c>
      <c r="C479" s="62">
        <f t="shared" ref="C479:AC479" si="364">((1+C463)^C470)*C463/(((1+C463)^C470)-1)*(C460)</f>
        <v>-44311.465624091747</v>
      </c>
      <c r="D479" s="62">
        <f t="shared" si="364"/>
        <v>-44617.607664098185</v>
      </c>
      <c r="E479" s="62">
        <f t="shared" si="364"/>
        <v>-45050.310019275523</v>
      </c>
      <c r="F479" s="62">
        <f t="shared" si="364"/>
        <v>-45657.816319347374</v>
      </c>
      <c r="G479" s="62">
        <f t="shared" si="364"/>
        <v>-46502.470608063151</v>
      </c>
      <c r="H479" s="62">
        <f t="shared" si="364"/>
        <v>-47660.460039312675</v>
      </c>
      <c r="I479" s="62">
        <f t="shared" si="364"/>
        <v>-49216.673749781199</v>
      </c>
      <c r="J479" s="62">
        <f t="shared" si="364"/>
        <v>-51250.945707742365</v>
      </c>
      <c r="K479" s="62">
        <f t="shared" si="364"/>
        <v>-53812.767402205936</v>
      </c>
      <c r="L479" s="62">
        <f t="shared" si="364"/>
        <v>-56886.879898458967</v>
      </c>
      <c r="M479" s="62">
        <f t="shared" si="364"/>
        <v>-60363.005318696356</v>
      </c>
      <c r="N479" s="62">
        <f t="shared" si="364"/>
        <v>-64032.73666265724</v>
      </c>
      <c r="O479" s="62">
        <f t="shared" si="364"/>
        <v>-67630.254557808934</v>
      </c>
      <c r="P479" s="62">
        <f t="shared" si="364"/>
        <v>-70905.149147471107</v>
      </c>
      <c r="Q479" s="62">
        <f t="shared" si="364"/>
        <v>-73688.343194726258</v>
      </c>
      <c r="R479" s="62">
        <f t="shared" si="364"/>
        <v>-75917.183184764202</v>
      </c>
      <c r="S479" s="62">
        <f t="shared" si="364"/>
        <v>-77617.887020141206</v>
      </c>
      <c r="T479" s="62">
        <f t="shared" si="364"/>
        <v>-78868.040735788047</v>
      </c>
      <c r="U479" s="62">
        <f t="shared" si="364"/>
        <v>-79761.882556921351</v>
      </c>
      <c r="V479" s="62">
        <f t="shared" si="364"/>
        <v>-80388.333671288041</v>
      </c>
      <c r="W479" s="62">
        <f t="shared" si="364"/>
        <v>-80821.249896010122</v>
      </c>
      <c r="X479" s="62">
        <f t="shared" si="364"/>
        <v>-81117.516041630384</v>
      </c>
      <c r="Y479" s="62">
        <f t="shared" si="364"/>
        <v>-81318.912482458516</v>
      </c>
      <c r="Z479" s="62">
        <f t="shared" si="364"/>
        <v>-81455.19521294719</v>
      </c>
      <c r="AA479" s="62">
        <f t="shared" si="364"/>
        <v>-81547.131685216795</v>
      </c>
      <c r="AB479" s="62">
        <f t="shared" si="364"/>
        <v>-81609.022861647056</v>
      </c>
      <c r="AC479" s="62">
        <f t="shared" si="364"/>
        <v>-81650.629181324926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365">((1+C463)^C471)*C463/(((1+C463)^C471)-1)*(C461)</f>
        <v>254271.19021516517</v>
      </c>
      <c r="D480" s="62">
        <f t="shared" si="365"/>
        <v>254271.19021516517</v>
      </c>
      <c r="E480" s="62">
        <f t="shared" si="365"/>
        <v>254271.19021516517</v>
      </c>
      <c r="F480" s="62">
        <f t="shared" si="365"/>
        <v>254271.19021516517</v>
      </c>
      <c r="G480" s="62">
        <f t="shared" si="365"/>
        <v>254271.19021516517</v>
      </c>
      <c r="H480" s="62">
        <f t="shared" si="365"/>
        <v>254271.19021516517</v>
      </c>
      <c r="I480" s="62">
        <f t="shared" si="365"/>
        <v>254271.19021516517</v>
      </c>
      <c r="J480" s="62">
        <f t="shared" si="365"/>
        <v>254271.19021516517</v>
      </c>
      <c r="K480" s="62">
        <f t="shared" si="365"/>
        <v>254271.19021516517</v>
      </c>
      <c r="L480" s="62">
        <f t="shared" si="365"/>
        <v>254271.19021516517</v>
      </c>
      <c r="M480" s="62">
        <f t="shared" si="365"/>
        <v>254271.19021516517</v>
      </c>
      <c r="N480" s="62">
        <f t="shared" si="365"/>
        <v>254271.19021516517</v>
      </c>
      <c r="O480" s="62">
        <f t="shared" si="365"/>
        <v>254271.19021516517</v>
      </c>
      <c r="P480" s="62">
        <f t="shared" si="365"/>
        <v>254271.19021516517</v>
      </c>
      <c r="Q480" s="62">
        <f t="shared" si="365"/>
        <v>254271.19021516517</v>
      </c>
      <c r="R480" s="62">
        <f t="shared" si="365"/>
        <v>254271.19021516517</v>
      </c>
      <c r="S480" s="62">
        <f t="shared" si="365"/>
        <v>254271.19021516517</v>
      </c>
      <c r="T480" s="62">
        <f t="shared" si="365"/>
        <v>254271.19021516517</v>
      </c>
      <c r="U480" s="62">
        <f t="shared" si="365"/>
        <v>254271.19021516517</v>
      </c>
      <c r="V480" s="62">
        <f t="shared" si="365"/>
        <v>254271.19021516517</v>
      </c>
      <c r="W480" s="62">
        <f t="shared" si="365"/>
        <v>254271.19021516517</v>
      </c>
      <c r="X480" s="62">
        <f t="shared" si="365"/>
        <v>254271.19021516517</v>
      </c>
      <c r="Y480" s="62">
        <f t="shared" si="365"/>
        <v>254271.19021516517</v>
      </c>
      <c r="Z480" s="62">
        <f t="shared" si="365"/>
        <v>254271.19021516517</v>
      </c>
      <c r="AA480" s="62">
        <f t="shared" si="365"/>
        <v>254271.19021516517</v>
      </c>
      <c r="AB480" s="62">
        <f t="shared" si="365"/>
        <v>254271.19021516517</v>
      </c>
      <c r="AC480" s="62">
        <f t="shared" si="365"/>
        <v>254271.19021516517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366">((1+C463)^C471)*C463/(((1+C463)^C471)-1)*(C462)</f>
        <v>-12713.559510758259</v>
      </c>
      <c r="D481" s="62">
        <f t="shared" si="366"/>
        <v>-12713.559510758259</v>
      </c>
      <c r="E481" s="62">
        <f t="shared" si="366"/>
        <v>-12713.559510758259</v>
      </c>
      <c r="F481" s="62">
        <f t="shared" si="366"/>
        <v>-12713.559510758259</v>
      </c>
      <c r="G481" s="62">
        <f t="shared" si="366"/>
        <v>-12713.559510758259</v>
      </c>
      <c r="H481" s="62">
        <f t="shared" si="366"/>
        <v>-12713.559510758259</v>
      </c>
      <c r="I481" s="62">
        <f t="shared" si="366"/>
        <v>-12713.559510758259</v>
      </c>
      <c r="J481" s="62">
        <f t="shared" si="366"/>
        <v>-12713.559510758259</v>
      </c>
      <c r="K481" s="62">
        <f t="shared" si="366"/>
        <v>-12713.559510758259</v>
      </c>
      <c r="L481" s="62">
        <f t="shared" si="366"/>
        <v>-12713.559510758259</v>
      </c>
      <c r="M481" s="62">
        <f t="shared" si="366"/>
        <v>-12713.559510758259</v>
      </c>
      <c r="N481" s="62">
        <f t="shared" si="366"/>
        <v>-12713.559510758259</v>
      </c>
      <c r="O481" s="62">
        <f t="shared" si="366"/>
        <v>-12713.559510758259</v>
      </c>
      <c r="P481" s="62">
        <f t="shared" si="366"/>
        <v>-12713.559510758259</v>
      </c>
      <c r="Q481" s="62">
        <f t="shared" si="366"/>
        <v>-12713.559510758259</v>
      </c>
      <c r="R481" s="62">
        <f t="shared" si="366"/>
        <v>-12713.559510758259</v>
      </c>
      <c r="S481" s="62">
        <f t="shared" si="366"/>
        <v>-12713.559510758259</v>
      </c>
      <c r="T481" s="62">
        <f t="shared" si="366"/>
        <v>-12713.559510758259</v>
      </c>
      <c r="U481" s="62">
        <f t="shared" si="366"/>
        <v>-12713.559510758259</v>
      </c>
      <c r="V481" s="62">
        <f t="shared" si="366"/>
        <v>-12713.559510758259</v>
      </c>
      <c r="W481" s="62">
        <f t="shared" si="366"/>
        <v>-12713.559510758259</v>
      </c>
      <c r="X481" s="62">
        <f t="shared" si="366"/>
        <v>-12713.559510758259</v>
      </c>
      <c r="Y481" s="62">
        <f t="shared" si="366"/>
        <v>-12713.559510758259</v>
      </c>
      <c r="Z481" s="62">
        <f t="shared" si="366"/>
        <v>-12713.559510758259</v>
      </c>
      <c r="AA481" s="62">
        <f t="shared" si="366"/>
        <v>-12713.559510758259</v>
      </c>
      <c r="AB481" s="62">
        <f t="shared" si="366"/>
        <v>-12713.559510758259</v>
      </c>
      <c r="AC481" s="62">
        <f t="shared" si="366"/>
        <v>-12713.559510758259</v>
      </c>
    </row>
    <row r="482" spans="1:29" x14ac:dyDescent="0.3">
      <c r="A482" s="30" t="str">
        <f t="shared" ref="A482:AC482" si="367">A464</f>
        <v>Opex fix (admin, crew, insurance)</v>
      </c>
      <c r="B482" s="62">
        <f t="shared" si="367"/>
        <v>650000</v>
      </c>
      <c r="C482" s="62">
        <f t="shared" si="367"/>
        <v>650000</v>
      </c>
      <c r="D482" s="62">
        <f t="shared" si="367"/>
        <v>650000</v>
      </c>
      <c r="E482" s="62">
        <f t="shared" si="367"/>
        <v>650000</v>
      </c>
      <c r="F482" s="62">
        <f t="shared" si="367"/>
        <v>650000</v>
      </c>
      <c r="G482" s="62">
        <f t="shared" si="367"/>
        <v>650000</v>
      </c>
      <c r="H482" s="62">
        <f t="shared" si="367"/>
        <v>650000</v>
      </c>
      <c r="I482" s="62">
        <f t="shared" si="367"/>
        <v>650000</v>
      </c>
      <c r="J482" s="62">
        <f t="shared" si="367"/>
        <v>650000</v>
      </c>
      <c r="K482" s="62">
        <f t="shared" si="367"/>
        <v>650000</v>
      </c>
      <c r="L482" s="62">
        <f t="shared" si="367"/>
        <v>650000</v>
      </c>
      <c r="M482" s="62">
        <f t="shared" si="367"/>
        <v>650000</v>
      </c>
      <c r="N482" s="62">
        <f t="shared" si="367"/>
        <v>650000</v>
      </c>
      <c r="O482" s="62">
        <f t="shared" si="367"/>
        <v>650000</v>
      </c>
      <c r="P482" s="62">
        <f t="shared" si="367"/>
        <v>650000</v>
      </c>
      <c r="Q482" s="62">
        <f t="shared" si="367"/>
        <v>650000</v>
      </c>
      <c r="R482" s="62">
        <f t="shared" si="367"/>
        <v>650000</v>
      </c>
      <c r="S482" s="62">
        <f t="shared" si="367"/>
        <v>650000</v>
      </c>
      <c r="T482" s="62">
        <f t="shared" si="367"/>
        <v>650000</v>
      </c>
      <c r="U482" s="62">
        <f t="shared" si="367"/>
        <v>650000</v>
      </c>
      <c r="V482" s="62">
        <f t="shared" si="367"/>
        <v>650000</v>
      </c>
      <c r="W482" s="62">
        <f t="shared" si="367"/>
        <v>650000</v>
      </c>
      <c r="X482" s="62">
        <f t="shared" si="367"/>
        <v>650000</v>
      </c>
      <c r="Y482" s="62">
        <f t="shared" si="367"/>
        <v>650000</v>
      </c>
      <c r="Z482" s="62">
        <f t="shared" si="367"/>
        <v>650000</v>
      </c>
      <c r="AA482" s="62">
        <f t="shared" si="367"/>
        <v>650000</v>
      </c>
      <c r="AB482" s="62">
        <f t="shared" si="367"/>
        <v>650000</v>
      </c>
      <c r="AC482" s="62">
        <f t="shared" si="367"/>
        <v>650000</v>
      </c>
    </row>
    <row r="483" spans="1:29" x14ac:dyDescent="0.3">
      <c r="A483" s="30" t="str">
        <f t="shared" ref="A483:AC483" si="368">A465</f>
        <v>Opex maintenance &amp; repair</v>
      </c>
      <c r="B483" s="62">
        <f t="shared" si="368"/>
        <v>1293563.9575177333</v>
      </c>
      <c r="C483" s="62">
        <f t="shared" si="368"/>
        <v>1290808.235093934</v>
      </c>
      <c r="D483" s="62">
        <f t="shared" si="368"/>
        <v>1286895.5042898762</v>
      </c>
      <c r="E483" s="62">
        <f t="shared" si="368"/>
        <v>1281365.2352877648</v>
      </c>
      <c r="F483" s="62">
        <f t="shared" si="368"/>
        <v>1273600.837383118</v>
      </c>
      <c r="G483" s="62">
        <f t="shared" si="368"/>
        <v>1262805.5057319398</v>
      </c>
      <c r="H483" s="62">
        <f t="shared" si="368"/>
        <v>1248005.5098923349</v>
      </c>
      <c r="I483" s="62">
        <f t="shared" si="368"/>
        <v>1228115.9013873441</v>
      </c>
      <c r="J483" s="62">
        <f t="shared" si="368"/>
        <v>1202116.3406815415</v>
      </c>
      <c r="K483" s="62">
        <f t="shared" si="368"/>
        <v>1169374.2884687176</v>
      </c>
      <c r="L483" s="62">
        <f t="shared" si="368"/>
        <v>1130084.7656740851</v>
      </c>
      <c r="M483" s="62">
        <f t="shared" si="368"/>
        <v>1085657.2084191416</v>
      </c>
      <c r="N483" s="62">
        <f t="shared" si="368"/>
        <v>1038755.2185067786</v>
      </c>
      <c r="O483" s="62">
        <f t="shared" si="368"/>
        <v>992776.17202817916</v>
      </c>
      <c r="P483" s="62">
        <f t="shared" si="368"/>
        <v>950920.49960650213</v>
      </c>
      <c r="Q483" s="62">
        <f t="shared" si="368"/>
        <v>915349.13841044903</v>
      </c>
      <c r="R483" s="62">
        <f t="shared" si="368"/>
        <v>886862.84856226621</v>
      </c>
      <c r="S483" s="62">
        <f t="shared" si="368"/>
        <v>865126.54509633617</v>
      </c>
      <c r="T483" s="62">
        <f t="shared" si="368"/>
        <v>849148.61879481981</v>
      </c>
      <c r="U483" s="62">
        <f t="shared" si="368"/>
        <v>837724.6326365323</v>
      </c>
      <c r="V483" s="62">
        <f t="shared" si="368"/>
        <v>829718.10542985611</v>
      </c>
      <c r="W483" s="62">
        <f t="shared" si="368"/>
        <v>824185.10301042092</v>
      </c>
      <c r="X483" s="62">
        <f t="shared" si="368"/>
        <v>820398.59373471502</v>
      </c>
      <c r="Y483" s="62">
        <f t="shared" si="368"/>
        <v>817824.59227500285</v>
      </c>
      <c r="Z483" s="62">
        <f t="shared" si="368"/>
        <v>816082.79412917187</v>
      </c>
      <c r="AA483" s="62">
        <f t="shared" si="368"/>
        <v>814907.77528152149</v>
      </c>
      <c r="AB483" s="62">
        <f t="shared" si="368"/>
        <v>814116.75843028165</v>
      </c>
      <c r="AC483" s="62">
        <f t="shared" si="368"/>
        <v>813584.99765465059</v>
      </c>
    </row>
    <row r="484" spans="1:29" x14ac:dyDescent="0.3">
      <c r="A484" s="30" t="str">
        <f>A466</f>
        <v>Opex var (mode-fees, shunting)</v>
      </c>
      <c r="B484" s="62">
        <f>B466*B475</f>
        <v>700000</v>
      </c>
      <c r="C484" s="62">
        <f t="shared" ref="C484:AC484" si="369">C466*C475</f>
        <v>700000</v>
      </c>
      <c r="D484" s="62">
        <f t="shared" si="369"/>
        <v>700000</v>
      </c>
      <c r="E484" s="62">
        <f t="shared" si="369"/>
        <v>700000</v>
      </c>
      <c r="F484" s="62">
        <f t="shared" si="369"/>
        <v>700000</v>
      </c>
      <c r="G484" s="62">
        <f t="shared" si="369"/>
        <v>700000</v>
      </c>
      <c r="H484" s="62">
        <f t="shared" si="369"/>
        <v>700000</v>
      </c>
      <c r="I484" s="62">
        <f t="shared" si="369"/>
        <v>700000</v>
      </c>
      <c r="J484" s="62">
        <f t="shared" si="369"/>
        <v>700000</v>
      </c>
      <c r="K484" s="62">
        <f t="shared" si="369"/>
        <v>700000</v>
      </c>
      <c r="L484" s="62">
        <f t="shared" si="369"/>
        <v>700000</v>
      </c>
      <c r="M484" s="62">
        <f t="shared" si="369"/>
        <v>700000</v>
      </c>
      <c r="N484" s="62">
        <f t="shared" si="369"/>
        <v>700000</v>
      </c>
      <c r="O484" s="62">
        <f t="shared" si="369"/>
        <v>700000</v>
      </c>
      <c r="P484" s="62">
        <f t="shared" si="369"/>
        <v>700000</v>
      </c>
      <c r="Q484" s="62">
        <f t="shared" si="369"/>
        <v>700000</v>
      </c>
      <c r="R484" s="62">
        <f t="shared" si="369"/>
        <v>700000</v>
      </c>
      <c r="S484" s="62">
        <f t="shared" si="369"/>
        <v>700000</v>
      </c>
      <c r="T484" s="62">
        <f t="shared" si="369"/>
        <v>700000</v>
      </c>
      <c r="U484" s="62">
        <f t="shared" si="369"/>
        <v>700000</v>
      </c>
      <c r="V484" s="62">
        <f t="shared" si="369"/>
        <v>700000</v>
      </c>
      <c r="W484" s="62">
        <f t="shared" si="369"/>
        <v>700000</v>
      </c>
      <c r="X484" s="62">
        <f t="shared" si="369"/>
        <v>700000</v>
      </c>
      <c r="Y484" s="62">
        <f t="shared" si="369"/>
        <v>700000</v>
      </c>
      <c r="Z484" s="62">
        <f t="shared" si="369"/>
        <v>700000</v>
      </c>
      <c r="AA484" s="62">
        <f t="shared" si="369"/>
        <v>700000</v>
      </c>
      <c r="AB484" s="62">
        <f t="shared" si="369"/>
        <v>700000</v>
      </c>
      <c r="AC484" s="62">
        <f t="shared" si="369"/>
        <v>700000</v>
      </c>
    </row>
    <row r="485" spans="1:29" x14ac:dyDescent="0.3">
      <c r="A485" s="30" t="str">
        <f>A468</f>
        <v>Fuel Cost</v>
      </c>
      <c r="B485" s="62">
        <f>B467*B468*B475</f>
        <v>447653.91278257803</v>
      </c>
      <c r="C485" s="62">
        <f t="shared" ref="C485:AC485" si="370">C467*C468*C475</f>
        <v>447125.47116858652</v>
      </c>
      <c r="D485" s="62">
        <f t="shared" si="370"/>
        <v>446375.15982976876</v>
      </c>
      <c r="E485" s="62">
        <f t="shared" si="370"/>
        <v>445314.66685266612</v>
      </c>
      <c r="F485" s="62">
        <f t="shared" si="370"/>
        <v>443825.7538456922</v>
      </c>
      <c r="G485" s="62">
        <f t="shared" si="370"/>
        <v>441755.62427384011</v>
      </c>
      <c r="H485" s="62">
        <f t="shared" si="370"/>
        <v>438917.55407453218</v>
      </c>
      <c r="I485" s="62">
        <f t="shared" si="370"/>
        <v>435103.4918419699</v>
      </c>
      <c r="J485" s="62">
        <f t="shared" si="370"/>
        <v>430117.77568137628</v>
      </c>
      <c r="K485" s="62">
        <f t="shared" si="370"/>
        <v>423839.10887251585</v>
      </c>
      <c r="L485" s="62">
        <f t="shared" si="370"/>
        <v>416304.88893104222</v>
      </c>
      <c r="M485" s="62">
        <f t="shared" si="370"/>
        <v>407785.39151767886</v>
      </c>
      <c r="N485" s="62">
        <f t="shared" si="370"/>
        <v>398791.39305300947</v>
      </c>
      <c r="O485" s="62">
        <f t="shared" si="370"/>
        <v>389974.37965532253</v>
      </c>
      <c r="P485" s="62">
        <f t="shared" si="370"/>
        <v>381948.07087393251</v>
      </c>
      <c r="Q485" s="62">
        <f t="shared" si="370"/>
        <v>375126.85137810098</v>
      </c>
      <c r="R485" s="62">
        <f t="shared" si="370"/>
        <v>369664.27617313835</v>
      </c>
      <c r="S485" s="62">
        <f t="shared" si="370"/>
        <v>365496.08884536289</v>
      </c>
      <c r="T485" s="62">
        <f t="shared" si="370"/>
        <v>362432.13687034114</v>
      </c>
      <c r="U485" s="62">
        <f t="shared" si="370"/>
        <v>360241.45553336525</v>
      </c>
      <c r="V485" s="62">
        <f t="shared" si="370"/>
        <v>358706.11143519945</v>
      </c>
      <c r="W485" s="62">
        <f t="shared" si="370"/>
        <v>357645.09429374349</v>
      </c>
      <c r="X485" s="62">
        <f t="shared" si="370"/>
        <v>356918.98739133298</v>
      </c>
      <c r="Y485" s="62">
        <f t="shared" si="370"/>
        <v>356425.39287178352</v>
      </c>
      <c r="Z485" s="62">
        <f t="shared" si="370"/>
        <v>356091.38295283035</v>
      </c>
      <c r="AA485" s="62">
        <f t="shared" si="370"/>
        <v>355866.05951279146</v>
      </c>
      <c r="AB485" s="62">
        <f t="shared" si="370"/>
        <v>355714.37289226911</v>
      </c>
      <c r="AC485" s="62">
        <f t="shared" si="370"/>
        <v>355612.40161965293</v>
      </c>
    </row>
    <row r="486" spans="1:29" ht="15" thickBot="1" x14ac:dyDescent="0.35">
      <c r="A486" s="59" t="str">
        <f>A449</f>
        <v>Emission Cost</v>
      </c>
      <c r="B486" s="62">
        <f>B469*B475</f>
        <v>11203.006220996644</v>
      </c>
      <c r="C486" s="62">
        <f t="shared" ref="C486:AC486" si="371">C469*C475</f>
        <v>11192.33822944287</v>
      </c>
      <c r="D486" s="62">
        <f t="shared" si="371"/>
        <v>11177.067237144001</v>
      </c>
      <c r="E486" s="62">
        <f t="shared" si="371"/>
        <v>11155.221008756278</v>
      </c>
      <c r="F486" s="62">
        <f t="shared" si="371"/>
        <v>11123.997927780596</v>
      </c>
      <c r="G486" s="62">
        <f t="shared" si="371"/>
        <v>11079.435843640687</v>
      </c>
      <c r="H486" s="62">
        <f t="shared" si="371"/>
        <v>11015.968503549551</v>
      </c>
      <c r="I486" s="62">
        <f t="shared" si="371"/>
        <v>10925.85397877683</v>
      </c>
      <c r="J486" s="62">
        <f t="shared" si="371"/>
        <v>10798.485757463533</v>
      </c>
      <c r="K486" s="62">
        <f t="shared" si="371"/>
        <v>10619.663072652727</v>
      </c>
      <c r="L486" s="62">
        <f t="shared" si="371"/>
        <v>10371.034626120974</v>
      </c>
      <c r="M486" s="62">
        <f t="shared" si="371"/>
        <v>10030.174327134624</v>
      </c>
      <c r="N486" s="62">
        <f t="shared" si="371"/>
        <v>9572.0946104099457</v>
      </c>
      <c r="O486" s="62">
        <f t="shared" si="371"/>
        <v>8973.2959261577307</v>
      </c>
      <c r="P486" s="62">
        <f t="shared" si="371"/>
        <v>8219.2101934560833</v>
      </c>
      <c r="Q486" s="62">
        <f t="shared" si="371"/>
        <v>7314.328960248451</v>
      </c>
      <c r="R486" s="62">
        <f t="shared" si="371"/>
        <v>6291.113101725784</v>
      </c>
      <c r="S486" s="62">
        <f t="shared" si="371"/>
        <v>5210.9083180324342</v>
      </c>
      <c r="T486" s="62">
        <f t="shared" si="371"/>
        <v>4151.9599440157926</v>
      </c>
      <c r="U486" s="62">
        <f t="shared" si="371"/>
        <v>3187.9774422268952</v>
      </c>
      <c r="V486" s="62">
        <f t="shared" si="371"/>
        <v>2368.7295894544022</v>
      </c>
      <c r="W486" s="62">
        <f t="shared" si="371"/>
        <v>1712.6587783613491</v>
      </c>
      <c r="X486" s="62">
        <f t="shared" si="371"/>
        <v>1212.047630996814</v>
      </c>
      <c r="Y486" s="62">
        <f t="shared" si="371"/>
        <v>844.05828861182579</v>
      </c>
      <c r="Z486" s="62">
        <f t="shared" si="371"/>
        <v>580.95123238485962</v>
      </c>
      <c r="AA486" s="62">
        <f t="shared" si="371"/>
        <v>396.55204152786723</v>
      </c>
      <c r="AB486" s="62">
        <f t="shared" si="371"/>
        <v>269.12086658564078</v>
      </c>
      <c r="AC486" s="62">
        <f t="shared" si="371"/>
        <v>181.91336343365799</v>
      </c>
    </row>
    <row r="487" spans="1:29" ht="15" thickBot="1" x14ac:dyDescent="0.35">
      <c r="A487" s="31" t="s">
        <v>209</v>
      </c>
      <c r="B487" s="64">
        <f>B478+B479+B480+B481+B482+B483+B484+B485+B486</f>
        <v>4167411.8914112472</v>
      </c>
      <c r="C487" s="64">
        <f t="shared" ref="C487:AC487" si="372">C478+C479+C480+C481+C482+C483+C484+C485+C486</f>
        <v>4162053.3181779408</v>
      </c>
      <c r="D487" s="64">
        <f t="shared" si="372"/>
        <v>4154444.7883741334</v>
      </c>
      <c r="E487" s="64">
        <f t="shared" si="372"/>
        <v>4143690.6004812624</v>
      </c>
      <c r="F487" s="64">
        <f t="shared" si="372"/>
        <v>4128591.3633308359</v>
      </c>
      <c r="G487" s="64">
        <f t="shared" si="372"/>
        <v>4107596.7918316717</v>
      </c>
      <c r="H487" s="64">
        <f t="shared" si="372"/>
        <v>4078811.6453249939</v>
      </c>
      <c r="I487" s="64">
        <f t="shared" si="372"/>
        <v>4040122.6716910405</v>
      </c>
      <c r="J487" s="64">
        <f t="shared" si="372"/>
        <v>3989539.1378628453</v>
      </c>
      <c r="K487" s="64">
        <f t="shared" si="372"/>
        <v>3925819.3027950558</v>
      </c>
      <c r="L487" s="64">
        <f t="shared" si="372"/>
        <v>3849323.2834339966</v>
      </c>
      <c r="M487" s="64">
        <f t="shared" si="372"/>
        <v>3762763.8823015736</v>
      </c>
      <c r="N487" s="64">
        <f t="shared" si="372"/>
        <v>3671285.2427727627</v>
      </c>
      <c r="O487" s="64">
        <f t="shared" si="372"/>
        <v>3581456.998644344</v>
      </c>
      <c r="P487" s="64">
        <f t="shared" si="372"/>
        <v>3499475.5120646656</v>
      </c>
      <c r="Q487" s="64">
        <f t="shared" si="372"/>
        <v>3429538.907115845</v>
      </c>
      <c r="R487" s="64">
        <f t="shared" si="372"/>
        <v>3373233.6434423858</v>
      </c>
      <c r="S487" s="64">
        <f t="shared" si="372"/>
        <v>3329970.7825835217</v>
      </c>
      <c r="T487" s="64">
        <f t="shared" si="372"/>
        <v>3297904.1989403465</v>
      </c>
      <c r="U487" s="64">
        <f t="shared" si="372"/>
        <v>3274770.2057981612</v>
      </c>
      <c r="V487" s="64">
        <f t="shared" si="372"/>
        <v>3258413.0545458943</v>
      </c>
      <c r="W487" s="64">
        <f t="shared" si="372"/>
        <v>3247019.3374515702</v>
      </c>
      <c r="X487" s="64">
        <f t="shared" si="372"/>
        <v>3239170.4198751524</v>
      </c>
      <c r="Y487" s="64">
        <f t="shared" si="372"/>
        <v>3233807.1829055795</v>
      </c>
      <c r="Z487" s="64">
        <f t="shared" si="372"/>
        <v>3230163.8473641765</v>
      </c>
      <c r="AA487" s="64">
        <f t="shared" si="372"/>
        <v>3227699.1425081929</v>
      </c>
      <c r="AB487" s="64">
        <f t="shared" si="372"/>
        <v>3226036.6208870839</v>
      </c>
      <c r="AC487" s="64">
        <f t="shared" si="372"/>
        <v>3224917.4494187678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373">A478</f>
        <v>Capex vehicle</v>
      </c>
      <c r="B490" s="65">
        <f>((1+B463)^B470)*B463/(((1+B463)^B470)-1)*(B459)/B475</f>
        <v>4.8601077594228057</v>
      </c>
      <c r="C490" s="65">
        <f t="shared" ref="C490:AC490" si="374">((1+C463)^C470)*C463/(((1+C463)^C470)-1)*(C459)/C475</f>
        <v>4.8497541098356427</v>
      </c>
      <c r="D490" s="65">
        <f t="shared" si="374"/>
        <v>4.8350534116360544</v>
      </c>
      <c r="E490" s="65">
        <f t="shared" si="374"/>
        <v>4.8142753873778386</v>
      </c>
      <c r="F490" s="65">
        <f t="shared" si="374"/>
        <v>4.7851034161859127</v>
      </c>
      <c r="G490" s="65">
        <f t="shared" si="374"/>
        <v>4.7445437864756714</v>
      </c>
      <c r="H490" s="65">
        <f t="shared" si="374"/>
        <v>4.6889380514816965</v>
      </c>
      <c r="I490" s="65">
        <f t="shared" si="374"/>
        <v>4.6142099021194625</v>
      </c>
      <c r="J490" s="65">
        <f t="shared" si="374"/>
        <v>4.5165257744862721</v>
      </c>
      <c r="K490" s="65">
        <f t="shared" si="374"/>
        <v>4.3935091264928241</v>
      </c>
      <c r="L490" s="65">
        <f t="shared" si="374"/>
        <v>4.2458926800941192</v>
      </c>
      <c r="M490" s="65">
        <f t="shared" si="374"/>
        <v>4.0789718916073303</v>
      </c>
      <c r="N490" s="65">
        <f t="shared" si="374"/>
        <v>3.9027543000605887</v>
      </c>
      <c r="O490" s="65">
        <f t="shared" si="374"/>
        <v>3.7300043411097277</v>
      </c>
      <c r="P490" s="65">
        <f t="shared" si="374"/>
        <v>3.5727464976685668</v>
      </c>
      <c r="Q490" s="65">
        <f t="shared" si="374"/>
        <v>3.4390997246911277</v>
      </c>
      <c r="R490" s="65">
        <f t="shared" si="374"/>
        <v>3.3320725943171574</v>
      </c>
      <c r="S490" s="65">
        <f t="shared" si="374"/>
        <v>3.2504061436387905</v>
      </c>
      <c r="T490" s="65">
        <f t="shared" si="374"/>
        <v>3.1903747527313779</v>
      </c>
      <c r="U490" s="65">
        <f t="shared" si="374"/>
        <v>3.147453176686561</v>
      </c>
      <c r="V490" s="65">
        <f t="shared" si="374"/>
        <v>3.1173714905224945</v>
      </c>
      <c r="W490" s="65">
        <f t="shared" si="374"/>
        <v>3.0965831964181936</v>
      </c>
      <c r="X490" s="65">
        <f t="shared" si="374"/>
        <v>3.0823567308421902</v>
      </c>
      <c r="Y490" s="65">
        <f t="shared" si="374"/>
        <v>3.0726858333234324</v>
      </c>
      <c r="Z490" s="65">
        <f t="shared" si="374"/>
        <v>3.0661416445844814</v>
      </c>
      <c r="AA490" s="65">
        <f t="shared" si="374"/>
        <v>3.0617269280289179</v>
      </c>
      <c r="AB490" s="65">
        <f t="shared" si="374"/>
        <v>3.058754962774163</v>
      </c>
      <c r="AC490" s="65">
        <f t="shared" si="374"/>
        <v>3.0567570602686231</v>
      </c>
    </row>
    <row r="491" spans="1:29" x14ac:dyDescent="0.3">
      <c r="A491" s="30" t="str">
        <f t="shared" si="373"/>
        <v>Residual value (vehicle)</v>
      </c>
      <c r="B491" s="66">
        <f>((1+B463)^B470)*B463/(((1+B463)^B470)-1)*(B460)/B475</f>
        <v>-0.24703557911170351</v>
      </c>
      <c r="C491" s="66">
        <f t="shared" ref="C491:AC491" si="375">((1+C463)^C470)*C463/(((1+C463)^C470)-1)*(C460)/C475</f>
        <v>-0.24824350489687252</v>
      </c>
      <c r="D491" s="66">
        <f t="shared" si="375"/>
        <v>-0.24995858635349122</v>
      </c>
      <c r="E491" s="66">
        <f t="shared" si="375"/>
        <v>-0.25238268918361639</v>
      </c>
      <c r="F491" s="66">
        <f t="shared" si="375"/>
        <v>-0.25578608582267437</v>
      </c>
      <c r="G491" s="66">
        <f t="shared" si="375"/>
        <v>-0.26051804262220252</v>
      </c>
      <c r="H491" s="66">
        <f t="shared" si="375"/>
        <v>-0.26700537837149957</v>
      </c>
      <c r="I491" s="66">
        <f t="shared" si="375"/>
        <v>-0.27572366246376023</v>
      </c>
      <c r="J491" s="66">
        <f t="shared" si="375"/>
        <v>-0.28712014402096564</v>
      </c>
      <c r="K491" s="66">
        <f t="shared" si="375"/>
        <v>-0.301472086286868</v>
      </c>
      <c r="L491" s="66">
        <f t="shared" si="375"/>
        <v>-0.31869400503338358</v>
      </c>
      <c r="M491" s="66">
        <f t="shared" si="375"/>
        <v>-0.33816809702350897</v>
      </c>
      <c r="N491" s="66">
        <f t="shared" si="375"/>
        <v>-0.35872681603729545</v>
      </c>
      <c r="O491" s="66">
        <f t="shared" si="375"/>
        <v>-0.378880977914896</v>
      </c>
      <c r="P491" s="66">
        <f t="shared" si="375"/>
        <v>-0.39722772631636477</v>
      </c>
      <c r="Q491" s="66">
        <f t="shared" si="375"/>
        <v>-0.41281984983039921</v>
      </c>
      <c r="R491" s="66">
        <f t="shared" si="375"/>
        <v>-0.42530634837402914</v>
      </c>
      <c r="S491" s="66">
        <f t="shared" si="375"/>
        <v>-0.43483410095317204</v>
      </c>
      <c r="T491" s="66">
        <f t="shared" si="375"/>
        <v>-0.44183776322570334</v>
      </c>
      <c r="U491" s="66">
        <f t="shared" si="375"/>
        <v>-0.44684528043093191</v>
      </c>
      <c r="V491" s="66">
        <f t="shared" si="375"/>
        <v>-0.45035481048340636</v>
      </c>
      <c r="W491" s="66">
        <f t="shared" si="375"/>
        <v>-0.45278011146224156</v>
      </c>
      <c r="X491" s="66">
        <f t="shared" si="375"/>
        <v>-0.45443986577944195</v>
      </c>
      <c r="Y491" s="66">
        <f t="shared" si="375"/>
        <v>-0.45556813715663036</v>
      </c>
      <c r="Z491" s="66">
        <f t="shared" si="375"/>
        <v>-0.45633162584284143</v>
      </c>
      <c r="AA491" s="66">
        <f t="shared" si="375"/>
        <v>-0.45684667610765711</v>
      </c>
      <c r="AB491" s="66">
        <f t="shared" si="375"/>
        <v>-0.45719340538737846</v>
      </c>
      <c r="AC491" s="66">
        <f t="shared" si="375"/>
        <v>-0.45742649401302482</v>
      </c>
    </row>
    <row r="492" spans="1:29" x14ac:dyDescent="0.3">
      <c r="A492" s="30" t="str">
        <f t="shared" si="373"/>
        <v>Capex costumization</v>
      </c>
      <c r="B492" s="66">
        <f>((1+B463)^B471)*B463/(((1+B463)^B471)-1)*(B461)/B475</f>
        <v>1.4244884605891606</v>
      </c>
      <c r="C492" s="66">
        <f t="shared" ref="C492:AC492" si="376">((1+C463)^C471)*C463/(((1+C463)^C471)-1)*(C461)/C475</f>
        <v>1.4244884605891606</v>
      </c>
      <c r="D492" s="66">
        <f t="shared" si="376"/>
        <v>1.4244884605891606</v>
      </c>
      <c r="E492" s="66">
        <f t="shared" si="376"/>
        <v>1.4244884605891606</v>
      </c>
      <c r="F492" s="66">
        <f t="shared" si="376"/>
        <v>1.4244884605891606</v>
      </c>
      <c r="G492" s="66">
        <f t="shared" si="376"/>
        <v>1.4244884605891606</v>
      </c>
      <c r="H492" s="66">
        <f t="shared" si="376"/>
        <v>1.4244884605891606</v>
      </c>
      <c r="I492" s="66">
        <f t="shared" si="376"/>
        <v>1.4244884605891606</v>
      </c>
      <c r="J492" s="66">
        <f t="shared" si="376"/>
        <v>1.4244884605891606</v>
      </c>
      <c r="K492" s="66">
        <f t="shared" si="376"/>
        <v>1.4244884605891606</v>
      </c>
      <c r="L492" s="66">
        <f t="shared" si="376"/>
        <v>1.4244884605891606</v>
      </c>
      <c r="M492" s="66">
        <f t="shared" si="376"/>
        <v>1.4244884605891606</v>
      </c>
      <c r="N492" s="66">
        <f t="shared" si="376"/>
        <v>1.4244884605891606</v>
      </c>
      <c r="O492" s="66">
        <f t="shared" si="376"/>
        <v>1.4244884605891606</v>
      </c>
      <c r="P492" s="66">
        <f t="shared" si="376"/>
        <v>1.4244884605891606</v>
      </c>
      <c r="Q492" s="66">
        <f t="shared" si="376"/>
        <v>1.4244884605891606</v>
      </c>
      <c r="R492" s="66">
        <f t="shared" si="376"/>
        <v>1.4244884605891606</v>
      </c>
      <c r="S492" s="66">
        <f t="shared" si="376"/>
        <v>1.4244884605891606</v>
      </c>
      <c r="T492" s="66">
        <f t="shared" si="376"/>
        <v>1.4244884605891606</v>
      </c>
      <c r="U492" s="66">
        <f t="shared" si="376"/>
        <v>1.4244884605891606</v>
      </c>
      <c r="V492" s="66">
        <f t="shared" si="376"/>
        <v>1.4244884605891606</v>
      </c>
      <c r="W492" s="66">
        <f t="shared" si="376"/>
        <v>1.4244884605891606</v>
      </c>
      <c r="X492" s="66">
        <f t="shared" si="376"/>
        <v>1.4244884605891606</v>
      </c>
      <c r="Y492" s="66">
        <f t="shared" si="376"/>
        <v>1.4244884605891606</v>
      </c>
      <c r="Z492" s="66">
        <f t="shared" si="376"/>
        <v>1.4244884605891606</v>
      </c>
      <c r="AA492" s="66">
        <f t="shared" si="376"/>
        <v>1.4244884605891606</v>
      </c>
      <c r="AB492" s="66">
        <f t="shared" si="376"/>
        <v>1.4244884605891606</v>
      </c>
      <c r="AC492" s="66">
        <f t="shared" si="376"/>
        <v>1.4244884605891606</v>
      </c>
    </row>
    <row r="493" spans="1:29" x14ac:dyDescent="0.3">
      <c r="A493" s="30" t="str">
        <f t="shared" si="373"/>
        <v>Residual value (costumization)</v>
      </c>
      <c r="B493" s="66">
        <f>((1+B463)^B471)*B463/(((1+B463)^B471)-1)*(B462)/B475</f>
        <v>-7.1224423029458042E-2</v>
      </c>
      <c r="C493" s="66">
        <f t="shared" ref="C493:AC493" si="377">((1+C463)^C471)*C463/(((1+C463)^C471)-1)*(C462)/C475</f>
        <v>-7.1224423029458042E-2</v>
      </c>
      <c r="D493" s="66">
        <f t="shared" si="377"/>
        <v>-7.1224423029458042E-2</v>
      </c>
      <c r="E493" s="66">
        <f t="shared" si="377"/>
        <v>-7.1224423029458042E-2</v>
      </c>
      <c r="F493" s="66">
        <f t="shared" si="377"/>
        <v>-7.1224423029458042E-2</v>
      </c>
      <c r="G493" s="66">
        <f t="shared" si="377"/>
        <v>-7.1224423029458042E-2</v>
      </c>
      <c r="H493" s="66">
        <f t="shared" si="377"/>
        <v>-7.1224423029458042E-2</v>
      </c>
      <c r="I493" s="66">
        <f t="shared" si="377"/>
        <v>-7.1224423029458042E-2</v>
      </c>
      <c r="J493" s="66">
        <f t="shared" si="377"/>
        <v>-7.1224423029458042E-2</v>
      </c>
      <c r="K493" s="66">
        <f t="shared" si="377"/>
        <v>-7.1224423029458042E-2</v>
      </c>
      <c r="L493" s="66">
        <f t="shared" si="377"/>
        <v>-7.1224423029458042E-2</v>
      </c>
      <c r="M493" s="66">
        <f t="shared" si="377"/>
        <v>-7.1224423029458042E-2</v>
      </c>
      <c r="N493" s="66">
        <f t="shared" si="377"/>
        <v>-7.1224423029458042E-2</v>
      </c>
      <c r="O493" s="66">
        <f t="shared" si="377"/>
        <v>-7.1224423029458042E-2</v>
      </c>
      <c r="P493" s="66">
        <f t="shared" si="377"/>
        <v>-7.1224423029458042E-2</v>
      </c>
      <c r="Q493" s="66">
        <f t="shared" si="377"/>
        <v>-7.1224423029458042E-2</v>
      </c>
      <c r="R493" s="66">
        <f t="shared" si="377"/>
        <v>-7.1224423029458042E-2</v>
      </c>
      <c r="S493" s="66">
        <f t="shared" si="377"/>
        <v>-7.1224423029458042E-2</v>
      </c>
      <c r="T493" s="66">
        <f t="shared" si="377"/>
        <v>-7.1224423029458042E-2</v>
      </c>
      <c r="U493" s="66">
        <f t="shared" si="377"/>
        <v>-7.1224423029458042E-2</v>
      </c>
      <c r="V493" s="66">
        <f t="shared" si="377"/>
        <v>-7.1224423029458042E-2</v>
      </c>
      <c r="W493" s="66">
        <f t="shared" si="377"/>
        <v>-7.1224423029458042E-2</v>
      </c>
      <c r="X493" s="66">
        <f t="shared" si="377"/>
        <v>-7.1224423029458042E-2</v>
      </c>
      <c r="Y493" s="66">
        <f t="shared" si="377"/>
        <v>-7.1224423029458042E-2</v>
      </c>
      <c r="Z493" s="66">
        <f t="shared" si="377"/>
        <v>-7.1224423029458042E-2</v>
      </c>
      <c r="AA493" s="66">
        <f t="shared" si="377"/>
        <v>-7.1224423029458042E-2</v>
      </c>
      <c r="AB493" s="66">
        <f t="shared" si="377"/>
        <v>-7.1224423029458042E-2</v>
      </c>
      <c r="AC493" s="66">
        <f t="shared" si="377"/>
        <v>-7.1224423029458042E-2</v>
      </c>
    </row>
    <row r="494" spans="1:29" x14ac:dyDescent="0.3">
      <c r="A494" s="30" t="str">
        <f t="shared" si="373"/>
        <v>Opex fix (admin, crew, insurance)</v>
      </c>
      <c r="B494" s="66">
        <f>B464/B475</f>
        <v>3.6414565826330532</v>
      </c>
      <c r="C494" s="66">
        <f t="shared" ref="C494:AC494" si="378">C464/C475</f>
        <v>3.6414565826330532</v>
      </c>
      <c r="D494" s="66">
        <f t="shared" si="378"/>
        <v>3.6414565826330532</v>
      </c>
      <c r="E494" s="66">
        <f t="shared" si="378"/>
        <v>3.6414565826330532</v>
      </c>
      <c r="F494" s="66">
        <f t="shared" si="378"/>
        <v>3.6414565826330532</v>
      </c>
      <c r="G494" s="66">
        <f t="shared" si="378"/>
        <v>3.6414565826330532</v>
      </c>
      <c r="H494" s="66">
        <f t="shared" si="378"/>
        <v>3.6414565826330532</v>
      </c>
      <c r="I494" s="66">
        <f t="shared" si="378"/>
        <v>3.6414565826330532</v>
      </c>
      <c r="J494" s="66">
        <f t="shared" si="378"/>
        <v>3.6414565826330532</v>
      </c>
      <c r="K494" s="66">
        <f t="shared" si="378"/>
        <v>3.6414565826330532</v>
      </c>
      <c r="L494" s="66">
        <f t="shared" si="378"/>
        <v>3.6414565826330532</v>
      </c>
      <c r="M494" s="66">
        <f t="shared" si="378"/>
        <v>3.6414565826330532</v>
      </c>
      <c r="N494" s="66">
        <f t="shared" si="378"/>
        <v>3.6414565826330532</v>
      </c>
      <c r="O494" s="66">
        <f t="shared" si="378"/>
        <v>3.6414565826330532</v>
      </c>
      <c r="P494" s="66">
        <f t="shared" si="378"/>
        <v>3.6414565826330532</v>
      </c>
      <c r="Q494" s="66">
        <f t="shared" si="378"/>
        <v>3.6414565826330532</v>
      </c>
      <c r="R494" s="66">
        <f t="shared" si="378"/>
        <v>3.6414565826330532</v>
      </c>
      <c r="S494" s="66">
        <f t="shared" si="378"/>
        <v>3.6414565826330532</v>
      </c>
      <c r="T494" s="66">
        <f t="shared" si="378"/>
        <v>3.6414565826330532</v>
      </c>
      <c r="U494" s="66">
        <f t="shared" si="378"/>
        <v>3.6414565826330532</v>
      </c>
      <c r="V494" s="66">
        <f t="shared" si="378"/>
        <v>3.6414565826330532</v>
      </c>
      <c r="W494" s="66">
        <f t="shared" si="378"/>
        <v>3.6414565826330532</v>
      </c>
      <c r="X494" s="66">
        <f t="shared" si="378"/>
        <v>3.6414565826330532</v>
      </c>
      <c r="Y494" s="66">
        <f t="shared" si="378"/>
        <v>3.6414565826330532</v>
      </c>
      <c r="Z494" s="66">
        <f t="shared" si="378"/>
        <v>3.6414565826330532</v>
      </c>
      <c r="AA494" s="66">
        <f t="shared" si="378"/>
        <v>3.6414565826330532</v>
      </c>
      <c r="AB494" s="66">
        <f t="shared" si="378"/>
        <v>3.6414565826330532</v>
      </c>
      <c r="AC494" s="66">
        <f t="shared" si="378"/>
        <v>3.6414565826330532</v>
      </c>
    </row>
    <row r="495" spans="1:29" x14ac:dyDescent="0.3">
      <c r="A495" s="30" t="str">
        <f t="shared" si="373"/>
        <v>Opex maintenance &amp; repair</v>
      </c>
      <c r="B495" s="66">
        <f>B465/B475</f>
        <v>7.246856904861251</v>
      </c>
      <c r="C495" s="66">
        <f t="shared" ref="C495:AC495" si="379">C465/C475</f>
        <v>7.2314186839996299</v>
      </c>
      <c r="D495" s="66">
        <f t="shared" si="379"/>
        <v>7.2094986234726957</v>
      </c>
      <c r="E495" s="66">
        <f t="shared" si="379"/>
        <v>7.1785167243012031</v>
      </c>
      <c r="F495" s="66">
        <f t="shared" si="379"/>
        <v>7.1350186968241909</v>
      </c>
      <c r="G495" s="66">
        <f t="shared" si="379"/>
        <v>7.0745406483582061</v>
      </c>
      <c r="H495" s="66">
        <f t="shared" si="379"/>
        <v>6.9916275063996354</v>
      </c>
      <c r="I495" s="66">
        <f t="shared" si="379"/>
        <v>6.8802011282204152</v>
      </c>
      <c r="J495" s="66">
        <f t="shared" si="379"/>
        <v>6.7345453259470114</v>
      </c>
      <c r="K495" s="66">
        <f t="shared" si="379"/>
        <v>6.5511164620096221</v>
      </c>
      <c r="L495" s="66">
        <f t="shared" si="379"/>
        <v>6.3310070906111209</v>
      </c>
      <c r="M495" s="66">
        <f t="shared" si="379"/>
        <v>6.0821132124321657</v>
      </c>
      <c r="N495" s="66">
        <f t="shared" si="379"/>
        <v>5.8193569664245297</v>
      </c>
      <c r="O495" s="66">
        <f t="shared" si="379"/>
        <v>5.56177127186655</v>
      </c>
      <c r="P495" s="66">
        <f t="shared" si="379"/>
        <v>5.3272857120812445</v>
      </c>
      <c r="Q495" s="66">
        <f t="shared" si="379"/>
        <v>5.1280063776495748</v>
      </c>
      <c r="R495" s="66">
        <f t="shared" si="379"/>
        <v>4.9684193196765616</v>
      </c>
      <c r="S495" s="66">
        <f t="shared" si="379"/>
        <v>4.8466473114640678</v>
      </c>
      <c r="T495" s="66">
        <f t="shared" si="379"/>
        <v>4.7571351192987104</v>
      </c>
      <c r="U495" s="66">
        <f t="shared" si="379"/>
        <v>4.6931351968433184</v>
      </c>
      <c r="V495" s="66">
        <f t="shared" si="379"/>
        <v>4.6482807026882691</v>
      </c>
      <c r="W495" s="66">
        <f t="shared" si="379"/>
        <v>4.6172834902544588</v>
      </c>
      <c r="X495" s="66">
        <f t="shared" si="379"/>
        <v>4.5960705531356583</v>
      </c>
      <c r="Y495" s="66">
        <f t="shared" si="379"/>
        <v>4.5816503768907726</v>
      </c>
      <c r="Z495" s="66">
        <f t="shared" si="379"/>
        <v>4.5718924040849966</v>
      </c>
      <c r="AA495" s="66">
        <f t="shared" si="379"/>
        <v>4.5653096654426975</v>
      </c>
      <c r="AB495" s="66">
        <f t="shared" si="379"/>
        <v>4.5608781984889726</v>
      </c>
      <c r="AC495" s="66">
        <f t="shared" si="379"/>
        <v>4.5578991465246528</v>
      </c>
    </row>
    <row r="496" spans="1:29" x14ac:dyDescent="0.3">
      <c r="A496" s="30" t="str">
        <f t="shared" si="373"/>
        <v>Opex var (mode-fees, shunting)</v>
      </c>
      <c r="B496" s="66">
        <f>B466*B475/B475</f>
        <v>3.9215686274509802</v>
      </c>
      <c r="C496" s="66">
        <f t="shared" ref="C496:AC496" si="380">C466*C475/C475</f>
        <v>3.9215686274509802</v>
      </c>
      <c r="D496" s="66">
        <f t="shared" si="380"/>
        <v>3.9215686274509802</v>
      </c>
      <c r="E496" s="66">
        <f t="shared" si="380"/>
        <v>3.9215686274509802</v>
      </c>
      <c r="F496" s="66">
        <f t="shared" si="380"/>
        <v>3.9215686274509802</v>
      </c>
      <c r="G496" s="66">
        <f t="shared" si="380"/>
        <v>3.9215686274509802</v>
      </c>
      <c r="H496" s="66">
        <f t="shared" si="380"/>
        <v>3.9215686274509802</v>
      </c>
      <c r="I496" s="66">
        <f t="shared" si="380"/>
        <v>3.9215686274509802</v>
      </c>
      <c r="J496" s="66">
        <f t="shared" si="380"/>
        <v>3.9215686274509802</v>
      </c>
      <c r="K496" s="66">
        <f t="shared" si="380"/>
        <v>3.9215686274509802</v>
      </c>
      <c r="L496" s="66">
        <f t="shared" si="380"/>
        <v>3.9215686274509802</v>
      </c>
      <c r="M496" s="66">
        <f t="shared" si="380"/>
        <v>3.9215686274509802</v>
      </c>
      <c r="N496" s="66">
        <f t="shared" si="380"/>
        <v>3.9215686274509802</v>
      </c>
      <c r="O496" s="66">
        <f t="shared" si="380"/>
        <v>3.9215686274509802</v>
      </c>
      <c r="P496" s="66">
        <f t="shared" si="380"/>
        <v>3.9215686274509802</v>
      </c>
      <c r="Q496" s="66">
        <f t="shared" si="380"/>
        <v>3.9215686274509802</v>
      </c>
      <c r="R496" s="66">
        <f t="shared" si="380"/>
        <v>3.9215686274509802</v>
      </c>
      <c r="S496" s="66">
        <f t="shared" si="380"/>
        <v>3.9215686274509802</v>
      </c>
      <c r="T496" s="66">
        <f t="shared" si="380"/>
        <v>3.9215686274509802</v>
      </c>
      <c r="U496" s="66">
        <f t="shared" si="380"/>
        <v>3.9215686274509802</v>
      </c>
      <c r="V496" s="66">
        <f t="shared" si="380"/>
        <v>3.9215686274509802</v>
      </c>
      <c r="W496" s="66">
        <f t="shared" si="380"/>
        <v>3.9215686274509802</v>
      </c>
      <c r="X496" s="66">
        <f t="shared" si="380"/>
        <v>3.9215686274509802</v>
      </c>
      <c r="Y496" s="66">
        <f t="shared" si="380"/>
        <v>3.9215686274509802</v>
      </c>
      <c r="Z496" s="66">
        <f t="shared" si="380"/>
        <v>3.9215686274509802</v>
      </c>
      <c r="AA496" s="66">
        <f t="shared" si="380"/>
        <v>3.9215686274509802</v>
      </c>
      <c r="AB496" s="66">
        <f t="shared" si="380"/>
        <v>3.9215686274509802</v>
      </c>
      <c r="AC496" s="66">
        <f t="shared" si="380"/>
        <v>3.9215686274509802</v>
      </c>
    </row>
    <row r="497" spans="1:29" x14ac:dyDescent="0.3">
      <c r="A497" s="30" t="str">
        <f t="shared" si="373"/>
        <v>Fuel Cost</v>
      </c>
      <c r="B497" s="66">
        <f>B467*B468*B475/B475</f>
        <v>2.5078650576054793</v>
      </c>
      <c r="C497" s="66">
        <f t="shared" ref="C497:AC497" si="381">C467*C468*C475/C475</f>
        <v>2.5049046003842381</v>
      </c>
      <c r="D497" s="66">
        <f t="shared" si="381"/>
        <v>2.500701175516912</v>
      </c>
      <c r="E497" s="66">
        <f t="shared" si="381"/>
        <v>2.4947600383902864</v>
      </c>
      <c r="F497" s="66">
        <f t="shared" si="381"/>
        <v>2.486418789051497</v>
      </c>
      <c r="G497" s="66">
        <f t="shared" si="381"/>
        <v>2.4748214245033058</v>
      </c>
      <c r="H497" s="66">
        <f t="shared" si="381"/>
        <v>2.4589218715660066</v>
      </c>
      <c r="I497" s="66">
        <f t="shared" si="381"/>
        <v>2.4375545761454895</v>
      </c>
      <c r="J497" s="66">
        <f t="shared" si="381"/>
        <v>2.4096233931729762</v>
      </c>
      <c r="K497" s="66">
        <f t="shared" si="381"/>
        <v>2.3744487892017694</v>
      </c>
      <c r="L497" s="66">
        <f t="shared" si="381"/>
        <v>2.3322402741234858</v>
      </c>
      <c r="M497" s="66">
        <f t="shared" si="381"/>
        <v>2.2845119972979209</v>
      </c>
      <c r="N497" s="66">
        <f t="shared" si="381"/>
        <v>2.2341254512773641</v>
      </c>
      <c r="O497" s="66">
        <f t="shared" si="381"/>
        <v>2.184730418237101</v>
      </c>
      <c r="P497" s="66">
        <f t="shared" si="381"/>
        <v>2.1397651029351961</v>
      </c>
      <c r="Q497" s="66">
        <f t="shared" si="381"/>
        <v>2.1015509881126104</v>
      </c>
      <c r="R497" s="66">
        <f t="shared" si="381"/>
        <v>2.0709483258999346</v>
      </c>
      <c r="S497" s="66">
        <f t="shared" si="381"/>
        <v>2.0475971363885876</v>
      </c>
      <c r="T497" s="66">
        <f t="shared" si="381"/>
        <v>2.0304321393296423</v>
      </c>
      <c r="U497" s="66">
        <f t="shared" si="381"/>
        <v>2.0181594147527466</v>
      </c>
      <c r="V497" s="66">
        <f t="shared" si="381"/>
        <v>2.0095580472560193</v>
      </c>
      <c r="W497" s="66">
        <f t="shared" si="381"/>
        <v>2.0036139736344172</v>
      </c>
      <c r="X497" s="66">
        <f t="shared" si="381"/>
        <v>1.9995461478506049</v>
      </c>
      <c r="Y497" s="66">
        <f t="shared" si="381"/>
        <v>1.9967809124469664</v>
      </c>
      <c r="Z497" s="66">
        <f t="shared" si="381"/>
        <v>1.9949097084192176</v>
      </c>
      <c r="AA497" s="66">
        <f t="shared" si="381"/>
        <v>1.9936473922285236</v>
      </c>
      <c r="AB497" s="66">
        <f t="shared" si="381"/>
        <v>1.9927976072396028</v>
      </c>
      <c r="AC497" s="66">
        <f t="shared" si="381"/>
        <v>1.9922263396058988</v>
      </c>
    </row>
    <row r="498" spans="1:29" ht="15" thickBot="1" x14ac:dyDescent="0.35">
      <c r="A498" s="59" t="str">
        <f t="shared" ref="A498" si="382">A486</f>
        <v>Emission Cost</v>
      </c>
      <c r="B498" s="66">
        <f>B469</f>
        <v>6.2761939613426576E-2</v>
      </c>
      <c r="C498" s="66">
        <f t="shared" ref="C498:AC498" si="383">C469</f>
        <v>6.2702174954862022E-2</v>
      </c>
      <c r="D498" s="66">
        <f t="shared" si="383"/>
        <v>6.2616623177277314E-2</v>
      </c>
      <c r="E498" s="66">
        <f t="shared" si="383"/>
        <v>6.249423534317243E-2</v>
      </c>
      <c r="F498" s="66">
        <f t="shared" si="383"/>
        <v>6.2319316122020151E-2</v>
      </c>
      <c r="G498" s="66">
        <f t="shared" si="383"/>
        <v>6.2069668591824577E-2</v>
      </c>
      <c r="H498" s="66">
        <f t="shared" si="383"/>
        <v>6.1714109263582916E-2</v>
      </c>
      <c r="I498" s="66">
        <f t="shared" si="383"/>
        <v>6.120926598754526E-2</v>
      </c>
      <c r="J498" s="66">
        <f t="shared" si="383"/>
        <v>6.0495718529207473E-2</v>
      </c>
      <c r="K498" s="66">
        <f t="shared" si="383"/>
        <v>5.9493910771163734E-2</v>
      </c>
      <c r="L498" s="66">
        <f t="shared" si="383"/>
        <v>5.8101034320005455E-2</v>
      </c>
      <c r="M498" s="66">
        <f t="shared" si="383"/>
        <v>5.6191452813079128E-2</v>
      </c>
      <c r="N498" s="66">
        <f t="shared" si="383"/>
        <v>5.3625179890251798E-2</v>
      </c>
      <c r="O498" s="66">
        <f t="shared" si="383"/>
        <v>5.0270565412648349E-2</v>
      </c>
      <c r="P498" s="66">
        <f t="shared" si="383"/>
        <v>4.6045995481546684E-2</v>
      </c>
      <c r="Q498" s="66">
        <f t="shared" si="383"/>
        <v>4.0976632830523538E-2</v>
      </c>
      <c r="R498" s="66">
        <f t="shared" si="383"/>
        <v>3.5244331102105231E-2</v>
      </c>
      <c r="S498" s="66">
        <f t="shared" si="383"/>
        <v>2.9192763686456215E-2</v>
      </c>
      <c r="T498" s="66">
        <f t="shared" si="383"/>
        <v>2.32602797984078E-2</v>
      </c>
      <c r="U498" s="66">
        <f t="shared" si="383"/>
        <v>1.7859817603512018E-2</v>
      </c>
      <c r="V498" s="66">
        <f t="shared" si="383"/>
        <v>1.3270193778456035E-2</v>
      </c>
      <c r="W498" s="66">
        <f t="shared" si="383"/>
        <v>9.5947270496434117E-3</v>
      </c>
      <c r="X498" s="66">
        <f t="shared" si="383"/>
        <v>6.7901828067048406E-3</v>
      </c>
      <c r="Y498" s="66">
        <f t="shared" si="383"/>
        <v>4.7286178633715731E-3</v>
      </c>
      <c r="Z498" s="66">
        <f t="shared" si="383"/>
        <v>3.2546287528563561E-3</v>
      </c>
      <c r="AA498" s="66">
        <f t="shared" si="383"/>
        <v>2.2215800645818892E-3</v>
      </c>
      <c r="AB498" s="66">
        <f t="shared" si="383"/>
        <v>1.5076799248495282E-3</v>
      </c>
      <c r="AC498" s="66">
        <f t="shared" si="383"/>
        <v>1.0191224842221736E-3</v>
      </c>
    </row>
    <row r="499" spans="1:29" ht="15" thickBot="1" x14ac:dyDescent="0.35">
      <c r="A499" s="31" t="s">
        <v>63</v>
      </c>
      <c r="B499" s="76">
        <f>B490+B491+B492-B493+B494+B495+B496+B497+B498</f>
        <v>23.48929417609391</v>
      </c>
      <c r="C499" s="76">
        <f t="shared" ref="C499:AC499" si="384">C490+C491+C492-C493+C494+C495+C496+C497+C498</f>
        <v>23.45927415798015</v>
      </c>
      <c r="D499" s="76">
        <f t="shared" si="384"/>
        <v>23.416649341152098</v>
      </c>
      <c r="E499" s="76">
        <f t="shared" si="384"/>
        <v>23.356401789931535</v>
      </c>
      <c r="F499" s="76">
        <f t="shared" si="384"/>
        <v>23.271812226063602</v>
      </c>
      <c r="G499" s="76">
        <f t="shared" si="384"/>
        <v>23.15419557900946</v>
      </c>
      <c r="H499" s="76">
        <f t="shared" si="384"/>
        <v>22.992934254042073</v>
      </c>
      <c r="I499" s="76">
        <f t="shared" si="384"/>
        <v>22.776189303711806</v>
      </c>
      <c r="J499" s="76">
        <f t="shared" si="384"/>
        <v>22.492808161817152</v>
      </c>
      <c r="K499" s="76">
        <f t="shared" si="384"/>
        <v>22.135834295891161</v>
      </c>
      <c r="L499" s="76">
        <f t="shared" si="384"/>
        <v>21.707285167818</v>
      </c>
      <c r="M499" s="76">
        <f t="shared" si="384"/>
        <v>21.222358550829636</v>
      </c>
      <c r="N499" s="76">
        <f t="shared" si="384"/>
        <v>20.709873175318091</v>
      </c>
      <c r="O499" s="76">
        <f t="shared" si="384"/>
        <v>20.206633712413787</v>
      </c>
      <c r="P499" s="76">
        <f t="shared" si="384"/>
        <v>19.747353675552841</v>
      </c>
      <c r="Q499" s="76">
        <f t="shared" si="384"/>
        <v>19.355551967156089</v>
      </c>
      <c r="R499" s="76">
        <f t="shared" si="384"/>
        <v>19.040116316324383</v>
      </c>
      <c r="S499" s="76">
        <f t="shared" si="384"/>
        <v>18.797747347927384</v>
      </c>
      <c r="T499" s="76">
        <f t="shared" si="384"/>
        <v>18.618102621635089</v>
      </c>
      <c r="U499" s="76">
        <f t="shared" si="384"/>
        <v>18.488500419157855</v>
      </c>
      <c r="V499" s="76">
        <f t="shared" si="384"/>
        <v>18.396863717464484</v>
      </c>
      <c r="W499" s="76">
        <f t="shared" si="384"/>
        <v>18.333033369597121</v>
      </c>
      <c r="X499" s="76">
        <f t="shared" si="384"/>
        <v>18.289061842558368</v>
      </c>
      <c r="Y499" s="76">
        <f t="shared" si="384"/>
        <v>18.259015697070563</v>
      </c>
      <c r="Z499" s="76">
        <f t="shared" si="384"/>
        <v>18.238604853701361</v>
      </c>
      <c r="AA499" s="76">
        <f t="shared" si="384"/>
        <v>18.224796983359717</v>
      </c>
      <c r="AB499" s="76">
        <f t="shared" si="384"/>
        <v>18.215483136742861</v>
      </c>
      <c r="AC499" s="76">
        <f t="shared" si="384"/>
        <v>18.209213268573023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385">A478</f>
        <v>Capex vehicle</v>
      </c>
      <c r="B502" s="65">
        <f>((1+B463)^B470)*B463/(((1+B463)^B470)-1)*(B459)/B475/(B472)</f>
        <v>1.7357527712224307E-3</v>
      </c>
      <c r="C502" s="65">
        <f t="shared" ref="C502:AC502" si="386">((1+C463)^C470)*C463/(((1+C463)^C470)-1)*(C459)/C475/(C472)</f>
        <v>1.7320550392270152E-3</v>
      </c>
      <c r="D502" s="65">
        <f t="shared" si="386"/>
        <v>1.7268047898700194E-3</v>
      </c>
      <c r="E502" s="65">
        <f t="shared" si="386"/>
        <v>1.7193840669206565E-3</v>
      </c>
      <c r="F502" s="65">
        <f t="shared" si="386"/>
        <v>1.7089655057806832E-3</v>
      </c>
      <c r="G502" s="65">
        <f t="shared" si="386"/>
        <v>1.6944799237413111E-3</v>
      </c>
      <c r="H502" s="65">
        <f t="shared" si="386"/>
        <v>1.6746207326720345E-3</v>
      </c>
      <c r="I502" s="65">
        <f t="shared" si="386"/>
        <v>1.647932107899808E-3</v>
      </c>
      <c r="J502" s="65">
        <f t="shared" si="386"/>
        <v>1.6130449194593829E-3</v>
      </c>
      <c r="K502" s="65">
        <f t="shared" si="386"/>
        <v>1.5691104023188658E-3</v>
      </c>
      <c r="L502" s="65">
        <f t="shared" si="386"/>
        <v>1.5163902428907568E-3</v>
      </c>
      <c r="M502" s="65">
        <f t="shared" si="386"/>
        <v>1.4567756755740466E-3</v>
      </c>
      <c r="N502" s="65">
        <f t="shared" si="386"/>
        <v>1.3938408214502103E-3</v>
      </c>
      <c r="O502" s="65">
        <f t="shared" si="386"/>
        <v>1.3321444075391885E-3</v>
      </c>
      <c r="P502" s="65">
        <f t="shared" si="386"/>
        <v>1.275980892024488E-3</v>
      </c>
      <c r="Q502" s="65">
        <f t="shared" si="386"/>
        <v>1.2282499016754028E-3</v>
      </c>
      <c r="R502" s="65">
        <f t="shared" si="386"/>
        <v>1.1900259265418419E-3</v>
      </c>
      <c r="S502" s="65">
        <f t="shared" si="386"/>
        <v>1.1608593370138539E-3</v>
      </c>
      <c r="T502" s="65">
        <f t="shared" si="386"/>
        <v>1.1394195545469208E-3</v>
      </c>
      <c r="U502" s="65">
        <f t="shared" si="386"/>
        <v>1.1240904202452003E-3</v>
      </c>
      <c r="V502" s="65">
        <f t="shared" si="386"/>
        <v>1.1133469609008908E-3</v>
      </c>
      <c r="W502" s="65">
        <f t="shared" si="386"/>
        <v>1.1059225701493549E-3</v>
      </c>
      <c r="X502" s="65">
        <f t="shared" si="386"/>
        <v>1.1008416895864966E-3</v>
      </c>
      <c r="Y502" s="65">
        <f t="shared" si="386"/>
        <v>1.0973877976155116E-3</v>
      </c>
      <c r="Z502" s="65">
        <f t="shared" si="386"/>
        <v>1.0950505873516005E-3</v>
      </c>
      <c r="AA502" s="65">
        <f t="shared" si="386"/>
        <v>1.0934739028674706E-3</v>
      </c>
      <c r="AB502" s="65">
        <f t="shared" si="386"/>
        <v>1.0924124867050583E-3</v>
      </c>
      <c r="AC502" s="65">
        <f t="shared" si="386"/>
        <v>1.0916989500959369E-3</v>
      </c>
    </row>
    <row r="503" spans="1:29" x14ac:dyDescent="0.3">
      <c r="A503" s="30" t="str">
        <f t="shared" si="385"/>
        <v>Residual value (vehicle)</v>
      </c>
      <c r="B503" s="68">
        <f>((1+B463)^B470)*B463/(((1+B463)^B470)-1)*(B460)/B475/(B472)</f>
        <v>-8.822699253989411E-5</v>
      </c>
      <c r="C503" s="68">
        <f t="shared" ref="C503:AC503" si="387">((1+C463)^C470)*C463/(((1+C463)^C470)-1)*(C460)/C475/(C472)</f>
        <v>-8.8658394606025906E-5</v>
      </c>
      <c r="D503" s="68">
        <f t="shared" si="387"/>
        <v>-8.927092369767544E-5</v>
      </c>
      <c r="E503" s="68">
        <f t="shared" si="387"/>
        <v>-9.0136674708434433E-5</v>
      </c>
      <c r="F503" s="68">
        <f t="shared" si="387"/>
        <v>-9.1352173508097987E-5</v>
      </c>
      <c r="G503" s="68">
        <f t="shared" si="387"/>
        <v>-9.3042158079358043E-5</v>
      </c>
      <c r="H503" s="68">
        <f t="shared" si="387"/>
        <v>-9.5359063704106992E-5</v>
      </c>
      <c r="I503" s="68">
        <f t="shared" si="387"/>
        <v>-9.8472736594200079E-5</v>
      </c>
      <c r="J503" s="68">
        <f t="shared" si="387"/>
        <v>-1.0254290857891629E-4</v>
      </c>
      <c r="K503" s="68">
        <f t="shared" si="387"/>
        <v>-1.0766860224531E-4</v>
      </c>
      <c r="L503" s="68">
        <f t="shared" si="387"/>
        <v>-1.1381928751192271E-4</v>
      </c>
      <c r="M503" s="68">
        <f t="shared" si="387"/>
        <v>-1.2077432036553891E-4</v>
      </c>
      <c r="N503" s="68">
        <f t="shared" si="387"/>
        <v>-1.281167200133198E-4</v>
      </c>
      <c r="O503" s="68">
        <f t="shared" si="387"/>
        <v>-1.3531463496960572E-4</v>
      </c>
      <c r="P503" s="68">
        <f t="shared" si="387"/>
        <v>-1.4186704511298743E-4</v>
      </c>
      <c r="Q503" s="68">
        <f t="shared" si="387"/>
        <v>-1.4743566065371401E-4</v>
      </c>
      <c r="R503" s="68">
        <f t="shared" si="387"/>
        <v>-1.5189512441929611E-4</v>
      </c>
      <c r="S503" s="68">
        <f t="shared" si="387"/>
        <v>-1.5529789319756145E-4</v>
      </c>
      <c r="T503" s="68">
        <f t="shared" si="387"/>
        <v>-1.5779920115203692E-4</v>
      </c>
      <c r="U503" s="68">
        <f t="shared" si="387"/>
        <v>-1.5958760015390426E-4</v>
      </c>
      <c r="V503" s="68">
        <f t="shared" si="387"/>
        <v>-1.6084100374407371E-4</v>
      </c>
      <c r="W503" s="68">
        <f t="shared" si="387"/>
        <v>-1.6170718266508627E-4</v>
      </c>
      <c r="X503" s="68">
        <f t="shared" si="387"/>
        <v>-1.6229995206408642E-4</v>
      </c>
      <c r="Y503" s="68">
        <f t="shared" si="387"/>
        <v>-1.6270290612736799E-4</v>
      </c>
      <c r="Z503" s="68">
        <f t="shared" si="387"/>
        <v>-1.6297558065815764E-4</v>
      </c>
      <c r="AA503" s="68">
        <f t="shared" si="387"/>
        <v>-1.6315952718130611E-4</v>
      </c>
      <c r="AB503" s="68">
        <f t="shared" si="387"/>
        <v>-1.6328335906692088E-4</v>
      </c>
      <c r="AC503" s="68">
        <f t="shared" si="387"/>
        <v>-1.6336660500465173E-4</v>
      </c>
    </row>
    <row r="504" spans="1:29" x14ac:dyDescent="0.3">
      <c r="A504" s="30" t="str">
        <f t="shared" si="385"/>
        <v>Capex costumization</v>
      </c>
      <c r="B504" s="66">
        <f>((1+B463)^B471)*B463/(((1+B463)^B471)-1)*(B461)/B475/(B472)</f>
        <v>5.0874587878184309E-4</v>
      </c>
      <c r="C504" s="66">
        <f t="shared" ref="C504:AC504" si="388">((1+C463)^C471)*C463/(((1+C463)^C471)-1)*(C461)/C475/(C472)</f>
        <v>5.0874587878184309E-4</v>
      </c>
      <c r="D504" s="66">
        <f t="shared" si="388"/>
        <v>5.0874587878184309E-4</v>
      </c>
      <c r="E504" s="66">
        <f t="shared" si="388"/>
        <v>5.0874587878184309E-4</v>
      </c>
      <c r="F504" s="66">
        <f t="shared" si="388"/>
        <v>5.0874587878184309E-4</v>
      </c>
      <c r="G504" s="66">
        <f t="shared" si="388"/>
        <v>5.0874587878184309E-4</v>
      </c>
      <c r="H504" s="66">
        <f t="shared" si="388"/>
        <v>5.0874587878184309E-4</v>
      </c>
      <c r="I504" s="66">
        <f t="shared" si="388"/>
        <v>5.0874587878184309E-4</v>
      </c>
      <c r="J504" s="66">
        <f t="shared" si="388"/>
        <v>5.0874587878184309E-4</v>
      </c>
      <c r="K504" s="66">
        <f t="shared" si="388"/>
        <v>5.0874587878184309E-4</v>
      </c>
      <c r="L504" s="66">
        <f t="shared" si="388"/>
        <v>5.0874587878184309E-4</v>
      </c>
      <c r="M504" s="66">
        <f t="shared" si="388"/>
        <v>5.0874587878184309E-4</v>
      </c>
      <c r="N504" s="66">
        <f t="shared" si="388"/>
        <v>5.0874587878184309E-4</v>
      </c>
      <c r="O504" s="66">
        <f t="shared" si="388"/>
        <v>5.0874587878184309E-4</v>
      </c>
      <c r="P504" s="66">
        <f t="shared" si="388"/>
        <v>5.0874587878184309E-4</v>
      </c>
      <c r="Q504" s="66">
        <f t="shared" si="388"/>
        <v>5.0874587878184309E-4</v>
      </c>
      <c r="R504" s="66">
        <f t="shared" si="388"/>
        <v>5.0874587878184309E-4</v>
      </c>
      <c r="S504" s="66">
        <f t="shared" si="388"/>
        <v>5.0874587878184309E-4</v>
      </c>
      <c r="T504" s="66">
        <f t="shared" si="388"/>
        <v>5.0874587878184309E-4</v>
      </c>
      <c r="U504" s="66">
        <f t="shared" si="388"/>
        <v>5.0874587878184309E-4</v>
      </c>
      <c r="V504" s="66">
        <f t="shared" si="388"/>
        <v>5.0874587878184309E-4</v>
      </c>
      <c r="W504" s="66">
        <f t="shared" si="388"/>
        <v>5.0874587878184309E-4</v>
      </c>
      <c r="X504" s="66">
        <f t="shared" si="388"/>
        <v>5.0874587878184309E-4</v>
      </c>
      <c r="Y504" s="66">
        <f t="shared" si="388"/>
        <v>5.0874587878184309E-4</v>
      </c>
      <c r="Z504" s="66">
        <f t="shared" si="388"/>
        <v>5.0874587878184309E-4</v>
      </c>
      <c r="AA504" s="66">
        <f t="shared" si="388"/>
        <v>5.0874587878184309E-4</v>
      </c>
      <c r="AB504" s="66">
        <f t="shared" si="388"/>
        <v>5.0874587878184309E-4</v>
      </c>
      <c r="AC504" s="66">
        <f t="shared" si="388"/>
        <v>5.0874587878184309E-4</v>
      </c>
    </row>
    <row r="505" spans="1:29" x14ac:dyDescent="0.3">
      <c r="A505" s="30" t="str">
        <f t="shared" si="385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389">((1+C463)^C471)*C463/(((1+C463)^C471)-1)*(C462)/C475/(C472)</f>
        <v>-2.5437293939092159E-5</v>
      </c>
      <c r="D505" s="69">
        <f t="shared" si="389"/>
        <v>-2.5437293939092159E-5</v>
      </c>
      <c r="E505" s="69">
        <f t="shared" si="389"/>
        <v>-2.5437293939092159E-5</v>
      </c>
      <c r="F505" s="69">
        <f t="shared" si="389"/>
        <v>-2.5437293939092159E-5</v>
      </c>
      <c r="G505" s="69">
        <f t="shared" si="389"/>
        <v>-2.5437293939092159E-5</v>
      </c>
      <c r="H505" s="69">
        <f t="shared" si="389"/>
        <v>-2.5437293939092159E-5</v>
      </c>
      <c r="I505" s="69">
        <f t="shared" si="389"/>
        <v>-2.5437293939092159E-5</v>
      </c>
      <c r="J505" s="69">
        <f t="shared" si="389"/>
        <v>-2.5437293939092159E-5</v>
      </c>
      <c r="K505" s="69">
        <f t="shared" si="389"/>
        <v>-2.5437293939092159E-5</v>
      </c>
      <c r="L505" s="69">
        <f t="shared" si="389"/>
        <v>-2.5437293939092159E-5</v>
      </c>
      <c r="M505" s="69">
        <f t="shared" si="389"/>
        <v>-2.5437293939092159E-5</v>
      </c>
      <c r="N505" s="69">
        <f t="shared" si="389"/>
        <v>-2.5437293939092159E-5</v>
      </c>
      <c r="O505" s="69">
        <f t="shared" si="389"/>
        <v>-2.5437293939092159E-5</v>
      </c>
      <c r="P505" s="69">
        <f t="shared" si="389"/>
        <v>-2.5437293939092159E-5</v>
      </c>
      <c r="Q505" s="69">
        <f t="shared" si="389"/>
        <v>-2.5437293939092159E-5</v>
      </c>
      <c r="R505" s="69">
        <f t="shared" si="389"/>
        <v>-2.5437293939092159E-5</v>
      </c>
      <c r="S505" s="69">
        <f t="shared" si="389"/>
        <v>-2.5437293939092159E-5</v>
      </c>
      <c r="T505" s="69">
        <f t="shared" si="389"/>
        <v>-2.5437293939092159E-5</v>
      </c>
      <c r="U505" s="69">
        <f t="shared" si="389"/>
        <v>-2.5437293939092159E-5</v>
      </c>
      <c r="V505" s="69">
        <f t="shared" si="389"/>
        <v>-2.5437293939092159E-5</v>
      </c>
      <c r="W505" s="69">
        <f t="shared" si="389"/>
        <v>-2.5437293939092159E-5</v>
      </c>
      <c r="X505" s="69">
        <f t="shared" si="389"/>
        <v>-2.5437293939092159E-5</v>
      </c>
      <c r="Y505" s="69">
        <f t="shared" si="389"/>
        <v>-2.5437293939092159E-5</v>
      </c>
      <c r="Z505" s="69">
        <f t="shared" si="389"/>
        <v>-2.5437293939092159E-5</v>
      </c>
      <c r="AA505" s="69">
        <f t="shared" si="389"/>
        <v>-2.5437293939092159E-5</v>
      </c>
      <c r="AB505" s="69">
        <f t="shared" si="389"/>
        <v>-2.5437293939092159E-5</v>
      </c>
      <c r="AC505" s="69">
        <f t="shared" si="389"/>
        <v>-2.5437293939092159E-5</v>
      </c>
    </row>
    <row r="506" spans="1:29" x14ac:dyDescent="0.3">
      <c r="A506" s="30" t="str">
        <f t="shared" si="385"/>
        <v>Opex fix (admin, crew, insurance)</v>
      </c>
      <c r="B506" s="66">
        <f>B464/B475/(B472)</f>
        <v>1.3005202080832333E-3</v>
      </c>
      <c r="C506" s="66">
        <f t="shared" ref="C506:AC506" si="390">C464/C475/(C472)</f>
        <v>1.3005202080832333E-3</v>
      </c>
      <c r="D506" s="66">
        <f t="shared" si="390"/>
        <v>1.3005202080832333E-3</v>
      </c>
      <c r="E506" s="66">
        <f t="shared" si="390"/>
        <v>1.3005202080832333E-3</v>
      </c>
      <c r="F506" s="66">
        <f t="shared" si="390"/>
        <v>1.3005202080832333E-3</v>
      </c>
      <c r="G506" s="66">
        <f t="shared" si="390"/>
        <v>1.3005202080832333E-3</v>
      </c>
      <c r="H506" s="66">
        <f t="shared" si="390"/>
        <v>1.3005202080832333E-3</v>
      </c>
      <c r="I506" s="66">
        <f t="shared" si="390"/>
        <v>1.3005202080832333E-3</v>
      </c>
      <c r="J506" s="66">
        <f t="shared" si="390"/>
        <v>1.3005202080832333E-3</v>
      </c>
      <c r="K506" s="66">
        <f t="shared" si="390"/>
        <v>1.3005202080832333E-3</v>
      </c>
      <c r="L506" s="66">
        <f t="shared" si="390"/>
        <v>1.3005202080832333E-3</v>
      </c>
      <c r="M506" s="66">
        <f t="shared" si="390"/>
        <v>1.3005202080832333E-3</v>
      </c>
      <c r="N506" s="66">
        <f t="shared" si="390"/>
        <v>1.3005202080832333E-3</v>
      </c>
      <c r="O506" s="66">
        <f t="shared" si="390"/>
        <v>1.3005202080832333E-3</v>
      </c>
      <c r="P506" s="66">
        <f t="shared" si="390"/>
        <v>1.3005202080832333E-3</v>
      </c>
      <c r="Q506" s="66">
        <f t="shared" si="390"/>
        <v>1.3005202080832333E-3</v>
      </c>
      <c r="R506" s="66">
        <f t="shared" si="390"/>
        <v>1.3005202080832333E-3</v>
      </c>
      <c r="S506" s="66">
        <f t="shared" si="390"/>
        <v>1.3005202080832333E-3</v>
      </c>
      <c r="T506" s="66">
        <f t="shared" si="390"/>
        <v>1.3005202080832333E-3</v>
      </c>
      <c r="U506" s="66">
        <f t="shared" si="390"/>
        <v>1.3005202080832333E-3</v>
      </c>
      <c r="V506" s="66">
        <f t="shared" si="390"/>
        <v>1.3005202080832333E-3</v>
      </c>
      <c r="W506" s="66">
        <f t="shared" si="390"/>
        <v>1.3005202080832333E-3</v>
      </c>
      <c r="X506" s="66">
        <f t="shared" si="390"/>
        <v>1.3005202080832333E-3</v>
      </c>
      <c r="Y506" s="66">
        <f t="shared" si="390"/>
        <v>1.3005202080832333E-3</v>
      </c>
      <c r="Z506" s="66">
        <f t="shared" si="390"/>
        <v>1.3005202080832333E-3</v>
      </c>
      <c r="AA506" s="66">
        <f t="shared" si="390"/>
        <v>1.3005202080832333E-3</v>
      </c>
      <c r="AB506" s="66">
        <f t="shared" si="390"/>
        <v>1.3005202080832333E-3</v>
      </c>
      <c r="AC506" s="66">
        <f t="shared" si="390"/>
        <v>1.3005202080832333E-3</v>
      </c>
    </row>
    <row r="507" spans="1:29" x14ac:dyDescent="0.3">
      <c r="A507" s="30" t="str">
        <f t="shared" si="385"/>
        <v>Opex maintenance &amp; repair</v>
      </c>
      <c r="B507" s="66">
        <f>B465/B475/(B472)</f>
        <v>2.5881631803075897E-3</v>
      </c>
      <c r="C507" s="66">
        <f t="shared" ref="C507:AC507" si="391">C465/C475/(C472)</f>
        <v>2.582649529999868E-3</v>
      </c>
      <c r="D507" s="66">
        <f t="shared" si="391"/>
        <v>2.5748209369545342E-3</v>
      </c>
      <c r="E507" s="66">
        <f t="shared" si="391"/>
        <v>2.5637559729647153E-3</v>
      </c>
      <c r="F507" s="66">
        <f t="shared" si="391"/>
        <v>2.5482209631514968E-3</v>
      </c>
      <c r="G507" s="66">
        <f t="shared" si="391"/>
        <v>2.5266216601279308E-3</v>
      </c>
      <c r="H507" s="66">
        <f t="shared" si="391"/>
        <v>2.4970098237141556E-3</v>
      </c>
      <c r="I507" s="66">
        <f t="shared" si="391"/>
        <v>2.4572146886501483E-3</v>
      </c>
      <c r="J507" s="66">
        <f t="shared" si="391"/>
        <v>2.4051947592667899E-3</v>
      </c>
      <c r="K507" s="66">
        <f t="shared" si="391"/>
        <v>2.3396844507177221E-3</v>
      </c>
      <c r="L507" s="66">
        <f t="shared" si="391"/>
        <v>2.2610739609325433E-3</v>
      </c>
      <c r="M507" s="66">
        <f t="shared" si="391"/>
        <v>2.1721832901543448E-3</v>
      </c>
      <c r="N507" s="66">
        <f t="shared" si="391"/>
        <v>2.0783417737230462E-3</v>
      </c>
      <c r="O507" s="66">
        <f t="shared" si="391"/>
        <v>1.9863468828094821E-3</v>
      </c>
      <c r="P507" s="66">
        <f t="shared" si="391"/>
        <v>1.9026020400290159E-3</v>
      </c>
      <c r="Q507" s="66">
        <f t="shared" si="391"/>
        <v>1.8314308491605624E-3</v>
      </c>
      <c r="R507" s="66">
        <f t="shared" si="391"/>
        <v>1.7744354713130578E-3</v>
      </c>
      <c r="S507" s="66">
        <f t="shared" si="391"/>
        <v>1.7309454683800242E-3</v>
      </c>
      <c r="T507" s="66">
        <f t="shared" si="391"/>
        <v>1.6989768283209681E-3</v>
      </c>
      <c r="U507" s="66">
        <f t="shared" si="391"/>
        <v>1.676119713158328E-3</v>
      </c>
      <c r="V507" s="66">
        <f t="shared" si="391"/>
        <v>1.6601002509600961E-3</v>
      </c>
      <c r="W507" s="66">
        <f t="shared" si="391"/>
        <v>1.6490298179480209E-3</v>
      </c>
      <c r="X507" s="66">
        <f t="shared" si="391"/>
        <v>1.6414537689770209E-3</v>
      </c>
      <c r="Y507" s="66">
        <f t="shared" si="391"/>
        <v>1.6363037060324187E-3</v>
      </c>
      <c r="Z507" s="66">
        <f t="shared" si="391"/>
        <v>1.6328187157446416E-3</v>
      </c>
      <c r="AA507" s="66">
        <f t="shared" si="391"/>
        <v>1.6304677376581063E-3</v>
      </c>
      <c r="AB507" s="66">
        <f t="shared" si="391"/>
        <v>1.6288850708889187E-3</v>
      </c>
      <c r="AC507" s="66">
        <f t="shared" si="391"/>
        <v>1.6278211237588046E-3</v>
      </c>
    </row>
    <row r="508" spans="1:29" x14ac:dyDescent="0.3">
      <c r="A508" s="30" t="str">
        <f t="shared" si="385"/>
        <v>Opex var (mode-fees, shunting)</v>
      </c>
      <c r="B508" s="66">
        <f>B466*B475/B475/(B472)</f>
        <v>1.4005602240896359E-3</v>
      </c>
      <c r="C508" s="66">
        <f t="shared" ref="C508:AC508" si="392">C466*C475/C475/(C472)</f>
        <v>1.4005602240896359E-3</v>
      </c>
      <c r="D508" s="66">
        <f t="shared" si="392"/>
        <v>1.4005602240896359E-3</v>
      </c>
      <c r="E508" s="66">
        <f t="shared" si="392"/>
        <v>1.4005602240896359E-3</v>
      </c>
      <c r="F508" s="66">
        <f t="shared" si="392"/>
        <v>1.4005602240896359E-3</v>
      </c>
      <c r="G508" s="66">
        <f t="shared" si="392"/>
        <v>1.4005602240896359E-3</v>
      </c>
      <c r="H508" s="66">
        <f t="shared" si="392"/>
        <v>1.4005602240896359E-3</v>
      </c>
      <c r="I508" s="66">
        <f t="shared" si="392"/>
        <v>1.4005602240896359E-3</v>
      </c>
      <c r="J508" s="66">
        <f t="shared" si="392"/>
        <v>1.4005602240896359E-3</v>
      </c>
      <c r="K508" s="66">
        <f t="shared" si="392"/>
        <v>1.4005602240896359E-3</v>
      </c>
      <c r="L508" s="66">
        <f t="shared" si="392"/>
        <v>1.4005602240896359E-3</v>
      </c>
      <c r="M508" s="66">
        <f t="shared" si="392"/>
        <v>1.4005602240896359E-3</v>
      </c>
      <c r="N508" s="66">
        <f t="shared" si="392"/>
        <v>1.4005602240896359E-3</v>
      </c>
      <c r="O508" s="66">
        <f t="shared" si="392"/>
        <v>1.4005602240896359E-3</v>
      </c>
      <c r="P508" s="66">
        <f t="shared" si="392"/>
        <v>1.4005602240896359E-3</v>
      </c>
      <c r="Q508" s="66">
        <f t="shared" si="392"/>
        <v>1.4005602240896359E-3</v>
      </c>
      <c r="R508" s="66">
        <f t="shared" si="392"/>
        <v>1.4005602240896359E-3</v>
      </c>
      <c r="S508" s="66">
        <f t="shared" si="392"/>
        <v>1.4005602240896359E-3</v>
      </c>
      <c r="T508" s="66">
        <f t="shared" si="392"/>
        <v>1.4005602240896359E-3</v>
      </c>
      <c r="U508" s="66">
        <f t="shared" si="392"/>
        <v>1.4005602240896359E-3</v>
      </c>
      <c r="V508" s="66">
        <f t="shared" si="392"/>
        <v>1.4005602240896359E-3</v>
      </c>
      <c r="W508" s="66">
        <f t="shared" si="392"/>
        <v>1.4005602240896359E-3</v>
      </c>
      <c r="X508" s="66">
        <f t="shared" si="392"/>
        <v>1.4005602240896359E-3</v>
      </c>
      <c r="Y508" s="66">
        <f t="shared" si="392"/>
        <v>1.4005602240896359E-3</v>
      </c>
      <c r="Z508" s="66">
        <f t="shared" si="392"/>
        <v>1.4005602240896359E-3</v>
      </c>
      <c r="AA508" s="66">
        <f t="shared" si="392"/>
        <v>1.4005602240896359E-3</v>
      </c>
      <c r="AB508" s="66">
        <f t="shared" si="392"/>
        <v>1.4005602240896359E-3</v>
      </c>
      <c r="AC508" s="66">
        <f t="shared" si="392"/>
        <v>1.4005602240896359E-3</v>
      </c>
    </row>
    <row r="509" spans="1:29" x14ac:dyDescent="0.3">
      <c r="A509" s="30" t="str">
        <f t="shared" si="385"/>
        <v>Fuel Cost</v>
      </c>
      <c r="B509" s="66">
        <f>B467*B468*B475/B475/(B472)</f>
        <v>8.9566609200195687E-4</v>
      </c>
      <c r="C509" s="66">
        <f t="shared" ref="C509:AC509" si="393">C467*C468*C475/C475/(C472)</f>
        <v>8.9460878585151361E-4</v>
      </c>
      <c r="D509" s="66">
        <f t="shared" si="393"/>
        <v>8.9310756268461144E-4</v>
      </c>
      <c r="E509" s="66">
        <f t="shared" si="393"/>
        <v>8.9098572799653085E-4</v>
      </c>
      <c r="F509" s="66">
        <f t="shared" si="393"/>
        <v>8.8800671037553465E-4</v>
      </c>
      <c r="G509" s="66">
        <f t="shared" si="393"/>
        <v>8.8386479446546633E-4</v>
      </c>
      <c r="H509" s="66">
        <f t="shared" si="393"/>
        <v>8.7818638270214524E-4</v>
      </c>
      <c r="I509" s="66">
        <f t="shared" si="393"/>
        <v>8.7055520576624623E-4</v>
      </c>
      <c r="J509" s="66">
        <f t="shared" si="393"/>
        <v>8.6057978327606292E-4</v>
      </c>
      <c r="K509" s="66">
        <f t="shared" si="393"/>
        <v>8.480174247149176E-4</v>
      </c>
      <c r="L509" s="66">
        <f t="shared" si="393"/>
        <v>8.3294295504410211E-4</v>
      </c>
      <c r="M509" s="66">
        <f t="shared" si="393"/>
        <v>8.1589714189211459E-4</v>
      </c>
      <c r="N509" s="66">
        <f t="shared" si="393"/>
        <v>7.979019468847729E-4</v>
      </c>
      <c r="O509" s="66">
        <f t="shared" si="393"/>
        <v>7.8026086365610753E-4</v>
      </c>
      <c r="P509" s="66">
        <f t="shared" si="393"/>
        <v>7.6420182247685577E-4</v>
      </c>
      <c r="Q509" s="66">
        <f t="shared" si="393"/>
        <v>7.5055392432593225E-4</v>
      </c>
      <c r="R509" s="66">
        <f t="shared" si="393"/>
        <v>7.3962440210711955E-4</v>
      </c>
      <c r="S509" s="66">
        <f t="shared" si="393"/>
        <v>7.3128469156735277E-4</v>
      </c>
      <c r="T509" s="66">
        <f t="shared" si="393"/>
        <v>7.2515433547487226E-4</v>
      </c>
      <c r="U509" s="66">
        <f t="shared" si="393"/>
        <v>7.2077121955455231E-4</v>
      </c>
      <c r="V509" s="66">
        <f t="shared" si="393"/>
        <v>7.1769930259143544E-4</v>
      </c>
      <c r="W509" s="66">
        <f t="shared" si="393"/>
        <v>7.1557641915514895E-4</v>
      </c>
      <c r="X509" s="66">
        <f t="shared" si="393"/>
        <v>7.1412362423235894E-4</v>
      </c>
      <c r="Y509" s="66">
        <f t="shared" si="393"/>
        <v>7.1313604015963089E-4</v>
      </c>
      <c r="Z509" s="66">
        <f t="shared" si="393"/>
        <v>7.124677530068634E-4</v>
      </c>
      <c r="AA509" s="66">
        <f t="shared" si="393"/>
        <v>7.1201692579590131E-4</v>
      </c>
      <c r="AB509" s="66">
        <f t="shared" si="393"/>
        <v>7.1171343115700094E-4</v>
      </c>
      <c r="AC509" s="66">
        <f t="shared" si="393"/>
        <v>7.1150940700210675E-4</v>
      </c>
    </row>
    <row r="510" spans="1:29" x14ac:dyDescent="0.3">
      <c r="A510" s="59" t="str">
        <f>A473</f>
        <v>Market failure (av. utilization)</v>
      </c>
      <c r="B510" s="66">
        <f t="shared" ref="B510:AC510" si="394">B499/B473-B499/B472</f>
        <v>2.4380628999740327E-2</v>
      </c>
      <c r="C510" s="66">
        <f t="shared" si="394"/>
        <v>2.4349469829153501E-2</v>
      </c>
      <c r="D510" s="66">
        <f t="shared" si="394"/>
        <v>2.430522755275831E-2</v>
      </c>
      <c r="E510" s="66">
        <f t="shared" si="394"/>
        <v>2.4242693822138756E-2</v>
      </c>
      <c r="F510" s="66">
        <f t="shared" si="394"/>
        <v>2.4154894386427619E-2</v>
      </c>
      <c r="G510" s="66">
        <f t="shared" si="394"/>
        <v>2.4032814607677228E-2</v>
      </c>
      <c r="H510" s="66">
        <f t="shared" si="394"/>
        <v>2.3865433991360631E-2</v>
      </c>
      <c r="I510" s="66">
        <f t="shared" si="394"/>
        <v>2.3640464344254437E-2</v>
      </c>
      <c r="J510" s="66">
        <f t="shared" si="394"/>
        <v>2.3346329900100389E-2</v>
      </c>
      <c r="K510" s="66">
        <f t="shared" si="394"/>
        <v>2.2975810150869171E-2</v>
      </c>
      <c r="L510" s="66">
        <f t="shared" si="394"/>
        <v>2.2530999113918235E-2</v>
      </c>
      <c r="M510" s="66">
        <f t="shared" si="394"/>
        <v>2.2027671263695939E-2</v>
      </c>
      <c r="N510" s="66">
        <f t="shared" si="394"/>
        <v>2.1495738898488638E-2</v>
      </c>
      <c r="O510" s="66">
        <f t="shared" si="394"/>
        <v>2.0973403295250916E-2</v>
      </c>
      <c r="P510" s="66">
        <f t="shared" si="394"/>
        <v>2.049669522127694E-2</v>
      </c>
      <c r="Q510" s="66">
        <f t="shared" si="394"/>
        <v>2.0090026037338348E-2</v>
      </c>
      <c r="R510" s="66">
        <f t="shared" si="394"/>
        <v>1.9762620730113475E-2</v>
      </c>
      <c r="S510" s="66">
        <f t="shared" si="394"/>
        <v>1.9511054724969269E-2</v>
      </c>
      <c r="T510" s="66">
        <f t="shared" si="394"/>
        <v>1.9324593122902488E-2</v>
      </c>
      <c r="U510" s="66">
        <f t="shared" si="394"/>
        <v>1.9190072979706256E-2</v>
      </c>
      <c r="V510" s="66">
        <f t="shared" si="394"/>
        <v>1.9094958992457552E-2</v>
      </c>
      <c r="W510" s="66">
        <f t="shared" si="394"/>
        <v>1.902870651085415E-2</v>
      </c>
      <c r="X510" s="66">
        <f t="shared" si="394"/>
        <v>1.8983066421405445E-2</v>
      </c>
      <c r="Y510" s="66">
        <f t="shared" si="394"/>
        <v>1.8951880132004044E-2</v>
      </c>
      <c r="Z510" s="66">
        <f t="shared" si="394"/>
        <v>1.8930694770024847E-2</v>
      </c>
      <c r="AA510" s="66">
        <f t="shared" si="394"/>
        <v>1.8916362940317559E-2</v>
      </c>
      <c r="AB510" s="66">
        <f t="shared" si="394"/>
        <v>1.8906695666485333E-2</v>
      </c>
      <c r="AC510" s="66">
        <f t="shared" si="394"/>
        <v>1.8900187879210835E-2</v>
      </c>
    </row>
    <row r="511" spans="1:29" x14ac:dyDescent="0.3">
      <c r="A511" s="59" t="str">
        <f>A474</f>
        <v>Payload loss (fuel)</v>
      </c>
      <c r="B511" s="66">
        <f>B499/(B472-B474)-B499/B472</f>
        <v>2.4505998190501796E-4</v>
      </c>
      <c r="C511" s="66">
        <f t="shared" ref="C511:AC511" si="395">C499/(C472-C474)-C499/C472</f>
        <v>2.4403016139902534E-4</v>
      </c>
      <c r="D511" s="66">
        <f t="shared" si="395"/>
        <v>2.4257131176025175E-4</v>
      </c>
      <c r="E511" s="66">
        <f t="shared" si="395"/>
        <v>2.4051606555148229E-4</v>
      </c>
      <c r="F511" s="66">
        <f t="shared" si="395"/>
        <v>2.3764376745284872E-4</v>
      </c>
      <c r="G511" s="66">
        <f t="shared" si="395"/>
        <v>2.33675888995373E-4</v>
      </c>
      <c r="H511" s="66">
        <f t="shared" si="395"/>
        <v>2.2828453241820722E-4</v>
      </c>
      <c r="I511" s="66">
        <f t="shared" si="395"/>
        <v>2.2112724887837082E-4</v>
      </c>
      <c r="J511" s="66">
        <f t="shared" si="395"/>
        <v>2.1192336618969243E-4</v>
      </c>
      <c r="K511" s="66">
        <f t="shared" si="395"/>
        <v>2.0057711542426949E-4</v>
      </c>
      <c r="L511" s="66">
        <f t="shared" si="395"/>
        <v>1.8732045373990366E-4</v>
      </c>
      <c r="M511" s="66">
        <f t="shared" si="395"/>
        <v>1.7279931915194311E-4</v>
      </c>
      <c r="N511" s="66">
        <f t="shared" si="395"/>
        <v>1.5800689847052241E-4</v>
      </c>
      <c r="O511" s="66">
        <f t="shared" si="395"/>
        <v>1.4403795745097491E-4</v>
      </c>
      <c r="P511" s="66">
        <f t="shared" si="395"/>
        <v>1.3177625925899546E-4</v>
      </c>
      <c r="Q511" s="66">
        <f t="shared" si="395"/>
        <v>1.2169218079224279E-4</v>
      </c>
      <c r="R511" s="66">
        <f t="shared" si="395"/>
        <v>1.1383592343096067E-4</v>
      </c>
      <c r="S511" s="66">
        <f t="shared" si="395"/>
        <v>1.0796912510822442E-4</v>
      </c>
      <c r="T511" s="66">
        <f t="shared" si="395"/>
        <v>1.0372454834336239E-4</v>
      </c>
      <c r="U511" s="66">
        <f t="shared" si="395"/>
        <v>1.007232953034419E-4</v>
      </c>
      <c r="V511" s="66">
        <f t="shared" si="395"/>
        <v>9.8635509771489473E-5</v>
      </c>
      <c r="W511" s="66">
        <f t="shared" si="395"/>
        <v>9.7199738389039218E-5</v>
      </c>
      <c r="X511" s="66">
        <f t="shared" si="395"/>
        <v>9.6220242399758411E-5</v>
      </c>
      <c r="Y511" s="66">
        <f t="shared" si="395"/>
        <v>9.5555731731405275E-5</v>
      </c>
      <c r="Z511" s="66">
        <f t="shared" si="395"/>
        <v>9.5106642518775347E-5</v>
      </c>
      <c r="AA511" s="66">
        <f t="shared" si="395"/>
        <v>9.4803937904064384E-5</v>
      </c>
      <c r="AB511" s="66">
        <f t="shared" si="395"/>
        <v>9.460026876121231E-5</v>
      </c>
      <c r="AC511" s="66">
        <f t="shared" si="395"/>
        <v>9.4463400767744003E-5</v>
      </c>
    </row>
    <row r="512" spans="1:29" ht="15" thickBot="1" x14ac:dyDescent="0.35">
      <c r="A512" s="59" t="str">
        <f>A449</f>
        <v>Emission Cost</v>
      </c>
      <c r="B512" s="68">
        <f>B469*B475/B475/(B472)</f>
        <v>2.2414978433366635E-5</v>
      </c>
      <c r="C512" s="68">
        <f t="shared" ref="C512:AC512" si="396">C469*C475/C475/(C472)</f>
        <v>2.2393633912450724E-5</v>
      </c>
      <c r="D512" s="68">
        <f t="shared" si="396"/>
        <v>2.2363079706170469E-5</v>
      </c>
      <c r="E512" s="68">
        <f t="shared" si="396"/>
        <v>2.2319369765418721E-5</v>
      </c>
      <c r="F512" s="68">
        <f t="shared" si="396"/>
        <v>2.2256898615007196E-5</v>
      </c>
      <c r="G512" s="68">
        <f t="shared" si="396"/>
        <v>2.2167738782794492E-5</v>
      </c>
      <c r="H512" s="68">
        <f t="shared" si="396"/>
        <v>2.2040753308422472E-5</v>
      </c>
      <c r="I512" s="68">
        <f t="shared" si="396"/>
        <v>2.1860452138409023E-5</v>
      </c>
      <c r="J512" s="68">
        <f t="shared" si="396"/>
        <v>2.1605613760431239E-5</v>
      </c>
      <c r="K512" s="68">
        <f t="shared" si="396"/>
        <v>2.1247825275415621E-5</v>
      </c>
      <c r="L512" s="68">
        <f t="shared" si="396"/>
        <v>2.0750369400001947E-5</v>
      </c>
      <c r="M512" s="68">
        <f t="shared" si="396"/>
        <v>2.0068376004671116E-5</v>
      </c>
      <c r="N512" s="68">
        <f t="shared" si="396"/>
        <v>1.9151849960804213E-5</v>
      </c>
      <c r="O512" s="68">
        <f t="shared" si="396"/>
        <v>1.7953773361660124E-5</v>
      </c>
      <c r="P512" s="68">
        <f t="shared" si="396"/>
        <v>1.6444998386266672E-5</v>
      </c>
      <c r="Q512" s="68">
        <f t="shared" si="396"/>
        <v>1.4634511725186979E-5</v>
      </c>
      <c r="R512" s="68">
        <f t="shared" si="396"/>
        <v>1.2587261107894725E-5</v>
      </c>
      <c r="S512" s="68">
        <f t="shared" si="396"/>
        <v>1.042598703087722E-5</v>
      </c>
      <c r="T512" s="68">
        <f t="shared" si="396"/>
        <v>8.3072427851456443E-6</v>
      </c>
      <c r="U512" s="68">
        <f t="shared" si="396"/>
        <v>6.3785062869685781E-6</v>
      </c>
      <c r="V512" s="68">
        <f t="shared" si="396"/>
        <v>4.7393549208771558E-6</v>
      </c>
      <c r="W512" s="68">
        <f t="shared" si="396"/>
        <v>3.4266882320155043E-6</v>
      </c>
      <c r="X512" s="68">
        <f t="shared" si="396"/>
        <v>2.4250652881088714E-6</v>
      </c>
      <c r="Y512" s="68">
        <f t="shared" si="396"/>
        <v>1.688792094061276E-6</v>
      </c>
      <c r="Z512" s="68">
        <f t="shared" si="396"/>
        <v>1.1623674117344131E-6</v>
      </c>
      <c r="AA512" s="68">
        <f t="shared" si="396"/>
        <v>7.9342145163638897E-7</v>
      </c>
      <c r="AB512" s="68">
        <f t="shared" si="396"/>
        <v>5.3845711601768868E-7</v>
      </c>
      <c r="AC512" s="68">
        <f t="shared" si="396"/>
        <v>3.6397231579363343E-7</v>
      </c>
    </row>
    <row r="513" spans="1:29" ht="15" thickBot="1" x14ac:dyDescent="0.35">
      <c r="A513" s="31" t="s">
        <v>210</v>
      </c>
      <c r="B513" s="67">
        <f>B502+B503+B504+B505+B506+B507+B508+B509+B510+B511+B512</f>
        <v>3.2963848028086419E-2</v>
      </c>
      <c r="C513" s="67">
        <f t="shared" ref="C513:AC513" si="397">C502+C503+C504+C505+C506+C507+C508+C509+C510+C511+C512</f>
        <v>3.2920937601952971E-2</v>
      </c>
      <c r="D513" s="67">
        <f t="shared" si="397"/>
        <v>3.2860013327051844E-2</v>
      </c>
      <c r="E513" s="67">
        <f t="shared" si="397"/>
        <v>3.2773907367644746E-2</v>
      </c>
      <c r="F513" s="67">
        <f t="shared" si="397"/>
        <v>3.2653025075310711E-2</v>
      </c>
      <c r="G513" s="67">
        <f t="shared" si="397"/>
        <v>3.2484971472726366E-2</v>
      </c>
      <c r="H513" s="67">
        <f t="shared" si="397"/>
        <v>3.225460616948711E-2</v>
      </c>
      <c r="I513" s="67">
        <f t="shared" si="397"/>
        <v>3.1945070328008841E-2</v>
      </c>
      <c r="J513" s="67">
        <f t="shared" si="397"/>
        <v>3.1540524450489452E-2</v>
      </c>
      <c r="K513" s="67">
        <f t="shared" si="397"/>
        <v>3.1031167784090669E-2</v>
      </c>
      <c r="L513" s="67">
        <f t="shared" si="397"/>
        <v>3.0420046825429245E-2</v>
      </c>
      <c r="M513" s="67">
        <f t="shared" si="397"/>
        <v>2.9729009763123138E-2</v>
      </c>
      <c r="N513" s="67">
        <f t="shared" si="397"/>
        <v>2.8999254485980296E-2</v>
      </c>
      <c r="O513" s="67">
        <f t="shared" si="397"/>
        <v>2.8283221562114345E-2</v>
      </c>
      <c r="P513" s="67">
        <f t="shared" si="397"/>
        <v>2.7630223205355197E-2</v>
      </c>
      <c r="Q513" s="67">
        <f t="shared" si="397"/>
        <v>2.7073540761379581E-2</v>
      </c>
      <c r="R513" s="67">
        <f t="shared" si="397"/>
        <v>2.6625623607210672E-2</v>
      </c>
      <c r="S513" s="67">
        <f t="shared" si="397"/>
        <v>2.6281630457887662E-2</v>
      </c>
      <c r="T513" s="67">
        <f t="shared" si="397"/>
        <v>2.602676544823734E-2</v>
      </c>
      <c r="U513" s="67">
        <f t="shared" si="397"/>
        <v>2.5842957551116465E-2</v>
      </c>
      <c r="V513" s="67">
        <f t="shared" si="397"/>
        <v>2.5713028384873885E-2</v>
      </c>
      <c r="W513" s="67">
        <f t="shared" si="397"/>
        <v>2.5622543579078262E-2</v>
      </c>
      <c r="X513" s="67">
        <f t="shared" si="397"/>
        <v>2.5560219876840724E-2</v>
      </c>
      <c r="Y513" s="67">
        <f t="shared" si="397"/>
        <v>2.5517638310525323E-2</v>
      </c>
      <c r="Z513" s="67">
        <f t="shared" si="397"/>
        <v>2.5488714272415926E-2</v>
      </c>
      <c r="AA513" s="67">
        <f t="shared" si="397"/>
        <v>2.5469148355829051E-2</v>
      </c>
      <c r="AB513" s="67">
        <f t="shared" si="397"/>
        <v>2.5455951039062237E-2</v>
      </c>
      <c r="AC513" s="67">
        <f t="shared" si="397"/>
        <v>2.5447067145162188E-2</v>
      </c>
    </row>
    <row r="515" spans="1:29" x14ac:dyDescent="0.3">
      <c r="B515" s="40"/>
    </row>
  </sheetData>
  <conditionalFormatting sqref="Q11:AR20 Q22:AR27"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FE2A-6500-43FA-8912-F10895FFEF20}">
  <sheetPr>
    <tabColor rgb="FFC00000"/>
  </sheetPr>
  <dimension ref="A1:BA515"/>
  <sheetViews>
    <sheetView topLeftCell="A405" zoomScale="80" zoomScaleNormal="80" workbookViewId="0">
      <selection activeCell="A446" sqref="A446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45" width="9.109375" style="4"/>
    <col min="46" max="46" width="35.109375" style="4" bestFit="1" customWidth="1"/>
    <col min="47" max="48" width="11.33203125" style="4" bestFit="1" customWidth="1"/>
    <col min="49" max="49" width="8.5546875" style="4" bestFit="1" customWidth="1"/>
    <col min="50" max="50" width="21.33203125" style="4" bestFit="1" customWidth="1"/>
    <col min="51" max="52" width="4.44140625" style="4" bestFit="1" customWidth="1"/>
    <col min="53" max="53" width="7" style="4" bestFit="1" customWidth="1"/>
    <col min="54" max="54" width="9.109375" style="4"/>
    <col min="55" max="55" width="31.5546875" style="4" bestFit="1" customWidth="1"/>
    <col min="56" max="57" width="9.5546875" style="4" bestFit="1" customWidth="1"/>
    <col min="58" max="58" width="11.44140625" style="4" bestFit="1" customWidth="1"/>
    <col min="59" max="59" width="8" style="4" bestFit="1" customWidth="1"/>
    <col min="60" max="61" width="4.44140625" style="4" bestFit="1" customWidth="1"/>
    <col min="62" max="62" width="7" style="4" bestFit="1" customWidth="1"/>
    <col min="63" max="63" width="9.109375" style="4"/>
    <col min="64" max="64" width="31.5546875" style="4" bestFit="1" customWidth="1"/>
    <col min="65" max="66" width="9.5546875" style="4" bestFit="1" customWidth="1"/>
    <col min="67" max="67" width="8.5546875" style="4" bestFit="1" customWidth="1"/>
    <col min="68" max="68" width="3.44140625" style="4" bestFit="1" customWidth="1"/>
    <col min="69" max="70" width="4.44140625" style="4" bestFit="1" customWidth="1"/>
    <col min="71" max="16384" width="9.109375" style="4"/>
  </cols>
  <sheetData>
    <row r="1" spans="1:53" s="3" customFormat="1" ht="21" x14ac:dyDescent="0.4">
      <c r="A1" s="2" t="str">
        <f>'Parameter Input'!A76</f>
        <v>Railway long-haul: Dry bulk</v>
      </c>
    </row>
    <row r="2" spans="1:53" s="3" customFormat="1" ht="21" x14ac:dyDescent="0.4">
      <c r="A2" s="2" t="s">
        <v>103</v>
      </c>
    </row>
    <row r="3" spans="1:53" x14ac:dyDescent="0.3">
      <c r="A3" s="33" t="s">
        <v>195</v>
      </c>
    </row>
    <row r="4" spans="1:53" x14ac:dyDescent="0.3">
      <c r="A4" s="33" t="s">
        <v>196</v>
      </c>
    </row>
    <row r="5" spans="1:53" ht="15" thickBot="1" x14ac:dyDescent="0.35">
      <c r="A5" s="34" t="s">
        <v>197</v>
      </c>
      <c r="B5" s="34"/>
    </row>
    <row r="6" spans="1:53" ht="15" thickBot="1" x14ac:dyDescent="0.35">
      <c r="A6" s="39" t="s">
        <v>198</v>
      </c>
      <c r="B6" s="35"/>
    </row>
    <row r="7" spans="1:53" ht="15" thickBot="1" x14ac:dyDescent="0.35">
      <c r="A7" s="38" t="s">
        <v>199</v>
      </c>
      <c r="B7" s="36"/>
    </row>
    <row r="8" spans="1:53" ht="15" thickBot="1" x14ac:dyDescent="0.35"/>
    <row r="9" spans="1:53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3">
      <c r="A11" s="24" t="s">
        <v>18</v>
      </c>
      <c r="B11" s="41">
        <f>'Parameter Input'!$L$113</f>
        <v>10000000</v>
      </c>
      <c r="C11" s="42">
        <f>'Parameter Input'!$M$113</f>
        <v>4000000</v>
      </c>
      <c r="D11" s="1" t="s">
        <v>15</v>
      </c>
      <c r="L11" s="51">
        <f>'Parameter Input'!$O$113</f>
        <v>12</v>
      </c>
      <c r="M11" s="52">
        <v>0</v>
      </c>
      <c r="N11" s="52">
        <v>1</v>
      </c>
      <c r="O11" s="52">
        <f>'Parameter Input'!$P$113</f>
        <v>0.9</v>
      </c>
      <c r="P11" s="53">
        <f>'Parameter Input'!$Q$113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10000000</v>
      </c>
      <c r="AV11" s="81">
        <f t="shared" si="2"/>
        <v>4000000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3">
      <c r="A12" s="24" t="s">
        <v>28</v>
      </c>
      <c r="B12" s="60">
        <f>'Parameter Input'!$L$114</f>
        <v>-500000</v>
      </c>
      <c r="C12" s="61">
        <f>'Parameter Input'!$M$114</f>
        <v>-600000</v>
      </c>
      <c r="D12" s="1" t="s">
        <v>15</v>
      </c>
      <c r="L12" s="54">
        <f>'Parameter Input'!$O$114</f>
        <v>12</v>
      </c>
      <c r="M12" s="37">
        <v>0</v>
      </c>
      <c r="N12" s="37">
        <v>1</v>
      </c>
      <c r="O12" s="37">
        <f>'Parameter Input'!$P$114</f>
        <v>0.9</v>
      </c>
      <c r="P12" s="55">
        <f>'Parameter Input'!$Q$114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-500000</v>
      </c>
      <c r="AV12" s="81">
        <f t="shared" si="2"/>
        <v>-600000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3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3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3">
      <c r="A15" s="24" t="s">
        <v>79</v>
      </c>
      <c r="B15" s="45">
        <f>'Parameter Input'!$L$120</f>
        <v>0.06</v>
      </c>
      <c r="C15" s="46">
        <f>'Parameter Input'!$M$120</f>
        <v>0.06</v>
      </c>
      <c r="D15" s="1" t="s">
        <v>57</v>
      </c>
      <c r="L15" s="54">
        <f>'Parameter Input'!$O$120</f>
        <v>12</v>
      </c>
      <c r="M15" s="37">
        <v>0</v>
      </c>
      <c r="N15" s="37">
        <v>1</v>
      </c>
      <c r="O15" s="37">
        <f>'Parameter Input'!$P$120</f>
        <v>0.9</v>
      </c>
      <c r="P15" s="55">
        <f>'Parameter Input'!$Q$120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3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3">
      <c r="A17" s="24" t="s">
        <v>52</v>
      </c>
      <c r="B17" s="43">
        <f>'Parameter Input'!$L$116</f>
        <v>1400000.0000000002</v>
      </c>
      <c r="C17" s="44">
        <f>'Parameter Input'!$M$116</f>
        <v>560000</v>
      </c>
      <c r="D17" s="1" t="s">
        <v>38</v>
      </c>
      <c r="L17" s="54">
        <f>'Parameter Input'!$O$116</f>
        <v>12</v>
      </c>
      <c r="M17" s="37">
        <v>0</v>
      </c>
      <c r="N17" s="37">
        <v>1</v>
      </c>
      <c r="O17" s="37">
        <f>'Parameter Input'!$P$116</f>
        <v>0.9</v>
      </c>
      <c r="P17" s="55">
        <f>'Parameter Input'!$Q$116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" thickBot="1" x14ac:dyDescent="0.35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3">
      <c r="A19" s="24" t="s">
        <v>59</v>
      </c>
      <c r="B19" s="47">
        <f>'Parameter Input'!$L$117</f>
        <v>39.507490909090912</v>
      </c>
      <c r="C19" s="48">
        <f>'Parameter Input'!$M$117</f>
        <v>33.429415384615389</v>
      </c>
      <c r="D19" s="1" t="s">
        <v>60</v>
      </c>
      <c r="L19" s="54">
        <f>'Parameter Input'!$O$117</f>
        <v>12</v>
      </c>
      <c r="M19" s="37">
        <v>0</v>
      </c>
      <c r="N19" s="37">
        <v>1</v>
      </c>
      <c r="O19" s="37">
        <f>'Parameter Input'!$P$117</f>
        <v>0.9</v>
      </c>
      <c r="P19" s="55">
        <f>'Parameter Input'!$Q$117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3">
      <c r="A20" s="24" t="s">
        <v>67</v>
      </c>
      <c r="B20" s="45">
        <f>'Parameter Input'!$L$118</f>
        <v>0.21633448448114301</v>
      </c>
      <c r="C20" s="46">
        <f>'Parameter Input'!$M$118</f>
        <v>0.101814693285632</v>
      </c>
      <c r="D20" s="1" t="s">
        <v>68</v>
      </c>
      <c r="L20" s="54">
        <f>'Parameter Input'!$O$118</f>
        <v>12</v>
      </c>
      <c r="M20" s="37">
        <v>0</v>
      </c>
      <c r="N20" s="37">
        <v>1</v>
      </c>
      <c r="O20" s="37">
        <f>'Parameter Input'!$P$118</f>
        <v>0.9</v>
      </c>
      <c r="P20" s="55">
        <f>'Parameter Input'!$Q$118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Hydrogen</v>
      </c>
      <c r="AU20" s="80"/>
      <c r="AV20" s="80"/>
      <c r="AW20" s="80"/>
      <c r="AX20" s="80"/>
      <c r="AY20" s="80"/>
      <c r="AZ20" s="80"/>
      <c r="BA20" s="86"/>
    </row>
    <row r="21" spans="1:53" x14ac:dyDescent="0.3">
      <c r="A21" s="24" t="s">
        <v>206</v>
      </c>
      <c r="B21" s="115">
        <f>'Parameter Input'!$L$121</f>
        <v>0.14248603278688524</v>
      </c>
      <c r="C21" s="116">
        <f>'Parameter Input'!$M$121</f>
        <v>0</v>
      </c>
      <c r="D21" s="1" t="s">
        <v>76</v>
      </c>
      <c r="L21" s="54">
        <f>'Parameter Input'!$O$121</f>
        <v>17</v>
      </c>
      <c r="M21" s="37">
        <v>0</v>
      </c>
      <c r="N21" s="37">
        <v>1</v>
      </c>
      <c r="O21" s="37">
        <f>'Parameter Input'!$P$121</f>
        <v>0.9</v>
      </c>
      <c r="P21" s="55">
        <f>'Parameter Input'!$Q$121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</row>
    <row r="22" spans="1:53" x14ac:dyDescent="0.3">
      <c r="A22" s="24" t="s">
        <v>41</v>
      </c>
      <c r="B22" s="43">
        <f>'Parameter Input'!$L$115</f>
        <v>20</v>
      </c>
      <c r="C22" s="44">
        <f>'Parameter Input'!$M$115</f>
        <v>20</v>
      </c>
      <c r="D22" s="1" t="s">
        <v>42</v>
      </c>
      <c r="L22" s="54">
        <f>'Parameter Input'!$O$115</f>
        <v>12</v>
      </c>
      <c r="M22" s="37">
        <v>0</v>
      </c>
      <c r="N22" s="37">
        <v>1</v>
      </c>
      <c r="O22" s="37">
        <f>'Parameter Input'!$P$115</f>
        <v>0.9</v>
      </c>
      <c r="P22" s="55">
        <f>'Parameter Input'!$Q$115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3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3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3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3">
      <c r="A26" s="24" t="s">
        <v>73</v>
      </c>
      <c r="B26" s="72">
        <f>'Parameter Input'!$L$119</f>
        <v>1.7857142857142856E-2</v>
      </c>
      <c r="C26" s="73">
        <f>'Parameter Input'!$M$119</f>
        <v>1.7857142857142856E-2</v>
      </c>
      <c r="D26" s="1" t="s">
        <v>57</v>
      </c>
      <c r="L26" s="54">
        <f>'Parameter Input'!$O$119</f>
        <v>12</v>
      </c>
      <c r="M26" s="37">
        <v>0</v>
      </c>
      <c r="N26" s="37">
        <v>1</v>
      </c>
      <c r="O26" s="37">
        <f>'Parameter Input'!$P$119</f>
        <v>0.9</v>
      </c>
      <c r="P26" s="55">
        <f>'Parameter Input'!$Q$119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1.7857142857142856E-2</v>
      </c>
      <c r="AV26" s="81">
        <f t="shared" si="9"/>
        <v>1.7857142857142856E-2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" thickBot="1" x14ac:dyDescent="0.35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" thickBot="1" x14ac:dyDescent="0.35">
      <c r="A28" s="25"/>
      <c r="B28" s="40"/>
    </row>
    <row r="29" spans="1:53" ht="15" thickBot="1" x14ac:dyDescent="0.35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Hydrogen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3">
      <c r="A31" s="29" t="str">
        <f t="shared" ref="A31:A40" si="11">A11</f>
        <v>Capex vehicle</v>
      </c>
      <c r="B31" s="62">
        <f t="shared" ref="B31:B39" si="12">$B11+($C11-$B11)*(1-Q11)</f>
        <v>9920787.1694490239</v>
      </c>
      <c r="C31" s="62">
        <f t="shared" ref="C31:C39" si="13">$B11+($C11-$B11)*(1-R11)</f>
        <v>9886870.5857714955</v>
      </c>
      <c r="D31" s="62">
        <f t="shared" ref="D31:D39" si="14">$B11+($C11-$B11)*(1-S11)</f>
        <v>9838713.8989523221</v>
      </c>
      <c r="E31" s="62">
        <f t="shared" ref="E31:E39" si="15">$B11+($C11-$B11)*(1-T11)</f>
        <v>9770649.0496955663</v>
      </c>
      <c r="F31" s="62">
        <f t="shared" ref="F31:F39" si="16">$B11+($C11-$B11)*(1-U11)</f>
        <v>9675087.2293306813</v>
      </c>
      <c r="G31" s="62">
        <f t="shared" ref="G31:G39" si="17">$B11+($C11-$B11)*(1-V11)</f>
        <v>9542221.6090084892</v>
      </c>
      <c r="H31" s="62">
        <f t="shared" ref="H31:H39" si="18">$B11+($C11-$B11)*(1-W11)</f>
        <v>9360067.8140595071</v>
      </c>
      <c r="I31" s="62">
        <f t="shared" ref="I31:I39" si="19">$B11+($C11-$B11)*(1-X11)</f>
        <v>9115272.63245962</v>
      </c>
      <c r="J31" s="62">
        <f t="shared" ref="J31:J39" si="20">$B11+($C11-$B11)*(1-Y11)</f>
        <v>8795278.0391574334</v>
      </c>
      <c r="K31" s="62">
        <f t="shared" ref="K31:K39" si="21">$B11+($C11-$B11)*(1-Z11)</f>
        <v>8392298.9349996019</v>
      </c>
      <c r="L31" s="62">
        <f t="shared" ref="L31:L39" si="22">$B11+($C11-$B11)*(1-AA11)</f>
        <v>7908735.5775272017</v>
      </c>
      <c r="M31" s="62">
        <f t="shared" ref="M31:M39" si="23">$B11+($C11-$B11)*(1-AB11)</f>
        <v>7361934.872850975</v>
      </c>
      <c r="N31" s="62">
        <f t="shared" ref="N31:N39" si="24">$B11+($C11-$B11)*(1-AC11)</f>
        <v>6784679.6123911208</v>
      </c>
      <c r="O31" s="62">
        <f t="shared" ref="O31:O39" si="25">$B11+($C11-$B11)*(1-AD11)</f>
        <v>6218783.6557314359</v>
      </c>
      <c r="P31" s="62">
        <f t="shared" ref="P31:P39" si="26">$B11+($C11-$B11)*(1-AE11)</f>
        <v>5703636.9182338724</v>
      </c>
      <c r="Q31" s="62">
        <f t="shared" ref="Q31:Q39" si="27">$B11+($C11-$B11)*(1-AF11)</f>
        <v>5265835.5496670641</v>
      </c>
      <c r="R31" s="62">
        <f t="shared" ref="R31:R39" si="28">$B11+($C11-$B11)*(1-AG11)</f>
        <v>4915235.0592278922</v>
      </c>
      <c r="S31" s="62">
        <f t="shared" ref="S31:S39" si="29">$B11+($C11-$B11)*(1-AH11)</f>
        <v>4647711.3242625995</v>
      </c>
      <c r="T31" s="62">
        <f t="shared" ref="T31:T39" si="30">$B11+($C11-$B11)*(1-AI11)</f>
        <v>4451059.923628551</v>
      </c>
      <c r="U31" s="62">
        <f t="shared" ref="U31:U39" si="31">$B11+($C11-$B11)*(1-AJ11)</f>
        <v>4310457.0170650128</v>
      </c>
      <c r="V31" s="62">
        <f t="shared" ref="V31:V39" si="32">$B11+($C11-$B11)*(1-AK11)</f>
        <v>4211915.1437520757</v>
      </c>
      <c r="W31" s="62">
        <f t="shared" ref="W31:W39" si="33">$B11+($C11-$B11)*(1-AL11)</f>
        <v>4143816.6524359491</v>
      </c>
      <c r="X31" s="62">
        <f t="shared" ref="X31:X39" si="34">$B11+($C11-$B11)*(1-AM11)</f>
        <v>4097213.4613503385</v>
      </c>
      <c r="Y31" s="62">
        <f t="shared" ref="Y31:Y39" si="35">$B11+($C11-$B11)*(1-AN11)</f>
        <v>4065533.4433846502</v>
      </c>
      <c r="Z31" s="62">
        <f t="shared" ref="Z31:Z39" si="36">$B11+($C11-$B11)*(1-AO11)</f>
        <v>4044095.9277436547</v>
      </c>
      <c r="AA31" s="62">
        <f t="shared" ref="AA31:AA39" si="37">$B11+($C11-$B11)*(1-AP11)</f>
        <v>4029634.1573110344</v>
      </c>
      <c r="AB31" s="62">
        <f t="shared" ref="AB31:AB39" si="38">$B11+($C11-$B11)*(1-AQ11)</f>
        <v>4019898.5652957736</v>
      </c>
      <c r="AC31" s="62">
        <f t="shared" ref="AC31:AC39" si="39">$B11+($C11-$B11)*(1-AR11)</f>
        <v>4013353.8172880076</v>
      </c>
      <c r="AT31" s="85" t="str">
        <f>A17</f>
        <v>Opex maintenance &amp; repair</v>
      </c>
      <c r="AU31" s="81">
        <f>B17</f>
        <v>1400000.0000000002</v>
      </c>
      <c r="AV31" s="81">
        <f>C17</f>
        <v>560000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3">
      <c r="A32" s="30" t="str">
        <f t="shared" si="11"/>
        <v>Residual value (vehicle)</v>
      </c>
      <c r="B32" s="62">
        <f t="shared" si="12"/>
        <v>-501320.21384251624</v>
      </c>
      <c r="C32" s="62">
        <f t="shared" si="13"/>
        <v>-501885.49023714173</v>
      </c>
      <c r="D32" s="62">
        <f t="shared" si="14"/>
        <v>-502688.10168412799</v>
      </c>
      <c r="E32" s="62">
        <f t="shared" si="15"/>
        <v>-503822.51583840721</v>
      </c>
      <c r="F32" s="62">
        <f t="shared" si="16"/>
        <v>-505415.21284448862</v>
      </c>
      <c r="G32" s="62">
        <f t="shared" si="17"/>
        <v>-507629.63984985853</v>
      </c>
      <c r="H32" s="62">
        <f t="shared" si="18"/>
        <v>-510665.53643234156</v>
      </c>
      <c r="I32" s="62">
        <f t="shared" si="19"/>
        <v>-514745.45612567302</v>
      </c>
      <c r="J32" s="62">
        <f t="shared" si="20"/>
        <v>-520078.69934737612</v>
      </c>
      <c r="K32" s="62">
        <f t="shared" si="21"/>
        <v>-526795.01775000663</v>
      </c>
      <c r="L32" s="62">
        <f t="shared" si="22"/>
        <v>-534854.40704121336</v>
      </c>
      <c r="M32" s="62">
        <f t="shared" si="23"/>
        <v>-543967.75211915048</v>
      </c>
      <c r="N32" s="62">
        <f t="shared" si="24"/>
        <v>-553588.67312681465</v>
      </c>
      <c r="O32" s="62">
        <f t="shared" si="25"/>
        <v>-563020.27240447607</v>
      </c>
      <c r="P32" s="62">
        <f t="shared" si="26"/>
        <v>-571606.05136276875</v>
      </c>
      <c r="Q32" s="62">
        <f t="shared" si="27"/>
        <v>-578902.74083888228</v>
      </c>
      <c r="R32" s="62">
        <f t="shared" si="28"/>
        <v>-584746.08234620176</v>
      </c>
      <c r="S32" s="62">
        <f t="shared" si="29"/>
        <v>-589204.81126228999</v>
      </c>
      <c r="T32" s="62">
        <f t="shared" si="30"/>
        <v>-592482.33460619079</v>
      </c>
      <c r="U32" s="62">
        <f t="shared" si="31"/>
        <v>-594825.71638224972</v>
      </c>
      <c r="V32" s="62">
        <f t="shared" si="32"/>
        <v>-596468.08093746542</v>
      </c>
      <c r="W32" s="62">
        <f t="shared" si="33"/>
        <v>-597603.05579273414</v>
      </c>
      <c r="X32" s="62">
        <f t="shared" si="34"/>
        <v>-598379.77564416104</v>
      </c>
      <c r="Y32" s="62">
        <f t="shared" si="35"/>
        <v>-598907.77594358916</v>
      </c>
      <c r="Z32" s="62">
        <f t="shared" si="36"/>
        <v>-599265.06787093915</v>
      </c>
      <c r="AA32" s="62">
        <f t="shared" si="37"/>
        <v>-599506.0973781494</v>
      </c>
      <c r="AB32" s="62">
        <f t="shared" si="38"/>
        <v>-599668.35724507039</v>
      </c>
      <c r="AC32" s="62">
        <f t="shared" si="39"/>
        <v>-599777.43637853325</v>
      </c>
      <c r="AT32" s="85" t="str">
        <f t="shared" ref="AT32:AW33" si="40">A19</f>
        <v>Fuel Economy</v>
      </c>
      <c r="AU32" s="81">
        <f t="shared" si="40"/>
        <v>39.507490909090912</v>
      </c>
      <c r="AV32" s="81">
        <f t="shared" si="40"/>
        <v>33.429415384615389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3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0.21633448448114301</v>
      </c>
      <c r="AV33" s="81">
        <f t="shared" si="40"/>
        <v>0.101814693285632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3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3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3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3">
      <c r="A37" s="30" t="str">
        <f t="shared" si="11"/>
        <v>Opex maintenance &amp; repair</v>
      </c>
      <c r="B37" s="62">
        <f t="shared" si="12"/>
        <v>1388910.2037228637</v>
      </c>
      <c r="C37" s="62">
        <f t="shared" si="13"/>
        <v>1384161.8820080096</v>
      </c>
      <c r="D37" s="62">
        <f t="shared" si="14"/>
        <v>1377419.9458533253</v>
      </c>
      <c r="E37" s="62">
        <f t="shared" si="15"/>
        <v>1367890.8669573795</v>
      </c>
      <c r="F37" s="62">
        <f t="shared" si="16"/>
        <v>1354512.2121062956</v>
      </c>
      <c r="G37" s="62">
        <f t="shared" si="17"/>
        <v>1335911.0252611889</v>
      </c>
      <c r="H37" s="62">
        <f t="shared" si="18"/>
        <v>1310409.4939683313</v>
      </c>
      <c r="I37" s="62">
        <f t="shared" si="19"/>
        <v>1276138.1685443469</v>
      </c>
      <c r="J37" s="62">
        <f t="shared" si="20"/>
        <v>1231338.9254820407</v>
      </c>
      <c r="K37" s="62">
        <f t="shared" si="21"/>
        <v>1174921.8508999445</v>
      </c>
      <c r="L37" s="62">
        <f t="shared" si="22"/>
        <v>1107222.9808538083</v>
      </c>
      <c r="M37" s="62">
        <f t="shared" si="23"/>
        <v>1030670.8821991365</v>
      </c>
      <c r="N37" s="62">
        <f t="shared" si="24"/>
        <v>949855.14573475695</v>
      </c>
      <c r="O37" s="62">
        <f t="shared" si="25"/>
        <v>870629.71180240111</v>
      </c>
      <c r="P37" s="62">
        <f t="shared" si="26"/>
        <v>798509.16855274222</v>
      </c>
      <c r="Q37" s="62">
        <f t="shared" si="27"/>
        <v>737216.97695338901</v>
      </c>
      <c r="R37" s="62">
        <f t="shared" si="28"/>
        <v>688132.90829190495</v>
      </c>
      <c r="S37" s="62">
        <f t="shared" si="29"/>
        <v>650679.58539676399</v>
      </c>
      <c r="T37" s="62">
        <f t="shared" si="30"/>
        <v>623148.38930799719</v>
      </c>
      <c r="U37" s="62">
        <f t="shared" si="31"/>
        <v>603463.98238910188</v>
      </c>
      <c r="V37" s="62">
        <f t="shared" si="32"/>
        <v>589668.12012529059</v>
      </c>
      <c r="W37" s="62">
        <f t="shared" si="33"/>
        <v>580134.33134103287</v>
      </c>
      <c r="X37" s="62">
        <f t="shared" si="34"/>
        <v>573609.8845890474</v>
      </c>
      <c r="Y37" s="62">
        <f t="shared" si="35"/>
        <v>569174.682073851</v>
      </c>
      <c r="Z37" s="62">
        <f t="shared" si="36"/>
        <v>566173.42988411163</v>
      </c>
      <c r="AA37" s="62">
        <f t="shared" si="37"/>
        <v>564148.78202354477</v>
      </c>
      <c r="AB37" s="62">
        <f t="shared" si="38"/>
        <v>562785.79914140829</v>
      </c>
      <c r="AC37" s="62">
        <f t="shared" si="39"/>
        <v>561869.53442032111</v>
      </c>
    </row>
    <row r="38" spans="1:53" x14ac:dyDescent="0.3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3">
      <c r="A39" s="30" t="str">
        <f t="shared" si="11"/>
        <v>Fuel Economy</v>
      </c>
      <c r="B39" s="62">
        <f t="shared" si="12"/>
        <v>39.427247314658196</v>
      </c>
      <c r="C39" s="62">
        <f t="shared" si="13"/>
        <v>39.39288938847082</v>
      </c>
      <c r="D39" s="62">
        <f t="shared" si="14"/>
        <v>39.344106058554914</v>
      </c>
      <c r="E39" s="62">
        <f t="shared" si="15"/>
        <v>39.27515550949748</v>
      </c>
      <c r="F39" s="62">
        <f t="shared" si="16"/>
        <v>39.178350182591792</v>
      </c>
      <c r="G39" s="62">
        <f t="shared" si="17"/>
        <v>39.043755636771031</v>
      </c>
      <c r="H39" s="62">
        <f t="shared" si="18"/>
        <v>38.859231549642743</v>
      </c>
      <c r="I39" s="62">
        <f t="shared" si="19"/>
        <v>38.611250949344104</v>
      </c>
      <c r="J39" s="62">
        <f t="shared" si="20"/>
        <v>38.287092398425017</v>
      </c>
      <c r="K39" s="62">
        <f t="shared" si="21"/>
        <v>37.878869493448889</v>
      </c>
      <c r="L39" s="62">
        <f t="shared" si="22"/>
        <v>37.389013725517856</v>
      </c>
      <c r="M39" s="62">
        <f t="shared" si="23"/>
        <v>36.835097728874764</v>
      </c>
      <c r="N39" s="62">
        <f t="shared" si="24"/>
        <v>36.250330883878796</v>
      </c>
      <c r="O39" s="62">
        <f t="shared" si="25"/>
        <v>35.677071156616648</v>
      </c>
      <c r="P39" s="62">
        <f t="shared" si="26"/>
        <v>35.155221027167087</v>
      </c>
      <c r="Q39" s="62">
        <f t="shared" si="27"/>
        <v>34.711722730022458</v>
      </c>
      <c r="R39" s="62">
        <f t="shared" si="28"/>
        <v>34.356560020054545</v>
      </c>
      <c r="S39" s="62">
        <f t="shared" si="29"/>
        <v>34.085555109103076</v>
      </c>
      <c r="T39" s="62">
        <f t="shared" si="30"/>
        <v>33.886344764928474</v>
      </c>
      <c r="U39" s="62">
        <f t="shared" si="31"/>
        <v>33.743912250752814</v>
      </c>
      <c r="V39" s="62">
        <f t="shared" si="32"/>
        <v>33.64408809269959</v>
      </c>
      <c r="W39" s="62">
        <f t="shared" si="33"/>
        <v>33.575103463812546</v>
      </c>
      <c r="X39" s="62">
        <f t="shared" si="34"/>
        <v>33.527893844629226</v>
      </c>
      <c r="Y39" s="62">
        <f t="shared" si="35"/>
        <v>33.49580158766053</v>
      </c>
      <c r="Z39" s="62">
        <f t="shared" si="36"/>
        <v>33.474085114473347</v>
      </c>
      <c r="AA39" s="62">
        <f t="shared" si="37"/>
        <v>33.459435158988832</v>
      </c>
      <c r="AB39" s="62">
        <f t="shared" si="38"/>
        <v>33.449572881731456</v>
      </c>
      <c r="AC39" s="62">
        <f t="shared" si="39"/>
        <v>33.442942969618151</v>
      </c>
    </row>
    <row r="40" spans="1:53" x14ac:dyDescent="0.3">
      <c r="A40" s="30" t="str">
        <f t="shared" si="11"/>
        <v>Fuel Cost</v>
      </c>
      <c r="B40" s="62">
        <f>$B20+($C20-$B20)*(1-Q20)</f>
        <v>0.21482257834535914</v>
      </c>
      <c r="C40" s="62">
        <f>$B20+($C20-$B20)*(1-R20)</f>
        <v>0.21417522499855654</v>
      </c>
      <c r="D40" s="62">
        <f>$B20+($C20-$B20)*(1-S20)</f>
        <v>0.21325607604535665</v>
      </c>
      <c r="E40" s="62">
        <f t="shared" ref="E40:AC41" si="41">$B20+($C20-$B20)*(1-T20)</f>
        <v>0.21195694732458373</v>
      </c>
      <c r="F40" s="62">
        <f t="shared" si="41"/>
        <v>0.21013299403884214</v>
      </c>
      <c r="G40" s="62">
        <f t="shared" si="41"/>
        <v>0.20759703685611555</v>
      </c>
      <c r="H40" s="62">
        <f t="shared" si="41"/>
        <v>0.20412033442894431</v>
      </c>
      <c r="I40" s="62">
        <f t="shared" si="41"/>
        <v>0.19944801891519662</v>
      </c>
      <c r="J40" s="62">
        <f t="shared" si="41"/>
        <v>0.19334039991375346</v>
      </c>
      <c r="K40" s="62">
        <f t="shared" si="41"/>
        <v>0.18564888610303532</v>
      </c>
      <c r="L40" s="62">
        <f t="shared" si="41"/>
        <v>0.17641929031511205</v>
      </c>
      <c r="M40" s="62">
        <f t="shared" si="41"/>
        <v>0.16598270656093206</v>
      </c>
      <c r="N40" s="62">
        <f t="shared" si="41"/>
        <v>0.15496484791186993</v>
      </c>
      <c r="O40" s="62">
        <f t="shared" si="41"/>
        <v>0.14416380011269478</v>
      </c>
      <c r="P40" s="62">
        <f t="shared" si="41"/>
        <v>0.13433138397714983</v>
      </c>
      <c r="Q40" s="62">
        <f t="shared" si="41"/>
        <v>0.12597523042491984</v>
      </c>
      <c r="R40" s="62">
        <f t="shared" si="41"/>
        <v>0.11928344793189689</v>
      </c>
      <c r="S40" s="62">
        <f t="shared" si="41"/>
        <v>0.11417732088721881</v>
      </c>
      <c r="T40" s="62">
        <f t="shared" si="41"/>
        <v>0.11042390799739947</v>
      </c>
      <c r="U40" s="62">
        <f t="shared" si="41"/>
        <v>0.10774027208054308</v>
      </c>
      <c r="V40" s="62">
        <f t="shared" si="41"/>
        <v>0.10585943962124107</v>
      </c>
      <c r="W40" s="62">
        <f t="shared" si="41"/>
        <v>0.10455966878686571</v>
      </c>
      <c r="X40" s="62">
        <f t="shared" si="41"/>
        <v>0.10367017083483761</v>
      </c>
      <c r="Y40" s="62">
        <f t="shared" si="41"/>
        <v>0.10306550599442084</v>
      </c>
      <c r="Z40" s="62">
        <f t="shared" si="41"/>
        <v>0.10265633602526128</v>
      </c>
      <c r="AA40" s="62">
        <f t="shared" si="41"/>
        <v>0.10238030953688443</v>
      </c>
      <c r="AB40" s="62">
        <f t="shared" si="41"/>
        <v>0.10219448987609238</v>
      </c>
      <c r="AC40" s="62">
        <f t="shared" si="41"/>
        <v>0.10206957268021295</v>
      </c>
    </row>
    <row r="41" spans="1:53" x14ac:dyDescent="0.3">
      <c r="A41" s="30" t="str">
        <f t="shared" ref="A41" si="42">A21</f>
        <v>Emission Cost</v>
      </c>
      <c r="B41" s="66">
        <f>$B21+($C21-$B21)*(1-Q21)</f>
        <v>0.14217309718689772</v>
      </c>
      <c r="C41" s="66">
        <f t="shared" ref="C41" si="43">$B21+($C21-$B21)*(1-R21)</f>
        <v>0.14203771375766058</v>
      </c>
      <c r="D41" s="66">
        <f t="shared" ref="D41" si="44">$B21+($C21-$B21)*(1-S21)</f>
        <v>0.14184391539413038</v>
      </c>
      <c r="E41" s="66">
        <f t="shared" si="41"/>
        <v>0.14156667320659028</v>
      </c>
      <c r="F41" s="66">
        <f t="shared" si="41"/>
        <v>0.14117043294406945</v>
      </c>
      <c r="G41" s="66">
        <f t="shared" si="41"/>
        <v>0.14060491245838053</v>
      </c>
      <c r="H41" s="66">
        <f t="shared" si="41"/>
        <v>0.13979947254939792</v>
      </c>
      <c r="I41" s="66">
        <f t="shared" si="41"/>
        <v>0.13865586333989385</v>
      </c>
      <c r="J41" s="66">
        <f t="shared" si="41"/>
        <v>0.13703948161608845</v>
      </c>
      <c r="K41" s="66">
        <f t="shared" si="41"/>
        <v>0.13477011083780754</v>
      </c>
      <c r="L41" s="66">
        <f t="shared" si="41"/>
        <v>0.13161486164889458</v>
      </c>
      <c r="M41" s="66">
        <f t="shared" si="41"/>
        <v>0.12728913304900186</v>
      </c>
      <c r="N41" s="66">
        <f t="shared" si="41"/>
        <v>0.12147581733708304</v>
      </c>
      <c r="O41" s="66">
        <f t="shared" si="41"/>
        <v>0.11387669065160279</v>
      </c>
      <c r="P41" s="66">
        <f t="shared" si="41"/>
        <v>0.10430687501035908</v>
      </c>
      <c r="Q41" s="66">
        <f t="shared" si="41"/>
        <v>9.2823370942467606E-2</v>
      </c>
      <c r="R41" s="66">
        <f t="shared" si="41"/>
        <v>7.9838127086736127E-2</v>
      </c>
      <c r="S41" s="66">
        <f t="shared" si="41"/>
        <v>6.6129658425355342E-2</v>
      </c>
      <c r="T41" s="66">
        <f t="shared" si="41"/>
        <v>5.2690946786259088E-2</v>
      </c>
      <c r="U41" s="66">
        <f t="shared" si="41"/>
        <v>4.0457410964736609E-2</v>
      </c>
      <c r="V41" s="66">
        <f t="shared" si="41"/>
        <v>3.0060647605444357E-2</v>
      </c>
      <c r="W41" s="66">
        <f t="shared" si="41"/>
        <v>2.1734702109475382E-2</v>
      </c>
      <c r="X41" s="66">
        <f t="shared" si="41"/>
        <v>1.5381636164219614E-2</v>
      </c>
      <c r="Y41" s="66">
        <f t="shared" si="41"/>
        <v>1.0711623177831281E-2</v>
      </c>
      <c r="Z41" s="66">
        <f t="shared" si="41"/>
        <v>7.3726314520740077E-3</v>
      </c>
      <c r="AA41" s="66">
        <f t="shared" si="41"/>
        <v>5.0324913534492977E-3</v>
      </c>
      <c r="AB41" s="66">
        <f t="shared" si="41"/>
        <v>3.4153107090481305E-3</v>
      </c>
      <c r="AC41" s="66">
        <f t="shared" si="41"/>
        <v>2.3085934068818315E-3</v>
      </c>
    </row>
    <row r="42" spans="1:53" x14ac:dyDescent="0.3">
      <c r="A42" s="30" t="str">
        <f>A22</f>
        <v>Lifetime vehicle</v>
      </c>
      <c r="B42" s="62">
        <f>$B22+($C22-$B22)*(1-Q22)</f>
        <v>20</v>
      </c>
      <c r="C42" s="62">
        <f t="shared" ref="C42:L44" si="45">$B22+($C22-$B22)*(1-R22)</f>
        <v>20</v>
      </c>
      <c r="D42" s="62">
        <f t="shared" si="45"/>
        <v>20</v>
      </c>
      <c r="E42" s="62">
        <f t="shared" si="45"/>
        <v>20</v>
      </c>
      <c r="F42" s="62">
        <f t="shared" si="45"/>
        <v>20</v>
      </c>
      <c r="G42" s="62">
        <f t="shared" si="45"/>
        <v>20</v>
      </c>
      <c r="H42" s="62">
        <f t="shared" si="45"/>
        <v>20</v>
      </c>
      <c r="I42" s="62">
        <f t="shared" si="45"/>
        <v>20</v>
      </c>
      <c r="J42" s="62">
        <f t="shared" si="45"/>
        <v>20</v>
      </c>
      <c r="K42" s="62">
        <f t="shared" si="45"/>
        <v>20</v>
      </c>
      <c r="L42" s="62">
        <f t="shared" si="45"/>
        <v>20</v>
      </c>
      <c r="M42" s="62">
        <f t="shared" ref="M42:V44" si="46">$B22+($C22-$B22)*(1-AB22)</f>
        <v>20</v>
      </c>
      <c r="N42" s="62">
        <f t="shared" si="46"/>
        <v>20</v>
      </c>
      <c r="O42" s="62">
        <f t="shared" si="46"/>
        <v>20</v>
      </c>
      <c r="P42" s="62">
        <f t="shared" si="46"/>
        <v>20</v>
      </c>
      <c r="Q42" s="62">
        <f t="shared" si="46"/>
        <v>20</v>
      </c>
      <c r="R42" s="62">
        <f t="shared" si="46"/>
        <v>20</v>
      </c>
      <c r="S42" s="62">
        <f t="shared" si="46"/>
        <v>20</v>
      </c>
      <c r="T42" s="62">
        <f t="shared" si="46"/>
        <v>20</v>
      </c>
      <c r="U42" s="62">
        <f t="shared" si="46"/>
        <v>20</v>
      </c>
      <c r="V42" s="62">
        <f t="shared" si="46"/>
        <v>20</v>
      </c>
      <c r="W42" s="62">
        <f t="shared" ref="W42:AC44" si="47">$B22+($C22-$B22)*(1-AL22)</f>
        <v>20</v>
      </c>
      <c r="X42" s="62">
        <f t="shared" si="47"/>
        <v>20</v>
      </c>
      <c r="Y42" s="62">
        <f t="shared" si="47"/>
        <v>20</v>
      </c>
      <c r="Z42" s="62">
        <f t="shared" si="47"/>
        <v>20</v>
      </c>
      <c r="AA42" s="62">
        <f t="shared" si="47"/>
        <v>20</v>
      </c>
      <c r="AB42" s="62">
        <f t="shared" si="47"/>
        <v>20</v>
      </c>
      <c r="AC42" s="62">
        <f t="shared" si="47"/>
        <v>20</v>
      </c>
    </row>
    <row r="43" spans="1:53" x14ac:dyDescent="0.3">
      <c r="A43" s="30" t="str">
        <f>A23</f>
        <v>Lifetime costumization</v>
      </c>
      <c r="B43" s="62">
        <f>$B23+($C23-$B23)*(1-Q23)</f>
        <v>30</v>
      </c>
      <c r="C43" s="62">
        <f t="shared" si="45"/>
        <v>30</v>
      </c>
      <c r="D43" s="62">
        <f t="shared" si="45"/>
        <v>30</v>
      </c>
      <c r="E43" s="62">
        <f t="shared" si="45"/>
        <v>30</v>
      </c>
      <c r="F43" s="62">
        <f t="shared" si="45"/>
        <v>30</v>
      </c>
      <c r="G43" s="62">
        <f t="shared" si="45"/>
        <v>30</v>
      </c>
      <c r="H43" s="62">
        <f t="shared" si="45"/>
        <v>30</v>
      </c>
      <c r="I43" s="62">
        <f t="shared" si="45"/>
        <v>30</v>
      </c>
      <c r="J43" s="62">
        <f t="shared" si="45"/>
        <v>30</v>
      </c>
      <c r="K43" s="62">
        <f t="shared" si="45"/>
        <v>30</v>
      </c>
      <c r="L43" s="62">
        <f t="shared" si="45"/>
        <v>30</v>
      </c>
      <c r="M43" s="62">
        <f t="shared" si="46"/>
        <v>30</v>
      </c>
      <c r="N43" s="62">
        <f t="shared" si="46"/>
        <v>30</v>
      </c>
      <c r="O43" s="62">
        <f t="shared" si="46"/>
        <v>30</v>
      </c>
      <c r="P43" s="62">
        <f t="shared" si="46"/>
        <v>30</v>
      </c>
      <c r="Q43" s="62">
        <f t="shared" si="46"/>
        <v>30</v>
      </c>
      <c r="R43" s="62">
        <f t="shared" si="46"/>
        <v>30</v>
      </c>
      <c r="S43" s="62">
        <f t="shared" si="46"/>
        <v>30</v>
      </c>
      <c r="T43" s="62">
        <f t="shared" si="46"/>
        <v>30</v>
      </c>
      <c r="U43" s="62">
        <f t="shared" si="46"/>
        <v>30</v>
      </c>
      <c r="V43" s="62">
        <f t="shared" si="46"/>
        <v>30</v>
      </c>
      <c r="W43" s="62">
        <f t="shared" si="47"/>
        <v>30</v>
      </c>
      <c r="X43" s="62">
        <f t="shared" si="47"/>
        <v>30</v>
      </c>
      <c r="Y43" s="62">
        <f t="shared" si="47"/>
        <v>30</v>
      </c>
      <c r="Z43" s="62">
        <f t="shared" si="47"/>
        <v>30</v>
      </c>
      <c r="AA43" s="62">
        <f t="shared" si="47"/>
        <v>30</v>
      </c>
      <c r="AB43" s="62">
        <f t="shared" si="47"/>
        <v>30</v>
      </c>
      <c r="AC43" s="62">
        <f t="shared" si="47"/>
        <v>30</v>
      </c>
    </row>
    <row r="44" spans="1:53" x14ac:dyDescent="0.3">
      <c r="A44" s="30" t="str">
        <f>A24</f>
        <v xml:space="preserve">Tonnage </v>
      </c>
      <c r="B44" s="62">
        <f>$B24+($C24-$B24)*(1-Q24)</f>
        <v>2240</v>
      </c>
      <c r="C44" s="62">
        <f t="shared" si="45"/>
        <v>2240</v>
      </c>
      <c r="D44" s="62">
        <f t="shared" si="45"/>
        <v>2240</v>
      </c>
      <c r="E44" s="62">
        <f t="shared" si="45"/>
        <v>2240</v>
      </c>
      <c r="F44" s="62">
        <f t="shared" si="45"/>
        <v>2240</v>
      </c>
      <c r="G44" s="62">
        <f t="shared" si="45"/>
        <v>2240</v>
      </c>
      <c r="H44" s="62">
        <f t="shared" si="45"/>
        <v>2240</v>
      </c>
      <c r="I44" s="62">
        <f t="shared" si="45"/>
        <v>2240</v>
      </c>
      <c r="J44" s="62">
        <f t="shared" si="45"/>
        <v>2240</v>
      </c>
      <c r="K44" s="62">
        <f t="shared" si="45"/>
        <v>2240</v>
      </c>
      <c r="L44" s="62">
        <f t="shared" si="45"/>
        <v>2240</v>
      </c>
      <c r="M44" s="62">
        <f t="shared" si="46"/>
        <v>2240</v>
      </c>
      <c r="N44" s="62">
        <f t="shared" si="46"/>
        <v>2240</v>
      </c>
      <c r="O44" s="62">
        <f t="shared" si="46"/>
        <v>2240</v>
      </c>
      <c r="P44" s="62">
        <f t="shared" si="46"/>
        <v>2240</v>
      </c>
      <c r="Q44" s="62">
        <f t="shared" si="46"/>
        <v>2240</v>
      </c>
      <c r="R44" s="62">
        <f t="shared" si="46"/>
        <v>2240</v>
      </c>
      <c r="S44" s="62">
        <f t="shared" si="46"/>
        <v>2240</v>
      </c>
      <c r="T44" s="62">
        <f t="shared" si="46"/>
        <v>2240</v>
      </c>
      <c r="U44" s="62">
        <f t="shared" si="46"/>
        <v>2240</v>
      </c>
      <c r="V44" s="62">
        <f t="shared" si="46"/>
        <v>2240</v>
      </c>
      <c r="W44" s="62">
        <f t="shared" si="47"/>
        <v>2240</v>
      </c>
      <c r="X44" s="62">
        <f t="shared" si="47"/>
        <v>2240</v>
      </c>
      <c r="Y44" s="62">
        <f t="shared" si="47"/>
        <v>2240</v>
      </c>
      <c r="Z44" s="62">
        <f t="shared" si="47"/>
        <v>2240</v>
      </c>
      <c r="AA44" s="62">
        <f t="shared" si="47"/>
        <v>2240</v>
      </c>
      <c r="AB44" s="62">
        <f t="shared" si="47"/>
        <v>2240</v>
      </c>
      <c r="AC44" s="62">
        <f t="shared" si="47"/>
        <v>2240</v>
      </c>
    </row>
    <row r="45" spans="1:53" x14ac:dyDescent="0.3">
      <c r="A45" s="30" t="str">
        <f>A25</f>
        <v>Market failure (av. utilization)</v>
      </c>
      <c r="B45" s="62">
        <f t="shared" ref="B45:K46" si="48">($B25+($C25-$B25)*(1-Q25))*B$44</f>
        <v>1075.2</v>
      </c>
      <c r="C45" s="62">
        <f t="shared" si="48"/>
        <v>1075.2</v>
      </c>
      <c r="D45" s="62">
        <f t="shared" si="48"/>
        <v>1075.2</v>
      </c>
      <c r="E45" s="62">
        <f t="shared" si="48"/>
        <v>1075.2</v>
      </c>
      <c r="F45" s="62">
        <f t="shared" si="48"/>
        <v>1075.2</v>
      </c>
      <c r="G45" s="62">
        <f t="shared" si="48"/>
        <v>1075.2</v>
      </c>
      <c r="H45" s="62">
        <f t="shared" si="48"/>
        <v>1075.2</v>
      </c>
      <c r="I45" s="62">
        <f t="shared" si="48"/>
        <v>1075.2</v>
      </c>
      <c r="J45" s="62">
        <f t="shared" si="48"/>
        <v>1075.2</v>
      </c>
      <c r="K45" s="62">
        <f t="shared" si="48"/>
        <v>1075.2</v>
      </c>
      <c r="L45" s="62">
        <f t="shared" ref="L45:U46" si="49">($B25+($C25-$B25)*(1-AA25))*L$44</f>
        <v>1075.2</v>
      </c>
      <c r="M45" s="62">
        <f t="shared" si="49"/>
        <v>1075.2</v>
      </c>
      <c r="N45" s="62">
        <f t="shared" si="49"/>
        <v>1075.2</v>
      </c>
      <c r="O45" s="62">
        <f t="shared" si="49"/>
        <v>1075.2</v>
      </c>
      <c r="P45" s="62">
        <f t="shared" si="49"/>
        <v>1075.2</v>
      </c>
      <c r="Q45" s="62">
        <f t="shared" si="49"/>
        <v>1075.2</v>
      </c>
      <c r="R45" s="62">
        <f t="shared" si="49"/>
        <v>1075.2</v>
      </c>
      <c r="S45" s="62">
        <f t="shared" si="49"/>
        <v>1075.2</v>
      </c>
      <c r="T45" s="62">
        <f t="shared" si="49"/>
        <v>1075.2</v>
      </c>
      <c r="U45" s="62">
        <f t="shared" si="49"/>
        <v>1075.2</v>
      </c>
      <c r="V45" s="62">
        <f t="shared" ref="V45:AC46" si="50">($B25+($C25-$B25)*(1-AK25))*V$44</f>
        <v>1075.2</v>
      </c>
      <c r="W45" s="62">
        <f t="shared" si="50"/>
        <v>1075.2</v>
      </c>
      <c r="X45" s="62">
        <f t="shared" si="50"/>
        <v>1075.2</v>
      </c>
      <c r="Y45" s="62">
        <f t="shared" si="50"/>
        <v>1075.2</v>
      </c>
      <c r="Z45" s="62">
        <f t="shared" si="50"/>
        <v>1075.2</v>
      </c>
      <c r="AA45" s="62">
        <f t="shared" si="50"/>
        <v>1075.2</v>
      </c>
      <c r="AB45" s="62">
        <f t="shared" si="50"/>
        <v>1075.2</v>
      </c>
      <c r="AC45" s="62">
        <f t="shared" si="50"/>
        <v>1075.2</v>
      </c>
    </row>
    <row r="46" spans="1:53" x14ac:dyDescent="0.3">
      <c r="A46" s="30" t="s">
        <v>73</v>
      </c>
      <c r="B46" s="62">
        <f t="shared" si="48"/>
        <v>40</v>
      </c>
      <c r="C46" s="62">
        <f t="shared" si="48"/>
        <v>40</v>
      </c>
      <c r="D46" s="62">
        <f t="shared" si="48"/>
        <v>40</v>
      </c>
      <c r="E46" s="62">
        <f t="shared" si="48"/>
        <v>40</v>
      </c>
      <c r="F46" s="62">
        <f t="shared" si="48"/>
        <v>40</v>
      </c>
      <c r="G46" s="62">
        <f t="shared" si="48"/>
        <v>40</v>
      </c>
      <c r="H46" s="62">
        <f t="shared" si="48"/>
        <v>40</v>
      </c>
      <c r="I46" s="62">
        <f t="shared" si="48"/>
        <v>40</v>
      </c>
      <c r="J46" s="62">
        <f t="shared" si="48"/>
        <v>40</v>
      </c>
      <c r="K46" s="62">
        <f t="shared" si="48"/>
        <v>40</v>
      </c>
      <c r="L46" s="62">
        <f t="shared" si="49"/>
        <v>40</v>
      </c>
      <c r="M46" s="62">
        <f t="shared" si="49"/>
        <v>40</v>
      </c>
      <c r="N46" s="62">
        <f t="shared" si="49"/>
        <v>40</v>
      </c>
      <c r="O46" s="62">
        <f t="shared" si="49"/>
        <v>40</v>
      </c>
      <c r="P46" s="62">
        <f t="shared" si="49"/>
        <v>40</v>
      </c>
      <c r="Q46" s="62">
        <f t="shared" si="49"/>
        <v>40</v>
      </c>
      <c r="R46" s="62">
        <f t="shared" si="49"/>
        <v>40</v>
      </c>
      <c r="S46" s="62">
        <f t="shared" si="49"/>
        <v>40</v>
      </c>
      <c r="T46" s="62">
        <f t="shared" si="49"/>
        <v>40</v>
      </c>
      <c r="U46" s="62">
        <f t="shared" si="49"/>
        <v>40</v>
      </c>
      <c r="V46" s="62">
        <f t="shared" si="50"/>
        <v>40</v>
      </c>
      <c r="W46" s="62">
        <f t="shared" si="50"/>
        <v>40</v>
      </c>
      <c r="X46" s="62">
        <f t="shared" si="50"/>
        <v>40</v>
      </c>
      <c r="Y46" s="62">
        <f t="shared" si="50"/>
        <v>40</v>
      </c>
      <c r="Z46" s="62">
        <f t="shared" si="50"/>
        <v>40</v>
      </c>
      <c r="AA46" s="62">
        <f t="shared" si="50"/>
        <v>40</v>
      </c>
      <c r="AB46" s="62">
        <f t="shared" si="50"/>
        <v>40</v>
      </c>
      <c r="AC46" s="62">
        <f t="shared" si="50"/>
        <v>40</v>
      </c>
    </row>
    <row r="47" spans="1:53" x14ac:dyDescent="0.3">
      <c r="A47" s="30" t="str">
        <f>A27</f>
        <v>Annual Mileage</v>
      </c>
      <c r="B47" s="62">
        <f t="shared" ref="B47:AC47" si="51">$B27+($C27-$B27)*(1-Q27)</f>
        <v>178500</v>
      </c>
      <c r="C47" s="62">
        <f t="shared" si="51"/>
        <v>178500</v>
      </c>
      <c r="D47" s="62">
        <f t="shared" si="51"/>
        <v>178500</v>
      </c>
      <c r="E47" s="62">
        <f t="shared" si="51"/>
        <v>178500</v>
      </c>
      <c r="F47" s="62">
        <f t="shared" si="51"/>
        <v>178500</v>
      </c>
      <c r="G47" s="62">
        <f t="shared" si="51"/>
        <v>178500</v>
      </c>
      <c r="H47" s="62">
        <f t="shared" si="51"/>
        <v>178500</v>
      </c>
      <c r="I47" s="62">
        <f t="shared" si="51"/>
        <v>178500</v>
      </c>
      <c r="J47" s="62">
        <f t="shared" si="51"/>
        <v>178500</v>
      </c>
      <c r="K47" s="62">
        <f t="shared" si="51"/>
        <v>178500</v>
      </c>
      <c r="L47" s="62">
        <f t="shared" si="51"/>
        <v>178500</v>
      </c>
      <c r="M47" s="62">
        <f t="shared" si="51"/>
        <v>178500</v>
      </c>
      <c r="N47" s="62">
        <f t="shared" si="51"/>
        <v>178500</v>
      </c>
      <c r="O47" s="62">
        <f t="shared" si="51"/>
        <v>178500</v>
      </c>
      <c r="P47" s="62">
        <f t="shared" si="51"/>
        <v>178500</v>
      </c>
      <c r="Q47" s="62">
        <f t="shared" si="51"/>
        <v>178500</v>
      </c>
      <c r="R47" s="62">
        <f t="shared" si="51"/>
        <v>178500</v>
      </c>
      <c r="S47" s="62">
        <f t="shared" si="51"/>
        <v>178500</v>
      </c>
      <c r="T47" s="62">
        <f t="shared" si="51"/>
        <v>178500</v>
      </c>
      <c r="U47" s="62">
        <f t="shared" si="51"/>
        <v>178500</v>
      </c>
      <c r="V47" s="62">
        <f t="shared" si="51"/>
        <v>178500</v>
      </c>
      <c r="W47" s="62">
        <f t="shared" si="51"/>
        <v>178500</v>
      </c>
      <c r="X47" s="62">
        <f t="shared" si="51"/>
        <v>178500</v>
      </c>
      <c r="Y47" s="62">
        <f t="shared" si="51"/>
        <v>178500</v>
      </c>
      <c r="Z47" s="62">
        <f t="shared" si="51"/>
        <v>178500</v>
      </c>
      <c r="AA47" s="62">
        <f t="shared" si="51"/>
        <v>178500</v>
      </c>
      <c r="AB47" s="62">
        <f t="shared" si="51"/>
        <v>178500</v>
      </c>
      <c r="AC47" s="62">
        <f t="shared" si="51"/>
        <v>178500</v>
      </c>
    </row>
    <row r="48" spans="1:53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864939.43423004472</v>
      </c>
      <c r="C50" s="63">
        <f t="shared" ref="C50:AC50" si="52">((1+C35)^C42)*C35/(((1+C35)^C42)-1)*(C31)</f>
        <v>861982.43190795113</v>
      </c>
      <c r="D50" s="63">
        <f t="shared" si="52"/>
        <v>857783.91250214854</v>
      </c>
      <c r="E50" s="63">
        <f t="shared" si="52"/>
        <v>851849.70877400215</v>
      </c>
      <c r="F50" s="63">
        <f t="shared" si="52"/>
        <v>843518.19380158815</v>
      </c>
      <c r="G50" s="63">
        <f t="shared" si="52"/>
        <v>831934.36355634325</v>
      </c>
      <c r="H50" s="63">
        <f t="shared" si="52"/>
        <v>816053.36564206402</v>
      </c>
      <c r="I50" s="63">
        <f t="shared" si="52"/>
        <v>794711.00618420995</v>
      </c>
      <c r="J50" s="63">
        <f t="shared" si="52"/>
        <v>766812.41933217109</v>
      </c>
      <c r="K50" s="63">
        <f t="shared" si="52"/>
        <v>731678.86466524214</v>
      </c>
      <c r="L50" s="63">
        <f t="shared" si="52"/>
        <v>689519.60757377208</v>
      </c>
      <c r="M50" s="63">
        <f t="shared" si="52"/>
        <v>641847.03038194508</v>
      </c>
      <c r="N50" s="63">
        <f t="shared" si="52"/>
        <v>591519.28623619571</v>
      </c>
      <c r="O50" s="63">
        <f t="shared" si="52"/>
        <v>542181.89795982966</v>
      </c>
      <c r="P50" s="63">
        <f t="shared" si="52"/>
        <v>497269.05787303421</v>
      </c>
      <c r="Q50" s="63">
        <f t="shared" si="52"/>
        <v>459099.53951067774</v>
      </c>
      <c r="R50" s="63">
        <f t="shared" si="52"/>
        <v>428532.59107587172</v>
      </c>
      <c r="S50" s="63">
        <f t="shared" si="52"/>
        <v>405208.65276213008</v>
      </c>
      <c r="T50" s="63">
        <f t="shared" si="52"/>
        <v>388063.68751897325</v>
      </c>
      <c r="U50" s="63">
        <f t="shared" si="52"/>
        <v>375805.28540057357</v>
      </c>
      <c r="V50" s="63">
        <f t="shared" si="52"/>
        <v>367213.95583211613</v>
      </c>
      <c r="W50" s="63">
        <f t="shared" si="52"/>
        <v>361276.81903592765</v>
      </c>
      <c r="X50" s="63">
        <f t="shared" si="52"/>
        <v>357213.74046742113</v>
      </c>
      <c r="Y50" s="63">
        <f t="shared" si="52"/>
        <v>354451.73213606392</v>
      </c>
      <c r="Z50" s="63">
        <f t="shared" si="52"/>
        <v>352582.71183221939</v>
      </c>
      <c r="AA50" s="63">
        <f t="shared" si="52"/>
        <v>351321.86878395046</v>
      </c>
      <c r="AB50" s="63">
        <f t="shared" si="52"/>
        <v>350473.07550719258</v>
      </c>
      <c r="AC50" s="63">
        <f t="shared" si="52"/>
        <v>349902.47455161036</v>
      </c>
    </row>
    <row r="51" spans="1:29" x14ac:dyDescent="0.3">
      <c r="A51" s="30" t="str">
        <f>A32</f>
        <v>Residual value (vehicle)</v>
      </c>
      <c r="B51" s="62">
        <f>((1+B35)^B42)*B35/(((1+B35)^B42)-1)*(B32)</f>
        <v>-43707.380747400188</v>
      </c>
      <c r="C51" s="62">
        <f t="shared" ref="C51:AC51" si="53">((1+C35)^C42)*C35/(((1+C35)^C42)-1)*(C32)</f>
        <v>-43756.664119435081</v>
      </c>
      <c r="D51" s="62">
        <f t="shared" si="53"/>
        <v>-43826.639442865126</v>
      </c>
      <c r="E51" s="62">
        <f t="shared" si="53"/>
        <v>-43925.54283833423</v>
      </c>
      <c r="F51" s="62">
        <f t="shared" si="53"/>
        <v>-44064.401421207796</v>
      </c>
      <c r="G51" s="62">
        <f t="shared" si="53"/>
        <v>-44257.465258628545</v>
      </c>
      <c r="H51" s="62">
        <f t="shared" si="53"/>
        <v>-44522.148557199871</v>
      </c>
      <c r="I51" s="62">
        <f t="shared" si="53"/>
        <v>-44877.854548164105</v>
      </c>
      <c r="J51" s="62">
        <f t="shared" si="53"/>
        <v>-45342.830995698081</v>
      </c>
      <c r="K51" s="62">
        <f t="shared" si="53"/>
        <v>-45928.390240146902</v>
      </c>
      <c r="L51" s="62">
        <f t="shared" si="53"/>
        <v>-46631.044525004734</v>
      </c>
      <c r="M51" s="62">
        <f t="shared" si="53"/>
        <v>-47425.587478201858</v>
      </c>
      <c r="N51" s="62">
        <f t="shared" si="53"/>
        <v>-48264.383213964342</v>
      </c>
      <c r="O51" s="62">
        <f t="shared" si="53"/>
        <v>-49086.673018570444</v>
      </c>
      <c r="P51" s="62">
        <f t="shared" si="53"/>
        <v>-49835.220353350363</v>
      </c>
      <c r="Q51" s="62">
        <f t="shared" si="53"/>
        <v>-50471.378992722974</v>
      </c>
      <c r="R51" s="62">
        <f t="shared" si="53"/>
        <v>-50980.828133303068</v>
      </c>
      <c r="S51" s="62">
        <f t="shared" si="53"/>
        <v>-51369.560438532098</v>
      </c>
      <c r="T51" s="62">
        <f t="shared" si="53"/>
        <v>-51655.309859251378</v>
      </c>
      <c r="U51" s="62">
        <f t="shared" si="53"/>
        <v>-51859.616561224706</v>
      </c>
      <c r="V51" s="62">
        <f t="shared" si="53"/>
        <v>-52002.805387365668</v>
      </c>
      <c r="W51" s="62">
        <f t="shared" si="53"/>
        <v>-52101.757667302139</v>
      </c>
      <c r="X51" s="62">
        <f t="shared" si="53"/>
        <v>-52169.475643443919</v>
      </c>
      <c r="Y51" s="62">
        <f t="shared" si="53"/>
        <v>-52215.509115633206</v>
      </c>
      <c r="Z51" s="62">
        <f t="shared" si="53"/>
        <v>-52246.659454030618</v>
      </c>
      <c r="AA51" s="62">
        <f t="shared" si="53"/>
        <v>-52267.673504835089</v>
      </c>
      <c r="AB51" s="62">
        <f t="shared" si="53"/>
        <v>-52281.820059447724</v>
      </c>
      <c r="AC51" s="62">
        <f t="shared" si="53"/>
        <v>-52291.330075374099</v>
      </c>
    </row>
    <row r="52" spans="1:29" x14ac:dyDescent="0.3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4">((1+C35)^C43)*C35/(((1+C35)^C43)-1)*(C33)</f>
        <v>305125.4282581982</v>
      </c>
      <c r="D52" s="62">
        <f t="shared" si="54"/>
        <v>305125.4282581982</v>
      </c>
      <c r="E52" s="62">
        <f t="shared" si="54"/>
        <v>305125.4282581982</v>
      </c>
      <c r="F52" s="62">
        <f t="shared" si="54"/>
        <v>305125.4282581982</v>
      </c>
      <c r="G52" s="62">
        <f t="shared" si="54"/>
        <v>305125.4282581982</v>
      </c>
      <c r="H52" s="62">
        <f t="shared" si="54"/>
        <v>305125.4282581982</v>
      </c>
      <c r="I52" s="62">
        <f t="shared" si="54"/>
        <v>305125.4282581982</v>
      </c>
      <c r="J52" s="62">
        <f t="shared" si="54"/>
        <v>305125.4282581982</v>
      </c>
      <c r="K52" s="62">
        <f t="shared" si="54"/>
        <v>305125.4282581982</v>
      </c>
      <c r="L52" s="62">
        <f t="shared" si="54"/>
        <v>305125.4282581982</v>
      </c>
      <c r="M52" s="62">
        <f t="shared" si="54"/>
        <v>305125.4282581982</v>
      </c>
      <c r="N52" s="62">
        <f t="shared" si="54"/>
        <v>305125.4282581982</v>
      </c>
      <c r="O52" s="62">
        <f t="shared" si="54"/>
        <v>305125.4282581982</v>
      </c>
      <c r="P52" s="62">
        <f t="shared" si="54"/>
        <v>305125.4282581982</v>
      </c>
      <c r="Q52" s="62">
        <f t="shared" si="54"/>
        <v>305125.4282581982</v>
      </c>
      <c r="R52" s="62">
        <f t="shared" si="54"/>
        <v>305125.4282581982</v>
      </c>
      <c r="S52" s="62">
        <f t="shared" si="54"/>
        <v>305125.4282581982</v>
      </c>
      <c r="T52" s="62">
        <f t="shared" si="54"/>
        <v>305125.4282581982</v>
      </c>
      <c r="U52" s="62">
        <f t="shared" si="54"/>
        <v>305125.4282581982</v>
      </c>
      <c r="V52" s="62">
        <f t="shared" si="54"/>
        <v>305125.4282581982</v>
      </c>
      <c r="W52" s="62">
        <f t="shared" si="54"/>
        <v>305125.4282581982</v>
      </c>
      <c r="X52" s="62">
        <f t="shared" si="54"/>
        <v>305125.4282581982</v>
      </c>
      <c r="Y52" s="62">
        <f t="shared" si="54"/>
        <v>305125.4282581982</v>
      </c>
      <c r="Z52" s="62">
        <f t="shared" si="54"/>
        <v>305125.4282581982</v>
      </c>
      <c r="AA52" s="62">
        <f t="shared" si="54"/>
        <v>305125.4282581982</v>
      </c>
      <c r="AB52" s="62">
        <f t="shared" si="54"/>
        <v>305125.4282581982</v>
      </c>
      <c r="AC52" s="62">
        <f t="shared" si="54"/>
        <v>305125.4282581982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5">((1+C35)^C43)*C35/(((1+C35)^C43)-1)*(C34)</f>
        <v>-15256.271412909911</v>
      </c>
      <c r="D53" s="62">
        <f t="shared" si="55"/>
        <v>-15256.271412909911</v>
      </c>
      <c r="E53" s="62">
        <f t="shared" si="55"/>
        <v>-15256.271412909911</v>
      </c>
      <c r="F53" s="62">
        <f t="shared" si="55"/>
        <v>-15256.271412909911</v>
      </c>
      <c r="G53" s="62">
        <f t="shared" si="55"/>
        <v>-15256.271412909911</v>
      </c>
      <c r="H53" s="62">
        <f t="shared" si="55"/>
        <v>-15256.271412909911</v>
      </c>
      <c r="I53" s="62">
        <f t="shared" si="55"/>
        <v>-15256.271412909911</v>
      </c>
      <c r="J53" s="62">
        <f t="shared" si="55"/>
        <v>-15256.271412909911</v>
      </c>
      <c r="K53" s="62">
        <f t="shared" si="55"/>
        <v>-15256.271412909911</v>
      </c>
      <c r="L53" s="62">
        <f t="shared" si="55"/>
        <v>-15256.271412909911</v>
      </c>
      <c r="M53" s="62">
        <f t="shared" si="55"/>
        <v>-15256.271412909911</v>
      </c>
      <c r="N53" s="62">
        <f t="shared" si="55"/>
        <v>-15256.271412909911</v>
      </c>
      <c r="O53" s="62">
        <f t="shared" si="55"/>
        <v>-15256.271412909911</v>
      </c>
      <c r="P53" s="62">
        <f t="shared" si="55"/>
        <v>-15256.271412909911</v>
      </c>
      <c r="Q53" s="62">
        <f t="shared" si="55"/>
        <v>-15256.271412909911</v>
      </c>
      <c r="R53" s="62">
        <f t="shared" si="55"/>
        <v>-15256.271412909911</v>
      </c>
      <c r="S53" s="62">
        <f t="shared" si="55"/>
        <v>-15256.271412909911</v>
      </c>
      <c r="T53" s="62">
        <f t="shared" si="55"/>
        <v>-15256.271412909911</v>
      </c>
      <c r="U53" s="62">
        <f t="shared" si="55"/>
        <v>-15256.271412909911</v>
      </c>
      <c r="V53" s="62">
        <f t="shared" si="55"/>
        <v>-15256.271412909911</v>
      </c>
      <c r="W53" s="62">
        <f t="shared" si="55"/>
        <v>-15256.271412909911</v>
      </c>
      <c r="X53" s="62">
        <f t="shared" si="55"/>
        <v>-15256.271412909911</v>
      </c>
      <c r="Y53" s="62">
        <f t="shared" si="55"/>
        <v>-15256.271412909911</v>
      </c>
      <c r="Z53" s="62">
        <f t="shared" si="55"/>
        <v>-15256.271412909911</v>
      </c>
      <c r="AA53" s="62">
        <f t="shared" si="55"/>
        <v>-15256.271412909911</v>
      </c>
      <c r="AB53" s="62">
        <f t="shared" si="55"/>
        <v>-15256.271412909911</v>
      </c>
      <c r="AC53" s="62">
        <f t="shared" si="55"/>
        <v>-15256.271412909911</v>
      </c>
    </row>
    <row r="54" spans="1:29" x14ac:dyDescent="0.3">
      <c r="A54" s="30" t="str">
        <f t="shared" ref="A54:AC54" si="56">A36</f>
        <v>Opex fix (admin, crew, insurance)</v>
      </c>
      <c r="B54" s="62">
        <f t="shared" si="56"/>
        <v>650000</v>
      </c>
      <c r="C54" s="62">
        <f t="shared" si="56"/>
        <v>650000</v>
      </c>
      <c r="D54" s="62">
        <f t="shared" si="56"/>
        <v>650000</v>
      </c>
      <c r="E54" s="62">
        <f t="shared" si="56"/>
        <v>650000</v>
      </c>
      <c r="F54" s="62">
        <f t="shared" si="56"/>
        <v>650000</v>
      </c>
      <c r="G54" s="62">
        <f t="shared" si="56"/>
        <v>650000</v>
      </c>
      <c r="H54" s="62">
        <f t="shared" si="56"/>
        <v>650000</v>
      </c>
      <c r="I54" s="62">
        <f t="shared" si="56"/>
        <v>650000</v>
      </c>
      <c r="J54" s="62">
        <f t="shared" si="56"/>
        <v>650000</v>
      </c>
      <c r="K54" s="62">
        <f t="shared" si="56"/>
        <v>650000</v>
      </c>
      <c r="L54" s="62">
        <f t="shared" si="56"/>
        <v>650000</v>
      </c>
      <c r="M54" s="62">
        <f t="shared" si="56"/>
        <v>650000</v>
      </c>
      <c r="N54" s="62">
        <f t="shared" si="56"/>
        <v>650000</v>
      </c>
      <c r="O54" s="62">
        <f t="shared" si="56"/>
        <v>650000</v>
      </c>
      <c r="P54" s="62">
        <f t="shared" si="56"/>
        <v>650000</v>
      </c>
      <c r="Q54" s="62">
        <f t="shared" si="56"/>
        <v>650000</v>
      </c>
      <c r="R54" s="62">
        <f t="shared" si="56"/>
        <v>650000</v>
      </c>
      <c r="S54" s="62">
        <f t="shared" si="56"/>
        <v>650000</v>
      </c>
      <c r="T54" s="62">
        <f t="shared" si="56"/>
        <v>650000</v>
      </c>
      <c r="U54" s="62">
        <f t="shared" si="56"/>
        <v>650000</v>
      </c>
      <c r="V54" s="62">
        <f t="shared" si="56"/>
        <v>650000</v>
      </c>
      <c r="W54" s="62">
        <f t="shared" si="56"/>
        <v>650000</v>
      </c>
      <c r="X54" s="62">
        <f t="shared" si="56"/>
        <v>650000</v>
      </c>
      <c r="Y54" s="62">
        <f t="shared" si="56"/>
        <v>650000</v>
      </c>
      <c r="Z54" s="62">
        <f t="shared" si="56"/>
        <v>650000</v>
      </c>
      <c r="AA54" s="62">
        <f t="shared" si="56"/>
        <v>650000</v>
      </c>
      <c r="AB54" s="62">
        <f t="shared" si="56"/>
        <v>650000</v>
      </c>
      <c r="AC54" s="62">
        <f t="shared" si="56"/>
        <v>650000</v>
      </c>
    </row>
    <row r="55" spans="1:29" x14ac:dyDescent="0.3">
      <c r="A55" s="30" t="str">
        <f t="shared" ref="A55:AC55" si="57">A37</f>
        <v>Opex maintenance &amp; repair</v>
      </c>
      <c r="B55" s="62">
        <f t="shared" si="57"/>
        <v>1388910.2037228637</v>
      </c>
      <c r="C55" s="62">
        <f t="shared" si="57"/>
        <v>1384161.8820080096</v>
      </c>
      <c r="D55" s="62">
        <f t="shared" si="57"/>
        <v>1377419.9458533253</v>
      </c>
      <c r="E55" s="62">
        <f t="shared" si="57"/>
        <v>1367890.8669573795</v>
      </c>
      <c r="F55" s="62">
        <f t="shared" si="57"/>
        <v>1354512.2121062956</v>
      </c>
      <c r="G55" s="62">
        <f t="shared" si="57"/>
        <v>1335911.0252611889</v>
      </c>
      <c r="H55" s="62">
        <f t="shared" si="57"/>
        <v>1310409.4939683313</v>
      </c>
      <c r="I55" s="62">
        <f t="shared" si="57"/>
        <v>1276138.1685443469</v>
      </c>
      <c r="J55" s="62">
        <f t="shared" si="57"/>
        <v>1231338.9254820407</v>
      </c>
      <c r="K55" s="62">
        <f t="shared" si="57"/>
        <v>1174921.8508999445</v>
      </c>
      <c r="L55" s="62">
        <f t="shared" si="57"/>
        <v>1107222.9808538083</v>
      </c>
      <c r="M55" s="62">
        <f t="shared" si="57"/>
        <v>1030670.8821991365</v>
      </c>
      <c r="N55" s="62">
        <f t="shared" si="57"/>
        <v>949855.14573475695</v>
      </c>
      <c r="O55" s="62">
        <f t="shared" si="57"/>
        <v>870629.71180240111</v>
      </c>
      <c r="P55" s="62">
        <f t="shared" si="57"/>
        <v>798509.16855274222</v>
      </c>
      <c r="Q55" s="62">
        <f t="shared" si="57"/>
        <v>737216.97695338901</v>
      </c>
      <c r="R55" s="62">
        <f t="shared" si="57"/>
        <v>688132.90829190495</v>
      </c>
      <c r="S55" s="62">
        <f t="shared" si="57"/>
        <v>650679.58539676399</v>
      </c>
      <c r="T55" s="62">
        <f t="shared" si="57"/>
        <v>623148.38930799719</v>
      </c>
      <c r="U55" s="62">
        <f t="shared" si="57"/>
        <v>603463.98238910188</v>
      </c>
      <c r="V55" s="62">
        <f t="shared" si="57"/>
        <v>589668.12012529059</v>
      </c>
      <c r="W55" s="62">
        <f t="shared" si="57"/>
        <v>580134.33134103287</v>
      </c>
      <c r="X55" s="62">
        <f t="shared" si="57"/>
        <v>573609.8845890474</v>
      </c>
      <c r="Y55" s="62">
        <f t="shared" si="57"/>
        <v>569174.682073851</v>
      </c>
      <c r="Z55" s="62">
        <f t="shared" si="57"/>
        <v>566173.42988411163</v>
      </c>
      <c r="AA55" s="62">
        <f t="shared" si="57"/>
        <v>564148.78202354477</v>
      </c>
      <c r="AB55" s="62">
        <f t="shared" si="57"/>
        <v>562785.79914140829</v>
      </c>
      <c r="AC55" s="62">
        <f t="shared" si="57"/>
        <v>561869.53442032111</v>
      </c>
    </row>
    <row r="56" spans="1:29" x14ac:dyDescent="0.3">
      <c r="A56" s="30" t="str">
        <f>A38</f>
        <v>Opex var (mode-fees, shunting)</v>
      </c>
      <c r="B56" s="62">
        <f>B38*B47</f>
        <v>700000</v>
      </c>
      <c r="C56" s="62">
        <f t="shared" ref="C56:AC56" si="58">C38*C47</f>
        <v>700000</v>
      </c>
      <c r="D56" s="62">
        <f t="shared" si="58"/>
        <v>700000</v>
      </c>
      <c r="E56" s="62">
        <f t="shared" si="58"/>
        <v>700000</v>
      </c>
      <c r="F56" s="62">
        <f t="shared" si="58"/>
        <v>700000</v>
      </c>
      <c r="G56" s="62">
        <f t="shared" si="58"/>
        <v>700000</v>
      </c>
      <c r="H56" s="62">
        <f t="shared" si="58"/>
        <v>700000</v>
      </c>
      <c r="I56" s="62">
        <f t="shared" si="58"/>
        <v>700000</v>
      </c>
      <c r="J56" s="62">
        <f t="shared" si="58"/>
        <v>700000</v>
      </c>
      <c r="K56" s="62">
        <f t="shared" si="58"/>
        <v>700000</v>
      </c>
      <c r="L56" s="62">
        <f t="shared" si="58"/>
        <v>700000</v>
      </c>
      <c r="M56" s="62">
        <f t="shared" si="58"/>
        <v>700000</v>
      </c>
      <c r="N56" s="62">
        <f t="shared" si="58"/>
        <v>700000</v>
      </c>
      <c r="O56" s="62">
        <f t="shared" si="58"/>
        <v>700000</v>
      </c>
      <c r="P56" s="62">
        <f t="shared" si="58"/>
        <v>700000</v>
      </c>
      <c r="Q56" s="62">
        <f t="shared" si="58"/>
        <v>700000</v>
      </c>
      <c r="R56" s="62">
        <f t="shared" si="58"/>
        <v>700000</v>
      </c>
      <c r="S56" s="62">
        <f t="shared" si="58"/>
        <v>700000</v>
      </c>
      <c r="T56" s="62">
        <f t="shared" si="58"/>
        <v>700000</v>
      </c>
      <c r="U56" s="62">
        <f t="shared" si="58"/>
        <v>700000</v>
      </c>
      <c r="V56" s="62">
        <f t="shared" si="58"/>
        <v>700000</v>
      </c>
      <c r="W56" s="62">
        <f t="shared" si="58"/>
        <v>700000</v>
      </c>
      <c r="X56" s="62">
        <f t="shared" si="58"/>
        <v>700000</v>
      </c>
      <c r="Y56" s="62">
        <f t="shared" si="58"/>
        <v>700000</v>
      </c>
      <c r="Z56" s="62">
        <f t="shared" si="58"/>
        <v>700000</v>
      </c>
      <c r="AA56" s="62">
        <f t="shared" si="58"/>
        <v>700000</v>
      </c>
      <c r="AB56" s="62">
        <f t="shared" si="58"/>
        <v>700000</v>
      </c>
      <c r="AC56" s="62">
        <f t="shared" si="58"/>
        <v>700000</v>
      </c>
    </row>
    <row r="57" spans="1:29" x14ac:dyDescent="0.3">
      <c r="A57" s="30" t="str">
        <f>A40</f>
        <v>Fuel Cost</v>
      </c>
      <c r="B57" s="62">
        <f>B39*B40*B47</f>
        <v>1511870.5321473095</v>
      </c>
      <c r="C57" s="62">
        <f t="shared" ref="C57:AC57" si="59">C39*C40*C47</f>
        <v>1506001.0992392392</v>
      </c>
      <c r="D57" s="62">
        <f t="shared" si="59"/>
        <v>1497680.9867304179</v>
      </c>
      <c r="E57" s="62">
        <f t="shared" si="59"/>
        <v>1485948.6090472133</v>
      </c>
      <c r="F57" s="62">
        <f t="shared" si="59"/>
        <v>1469530.5285285865</v>
      </c>
      <c r="G57" s="62">
        <f t="shared" si="59"/>
        <v>1446808.1840601345</v>
      </c>
      <c r="H57" s="62">
        <f t="shared" si="59"/>
        <v>1415854.7421123276</v>
      </c>
      <c r="I57" s="62">
        <f t="shared" si="59"/>
        <v>1374617.3454786271</v>
      </c>
      <c r="J57" s="62">
        <f t="shared" si="59"/>
        <v>1321335.8534185686</v>
      </c>
      <c r="K57" s="62">
        <f t="shared" si="59"/>
        <v>1255242.3322017342</v>
      </c>
      <c r="L57" s="62">
        <f t="shared" si="59"/>
        <v>1177411.5731662551</v>
      </c>
      <c r="M57" s="62">
        <f t="shared" si="59"/>
        <v>1091347.0753193009</v>
      </c>
      <c r="N57" s="62">
        <f t="shared" si="59"/>
        <v>1002728.5716732802</v>
      </c>
      <c r="O57" s="62">
        <f t="shared" si="59"/>
        <v>918086.57463695353</v>
      </c>
      <c r="P57" s="62">
        <f t="shared" si="59"/>
        <v>842957.23478644865</v>
      </c>
      <c r="Q57" s="62">
        <f t="shared" si="59"/>
        <v>780547.88258085051</v>
      </c>
      <c r="R57" s="62">
        <f t="shared" si="59"/>
        <v>731523.15548142116</v>
      </c>
      <c r="S57" s="62">
        <f t="shared" si="59"/>
        <v>694685.82935102109</v>
      </c>
      <c r="T57" s="62">
        <f t="shared" si="59"/>
        <v>667922.47707927588</v>
      </c>
      <c r="U57" s="62">
        <f t="shared" si="59"/>
        <v>648950.7242220171</v>
      </c>
      <c r="V57" s="62">
        <f t="shared" si="59"/>
        <v>635735.65970286133</v>
      </c>
      <c r="W57" s="62">
        <f t="shared" si="59"/>
        <v>626642.40303248633</v>
      </c>
      <c r="X57" s="62">
        <f t="shared" si="59"/>
        <v>620437.88314499462</v>
      </c>
      <c r="Y57" s="62">
        <f t="shared" si="59"/>
        <v>616228.72046879085</v>
      </c>
      <c r="Z57" s="62">
        <f t="shared" si="59"/>
        <v>613384.35694244877</v>
      </c>
      <c r="AA57" s="62">
        <f t="shared" si="59"/>
        <v>611467.33813842642</v>
      </c>
      <c r="AB57" s="62">
        <f t="shared" si="59"/>
        <v>610177.62364407699</v>
      </c>
      <c r="AC57" s="62">
        <f t="shared" si="59"/>
        <v>609310.98130686174</v>
      </c>
    </row>
    <row r="58" spans="1:29" ht="15" thickBot="1" x14ac:dyDescent="0.35">
      <c r="A58" s="59" t="str">
        <f>A21</f>
        <v>Emission Cost</v>
      </c>
      <c r="B58" s="62">
        <f>B41*B47</f>
        <v>25377.897847861244</v>
      </c>
      <c r="C58" s="62">
        <f t="shared" ref="C58:AC58" si="60">C41*C47</f>
        <v>25353.731905742414</v>
      </c>
      <c r="D58" s="62">
        <f t="shared" si="60"/>
        <v>25319.138897852274</v>
      </c>
      <c r="E58" s="62">
        <f t="shared" si="60"/>
        <v>25269.651167376363</v>
      </c>
      <c r="F58" s="62">
        <f t="shared" si="60"/>
        <v>25198.922280516395</v>
      </c>
      <c r="G58" s="62">
        <f t="shared" si="60"/>
        <v>25097.976873820924</v>
      </c>
      <c r="H58" s="62">
        <f t="shared" si="60"/>
        <v>24954.20585006753</v>
      </c>
      <c r="I58" s="62">
        <f t="shared" si="60"/>
        <v>24750.071606171052</v>
      </c>
      <c r="J58" s="62">
        <f t="shared" si="60"/>
        <v>24461.547468471788</v>
      </c>
      <c r="K58" s="62">
        <f t="shared" si="60"/>
        <v>24056.464784548647</v>
      </c>
      <c r="L58" s="62">
        <f t="shared" si="60"/>
        <v>23493.252804327683</v>
      </c>
      <c r="M58" s="62">
        <f t="shared" si="60"/>
        <v>22721.110249246831</v>
      </c>
      <c r="N58" s="62">
        <f t="shared" si="60"/>
        <v>21683.433394669322</v>
      </c>
      <c r="O58" s="62">
        <f t="shared" si="60"/>
        <v>20326.989281311096</v>
      </c>
      <c r="P58" s="62">
        <f t="shared" si="60"/>
        <v>18618.777189349097</v>
      </c>
      <c r="Q58" s="62">
        <f t="shared" si="60"/>
        <v>16568.971713230469</v>
      </c>
      <c r="R58" s="62">
        <f t="shared" si="60"/>
        <v>14251.105684982398</v>
      </c>
      <c r="S58" s="62">
        <f t="shared" si="60"/>
        <v>11804.144028925928</v>
      </c>
      <c r="T58" s="62">
        <f t="shared" si="60"/>
        <v>9405.334001347248</v>
      </c>
      <c r="U58" s="62">
        <f t="shared" si="60"/>
        <v>7221.6478572054848</v>
      </c>
      <c r="V58" s="62">
        <f t="shared" si="60"/>
        <v>5365.8255975718175</v>
      </c>
      <c r="W58" s="62">
        <f t="shared" si="60"/>
        <v>3879.6443265413554</v>
      </c>
      <c r="X58" s="62">
        <f t="shared" si="60"/>
        <v>2745.6220553132011</v>
      </c>
      <c r="Y58" s="62">
        <f t="shared" si="60"/>
        <v>1912.0247372428837</v>
      </c>
      <c r="Z58" s="62">
        <f t="shared" si="60"/>
        <v>1316.0147141952104</v>
      </c>
      <c r="AA58" s="62">
        <f t="shared" si="60"/>
        <v>898.29970659069966</v>
      </c>
      <c r="AB58" s="62">
        <f t="shared" si="60"/>
        <v>609.63296156509125</v>
      </c>
      <c r="AC58" s="62">
        <f t="shared" si="60"/>
        <v>412.08392312840692</v>
      </c>
    </row>
    <row r="59" spans="1:29" ht="15" thickBot="1" x14ac:dyDescent="0.35">
      <c r="A59" s="31" t="s">
        <v>209</v>
      </c>
      <c r="B59" s="64">
        <f>B50+B51+B52+B53+B54+B55+B56+B57+B58</f>
        <v>5387259.8440459669</v>
      </c>
      <c r="C59" s="64">
        <f t="shared" ref="C59:AC59" si="61">C50+C51+C52+C53+C54+C55+C56+C57+C58</f>
        <v>5373611.6377867954</v>
      </c>
      <c r="D59" s="64">
        <f t="shared" si="61"/>
        <v>5354246.5013861675</v>
      </c>
      <c r="E59" s="64">
        <f t="shared" si="61"/>
        <v>5326902.4499529246</v>
      </c>
      <c r="F59" s="64">
        <f t="shared" si="61"/>
        <v>5288564.6121410672</v>
      </c>
      <c r="G59" s="64">
        <f t="shared" si="61"/>
        <v>5235363.2413381469</v>
      </c>
      <c r="H59" s="64">
        <f t="shared" si="61"/>
        <v>5162618.8158608787</v>
      </c>
      <c r="I59" s="64">
        <f t="shared" si="61"/>
        <v>5065207.8941104794</v>
      </c>
      <c r="J59" s="64">
        <f t="shared" si="61"/>
        <v>4938475.0715508414</v>
      </c>
      <c r="K59" s="64">
        <f t="shared" si="61"/>
        <v>4779840.2791566113</v>
      </c>
      <c r="L59" s="64">
        <f t="shared" si="61"/>
        <v>4590885.526718447</v>
      </c>
      <c r="M59" s="64">
        <f t="shared" si="61"/>
        <v>4379029.6675167149</v>
      </c>
      <c r="N59" s="64">
        <f t="shared" si="61"/>
        <v>4157391.2106702263</v>
      </c>
      <c r="O59" s="64">
        <f t="shared" si="61"/>
        <v>3942007.6575072128</v>
      </c>
      <c r="P59" s="64">
        <f t="shared" si="61"/>
        <v>3747388.1748935124</v>
      </c>
      <c r="Q59" s="64">
        <f t="shared" si="61"/>
        <v>3582831.1486107134</v>
      </c>
      <c r="R59" s="64">
        <f t="shared" si="61"/>
        <v>3451328.0892461659</v>
      </c>
      <c r="S59" s="64">
        <f t="shared" si="61"/>
        <v>3350877.807945597</v>
      </c>
      <c r="T59" s="64">
        <f t="shared" si="61"/>
        <v>3276753.7348936307</v>
      </c>
      <c r="U59" s="64">
        <f t="shared" si="61"/>
        <v>3223451.1801529615</v>
      </c>
      <c r="V59" s="64">
        <f t="shared" si="61"/>
        <v>3185849.9127157619</v>
      </c>
      <c r="W59" s="64">
        <f t="shared" si="61"/>
        <v>3159700.5969139747</v>
      </c>
      <c r="X59" s="64">
        <f t="shared" si="61"/>
        <v>3141706.8114586207</v>
      </c>
      <c r="Y59" s="64">
        <f t="shared" si="61"/>
        <v>3129420.8071456039</v>
      </c>
      <c r="Z59" s="64">
        <f t="shared" si="61"/>
        <v>3121079.0107642328</v>
      </c>
      <c r="AA59" s="64">
        <f t="shared" si="61"/>
        <v>3115437.7719929661</v>
      </c>
      <c r="AB59" s="64">
        <f t="shared" si="61"/>
        <v>3111633.468040084</v>
      </c>
      <c r="AC59" s="64">
        <f t="shared" si="61"/>
        <v>3109072.9009718355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62">A50</f>
        <v>Capex vehicle</v>
      </c>
      <c r="B62" s="65">
        <f>((1+B35)^B42)*B35/(((1+B35)^B42)-1)*(B31)/B47</f>
        <v>4.8455990713167774</v>
      </c>
      <c r="C62" s="65">
        <f t="shared" ref="C62:AC62" si="63">((1+C35)^C42)*C35/(((1+C35)^C42)-1)*(C31)/C47</f>
        <v>4.8290332319773173</v>
      </c>
      <c r="D62" s="65">
        <f t="shared" si="63"/>
        <v>4.8055121148579749</v>
      </c>
      <c r="E62" s="65">
        <f t="shared" si="63"/>
        <v>4.7722672760448299</v>
      </c>
      <c r="F62" s="65">
        <f t="shared" si="63"/>
        <v>4.7255921221377486</v>
      </c>
      <c r="G62" s="65">
        <f t="shared" si="63"/>
        <v>4.6606967146013627</v>
      </c>
      <c r="H62" s="65">
        <f t="shared" si="63"/>
        <v>4.571727538611003</v>
      </c>
      <c r="I62" s="65">
        <f t="shared" si="63"/>
        <v>4.4521624996314282</v>
      </c>
      <c r="J62" s="65">
        <f t="shared" si="63"/>
        <v>4.2958678954183256</v>
      </c>
      <c r="K62" s="65">
        <f t="shared" si="63"/>
        <v>4.0990412586288079</v>
      </c>
      <c r="L62" s="65">
        <f t="shared" si="63"/>
        <v>3.8628549443908802</v>
      </c>
      <c r="M62" s="65">
        <f t="shared" si="63"/>
        <v>3.5957816828120173</v>
      </c>
      <c r="N62" s="65">
        <f t="shared" si="63"/>
        <v>3.3138335363372309</v>
      </c>
      <c r="O62" s="65">
        <f t="shared" si="63"/>
        <v>3.0374336020158523</v>
      </c>
      <c r="P62" s="65">
        <f t="shared" si="63"/>
        <v>2.7858210525099958</v>
      </c>
      <c r="Q62" s="65">
        <f t="shared" si="63"/>
        <v>2.5719862157460938</v>
      </c>
      <c r="R62" s="65">
        <f t="shared" si="63"/>
        <v>2.4007428071477408</v>
      </c>
      <c r="S62" s="65">
        <f t="shared" si="63"/>
        <v>2.2700764860623535</v>
      </c>
      <c r="T62" s="65">
        <f t="shared" si="63"/>
        <v>2.1740262606104945</v>
      </c>
      <c r="U62" s="65">
        <f t="shared" si="63"/>
        <v>2.1053517389387877</v>
      </c>
      <c r="V62" s="65">
        <f t="shared" si="63"/>
        <v>2.0572210410762808</v>
      </c>
      <c r="W62" s="65">
        <f t="shared" si="63"/>
        <v>2.0239597705093986</v>
      </c>
      <c r="X62" s="65">
        <f t="shared" si="63"/>
        <v>2.0011974255877933</v>
      </c>
      <c r="Y62" s="65">
        <f t="shared" si="63"/>
        <v>1.985723989557781</v>
      </c>
      <c r="Z62" s="65">
        <f t="shared" si="63"/>
        <v>1.9752532875754587</v>
      </c>
      <c r="AA62" s="65">
        <f t="shared" si="63"/>
        <v>1.9681897410865572</v>
      </c>
      <c r="AB62" s="65">
        <f t="shared" si="63"/>
        <v>1.9634345966789499</v>
      </c>
      <c r="AC62" s="65">
        <f t="shared" si="63"/>
        <v>1.9602379526700859</v>
      </c>
    </row>
    <row r="63" spans="1:29" x14ac:dyDescent="0.3">
      <c r="A63" s="30" t="str">
        <f t="shared" si="62"/>
        <v>Residual value (vehicle)</v>
      </c>
      <c r="B63" s="66">
        <f>((1+B35)^B42)*B35/(((1+B35)^B42)-1)*(B32)/B47</f>
        <v>-0.24485927589579937</v>
      </c>
      <c r="C63" s="66">
        <f t="shared" ref="C63:AC63" si="64">((1+C35)^C42)*C35/(((1+C35)^C42)-1)*(C32)/C47</f>
        <v>-0.2451353732181237</v>
      </c>
      <c r="D63" s="66">
        <f t="shared" si="64"/>
        <v>-0.24552739183677941</v>
      </c>
      <c r="E63" s="66">
        <f t="shared" si="64"/>
        <v>-0.24608147248366516</v>
      </c>
      <c r="F63" s="66">
        <f t="shared" si="64"/>
        <v>-0.24685939171544985</v>
      </c>
      <c r="G63" s="66">
        <f t="shared" si="64"/>
        <v>-0.24794098184105628</v>
      </c>
      <c r="H63" s="66">
        <f t="shared" si="64"/>
        <v>-0.24942380144089563</v>
      </c>
      <c r="I63" s="66">
        <f t="shared" si="64"/>
        <v>-0.25141655209055519</v>
      </c>
      <c r="J63" s="66">
        <f t="shared" si="64"/>
        <v>-0.25402146216077354</v>
      </c>
      <c r="K63" s="66">
        <f t="shared" si="64"/>
        <v>-0.25730190610726555</v>
      </c>
      <c r="L63" s="66">
        <f t="shared" si="64"/>
        <v>-0.26123834467789769</v>
      </c>
      <c r="M63" s="66">
        <f t="shared" si="64"/>
        <v>-0.26568956570421209</v>
      </c>
      <c r="N63" s="66">
        <f t="shared" si="64"/>
        <v>-0.27038870147879185</v>
      </c>
      <c r="O63" s="66">
        <f t="shared" si="64"/>
        <v>-0.27499536705081479</v>
      </c>
      <c r="P63" s="66">
        <f t="shared" si="64"/>
        <v>-0.27918890954257908</v>
      </c>
      <c r="Q63" s="66">
        <f t="shared" si="64"/>
        <v>-0.28275282348864411</v>
      </c>
      <c r="R63" s="66">
        <f t="shared" si="64"/>
        <v>-0.28560688029861664</v>
      </c>
      <c r="S63" s="66">
        <f t="shared" si="64"/>
        <v>-0.28778465231670641</v>
      </c>
      <c r="T63" s="66">
        <f t="shared" si="64"/>
        <v>-0.28938548940757075</v>
      </c>
      <c r="U63" s="66">
        <f t="shared" si="64"/>
        <v>-0.29053006476876586</v>
      </c>
      <c r="V63" s="66">
        <f t="shared" si="64"/>
        <v>-0.29133224306647432</v>
      </c>
      <c r="W63" s="66">
        <f t="shared" si="64"/>
        <v>-0.29188659757592234</v>
      </c>
      <c r="X63" s="66">
        <f t="shared" si="64"/>
        <v>-0.29226596999128246</v>
      </c>
      <c r="Y63" s="66">
        <f t="shared" si="64"/>
        <v>-0.29252386059178265</v>
      </c>
      <c r="Z63" s="66">
        <f t="shared" si="64"/>
        <v>-0.29269837229148804</v>
      </c>
      <c r="AA63" s="66">
        <f t="shared" si="64"/>
        <v>-0.29281609806630304</v>
      </c>
      <c r="AB63" s="66">
        <f t="shared" si="64"/>
        <v>-0.29289535047309651</v>
      </c>
      <c r="AC63" s="66">
        <f t="shared" si="64"/>
        <v>-0.29294862787324427</v>
      </c>
    </row>
    <row r="64" spans="1:29" x14ac:dyDescent="0.3">
      <c r="A64" s="30" t="str">
        <f t="shared" si="62"/>
        <v>Capex costumization</v>
      </c>
      <c r="B64" s="66">
        <f>((1+B35)^B43)*B35/(((1+B35)^B43)-1)*(B33)/B47</f>
        <v>1.7093861527069927</v>
      </c>
      <c r="C64" s="66">
        <f t="shared" ref="C64:AC64" si="65">((1+C35)^C43)*C35/(((1+C35)^C43)-1)*(C33)/C47</f>
        <v>1.7093861527069927</v>
      </c>
      <c r="D64" s="66">
        <f t="shared" si="65"/>
        <v>1.7093861527069927</v>
      </c>
      <c r="E64" s="66">
        <f t="shared" si="65"/>
        <v>1.7093861527069927</v>
      </c>
      <c r="F64" s="66">
        <f t="shared" si="65"/>
        <v>1.7093861527069927</v>
      </c>
      <c r="G64" s="66">
        <f t="shared" si="65"/>
        <v>1.7093861527069927</v>
      </c>
      <c r="H64" s="66">
        <f t="shared" si="65"/>
        <v>1.7093861527069927</v>
      </c>
      <c r="I64" s="66">
        <f t="shared" si="65"/>
        <v>1.7093861527069927</v>
      </c>
      <c r="J64" s="66">
        <f t="shared" si="65"/>
        <v>1.7093861527069927</v>
      </c>
      <c r="K64" s="66">
        <f t="shared" si="65"/>
        <v>1.7093861527069927</v>
      </c>
      <c r="L64" s="66">
        <f t="shared" si="65"/>
        <v>1.7093861527069927</v>
      </c>
      <c r="M64" s="66">
        <f t="shared" si="65"/>
        <v>1.7093861527069927</v>
      </c>
      <c r="N64" s="66">
        <f t="shared" si="65"/>
        <v>1.7093861527069927</v>
      </c>
      <c r="O64" s="66">
        <f t="shared" si="65"/>
        <v>1.7093861527069927</v>
      </c>
      <c r="P64" s="66">
        <f t="shared" si="65"/>
        <v>1.7093861527069927</v>
      </c>
      <c r="Q64" s="66">
        <f t="shared" si="65"/>
        <v>1.7093861527069927</v>
      </c>
      <c r="R64" s="66">
        <f t="shared" si="65"/>
        <v>1.7093861527069927</v>
      </c>
      <c r="S64" s="66">
        <f t="shared" si="65"/>
        <v>1.7093861527069927</v>
      </c>
      <c r="T64" s="66">
        <f t="shared" si="65"/>
        <v>1.7093861527069927</v>
      </c>
      <c r="U64" s="66">
        <f t="shared" si="65"/>
        <v>1.7093861527069927</v>
      </c>
      <c r="V64" s="66">
        <f t="shared" si="65"/>
        <v>1.7093861527069927</v>
      </c>
      <c r="W64" s="66">
        <f t="shared" si="65"/>
        <v>1.7093861527069927</v>
      </c>
      <c r="X64" s="66">
        <f t="shared" si="65"/>
        <v>1.7093861527069927</v>
      </c>
      <c r="Y64" s="66">
        <f t="shared" si="65"/>
        <v>1.7093861527069927</v>
      </c>
      <c r="Z64" s="66">
        <f t="shared" si="65"/>
        <v>1.7093861527069927</v>
      </c>
      <c r="AA64" s="66">
        <f t="shared" si="65"/>
        <v>1.7093861527069927</v>
      </c>
      <c r="AB64" s="66">
        <f t="shared" si="65"/>
        <v>1.7093861527069927</v>
      </c>
      <c r="AC64" s="66">
        <f t="shared" si="65"/>
        <v>1.7093861527069927</v>
      </c>
    </row>
    <row r="65" spans="1:29" x14ac:dyDescent="0.3">
      <c r="A65" s="30" t="str">
        <f t="shared" si="62"/>
        <v>Residual value (costumization)</v>
      </c>
      <c r="B65" s="66">
        <f>((1+B35)^B43)*B35/(((1+B35)^B43)-1)*(B34)/B47</f>
        <v>-8.5469307635349642E-2</v>
      </c>
      <c r="C65" s="66">
        <f t="shared" ref="C65:AC65" si="66">((1+C35)^C43)*C35/(((1+C35)^C43)-1)*(C34)/C47</f>
        <v>-8.5469307635349642E-2</v>
      </c>
      <c r="D65" s="66">
        <f t="shared" si="66"/>
        <v>-8.5469307635349642E-2</v>
      </c>
      <c r="E65" s="66">
        <f t="shared" si="66"/>
        <v>-8.5469307635349642E-2</v>
      </c>
      <c r="F65" s="66">
        <f t="shared" si="66"/>
        <v>-8.5469307635349642E-2</v>
      </c>
      <c r="G65" s="66">
        <f t="shared" si="66"/>
        <v>-8.5469307635349642E-2</v>
      </c>
      <c r="H65" s="66">
        <f t="shared" si="66"/>
        <v>-8.5469307635349642E-2</v>
      </c>
      <c r="I65" s="66">
        <f t="shared" si="66"/>
        <v>-8.5469307635349642E-2</v>
      </c>
      <c r="J65" s="66">
        <f t="shared" si="66"/>
        <v>-8.5469307635349642E-2</v>
      </c>
      <c r="K65" s="66">
        <f t="shared" si="66"/>
        <v>-8.5469307635349642E-2</v>
      </c>
      <c r="L65" s="66">
        <f t="shared" si="66"/>
        <v>-8.5469307635349642E-2</v>
      </c>
      <c r="M65" s="66">
        <f t="shared" si="66"/>
        <v>-8.5469307635349642E-2</v>
      </c>
      <c r="N65" s="66">
        <f t="shared" si="66"/>
        <v>-8.5469307635349642E-2</v>
      </c>
      <c r="O65" s="66">
        <f t="shared" si="66"/>
        <v>-8.5469307635349642E-2</v>
      </c>
      <c r="P65" s="66">
        <f t="shared" si="66"/>
        <v>-8.5469307635349642E-2</v>
      </c>
      <c r="Q65" s="66">
        <f t="shared" si="66"/>
        <v>-8.5469307635349642E-2</v>
      </c>
      <c r="R65" s="66">
        <f t="shared" si="66"/>
        <v>-8.5469307635349642E-2</v>
      </c>
      <c r="S65" s="66">
        <f t="shared" si="66"/>
        <v>-8.5469307635349642E-2</v>
      </c>
      <c r="T65" s="66">
        <f t="shared" si="66"/>
        <v>-8.5469307635349642E-2</v>
      </c>
      <c r="U65" s="66">
        <f t="shared" si="66"/>
        <v>-8.5469307635349642E-2</v>
      </c>
      <c r="V65" s="66">
        <f t="shared" si="66"/>
        <v>-8.5469307635349642E-2</v>
      </c>
      <c r="W65" s="66">
        <f t="shared" si="66"/>
        <v>-8.5469307635349642E-2</v>
      </c>
      <c r="X65" s="66">
        <f t="shared" si="66"/>
        <v>-8.5469307635349642E-2</v>
      </c>
      <c r="Y65" s="66">
        <f t="shared" si="66"/>
        <v>-8.5469307635349642E-2</v>
      </c>
      <c r="Z65" s="66">
        <f t="shared" si="66"/>
        <v>-8.5469307635349642E-2</v>
      </c>
      <c r="AA65" s="66">
        <f t="shared" si="66"/>
        <v>-8.5469307635349642E-2</v>
      </c>
      <c r="AB65" s="66">
        <f t="shared" si="66"/>
        <v>-8.5469307635349642E-2</v>
      </c>
      <c r="AC65" s="66">
        <f t="shared" si="66"/>
        <v>-8.5469307635349642E-2</v>
      </c>
    </row>
    <row r="66" spans="1:29" x14ac:dyDescent="0.3">
      <c r="A66" s="30" t="str">
        <f t="shared" si="62"/>
        <v>Opex fix (admin, crew, insurance)</v>
      </c>
      <c r="B66" s="66">
        <f>B36/B47</f>
        <v>3.6414565826330532</v>
      </c>
      <c r="C66" s="66">
        <f t="shared" ref="C66:AC66" si="67">C36/C47</f>
        <v>3.6414565826330532</v>
      </c>
      <c r="D66" s="66">
        <f t="shared" si="67"/>
        <v>3.6414565826330532</v>
      </c>
      <c r="E66" s="66">
        <f t="shared" si="67"/>
        <v>3.6414565826330532</v>
      </c>
      <c r="F66" s="66">
        <f t="shared" si="67"/>
        <v>3.6414565826330532</v>
      </c>
      <c r="G66" s="66">
        <f t="shared" si="67"/>
        <v>3.6414565826330532</v>
      </c>
      <c r="H66" s="66">
        <f t="shared" si="67"/>
        <v>3.6414565826330532</v>
      </c>
      <c r="I66" s="66">
        <f t="shared" si="67"/>
        <v>3.6414565826330532</v>
      </c>
      <c r="J66" s="66">
        <f t="shared" si="67"/>
        <v>3.6414565826330532</v>
      </c>
      <c r="K66" s="66">
        <f t="shared" si="67"/>
        <v>3.6414565826330532</v>
      </c>
      <c r="L66" s="66">
        <f t="shared" si="67"/>
        <v>3.6414565826330532</v>
      </c>
      <c r="M66" s="66">
        <f t="shared" si="67"/>
        <v>3.6414565826330532</v>
      </c>
      <c r="N66" s="66">
        <f t="shared" si="67"/>
        <v>3.6414565826330532</v>
      </c>
      <c r="O66" s="66">
        <f t="shared" si="67"/>
        <v>3.6414565826330532</v>
      </c>
      <c r="P66" s="66">
        <f t="shared" si="67"/>
        <v>3.6414565826330532</v>
      </c>
      <c r="Q66" s="66">
        <f t="shared" si="67"/>
        <v>3.6414565826330532</v>
      </c>
      <c r="R66" s="66">
        <f t="shared" si="67"/>
        <v>3.6414565826330532</v>
      </c>
      <c r="S66" s="66">
        <f t="shared" si="67"/>
        <v>3.6414565826330532</v>
      </c>
      <c r="T66" s="66">
        <f t="shared" si="67"/>
        <v>3.6414565826330532</v>
      </c>
      <c r="U66" s="66">
        <f t="shared" si="67"/>
        <v>3.6414565826330532</v>
      </c>
      <c r="V66" s="66">
        <f t="shared" si="67"/>
        <v>3.6414565826330532</v>
      </c>
      <c r="W66" s="66">
        <f t="shared" si="67"/>
        <v>3.6414565826330532</v>
      </c>
      <c r="X66" s="66">
        <f t="shared" si="67"/>
        <v>3.6414565826330532</v>
      </c>
      <c r="Y66" s="66">
        <f t="shared" si="67"/>
        <v>3.6414565826330532</v>
      </c>
      <c r="Z66" s="66">
        <f t="shared" si="67"/>
        <v>3.6414565826330532</v>
      </c>
      <c r="AA66" s="66">
        <f t="shared" si="67"/>
        <v>3.6414565826330532</v>
      </c>
      <c r="AB66" s="66">
        <f t="shared" si="67"/>
        <v>3.6414565826330532</v>
      </c>
      <c r="AC66" s="66">
        <f t="shared" si="67"/>
        <v>3.6414565826330532</v>
      </c>
    </row>
    <row r="67" spans="1:29" x14ac:dyDescent="0.3">
      <c r="A67" s="30" t="str">
        <f t="shared" si="62"/>
        <v>Opex maintenance &amp; repair</v>
      </c>
      <c r="B67" s="66">
        <f>B37/B47</f>
        <v>7.7810095446659027</v>
      </c>
      <c r="C67" s="66">
        <f t="shared" ref="C67:AC67" si="68">C37/C47</f>
        <v>7.7544083025658797</v>
      </c>
      <c r="D67" s="66">
        <f t="shared" si="68"/>
        <v>7.7166383521194692</v>
      </c>
      <c r="E67" s="66">
        <f t="shared" si="68"/>
        <v>7.6632541566239745</v>
      </c>
      <c r="F67" s="66">
        <f t="shared" si="68"/>
        <v>7.5883037092789669</v>
      </c>
      <c r="G67" s="66">
        <f t="shared" si="68"/>
        <v>7.4840953796145033</v>
      </c>
      <c r="H67" s="66">
        <f t="shared" si="68"/>
        <v>7.3412296580858891</v>
      </c>
      <c r="I67" s="66">
        <f t="shared" si="68"/>
        <v>7.1492334372232325</v>
      </c>
      <c r="J67" s="66">
        <f t="shared" si="68"/>
        <v>6.8982572856136732</v>
      </c>
      <c r="K67" s="66">
        <f t="shared" si="68"/>
        <v>6.5821952431369439</v>
      </c>
      <c r="L67" s="66">
        <f t="shared" si="68"/>
        <v>6.202929864727218</v>
      </c>
      <c r="M67" s="66">
        <f t="shared" si="68"/>
        <v>5.7740665669419418</v>
      </c>
      <c r="N67" s="66">
        <f t="shared" si="68"/>
        <v>5.3213173430518594</v>
      </c>
      <c r="O67" s="66">
        <f t="shared" si="68"/>
        <v>4.8774773770442641</v>
      </c>
      <c r="P67" s="66">
        <f t="shared" si="68"/>
        <v>4.4734407201834294</v>
      </c>
      <c r="Q67" s="66">
        <f t="shared" si="68"/>
        <v>4.13006709777809</v>
      </c>
      <c r="R67" s="66">
        <f t="shared" si="68"/>
        <v>3.855086320963053</v>
      </c>
      <c r="S67" s="66">
        <f t="shared" si="68"/>
        <v>3.6452637837353725</v>
      </c>
      <c r="T67" s="66">
        <f t="shared" si="68"/>
        <v>3.4910273910812166</v>
      </c>
      <c r="U67" s="66">
        <f t="shared" si="68"/>
        <v>3.3807506016196185</v>
      </c>
      <c r="V67" s="66">
        <f t="shared" si="68"/>
        <v>3.3034628578447651</v>
      </c>
      <c r="W67" s="66">
        <f t="shared" si="68"/>
        <v>3.2500522764203521</v>
      </c>
      <c r="X67" s="66">
        <f t="shared" si="68"/>
        <v>3.2135007540002656</v>
      </c>
      <c r="Y67" s="66">
        <f t="shared" si="68"/>
        <v>3.188653681086</v>
      </c>
      <c r="Z67" s="66">
        <f t="shared" si="68"/>
        <v>3.1718399433283566</v>
      </c>
      <c r="AA67" s="66">
        <f t="shared" si="68"/>
        <v>3.1604973782831638</v>
      </c>
      <c r="AB67" s="66">
        <f t="shared" si="68"/>
        <v>3.1528616198398223</v>
      </c>
      <c r="AC67" s="66">
        <f t="shared" si="68"/>
        <v>3.1477284841474571</v>
      </c>
    </row>
    <row r="68" spans="1:29" x14ac:dyDescent="0.3">
      <c r="A68" s="30" t="str">
        <f t="shared" si="62"/>
        <v>Opex var (mode-fees, shunting)</v>
      </c>
      <c r="B68" s="66">
        <f>B38*B47/B47</f>
        <v>3.9215686274509802</v>
      </c>
      <c r="C68" s="66">
        <f t="shared" ref="C68:AC68" si="69">C38*C47/C47</f>
        <v>3.9215686274509802</v>
      </c>
      <c r="D68" s="66">
        <f t="shared" si="69"/>
        <v>3.9215686274509802</v>
      </c>
      <c r="E68" s="66">
        <f t="shared" si="69"/>
        <v>3.9215686274509802</v>
      </c>
      <c r="F68" s="66">
        <f t="shared" si="69"/>
        <v>3.9215686274509802</v>
      </c>
      <c r="G68" s="66">
        <f t="shared" si="69"/>
        <v>3.9215686274509802</v>
      </c>
      <c r="H68" s="66">
        <f t="shared" si="69"/>
        <v>3.9215686274509802</v>
      </c>
      <c r="I68" s="66">
        <f t="shared" si="69"/>
        <v>3.9215686274509802</v>
      </c>
      <c r="J68" s="66">
        <f t="shared" si="69"/>
        <v>3.9215686274509802</v>
      </c>
      <c r="K68" s="66">
        <f t="shared" si="69"/>
        <v>3.9215686274509802</v>
      </c>
      <c r="L68" s="66">
        <f t="shared" si="69"/>
        <v>3.9215686274509802</v>
      </c>
      <c r="M68" s="66">
        <f t="shared" si="69"/>
        <v>3.9215686274509802</v>
      </c>
      <c r="N68" s="66">
        <f t="shared" si="69"/>
        <v>3.9215686274509802</v>
      </c>
      <c r="O68" s="66">
        <f t="shared" si="69"/>
        <v>3.9215686274509802</v>
      </c>
      <c r="P68" s="66">
        <f t="shared" si="69"/>
        <v>3.9215686274509802</v>
      </c>
      <c r="Q68" s="66">
        <f t="shared" si="69"/>
        <v>3.9215686274509802</v>
      </c>
      <c r="R68" s="66">
        <f t="shared" si="69"/>
        <v>3.9215686274509802</v>
      </c>
      <c r="S68" s="66">
        <f t="shared" si="69"/>
        <v>3.9215686274509802</v>
      </c>
      <c r="T68" s="66">
        <f t="shared" si="69"/>
        <v>3.9215686274509802</v>
      </c>
      <c r="U68" s="66">
        <f t="shared" si="69"/>
        <v>3.9215686274509802</v>
      </c>
      <c r="V68" s="66">
        <f t="shared" si="69"/>
        <v>3.9215686274509802</v>
      </c>
      <c r="W68" s="66">
        <f t="shared" si="69"/>
        <v>3.9215686274509802</v>
      </c>
      <c r="X68" s="66">
        <f t="shared" si="69"/>
        <v>3.9215686274509802</v>
      </c>
      <c r="Y68" s="66">
        <f t="shared" si="69"/>
        <v>3.9215686274509802</v>
      </c>
      <c r="Z68" s="66">
        <f t="shared" si="69"/>
        <v>3.9215686274509802</v>
      </c>
      <c r="AA68" s="66">
        <f t="shared" si="69"/>
        <v>3.9215686274509802</v>
      </c>
      <c r="AB68" s="66">
        <f t="shared" si="69"/>
        <v>3.9215686274509802</v>
      </c>
      <c r="AC68" s="66">
        <f t="shared" si="69"/>
        <v>3.9215686274509802</v>
      </c>
    </row>
    <row r="69" spans="1:29" x14ac:dyDescent="0.3">
      <c r="A69" s="30" t="str">
        <f t="shared" si="62"/>
        <v>Fuel Cost</v>
      </c>
      <c r="B69" s="66">
        <f>B39*B40*B47/B47</f>
        <v>8.4698629251950113</v>
      </c>
      <c r="C69" s="66">
        <f t="shared" ref="C69:AC69" si="70">C39*C40*C47/C47</f>
        <v>8.4369809481189879</v>
      </c>
      <c r="D69" s="66">
        <f t="shared" si="70"/>
        <v>8.3903696735597642</v>
      </c>
      <c r="E69" s="66">
        <f t="shared" si="70"/>
        <v>8.324642067491391</v>
      </c>
      <c r="F69" s="66">
        <f t="shared" si="70"/>
        <v>8.2326640253702319</v>
      </c>
      <c r="G69" s="66">
        <f t="shared" si="70"/>
        <v>8.1053679779279246</v>
      </c>
      <c r="H69" s="66">
        <f t="shared" si="70"/>
        <v>7.9319593395648607</v>
      </c>
      <c r="I69" s="66">
        <f t="shared" si="70"/>
        <v>7.7009375096841852</v>
      </c>
      <c r="J69" s="66">
        <f t="shared" si="70"/>
        <v>7.4024417558463229</v>
      </c>
      <c r="K69" s="66">
        <f t="shared" si="70"/>
        <v>7.0321699283010322</v>
      </c>
      <c r="L69" s="66">
        <f t="shared" si="70"/>
        <v>6.5961432670378439</v>
      </c>
      <c r="M69" s="66">
        <f t="shared" si="70"/>
        <v>6.1139892174750745</v>
      </c>
      <c r="N69" s="66">
        <f t="shared" si="70"/>
        <v>5.6175270121752394</v>
      </c>
      <c r="O69" s="66">
        <f t="shared" si="70"/>
        <v>5.1433421548288711</v>
      </c>
      <c r="P69" s="66">
        <f t="shared" si="70"/>
        <v>4.7224494946019533</v>
      </c>
      <c r="Q69" s="66">
        <f t="shared" si="70"/>
        <v>4.3728172693605067</v>
      </c>
      <c r="R69" s="66">
        <f t="shared" si="70"/>
        <v>4.0981689382712672</v>
      </c>
      <c r="S69" s="66">
        <f t="shared" si="70"/>
        <v>3.8917973633110425</v>
      </c>
      <c r="T69" s="66">
        <f t="shared" si="70"/>
        <v>3.741862616690621</v>
      </c>
      <c r="U69" s="66">
        <f t="shared" si="70"/>
        <v>3.6355782869580788</v>
      </c>
      <c r="V69" s="66">
        <f t="shared" si="70"/>
        <v>3.5615443120608479</v>
      </c>
      <c r="W69" s="66">
        <f t="shared" si="70"/>
        <v>3.510601697660988</v>
      </c>
      <c r="X69" s="66">
        <f t="shared" si="70"/>
        <v>3.4758424826050121</v>
      </c>
      <c r="Y69" s="66">
        <f t="shared" si="70"/>
        <v>3.4522617393209574</v>
      </c>
      <c r="Z69" s="66">
        <f t="shared" si="70"/>
        <v>3.4363269296495731</v>
      </c>
      <c r="AA69" s="66">
        <f t="shared" si="70"/>
        <v>3.4255873285065905</v>
      </c>
      <c r="AB69" s="66">
        <f t="shared" si="70"/>
        <v>3.4183620372217196</v>
      </c>
      <c r="AC69" s="66">
        <f t="shared" si="70"/>
        <v>3.4135068980776566</v>
      </c>
    </row>
    <row r="70" spans="1:29" ht="15" thickBot="1" x14ac:dyDescent="0.35">
      <c r="A70" s="59" t="str">
        <f t="shared" ref="A70" si="71">A58</f>
        <v>Emission Cost</v>
      </c>
      <c r="B70" s="66">
        <f>B41</f>
        <v>0.14217309718689772</v>
      </c>
      <c r="C70" s="66">
        <f t="shared" ref="C70:AC70" si="72">C41</f>
        <v>0.14203771375766058</v>
      </c>
      <c r="D70" s="66">
        <f t="shared" si="72"/>
        <v>0.14184391539413038</v>
      </c>
      <c r="E70" s="66">
        <f t="shared" si="72"/>
        <v>0.14156667320659028</v>
      </c>
      <c r="F70" s="66">
        <f t="shared" si="72"/>
        <v>0.14117043294406945</v>
      </c>
      <c r="G70" s="66">
        <f t="shared" si="72"/>
        <v>0.14060491245838053</v>
      </c>
      <c r="H70" s="66">
        <f t="shared" si="72"/>
        <v>0.13979947254939792</v>
      </c>
      <c r="I70" s="66">
        <f t="shared" si="72"/>
        <v>0.13865586333989385</v>
      </c>
      <c r="J70" s="66">
        <f t="shared" si="72"/>
        <v>0.13703948161608845</v>
      </c>
      <c r="K70" s="66">
        <f t="shared" si="72"/>
        <v>0.13477011083780754</v>
      </c>
      <c r="L70" s="66">
        <f t="shared" si="72"/>
        <v>0.13161486164889458</v>
      </c>
      <c r="M70" s="66">
        <f t="shared" si="72"/>
        <v>0.12728913304900186</v>
      </c>
      <c r="N70" s="66">
        <f t="shared" si="72"/>
        <v>0.12147581733708304</v>
      </c>
      <c r="O70" s="66">
        <f t="shared" si="72"/>
        <v>0.11387669065160279</v>
      </c>
      <c r="P70" s="66">
        <f t="shared" si="72"/>
        <v>0.10430687501035908</v>
      </c>
      <c r="Q70" s="66">
        <f t="shared" si="72"/>
        <v>9.2823370942467606E-2</v>
      </c>
      <c r="R70" s="66">
        <f t="shared" si="72"/>
        <v>7.9838127086736127E-2</v>
      </c>
      <c r="S70" s="66">
        <f t="shared" si="72"/>
        <v>6.6129658425355342E-2</v>
      </c>
      <c r="T70" s="66">
        <f t="shared" si="72"/>
        <v>5.2690946786259088E-2</v>
      </c>
      <c r="U70" s="66">
        <f t="shared" si="72"/>
        <v>4.0457410964736609E-2</v>
      </c>
      <c r="V70" s="66">
        <f t="shared" si="72"/>
        <v>3.0060647605444357E-2</v>
      </c>
      <c r="W70" s="66">
        <f t="shared" si="72"/>
        <v>2.1734702109475382E-2</v>
      </c>
      <c r="X70" s="66">
        <f t="shared" si="72"/>
        <v>1.5381636164219614E-2</v>
      </c>
      <c r="Y70" s="66">
        <f t="shared" si="72"/>
        <v>1.0711623177831281E-2</v>
      </c>
      <c r="Z70" s="66">
        <f t="shared" si="72"/>
        <v>7.3726314520740077E-3</v>
      </c>
      <c r="AA70" s="66">
        <f t="shared" si="72"/>
        <v>5.0324913534492977E-3</v>
      </c>
      <c r="AB70" s="66">
        <f t="shared" si="72"/>
        <v>3.4153107090481305E-3</v>
      </c>
      <c r="AC70" s="66">
        <f t="shared" si="72"/>
        <v>2.3085934068818315E-3</v>
      </c>
    </row>
    <row r="71" spans="1:29" ht="15" thickBot="1" x14ac:dyDescent="0.35">
      <c r="A71" s="31" t="s">
        <v>63</v>
      </c>
      <c r="B71" s="76">
        <f>B62+B63+B64-B65+B66+B67+B68+B69+B70</f>
        <v>30.351666032895167</v>
      </c>
      <c r="C71" s="76">
        <f t="shared" ref="C71:AC71" si="73">C62+C63+C64-C65+C66+C67+C68+C69+C70</f>
        <v>30.275205493628093</v>
      </c>
      <c r="D71" s="76">
        <f t="shared" si="73"/>
        <v>30.166717334520936</v>
      </c>
      <c r="E71" s="76">
        <f t="shared" si="73"/>
        <v>30.013529371309495</v>
      </c>
      <c r="F71" s="76">
        <f t="shared" si="73"/>
        <v>29.79875156844194</v>
      </c>
      <c r="G71" s="76">
        <f t="shared" si="73"/>
        <v>29.500704673187492</v>
      </c>
      <c r="H71" s="76">
        <f t="shared" si="73"/>
        <v>29.093172877796633</v>
      </c>
      <c r="I71" s="76">
        <f t="shared" si="73"/>
        <v>28.54745342821456</v>
      </c>
      <c r="J71" s="76">
        <f t="shared" si="73"/>
        <v>27.837465626760011</v>
      </c>
      <c r="K71" s="76">
        <f t="shared" si="73"/>
        <v>26.948755305223699</v>
      </c>
      <c r="L71" s="76">
        <f t="shared" si="73"/>
        <v>25.890185263553317</v>
      </c>
      <c r="M71" s="76">
        <f t="shared" si="73"/>
        <v>24.703317705000199</v>
      </c>
      <c r="N71" s="76">
        <f t="shared" si="73"/>
        <v>23.461645677848995</v>
      </c>
      <c r="O71" s="76">
        <f t="shared" si="73"/>
        <v>22.255015127916153</v>
      </c>
      <c r="P71" s="76">
        <f t="shared" si="73"/>
        <v>21.164709903189532</v>
      </c>
      <c r="Q71" s="76">
        <f t="shared" si="73"/>
        <v>20.242821800764894</v>
      </c>
      <c r="R71" s="76">
        <f t="shared" si="73"/>
        <v>19.506109983596556</v>
      </c>
      <c r="S71" s="76">
        <f t="shared" si="73"/>
        <v>18.943363309643797</v>
      </c>
      <c r="T71" s="76">
        <f t="shared" si="73"/>
        <v>18.528102396187396</v>
      </c>
      <c r="U71" s="76">
        <f t="shared" si="73"/>
        <v>18.229488644138833</v>
      </c>
      <c r="V71" s="76">
        <f t="shared" si="73"/>
        <v>18.018837285947242</v>
      </c>
      <c r="W71" s="76">
        <f t="shared" si="73"/>
        <v>17.872342519550671</v>
      </c>
      <c r="X71" s="76">
        <f t="shared" si="73"/>
        <v>17.771536998792385</v>
      </c>
      <c r="Y71" s="76">
        <f t="shared" si="73"/>
        <v>17.702707842977162</v>
      </c>
      <c r="Z71" s="76">
        <f t="shared" si="73"/>
        <v>17.655975090140352</v>
      </c>
      <c r="AA71" s="76">
        <f t="shared" si="73"/>
        <v>17.624371511589835</v>
      </c>
      <c r="AB71" s="76">
        <f t="shared" si="73"/>
        <v>17.60305888440282</v>
      </c>
      <c r="AC71" s="76">
        <f t="shared" si="73"/>
        <v>17.58871397085521</v>
      </c>
    </row>
    <row r="72" spans="1:29" ht="15" thickBot="1" x14ac:dyDescent="0.35"/>
    <row r="73" spans="1:29" ht="15" thickBot="1" x14ac:dyDescent="0.35">
      <c r="A73" s="26" t="s">
        <v>208</v>
      </c>
      <c r="B73" s="163">
        <v>2023</v>
      </c>
      <c r="C73" s="163">
        <v>2024</v>
      </c>
      <c r="D73" s="163">
        <v>2025</v>
      </c>
      <c r="E73" s="163">
        <v>2026</v>
      </c>
      <c r="F73" s="163">
        <v>2027</v>
      </c>
      <c r="G73" s="163">
        <v>2028</v>
      </c>
      <c r="H73" s="163">
        <v>2029</v>
      </c>
      <c r="I73" s="163">
        <v>2030</v>
      </c>
      <c r="J73" s="163">
        <v>2031</v>
      </c>
      <c r="K73" s="163">
        <v>2032</v>
      </c>
      <c r="L73" s="163">
        <v>2033</v>
      </c>
      <c r="M73" s="163">
        <v>2034</v>
      </c>
      <c r="N73" s="163">
        <v>2035</v>
      </c>
      <c r="O73" s="163">
        <v>2036</v>
      </c>
      <c r="P73" s="163">
        <v>2037</v>
      </c>
      <c r="Q73" s="163">
        <v>2038</v>
      </c>
      <c r="R73" s="163">
        <v>2039</v>
      </c>
      <c r="S73" s="163">
        <v>2040</v>
      </c>
      <c r="T73" s="163">
        <v>2041</v>
      </c>
      <c r="U73" s="163">
        <v>2042</v>
      </c>
      <c r="V73" s="163">
        <v>2043</v>
      </c>
      <c r="W73" s="163">
        <v>2044</v>
      </c>
      <c r="X73" s="163">
        <v>2045</v>
      </c>
      <c r="Y73" s="163">
        <v>2046</v>
      </c>
      <c r="Z73" s="163">
        <v>2047</v>
      </c>
      <c r="AA73" s="163">
        <v>2048</v>
      </c>
      <c r="AB73" s="163">
        <v>2049</v>
      </c>
      <c r="AC73" s="164">
        <v>2050</v>
      </c>
    </row>
    <row r="74" spans="1:29" x14ac:dyDescent="0.3">
      <c r="A74" s="29" t="str">
        <f t="shared" ref="A74:A81" si="74">A50</f>
        <v>Capex vehicle</v>
      </c>
      <c r="B74" s="65">
        <f>((1+B35)^B42)*B35/(((1+B35)^B42)-1)*(B31)/B47/(B44)</f>
        <v>2.1632138711235615E-3</v>
      </c>
      <c r="C74" s="65">
        <f t="shared" ref="C74:AC74" si="75">((1+C35)^C42)*C35/(((1+C35)^C42)-1)*(C31)/C47/(C44)</f>
        <v>2.1558184071327311E-3</v>
      </c>
      <c r="D74" s="65">
        <f t="shared" si="75"/>
        <v>2.145317908418739E-3</v>
      </c>
      <c r="E74" s="65">
        <f t="shared" si="75"/>
        <v>2.1304764625200132E-3</v>
      </c>
      <c r="F74" s="65">
        <f t="shared" si="75"/>
        <v>2.1096393402400665E-3</v>
      </c>
      <c r="G74" s="65">
        <f t="shared" si="75"/>
        <v>2.0806681761613224E-3</v>
      </c>
      <c r="H74" s="65">
        <f t="shared" si="75"/>
        <v>2.0409497940227692E-3</v>
      </c>
      <c r="I74" s="65">
        <f t="shared" si="75"/>
        <v>1.9875725444783161E-3</v>
      </c>
      <c r="J74" s="65">
        <f t="shared" si="75"/>
        <v>1.9177981675974668E-3</v>
      </c>
      <c r="K74" s="65">
        <f t="shared" si="75"/>
        <v>1.829929133316432E-3</v>
      </c>
      <c r="L74" s="65">
        <f t="shared" si="75"/>
        <v>1.7244888144602143E-3</v>
      </c>
      <c r="M74" s="65">
        <f t="shared" si="75"/>
        <v>1.6052596798267933E-3</v>
      </c>
      <c r="N74" s="65">
        <f t="shared" si="75"/>
        <v>1.479389971579121E-3</v>
      </c>
      <c r="O74" s="65">
        <f t="shared" si="75"/>
        <v>1.3559971437570768E-3</v>
      </c>
      <c r="P74" s="65">
        <f t="shared" si="75"/>
        <v>1.2436701127276767E-3</v>
      </c>
      <c r="Q74" s="65">
        <f t="shared" si="75"/>
        <v>1.1482081320295062E-3</v>
      </c>
      <c r="R74" s="65">
        <f t="shared" si="75"/>
        <v>1.0717601817623844E-3</v>
      </c>
      <c r="S74" s="65">
        <f t="shared" si="75"/>
        <v>1.0134270027064077E-3</v>
      </c>
      <c r="T74" s="65">
        <f t="shared" si="75"/>
        <v>9.7054743777254216E-4</v>
      </c>
      <c r="U74" s="65">
        <f t="shared" si="75"/>
        <v>9.3988916916910165E-4</v>
      </c>
      <c r="V74" s="65">
        <f t="shared" si="75"/>
        <v>9.1840225048048251E-4</v>
      </c>
      <c r="W74" s="65">
        <f t="shared" si="75"/>
        <v>9.0355346897741005E-4</v>
      </c>
      <c r="X74" s="65">
        <f t="shared" si="75"/>
        <v>8.9339170785169349E-4</v>
      </c>
      <c r="Y74" s="65">
        <f t="shared" si="75"/>
        <v>8.8648392390972366E-4</v>
      </c>
      <c r="Z74" s="65">
        <f t="shared" si="75"/>
        <v>8.8180950338190116E-4</v>
      </c>
      <c r="AA74" s="65">
        <f t="shared" si="75"/>
        <v>8.7865613441364158E-4</v>
      </c>
      <c r="AB74" s="65">
        <f t="shared" si="75"/>
        <v>8.7653330208881694E-4</v>
      </c>
      <c r="AC74" s="65">
        <f t="shared" si="75"/>
        <v>8.7510622887057403E-4</v>
      </c>
    </row>
    <row r="75" spans="1:29" x14ac:dyDescent="0.3">
      <c r="A75" s="30" t="str">
        <f t="shared" si="74"/>
        <v>Residual value (vehicle)</v>
      </c>
      <c r="B75" s="68">
        <f>((1+B35)^B42)*B35/(((1+B35)^B42)-1)*(B32)/B47/(B44)</f>
        <v>-1.0931217673919614E-4</v>
      </c>
      <c r="C75" s="68">
        <f t="shared" ref="C75:AC75" si="76">((1+C35)^C42)*C35/(((1+C35)^C42)-1)*(C32)/C47/(C44)</f>
        <v>-1.0943543447237665E-4</v>
      </c>
      <c r="D75" s="68">
        <f t="shared" si="76"/>
        <v>-1.0961044278427652E-4</v>
      </c>
      <c r="E75" s="68">
        <f t="shared" si="76"/>
        <v>-1.0985780021592194E-4</v>
      </c>
      <c r="F75" s="68">
        <f t="shared" si="76"/>
        <v>-1.102050855872544E-4</v>
      </c>
      <c r="G75" s="68">
        <f t="shared" si="76"/>
        <v>-1.1068793832190012E-4</v>
      </c>
      <c r="H75" s="68">
        <f t="shared" si="76"/>
        <v>-1.1134991135754269E-4</v>
      </c>
      <c r="I75" s="68">
        <f t="shared" si="76"/>
        <v>-1.1223953218328357E-4</v>
      </c>
      <c r="J75" s="68">
        <f t="shared" si="76"/>
        <v>-1.1340243846463104E-4</v>
      </c>
      <c r="K75" s="68">
        <f t="shared" si="76"/>
        <v>-1.1486692236931498E-4</v>
      </c>
      <c r="L75" s="68">
        <f t="shared" si="76"/>
        <v>-1.1662426101691861E-4</v>
      </c>
      <c r="M75" s="68">
        <f t="shared" si="76"/>
        <v>-1.1861141326080898E-4</v>
      </c>
      <c r="N75" s="68">
        <f t="shared" si="76"/>
        <v>-1.2070924173160351E-4</v>
      </c>
      <c r="O75" s="68">
        <f t="shared" si="76"/>
        <v>-1.2276578886197088E-4</v>
      </c>
      <c r="P75" s="68">
        <f t="shared" si="76"/>
        <v>-1.2463790604579422E-4</v>
      </c>
      <c r="Q75" s="68">
        <f t="shared" si="76"/>
        <v>-1.2622893905743041E-4</v>
      </c>
      <c r="R75" s="68">
        <f t="shared" si="76"/>
        <v>-1.2750307156188243E-4</v>
      </c>
      <c r="S75" s="68">
        <f t="shared" si="76"/>
        <v>-1.2847529121281536E-4</v>
      </c>
      <c r="T75" s="68">
        <f t="shared" si="76"/>
        <v>-1.2918995062837979E-4</v>
      </c>
      <c r="U75" s="68">
        <f t="shared" si="76"/>
        <v>-1.2970092177177047E-4</v>
      </c>
      <c r="V75" s="68">
        <f t="shared" si="76"/>
        <v>-1.3005903708324747E-4</v>
      </c>
      <c r="W75" s="68">
        <f t="shared" si="76"/>
        <v>-1.3030651677496533E-4</v>
      </c>
      <c r="X75" s="68">
        <f t="shared" si="76"/>
        <v>-1.3047587946039396E-4</v>
      </c>
      <c r="Y75" s="68">
        <f t="shared" si="76"/>
        <v>-1.305910091927601E-4</v>
      </c>
      <c r="Z75" s="68">
        <f t="shared" si="76"/>
        <v>-1.3066891620155716E-4</v>
      </c>
      <c r="AA75" s="68">
        <f t="shared" si="76"/>
        <v>-1.3072147235102815E-4</v>
      </c>
      <c r="AB75" s="68">
        <f t="shared" si="76"/>
        <v>-1.3075685288977524E-4</v>
      </c>
      <c r="AC75" s="68">
        <f t="shared" si="76"/>
        <v>-1.3078063744341263E-4</v>
      </c>
    </row>
    <row r="76" spans="1:29" x14ac:dyDescent="0.3">
      <c r="A76" s="30" t="str">
        <f t="shared" si="74"/>
        <v>Capex costumization</v>
      </c>
      <c r="B76" s="66">
        <f>((1+B35)^B43)*B35/(((1+B35)^B43)-1)*(B33)/B47/(B44)</f>
        <v>7.6311881817276459E-4</v>
      </c>
      <c r="C76" s="66">
        <f t="shared" ref="C76:AC76" si="77">((1+C35)^C43)*C35/(((1+C35)^C43)-1)*(C33)/C47/(C44)</f>
        <v>7.6311881817276459E-4</v>
      </c>
      <c r="D76" s="66">
        <f t="shared" si="77"/>
        <v>7.6311881817276459E-4</v>
      </c>
      <c r="E76" s="66">
        <f t="shared" si="77"/>
        <v>7.6311881817276459E-4</v>
      </c>
      <c r="F76" s="66">
        <f t="shared" si="77"/>
        <v>7.6311881817276459E-4</v>
      </c>
      <c r="G76" s="66">
        <f t="shared" si="77"/>
        <v>7.6311881817276459E-4</v>
      </c>
      <c r="H76" s="66">
        <f t="shared" si="77"/>
        <v>7.6311881817276459E-4</v>
      </c>
      <c r="I76" s="66">
        <f t="shared" si="77"/>
        <v>7.6311881817276459E-4</v>
      </c>
      <c r="J76" s="66">
        <f t="shared" si="77"/>
        <v>7.6311881817276459E-4</v>
      </c>
      <c r="K76" s="66">
        <f t="shared" si="77"/>
        <v>7.6311881817276459E-4</v>
      </c>
      <c r="L76" s="66">
        <f t="shared" si="77"/>
        <v>7.6311881817276459E-4</v>
      </c>
      <c r="M76" s="66">
        <f t="shared" si="77"/>
        <v>7.6311881817276459E-4</v>
      </c>
      <c r="N76" s="66">
        <f t="shared" si="77"/>
        <v>7.6311881817276459E-4</v>
      </c>
      <c r="O76" s="66">
        <f t="shared" si="77"/>
        <v>7.6311881817276459E-4</v>
      </c>
      <c r="P76" s="66">
        <f t="shared" si="77"/>
        <v>7.6311881817276459E-4</v>
      </c>
      <c r="Q76" s="66">
        <f t="shared" si="77"/>
        <v>7.6311881817276459E-4</v>
      </c>
      <c r="R76" s="66">
        <f t="shared" si="77"/>
        <v>7.6311881817276459E-4</v>
      </c>
      <c r="S76" s="66">
        <f t="shared" si="77"/>
        <v>7.6311881817276459E-4</v>
      </c>
      <c r="T76" s="66">
        <f t="shared" si="77"/>
        <v>7.6311881817276459E-4</v>
      </c>
      <c r="U76" s="66">
        <f t="shared" si="77"/>
        <v>7.6311881817276459E-4</v>
      </c>
      <c r="V76" s="66">
        <f t="shared" si="77"/>
        <v>7.6311881817276459E-4</v>
      </c>
      <c r="W76" s="66">
        <f t="shared" si="77"/>
        <v>7.6311881817276459E-4</v>
      </c>
      <c r="X76" s="66">
        <f t="shared" si="77"/>
        <v>7.6311881817276459E-4</v>
      </c>
      <c r="Y76" s="66">
        <f t="shared" si="77"/>
        <v>7.6311881817276459E-4</v>
      </c>
      <c r="Z76" s="66">
        <f t="shared" si="77"/>
        <v>7.6311881817276459E-4</v>
      </c>
      <c r="AA76" s="66">
        <f t="shared" si="77"/>
        <v>7.6311881817276459E-4</v>
      </c>
      <c r="AB76" s="66">
        <f t="shared" si="77"/>
        <v>7.6311881817276459E-4</v>
      </c>
      <c r="AC76" s="66">
        <f t="shared" si="77"/>
        <v>7.6311881817276459E-4</v>
      </c>
    </row>
    <row r="77" spans="1:29" x14ac:dyDescent="0.3">
      <c r="A77" s="30" t="str">
        <f t="shared" si="74"/>
        <v>Residual value (costumization)</v>
      </c>
      <c r="B77" s="69">
        <f>((1+B35)^B43)*B35/(((1+B35)^B43)-1)*(B34)/B47/(B44)</f>
        <v>-3.8155940908638231E-5</v>
      </c>
      <c r="C77" s="69">
        <f t="shared" ref="C77:AC77" si="78">((1+C35)^C43)*C35/(((1+C35)^C43)-1)*(C34)/C47/(C44)</f>
        <v>-3.8155940908638231E-5</v>
      </c>
      <c r="D77" s="69">
        <f t="shared" si="78"/>
        <v>-3.8155940908638231E-5</v>
      </c>
      <c r="E77" s="69">
        <f t="shared" si="78"/>
        <v>-3.8155940908638231E-5</v>
      </c>
      <c r="F77" s="69">
        <f t="shared" si="78"/>
        <v>-3.8155940908638231E-5</v>
      </c>
      <c r="G77" s="69">
        <f t="shared" si="78"/>
        <v>-3.8155940908638231E-5</v>
      </c>
      <c r="H77" s="69">
        <f t="shared" si="78"/>
        <v>-3.8155940908638231E-5</v>
      </c>
      <c r="I77" s="69">
        <f t="shared" si="78"/>
        <v>-3.8155940908638231E-5</v>
      </c>
      <c r="J77" s="69">
        <f t="shared" si="78"/>
        <v>-3.8155940908638231E-5</v>
      </c>
      <c r="K77" s="69">
        <f t="shared" si="78"/>
        <v>-3.8155940908638231E-5</v>
      </c>
      <c r="L77" s="69">
        <f t="shared" si="78"/>
        <v>-3.8155940908638231E-5</v>
      </c>
      <c r="M77" s="69">
        <f t="shared" si="78"/>
        <v>-3.8155940908638231E-5</v>
      </c>
      <c r="N77" s="69">
        <f t="shared" si="78"/>
        <v>-3.8155940908638231E-5</v>
      </c>
      <c r="O77" s="69">
        <f t="shared" si="78"/>
        <v>-3.8155940908638231E-5</v>
      </c>
      <c r="P77" s="69">
        <f t="shared" si="78"/>
        <v>-3.8155940908638231E-5</v>
      </c>
      <c r="Q77" s="69">
        <f t="shared" si="78"/>
        <v>-3.8155940908638231E-5</v>
      </c>
      <c r="R77" s="69">
        <f t="shared" si="78"/>
        <v>-3.8155940908638231E-5</v>
      </c>
      <c r="S77" s="69">
        <f t="shared" si="78"/>
        <v>-3.8155940908638231E-5</v>
      </c>
      <c r="T77" s="69">
        <f t="shared" si="78"/>
        <v>-3.8155940908638231E-5</v>
      </c>
      <c r="U77" s="69">
        <f t="shared" si="78"/>
        <v>-3.8155940908638231E-5</v>
      </c>
      <c r="V77" s="69">
        <f t="shared" si="78"/>
        <v>-3.8155940908638231E-5</v>
      </c>
      <c r="W77" s="69">
        <f t="shared" si="78"/>
        <v>-3.8155940908638231E-5</v>
      </c>
      <c r="X77" s="69">
        <f t="shared" si="78"/>
        <v>-3.8155940908638231E-5</v>
      </c>
      <c r="Y77" s="69">
        <f t="shared" si="78"/>
        <v>-3.8155940908638231E-5</v>
      </c>
      <c r="Z77" s="69">
        <f t="shared" si="78"/>
        <v>-3.8155940908638231E-5</v>
      </c>
      <c r="AA77" s="69">
        <f t="shared" si="78"/>
        <v>-3.8155940908638231E-5</v>
      </c>
      <c r="AB77" s="69">
        <f t="shared" si="78"/>
        <v>-3.8155940908638231E-5</v>
      </c>
      <c r="AC77" s="69">
        <f t="shared" si="78"/>
        <v>-3.8155940908638231E-5</v>
      </c>
    </row>
    <row r="78" spans="1:29" x14ac:dyDescent="0.3">
      <c r="A78" s="30" t="str">
        <f t="shared" si="74"/>
        <v>Opex fix (admin, crew, insurance)</v>
      </c>
      <c r="B78" s="66">
        <f>B36/B47/(B44)</f>
        <v>1.6256502601040416E-3</v>
      </c>
      <c r="C78" s="66">
        <f t="shared" ref="C78:AC78" si="79">C36/C47/(C44)</f>
        <v>1.6256502601040416E-3</v>
      </c>
      <c r="D78" s="66">
        <f t="shared" si="79"/>
        <v>1.6256502601040416E-3</v>
      </c>
      <c r="E78" s="66">
        <f t="shared" si="79"/>
        <v>1.6256502601040416E-3</v>
      </c>
      <c r="F78" s="66">
        <f t="shared" si="79"/>
        <v>1.6256502601040416E-3</v>
      </c>
      <c r="G78" s="66">
        <f t="shared" si="79"/>
        <v>1.6256502601040416E-3</v>
      </c>
      <c r="H78" s="66">
        <f t="shared" si="79"/>
        <v>1.6256502601040416E-3</v>
      </c>
      <c r="I78" s="66">
        <f t="shared" si="79"/>
        <v>1.6256502601040416E-3</v>
      </c>
      <c r="J78" s="66">
        <f t="shared" si="79"/>
        <v>1.6256502601040416E-3</v>
      </c>
      <c r="K78" s="66">
        <f t="shared" si="79"/>
        <v>1.6256502601040416E-3</v>
      </c>
      <c r="L78" s="66">
        <f t="shared" si="79"/>
        <v>1.6256502601040416E-3</v>
      </c>
      <c r="M78" s="66">
        <f t="shared" si="79"/>
        <v>1.6256502601040416E-3</v>
      </c>
      <c r="N78" s="66">
        <f t="shared" si="79"/>
        <v>1.6256502601040416E-3</v>
      </c>
      <c r="O78" s="66">
        <f t="shared" si="79"/>
        <v>1.6256502601040416E-3</v>
      </c>
      <c r="P78" s="66">
        <f t="shared" si="79"/>
        <v>1.6256502601040416E-3</v>
      </c>
      <c r="Q78" s="66">
        <f t="shared" si="79"/>
        <v>1.6256502601040416E-3</v>
      </c>
      <c r="R78" s="66">
        <f t="shared" si="79"/>
        <v>1.6256502601040416E-3</v>
      </c>
      <c r="S78" s="66">
        <f t="shared" si="79"/>
        <v>1.6256502601040416E-3</v>
      </c>
      <c r="T78" s="66">
        <f t="shared" si="79"/>
        <v>1.6256502601040416E-3</v>
      </c>
      <c r="U78" s="66">
        <f t="shared" si="79"/>
        <v>1.6256502601040416E-3</v>
      </c>
      <c r="V78" s="66">
        <f t="shared" si="79"/>
        <v>1.6256502601040416E-3</v>
      </c>
      <c r="W78" s="66">
        <f t="shared" si="79"/>
        <v>1.6256502601040416E-3</v>
      </c>
      <c r="X78" s="66">
        <f t="shared" si="79"/>
        <v>1.6256502601040416E-3</v>
      </c>
      <c r="Y78" s="66">
        <f t="shared" si="79"/>
        <v>1.6256502601040416E-3</v>
      </c>
      <c r="Z78" s="66">
        <f t="shared" si="79"/>
        <v>1.6256502601040416E-3</v>
      </c>
      <c r="AA78" s="66">
        <f t="shared" si="79"/>
        <v>1.6256502601040416E-3</v>
      </c>
      <c r="AB78" s="66">
        <f t="shared" si="79"/>
        <v>1.6256502601040416E-3</v>
      </c>
      <c r="AC78" s="66">
        <f t="shared" si="79"/>
        <v>1.6256502601040416E-3</v>
      </c>
    </row>
    <row r="79" spans="1:29" x14ac:dyDescent="0.3">
      <c r="A79" s="30" t="str">
        <f t="shared" si="74"/>
        <v>Opex maintenance &amp; repair</v>
      </c>
      <c r="B79" s="66">
        <f>B37/B47/(B44)</f>
        <v>3.4736649752972778E-3</v>
      </c>
      <c r="C79" s="66">
        <f t="shared" ref="C79:AC79" si="80">C37/C47/(C44)</f>
        <v>3.4617894207883393E-3</v>
      </c>
      <c r="D79" s="66">
        <f t="shared" si="80"/>
        <v>3.44492783576762E-3</v>
      </c>
      <c r="E79" s="66">
        <f t="shared" si="80"/>
        <v>3.4210956056357029E-3</v>
      </c>
      <c r="F79" s="66">
        <f t="shared" si="80"/>
        <v>3.387635584499539E-3</v>
      </c>
      <c r="G79" s="66">
        <f t="shared" si="80"/>
        <v>3.3411140087564748E-3</v>
      </c>
      <c r="H79" s="66">
        <f t="shared" si="80"/>
        <v>3.2773346687883435E-3</v>
      </c>
      <c r="I79" s="66">
        <f t="shared" si="80"/>
        <v>3.1916220701889431E-3</v>
      </c>
      <c r="J79" s="66">
        <f t="shared" si="80"/>
        <v>3.0795791453632469E-3</v>
      </c>
      <c r="K79" s="66">
        <f t="shared" si="80"/>
        <v>2.9384800192575641E-3</v>
      </c>
      <c r="L79" s="66">
        <f t="shared" si="80"/>
        <v>2.7691651181817939E-3</v>
      </c>
      <c r="M79" s="66">
        <f t="shared" si="80"/>
        <v>2.5777082888133671E-3</v>
      </c>
      <c r="N79" s="66">
        <f t="shared" si="80"/>
        <v>2.3755880995767228E-3</v>
      </c>
      <c r="O79" s="66">
        <f t="shared" si="80"/>
        <v>2.1774452576090466E-3</v>
      </c>
      <c r="P79" s="66">
        <f t="shared" si="80"/>
        <v>1.9970717500818881E-3</v>
      </c>
      <c r="Q79" s="66">
        <f t="shared" si="80"/>
        <v>1.8437799543652188E-3</v>
      </c>
      <c r="R79" s="66">
        <f t="shared" si="80"/>
        <v>1.7210206790013629E-3</v>
      </c>
      <c r="S79" s="66">
        <f t="shared" si="80"/>
        <v>1.6273499034532913E-3</v>
      </c>
      <c r="T79" s="66">
        <f t="shared" si="80"/>
        <v>1.5584943710184004E-3</v>
      </c>
      <c r="U79" s="66">
        <f t="shared" si="80"/>
        <v>1.5092636614373297E-3</v>
      </c>
      <c r="V79" s="66">
        <f t="shared" si="80"/>
        <v>1.4747602043949845E-3</v>
      </c>
      <c r="W79" s="66">
        <f t="shared" si="80"/>
        <v>1.4509161948305144E-3</v>
      </c>
      <c r="X79" s="66">
        <f t="shared" si="80"/>
        <v>1.4345985508929758E-3</v>
      </c>
      <c r="Y79" s="66">
        <f t="shared" si="80"/>
        <v>1.4235061076276786E-3</v>
      </c>
      <c r="Z79" s="66">
        <f t="shared" si="80"/>
        <v>1.4159999747001592E-3</v>
      </c>
      <c r="AA79" s="66">
        <f t="shared" si="80"/>
        <v>1.4109363295906981E-3</v>
      </c>
      <c r="AB79" s="66">
        <f t="shared" si="80"/>
        <v>1.4075275088570635E-3</v>
      </c>
      <c r="AC79" s="66">
        <f t="shared" si="80"/>
        <v>1.4052359304229719E-3</v>
      </c>
    </row>
    <row r="80" spans="1:29" x14ac:dyDescent="0.3">
      <c r="A80" s="30" t="str">
        <f t="shared" si="74"/>
        <v>Opex var (mode-fees, shunting)</v>
      </c>
      <c r="B80" s="66">
        <f>B38*B47/B47/(B44)</f>
        <v>1.7507002801120447E-3</v>
      </c>
      <c r="C80" s="66">
        <f t="shared" ref="C80:AC80" si="81">C38*C47/C47/(C44)</f>
        <v>1.7507002801120447E-3</v>
      </c>
      <c r="D80" s="66">
        <f t="shared" si="81"/>
        <v>1.7507002801120447E-3</v>
      </c>
      <c r="E80" s="66">
        <f t="shared" si="81"/>
        <v>1.7507002801120447E-3</v>
      </c>
      <c r="F80" s="66">
        <f t="shared" si="81"/>
        <v>1.7507002801120447E-3</v>
      </c>
      <c r="G80" s="66">
        <f t="shared" si="81"/>
        <v>1.7507002801120447E-3</v>
      </c>
      <c r="H80" s="66">
        <f t="shared" si="81"/>
        <v>1.7507002801120447E-3</v>
      </c>
      <c r="I80" s="66">
        <f t="shared" si="81"/>
        <v>1.7507002801120447E-3</v>
      </c>
      <c r="J80" s="66">
        <f t="shared" si="81"/>
        <v>1.7507002801120447E-3</v>
      </c>
      <c r="K80" s="66">
        <f t="shared" si="81"/>
        <v>1.7507002801120447E-3</v>
      </c>
      <c r="L80" s="66">
        <f t="shared" si="81"/>
        <v>1.7507002801120447E-3</v>
      </c>
      <c r="M80" s="66">
        <f t="shared" si="81"/>
        <v>1.7507002801120447E-3</v>
      </c>
      <c r="N80" s="66">
        <f t="shared" si="81"/>
        <v>1.7507002801120447E-3</v>
      </c>
      <c r="O80" s="66">
        <f t="shared" si="81"/>
        <v>1.7507002801120447E-3</v>
      </c>
      <c r="P80" s="66">
        <f t="shared" si="81"/>
        <v>1.7507002801120447E-3</v>
      </c>
      <c r="Q80" s="66">
        <f t="shared" si="81"/>
        <v>1.7507002801120447E-3</v>
      </c>
      <c r="R80" s="66">
        <f t="shared" si="81"/>
        <v>1.7507002801120447E-3</v>
      </c>
      <c r="S80" s="66">
        <f t="shared" si="81"/>
        <v>1.7507002801120447E-3</v>
      </c>
      <c r="T80" s="66">
        <f t="shared" si="81"/>
        <v>1.7507002801120447E-3</v>
      </c>
      <c r="U80" s="66">
        <f t="shared" si="81"/>
        <v>1.7507002801120447E-3</v>
      </c>
      <c r="V80" s="66">
        <f t="shared" si="81"/>
        <v>1.7507002801120447E-3</v>
      </c>
      <c r="W80" s="66">
        <f t="shared" si="81"/>
        <v>1.7507002801120447E-3</v>
      </c>
      <c r="X80" s="66">
        <f t="shared" si="81"/>
        <v>1.7507002801120447E-3</v>
      </c>
      <c r="Y80" s="66">
        <f t="shared" si="81"/>
        <v>1.7507002801120447E-3</v>
      </c>
      <c r="Z80" s="66">
        <f t="shared" si="81"/>
        <v>1.7507002801120447E-3</v>
      </c>
      <c r="AA80" s="66">
        <f t="shared" si="81"/>
        <v>1.7507002801120447E-3</v>
      </c>
      <c r="AB80" s="66">
        <f t="shared" si="81"/>
        <v>1.7507002801120447E-3</v>
      </c>
      <c r="AC80" s="66">
        <f t="shared" si="81"/>
        <v>1.7507002801120447E-3</v>
      </c>
    </row>
    <row r="81" spans="1:29" x14ac:dyDescent="0.3">
      <c r="A81" s="30" t="str">
        <f t="shared" si="74"/>
        <v>Fuel Cost</v>
      </c>
      <c r="B81" s="66">
        <f>B39*B40*B47/B47/(B44)</f>
        <v>3.7811888058906298E-3</v>
      </c>
      <c r="C81" s="66">
        <f t="shared" ref="C81:AC81" si="82">C39*C40*C47/C47/(C44)</f>
        <v>3.766509351838834E-3</v>
      </c>
      <c r="D81" s="66">
        <f t="shared" si="82"/>
        <v>3.7457007471248947E-3</v>
      </c>
      <c r="E81" s="66">
        <f t="shared" si="82"/>
        <v>3.7163580658443711E-3</v>
      </c>
      <c r="F81" s="66">
        <f t="shared" si="82"/>
        <v>3.6752964398974251E-3</v>
      </c>
      <c r="G81" s="66">
        <f t="shared" si="82"/>
        <v>3.618467847289252E-3</v>
      </c>
      <c r="H81" s="66">
        <f t="shared" si="82"/>
        <v>3.5410532765914556E-3</v>
      </c>
      <c r="I81" s="66">
        <f t="shared" si="82"/>
        <v>3.4379185311090112E-3</v>
      </c>
      <c r="J81" s="66">
        <f t="shared" si="82"/>
        <v>3.3046614981456801E-3</v>
      </c>
      <c r="K81" s="66">
        <f t="shared" si="82"/>
        <v>3.1393615751343896E-3</v>
      </c>
      <c r="L81" s="66">
        <f t="shared" si="82"/>
        <v>2.9447068156418948E-3</v>
      </c>
      <c r="M81" s="66">
        <f t="shared" si="82"/>
        <v>2.7294594720870869E-3</v>
      </c>
      <c r="N81" s="66">
        <f t="shared" si="82"/>
        <v>2.5078245590068032E-3</v>
      </c>
      <c r="O81" s="66">
        <f t="shared" si="82"/>
        <v>2.2961348905486032E-3</v>
      </c>
      <c r="P81" s="66">
        <f t="shared" si="82"/>
        <v>2.1082363815187292E-3</v>
      </c>
      <c r="Q81" s="66">
        <f t="shared" si="82"/>
        <v>1.9521505666787976E-3</v>
      </c>
      <c r="R81" s="66">
        <f t="shared" si="82"/>
        <v>1.829539704585387E-3</v>
      </c>
      <c r="S81" s="66">
        <f t="shared" si="82"/>
        <v>1.7374095371924297E-3</v>
      </c>
      <c r="T81" s="66">
        <f t="shared" si="82"/>
        <v>1.67047438245117E-3</v>
      </c>
      <c r="U81" s="66">
        <f t="shared" si="82"/>
        <v>1.6230260209634281E-3</v>
      </c>
      <c r="V81" s="66">
        <f t="shared" si="82"/>
        <v>1.5899751393128785E-3</v>
      </c>
      <c r="W81" s="66">
        <f t="shared" si="82"/>
        <v>1.5672329007415124E-3</v>
      </c>
      <c r="X81" s="66">
        <f t="shared" si="82"/>
        <v>1.5517153940200947E-3</v>
      </c>
      <c r="Y81" s="66">
        <f t="shared" si="82"/>
        <v>1.5411882764825703E-3</v>
      </c>
      <c r="Z81" s="66">
        <f t="shared" si="82"/>
        <v>1.534074522164988E-3</v>
      </c>
      <c r="AA81" s="66">
        <f t="shared" si="82"/>
        <v>1.5292800573690137E-3</v>
      </c>
      <c r="AB81" s="66">
        <f t="shared" si="82"/>
        <v>1.5260544809025535E-3</v>
      </c>
      <c r="AC81" s="66">
        <f t="shared" si="82"/>
        <v>1.5238870080703825E-3</v>
      </c>
    </row>
    <row r="82" spans="1:29" x14ac:dyDescent="0.3">
      <c r="A82" s="59" t="str">
        <f>A45</f>
        <v>Market failure (av. utilization)</v>
      </c>
      <c r="B82" s="66">
        <f t="shared" ref="B82:AC82" si="83">B71/B45-B71/B44</f>
        <v>1.4679005149837691E-2</v>
      </c>
      <c r="C82" s="66">
        <f t="shared" si="83"/>
        <v>1.4642026466412394E-2</v>
      </c>
      <c r="D82" s="66">
        <f t="shared" si="83"/>
        <v>1.4589558234701344E-2</v>
      </c>
      <c r="E82" s="66">
        <f t="shared" si="83"/>
        <v>1.4515471794160097E-2</v>
      </c>
      <c r="F82" s="66">
        <f t="shared" si="83"/>
        <v>1.4411598600808973E-2</v>
      </c>
      <c r="G82" s="66">
        <f t="shared" si="83"/>
        <v>1.4267453897002879E-2</v>
      </c>
      <c r="H82" s="66">
        <f t="shared" si="83"/>
        <v>1.4070358906672478E-2</v>
      </c>
      <c r="I82" s="66">
        <f t="shared" si="83"/>
        <v>1.380643208953829E-2</v>
      </c>
      <c r="J82" s="66">
        <f t="shared" si="83"/>
        <v>1.3463060012941968E-2</v>
      </c>
      <c r="K82" s="66">
        <f t="shared" si="83"/>
        <v>1.303325219374658E-2</v>
      </c>
      <c r="L82" s="66">
        <f t="shared" si="83"/>
        <v>1.2521294956331587E-2</v>
      </c>
      <c r="M82" s="66">
        <f t="shared" si="83"/>
        <v>1.1947289068638487E-2</v>
      </c>
      <c r="N82" s="66">
        <f t="shared" si="83"/>
        <v>1.1346778043602564E-2</v>
      </c>
      <c r="O82" s="66">
        <f t="shared" si="83"/>
        <v>1.076321416156659E-2</v>
      </c>
      <c r="P82" s="66">
        <f t="shared" si="83"/>
        <v>1.0235908807346128E-2</v>
      </c>
      <c r="Q82" s="66">
        <f t="shared" si="83"/>
        <v>9.7900551863818325E-3</v>
      </c>
      <c r="R82" s="66">
        <f t="shared" si="83"/>
        <v>9.4337585486144061E-3</v>
      </c>
      <c r="S82" s="66">
        <f t="shared" si="83"/>
        <v>9.1615968387414176E-3</v>
      </c>
      <c r="T82" s="66">
        <f t="shared" si="83"/>
        <v>8.9607638076799161E-3</v>
      </c>
      <c r="U82" s="66">
        <f t="shared" si="83"/>
        <v>8.8163449543826201E-3</v>
      </c>
      <c r="V82" s="66">
        <f t="shared" si="83"/>
        <v>8.7144674374000815E-3</v>
      </c>
      <c r="W82" s="66">
        <f t="shared" si="83"/>
        <v>8.6436180340088813E-3</v>
      </c>
      <c r="X82" s="66">
        <f t="shared" si="83"/>
        <v>8.5948653639992927E-3</v>
      </c>
      <c r="Y82" s="66">
        <f t="shared" si="83"/>
        <v>8.5615774538207994E-3</v>
      </c>
      <c r="Z82" s="66">
        <f t="shared" si="83"/>
        <v>8.5389760480589477E-3</v>
      </c>
      <c r="AA82" s="66">
        <f t="shared" si="83"/>
        <v>8.5236915792659181E-3</v>
      </c>
      <c r="AB82" s="66">
        <f t="shared" si="83"/>
        <v>8.5133841330817198E-3</v>
      </c>
      <c r="AC82" s="66">
        <f t="shared" si="83"/>
        <v>8.5064464888808689E-3</v>
      </c>
    </row>
    <row r="83" spans="1:29" x14ac:dyDescent="0.3">
      <c r="A83" s="59" t="str">
        <f>A46</f>
        <v>Payload loss (fuel)</v>
      </c>
      <c r="B83" s="66">
        <f>B71/(B44-B46)-B71/B44</f>
        <v>2.4636092559168071E-4</v>
      </c>
      <c r="C83" s="66">
        <f t="shared" ref="C83:AC83" si="84">C71/(C44-C46)-C71/C44</f>
        <v>2.4574030433139639E-4</v>
      </c>
      <c r="D83" s="66">
        <f t="shared" si="84"/>
        <v>2.4485971862435799E-4</v>
      </c>
      <c r="E83" s="66">
        <f t="shared" si="84"/>
        <v>2.436163098320579E-4</v>
      </c>
      <c r="F83" s="66">
        <f t="shared" si="84"/>
        <v>2.4187298351008128E-4</v>
      </c>
      <c r="G83" s="66">
        <f t="shared" si="84"/>
        <v>2.3945377169795092E-4</v>
      </c>
      <c r="H83" s="66">
        <f t="shared" si="84"/>
        <v>2.3614588374834891E-4</v>
      </c>
      <c r="I83" s="66">
        <f t="shared" si="84"/>
        <v>2.3171634276148226E-4</v>
      </c>
      <c r="J83" s="66">
        <f t="shared" si="84"/>
        <v>2.2595345476266251E-4</v>
      </c>
      <c r="K83" s="66">
        <f t="shared" si="84"/>
        <v>2.1873989695798436E-4</v>
      </c>
      <c r="L83" s="66">
        <f t="shared" si="84"/>
        <v>2.1014760765871061E-4</v>
      </c>
      <c r="M83" s="66">
        <f t="shared" si="84"/>
        <v>2.0051394241071656E-4</v>
      </c>
      <c r="N83" s="66">
        <f t="shared" si="84"/>
        <v>1.9043543569682679E-4</v>
      </c>
      <c r="O83" s="66">
        <f t="shared" si="84"/>
        <v>1.8064135655776123E-4</v>
      </c>
      <c r="P83" s="66">
        <f t="shared" si="84"/>
        <v>1.717914764869273E-4</v>
      </c>
      <c r="Q83" s="66">
        <f t="shared" si="84"/>
        <v>1.6430861851270302E-4</v>
      </c>
      <c r="R83" s="66">
        <f t="shared" si="84"/>
        <v>1.5832881480191963E-4</v>
      </c>
      <c r="S83" s="66">
        <f t="shared" si="84"/>
        <v>1.5376106582502998E-4</v>
      </c>
      <c r="T83" s="66">
        <f t="shared" si="84"/>
        <v>1.5039044152749363E-4</v>
      </c>
      <c r="U83" s="66">
        <f t="shared" si="84"/>
        <v>1.4796662860502331E-4</v>
      </c>
      <c r="V83" s="66">
        <f t="shared" si="84"/>
        <v>1.4625679615216935E-4</v>
      </c>
      <c r="W83" s="66">
        <f t="shared" si="84"/>
        <v>1.4506771525609266E-4</v>
      </c>
      <c r="X83" s="66">
        <f t="shared" si="84"/>
        <v>1.4424948862656016E-4</v>
      </c>
      <c r="Y83" s="66">
        <f t="shared" si="84"/>
        <v>1.4369081041377442E-4</v>
      </c>
      <c r="Z83" s="66">
        <f t="shared" si="84"/>
        <v>1.4331148612126837E-4</v>
      </c>
      <c r="AA83" s="66">
        <f t="shared" si="84"/>
        <v>1.4305496356810041E-4</v>
      </c>
      <c r="AB83" s="66">
        <f t="shared" si="84"/>
        <v>1.4288197146430925E-4</v>
      </c>
      <c r="AC83" s="66">
        <f t="shared" si="84"/>
        <v>1.4276553547772075E-4</v>
      </c>
    </row>
    <row r="84" spans="1:29" ht="15" thickBot="1" x14ac:dyDescent="0.35">
      <c r="A84" s="59" t="str">
        <f>A21</f>
        <v>Emission Cost</v>
      </c>
      <c r="B84" s="68">
        <f>B41*B47/B47/(B44)</f>
        <v>6.3470132672722201E-5</v>
      </c>
      <c r="C84" s="68">
        <f t="shared" ref="C84:AC84" si="85">C41*C47/C47/(C44)</f>
        <v>6.3409693641812759E-5</v>
      </c>
      <c r="D84" s="68">
        <f t="shared" si="85"/>
        <v>6.3323176515236784E-5</v>
      </c>
      <c r="E84" s="68">
        <f t="shared" si="85"/>
        <v>6.319940768151351E-5</v>
      </c>
      <c r="F84" s="68">
        <f t="shared" si="85"/>
        <v>6.3022514707173862E-5</v>
      </c>
      <c r="G84" s="68">
        <f t="shared" si="85"/>
        <v>6.2770050204634162E-5</v>
      </c>
      <c r="H84" s="68">
        <f t="shared" si="85"/>
        <v>6.2410478816695501E-5</v>
      </c>
      <c r="I84" s="68">
        <f t="shared" si="85"/>
        <v>6.1899938991024039E-5</v>
      </c>
      <c r="J84" s="68">
        <f t="shared" si="85"/>
        <v>6.1178340007182337E-5</v>
      </c>
      <c r="K84" s="68">
        <f t="shared" si="85"/>
        <v>6.0165228052592656E-5</v>
      </c>
      <c r="L84" s="68">
        <f t="shared" si="85"/>
        <v>5.8756634664685076E-5</v>
      </c>
      <c r="M84" s="68">
        <f t="shared" si="85"/>
        <v>5.6825505825447255E-5</v>
      </c>
      <c r="N84" s="68">
        <f t="shared" si="85"/>
        <v>5.4230275596912073E-5</v>
      </c>
      <c r="O84" s="68">
        <f t="shared" si="85"/>
        <v>5.0837808326608381E-5</v>
      </c>
      <c r="P84" s="68">
        <f t="shared" si="85"/>
        <v>4.6565569201053159E-5</v>
      </c>
      <c r="Q84" s="68">
        <f t="shared" si="85"/>
        <v>4.143900488503018E-5</v>
      </c>
      <c r="R84" s="68">
        <f t="shared" si="85"/>
        <v>3.5642021020864345E-5</v>
      </c>
      <c r="S84" s="68">
        <f t="shared" si="85"/>
        <v>2.9522168939890776E-5</v>
      </c>
      <c r="T84" s="68">
        <f t="shared" si="85"/>
        <v>2.3522744101008524E-5</v>
      </c>
      <c r="U84" s="68">
        <f t="shared" si="85"/>
        <v>1.8061344180685985E-5</v>
      </c>
      <c r="V84" s="68">
        <f t="shared" si="85"/>
        <v>1.3419931966716231E-5</v>
      </c>
      <c r="W84" s="68">
        <f t="shared" si="85"/>
        <v>9.7029920131586533E-6</v>
      </c>
      <c r="X84" s="68">
        <f t="shared" si="85"/>
        <v>6.8668018590266139E-6</v>
      </c>
      <c r="Y84" s="68">
        <f t="shared" si="85"/>
        <v>4.7819746329603935E-6</v>
      </c>
      <c r="Z84" s="68">
        <f t="shared" si="85"/>
        <v>3.2913533268187533E-6</v>
      </c>
      <c r="AA84" s="68">
        <f t="shared" si="85"/>
        <v>2.2466479256470077E-6</v>
      </c>
      <c r="AB84" s="68">
        <f t="shared" si="85"/>
        <v>1.5246922808250581E-6</v>
      </c>
      <c r="AC84" s="68">
        <f t="shared" si="85"/>
        <v>1.0306220566436748E-6</v>
      </c>
    </row>
    <row r="85" spans="1:29" ht="15" thickBot="1" x14ac:dyDescent="0.35">
      <c r="A85" s="31" t="s">
        <v>210</v>
      </c>
      <c r="B85" s="77">
        <f>B74+B75+B76+B77+B78+B79+B80+B81+B82+B83+B84</f>
        <v>2.839890510115458E-2</v>
      </c>
      <c r="C85" s="77">
        <f t="shared" ref="C85:AC85" si="86">C74+C75+C76+C77+C78+C79+C80+C81+C82+C83+C84</f>
        <v>2.8327171627153341E-2</v>
      </c>
      <c r="D85" s="77">
        <f t="shared" si="86"/>
        <v>2.8225390595848127E-2</v>
      </c>
      <c r="E85" s="77">
        <f t="shared" si="86"/>
        <v>2.8081673262938048E-2</v>
      </c>
      <c r="F85" s="77">
        <f t="shared" si="86"/>
        <v>2.7880173795556219E-2</v>
      </c>
      <c r="G85" s="77">
        <f t="shared" si="86"/>
        <v>2.7600553230270823E-2</v>
      </c>
      <c r="H85" s="77">
        <f t="shared" si="86"/>
        <v>2.7218216514762764E-2</v>
      </c>
      <c r="I85" s="77">
        <f t="shared" si="86"/>
        <v>2.6706235402363998E-2</v>
      </c>
      <c r="J85" s="77">
        <f t="shared" si="86"/>
        <v>2.6040141597833785E-2</v>
      </c>
      <c r="K85" s="77">
        <f t="shared" si="86"/>
        <v>2.520637454157644E-2</v>
      </c>
      <c r="L85" s="77">
        <f t="shared" si="86"/>
        <v>2.4213249103402178E-2</v>
      </c>
      <c r="M85" s="77">
        <f t="shared" si="86"/>
        <v>2.3099757961821302E-2</v>
      </c>
      <c r="N85" s="77">
        <f t="shared" si="86"/>
        <v>2.1934850560807562E-2</v>
      </c>
      <c r="O85" s="77">
        <f t="shared" si="86"/>
        <v>2.0802818246983927E-2</v>
      </c>
      <c r="P85" s="77">
        <f t="shared" si="86"/>
        <v>1.9779919608796822E-2</v>
      </c>
      <c r="Q85" s="77">
        <f t="shared" si="86"/>
        <v>1.8915025941275868E-2</v>
      </c>
      <c r="R85" s="77">
        <f t="shared" si="86"/>
        <v>1.8223860295704653E-2</v>
      </c>
      <c r="S85" s="77">
        <f t="shared" si="86"/>
        <v>1.769590464312586E-2</v>
      </c>
      <c r="T85" s="77">
        <f t="shared" si="86"/>
        <v>1.7306316651402365E-2</v>
      </c>
      <c r="U85" s="77">
        <f t="shared" si="86"/>
        <v>1.7026164274446632E-2</v>
      </c>
      <c r="V85" s="77">
        <f t="shared" si="86"/>
        <v>1.6828536140104277E-2</v>
      </c>
      <c r="W85" s="77">
        <f t="shared" si="86"/>
        <v>1.6691098206532817E-2</v>
      </c>
      <c r="X85" s="77">
        <f t="shared" si="86"/>
        <v>1.6596524845269463E-2</v>
      </c>
      <c r="Y85" s="77">
        <f t="shared" si="86"/>
        <v>1.6531950955174957E-2</v>
      </c>
      <c r="Z85" s="77">
        <f t="shared" si="86"/>
        <v>1.6488107389032738E-2</v>
      </c>
      <c r="AA85" s="77">
        <f t="shared" si="86"/>
        <v>1.6458457657262202E-2</v>
      </c>
      <c r="AB85" s="77">
        <f t="shared" si="86"/>
        <v>1.6438462653265727E-2</v>
      </c>
      <c r="AC85" s="77">
        <f t="shared" si="86"/>
        <v>1.6425004593815962E-2</v>
      </c>
    </row>
    <row r="87" spans="1:29" x14ac:dyDescent="0.3">
      <c r="B87" s="40"/>
    </row>
    <row r="107" spans="1:2" s="3" customFormat="1" ht="21" x14ac:dyDescent="0.4">
      <c r="A107" s="2" t="str">
        <f>'Parameter Input'!A88</f>
        <v>Railway long-haul: Liquid bulk</v>
      </c>
    </row>
    <row r="108" spans="1:2" s="3" customFormat="1" ht="21" x14ac:dyDescent="0.4">
      <c r="A108" s="2" t="s">
        <v>103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Input'!$L$113</f>
        <v>10000000</v>
      </c>
      <c r="C117" s="42">
        <f>'Parameter Input'!$M$113</f>
        <v>4000000</v>
      </c>
      <c r="D117" s="1" t="s">
        <v>15</v>
      </c>
      <c r="L117" s="51">
        <f>'Parameter Input'!$O$113</f>
        <v>12</v>
      </c>
      <c r="M117" s="52">
        <v>0</v>
      </c>
      <c r="N117" s="52">
        <v>1</v>
      </c>
      <c r="O117" s="52">
        <f>'Parameter Input'!$P$113</f>
        <v>0.9</v>
      </c>
      <c r="P117" s="53">
        <f>'Parameter Input'!$Q$113</f>
        <v>0.4</v>
      </c>
      <c r="Q117" s="4">
        <f t="shared" ref="Q117:AR126" si="87">$N117+($M117-$N117)*((1/(1+EXP(-$P117*(Q$9-$L117)))^$O117))</f>
        <v>0.9867978615748374</v>
      </c>
      <c r="R117" s="4">
        <f t="shared" si="87"/>
        <v>0.98114509762858249</v>
      </c>
      <c r="S117" s="4">
        <f t="shared" si="87"/>
        <v>0.97311898315872036</v>
      </c>
      <c r="T117" s="4">
        <f t="shared" si="87"/>
        <v>0.96177484161592774</v>
      </c>
      <c r="U117" s="4">
        <f t="shared" si="87"/>
        <v>0.94584787155511363</v>
      </c>
      <c r="V117" s="4">
        <f t="shared" si="87"/>
        <v>0.92370360150141495</v>
      </c>
      <c r="W117" s="4">
        <f t="shared" si="87"/>
        <v>0.89334463567658451</v>
      </c>
      <c r="X117" s="4">
        <f t="shared" si="87"/>
        <v>0.85254543874327005</v>
      </c>
      <c r="Y117" s="4">
        <f t="shared" si="87"/>
        <v>0.79921300652623883</v>
      </c>
      <c r="Z117" s="4">
        <f t="shared" si="87"/>
        <v>0.73204982249993378</v>
      </c>
      <c r="AA117" s="4">
        <f t="shared" si="87"/>
        <v>0.65145592958786691</v>
      </c>
      <c r="AB117" s="4">
        <f t="shared" si="87"/>
        <v>0.56032247880849573</v>
      </c>
      <c r="AC117" s="4">
        <f t="shared" si="87"/>
        <v>0.46411326873185343</v>
      </c>
      <c r="AD117" s="4">
        <f t="shared" si="87"/>
        <v>0.36979727595523937</v>
      </c>
      <c r="AE117" s="4">
        <f t="shared" si="87"/>
        <v>0.28393948637231203</v>
      </c>
      <c r="AF117" s="4">
        <f t="shared" si="87"/>
        <v>0.21097259161117732</v>
      </c>
      <c r="AG117" s="4">
        <f t="shared" si="87"/>
        <v>0.15253917653798199</v>
      </c>
      <c r="AH117" s="4">
        <f t="shared" si="87"/>
        <v>0.10795188737709993</v>
      </c>
      <c r="AI117" s="4">
        <f t="shared" si="87"/>
        <v>7.5176653938091809E-2</v>
      </c>
      <c r="AJ117" s="4">
        <f t="shared" si="87"/>
        <v>5.1742836177502194E-2</v>
      </c>
      <c r="AK117" s="4">
        <f t="shared" si="87"/>
        <v>3.5319190625345942E-2</v>
      </c>
      <c r="AL117" s="4">
        <f t="shared" si="87"/>
        <v>2.3969442072658165E-2</v>
      </c>
      <c r="AM117" s="4">
        <f t="shared" si="87"/>
        <v>1.6202243558389728E-2</v>
      </c>
      <c r="AN117" s="4">
        <f t="shared" si="87"/>
        <v>1.0922240564108399E-2</v>
      </c>
      <c r="AO117" s="4">
        <f t="shared" si="87"/>
        <v>7.3493212906090566E-3</v>
      </c>
      <c r="AP117" s="4">
        <f t="shared" si="87"/>
        <v>4.9390262185057265E-3</v>
      </c>
      <c r="AQ117" s="4">
        <f t="shared" si="87"/>
        <v>3.3164275492956197E-3</v>
      </c>
      <c r="AR117" s="4">
        <f t="shared" si="87"/>
        <v>2.2256362146679809E-3</v>
      </c>
    </row>
    <row r="118" spans="1:44" x14ac:dyDescent="0.3">
      <c r="A118" s="24" t="s">
        <v>28</v>
      </c>
      <c r="B118" s="60">
        <f>'Parameter Input'!$L$114</f>
        <v>-500000</v>
      </c>
      <c r="C118" s="61">
        <f>'Parameter Input'!$M$114</f>
        <v>-600000</v>
      </c>
      <c r="D118" s="1" t="s">
        <v>15</v>
      </c>
      <c r="L118" s="54">
        <f>'Parameter Input'!$O$114</f>
        <v>12</v>
      </c>
      <c r="M118" s="37">
        <v>0</v>
      </c>
      <c r="N118" s="37">
        <v>1</v>
      </c>
      <c r="O118" s="37">
        <f>'Parameter Input'!$P$114</f>
        <v>0.9</v>
      </c>
      <c r="P118" s="55">
        <f>'Parameter Input'!$Q$114</f>
        <v>0.4</v>
      </c>
      <c r="Q118" s="4">
        <f t="shared" si="87"/>
        <v>0.9867978615748374</v>
      </c>
      <c r="R118" s="4">
        <f t="shared" si="87"/>
        <v>0.98114509762858249</v>
      </c>
      <c r="S118" s="4">
        <f t="shared" si="87"/>
        <v>0.97311898315872036</v>
      </c>
      <c r="T118" s="4">
        <f t="shared" si="87"/>
        <v>0.96177484161592774</v>
      </c>
      <c r="U118" s="4">
        <f t="shared" si="87"/>
        <v>0.94584787155511363</v>
      </c>
      <c r="V118" s="4">
        <f t="shared" si="87"/>
        <v>0.92370360150141495</v>
      </c>
      <c r="W118" s="4">
        <f t="shared" si="87"/>
        <v>0.89334463567658451</v>
      </c>
      <c r="X118" s="4">
        <f t="shared" si="87"/>
        <v>0.85254543874327005</v>
      </c>
      <c r="Y118" s="4">
        <f t="shared" si="87"/>
        <v>0.79921300652623883</v>
      </c>
      <c r="Z118" s="4">
        <f t="shared" si="87"/>
        <v>0.73204982249993378</v>
      </c>
      <c r="AA118" s="4">
        <f t="shared" si="87"/>
        <v>0.65145592958786691</v>
      </c>
      <c r="AB118" s="4">
        <f t="shared" si="87"/>
        <v>0.56032247880849573</v>
      </c>
      <c r="AC118" s="4">
        <f t="shared" si="87"/>
        <v>0.46411326873185343</v>
      </c>
      <c r="AD118" s="4">
        <f t="shared" si="87"/>
        <v>0.36979727595523937</v>
      </c>
      <c r="AE118" s="4">
        <f t="shared" si="87"/>
        <v>0.28393948637231203</v>
      </c>
      <c r="AF118" s="4">
        <f t="shared" si="87"/>
        <v>0.21097259161117732</v>
      </c>
      <c r="AG118" s="4">
        <f t="shared" si="87"/>
        <v>0.15253917653798199</v>
      </c>
      <c r="AH118" s="4">
        <f t="shared" si="87"/>
        <v>0.10795188737709993</v>
      </c>
      <c r="AI118" s="4">
        <f t="shared" si="87"/>
        <v>7.5176653938091809E-2</v>
      </c>
      <c r="AJ118" s="4">
        <f t="shared" si="87"/>
        <v>5.1742836177502194E-2</v>
      </c>
      <c r="AK118" s="4">
        <f t="shared" si="87"/>
        <v>3.5319190625345942E-2</v>
      </c>
      <c r="AL118" s="4">
        <f t="shared" si="87"/>
        <v>2.3969442072658165E-2</v>
      </c>
      <c r="AM118" s="4">
        <f t="shared" si="87"/>
        <v>1.6202243558389728E-2</v>
      </c>
      <c r="AN118" s="4">
        <f t="shared" si="87"/>
        <v>1.0922240564108399E-2</v>
      </c>
      <c r="AO118" s="4">
        <f t="shared" si="87"/>
        <v>7.3493212906090566E-3</v>
      </c>
      <c r="AP118" s="4">
        <f t="shared" si="87"/>
        <v>4.9390262185057265E-3</v>
      </c>
      <c r="AQ118" s="4">
        <f t="shared" si="87"/>
        <v>3.3164275492956197E-3</v>
      </c>
      <c r="AR118" s="4">
        <f t="shared" si="87"/>
        <v>2.2256362146679809E-3</v>
      </c>
    </row>
    <row r="119" spans="1:44" x14ac:dyDescent="0.3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7"/>
        <v>0.9867978615748374</v>
      </c>
      <c r="R119" s="4">
        <f t="shared" si="87"/>
        <v>0.98114509762858249</v>
      </c>
      <c r="S119" s="4">
        <f t="shared" si="87"/>
        <v>0.97311898315872036</v>
      </c>
      <c r="T119" s="4">
        <f t="shared" si="87"/>
        <v>0.96177484161592774</v>
      </c>
      <c r="U119" s="4">
        <f t="shared" si="87"/>
        <v>0.94584787155511363</v>
      </c>
      <c r="V119" s="4">
        <f t="shared" si="87"/>
        <v>0.92370360150141495</v>
      </c>
      <c r="W119" s="4">
        <f t="shared" si="87"/>
        <v>0.89334463567658451</v>
      </c>
      <c r="X119" s="4">
        <f t="shared" si="87"/>
        <v>0.85254543874327005</v>
      </c>
      <c r="Y119" s="4">
        <f t="shared" si="87"/>
        <v>0.79921300652623883</v>
      </c>
      <c r="Z119" s="4">
        <f t="shared" si="87"/>
        <v>0.73204982249993378</v>
      </c>
      <c r="AA119" s="4">
        <f t="shared" si="87"/>
        <v>0.65145592958786691</v>
      </c>
      <c r="AB119" s="4">
        <f t="shared" si="87"/>
        <v>0.56032247880849573</v>
      </c>
      <c r="AC119" s="4">
        <f t="shared" si="87"/>
        <v>0.46411326873185343</v>
      </c>
      <c r="AD119" s="4">
        <f t="shared" si="87"/>
        <v>0.36979727595523937</v>
      </c>
      <c r="AE119" s="4">
        <f t="shared" si="87"/>
        <v>0.28393948637231203</v>
      </c>
      <c r="AF119" s="4">
        <f t="shared" si="87"/>
        <v>0.21097259161117732</v>
      </c>
      <c r="AG119" s="4">
        <f t="shared" si="87"/>
        <v>0.15253917653798199</v>
      </c>
      <c r="AH119" s="4">
        <f t="shared" si="87"/>
        <v>0.10795188737709993</v>
      </c>
      <c r="AI119" s="4">
        <f t="shared" si="87"/>
        <v>7.5176653938091809E-2</v>
      </c>
      <c r="AJ119" s="4">
        <f t="shared" si="87"/>
        <v>5.1742836177502194E-2</v>
      </c>
      <c r="AK119" s="4">
        <f t="shared" si="87"/>
        <v>3.5319190625345942E-2</v>
      </c>
      <c r="AL119" s="4">
        <f t="shared" si="87"/>
        <v>2.3969442072658165E-2</v>
      </c>
      <c r="AM119" s="4">
        <f t="shared" si="87"/>
        <v>1.6202243558389728E-2</v>
      </c>
      <c r="AN119" s="4">
        <f t="shared" si="87"/>
        <v>1.0922240564108399E-2</v>
      </c>
      <c r="AO119" s="4">
        <f t="shared" si="87"/>
        <v>7.3493212906090566E-3</v>
      </c>
      <c r="AP119" s="4">
        <f t="shared" si="87"/>
        <v>4.9390262185057265E-3</v>
      </c>
      <c r="AQ119" s="4">
        <f t="shared" si="87"/>
        <v>3.3164275492956197E-3</v>
      </c>
      <c r="AR119" s="4">
        <f t="shared" si="87"/>
        <v>2.2256362146679809E-3</v>
      </c>
    </row>
    <row r="120" spans="1:44" x14ac:dyDescent="0.3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7"/>
        <v>0.9867978615748374</v>
      </c>
      <c r="R120" s="4">
        <f t="shared" si="87"/>
        <v>0.98114509762858249</v>
      </c>
      <c r="S120" s="4">
        <f t="shared" si="87"/>
        <v>0.97311898315872036</v>
      </c>
      <c r="T120" s="4">
        <f t="shared" si="87"/>
        <v>0.96177484161592774</v>
      </c>
      <c r="U120" s="4">
        <f t="shared" si="87"/>
        <v>0.94584787155511363</v>
      </c>
      <c r="V120" s="4">
        <f t="shared" si="87"/>
        <v>0.92370360150141495</v>
      </c>
      <c r="W120" s="4">
        <f t="shared" si="87"/>
        <v>0.89334463567658451</v>
      </c>
      <c r="X120" s="4">
        <f t="shared" si="87"/>
        <v>0.85254543874327005</v>
      </c>
      <c r="Y120" s="4">
        <f t="shared" si="87"/>
        <v>0.79921300652623883</v>
      </c>
      <c r="Z120" s="4">
        <f t="shared" si="87"/>
        <v>0.73204982249993378</v>
      </c>
      <c r="AA120" s="4">
        <f t="shared" si="87"/>
        <v>0.65145592958786691</v>
      </c>
      <c r="AB120" s="4">
        <f t="shared" si="87"/>
        <v>0.56032247880849573</v>
      </c>
      <c r="AC120" s="4">
        <f t="shared" si="87"/>
        <v>0.46411326873185343</v>
      </c>
      <c r="AD120" s="4">
        <f t="shared" si="87"/>
        <v>0.36979727595523937</v>
      </c>
      <c r="AE120" s="4">
        <f t="shared" si="87"/>
        <v>0.28393948637231203</v>
      </c>
      <c r="AF120" s="4">
        <f t="shared" si="87"/>
        <v>0.21097259161117732</v>
      </c>
      <c r="AG120" s="4">
        <f t="shared" si="87"/>
        <v>0.15253917653798199</v>
      </c>
      <c r="AH120" s="4">
        <f t="shared" si="87"/>
        <v>0.10795188737709993</v>
      </c>
      <c r="AI120" s="4">
        <f t="shared" si="87"/>
        <v>7.5176653938091809E-2</v>
      </c>
      <c r="AJ120" s="4">
        <f t="shared" si="87"/>
        <v>5.1742836177502194E-2</v>
      </c>
      <c r="AK120" s="4">
        <f t="shared" si="87"/>
        <v>3.5319190625345942E-2</v>
      </c>
      <c r="AL120" s="4">
        <f t="shared" si="87"/>
        <v>2.3969442072658165E-2</v>
      </c>
      <c r="AM120" s="4">
        <f t="shared" si="87"/>
        <v>1.6202243558389728E-2</v>
      </c>
      <c r="AN120" s="4">
        <f t="shared" si="87"/>
        <v>1.0922240564108399E-2</v>
      </c>
      <c r="AO120" s="4">
        <f t="shared" si="87"/>
        <v>7.3493212906090566E-3</v>
      </c>
      <c r="AP120" s="4">
        <f t="shared" si="87"/>
        <v>4.9390262185057265E-3</v>
      </c>
      <c r="AQ120" s="4">
        <f t="shared" si="87"/>
        <v>3.3164275492956197E-3</v>
      </c>
      <c r="AR120" s="4">
        <f t="shared" si="87"/>
        <v>2.2256362146679809E-3</v>
      </c>
    </row>
    <row r="121" spans="1:44" x14ac:dyDescent="0.3">
      <c r="A121" s="24" t="s">
        <v>79</v>
      </c>
      <c r="B121" s="45">
        <f>'Parameter Input'!$L$120</f>
        <v>0.06</v>
      </c>
      <c r="C121" s="46">
        <f>'Parameter Input'!$M$120</f>
        <v>0.06</v>
      </c>
      <c r="D121" s="1" t="s">
        <v>57</v>
      </c>
      <c r="L121" s="54">
        <f>'Parameter Input'!$O$120</f>
        <v>12</v>
      </c>
      <c r="M121" s="37">
        <v>0</v>
      </c>
      <c r="N121" s="37">
        <v>1</v>
      </c>
      <c r="O121" s="37">
        <f>'Parameter Input'!$P$120</f>
        <v>0.9</v>
      </c>
      <c r="P121" s="55">
        <f>'Parameter Input'!$Q$120</f>
        <v>0.4</v>
      </c>
      <c r="Q121" s="4">
        <f t="shared" si="87"/>
        <v>0.9867978615748374</v>
      </c>
      <c r="R121" s="4">
        <f t="shared" si="87"/>
        <v>0.98114509762858249</v>
      </c>
      <c r="S121" s="4">
        <f t="shared" si="87"/>
        <v>0.97311898315872036</v>
      </c>
      <c r="T121" s="4">
        <f t="shared" si="87"/>
        <v>0.96177484161592774</v>
      </c>
      <c r="U121" s="4">
        <f t="shared" si="87"/>
        <v>0.94584787155511363</v>
      </c>
      <c r="V121" s="4">
        <f t="shared" si="87"/>
        <v>0.92370360150141495</v>
      </c>
      <c r="W121" s="4">
        <f t="shared" si="87"/>
        <v>0.89334463567658451</v>
      </c>
      <c r="X121" s="4">
        <f t="shared" si="87"/>
        <v>0.85254543874327005</v>
      </c>
      <c r="Y121" s="4">
        <f t="shared" si="87"/>
        <v>0.79921300652623883</v>
      </c>
      <c r="Z121" s="4">
        <f t="shared" si="87"/>
        <v>0.73204982249993378</v>
      </c>
      <c r="AA121" s="4">
        <f t="shared" si="87"/>
        <v>0.65145592958786691</v>
      </c>
      <c r="AB121" s="4">
        <f t="shared" si="87"/>
        <v>0.56032247880849573</v>
      </c>
      <c r="AC121" s="4">
        <f t="shared" si="87"/>
        <v>0.46411326873185343</v>
      </c>
      <c r="AD121" s="4">
        <f t="shared" si="87"/>
        <v>0.36979727595523937</v>
      </c>
      <c r="AE121" s="4">
        <f t="shared" si="87"/>
        <v>0.28393948637231203</v>
      </c>
      <c r="AF121" s="4">
        <f t="shared" si="87"/>
        <v>0.21097259161117732</v>
      </c>
      <c r="AG121" s="4">
        <f t="shared" si="87"/>
        <v>0.15253917653798199</v>
      </c>
      <c r="AH121" s="4">
        <f t="shared" si="87"/>
        <v>0.10795188737709993</v>
      </c>
      <c r="AI121" s="4">
        <f t="shared" si="87"/>
        <v>7.5176653938091809E-2</v>
      </c>
      <c r="AJ121" s="4">
        <f t="shared" si="87"/>
        <v>5.1742836177502194E-2</v>
      </c>
      <c r="AK121" s="4">
        <f t="shared" si="87"/>
        <v>3.5319190625345942E-2</v>
      </c>
      <c r="AL121" s="4">
        <f t="shared" si="87"/>
        <v>2.3969442072658165E-2</v>
      </c>
      <c r="AM121" s="4">
        <f t="shared" si="87"/>
        <v>1.6202243558389728E-2</v>
      </c>
      <c r="AN121" s="4">
        <f t="shared" si="87"/>
        <v>1.0922240564108399E-2</v>
      </c>
      <c r="AO121" s="4">
        <f t="shared" si="87"/>
        <v>7.3493212906090566E-3</v>
      </c>
      <c r="AP121" s="4">
        <f t="shared" si="87"/>
        <v>4.9390262185057265E-3</v>
      </c>
      <c r="AQ121" s="4">
        <f t="shared" si="87"/>
        <v>3.3164275492956197E-3</v>
      </c>
      <c r="AR121" s="4">
        <f t="shared" si="87"/>
        <v>2.2256362146679809E-3</v>
      </c>
    </row>
    <row r="122" spans="1:44" x14ac:dyDescent="0.3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7"/>
        <v>0.9867978615748374</v>
      </c>
      <c r="R122" s="4">
        <f t="shared" si="87"/>
        <v>0.98114509762858249</v>
      </c>
      <c r="S122" s="4">
        <f t="shared" si="87"/>
        <v>0.97311898315872036</v>
      </c>
      <c r="T122" s="4">
        <f t="shared" si="87"/>
        <v>0.96177484161592774</v>
      </c>
      <c r="U122" s="4">
        <f t="shared" si="87"/>
        <v>0.94584787155511363</v>
      </c>
      <c r="V122" s="4">
        <f t="shared" si="87"/>
        <v>0.92370360150141495</v>
      </c>
      <c r="W122" s="4">
        <f t="shared" si="87"/>
        <v>0.89334463567658451</v>
      </c>
      <c r="X122" s="4">
        <f t="shared" si="87"/>
        <v>0.85254543874327005</v>
      </c>
      <c r="Y122" s="4">
        <f t="shared" si="87"/>
        <v>0.79921300652623883</v>
      </c>
      <c r="Z122" s="4">
        <f t="shared" si="87"/>
        <v>0.73204982249993378</v>
      </c>
      <c r="AA122" s="4">
        <f t="shared" si="87"/>
        <v>0.65145592958786691</v>
      </c>
      <c r="AB122" s="4">
        <f t="shared" si="87"/>
        <v>0.56032247880849573</v>
      </c>
      <c r="AC122" s="4">
        <f t="shared" si="87"/>
        <v>0.46411326873185343</v>
      </c>
      <c r="AD122" s="4">
        <f t="shared" si="87"/>
        <v>0.36979727595523937</v>
      </c>
      <c r="AE122" s="4">
        <f t="shared" si="87"/>
        <v>0.28393948637231203</v>
      </c>
      <c r="AF122" s="4">
        <f t="shared" si="87"/>
        <v>0.21097259161117732</v>
      </c>
      <c r="AG122" s="4">
        <f t="shared" si="87"/>
        <v>0.15253917653798199</v>
      </c>
      <c r="AH122" s="4">
        <f t="shared" si="87"/>
        <v>0.10795188737709993</v>
      </c>
      <c r="AI122" s="4">
        <f t="shared" si="87"/>
        <v>7.5176653938091809E-2</v>
      </c>
      <c r="AJ122" s="4">
        <f t="shared" si="87"/>
        <v>5.1742836177502194E-2</v>
      </c>
      <c r="AK122" s="4">
        <f t="shared" si="87"/>
        <v>3.5319190625345942E-2</v>
      </c>
      <c r="AL122" s="4">
        <f t="shared" si="87"/>
        <v>2.3969442072658165E-2</v>
      </c>
      <c r="AM122" s="4">
        <f t="shared" si="87"/>
        <v>1.6202243558389728E-2</v>
      </c>
      <c r="AN122" s="4">
        <f t="shared" si="87"/>
        <v>1.0922240564108399E-2</v>
      </c>
      <c r="AO122" s="4">
        <f t="shared" si="87"/>
        <v>7.3493212906090566E-3</v>
      </c>
      <c r="AP122" s="4">
        <f t="shared" si="87"/>
        <v>4.9390262185057265E-3</v>
      </c>
      <c r="AQ122" s="4">
        <f t="shared" si="87"/>
        <v>3.3164275492956197E-3</v>
      </c>
      <c r="AR122" s="4">
        <f t="shared" si="87"/>
        <v>2.2256362146679809E-3</v>
      </c>
    </row>
    <row r="123" spans="1:44" x14ac:dyDescent="0.3">
      <c r="A123" s="24" t="s">
        <v>52</v>
      </c>
      <c r="B123" s="43">
        <f>'Parameter Input'!$L$116</f>
        <v>1400000.0000000002</v>
      </c>
      <c r="C123" s="44">
        <f>'Parameter Input'!$M$116</f>
        <v>560000</v>
      </c>
      <c r="D123" s="1" t="s">
        <v>38</v>
      </c>
      <c r="L123" s="54">
        <f>'Parameter Input'!$O$116</f>
        <v>12</v>
      </c>
      <c r="M123" s="37">
        <v>0</v>
      </c>
      <c r="N123" s="37">
        <v>1</v>
      </c>
      <c r="O123" s="37">
        <f>'Parameter Input'!$P$116</f>
        <v>0.9</v>
      </c>
      <c r="P123" s="55">
        <f>'Parameter Input'!$Q$116</f>
        <v>0.4</v>
      </c>
      <c r="Q123" s="4">
        <f t="shared" si="87"/>
        <v>0.9867978615748374</v>
      </c>
      <c r="R123" s="4">
        <f t="shared" si="87"/>
        <v>0.98114509762858249</v>
      </c>
      <c r="S123" s="4">
        <f t="shared" si="87"/>
        <v>0.97311898315872036</v>
      </c>
      <c r="T123" s="4">
        <f t="shared" si="87"/>
        <v>0.96177484161592774</v>
      </c>
      <c r="U123" s="4">
        <f t="shared" si="87"/>
        <v>0.94584787155511363</v>
      </c>
      <c r="V123" s="4">
        <f t="shared" si="87"/>
        <v>0.92370360150141495</v>
      </c>
      <c r="W123" s="4">
        <f t="shared" si="87"/>
        <v>0.89334463567658451</v>
      </c>
      <c r="X123" s="4">
        <f t="shared" si="87"/>
        <v>0.85254543874327005</v>
      </c>
      <c r="Y123" s="4">
        <f t="shared" si="87"/>
        <v>0.79921300652623883</v>
      </c>
      <c r="Z123" s="4">
        <f t="shared" si="87"/>
        <v>0.73204982249993378</v>
      </c>
      <c r="AA123" s="4">
        <f t="shared" si="87"/>
        <v>0.65145592958786691</v>
      </c>
      <c r="AB123" s="4">
        <f t="shared" si="87"/>
        <v>0.56032247880849573</v>
      </c>
      <c r="AC123" s="4">
        <f t="shared" si="87"/>
        <v>0.46411326873185343</v>
      </c>
      <c r="AD123" s="4">
        <f t="shared" si="87"/>
        <v>0.36979727595523937</v>
      </c>
      <c r="AE123" s="4">
        <f t="shared" si="87"/>
        <v>0.28393948637231203</v>
      </c>
      <c r="AF123" s="4">
        <f t="shared" si="87"/>
        <v>0.21097259161117732</v>
      </c>
      <c r="AG123" s="4">
        <f t="shared" si="87"/>
        <v>0.15253917653798199</v>
      </c>
      <c r="AH123" s="4">
        <f t="shared" si="87"/>
        <v>0.10795188737709993</v>
      </c>
      <c r="AI123" s="4">
        <f t="shared" si="87"/>
        <v>7.5176653938091809E-2</v>
      </c>
      <c r="AJ123" s="4">
        <f t="shared" si="87"/>
        <v>5.1742836177502194E-2</v>
      </c>
      <c r="AK123" s="4">
        <f t="shared" si="87"/>
        <v>3.5319190625345942E-2</v>
      </c>
      <c r="AL123" s="4">
        <f t="shared" si="87"/>
        <v>2.3969442072658165E-2</v>
      </c>
      <c r="AM123" s="4">
        <f t="shared" si="87"/>
        <v>1.6202243558389728E-2</v>
      </c>
      <c r="AN123" s="4">
        <f t="shared" si="87"/>
        <v>1.0922240564108399E-2</v>
      </c>
      <c r="AO123" s="4">
        <f t="shared" si="87"/>
        <v>7.3493212906090566E-3</v>
      </c>
      <c r="AP123" s="4">
        <f t="shared" si="87"/>
        <v>4.9390262185057265E-3</v>
      </c>
      <c r="AQ123" s="4">
        <f t="shared" si="87"/>
        <v>3.3164275492956197E-3</v>
      </c>
      <c r="AR123" s="4">
        <f t="shared" si="87"/>
        <v>2.2256362146679809E-3</v>
      </c>
    </row>
    <row r="124" spans="1:44" x14ac:dyDescent="0.3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7"/>
        <v>0.9867978615748374</v>
      </c>
      <c r="R124" s="4">
        <f t="shared" si="87"/>
        <v>0.98114509762858249</v>
      </c>
      <c r="S124" s="4">
        <f t="shared" si="87"/>
        <v>0.97311898315872036</v>
      </c>
      <c r="T124" s="4">
        <f t="shared" si="87"/>
        <v>0.96177484161592774</v>
      </c>
      <c r="U124" s="4">
        <f t="shared" si="87"/>
        <v>0.94584787155511363</v>
      </c>
      <c r="V124" s="4">
        <f t="shared" si="87"/>
        <v>0.92370360150141495</v>
      </c>
      <c r="W124" s="4">
        <f t="shared" si="87"/>
        <v>0.89334463567658451</v>
      </c>
      <c r="X124" s="4">
        <f t="shared" si="87"/>
        <v>0.85254543874327005</v>
      </c>
      <c r="Y124" s="4">
        <f t="shared" si="87"/>
        <v>0.79921300652623883</v>
      </c>
      <c r="Z124" s="4">
        <f t="shared" si="87"/>
        <v>0.73204982249993378</v>
      </c>
      <c r="AA124" s="4">
        <f t="shared" si="87"/>
        <v>0.65145592958786691</v>
      </c>
      <c r="AB124" s="4">
        <f t="shared" si="87"/>
        <v>0.56032247880849573</v>
      </c>
      <c r="AC124" s="4">
        <f t="shared" si="87"/>
        <v>0.46411326873185343</v>
      </c>
      <c r="AD124" s="4">
        <f t="shared" si="87"/>
        <v>0.36979727595523937</v>
      </c>
      <c r="AE124" s="4">
        <f t="shared" si="87"/>
        <v>0.28393948637231203</v>
      </c>
      <c r="AF124" s="4">
        <f t="shared" si="87"/>
        <v>0.21097259161117732</v>
      </c>
      <c r="AG124" s="4">
        <f t="shared" si="87"/>
        <v>0.15253917653798199</v>
      </c>
      <c r="AH124" s="4">
        <f t="shared" si="87"/>
        <v>0.10795188737709993</v>
      </c>
      <c r="AI124" s="4">
        <f t="shared" si="87"/>
        <v>7.5176653938091809E-2</v>
      </c>
      <c r="AJ124" s="4">
        <f t="shared" si="87"/>
        <v>5.1742836177502194E-2</v>
      </c>
      <c r="AK124" s="4">
        <f t="shared" si="87"/>
        <v>3.5319190625345942E-2</v>
      </c>
      <c r="AL124" s="4">
        <f t="shared" si="87"/>
        <v>2.3969442072658165E-2</v>
      </c>
      <c r="AM124" s="4">
        <f t="shared" si="87"/>
        <v>1.6202243558389728E-2</v>
      </c>
      <c r="AN124" s="4">
        <f t="shared" si="87"/>
        <v>1.0922240564108399E-2</v>
      </c>
      <c r="AO124" s="4">
        <f t="shared" si="87"/>
        <v>7.3493212906090566E-3</v>
      </c>
      <c r="AP124" s="4">
        <f t="shared" si="87"/>
        <v>4.9390262185057265E-3</v>
      </c>
      <c r="AQ124" s="4">
        <f t="shared" si="87"/>
        <v>3.3164275492956197E-3</v>
      </c>
      <c r="AR124" s="4">
        <f t="shared" si="87"/>
        <v>2.2256362146679809E-3</v>
      </c>
    </row>
    <row r="125" spans="1:44" x14ac:dyDescent="0.3">
      <c r="A125" s="24" t="s">
        <v>59</v>
      </c>
      <c r="B125" s="47">
        <f>'Parameter Input'!$L$117</f>
        <v>39.507490909090912</v>
      </c>
      <c r="C125" s="48">
        <f>'Parameter Input'!$M$117</f>
        <v>33.429415384615389</v>
      </c>
      <c r="D125" s="1" t="s">
        <v>60</v>
      </c>
      <c r="L125" s="54">
        <f>'Parameter Input'!$O$117</f>
        <v>12</v>
      </c>
      <c r="M125" s="37">
        <v>0</v>
      </c>
      <c r="N125" s="37">
        <v>1</v>
      </c>
      <c r="O125" s="37">
        <f>'Parameter Input'!$P$117</f>
        <v>0.9</v>
      </c>
      <c r="P125" s="55">
        <f>'Parameter Input'!$Q$117</f>
        <v>0.4</v>
      </c>
      <c r="Q125" s="4">
        <f t="shared" si="87"/>
        <v>0.9867978615748374</v>
      </c>
      <c r="R125" s="4">
        <f t="shared" si="87"/>
        <v>0.98114509762858249</v>
      </c>
      <c r="S125" s="4">
        <f t="shared" si="87"/>
        <v>0.97311898315872036</v>
      </c>
      <c r="T125" s="4">
        <f t="shared" si="87"/>
        <v>0.96177484161592774</v>
      </c>
      <c r="U125" s="4">
        <f t="shared" si="87"/>
        <v>0.94584787155511363</v>
      </c>
      <c r="V125" s="4">
        <f t="shared" si="87"/>
        <v>0.92370360150141495</v>
      </c>
      <c r="W125" s="4">
        <f t="shared" si="87"/>
        <v>0.89334463567658451</v>
      </c>
      <c r="X125" s="4">
        <f t="shared" si="87"/>
        <v>0.85254543874327005</v>
      </c>
      <c r="Y125" s="4">
        <f t="shared" si="87"/>
        <v>0.79921300652623883</v>
      </c>
      <c r="Z125" s="4">
        <f t="shared" si="87"/>
        <v>0.73204982249993378</v>
      </c>
      <c r="AA125" s="4">
        <f t="shared" si="87"/>
        <v>0.65145592958786691</v>
      </c>
      <c r="AB125" s="4">
        <f t="shared" si="87"/>
        <v>0.56032247880849573</v>
      </c>
      <c r="AC125" s="4">
        <f t="shared" si="87"/>
        <v>0.46411326873185343</v>
      </c>
      <c r="AD125" s="4">
        <f t="shared" si="87"/>
        <v>0.36979727595523937</v>
      </c>
      <c r="AE125" s="4">
        <f t="shared" si="87"/>
        <v>0.28393948637231203</v>
      </c>
      <c r="AF125" s="4">
        <f t="shared" si="87"/>
        <v>0.21097259161117732</v>
      </c>
      <c r="AG125" s="4">
        <f t="shared" si="87"/>
        <v>0.15253917653798199</v>
      </c>
      <c r="AH125" s="4">
        <f t="shared" si="87"/>
        <v>0.10795188737709993</v>
      </c>
      <c r="AI125" s="4">
        <f t="shared" si="87"/>
        <v>7.5176653938091809E-2</v>
      </c>
      <c r="AJ125" s="4">
        <f t="shared" si="87"/>
        <v>5.1742836177502194E-2</v>
      </c>
      <c r="AK125" s="4">
        <f t="shared" si="87"/>
        <v>3.5319190625345942E-2</v>
      </c>
      <c r="AL125" s="4">
        <f t="shared" si="87"/>
        <v>2.3969442072658165E-2</v>
      </c>
      <c r="AM125" s="4">
        <f t="shared" si="87"/>
        <v>1.6202243558389728E-2</v>
      </c>
      <c r="AN125" s="4">
        <f t="shared" si="87"/>
        <v>1.0922240564108399E-2</v>
      </c>
      <c r="AO125" s="4">
        <f t="shared" si="87"/>
        <v>7.3493212906090566E-3</v>
      </c>
      <c r="AP125" s="4">
        <f t="shared" si="87"/>
        <v>4.9390262185057265E-3</v>
      </c>
      <c r="AQ125" s="4">
        <f t="shared" si="87"/>
        <v>3.3164275492956197E-3</v>
      </c>
      <c r="AR125" s="4">
        <f t="shared" si="87"/>
        <v>2.2256362146679809E-3</v>
      </c>
    </row>
    <row r="126" spans="1:44" x14ac:dyDescent="0.3">
      <c r="A126" s="24" t="s">
        <v>67</v>
      </c>
      <c r="B126" s="45">
        <f>'Parameter Input'!$L$118</f>
        <v>0.21633448448114301</v>
      </c>
      <c r="C126" s="46">
        <f>'Parameter Input'!$M$118</f>
        <v>0.101814693285632</v>
      </c>
      <c r="D126" s="1" t="s">
        <v>68</v>
      </c>
      <c r="L126" s="54">
        <f>'Parameter Input'!$O$118</f>
        <v>12</v>
      </c>
      <c r="M126" s="37">
        <v>0</v>
      </c>
      <c r="N126" s="37">
        <v>1</v>
      </c>
      <c r="O126" s="37">
        <f>'Parameter Input'!$P$118</f>
        <v>0.9</v>
      </c>
      <c r="P126" s="55">
        <f>'Parameter Input'!$Q$118</f>
        <v>0.4</v>
      </c>
      <c r="Q126" s="4">
        <f t="shared" si="87"/>
        <v>0.9867978615748374</v>
      </c>
      <c r="R126" s="4">
        <f t="shared" si="87"/>
        <v>0.98114509762858249</v>
      </c>
      <c r="S126" s="4">
        <f t="shared" si="87"/>
        <v>0.97311898315872036</v>
      </c>
      <c r="T126" s="4">
        <f t="shared" ref="T126:AI133" si="88">$N126+($M126-$N126)*((1/(1+EXP(-$P126*(T$9-$L126)))^$O126))</f>
        <v>0.96177484161592774</v>
      </c>
      <c r="U126" s="4">
        <f t="shared" si="88"/>
        <v>0.94584787155511363</v>
      </c>
      <c r="V126" s="4">
        <f t="shared" si="88"/>
        <v>0.92370360150141495</v>
      </c>
      <c r="W126" s="4">
        <f t="shared" si="88"/>
        <v>0.89334463567658451</v>
      </c>
      <c r="X126" s="4">
        <f t="shared" si="88"/>
        <v>0.85254543874327005</v>
      </c>
      <c r="Y126" s="4">
        <f t="shared" si="88"/>
        <v>0.79921300652623883</v>
      </c>
      <c r="Z126" s="4">
        <f t="shared" si="88"/>
        <v>0.73204982249993378</v>
      </c>
      <c r="AA126" s="4">
        <f t="shared" si="88"/>
        <v>0.65145592958786691</v>
      </c>
      <c r="AB126" s="4">
        <f t="shared" si="88"/>
        <v>0.56032247880849573</v>
      </c>
      <c r="AC126" s="4">
        <f t="shared" si="88"/>
        <v>0.46411326873185343</v>
      </c>
      <c r="AD126" s="4">
        <f t="shared" si="88"/>
        <v>0.36979727595523937</v>
      </c>
      <c r="AE126" s="4">
        <f t="shared" si="88"/>
        <v>0.28393948637231203</v>
      </c>
      <c r="AF126" s="4">
        <f t="shared" si="88"/>
        <v>0.21097259161117732</v>
      </c>
      <c r="AG126" s="4">
        <f t="shared" si="88"/>
        <v>0.15253917653798199</v>
      </c>
      <c r="AH126" s="4">
        <f t="shared" si="88"/>
        <v>0.10795188737709993</v>
      </c>
      <c r="AI126" s="4">
        <f t="shared" si="88"/>
        <v>7.5176653938091809E-2</v>
      </c>
      <c r="AJ126" s="4">
        <f t="shared" ref="AJ126:AR133" si="89">$N126+($M126-$N126)*((1/(1+EXP(-$P126*(AJ$9-$L126)))^$O126))</f>
        <v>5.1742836177502194E-2</v>
      </c>
      <c r="AK126" s="4">
        <f t="shared" si="89"/>
        <v>3.5319190625345942E-2</v>
      </c>
      <c r="AL126" s="4">
        <f t="shared" si="89"/>
        <v>2.3969442072658165E-2</v>
      </c>
      <c r="AM126" s="4">
        <f t="shared" si="89"/>
        <v>1.6202243558389728E-2</v>
      </c>
      <c r="AN126" s="4">
        <f t="shared" si="89"/>
        <v>1.0922240564108399E-2</v>
      </c>
      <c r="AO126" s="4">
        <f t="shared" si="89"/>
        <v>7.3493212906090566E-3</v>
      </c>
      <c r="AP126" s="4">
        <f t="shared" si="89"/>
        <v>4.9390262185057265E-3</v>
      </c>
      <c r="AQ126" s="4">
        <f t="shared" si="89"/>
        <v>3.3164275492956197E-3</v>
      </c>
      <c r="AR126" s="4">
        <f t="shared" si="89"/>
        <v>2.2256362146679809E-3</v>
      </c>
    </row>
    <row r="127" spans="1:44" x14ac:dyDescent="0.3">
      <c r="A127" s="24" t="s">
        <v>206</v>
      </c>
      <c r="B127" s="115">
        <f>'Parameter Input'!$L$121</f>
        <v>0.14248603278688524</v>
      </c>
      <c r="C127" s="116">
        <f>'Parameter Input'!$M$121</f>
        <v>0</v>
      </c>
      <c r="D127" s="1" t="s">
        <v>76</v>
      </c>
      <c r="L127" s="54">
        <f>'Parameter Input'!$O$121</f>
        <v>17</v>
      </c>
      <c r="M127" s="37">
        <v>0</v>
      </c>
      <c r="N127" s="37">
        <v>1</v>
      </c>
      <c r="O127" s="37">
        <f>'Parameter Input'!$P$121</f>
        <v>0.9</v>
      </c>
      <c r="P127" s="55">
        <f>'Parameter Input'!$Q$121</f>
        <v>0.4</v>
      </c>
      <c r="Q127" s="4">
        <f t="shared" ref="Q127:AR127" si="90">$N127+($M127-$N127)*((1/(1+EXP(-$P127*(Q$9-$L127)))^$O127))</f>
        <v>0.99780374543478534</v>
      </c>
      <c r="R127" s="4">
        <f t="shared" si="90"/>
        <v>0.99685359315256394</v>
      </c>
      <c r="S127" s="4">
        <f t="shared" si="90"/>
        <v>0.99549347132349975</v>
      </c>
      <c r="T127" s="4">
        <f t="shared" si="90"/>
        <v>0.99354772139898062</v>
      </c>
      <c r="U127" s="4">
        <f t="shared" si="90"/>
        <v>0.99076681540580536</v>
      </c>
      <c r="V127" s="4">
        <f t="shared" si="90"/>
        <v>0.9867978615748374</v>
      </c>
      <c r="W127" s="4">
        <f t="shared" si="90"/>
        <v>0.98114509762858249</v>
      </c>
      <c r="X127" s="4">
        <f t="shared" si="90"/>
        <v>0.97311898315872036</v>
      </c>
      <c r="Y127" s="4">
        <f t="shared" si="90"/>
        <v>0.96177484161592774</v>
      </c>
      <c r="Z127" s="4">
        <f t="shared" si="90"/>
        <v>0.94584787155511363</v>
      </c>
      <c r="AA127" s="4">
        <f t="shared" si="90"/>
        <v>0.92370360150141495</v>
      </c>
      <c r="AB127" s="4">
        <f t="shared" si="90"/>
        <v>0.89334463567658451</v>
      </c>
      <c r="AC127" s="4">
        <f t="shared" si="90"/>
        <v>0.85254543874327005</v>
      </c>
      <c r="AD127" s="4">
        <f t="shared" si="90"/>
        <v>0.79921300652623883</v>
      </c>
      <c r="AE127" s="4">
        <f t="shared" si="90"/>
        <v>0.73204982249993378</v>
      </c>
      <c r="AF127" s="4">
        <f t="shared" si="90"/>
        <v>0.65145592958786691</v>
      </c>
      <c r="AG127" s="4">
        <f t="shared" si="90"/>
        <v>0.56032247880849573</v>
      </c>
      <c r="AH127" s="4">
        <f t="shared" si="90"/>
        <v>0.46411326873185343</v>
      </c>
      <c r="AI127" s="4">
        <f t="shared" si="90"/>
        <v>0.36979727595523937</v>
      </c>
      <c r="AJ127" s="4">
        <f t="shared" si="90"/>
        <v>0.28393948637231203</v>
      </c>
      <c r="AK127" s="4">
        <f t="shared" si="90"/>
        <v>0.21097259161117732</v>
      </c>
      <c r="AL127" s="4">
        <f t="shared" si="90"/>
        <v>0.15253917653798199</v>
      </c>
      <c r="AM127" s="4">
        <f t="shared" si="90"/>
        <v>0.10795188737709993</v>
      </c>
      <c r="AN127" s="4">
        <f t="shared" si="90"/>
        <v>7.5176653938091809E-2</v>
      </c>
      <c r="AO127" s="4">
        <f t="shared" si="90"/>
        <v>5.1742836177502194E-2</v>
      </c>
      <c r="AP127" s="4">
        <f t="shared" si="90"/>
        <v>3.5319190625345942E-2</v>
      </c>
      <c r="AQ127" s="4">
        <f t="shared" si="90"/>
        <v>2.3969442072658165E-2</v>
      </c>
      <c r="AR127" s="4">
        <f t="shared" si="90"/>
        <v>1.6202243558389728E-2</v>
      </c>
    </row>
    <row r="128" spans="1:44" x14ac:dyDescent="0.3">
      <c r="A128" s="24" t="s">
        <v>41</v>
      </c>
      <c r="B128" s="43">
        <f>'Parameter Input'!$L$115</f>
        <v>20</v>
      </c>
      <c r="C128" s="44">
        <f>'Parameter Input'!$M$115</f>
        <v>20</v>
      </c>
      <c r="D128" s="1" t="s">
        <v>42</v>
      </c>
      <c r="L128" s="54">
        <f>'Parameter Input'!$O$115</f>
        <v>12</v>
      </c>
      <c r="M128" s="37">
        <v>0</v>
      </c>
      <c r="N128" s="37">
        <v>1</v>
      </c>
      <c r="O128" s="37">
        <f>'Parameter Input'!$P$115</f>
        <v>0.9</v>
      </c>
      <c r="P128" s="55">
        <f>'Parameter Input'!$Q$115</f>
        <v>0.4</v>
      </c>
      <c r="Q128" s="4">
        <f t="shared" ref="Q128:AF133" si="91">$N128+($M128-$N128)*((1/(1+EXP(-$P128*(Q$9-$L128)))^$O128))</f>
        <v>0.9867978615748374</v>
      </c>
      <c r="R128" s="4">
        <f t="shared" si="91"/>
        <v>0.98114509762858249</v>
      </c>
      <c r="S128" s="4">
        <f t="shared" si="91"/>
        <v>0.97311898315872036</v>
      </c>
      <c r="T128" s="4">
        <f t="shared" si="91"/>
        <v>0.96177484161592774</v>
      </c>
      <c r="U128" s="4">
        <f t="shared" si="91"/>
        <v>0.94584787155511363</v>
      </c>
      <c r="V128" s="4">
        <f t="shared" si="91"/>
        <v>0.92370360150141495</v>
      </c>
      <c r="W128" s="4">
        <f t="shared" si="91"/>
        <v>0.89334463567658451</v>
      </c>
      <c r="X128" s="4">
        <f t="shared" si="91"/>
        <v>0.85254543874327005</v>
      </c>
      <c r="Y128" s="4">
        <f t="shared" si="91"/>
        <v>0.79921300652623883</v>
      </c>
      <c r="Z128" s="4">
        <f t="shared" si="91"/>
        <v>0.73204982249993378</v>
      </c>
      <c r="AA128" s="4">
        <f t="shared" si="91"/>
        <v>0.65145592958786691</v>
      </c>
      <c r="AB128" s="4">
        <f t="shared" si="91"/>
        <v>0.56032247880849573</v>
      </c>
      <c r="AC128" s="4">
        <f t="shared" si="91"/>
        <v>0.46411326873185343</v>
      </c>
      <c r="AD128" s="4">
        <f t="shared" si="91"/>
        <v>0.36979727595523937</v>
      </c>
      <c r="AE128" s="4">
        <f t="shared" si="91"/>
        <v>0.28393948637231203</v>
      </c>
      <c r="AF128" s="4">
        <f t="shared" si="91"/>
        <v>0.21097259161117732</v>
      </c>
      <c r="AG128" s="4">
        <f t="shared" si="88"/>
        <v>0.15253917653798199</v>
      </c>
      <c r="AH128" s="4">
        <f t="shared" si="88"/>
        <v>0.10795188737709993</v>
      </c>
      <c r="AI128" s="4">
        <f t="shared" si="88"/>
        <v>7.5176653938091809E-2</v>
      </c>
      <c r="AJ128" s="4">
        <f t="shared" si="89"/>
        <v>5.1742836177502194E-2</v>
      </c>
      <c r="AK128" s="4">
        <f t="shared" si="89"/>
        <v>3.5319190625345942E-2</v>
      </c>
      <c r="AL128" s="4">
        <f t="shared" si="89"/>
        <v>2.3969442072658165E-2</v>
      </c>
      <c r="AM128" s="4">
        <f t="shared" si="89"/>
        <v>1.6202243558389728E-2</v>
      </c>
      <c r="AN128" s="4">
        <f t="shared" si="89"/>
        <v>1.0922240564108399E-2</v>
      </c>
      <c r="AO128" s="4">
        <f t="shared" si="89"/>
        <v>7.3493212906090566E-3</v>
      </c>
      <c r="AP128" s="4">
        <f t="shared" si="89"/>
        <v>4.9390262185057265E-3</v>
      </c>
      <c r="AQ128" s="4">
        <f t="shared" si="89"/>
        <v>3.3164275492956197E-3</v>
      </c>
      <c r="AR128" s="4">
        <f t="shared" si="89"/>
        <v>2.2256362146679809E-3</v>
      </c>
    </row>
    <row r="129" spans="1:44" x14ac:dyDescent="0.3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91"/>
        <v>0.9867978615748374</v>
      </c>
      <c r="R129" s="4">
        <f t="shared" si="91"/>
        <v>0.98114509762858249</v>
      </c>
      <c r="S129" s="4">
        <f t="shared" si="91"/>
        <v>0.97311898315872036</v>
      </c>
      <c r="T129" s="4">
        <f t="shared" si="91"/>
        <v>0.96177484161592774</v>
      </c>
      <c r="U129" s="4">
        <f t="shared" si="91"/>
        <v>0.94584787155511363</v>
      </c>
      <c r="V129" s="4">
        <f t="shared" si="91"/>
        <v>0.92370360150141495</v>
      </c>
      <c r="W129" s="4">
        <f t="shared" si="91"/>
        <v>0.89334463567658451</v>
      </c>
      <c r="X129" s="4">
        <f t="shared" si="91"/>
        <v>0.85254543874327005</v>
      </c>
      <c r="Y129" s="4">
        <f t="shared" si="91"/>
        <v>0.79921300652623883</v>
      </c>
      <c r="Z129" s="4">
        <f t="shared" si="91"/>
        <v>0.73204982249993378</v>
      </c>
      <c r="AA129" s="4">
        <f t="shared" si="91"/>
        <v>0.65145592958786691</v>
      </c>
      <c r="AB129" s="4">
        <f t="shared" si="91"/>
        <v>0.56032247880849573</v>
      </c>
      <c r="AC129" s="4">
        <f t="shared" si="91"/>
        <v>0.46411326873185343</v>
      </c>
      <c r="AD129" s="4">
        <f t="shared" si="91"/>
        <v>0.36979727595523937</v>
      </c>
      <c r="AE129" s="4">
        <f t="shared" si="91"/>
        <v>0.28393948637231203</v>
      </c>
      <c r="AF129" s="4">
        <f t="shared" si="91"/>
        <v>0.21097259161117732</v>
      </c>
      <c r="AG129" s="4">
        <f t="shared" si="88"/>
        <v>0.15253917653798199</v>
      </c>
      <c r="AH129" s="4">
        <f t="shared" si="88"/>
        <v>0.10795188737709993</v>
      </c>
      <c r="AI129" s="4">
        <f t="shared" si="88"/>
        <v>7.5176653938091809E-2</v>
      </c>
      <c r="AJ129" s="4">
        <f t="shared" si="89"/>
        <v>5.1742836177502194E-2</v>
      </c>
      <c r="AK129" s="4">
        <f t="shared" si="89"/>
        <v>3.5319190625345942E-2</v>
      </c>
      <c r="AL129" s="4">
        <f t="shared" si="89"/>
        <v>2.3969442072658165E-2</v>
      </c>
      <c r="AM129" s="4">
        <f t="shared" si="89"/>
        <v>1.6202243558389728E-2</v>
      </c>
      <c r="AN129" s="4">
        <f t="shared" si="89"/>
        <v>1.0922240564108399E-2</v>
      </c>
      <c r="AO129" s="4">
        <f t="shared" si="89"/>
        <v>7.3493212906090566E-3</v>
      </c>
      <c r="AP129" s="4">
        <f t="shared" si="89"/>
        <v>4.9390262185057265E-3</v>
      </c>
      <c r="AQ129" s="4">
        <f t="shared" si="89"/>
        <v>3.3164275492956197E-3</v>
      </c>
      <c r="AR129" s="4">
        <f t="shared" si="89"/>
        <v>2.2256362146679809E-3</v>
      </c>
    </row>
    <row r="130" spans="1:44" x14ac:dyDescent="0.3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91"/>
        <v>0.9867978615748374</v>
      </c>
      <c r="R130" s="4">
        <f t="shared" si="91"/>
        <v>0.98114509762858249</v>
      </c>
      <c r="S130" s="4">
        <f t="shared" si="91"/>
        <v>0.97311898315872036</v>
      </c>
      <c r="T130" s="4">
        <f t="shared" si="91"/>
        <v>0.96177484161592774</v>
      </c>
      <c r="U130" s="4">
        <f t="shared" si="91"/>
        <v>0.94584787155511363</v>
      </c>
      <c r="V130" s="4">
        <f t="shared" si="91"/>
        <v>0.92370360150141495</v>
      </c>
      <c r="W130" s="4">
        <f t="shared" si="91"/>
        <v>0.89334463567658451</v>
      </c>
      <c r="X130" s="4">
        <f t="shared" si="91"/>
        <v>0.85254543874327005</v>
      </c>
      <c r="Y130" s="4">
        <f t="shared" si="91"/>
        <v>0.79921300652623883</v>
      </c>
      <c r="Z130" s="4">
        <f t="shared" si="91"/>
        <v>0.73204982249993378</v>
      </c>
      <c r="AA130" s="4">
        <f t="shared" si="91"/>
        <v>0.65145592958786691</v>
      </c>
      <c r="AB130" s="4">
        <f t="shared" si="91"/>
        <v>0.56032247880849573</v>
      </c>
      <c r="AC130" s="4">
        <f t="shared" si="91"/>
        <v>0.46411326873185343</v>
      </c>
      <c r="AD130" s="4">
        <f t="shared" si="91"/>
        <v>0.36979727595523937</v>
      </c>
      <c r="AE130" s="4">
        <f t="shared" si="91"/>
        <v>0.28393948637231203</v>
      </c>
      <c r="AF130" s="4">
        <f t="shared" si="91"/>
        <v>0.21097259161117732</v>
      </c>
      <c r="AG130" s="4">
        <f t="shared" si="88"/>
        <v>0.15253917653798199</v>
      </c>
      <c r="AH130" s="4">
        <f t="shared" si="88"/>
        <v>0.10795188737709993</v>
      </c>
      <c r="AI130" s="4">
        <f t="shared" si="88"/>
        <v>7.5176653938091809E-2</v>
      </c>
      <c r="AJ130" s="4">
        <f t="shared" si="89"/>
        <v>5.1742836177502194E-2</v>
      </c>
      <c r="AK130" s="4">
        <f t="shared" si="89"/>
        <v>3.5319190625345942E-2</v>
      </c>
      <c r="AL130" s="4">
        <f t="shared" si="89"/>
        <v>2.3969442072658165E-2</v>
      </c>
      <c r="AM130" s="4">
        <f t="shared" si="89"/>
        <v>1.6202243558389728E-2</v>
      </c>
      <c r="AN130" s="4">
        <f t="shared" si="89"/>
        <v>1.0922240564108399E-2</v>
      </c>
      <c r="AO130" s="4">
        <f t="shared" si="89"/>
        <v>7.3493212906090566E-3</v>
      </c>
      <c r="AP130" s="4">
        <f t="shared" si="89"/>
        <v>4.9390262185057265E-3</v>
      </c>
      <c r="AQ130" s="4">
        <f t="shared" si="89"/>
        <v>3.3164275492956197E-3</v>
      </c>
      <c r="AR130" s="4">
        <f t="shared" si="89"/>
        <v>2.2256362146679809E-3</v>
      </c>
    </row>
    <row r="131" spans="1:44" x14ac:dyDescent="0.3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91"/>
        <v>0.9867978615748374</v>
      </c>
      <c r="R131" s="4">
        <f t="shared" si="91"/>
        <v>0.98114509762858249</v>
      </c>
      <c r="S131" s="4">
        <f t="shared" si="91"/>
        <v>0.97311898315872036</v>
      </c>
      <c r="T131" s="4">
        <f t="shared" si="91"/>
        <v>0.96177484161592774</v>
      </c>
      <c r="U131" s="4">
        <f t="shared" si="91"/>
        <v>0.94584787155511363</v>
      </c>
      <c r="V131" s="4">
        <f t="shared" si="91"/>
        <v>0.92370360150141495</v>
      </c>
      <c r="W131" s="4">
        <f t="shared" si="91"/>
        <v>0.89334463567658451</v>
      </c>
      <c r="X131" s="4">
        <f t="shared" si="91"/>
        <v>0.85254543874327005</v>
      </c>
      <c r="Y131" s="4">
        <f t="shared" si="91"/>
        <v>0.79921300652623883</v>
      </c>
      <c r="Z131" s="4">
        <f t="shared" si="91"/>
        <v>0.73204982249993378</v>
      </c>
      <c r="AA131" s="4">
        <f t="shared" si="91"/>
        <v>0.65145592958786691</v>
      </c>
      <c r="AB131" s="4">
        <f t="shared" si="91"/>
        <v>0.56032247880849573</v>
      </c>
      <c r="AC131" s="4">
        <f t="shared" si="91"/>
        <v>0.46411326873185343</v>
      </c>
      <c r="AD131" s="4">
        <f t="shared" si="91"/>
        <v>0.36979727595523937</v>
      </c>
      <c r="AE131" s="4">
        <f t="shared" si="91"/>
        <v>0.28393948637231203</v>
      </c>
      <c r="AF131" s="4">
        <f t="shared" si="91"/>
        <v>0.21097259161117732</v>
      </c>
      <c r="AG131" s="4">
        <f t="shared" si="88"/>
        <v>0.15253917653798199</v>
      </c>
      <c r="AH131" s="4">
        <f t="shared" si="88"/>
        <v>0.10795188737709993</v>
      </c>
      <c r="AI131" s="4">
        <f t="shared" si="88"/>
        <v>7.5176653938091809E-2</v>
      </c>
      <c r="AJ131" s="4">
        <f t="shared" si="89"/>
        <v>5.1742836177502194E-2</v>
      </c>
      <c r="AK131" s="4">
        <f t="shared" si="89"/>
        <v>3.5319190625345942E-2</v>
      </c>
      <c r="AL131" s="4">
        <f t="shared" si="89"/>
        <v>2.3969442072658165E-2</v>
      </c>
      <c r="AM131" s="4">
        <f t="shared" si="89"/>
        <v>1.6202243558389728E-2</v>
      </c>
      <c r="AN131" s="4">
        <f t="shared" si="89"/>
        <v>1.0922240564108399E-2</v>
      </c>
      <c r="AO131" s="4">
        <f t="shared" si="89"/>
        <v>7.3493212906090566E-3</v>
      </c>
      <c r="AP131" s="4">
        <f t="shared" si="89"/>
        <v>4.9390262185057265E-3</v>
      </c>
      <c r="AQ131" s="4">
        <f t="shared" si="89"/>
        <v>3.3164275492956197E-3</v>
      </c>
      <c r="AR131" s="4">
        <f t="shared" si="89"/>
        <v>2.2256362146679809E-3</v>
      </c>
    </row>
    <row r="132" spans="1:44" x14ac:dyDescent="0.3">
      <c r="A132" s="24" t="s">
        <v>73</v>
      </c>
      <c r="B132" s="72">
        <f>'Parameter Input'!$L$119</f>
        <v>1.7857142857142856E-2</v>
      </c>
      <c r="C132" s="73">
        <f>'Parameter Input'!$M$119</f>
        <v>1.7857142857142856E-2</v>
      </c>
      <c r="D132" s="1" t="s">
        <v>57</v>
      </c>
      <c r="L132" s="54">
        <f>'Parameter Input'!$O$119</f>
        <v>12</v>
      </c>
      <c r="M132" s="37">
        <v>0</v>
      </c>
      <c r="N132" s="37">
        <v>1</v>
      </c>
      <c r="O132" s="37">
        <f>'Parameter Input'!$P$119</f>
        <v>0.9</v>
      </c>
      <c r="P132" s="55">
        <f>'Parameter Input'!$Q$119</f>
        <v>0.4</v>
      </c>
      <c r="Q132" s="4">
        <f t="shared" si="91"/>
        <v>0.9867978615748374</v>
      </c>
      <c r="R132" s="4">
        <f t="shared" si="91"/>
        <v>0.98114509762858249</v>
      </c>
      <c r="S132" s="4">
        <f t="shared" si="91"/>
        <v>0.97311898315872036</v>
      </c>
      <c r="T132" s="4">
        <f t="shared" si="91"/>
        <v>0.96177484161592774</v>
      </c>
      <c r="U132" s="4">
        <f t="shared" si="91"/>
        <v>0.94584787155511363</v>
      </c>
      <c r="V132" s="4">
        <f t="shared" si="91"/>
        <v>0.92370360150141495</v>
      </c>
      <c r="W132" s="4">
        <f t="shared" si="91"/>
        <v>0.89334463567658451</v>
      </c>
      <c r="X132" s="4">
        <f t="shared" si="91"/>
        <v>0.85254543874327005</v>
      </c>
      <c r="Y132" s="4">
        <f t="shared" si="91"/>
        <v>0.79921300652623883</v>
      </c>
      <c r="Z132" s="4">
        <f t="shared" si="91"/>
        <v>0.73204982249993378</v>
      </c>
      <c r="AA132" s="4">
        <f t="shared" si="91"/>
        <v>0.65145592958786691</v>
      </c>
      <c r="AB132" s="4">
        <f t="shared" si="91"/>
        <v>0.56032247880849573</v>
      </c>
      <c r="AC132" s="4">
        <f t="shared" si="91"/>
        <v>0.46411326873185343</v>
      </c>
      <c r="AD132" s="4">
        <f t="shared" si="91"/>
        <v>0.36979727595523937</v>
      </c>
      <c r="AE132" s="4">
        <f t="shared" si="91"/>
        <v>0.28393948637231203</v>
      </c>
      <c r="AF132" s="4">
        <f t="shared" si="91"/>
        <v>0.21097259161117732</v>
      </c>
      <c r="AG132" s="4">
        <f t="shared" si="88"/>
        <v>0.15253917653798199</v>
      </c>
      <c r="AH132" s="4">
        <f t="shared" si="88"/>
        <v>0.10795188737709993</v>
      </c>
      <c r="AI132" s="4">
        <f t="shared" si="88"/>
        <v>7.5176653938091809E-2</v>
      </c>
      <c r="AJ132" s="4">
        <f t="shared" si="89"/>
        <v>5.1742836177502194E-2</v>
      </c>
      <c r="AK132" s="4">
        <f t="shared" si="89"/>
        <v>3.5319190625345942E-2</v>
      </c>
      <c r="AL132" s="4">
        <f t="shared" si="89"/>
        <v>2.3969442072658165E-2</v>
      </c>
      <c r="AM132" s="4">
        <f t="shared" si="89"/>
        <v>1.6202243558389728E-2</v>
      </c>
      <c r="AN132" s="4">
        <f t="shared" si="89"/>
        <v>1.0922240564108399E-2</v>
      </c>
      <c r="AO132" s="4">
        <f t="shared" si="89"/>
        <v>7.3493212906090566E-3</v>
      </c>
      <c r="AP132" s="4">
        <f t="shared" si="89"/>
        <v>4.9390262185057265E-3</v>
      </c>
      <c r="AQ132" s="4">
        <f t="shared" si="89"/>
        <v>3.3164275492956197E-3</v>
      </c>
      <c r="AR132" s="4">
        <f t="shared" si="89"/>
        <v>2.2256362146679809E-3</v>
      </c>
    </row>
    <row r="133" spans="1:44" ht="15" thickBot="1" x14ac:dyDescent="0.35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91"/>
        <v>0.9867978615748374</v>
      </c>
      <c r="R133" s="4">
        <f t="shared" si="91"/>
        <v>0.98114509762858249</v>
      </c>
      <c r="S133" s="4">
        <f t="shared" si="91"/>
        <v>0.97311898315872036</v>
      </c>
      <c r="T133" s="4">
        <f t="shared" si="91"/>
        <v>0.96177484161592774</v>
      </c>
      <c r="U133" s="4">
        <f t="shared" si="91"/>
        <v>0.94584787155511363</v>
      </c>
      <c r="V133" s="4">
        <f t="shared" si="91"/>
        <v>0.92370360150141495</v>
      </c>
      <c r="W133" s="4">
        <f t="shared" si="91"/>
        <v>0.89334463567658451</v>
      </c>
      <c r="X133" s="4">
        <f t="shared" si="91"/>
        <v>0.85254543874327005</v>
      </c>
      <c r="Y133" s="4">
        <f t="shared" si="91"/>
        <v>0.79921300652623883</v>
      </c>
      <c r="Z133" s="4">
        <f t="shared" si="91"/>
        <v>0.73204982249993378</v>
      </c>
      <c r="AA133" s="4">
        <f t="shared" si="91"/>
        <v>0.65145592958786691</v>
      </c>
      <c r="AB133" s="4">
        <f t="shared" si="91"/>
        <v>0.56032247880849573</v>
      </c>
      <c r="AC133" s="4">
        <f t="shared" si="91"/>
        <v>0.46411326873185343</v>
      </c>
      <c r="AD133" s="4">
        <f t="shared" si="91"/>
        <v>0.36979727595523937</v>
      </c>
      <c r="AE133" s="4">
        <f t="shared" si="91"/>
        <v>0.28393948637231203</v>
      </c>
      <c r="AF133" s="4">
        <f t="shared" si="91"/>
        <v>0.21097259161117732</v>
      </c>
      <c r="AG133" s="4">
        <f t="shared" si="88"/>
        <v>0.15253917653798199</v>
      </c>
      <c r="AH133" s="4">
        <f t="shared" si="88"/>
        <v>0.10795188737709993</v>
      </c>
      <c r="AI133" s="4">
        <f t="shared" si="88"/>
        <v>7.5176653938091809E-2</v>
      </c>
      <c r="AJ133" s="4">
        <f t="shared" si="89"/>
        <v>5.1742836177502194E-2</v>
      </c>
      <c r="AK133" s="4">
        <f t="shared" si="89"/>
        <v>3.5319190625345942E-2</v>
      </c>
      <c r="AL133" s="4">
        <f t="shared" si="89"/>
        <v>2.3969442072658165E-2</v>
      </c>
      <c r="AM133" s="4">
        <f t="shared" si="89"/>
        <v>1.6202243558389728E-2</v>
      </c>
      <c r="AN133" s="4">
        <f t="shared" si="89"/>
        <v>1.0922240564108399E-2</v>
      </c>
      <c r="AO133" s="4">
        <f t="shared" si="89"/>
        <v>7.3493212906090566E-3</v>
      </c>
      <c r="AP133" s="4">
        <f t="shared" si="89"/>
        <v>4.9390262185057265E-3</v>
      </c>
      <c r="AQ133" s="4">
        <f t="shared" si="89"/>
        <v>3.3164275492956197E-3</v>
      </c>
      <c r="AR133" s="4">
        <f t="shared" si="89"/>
        <v>2.2256362146679809E-3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92">A117</f>
        <v>Capex vehicle</v>
      </c>
      <c r="B137" s="62">
        <f t="shared" ref="B137:B146" si="93">$B117+($C117-$B117)*(1-Q117)</f>
        <v>9920787.1694490239</v>
      </c>
      <c r="C137" s="62">
        <f t="shared" ref="C137:C146" si="94">$B117+($C117-$B117)*(1-R117)</f>
        <v>9886870.5857714955</v>
      </c>
      <c r="D137" s="62">
        <f t="shared" ref="D137:D146" si="95">$B117+($C117-$B117)*(1-S117)</f>
        <v>9838713.8989523221</v>
      </c>
      <c r="E137" s="62">
        <f t="shared" ref="E137:E146" si="96">$B117+($C117-$B117)*(1-T117)</f>
        <v>9770649.0496955663</v>
      </c>
      <c r="F137" s="62">
        <f t="shared" ref="F137:F146" si="97">$B117+($C117-$B117)*(1-U117)</f>
        <v>9675087.2293306813</v>
      </c>
      <c r="G137" s="62">
        <f t="shared" ref="G137:G146" si="98">$B117+($C117-$B117)*(1-V117)</f>
        <v>9542221.6090084892</v>
      </c>
      <c r="H137" s="62">
        <f t="shared" ref="H137:H146" si="99">$B117+($C117-$B117)*(1-W117)</f>
        <v>9360067.8140595071</v>
      </c>
      <c r="I137" s="62">
        <f t="shared" ref="I137:I146" si="100">$B117+($C117-$B117)*(1-X117)</f>
        <v>9115272.63245962</v>
      </c>
      <c r="J137" s="62">
        <f t="shared" ref="J137:J146" si="101">$B117+($C117-$B117)*(1-Y117)</f>
        <v>8795278.0391574334</v>
      </c>
      <c r="K137" s="62">
        <f t="shared" ref="K137:K146" si="102">$B117+($C117-$B117)*(1-Z117)</f>
        <v>8392298.9349996019</v>
      </c>
      <c r="L137" s="62">
        <f t="shared" ref="L137:L146" si="103">$B117+($C117-$B117)*(1-AA117)</f>
        <v>7908735.5775272017</v>
      </c>
      <c r="M137" s="62">
        <f t="shared" ref="M137:M146" si="104">$B117+($C117-$B117)*(1-AB117)</f>
        <v>7361934.872850975</v>
      </c>
      <c r="N137" s="62">
        <f t="shared" ref="N137:N146" si="105">$B117+($C117-$B117)*(1-AC117)</f>
        <v>6784679.6123911208</v>
      </c>
      <c r="O137" s="62">
        <f t="shared" ref="O137:O146" si="106">$B117+($C117-$B117)*(1-AD117)</f>
        <v>6218783.6557314359</v>
      </c>
      <c r="P137" s="62">
        <f t="shared" ref="P137:P146" si="107">$B117+($C117-$B117)*(1-AE117)</f>
        <v>5703636.9182338724</v>
      </c>
      <c r="Q137" s="62">
        <f t="shared" ref="Q137:Q146" si="108">$B117+($C117-$B117)*(1-AF117)</f>
        <v>5265835.5496670641</v>
      </c>
      <c r="R137" s="62">
        <f t="shared" ref="R137:R146" si="109">$B117+($C117-$B117)*(1-AG117)</f>
        <v>4915235.0592278922</v>
      </c>
      <c r="S137" s="62">
        <f t="shared" ref="S137:S146" si="110">$B117+($C117-$B117)*(1-AH117)</f>
        <v>4647711.3242625995</v>
      </c>
      <c r="T137" s="62">
        <f t="shared" ref="T137:T146" si="111">$B117+($C117-$B117)*(1-AI117)</f>
        <v>4451059.923628551</v>
      </c>
      <c r="U137" s="62">
        <f t="shared" ref="U137:U146" si="112">$B117+($C117-$B117)*(1-AJ117)</f>
        <v>4310457.0170650128</v>
      </c>
      <c r="V137" s="62">
        <f t="shared" ref="V137:V146" si="113">$B117+($C117-$B117)*(1-AK117)</f>
        <v>4211915.1437520757</v>
      </c>
      <c r="W137" s="62">
        <f t="shared" ref="W137:W146" si="114">$B117+($C117-$B117)*(1-AL117)</f>
        <v>4143816.6524359491</v>
      </c>
      <c r="X137" s="62">
        <f t="shared" ref="X137:X146" si="115">$B117+($C117-$B117)*(1-AM117)</f>
        <v>4097213.4613503385</v>
      </c>
      <c r="Y137" s="62">
        <f t="shared" ref="Y137:Y146" si="116">$B117+($C117-$B117)*(1-AN117)</f>
        <v>4065533.4433846502</v>
      </c>
      <c r="Z137" s="62">
        <f t="shared" ref="Z137:Z146" si="117">$B117+($C117-$B117)*(1-AO117)</f>
        <v>4044095.9277436547</v>
      </c>
      <c r="AA137" s="62">
        <f t="shared" ref="AA137:AA146" si="118">$B117+($C117-$B117)*(1-AP117)</f>
        <v>4029634.1573110344</v>
      </c>
      <c r="AB137" s="62">
        <f t="shared" ref="AB137:AB146" si="119">$B117+($C117-$B117)*(1-AQ117)</f>
        <v>4019898.5652957736</v>
      </c>
      <c r="AC137" s="62">
        <f t="shared" ref="AC137:AC146" si="120">$B117+($C117-$B117)*(1-AR117)</f>
        <v>4013353.8172880076</v>
      </c>
    </row>
    <row r="138" spans="1:44" x14ac:dyDescent="0.3">
      <c r="A138" s="30" t="str">
        <f t="shared" si="92"/>
        <v>Residual value (vehicle)</v>
      </c>
      <c r="B138" s="62">
        <f t="shared" si="93"/>
        <v>-501320.21384251624</v>
      </c>
      <c r="C138" s="62">
        <f t="shared" si="94"/>
        <v>-501885.49023714173</v>
      </c>
      <c r="D138" s="62">
        <f t="shared" si="95"/>
        <v>-502688.10168412799</v>
      </c>
      <c r="E138" s="62">
        <f t="shared" si="96"/>
        <v>-503822.51583840721</v>
      </c>
      <c r="F138" s="62">
        <f t="shared" si="97"/>
        <v>-505415.21284448862</v>
      </c>
      <c r="G138" s="62">
        <f t="shared" si="98"/>
        <v>-507629.63984985853</v>
      </c>
      <c r="H138" s="62">
        <f t="shared" si="99"/>
        <v>-510665.53643234156</v>
      </c>
      <c r="I138" s="62">
        <f t="shared" si="100"/>
        <v>-514745.45612567302</v>
      </c>
      <c r="J138" s="62">
        <f t="shared" si="101"/>
        <v>-520078.69934737612</v>
      </c>
      <c r="K138" s="62">
        <f t="shared" si="102"/>
        <v>-526795.01775000663</v>
      </c>
      <c r="L138" s="62">
        <f t="shared" si="103"/>
        <v>-534854.40704121336</v>
      </c>
      <c r="M138" s="62">
        <f t="shared" si="104"/>
        <v>-543967.75211915048</v>
      </c>
      <c r="N138" s="62">
        <f t="shared" si="105"/>
        <v>-553588.67312681465</v>
      </c>
      <c r="O138" s="62">
        <f t="shared" si="106"/>
        <v>-563020.27240447607</v>
      </c>
      <c r="P138" s="62">
        <f t="shared" si="107"/>
        <v>-571606.05136276875</v>
      </c>
      <c r="Q138" s="62">
        <f t="shared" si="108"/>
        <v>-578902.74083888228</v>
      </c>
      <c r="R138" s="62">
        <f t="shared" si="109"/>
        <v>-584746.08234620176</v>
      </c>
      <c r="S138" s="62">
        <f t="shared" si="110"/>
        <v>-589204.81126228999</v>
      </c>
      <c r="T138" s="62">
        <f t="shared" si="111"/>
        <v>-592482.33460619079</v>
      </c>
      <c r="U138" s="62">
        <f t="shared" si="112"/>
        <v>-594825.71638224972</v>
      </c>
      <c r="V138" s="62">
        <f t="shared" si="113"/>
        <v>-596468.08093746542</v>
      </c>
      <c r="W138" s="62">
        <f t="shared" si="114"/>
        <v>-597603.05579273414</v>
      </c>
      <c r="X138" s="62">
        <f t="shared" si="115"/>
        <v>-598379.77564416104</v>
      </c>
      <c r="Y138" s="62">
        <f t="shared" si="116"/>
        <v>-598907.77594358916</v>
      </c>
      <c r="Z138" s="62">
        <f t="shared" si="117"/>
        <v>-599265.06787093915</v>
      </c>
      <c r="AA138" s="62">
        <f t="shared" si="118"/>
        <v>-599506.0973781494</v>
      </c>
      <c r="AB138" s="62">
        <f t="shared" si="119"/>
        <v>-599668.35724507039</v>
      </c>
      <c r="AC138" s="62">
        <f t="shared" si="120"/>
        <v>-599777.43637853325</v>
      </c>
    </row>
    <row r="139" spans="1:44" x14ac:dyDescent="0.3">
      <c r="A139" s="30" t="str">
        <f t="shared" si="92"/>
        <v>Capex costumization</v>
      </c>
      <c r="B139" s="62">
        <f t="shared" si="93"/>
        <v>5600000</v>
      </c>
      <c r="C139" s="62">
        <f t="shared" si="94"/>
        <v>5600000</v>
      </c>
      <c r="D139" s="62">
        <f t="shared" si="95"/>
        <v>5600000</v>
      </c>
      <c r="E139" s="62">
        <f t="shared" si="96"/>
        <v>5600000</v>
      </c>
      <c r="F139" s="62">
        <f t="shared" si="97"/>
        <v>5600000</v>
      </c>
      <c r="G139" s="62">
        <f t="shared" si="98"/>
        <v>5600000</v>
      </c>
      <c r="H139" s="62">
        <f t="shared" si="99"/>
        <v>5600000</v>
      </c>
      <c r="I139" s="62">
        <f t="shared" si="100"/>
        <v>5600000</v>
      </c>
      <c r="J139" s="62">
        <f t="shared" si="101"/>
        <v>5600000</v>
      </c>
      <c r="K139" s="62">
        <f t="shared" si="102"/>
        <v>5600000</v>
      </c>
      <c r="L139" s="62">
        <f t="shared" si="103"/>
        <v>5600000</v>
      </c>
      <c r="M139" s="62">
        <f t="shared" si="104"/>
        <v>5600000</v>
      </c>
      <c r="N139" s="62">
        <f t="shared" si="105"/>
        <v>5600000</v>
      </c>
      <c r="O139" s="62">
        <f t="shared" si="106"/>
        <v>5600000</v>
      </c>
      <c r="P139" s="62">
        <f t="shared" si="107"/>
        <v>5600000</v>
      </c>
      <c r="Q139" s="62">
        <f t="shared" si="108"/>
        <v>5600000</v>
      </c>
      <c r="R139" s="62">
        <f t="shared" si="109"/>
        <v>5600000</v>
      </c>
      <c r="S139" s="62">
        <f t="shared" si="110"/>
        <v>5600000</v>
      </c>
      <c r="T139" s="62">
        <f t="shared" si="111"/>
        <v>5600000</v>
      </c>
      <c r="U139" s="62">
        <f t="shared" si="112"/>
        <v>5600000</v>
      </c>
      <c r="V139" s="62">
        <f t="shared" si="113"/>
        <v>5600000</v>
      </c>
      <c r="W139" s="62">
        <f t="shared" si="114"/>
        <v>5600000</v>
      </c>
      <c r="X139" s="62">
        <f t="shared" si="115"/>
        <v>5600000</v>
      </c>
      <c r="Y139" s="62">
        <f t="shared" si="116"/>
        <v>5600000</v>
      </c>
      <c r="Z139" s="62">
        <f t="shared" si="117"/>
        <v>5600000</v>
      </c>
      <c r="AA139" s="62">
        <f t="shared" si="118"/>
        <v>5600000</v>
      </c>
      <c r="AB139" s="62">
        <f t="shared" si="119"/>
        <v>5600000</v>
      </c>
      <c r="AC139" s="62">
        <f t="shared" si="120"/>
        <v>5600000</v>
      </c>
    </row>
    <row r="140" spans="1:44" x14ac:dyDescent="0.3">
      <c r="A140" s="30" t="str">
        <f t="shared" si="92"/>
        <v>Residual value (costumization)</v>
      </c>
      <c r="B140" s="62">
        <f t="shared" si="93"/>
        <v>-280000</v>
      </c>
      <c r="C140" s="62">
        <f t="shared" si="94"/>
        <v>-280000</v>
      </c>
      <c r="D140" s="62">
        <f t="shared" si="95"/>
        <v>-280000</v>
      </c>
      <c r="E140" s="62">
        <f t="shared" si="96"/>
        <v>-280000</v>
      </c>
      <c r="F140" s="62">
        <f t="shared" si="97"/>
        <v>-280000</v>
      </c>
      <c r="G140" s="62">
        <f t="shared" si="98"/>
        <v>-280000</v>
      </c>
      <c r="H140" s="62">
        <f t="shared" si="99"/>
        <v>-280000</v>
      </c>
      <c r="I140" s="62">
        <f t="shared" si="100"/>
        <v>-280000</v>
      </c>
      <c r="J140" s="62">
        <f t="shared" si="101"/>
        <v>-280000</v>
      </c>
      <c r="K140" s="62">
        <f t="shared" si="102"/>
        <v>-280000</v>
      </c>
      <c r="L140" s="62">
        <f t="shared" si="103"/>
        <v>-280000</v>
      </c>
      <c r="M140" s="62">
        <f t="shared" si="104"/>
        <v>-280000</v>
      </c>
      <c r="N140" s="62">
        <f t="shared" si="105"/>
        <v>-280000</v>
      </c>
      <c r="O140" s="62">
        <f t="shared" si="106"/>
        <v>-280000</v>
      </c>
      <c r="P140" s="62">
        <f t="shared" si="107"/>
        <v>-280000</v>
      </c>
      <c r="Q140" s="62">
        <f t="shared" si="108"/>
        <v>-280000</v>
      </c>
      <c r="R140" s="62">
        <f t="shared" si="109"/>
        <v>-280000</v>
      </c>
      <c r="S140" s="62">
        <f t="shared" si="110"/>
        <v>-280000</v>
      </c>
      <c r="T140" s="62">
        <f t="shared" si="111"/>
        <v>-280000</v>
      </c>
      <c r="U140" s="62">
        <f t="shared" si="112"/>
        <v>-280000</v>
      </c>
      <c r="V140" s="62">
        <f t="shared" si="113"/>
        <v>-280000</v>
      </c>
      <c r="W140" s="62">
        <f t="shared" si="114"/>
        <v>-280000</v>
      </c>
      <c r="X140" s="62">
        <f t="shared" si="115"/>
        <v>-280000</v>
      </c>
      <c r="Y140" s="62">
        <f t="shared" si="116"/>
        <v>-280000</v>
      </c>
      <c r="Z140" s="62">
        <f t="shared" si="117"/>
        <v>-280000</v>
      </c>
      <c r="AA140" s="62">
        <f t="shared" si="118"/>
        <v>-280000</v>
      </c>
      <c r="AB140" s="62">
        <f t="shared" si="119"/>
        <v>-280000</v>
      </c>
      <c r="AC140" s="62">
        <f t="shared" si="120"/>
        <v>-280000</v>
      </c>
    </row>
    <row r="141" spans="1:44" x14ac:dyDescent="0.3">
      <c r="A141" s="30" t="str">
        <f t="shared" si="92"/>
        <v>WACC</v>
      </c>
      <c r="B141" s="62">
        <f t="shared" si="93"/>
        <v>0.06</v>
      </c>
      <c r="C141" s="62">
        <f t="shared" si="94"/>
        <v>0.06</v>
      </c>
      <c r="D141" s="62">
        <f t="shared" si="95"/>
        <v>0.06</v>
      </c>
      <c r="E141" s="62">
        <f t="shared" si="96"/>
        <v>0.06</v>
      </c>
      <c r="F141" s="62">
        <f t="shared" si="97"/>
        <v>0.06</v>
      </c>
      <c r="G141" s="62">
        <f t="shared" si="98"/>
        <v>0.06</v>
      </c>
      <c r="H141" s="62">
        <f t="shared" si="99"/>
        <v>0.06</v>
      </c>
      <c r="I141" s="62">
        <f t="shared" si="100"/>
        <v>0.06</v>
      </c>
      <c r="J141" s="62">
        <f t="shared" si="101"/>
        <v>0.06</v>
      </c>
      <c r="K141" s="62">
        <f t="shared" si="102"/>
        <v>0.06</v>
      </c>
      <c r="L141" s="62">
        <f t="shared" si="103"/>
        <v>0.06</v>
      </c>
      <c r="M141" s="62">
        <f t="shared" si="104"/>
        <v>0.06</v>
      </c>
      <c r="N141" s="62">
        <f t="shared" si="105"/>
        <v>0.06</v>
      </c>
      <c r="O141" s="62">
        <f t="shared" si="106"/>
        <v>0.06</v>
      </c>
      <c r="P141" s="62">
        <f t="shared" si="107"/>
        <v>0.06</v>
      </c>
      <c r="Q141" s="62">
        <f t="shared" si="108"/>
        <v>0.06</v>
      </c>
      <c r="R141" s="62">
        <f t="shared" si="109"/>
        <v>0.06</v>
      </c>
      <c r="S141" s="62">
        <f t="shared" si="110"/>
        <v>0.06</v>
      </c>
      <c r="T141" s="62">
        <f t="shared" si="111"/>
        <v>0.06</v>
      </c>
      <c r="U141" s="62">
        <f t="shared" si="112"/>
        <v>0.06</v>
      </c>
      <c r="V141" s="62">
        <f t="shared" si="113"/>
        <v>0.06</v>
      </c>
      <c r="W141" s="62">
        <f t="shared" si="114"/>
        <v>0.06</v>
      </c>
      <c r="X141" s="62">
        <f t="shared" si="115"/>
        <v>0.06</v>
      </c>
      <c r="Y141" s="62">
        <f t="shared" si="116"/>
        <v>0.06</v>
      </c>
      <c r="Z141" s="62">
        <f t="shared" si="117"/>
        <v>0.06</v>
      </c>
      <c r="AA141" s="62">
        <f t="shared" si="118"/>
        <v>0.06</v>
      </c>
      <c r="AB141" s="62">
        <f t="shared" si="119"/>
        <v>0.06</v>
      </c>
      <c r="AC141" s="62">
        <f t="shared" si="120"/>
        <v>0.06</v>
      </c>
    </row>
    <row r="142" spans="1:44" x14ac:dyDescent="0.3">
      <c r="A142" s="30" t="str">
        <f t="shared" si="92"/>
        <v>Opex fix (admin, crew, insurance)</v>
      </c>
      <c r="B142" s="62">
        <f t="shared" si="93"/>
        <v>620000</v>
      </c>
      <c r="C142" s="62">
        <f t="shared" si="94"/>
        <v>620000</v>
      </c>
      <c r="D142" s="62">
        <f t="shared" si="95"/>
        <v>620000</v>
      </c>
      <c r="E142" s="62">
        <f t="shared" si="96"/>
        <v>620000</v>
      </c>
      <c r="F142" s="62">
        <f t="shared" si="97"/>
        <v>620000</v>
      </c>
      <c r="G142" s="62">
        <f t="shared" si="98"/>
        <v>620000</v>
      </c>
      <c r="H142" s="62">
        <f t="shared" si="99"/>
        <v>620000</v>
      </c>
      <c r="I142" s="62">
        <f t="shared" si="100"/>
        <v>620000</v>
      </c>
      <c r="J142" s="62">
        <f t="shared" si="101"/>
        <v>620000</v>
      </c>
      <c r="K142" s="62">
        <f t="shared" si="102"/>
        <v>620000</v>
      </c>
      <c r="L142" s="62">
        <f t="shared" si="103"/>
        <v>620000</v>
      </c>
      <c r="M142" s="62">
        <f t="shared" si="104"/>
        <v>620000</v>
      </c>
      <c r="N142" s="62">
        <f t="shared" si="105"/>
        <v>620000</v>
      </c>
      <c r="O142" s="62">
        <f t="shared" si="106"/>
        <v>620000</v>
      </c>
      <c r="P142" s="62">
        <f t="shared" si="107"/>
        <v>620000</v>
      </c>
      <c r="Q142" s="62">
        <f t="shared" si="108"/>
        <v>620000</v>
      </c>
      <c r="R142" s="62">
        <f t="shared" si="109"/>
        <v>620000</v>
      </c>
      <c r="S142" s="62">
        <f t="shared" si="110"/>
        <v>620000</v>
      </c>
      <c r="T142" s="62">
        <f t="shared" si="111"/>
        <v>620000</v>
      </c>
      <c r="U142" s="62">
        <f t="shared" si="112"/>
        <v>620000</v>
      </c>
      <c r="V142" s="62">
        <f t="shared" si="113"/>
        <v>620000</v>
      </c>
      <c r="W142" s="62">
        <f t="shared" si="114"/>
        <v>620000</v>
      </c>
      <c r="X142" s="62">
        <f t="shared" si="115"/>
        <v>620000</v>
      </c>
      <c r="Y142" s="62">
        <f t="shared" si="116"/>
        <v>620000</v>
      </c>
      <c r="Z142" s="62">
        <f t="shared" si="117"/>
        <v>620000</v>
      </c>
      <c r="AA142" s="62">
        <f t="shared" si="118"/>
        <v>620000</v>
      </c>
      <c r="AB142" s="62">
        <f t="shared" si="119"/>
        <v>620000</v>
      </c>
      <c r="AC142" s="62">
        <f t="shared" si="120"/>
        <v>620000</v>
      </c>
    </row>
    <row r="143" spans="1:44" x14ac:dyDescent="0.3">
      <c r="A143" s="30" t="str">
        <f t="shared" si="92"/>
        <v>Opex maintenance &amp; repair</v>
      </c>
      <c r="B143" s="62">
        <f t="shared" si="93"/>
        <v>1388910.2037228637</v>
      </c>
      <c r="C143" s="62">
        <f t="shared" si="94"/>
        <v>1384161.8820080096</v>
      </c>
      <c r="D143" s="62">
        <f t="shared" si="95"/>
        <v>1377419.9458533253</v>
      </c>
      <c r="E143" s="62">
        <f t="shared" si="96"/>
        <v>1367890.8669573795</v>
      </c>
      <c r="F143" s="62">
        <f t="shared" si="97"/>
        <v>1354512.2121062956</v>
      </c>
      <c r="G143" s="62">
        <f t="shared" si="98"/>
        <v>1335911.0252611889</v>
      </c>
      <c r="H143" s="62">
        <f t="shared" si="99"/>
        <v>1310409.4939683313</v>
      </c>
      <c r="I143" s="62">
        <f t="shared" si="100"/>
        <v>1276138.1685443469</v>
      </c>
      <c r="J143" s="62">
        <f t="shared" si="101"/>
        <v>1231338.9254820407</v>
      </c>
      <c r="K143" s="62">
        <f t="shared" si="102"/>
        <v>1174921.8508999445</v>
      </c>
      <c r="L143" s="62">
        <f t="shared" si="103"/>
        <v>1107222.9808538083</v>
      </c>
      <c r="M143" s="62">
        <f t="shared" si="104"/>
        <v>1030670.8821991365</v>
      </c>
      <c r="N143" s="62">
        <f t="shared" si="105"/>
        <v>949855.14573475695</v>
      </c>
      <c r="O143" s="62">
        <f t="shared" si="106"/>
        <v>870629.71180240111</v>
      </c>
      <c r="P143" s="62">
        <f t="shared" si="107"/>
        <v>798509.16855274222</v>
      </c>
      <c r="Q143" s="62">
        <f t="shared" si="108"/>
        <v>737216.97695338901</v>
      </c>
      <c r="R143" s="62">
        <f t="shared" si="109"/>
        <v>688132.90829190495</v>
      </c>
      <c r="S143" s="62">
        <f t="shared" si="110"/>
        <v>650679.58539676399</v>
      </c>
      <c r="T143" s="62">
        <f t="shared" si="111"/>
        <v>623148.38930799719</v>
      </c>
      <c r="U143" s="62">
        <f t="shared" si="112"/>
        <v>603463.98238910188</v>
      </c>
      <c r="V143" s="62">
        <f t="shared" si="113"/>
        <v>589668.12012529059</v>
      </c>
      <c r="W143" s="62">
        <f t="shared" si="114"/>
        <v>580134.33134103287</v>
      </c>
      <c r="X143" s="62">
        <f t="shared" si="115"/>
        <v>573609.8845890474</v>
      </c>
      <c r="Y143" s="62">
        <f t="shared" si="116"/>
        <v>569174.682073851</v>
      </c>
      <c r="Z143" s="62">
        <f t="shared" si="117"/>
        <v>566173.42988411163</v>
      </c>
      <c r="AA143" s="62">
        <f t="shared" si="118"/>
        <v>564148.78202354477</v>
      </c>
      <c r="AB143" s="62">
        <f t="shared" si="119"/>
        <v>562785.79914140829</v>
      </c>
      <c r="AC143" s="62">
        <f t="shared" si="120"/>
        <v>561869.53442032111</v>
      </c>
    </row>
    <row r="144" spans="1:44" x14ac:dyDescent="0.3">
      <c r="A144" s="30" t="str">
        <f t="shared" si="92"/>
        <v>Opex var (mode-fees, shunting)</v>
      </c>
      <c r="B144" s="62">
        <f t="shared" si="93"/>
        <v>3.6414565826330532</v>
      </c>
      <c r="C144" s="62">
        <f t="shared" si="94"/>
        <v>3.6414565826330532</v>
      </c>
      <c r="D144" s="62">
        <f t="shared" si="95"/>
        <v>3.6414565826330532</v>
      </c>
      <c r="E144" s="62">
        <f t="shared" si="96"/>
        <v>3.6414565826330532</v>
      </c>
      <c r="F144" s="62">
        <f t="shared" si="97"/>
        <v>3.6414565826330532</v>
      </c>
      <c r="G144" s="62">
        <f t="shared" si="98"/>
        <v>3.6414565826330532</v>
      </c>
      <c r="H144" s="62">
        <f t="shared" si="99"/>
        <v>3.6414565826330532</v>
      </c>
      <c r="I144" s="62">
        <f t="shared" si="100"/>
        <v>3.6414565826330532</v>
      </c>
      <c r="J144" s="62">
        <f t="shared" si="101"/>
        <v>3.6414565826330532</v>
      </c>
      <c r="K144" s="62">
        <f t="shared" si="102"/>
        <v>3.6414565826330532</v>
      </c>
      <c r="L144" s="62">
        <f t="shared" si="103"/>
        <v>3.6414565826330532</v>
      </c>
      <c r="M144" s="62">
        <f t="shared" si="104"/>
        <v>3.6414565826330532</v>
      </c>
      <c r="N144" s="62">
        <f t="shared" si="105"/>
        <v>3.6414565826330532</v>
      </c>
      <c r="O144" s="62">
        <f t="shared" si="106"/>
        <v>3.6414565826330532</v>
      </c>
      <c r="P144" s="62">
        <f t="shared" si="107"/>
        <v>3.6414565826330532</v>
      </c>
      <c r="Q144" s="62">
        <f t="shared" si="108"/>
        <v>3.6414565826330532</v>
      </c>
      <c r="R144" s="62">
        <f t="shared" si="109"/>
        <v>3.6414565826330532</v>
      </c>
      <c r="S144" s="62">
        <f t="shared" si="110"/>
        <v>3.6414565826330532</v>
      </c>
      <c r="T144" s="62">
        <f t="shared" si="111"/>
        <v>3.6414565826330532</v>
      </c>
      <c r="U144" s="62">
        <f t="shared" si="112"/>
        <v>3.6414565826330532</v>
      </c>
      <c r="V144" s="62">
        <f t="shared" si="113"/>
        <v>3.6414565826330532</v>
      </c>
      <c r="W144" s="62">
        <f t="shared" si="114"/>
        <v>3.6414565826330532</v>
      </c>
      <c r="X144" s="62">
        <f t="shared" si="115"/>
        <v>3.6414565826330532</v>
      </c>
      <c r="Y144" s="62">
        <f t="shared" si="116"/>
        <v>3.6414565826330532</v>
      </c>
      <c r="Z144" s="62">
        <f t="shared" si="117"/>
        <v>3.6414565826330532</v>
      </c>
      <c r="AA144" s="62">
        <f t="shared" si="118"/>
        <v>3.6414565826330532</v>
      </c>
      <c r="AB144" s="62">
        <f t="shared" si="119"/>
        <v>3.6414565826330532</v>
      </c>
      <c r="AC144" s="62">
        <f t="shared" si="120"/>
        <v>3.6414565826330532</v>
      </c>
    </row>
    <row r="145" spans="1:29" x14ac:dyDescent="0.3">
      <c r="A145" s="30" t="str">
        <f t="shared" si="92"/>
        <v>Fuel Economy</v>
      </c>
      <c r="B145" s="62">
        <f t="shared" si="93"/>
        <v>39.427247314658196</v>
      </c>
      <c r="C145" s="62">
        <f t="shared" si="94"/>
        <v>39.39288938847082</v>
      </c>
      <c r="D145" s="62">
        <f t="shared" si="95"/>
        <v>39.344106058554914</v>
      </c>
      <c r="E145" s="62">
        <f t="shared" si="96"/>
        <v>39.27515550949748</v>
      </c>
      <c r="F145" s="62">
        <f t="shared" si="97"/>
        <v>39.178350182591792</v>
      </c>
      <c r="G145" s="62">
        <f t="shared" si="98"/>
        <v>39.043755636771031</v>
      </c>
      <c r="H145" s="62">
        <f t="shared" si="99"/>
        <v>38.859231549642743</v>
      </c>
      <c r="I145" s="62">
        <f t="shared" si="100"/>
        <v>38.611250949344104</v>
      </c>
      <c r="J145" s="62">
        <f t="shared" si="101"/>
        <v>38.287092398425017</v>
      </c>
      <c r="K145" s="62">
        <f t="shared" si="102"/>
        <v>37.878869493448889</v>
      </c>
      <c r="L145" s="62">
        <f t="shared" si="103"/>
        <v>37.389013725517856</v>
      </c>
      <c r="M145" s="62">
        <f t="shared" si="104"/>
        <v>36.835097728874764</v>
      </c>
      <c r="N145" s="62">
        <f t="shared" si="105"/>
        <v>36.250330883878796</v>
      </c>
      <c r="O145" s="62">
        <f t="shared" si="106"/>
        <v>35.677071156616648</v>
      </c>
      <c r="P145" s="62">
        <f t="shared" si="107"/>
        <v>35.155221027167087</v>
      </c>
      <c r="Q145" s="62">
        <f t="shared" si="108"/>
        <v>34.711722730022458</v>
      </c>
      <c r="R145" s="62">
        <f t="shared" si="109"/>
        <v>34.356560020054545</v>
      </c>
      <c r="S145" s="62">
        <f t="shared" si="110"/>
        <v>34.085555109103076</v>
      </c>
      <c r="T145" s="62">
        <f t="shared" si="111"/>
        <v>33.886344764928474</v>
      </c>
      <c r="U145" s="62">
        <f t="shared" si="112"/>
        <v>33.743912250752814</v>
      </c>
      <c r="V145" s="62">
        <f t="shared" si="113"/>
        <v>33.64408809269959</v>
      </c>
      <c r="W145" s="62">
        <f t="shared" si="114"/>
        <v>33.575103463812546</v>
      </c>
      <c r="X145" s="62">
        <f t="shared" si="115"/>
        <v>33.527893844629226</v>
      </c>
      <c r="Y145" s="62">
        <f t="shared" si="116"/>
        <v>33.49580158766053</v>
      </c>
      <c r="Z145" s="62">
        <f t="shared" si="117"/>
        <v>33.474085114473347</v>
      </c>
      <c r="AA145" s="62">
        <f t="shared" si="118"/>
        <v>33.459435158988832</v>
      </c>
      <c r="AB145" s="62">
        <f t="shared" si="119"/>
        <v>33.449572881731456</v>
      </c>
      <c r="AC145" s="62">
        <f t="shared" si="120"/>
        <v>33.442942969618151</v>
      </c>
    </row>
    <row r="146" spans="1:29" x14ac:dyDescent="0.3">
      <c r="A146" s="30" t="str">
        <f t="shared" si="92"/>
        <v>Fuel Cost</v>
      </c>
      <c r="B146" s="62">
        <f t="shared" si="93"/>
        <v>0.21482257834535914</v>
      </c>
      <c r="C146" s="62">
        <f t="shared" si="94"/>
        <v>0.21417522499855654</v>
      </c>
      <c r="D146" s="62">
        <f t="shared" si="95"/>
        <v>0.21325607604535665</v>
      </c>
      <c r="E146" s="62">
        <f t="shared" si="96"/>
        <v>0.21195694732458373</v>
      </c>
      <c r="F146" s="62">
        <f t="shared" si="97"/>
        <v>0.21013299403884214</v>
      </c>
      <c r="G146" s="62">
        <f t="shared" si="98"/>
        <v>0.20759703685611555</v>
      </c>
      <c r="H146" s="62">
        <f t="shared" si="99"/>
        <v>0.20412033442894431</v>
      </c>
      <c r="I146" s="62">
        <f t="shared" si="100"/>
        <v>0.19944801891519662</v>
      </c>
      <c r="J146" s="62">
        <f t="shared" si="101"/>
        <v>0.19334039991375346</v>
      </c>
      <c r="K146" s="62">
        <f t="shared" si="102"/>
        <v>0.18564888610303532</v>
      </c>
      <c r="L146" s="62">
        <f t="shared" si="103"/>
        <v>0.17641929031511205</v>
      </c>
      <c r="M146" s="62">
        <f t="shared" si="104"/>
        <v>0.16598270656093206</v>
      </c>
      <c r="N146" s="62">
        <f t="shared" si="105"/>
        <v>0.15496484791186993</v>
      </c>
      <c r="O146" s="62">
        <f t="shared" si="106"/>
        <v>0.14416380011269478</v>
      </c>
      <c r="P146" s="62">
        <f t="shared" si="107"/>
        <v>0.13433138397714983</v>
      </c>
      <c r="Q146" s="62">
        <f t="shared" si="108"/>
        <v>0.12597523042491984</v>
      </c>
      <c r="R146" s="62">
        <f t="shared" si="109"/>
        <v>0.11928344793189689</v>
      </c>
      <c r="S146" s="62">
        <f t="shared" si="110"/>
        <v>0.11417732088721881</v>
      </c>
      <c r="T146" s="62">
        <f t="shared" si="111"/>
        <v>0.11042390799739947</v>
      </c>
      <c r="U146" s="62">
        <f t="shared" si="112"/>
        <v>0.10774027208054308</v>
      </c>
      <c r="V146" s="62">
        <f t="shared" si="113"/>
        <v>0.10585943962124107</v>
      </c>
      <c r="W146" s="62">
        <f t="shared" si="114"/>
        <v>0.10455966878686571</v>
      </c>
      <c r="X146" s="62">
        <f t="shared" si="115"/>
        <v>0.10367017083483761</v>
      </c>
      <c r="Y146" s="62">
        <f t="shared" si="116"/>
        <v>0.10306550599442084</v>
      </c>
      <c r="Z146" s="62">
        <f t="shared" si="117"/>
        <v>0.10265633602526128</v>
      </c>
      <c r="AA146" s="62">
        <f t="shared" si="118"/>
        <v>0.10238030953688443</v>
      </c>
      <c r="AB146" s="62">
        <f t="shared" si="119"/>
        <v>0.10219448987609238</v>
      </c>
      <c r="AC146" s="62">
        <f t="shared" si="120"/>
        <v>0.10206957268021295</v>
      </c>
    </row>
    <row r="147" spans="1:29" x14ac:dyDescent="0.3">
      <c r="A147" s="30" t="str">
        <f t="shared" ref="A147" si="121">A127</f>
        <v>Emission Cost</v>
      </c>
      <c r="B147" s="66">
        <f>$B127+($C127-$B127)*(1-Q127)</f>
        <v>0.14217309718689772</v>
      </c>
      <c r="C147" s="66">
        <f t="shared" ref="C147" si="122">$B127+($C127-$B127)*(1-R127)</f>
        <v>0.14203771375766058</v>
      </c>
      <c r="D147" s="66">
        <f t="shared" ref="D147" si="123">$B127+($C127-$B127)*(1-S127)</f>
        <v>0.14184391539413038</v>
      </c>
      <c r="E147" s="66">
        <f t="shared" ref="E147" si="124">$B127+($C127-$B127)*(1-T127)</f>
        <v>0.14156667320659028</v>
      </c>
      <c r="F147" s="66">
        <f t="shared" ref="F147" si="125">$B127+($C127-$B127)*(1-U127)</f>
        <v>0.14117043294406945</v>
      </c>
      <c r="G147" s="66">
        <f t="shared" ref="G147" si="126">$B127+($C127-$B127)*(1-V127)</f>
        <v>0.14060491245838053</v>
      </c>
      <c r="H147" s="66">
        <f t="shared" ref="H147" si="127">$B127+($C127-$B127)*(1-W127)</f>
        <v>0.13979947254939792</v>
      </c>
      <c r="I147" s="66">
        <f t="shared" ref="I147" si="128">$B127+($C127-$B127)*(1-X127)</f>
        <v>0.13865586333989385</v>
      </c>
      <c r="J147" s="66">
        <f t="shared" ref="J147" si="129">$B127+($C127-$B127)*(1-Y127)</f>
        <v>0.13703948161608845</v>
      </c>
      <c r="K147" s="66">
        <f t="shared" ref="K147" si="130">$B127+($C127-$B127)*(1-Z127)</f>
        <v>0.13477011083780754</v>
      </c>
      <c r="L147" s="66">
        <f t="shared" ref="L147" si="131">$B127+($C127-$B127)*(1-AA127)</f>
        <v>0.13161486164889458</v>
      </c>
      <c r="M147" s="66">
        <f t="shared" ref="M147" si="132">$B127+($C127-$B127)*(1-AB127)</f>
        <v>0.12728913304900186</v>
      </c>
      <c r="N147" s="66">
        <f t="shared" ref="N147" si="133">$B127+($C127-$B127)*(1-AC127)</f>
        <v>0.12147581733708304</v>
      </c>
      <c r="O147" s="66">
        <f t="shared" ref="O147" si="134">$B127+($C127-$B127)*(1-AD127)</f>
        <v>0.11387669065160279</v>
      </c>
      <c r="P147" s="66">
        <f t="shared" ref="P147" si="135">$B127+($C127-$B127)*(1-AE127)</f>
        <v>0.10430687501035908</v>
      </c>
      <c r="Q147" s="66">
        <f t="shared" ref="Q147" si="136">$B127+($C127-$B127)*(1-AF127)</f>
        <v>9.2823370942467606E-2</v>
      </c>
      <c r="R147" s="66">
        <f t="shared" ref="R147" si="137">$B127+($C127-$B127)*(1-AG127)</f>
        <v>7.9838127086736127E-2</v>
      </c>
      <c r="S147" s="66">
        <f t="shared" ref="S147" si="138">$B127+($C127-$B127)*(1-AH127)</f>
        <v>6.6129658425355342E-2</v>
      </c>
      <c r="T147" s="66">
        <f t="shared" ref="T147" si="139">$B127+($C127-$B127)*(1-AI127)</f>
        <v>5.2690946786259088E-2</v>
      </c>
      <c r="U147" s="66">
        <f t="shared" ref="U147" si="140">$B127+($C127-$B127)*(1-AJ127)</f>
        <v>4.0457410964736609E-2</v>
      </c>
      <c r="V147" s="66">
        <f t="shared" ref="V147" si="141">$B127+($C127-$B127)*(1-AK127)</f>
        <v>3.0060647605444357E-2</v>
      </c>
      <c r="W147" s="66">
        <f t="shared" ref="W147" si="142">$B127+($C127-$B127)*(1-AL127)</f>
        <v>2.1734702109475382E-2</v>
      </c>
      <c r="X147" s="66">
        <f t="shared" ref="X147" si="143">$B127+($C127-$B127)*(1-AM127)</f>
        <v>1.5381636164219614E-2</v>
      </c>
      <c r="Y147" s="66">
        <f t="shared" ref="Y147" si="144">$B127+($C127-$B127)*(1-AN127)</f>
        <v>1.0711623177831281E-2</v>
      </c>
      <c r="Z147" s="66">
        <f t="shared" ref="Z147" si="145">$B127+($C127-$B127)*(1-AO127)</f>
        <v>7.3726314520740077E-3</v>
      </c>
      <c r="AA147" s="66">
        <f t="shared" ref="AA147" si="146">$B127+($C127-$B127)*(1-AP127)</f>
        <v>5.0324913534492977E-3</v>
      </c>
      <c r="AB147" s="66">
        <f t="shared" ref="AB147" si="147">$B127+($C127-$B127)*(1-AQ127)</f>
        <v>3.4153107090481305E-3</v>
      </c>
      <c r="AC147" s="66">
        <f t="shared" ref="AC147" si="148">$B127+($C127-$B127)*(1-AR127)</f>
        <v>2.3085934068818315E-3</v>
      </c>
    </row>
    <row r="148" spans="1:29" x14ac:dyDescent="0.3">
      <c r="A148" s="30" t="str">
        <f>A128</f>
        <v>Lifetime vehicle</v>
      </c>
      <c r="B148" s="62">
        <f>$B128+($C128-$B128)*(1-Q128)</f>
        <v>20</v>
      </c>
      <c r="C148" s="62">
        <f t="shared" ref="C148:L150" si="149">$B128+($C128-$B128)*(1-R128)</f>
        <v>20</v>
      </c>
      <c r="D148" s="62">
        <f t="shared" si="149"/>
        <v>20</v>
      </c>
      <c r="E148" s="62">
        <f t="shared" si="149"/>
        <v>20</v>
      </c>
      <c r="F148" s="62">
        <f t="shared" si="149"/>
        <v>20</v>
      </c>
      <c r="G148" s="62">
        <f t="shared" si="149"/>
        <v>20</v>
      </c>
      <c r="H148" s="62">
        <f t="shared" si="149"/>
        <v>20</v>
      </c>
      <c r="I148" s="62">
        <f t="shared" si="149"/>
        <v>20</v>
      </c>
      <c r="J148" s="62">
        <f t="shared" si="149"/>
        <v>20</v>
      </c>
      <c r="K148" s="62">
        <f t="shared" si="149"/>
        <v>20</v>
      </c>
      <c r="L148" s="62">
        <f t="shared" si="149"/>
        <v>20</v>
      </c>
      <c r="M148" s="62">
        <f t="shared" ref="M148:V150" si="150">$B128+($C128-$B128)*(1-AB128)</f>
        <v>20</v>
      </c>
      <c r="N148" s="62">
        <f t="shared" si="150"/>
        <v>20</v>
      </c>
      <c r="O148" s="62">
        <f t="shared" si="150"/>
        <v>20</v>
      </c>
      <c r="P148" s="62">
        <f t="shared" si="150"/>
        <v>20</v>
      </c>
      <c r="Q148" s="62">
        <f t="shared" si="150"/>
        <v>20</v>
      </c>
      <c r="R148" s="62">
        <f t="shared" si="150"/>
        <v>20</v>
      </c>
      <c r="S148" s="62">
        <f t="shared" si="150"/>
        <v>20</v>
      </c>
      <c r="T148" s="62">
        <f t="shared" si="150"/>
        <v>20</v>
      </c>
      <c r="U148" s="62">
        <f t="shared" si="150"/>
        <v>20</v>
      </c>
      <c r="V148" s="62">
        <f t="shared" si="150"/>
        <v>20</v>
      </c>
      <c r="W148" s="62">
        <f t="shared" ref="W148:AC150" si="151">$B128+($C128-$B128)*(1-AL128)</f>
        <v>20</v>
      </c>
      <c r="X148" s="62">
        <f t="shared" si="151"/>
        <v>20</v>
      </c>
      <c r="Y148" s="62">
        <f t="shared" si="151"/>
        <v>20</v>
      </c>
      <c r="Z148" s="62">
        <f t="shared" si="151"/>
        <v>20</v>
      </c>
      <c r="AA148" s="62">
        <f t="shared" si="151"/>
        <v>20</v>
      </c>
      <c r="AB148" s="62">
        <f t="shared" si="151"/>
        <v>20</v>
      </c>
      <c r="AC148" s="62">
        <f t="shared" si="151"/>
        <v>20</v>
      </c>
    </row>
    <row r="149" spans="1:29" x14ac:dyDescent="0.3">
      <c r="A149" s="30" t="str">
        <f>A129</f>
        <v>Lifetime costumization</v>
      </c>
      <c r="B149" s="62">
        <f>$B129+($C129-$B129)*(1-Q129)</f>
        <v>30</v>
      </c>
      <c r="C149" s="62">
        <f t="shared" si="149"/>
        <v>30</v>
      </c>
      <c r="D149" s="62">
        <f t="shared" si="149"/>
        <v>30</v>
      </c>
      <c r="E149" s="62">
        <f t="shared" si="149"/>
        <v>30</v>
      </c>
      <c r="F149" s="62">
        <f t="shared" si="149"/>
        <v>30</v>
      </c>
      <c r="G149" s="62">
        <f t="shared" si="149"/>
        <v>30</v>
      </c>
      <c r="H149" s="62">
        <f t="shared" si="149"/>
        <v>30</v>
      </c>
      <c r="I149" s="62">
        <f t="shared" si="149"/>
        <v>30</v>
      </c>
      <c r="J149" s="62">
        <f t="shared" si="149"/>
        <v>30</v>
      </c>
      <c r="K149" s="62">
        <f t="shared" si="149"/>
        <v>30</v>
      </c>
      <c r="L149" s="62">
        <f t="shared" si="149"/>
        <v>30</v>
      </c>
      <c r="M149" s="62">
        <f t="shared" si="150"/>
        <v>30</v>
      </c>
      <c r="N149" s="62">
        <f t="shared" si="150"/>
        <v>30</v>
      </c>
      <c r="O149" s="62">
        <f t="shared" si="150"/>
        <v>30</v>
      </c>
      <c r="P149" s="62">
        <f t="shared" si="150"/>
        <v>30</v>
      </c>
      <c r="Q149" s="62">
        <f t="shared" si="150"/>
        <v>30</v>
      </c>
      <c r="R149" s="62">
        <f t="shared" si="150"/>
        <v>30</v>
      </c>
      <c r="S149" s="62">
        <f t="shared" si="150"/>
        <v>30</v>
      </c>
      <c r="T149" s="62">
        <f t="shared" si="150"/>
        <v>30</v>
      </c>
      <c r="U149" s="62">
        <f t="shared" si="150"/>
        <v>30</v>
      </c>
      <c r="V149" s="62">
        <f t="shared" si="150"/>
        <v>30</v>
      </c>
      <c r="W149" s="62">
        <f t="shared" si="151"/>
        <v>30</v>
      </c>
      <c r="X149" s="62">
        <f t="shared" si="151"/>
        <v>30</v>
      </c>
      <c r="Y149" s="62">
        <f t="shared" si="151"/>
        <v>30</v>
      </c>
      <c r="Z149" s="62">
        <f t="shared" si="151"/>
        <v>30</v>
      </c>
      <c r="AA149" s="62">
        <f t="shared" si="151"/>
        <v>30</v>
      </c>
      <c r="AB149" s="62">
        <f t="shared" si="151"/>
        <v>30</v>
      </c>
      <c r="AC149" s="62">
        <f t="shared" si="151"/>
        <v>30</v>
      </c>
    </row>
    <row r="150" spans="1:29" x14ac:dyDescent="0.3">
      <c r="A150" s="30" t="str">
        <f>A130</f>
        <v>Tonnage .</v>
      </c>
      <c r="B150" s="62">
        <f>$B130+($C130-$B130)*(1-Q130)</f>
        <v>2240</v>
      </c>
      <c r="C150" s="62">
        <f t="shared" si="149"/>
        <v>2240</v>
      </c>
      <c r="D150" s="62">
        <f t="shared" si="149"/>
        <v>2240</v>
      </c>
      <c r="E150" s="62">
        <f t="shared" si="149"/>
        <v>2240</v>
      </c>
      <c r="F150" s="62">
        <f t="shared" si="149"/>
        <v>2240</v>
      </c>
      <c r="G150" s="62">
        <f t="shared" si="149"/>
        <v>2240</v>
      </c>
      <c r="H150" s="62">
        <f t="shared" si="149"/>
        <v>2240</v>
      </c>
      <c r="I150" s="62">
        <f t="shared" si="149"/>
        <v>2240</v>
      </c>
      <c r="J150" s="62">
        <f t="shared" si="149"/>
        <v>2240</v>
      </c>
      <c r="K150" s="62">
        <f t="shared" si="149"/>
        <v>2240</v>
      </c>
      <c r="L150" s="62">
        <f t="shared" si="149"/>
        <v>2240</v>
      </c>
      <c r="M150" s="62">
        <f t="shared" si="150"/>
        <v>2240</v>
      </c>
      <c r="N150" s="62">
        <f t="shared" si="150"/>
        <v>2240</v>
      </c>
      <c r="O150" s="62">
        <f t="shared" si="150"/>
        <v>2240</v>
      </c>
      <c r="P150" s="62">
        <f t="shared" si="150"/>
        <v>2240</v>
      </c>
      <c r="Q150" s="62">
        <f t="shared" si="150"/>
        <v>2240</v>
      </c>
      <c r="R150" s="62">
        <f t="shared" si="150"/>
        <v>2240</v>
      </c>
      <c r="S150" s="62">
        <f t="shared" si="150"/>
        <v>2240</v>
      </c>
      <c r="T150" s="62">
        <f t="shared" si="150"/>
        <v>2240</v>
      </c>
      <c r="U150" s="62">
        <f t="shared" si="150"/>
        <v>2240</v>
      </c>
      <c r="V150" s="62">
        <f t="shared" si="150"/>
        <v>2240</v>
      </c>
      <c r="W150" s="62">
        <f t="shared" si="151"/>
        <v>2240</v>
      </c>
      <c r="X150" s="62">
        <f t="shared" si="151"/>
        <v>2240</v>
      </c>
      <c r="Y150" s="62">
        <f t="shared" si="151"/>
        <v>2240</v>
      </c>
      <c r="Z150" s="62">
        <f t="shared" si="151"/>
        <v>2240</v>
      </c>
      <c r="AA150" s="62">
        <f t="shared" si="151"/>
        <v>2240</v>
      </c>
      <c r="AB150" s="62">
        <f t="shared" si="151"/>
        <v>2240</v>
      </c>
      <c r="AC150" s="62">
        <f t="shared" si="151"/>
        <v>2240</v>
      </c>
    </row>
    <row r="151" spans="1:29" x14ac:dyDescent="0.3">
      <c r="A151" s="30" t="str">
        <f>A131</f>
        <v>Market failure (av. utilization)</v>
      </c>
      <c r="B151" s="62">
        <f t="shared" ref="B151:K152" si="152">($B131+($C131-$B131)*(1-Q131))*B$44</f>
        <v>716.80000000000007</v>
      </c>
      <c r="C151" s="62">
        <f t="shared" si="152"/>
        <v>716.80000000000007</v>
      </c>
      <c r="D151" s="62">
        <f t="shared" si="152"/>
        <v>716.80000000000007</v>
      </c>
      <c r="E151" s="62">
        <f t="shared" si="152"/>
        <v>716.80000000000007</v>
      </c>
      <c r="F151" s="62">
        <f t="shared" si="152"/>
        <v>716.80000000000007</v>
      </c>
      <c r="G151" s="62">
        <f t="shared" si="152"/>
        <v>716.80000000000007</v>
      </c>
      <c r="H151" s="62">
        <f t="shared" si="152"/>
        <v>716.80000000000007</v>
      </c>
      <c r="I151" s="62">
        <f t="shared" si="152"/>
        <v>716.80000000000007</v>
      </c>
      <c r="J151" s="62">
        <f t="shared" si="152"/>
        <v>716.80000000000007</v>
      </c>
      <c r="K151" s="62">
        <f t="shared" si="152"/>
        <v>716.80000000000007</v>
      </c>
      <c r="L151" s="62">
        <f t="shared" ref="L151:U152" si="153">($B131+($C131-$B131)*(1-AA131))*L$44</f>
        <v>716.80000000000007</v>
      </c>
      <c r="M151" s="62">
        <f t="shared" si="153"/>
        <v>716.80000000000007</v>
      </c>
      <c r="N151" s="62">
        <f t="shared" si="153"/>
        <v>716.80000000000007</v>
      </c>
      <c r="O151" s="62">
        <f t="shared" si="153"/>
        <v>716.80000000000007</v>
      </c>
      <c r="P151" s="62">
        <f t="shared" si="153"/>
        <v>716.80000000000007</v>
      </c>
      <c r="Q151" s="62">
        <f t="shared" si="153"/>
        <v>716.80000000000007</v>
      </c>
      <c r="R151" s="62">
        <f t="shared" si="153"/>
        <v>716.80000000000007</v>
      </c>
      <c r="S151" s="62">
        <f t="shared" si="153"/>
        <v>716.80000000000007</v>
      </c>
      <c r="T151" s="62">
        <f t="shared" si="153"/>
        <v>716.80000000000007</v>
      </c>
      <c r="U151" s="62">
        <f t="shared" si="153"/>
        <v>716.80000000000007</v>
      </c>
      <c r="V151" s="62">
        <f t="shared" ref="V151:AC152" si="154">($B131+($C131-$B131)*(1-AK131))*V$44</f>
        <v>716.80000000000007</v>
      </c>
      <c r="W151" s="62">
        <f t="shared" si="154"/>
        <v>716.80000000000007</v>
      </c>
      <c r="X151" s="62">
        <f t="shared" si="154"/>
        <v>716.80000000000007</v>
      </c>
      <c r="Y151" s="62">
        <f t="shared" si="154"/>
        <v>716.80000000000007</v>
      </c>
      <c r="Z151" s="62">
        <f t="shared" si="154"/>
        <v>716.80000000000007</v>
      </c>
      <c r="AA151" s="62">
        <f t="shared" si="154"/>
        <v>716.80000000000007</v>
      </c>
      <c r="AB151" s="62">
        <f t="shared" si="154"/>
        <v>716.80000000000007</v>
      </c>
      <c r="AC151" s="62">
        <f t="shared" si="154"/>
        <v>716.80000000000007</v>
      </c>
    </row>
    <row r="152" spans="1:29" x14ac:dyDescent="0.3">
      <c r="A152" s="30" t="s">
        <v>73</v>
      </c>
      <c r="B152" s="62">
        <f t="shared" si="152"/>
        <v>40</v>
      </c>
      <c r="C152" s="62">
        <f t="shared" si="152"/>
        <v>40</v>
      </c>
      <c r="D152" s="62">
        <f t="shared" si="152"/>
        <v>40</v>
      </c>
      <c r="E152" s="62">
        <f t="shared" si="152"/>
        <v>40</v>
      </c>
      <c r="F152" s="62">
        <f t="shared" si="152"/>
        <v>40</v>
      </c>
      <c r="G152" s="62">
        <f t="shared" si="152"/>
        <v>40</v>
      </c>
      <c r="H152" s="62">
        <f t="shared" si="152"/>
        <v>40</v>
      </c>
      <c r="I152" s="62">
        <f t="shared" si="152"/>
        <v>40</v>
      </c>
      <c r="J152" s="62">
        <f t="shared" si="152"/>
        <v>40</v>
      </c>
      <c r="K152" s="62">
        <f t="shared" si="152"/>
        <v>40</v>
      </c>
      <c r="L152" s="62">
        <f t="shared" si="153"/>
        <v>40</v>
      </c>
      <c r="M152" s="62">
        <f t="shared" si="153"/>
        <v>40</v>
      </c>
      <c r="N152" s="62">
        <f t="shared" si="153"/>
        <v>40</v>
      </c>
      <c r="O152" s="62">
        <f t="shared" si="153"/>
        <v>40</v>
      </c>
      <c r="P152" s="62">
        <f t="shared" si="153"/>
        <v>40</v>
      </c>
      <c r="Q152" s="62">
        <f t="shared" si="153"/>
        <v>40</v>
      </c>
      <c r="R152" s="62">
        <f t="shared" si="153"/>
        <v>40</v>
      </c>
      <c r="S152" s="62">
        <f t="shared" si="153"/>
        <v>40</v>
      </c>
      <c r="T152" s="62">
        <f t="shared" si="153"/>
        <v>40</v>
      </c>
      <c r="U152" s="62">
        <f t="shared" si="153"/>
        <v>40</v>
      </c>
      <c r="V152" s="62">
        <f t="shared" si="154"/>
        <v>40</v>
      </c>
      <c r="W152" s="62">
        <f t="shared" si="154"/>
        <v>40</v>
      </c>
      <c r="X152" s="62">
        <f t="shared" si="154"/>
        <v>40</v>
      </c>
      <c r="Y152" s="62">
        <f t="shared" si="154"/>
        <v>40</v>
      </c>
      <c r="Z152" s="62">
        <f t="shared" si="154"/>
        <v>40</v>
      </c>
      <c r="AA152" s="62">
        <f t="shared" si="154"/>
        <v>40</v>
      </c>
      <c r="AB152" s="62">
        <f t="shared" si="154"/>
        <v>40</v>
      </c>
      <c r="AC152" s="62">
        <f t="shared" si="154"/>
        <v>40</v>
      </c>
    </row>
    <row r="153" spans="1:29" x14ac:dyDescent="0.3">
      <c r="A153" s="30" t="str">
        <f>A133</f>
        <v>Annual Mileage</v>
      </c>
      <c r="B153" s="62">
        <f t="shared" ref="B153:AC153" si="155">$B133+($C133-$B133)*(1-Q133)</f>
        <v>178500</v>
      </c>
      <c r="C153" s="62">
        <f t="shared" si="155"/>
        <v>178500</v>
      </c>
      <c r="D153" s="62">
        <f t="shared" si="155"/>
        <v>178500</v>
      </c>
      <c r="E153" s="62">
        <f t="shared" si="155"/>
        <v>178500</v>
      </c>
      <c r="F153" s="62">
        <f t="shared" si="155"/>
        <v>178500</v>
      </c>
      <c r="G153" s="62">
        <f t="shared" si="155"/>
        <v>178500</v>
      </c>
      <c r="H153" s="62">
        <f t="shared" si="155"/>
        <v>178500</v>
      </c>
      <c r="I153" s="62">
        <f t="shared" si="155"/>
        <v>178500</v>
      </c>
      <c r="J153" s="62">
        <f t="shared" si="155"/>
        <v>178500</v>
      </c>
      <c r="K153" s="62">
        <f t="shared" si="155"/>
        <v>178500</v>
      </c>
      <c r="L153" s="62">
        <f t="shared" si="155"/>
        <v>178500</v>
      </c>
      <c r="M153" s="62">
        <f t="shared" si="155"/>
        <v>178500</v>
      </c>
      <c r="N153" s="62">
        <f t="shared" si="155"/>
        <v>178500</v>
      </c>
      <c r="O153" s="62">
        <f t="shared" si="155"/>
        <v>178500</v>
      </c>
      <c r="P153" s="62">
        <f t="shared" si="155"/>
        <v>178500</v>
      </c>
      <c r="Q153" s="62">
        <f t="shared" si="155"/>
        <v>178500</v>
      </c>
      <c r="R153" s="62">
        <f t="shared" si="155"/>
        <v>178500</v>
      </c>
      <c r="S153" s="62">
        <f t="shared" si="155"/>
        <v>178500</v>
      </c>
      <c r="T153" s="62">
        <f t="shared" si="155"/>
        <v>178500</v>
      </c>
      <c r="U153" s="62">
        <f t="shared" si="155"/>
        <v>178500</v>
      </c>
      <c r="V153" s="62">
        <f t="shared" si="155"/>
        <v>178500</v>
      </c>
      <c r="W153" s="62">
        <f t="shared" si="155"/>
        <v>178500</v>
      </c>
      <c r="X153" s="62">
        <f t="shared" si="155"/>
        <v>178500</v>
      </c>
      <c r="Y153" s="62">
        <f t="shared" si="155"/>
        <v>178500</v>
      </c>
      <c r="Z153" s="62">
        <f t="shared" si="155"/>
        <v>178500</v>
      </c>
      <c r="AA153" s="62">
        <f t="shared" si="155"/>
        <v>178500</v>
      </c>
      <c r="AB153" s="62">
        <f t="shared" si="155"/>
        <v>178500</v>
      </c>
      <c r="AC153" s="62">
        <f t="shared" si="155"/>
        <v>178500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864939.43423004472</v>
      </c>
      <c r="C156" s="63">
        <f t="shared" ref="C156:AC156" si="156">((1+C141)^C148)*C141/(((1+C141)^C148)-1)*(C137)</f>
        <v>861982.43190795113</v>
      </c>
      <c r="D156" s="63">
        <f t="shared" si="156"/>
        <v>857783.91250214854</v>
      </c>
      <c r="E156" s="63">
        <f t="shared" si="156"/>
        <v>851849.70877400215</v>
      </c>
      <c r="F156" s="63">
        <f t="shared" si="156"/>
        <v>843518.19380158815</v>
      </c>
      <c r="G156" s="63">
        <f t="shared" si="156"/>
        <v>831934.36355634325</v>
      </c>
      <c r="H156" s="63">
        <f t="shared" si="156"/>
        <v>816053.36564206402</v>
      </c>
      <c r="I156" s="63">
        <f t="shared" si="156"/>
        <v>794711.00618420995</v>
      </c>
      <c r="J156" s="63">
        <f t="shared" si="156"/>
        <v>766812.41933217109</v>
      </c>
      <c r="K156" s="63">
        <f t="shared" si="156"/>
        <v>731678.86466524214</v>
      </c>
      <c r="L156" s="63">
        <f t="shared" si="156"/>
        <v>689519.60757377208</v>
      </c>
      <c r="M156" s="63">
        <f t="shared" si="156"/>
        <v>641847.03038194508</v>
      </c>
      <c r="N156" s="63">
        <f t="shared" si="156"/>
        <v>591519.28623619571</v>
      </c>
      <c r="O156" s="63">
        <f t="shared" si="156"/>
        <v>542181.89795982966</v>
      </c>
      <c r="P156" s="63">
        <f t="shared" si="156"/>
        <v>497269.05787303421</v>
      </c>
      <c r="Q156" s="63">
        <f t="shared" si="156"/>
        <v>459099.53951067774</v>
      </c>
      <c r="R156" s="63">
        <f t="shared" si="156"/>
        <v>428532.59107587172</v>
      </c>
      <c r="S156" s="63">
        <f t="shared" si="156"/>
        <v>405208.65276213008</v>
      </c>
      <c r="T156" s="63">
        <f t="shared" si="156"/>
        <v>388063.68751897325</v>
      </c>
      <c r="U156" s="63">
        <f t="shared" si="156"/>
        <v>375805.28540057357</v>
      </c>
      <c r="V156" s="63">
        <f t="shared" si="156"/>
        <v>367213.95583211613</v>
      </c>
      <c r="W156" s="63">
        <f t="shared" si="156"/>
        <v>361276.81903592765</v>
      </c>
      <c r="X156" s="63">
        <f t="shared" si="156"/>
        <v>357213.74046742113</v>
      </c>
      <c r="Y156" s="63">
        <f t="shared" si="156"/>
        <v>354451.73213606392</v>
      </c>
      <c r="Z156" s="63">
        <f t="shared" si="156"/>
        <v>352582.71183221939</v>
      </c>
      <c r="AA156" s="63">
        <f t="shared" si="156"/>
        <v>351321.86878395046</v>
      </c>
      <c r="AB156" s="63">
        <f t="shared" si="156"/>
        <v>350473.07550719258</v>
      </c>
      <c r="AC156" s="63">
        <f t="shared" si="156"/>
        <v>349902.47455161036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-43707.380747400188</v>
      </c>
      <c r="C157" s="62">
        <f t="shared" ref="C157:AC157" si="157">((1+C141)^C148)*C141/(((1+C141)^C148)-1)*(C138)</f>
        <v>-43756.664119435081</v>
      </c>
      <c r="D157" s="62">
        <f t="shared" si="157"/>
        <v>-43826.639442865126</v>
      </c>
      <c r="E157" s="62">
        <f t="shared" si="157"/>
        <v>-43925.54283833423</v>
      </c>
      <c r="F157" s="62">
        <f t="shared" si="157"/>
        <v>-44064.401421207796</v>
      </c>
      <c r="G157" s="62">
        <f t="shared" si="157"/>
        <v>-44257.465258628545</v>
      </c>
      <c r="H157" s="62">
        <f t="shared" si="157"/>
        <v>-44522.148557199871</v>
      </c>
      <c r="I157" s="62">
        <f t="shared" si="157"/>
        <v>-44877.854548164105</v>
      </c>
      <c r="J157" s="62">
        <f t="shared" si="157"/>
        <v>-45342.830995698081</v>
      </c>
      <c r="K157" s="62">
        <f t="shared" si="157"/>
        <v>-45928.390240146902</v>
      </c>
      <c r="L157" s="62">
        <f t="shared" si="157"/>
        <v>-46631.044525004734</v>
      </c>
      <c r="M157" s="62">
        <f t="shared" si="157"/>
        <v>-47425.587478201858</v>
      </c>
      <c r="N157" s="62">
        <f t="shared" si="157"/>
        <v>-48264.383213964342</v>
      </c>
      <c r="O157" s="62">
        <f t="shared" si="157"/>
        <v>-49086.673018570444</v>
      </c>
      <c r="P157" s="62">
        <f t="shared" si="157"/>
        <v>-49835.220353350363</v>
      </c>
      <c r="Q157" s="62">
        <f t="shared" si="157"/>
        <v>-50471.378992722974</v>
      </c>
      <c r="R157" s="62">
        <f t="shared" si="157"/>
        <v>-50980.828133303068</v>
      </c>
      <c r="S157" s="62">
        <f t="shared" si="157"/>
        <v>-51369.560438532098</v>
      </c>
      <c r="T157" s="62">
        <f t="shared" si="157"/>
        <v>-51655.309859251378</v>
      </c>
      <c r="U157" s="62">
        <f t="shared" si="157"/>
        <v>-51859.616561224706</v>
      </c>
      <c r="V157" s="62">
        <f t="shared" si="157"/>
        <v>-52002.805387365668</v>
      </c>
      <c r="W157" s="62">
        <f t="shared" si="157"/>
        <v>-52101.757667302139</v>
      </c>
      <c r="X157" s="62">
        <f t="shared" si="157"/>
        <v>-52169.475643443919</v>
      </c>
      <c r="Y157" s="62">
        <f t="shared" si="157"/>
        <v>-52215.509115633206</v>
      </c>
      <c r="Z157" s="62">
        <f t="shared" si="157"/>
        <v>-52246.659454030618</v>
      </c>
      <c r="AA157" s="62">
        <f t="shared" si="157"/>
        <v>-52267.673504835089</v>
      </c>
      <c r="AB157" s="62">
        <f t="shared" si="157"/>
        <v>-52281.820059447724</v>
      </c>
      <c r="AC157" s="62">
        <f t="shared" si="157"/>
        <v>-52291.330075374099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58">((1+C141)^C149)*C141/(((1+C141)^C149)-1)*(C139)</f>
        <v>406833.9043442643</v>
      </c>
      <c r="D158" s="62">
        <f t="shared" si="158"/>
        <v>406833.9043442643</v>
      </c>
      <c r="E158" s="62">
        <f t="shared" si="158"/>
        <v>406833.9043442643</v>
      </c>
      <c r="F158" s="62">
        <f t="shared" si="158"/>
        <v>406833.9043442643</v>
      </c>
      <c r="G158" s="62">
        <f t="shared" si="158"/>
        <v>406833.9043442643</v>
      </c>
      <c r="H158" s="62">
        <f t="shared" si="158"/>
        <v>406833.9043442643</v>
      </c>
      <c r="I158" s="62">
        <f t="shared" si="158"/>
        <v>406833.9043442643</v>
      </c>
      <c r="J158" s="62">
        <f t="shared" si="158"/>
        <v>406833.9043442643</v>
      </c>
      <c r="K158" s="62">
        <f t="shared" si="158"/>
        <v>406833.9043442643</v>
      </c>
      <c r="L158" s="62">
        <f t="shared" si="158"/>
        <v>406833.9043442643</v>
      </c>
      <c r="M158" s="62">
        <f t="shared" si="158"/>
        <v>406833.9043442643</v>
      </c>
      <c r="N158" s="62">
        <f t="shared" si="158"/>
        <v>406833.9043442643</v>
      </c>
      <c r="O158" s="62">
        <f t="shared" si="158"/>
        <v>406833.9043442643</v>
      </c>
      <c r="P158" s="62">
        <f t="shared" si="158"/>
        <v>406833.9043442643</v>
      </c>
      <c r="Q158" s="62">
        <f t="shared" si="158"/>
        <v>406833.9043442643</v>
      </c>
      <c r="R158" s="62">
        <f t="shared" si="158"/>
        <v>406833.9043442643</v>
      </c>
      <c r="S158" s="62">
        <f t="shared" si="158"/>
        <v>406833.9043442643</v>
      </c>
      <c r="T158" s="62">
        <f t="shared" si="158"/>
        <v>406833.9043442643</v>
      </c>
      <c r="U158" s="62">
        <f t="shared" si="158"/>
        <v>406833.9043442643</v>
      </c>
      <c r="V158" s="62">
        <f t="shared" si="158"/>
        <v>406833.9043442643</v>
      </c>
      <c r="W158" s="62">
        <f t="shared" si="158"/>
        <v>406833.9043442643</v>
      </c>
      <c r="X158" s="62">
        <f t="shared" si="158"/>
        <v>406833.9043442643</v>
      </c>
      <c r="Y158" s="62">
        <f t="shared" si="158"/>
        <v>406833.9043442643</v>
      </c>
      <c r="Z158" s="62">
        <f t="shared" si="158"/>
        <v>406833.9043442643</v>
      </c>
      <c r="AA158" s="62">
        <f t="shared" si="158"/>
        <v>406833.9043442643</v>
      </c>
      <c r="AB158" s="62">
        <f t="shared" si="158"/>
        <v>406833.9043442643</v>
      </c>
      <c r="AC158" s="62">
        <f t="shared" si="158"/>
        <v>406833.9043442643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59">((1+C141)^C149)*C141/(((1+C141)^C149)-1)*(C140)</f>
        <v>-20341.695217213215</v>
      </c>
      <c r="D159" s="62">
        <f t="shared" si="159"/>
        <v>-20341.695217213215</v>
      </c>
      <c r="E159" s="62">
        <f t="shared" si="159"/>
        <v>-20341.695217213215</v>
      </c>
      <c r="F159" s="62">
        <f t="shared" si="159"/>
        <v>-20341.695217213215</v>
      </c>
      <c r="G159" s="62">
        <f t="shared" si="159"/>
        <v>-20341.695217213215</v>
      </c>
      <c r="H159" s="62">
        <f t="shared" si="159"/>
        <v>-20341.695217213215</v>
      </c>
      <c r="I159" s="62">
        <f t="shared" si="159"/>
        <v>-20341.695217213215</v>
      </c>
      <c r="J159" s="62">
        <f t="shared" si="159"/>
        <v>-20341.695217213215</v>
      </c>
      <c r="K159" s="62">
        <f t="shared" si="159"/>
        <v>-20341.695217213215</v>
      </c>
      <c r="L159" s="62">
        <f t="shared" si="159"/>
        <v>-20341.695217213215</v>
      </c>
      <c r="M159" s="62">
        <f t="shared" si="159"/>
        <v>-20341.695217213215</v>
      </c>
      <c r="N159" s="62">
        <f t="shared" si="159"/>
        <v>-20341.695217213215</v>
      </c>
      <c r="O159" s="62">
        <f t="shared" si="159"/>
        <v>-20341.695217213215</v>
      </c>
      <c r="P159" s="62">
        <f t="shared" si="159"/>
        <v>-20341.695217213215</v>
      </c>
      <c r="Q159" s="62">
        <f t="shared" si="159"/>
        <v>-20341.695217213215</v>
      </c>
      <c r="R159" s="62">
        <f t="shared" si="159"/>
        <v>-20341.695217213215</v>
      </c>
      <c r="S159" s="62">
        <f t="shared" si="159"/>
        <v>-20341.695217213215</v>
      </c>
      <c r="T159" s="62">
        <f t="shared" si="159"/>
        <v>-20341.695217213215</v>
      </c>
      <c r="U159" s="62">
        <f t="shared" si="159"/>
        <v>-20341.695217213215</v>
      </c>
      <c r="V159" s="62">
        <f t="shared" si="159"/>
        <v>-20341.695217213215</v>
      </c>
      <c r="W159" s="62">
        <f t="shared" si="159"/>
        <v>-20341.695217213215</v>
      </c>
      <c r="X159" s="62">
        <f t="shared" si="159"/>
        <v>-20341.695217213215</v>
      </c>
      <c r="Y159" s="62">
        <f t="shared" si="159"/>
        <v>-20341.695217213215</v>
      </c>
      <c r="Z159" s="62">
        <f t="shared" si="159"/>
        <v>-20341.695217213215</v>
      </c>
      <c r="AA159" s="62">
        <f t="shared" si="159"/>
        <v>-20341.695217213215</v>
      </c>
      <c r="AB159" s="62">
        <f t="shared" si="159"/>
        <v>-20341.695217213215</v>
      </c>
      <c r="AC159" s="62">
        <f t="shared" si="159"/>
        <v>-20341.695217213215</v>
      </c>
    </row>
    <row r="160" spans="1:29" x14ac:dyDescent="0.3">
      <c r="A160" s="30" t="str">
        <f t="shared" ref="A160:AC160" si="160">A142</f>
        <v>Opex fix (admin, crew, insurance)</v>
      </c>
      <c r="B160" s="62">
        <f t="shared" si="160"/>
        <v>620000</v>
      </c>
      <c r="C160" s="62">
        <f t="shared" si="160"/>
        <v>620000</v>
      </c>
      <c r="D160" s="62">
        <f t="shared" si="160"/>
        <v>620000</v>
      </c>
      <c r="E160" s="62">
        <f t="shared" si="160"/>
        <v>620000</v>
      </c>
      <c r="F160" s="62">
        <f t="shared" si="160"/>
        <v>620000</v>
      </c>
      <c r="G160" s="62">
        <f t="shared" si="160"/>
        <v>620000</v>
      </c>
      <c r="H160" s="62">
        <f t="shared" si="160"/>
        <v>620000</v>
      </c>
      <c r="I160" s="62">
        <f t="shared" si="160"/>
        <v>620000</v>
      </c>
      <c r="J160" s="62">
        <f t="shared" si="160"/>
        <v>620000</v>
      </c>
      <c r="K160" s="62">
        <f t="shared" si="160"/>
        <v>620000</v>
      </c>
      <c r="L160" s="62">
        <f t="shared" si="160"/>
        <v>620000</v>
      </c>
      <c r="M160" s="62">
        <f t="shared" si="160"/>
        <v>620000</v>
      </c>
      <c r="N160" s="62">
        <f t="shared" si="160"/>
        <v>620000</v>
      </c>
      <c r="O160" s="62">
        <f t="shared" si="160"/>
        <v>620000</v>
      </c>
      <c r="P160" s="62">
        <f t="shared" si="160"/>
        <v>620000</v>
      </c>
      <c r="Q160" s="62">
        <f t="shared" si="160"/>
        <v>620000</v>
      </c>
      <c r="R160" s="62">
        <f t="shared" si="160"/>
        <v>620000</v>
      </c>
      <c r="S160" s="62">
        <f t="shared" si="160"/>
        <v>620000</v>
      </c>
      <c r="T160" s="62">
        <f t="shared" si="160"/>
        <v>620000</v>
      </c>
      <c r="U160" s="62">
        <f t="shared" si="160"/>
        <v>620000</v>
      </c>
      <c r="V160" s="62">
        <f t="shared" si="160"/>
        <v>620000</v>
      </c>
      <c r="W160" s="62">
        <f t="shared" si="160"/>
        <v>620000</v>
      </c>
      <c r="X160" s="62">
        <f t="shared" si="160"/>
        <v>620000</v>
      </c>
      <c r="Y160" s="62">
        <f t="shared" si="160"/>
        <v>620000</v>
      </c>
      <c r="Z160" s="62">
        <f t="shared" si="160"/>
        <v>620000</v>
      </c>
      <c r="AA160" s="62">
        <f t="shared" si="160"/>
        <v>620000</v>
      </c>
      <c r="AB160" s="62">
        <f t="shared" si="160"/>
        <v>620000</v>
      </c>
      <c r="AC160" s="62">
        <f t="shared" si="160"/>
        <v>620000</v>
      </c>
    </row>
    <row r="161" spans="1:29" x14ac:dyDescent="0.3">
      <c r="A161" s="30" t="str">
        <f t="shared" ref="A161:AC161" si="161">A143</f>
        <v>Opex maintenance &amp; repair</v>
      </c>
      <c r="B161" s="62">
        <f t="shared" si="161"/>
        <v>1388910.2037228637</v>
      </c>
      <c r="C161" s="62">
        <f t="shared" si="161"/>
        <v>1384161.8820080096</v>
      </c>
      <c r="D161" s="62">
        <f t="shared" si="161"/>
        <v>1377419.9458533253</v>
      </c>
      <c r="E161" s="62">
        <f t="shared" si="161"/>
        <v>1367890.8669573795</v>
      </c>
      <c r="F161" s="62">
        <f t="shared" si="161"/>
        <v>1354512.2121062956</v>
      </c>
      <c r="G161" s="62">
        <f t="shared" si="161"/>
        <v>1335911.0252611889</v>
      </c>
      <c r="H161" s="62">
        <f t="shared" si="161"/>
        <v>1310409.4939683313</v>
      </c>
      <c r="I161" s="62">
        <f t="shared" si="161"/>
        <v>1276138.1685443469</v>
      </c>
      <c r="J161" s="62">
        <f t="shared" si="161"/>
        <v>1231338.9254820407</v>
      </c>
      <c r="K161" s="62">
        <f t="shared" si="161"/>
        <v>1174921.8508999445</v>
      </c>
      <c r="L161" s="62">
        <f t="shared" si="161"/>
        <v>1107222.9808538083</v>
      </c>
      <c r="M161" s="62">
        <f t="shared" si="161"/>
        <v>1030670.8821991365</v>
      </c>
      <c r="N161" s="62">
        <f t="shared" si="161"/>
        <v>949855.14573475695</v>
      </c>
      <c r="O161" s="62">
        <f t="shared" si="161"/>
        <v>870629.71180240111</v>
      </c>
      <c r="P161" s="62">
        <f t="shared" si="161"/>
        <v>798509.16855274222</v>
      </c>
      <c r="Q161" s="62">
        <f t="shared" si="161"/>
        <v>737216.97695338901</v>
      </c>
      <c r="R161" s="62">
        <f t="shared" si="161"/>
        <v>688132.90829190495</v>
      </c>
      <c r="S161" s="62">
        <f t="shared" si="161"/>
        <v>650679.58539676399</v>
      </c>
      <c r="T161" s="62">
        <f t="shared" si="161"/>
        <v>623148.38930799719</v>
      </c>
      <c r="U161" s="62">
        <f t="shared" si="161"/>
        <v>603463.98238910188</v>
      </c>
      <c r="V161" s="62">
        <f t="shared" si="161"/>
        <v>589668.12012529059</v>
      </c>
      <c r="W161" s="62">
        <f t="shared" si="161"/>
        <v>580134.33134103287</v>
      </c>
      <c r="X161" s="62">
        <f t="shared" si="161"/>
        <v>573609.8845890474</v>
      </c>
      <c r="Y161" s="62">
        <f t="shared" si="161"/>
        <v>569174.682073851</v>
      </c>
      <c r="Z161" s="62">
        <f t="shared" si="161"/>
        <v>566173.42988411163</v>
      </c>
      <c r="AA161" s="62">
        <f t="shared" si="161"/>
        <v>564148.78202354477</v>
      </c>
      <c r="AB161" s="62">
        <f t="shared" si="161"/>
        <v>562785.79914140829</v>
      </c>
      <c r="AC161" s="62">
        <f t="shared" si="161"/>
        <v>561869.53442032111</v>
      </c>
    </row>
    <row r="162" spans="1:29" x14ac:dyDescent="0.3">
      <c r="A162" s="30" t="str">
        <f>A144</f>
        <v>Opex var (mode-fees, shunting)</v>
      </c>
      <c r="B162" s="62">
        <f>B144*B153</f>
        <v>650000</v>
      </c>
      <c r="C162" s="62">
        <f t="shared" ref="C162:AC162" si="162">C144*C153</f>
        <v>650000</v>
      </c>
      <c r="D162" s="62">
        <f t="shared" si="162"/>
        <v>650000</v>
      </c>
      <c r="E162" s="62">
        <f t="shared" si="162"/>
        <v>650000</v>
      </c>
      <c r="F162" s="62">
        <f t="shared" si="162"/>
        <v>650000</v>
      </c>
      <c r="G162" s="62">
        <f t="shared" si="162"/>
        <v>650000</v>
      </c>
      <c r="H162" s="62">
        <f t="shared" si="162"/>
        <v>650000</v>
      </c>
      <c r="I162" s="62">
        <f t="shared" si="162"/>
        <v>650000</v>
      </c>
      <c r="J162" s="62">
        <f t="shared" si="162"/>
        <v>650000</v>
      </c>
      <c r="K162" s="62">
        <f t="shared" si="162"/>
        <v>650000</v>
      </c>
      <c r="L162" s="62">
        <f t="shared" si="162"/>
        <v>650000</v>
      </c>
      <c r="M162" s="62">
        <f t="shared" si="162"/>
        <v>650000</v>
      </c>
      <c r="N162" s="62">
        <f t="shared" si="162"/>
        <v>650000</v>
      </c>
      <c r="O162" s="62">
        <f t="shared" si="162"/>
        <v>650000</v>
      </c>
      <c r="P162" s="62">
        <f t="shared" si="162"/>
        <v>650000</v>
      </c>
      <c r="Q162" s="62">
        <f t="shared" si="162"/>
        <v>650000</v>
      </c>
      <c r="R162" s="62">
        <f t="shared" si="162"/>
        <v>650000</v>
      </c>
      <c r="S162" s="62">
        <f t="shared" si="162"/>
        <v>650000</v>
      </c>
      <c r="T162" s="62">
        <f t="shared" si="162"/>
        <v>650000</v>
      </c>
      <c r="U162" s="62">
        <f t="shared" si="162"/>
        <v>650000</v>
      </c>
      <c r="V162" s="62">
        <f t="shared" si="162"/>
        <v>650000</v>
      </c>
      <c r="W162" s="62">
        <f t="shared" si="162"/>
        <v>650000</v>
      </c>
      <c r="X162" s="62">
        <f t="shared" si="162"/>
        <v>650000</v>
      </c>
      <c r="Y162" s="62">
        <f t="shared" si="162"/>
        <v>650000</v>
      </c>
      <c r="Z162" s="62">
        <f t="shared" si="162"/>
        <v>650000</v>
      </c>
      <c r="AA162" s="62">
        <f t="shared" si="162"/>
        <v>650000</v>
      </c>
      <c r="AB162" s="62">
        <f t="shared" si="162"/>
        <v>650000</v>
      </c>
      <c r="AC162" s="62">
        <f t="shared" si="162"/>
        <v>650000</v>
      </c>
    </row>
    <row r="163" spans="1:29" x14ac:dyDescent="0.3">
      <c r="A163" s="30" t="str">
        <f>A146</f>
        <v>Fuel Cost</v>
      </c>
      <c r="B163" s="62">
        <f>B145*B146*B153</f>
        <v>1511870.5321473095</v>
      </c>
      <c r="C163" s="62">
        <f t="shared" ref="C163:AC163" si="163">C145*C146*C153</f>
        <v>1506001.0992392392</v>
      </c>
      <c r="D163" s="62">
        <f t="shared" si="163"/>
        <v>1497680.9867304179</v>
      </c>
      <c r="E163" s="62">
        <f t="shared" si="163"/>
        <v>1485948.6090472133</v>
      </c>
      <c r="F163" s="62">
        <f t="shared" si="163"/>
        <v>1469530.5285285865</v>
      </c>
      <c r="G163" s="62">
        <f t="shared" si="163"/>
        <v>1446808.1840601345</v>
      </c>
      <c r="H163" s="62">
        <f t="shared" si="163"/>
        <v>1415854.7421123276</v>
      </c>
      <c r="I163" s="62">
        <f t="shared" si="163"/>
        <v>1374617.3454786271</v>
      </c>
      <c r="J163" s="62">
        <f t="shared" si="163"/>
        <v>1321335.8534185686</v>
      </c>
      <c r="K163" s="62">
        <f t="shared" si="163"/>
        <v>1255242.3322017342</v>
      </c>
      <c r="L163" s="62">
        <f t="shared" si="163"/>
        <v>1177411.5731662551</v>
      </c>
      <c r="M163" s="62">
        <f t="shared" si="163"/>
        <v>1091347.0753193009</v>
      </c>
      <c r="N163" s="62">
        <f t="shared" si="163"/>
        <v>1002728.5716732802</v>
      </c>
      <c r="O163" s="62">
        <f t="shared" si="163"/>
        <v>918086.57463695353</v>
      </c>
      <c r="P163" s="62">
        <f t="shared" si="163"/>
        <v>842957.23478644865</v>
      </c>
      <c r="Q163" s="62">
        <f t="shared" si="163"/>
        <v>780547.88258085051</v>
      </c>
      <c r="R163" s="62">
        <f t="shared" si="163"/>
        <v>731523.15548142116</v>
      </c>
      <c r="S163" s="62">
        <f t="shared" si="163"/>
        <v>694685.82935102109</v>
      </c>
      <c r="T163" s="62">
        <f t="shared" si="163"/>
        <v>667922.47707927588</v>
      </c>
      <c r="U163" s="62">
        <f t="shared" si="163"/>
        <v>648950.7242220171</v>
      </c>
      <c r="V163" s="62">
        <f t="shared" si="163"/>
        <v>635735.65970286133</v>
      </c>
      <c r="W163" s="62">
        <f t="shared" si="163"/>
        <v>626642.40303248633</v>
      </c>
      <c r="X163" s="62">
        <f t="shared" si="163"/>
        <v>620437.88314499462</v>
      </c>
      <c r="Y163" s="62">
        <f t="shared" si="163"/>
        <v>616228.72046879085</v>
      </c>
      <c r="Z163" s="62">
        <f t="shared" si="163"/>
        <v>613384.35694244877</v>
      </c>
      <c r="AA163" s="62">
        <f t="shared" si="163"/>
        <v>611467.33813842642</v>
      </c>
      <c r="AB163" s="62">
        <f t="shared" si="163"/>
        <v>610177.62364407699</v>
      </c>
      <c r="AC163" s="62">
        <f t="shared" si="163"/>
        <v>609310.98130686174</v>
      </c>
    </row>
    <row r="164" spans="1:29" ht="15" thickBot="1" x14ac:dyDescent="0.35">
      <c r="A164" s="59" t="str">
        <f>A127</f>
        <v>Emission Cost</v>
      </c>
      <c r="B164" s="62">
        <f>B147*B153</f>
        <v>25377.897847861244</v>
      </c>
      <c r="C164" s="62">
        <f t="shared" ref="C164:AC164" si="164">C147*C153</f>
        <v>25353.731905742414</v>
      </c>
      <c r="D164" s="62">
        <f t="shared" si="164"/>
        <v>25319.138897852274</v>
      </c>
      <c r="E164" s="62">
        <f t="shared" si="164"/>
        <v>25269.651167376363</v>
      </c>
      <c r="F164" s="62">
        <f t="shared" si="164"/>
        <v>25198.922280516395</v>
      </c>
      <c r="G164" s="62">
        <f t="shared" si="164"/>
        <v>25097.976873820924</v>
      </c>
      <c r="H164" s="62">
        <f t="shared" si="164"/>
        <v>24954.20585006753</v>
      </c>
      <c r="I164" s="62">
        <f t="shared" si="164"/>
        <v>24750.071606171052</v>
      </c>
      <c r="J164" s="62">
        <f t="shared" si="164"/>
        <v>24461.547468471788</v>
      </c>
      <c r="K164" s="62">
        <f t="shared" si="164"/>
        <v>24056.464784548647</v>
      </c>
      <c r="L164" s="62">
        <f t="shared" si="164"/>
        <v>23493.252804327683</v>
      </c>
      <c r="M164" s="62">
        <f t="shared" si="164"/>
        <v>22721.110249246831</v>
      </c>
      <c r="N164" s="62">
        <f t="shared" si="164"/>
        <v>21683.433394669322</v>
      </c>
      <c r="O164" s="62">
        <f t="shared" si="164"/>
        <v>20326.989281311096</v>
      </c>
      <c r="P164" s="62">
        <f t="shared" si="164"/>
        <v>18618.777189349097</v>
      </c>
      <c r="Q164" s="62">
        <f t="shared" si="164"/>
        <v>16568.971713230469</v>
      </c>
      <c r="R164" s="62">
        <f t="shared" si="164"/>
        <v>14251.105684982398</v>
      </c>
      <c r="S164" s="62">
        <f t="shared" si="164"/>
        <v>11804.144028925928</v>
      </c>
      <c r="T164" s="62">
        <f t="shared" si="164"/>
        <v>9405.334001347248</v>
      </c>
      <c r="U164" s="62">
        <f t="shared" si="164"/>
        <v>7221.6478572054848</v>
      </c>
      <c r="V164" s="62">
        <f t="shared" si="164"/>
        <v>5365.8255975718175</v>
      </c>
      <c r="W164" s="62">
        <f t="shared" si="164"/>
        <v>3879.6443265413554</v>
      </c>
      <c r="X164" s="62">
        <f t="shared" si="164"/>
        <v>2745.6220553132011</v>
      </c>
      <c r="Y164" s="62">
        <f t="shared" si="164"/>
        <v>1912.0247372428837</v>
      </c>
      <c r="Z164" s="62">
        <f t="shared" si="164"/>
        <v>1316.0147141952104</v>
      </c>
      <c r="AA164" s="62">
        <f t="shared" si="164"/>
        <v>898.29970659069966</v>
      </c>
      <c r="AB164" s="62">
        <f t="shared" si="164"/>
        <v>609.63296156509125</v>
      </c>
      <c r="AC164" s="62">
        <f t="shared" si="164"/>
        <v>412.08392312840692</v>
      </c>
    </row>
    <row r="165" spans="1:29" ht="15" thickBot="1" x14ac:dyDescent="0.35">
      <c r="A165" s="31" t="s">
        <v>209</v>
      </c>
      <c r="B165" s="64">
        <f>B156+B157+B158+B159+B160+B161+B162+B163+B164</f>
        <v>5403882.8963277303</v>
      </c>
      <c r="C165" s="64">
        <f t="shared" ref="C165:AC165" si="165">C156+C157+C158+C159+C160+C161+C162+C163+C164</f>
        <v>5390234.6900685588</v>
      </c>
      <c r="D165" s="64">
        <f t="shared" si="165"/>
        <v>5370869.55366793</v>
      </c>
      <c r="E165" s="64">
        <f t="shared" si="165"/>
        <v>5343525.502234688</v>
      </c>
      <c r="F165" s="64">
        <f t="shared" si="165"/>
        <v>5305187.6644228306</v>
      </c>
      <c r="G165" s="64">
        <f t="shared" si="165"/>
        <v>5251986.2936199103</v>
      </c>
      <c r="H165" s="64">
        <f t="shared" si="165"/>
        <v>5179241.8681426421</v>
      </c>
      <c r="I165" s="64">
        <f t="shared" si="165"/>
        <v>5081830.9463922428</v>
      </c>
      <c r="J165" s="64">
        <f t="shared" si="165"/>
        <v>4955098.1238326048</v>
      </c>
      <c r="K165" s="64">
        <f t="shared" si="165"/>
        <v>4796463.3314383738</v>
      </c>
      <c r="L165" s="64">
        <f t="shared" si="165"/>
        <v>4607508.5790002095</v>
      </c>
      <c r="M165" s="64">
        <f t="shared" si="165"/>
        <v>4395652.7197984783</v>
      </c>
      <c r="N165" s="64">
        <f t="shared" si="165"/>
        <v>4174014.2629519887</v>
      </c>
      <c r="O165" s="64">
        <f t="shared" si="165"/>
        <v>3958630.7097889758</v>
      </c>
      <c r="P165" s="64">
        <f t="shared" si="165"/>
        <v>3764011.2271752749</v>
      </c>
      <c r="Q165" s="64">
        <f t="shared" si="165"/>
        <v>3599454.2008924759</v>
      </c>
      <c r="R165" s="64">
        <f t="shared" si="165"/>
        <v>3467951.1415279284</v>
      </c>
      <c r="S165" s="64">
        <f t="shared" si="165"/>
        <v>3367500.8602273599</v>
      </c>
      <c r="T165" s="64">
        <f t="shared" si="165"/>
        <v>3293376.7871753937</v>
      </c>
      <c r="U165" s="64">
        <f t="shared" si="165"/>
        <v>3240074.232434724</v>
      </c>
      <c r="V165" s="64">
        <f t="shared" si="165"/>
        <v>3202472.9649975249</v>
      </c>
      <c r="W165" s="64">
        <f t="shared" si="165"/>
        <v>3176323.6491957372</v>
      </c>
      <c r="X165" s="64">
        <f t="shared" si="165"/>
        <v>3158329.8637403836</v>
      </c>
      <c r="Y165" s="64">
        <f t="shared" si="165"/>
        <v>3146043.8594273669</v>
      </c>
      <c r="Z165" s="64">
        <f t="shared" si="165"/>
        <v>3137702.0630459953</v>
      </c>
      <c r="AA165" s="64">
        <f t="shared" si="165"/>
        <v>3132060.8242747285</v>
      </c>
      <c r="AB165" s="64">
        <f t="shared" si="165"/>
        <v>3128256.5203218465</v>
      </c>
      <c r="AC165" s="64">
        <f t="shared" si="165"/>
        <v>3125695.9532535984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66">A156</f>
        <v>Capex vehicle</v>
      </c>
      <c r="B168" s="65">
        <f>((1+B141)^B148)*B141/(((1+B141)^B148)-1)*(B137)/B153</f>
        <v>4.8455990713167774</v>
      </c>
      <c r="C168" s="65">
        <f t="shared" ref="C168:AC168" si="167">((1+C141)^C148)*C141/(((1+C141)^C148)-1)*(C137)/C153</f>
        <v>4.8290332319773173</v>
      </c>
      <c r="D168" s="65">
        <f t="shared" si="167"/>
        <v>4.8055121148579749</v>
      </c>
      <c r="E168" s="65">
        <f t="shared" si="167"/>
        <v>4.7722672760448299</v>
      </c>
      <c r="F168" s="65">
        <f t="shared" si="167"/>
        <v>4.7255921221377486</v>
      </c>
      <c r="G168" s="65">
        <f t="shared" si="167"/>
        <v>4.6606967146013627</v>
      </c>
      <c r="H168" s="65">
        <f t="shared" si="167"/>
        <v>4.571727538611003</v>
      </c>
      <c r="I168" s="65">
        <f t="shared" si="167"/>
        <v>4.4521624996314282</v>
      </c>
      <c r="J168" s="65">
        <f t="shared" si="167"/>
        <v>4.2958678954183256</v>
      </c>
      <c r="K168" s="65">
        <f t="shared" si="167"/>
        <v>4.0990412586288079</v>
      </c>
      <c r="L168" s="65">
        <f t="shared" si="167"/>
        <v>3.8628549443908802</v>
      </c>
      <c r="M168" s="65">
        <f t="shared" si="167"/>
        <v>3.5957816828120173</v>
      </c>
      <c r="N168" s="65">
        <f t="shared" si="167"/>
        <v>3.3138335363372309</v>
      </c>
      <c r="O168" s="65">
        <f t="shared" si="167"/>
        <v>3.0374336020158523</v>
      </c>
      <c r="P168" s="65">
        <f t="shared" si="167"/>
        <v>2.7858210525099958</v>
      </c>
      <c r="Q168" s="65">
        <f t="shared" si="167"/>
        <v>2.5719862157460938</v>
      </c>
      <c r="R168" s="65">
        <f t="shared" si="167"/>
        <v>2.4007428071477408</v>
      </c>
      <c r="S168" s="65">
        <f t="shared" si="167"/>
        <v>2.2700764860623535</v>
      </c>
      <c r="T168" s="65">
        <f t="shared" si="167"/>
        <v>2.1740262606104945</v>
      </c>
      <c r="U168" s="65">
        <f t="shared" si="167"/>
        <v>2.1053517389387877</v>
      </c>
      <c r="V168" s="65">
        <f t="shared" si="167"/>
        <v>2.0572210410762808</v>
      </c>
      <c r="W168" s="65">
        <f t="shared" si="167"/>
        <v>2.0239597705093986</v>
      </c>
      <c r="X168" s="65">
        <f t="shared" si="167"/>
        <v>2.0011974255877933</v>
      </c>
      <c r="Y168" s="65">
        <f t="shared" si="167"/>
        <v>1.985723989557781</v>
      </c>
      <c r="Z168" s="65">
        <f t="shared" si="167"/>
        <v>1.9752532875754587</v>
      </c>
      <c r="AA168" s="65">
        <f t="shared" si="167"/>
        <v>1.9681897410865572</v>
      </c>
      <c r="AB168" s="65">
        <f t="shared" si="167"/>
        <v>1.9634345966789499</v>
      </c>
      <c r="AC168" s="65">
        <f t="shared" si="167"/>
        <v>1.9602379526700859</v>
      </c>
    </row>
    <row r="169" spans="1:29" x14ac:dyDescent="0.3">
      <c r="A169" s="30" t="str">
        <f t="shared" si="166"/>
        <v>Residual value (vehicle)</v>
      </c>
      <c r="B169" s="66">
        <f>((1+B141)^B148)*B141/(((1+B141)^B148)-1)*(B138)/B153</f>
        <v>-0.24485927589579937</v>
      </c>
      <c r="C169" s="66">
        <f t="shared" ref="C169:AC169" si="168">((1+C141)^C148)*C141/(((1+C141)^C148)-1)*(C138)/C153</f>
        <v>-0.2451353732181237</v>
      </c>
      <c r="D169" s="66">
        <f t="shared" si="168"/>
        <v>-0.24552739183677941</v>
      </c>
      <c r="E169" s="66">
        <f t="shared" si="168"/>
        <v>-0.24608147248366516</v>
      </c>
      <c r="F169" s="66">
        <f t="shared" si="168"/>
        <v>-0.24685939171544985</v>
      </c>
      <c r="G169" s="66">
        <f t="shared" si="168"/>
        <v>-0.24794098184105628</v>
      </c>
      <c r="H169" s="66">
        <f t="shared" si="168"/>
        <v>-0.24942380144089563</v>
      </c>
      <c r="I169" s="66">
        <f t="shared" si="168"/>
        <v>-0.25141655209055519</v>
      </c>
      <c r="J169" s="66">
        <f t="shared" si="168"/>
        <v>-0.25402146216077354</v>
      </c>
      <c r="K169" s="66">
        <f t="shared" si="168"/>
        <v>-0.25730190610726555</v>
      </c>
      <c r="L169" s="66">
        <f t="shared" si="168"/>
        <v>-0.26123834467789769</v>
      </c>
      <c r="M169" s="66">
        <f t="shared" si="168"/>
        <v>-0.26568956570421209</v>
      </c>
      <c r="N169" s="66">
        <f t="shared" si="168"/>
        <v>-0.27038870147879185</v>
      </c>
      <c r="O169" s="66">
        <f t="shared" si="168"/>
        <v>-0.27499536705081479</v>
      </c>
      <c r="P169" s="66">
        <f t="shared" si="168"/>
        <v>-0.27918890954257908</v>
      </c>
      <c r="Q169" s="66">
        <f t="shared" si="168"/>
        <v>-0.28275282348864411</v>
      </c>
      <c r="R169" s="66">
        <f t="shared" si="168"/>
        <v>-0.28560688029861664</v>
      </c>
      <c r="S169" s="66">
        <f t="shared" si="168"/>
        <v>-0.28778465231670641</v>
      </c>
      <c r="T169" s="66">
        <f t="shared" si="168"/>
        <v>-0.28938548940757075</v>
      </c>
      <c r="U169" s="66">
        <f t="shared" si="168"/>
        <v>-0.29053006476876586</v>
      </c>
      <c r="V169" s="66">
        <f t="shared" si="168"/>
        <v>-0.29133224306647432</v>
      </c>
      <c r="W169" s="66">
        <f t="shared" si="168"/>
        <v>-0.29188659757592234</v>
      </c>
      <c r="X169" s="66">
        <f t="shared" si="168"/>
        <v>-0.29226596999128246</v>
      </c>
      <c r="Y169" s="66">
        <f t="shared" si="168"/>
        <v>-0.29252386059178265</v>
      </c>
      <c r="Z169" s="66">
        <f t="shared" si="168"/>
        <v>-0.29269837229148804</v>
      </c>
      <c r="AA169" s="66">
        <f t="shared" si="168"/>
        <v>-0.29281609806630304</v>
      </c>
      <c r="AB169" s="66">
        <f t="shared" si="168"/>
        <v>-0.29289535047309651</v>
      </c>
      <c r="AC169" s="66">
        <f t="shared" si="168"/>
        <v>-0.29294862787324427</v>
      </c>
    </row>
    <row r="170" spans="1:29" x14ac:dyDescent="0.3">
      <c r="A170" s="30" t="str">
        <f t="shared" si="166"/>
        <v>Capex costumization</v>
      </c>
      <c r="B170" s="66">
        <f>((1+B141)^B149)*B141/(((1+B141)^B149)-1)*(B139)/B153</f>
        <v>2.2791815369426573</v>
      </c>
      <c r="C170" s="66">
        <f t="shared" ref="C170:AC170" si="169">((1+C141)^C149)*C141/(((1+C141)^C149)-1)*(C139)/C153</f>
        <v>2.2791815369426573</v>
      </c>
      <c r="D170" s="66">
        <f t="shared" si="169"/>
        <v>2.2791815369426573</v>
      </c>
      <c r="E170" s="66">
        <f t="shared" si="169"/>
        <v>2.2791815369426573</v>
      </c>
      <c r="F170" s="66">
        <f t="shared" si="169"/>
        <v>2.2791815369426573</v>
      </c>
      <c r="G170" s="66">
        <f t="shared" si="169"/>
        <v>2.2791815369426573</v>
      </c>
      <c r="H170" s="66">
        <f t="shared" si="169"/>
        <v>2.2791815369426573</v>
      </c>
      <c r="I170" s="66">
        <f t="shared" si="169"/>
        <v>2.2791815369426573</v>
      </c>
      <c r="J170" s="66">
        <f t="shared" si="169"/>
        <v>2.2791815369426573</v>
      </c>
      <c r="K170" s="66">
        <f t="shared" si="169"/>
        <v>2.2791815369426573</v>
      </c>
      <c r="L170" s="66">
        <f t="shared" si="169"/>
        <v>2.2791815369426573</v>
      </c>
      <c r="M170" s="66">
        <f t="shared" si="169"/>
        <v>2.2791815369426573</v>
      </c>
      <c r="N170" s="66">
        <f t="shared" si="169"/>
        <v>2.2791815369426573</v>
      </c>
      <c r="O170" s="66">
        <f t="shared" si="169"/>
        <v>2.2791815369426573</v>
      </c>
      <c r="P170" s="66">
        <f t="shared" si="169"/>
        <v>2.2791815369426573</v>
      </c>
      <c r="Q170" s="66">
        <f t="shared" si="169"/>
        <v>2.2791815369426573</v>
      </c>
      <c r="R170" s="66">
        <f t="shared" si="169"/>
        <v>2.2791815369426573</v>
      </c>
      <c r="S170" s="66">
        <f t="shared" si="169"/>
        <v>2.2791815369426573</v>
      </c>
      <c r="T170" s="66">
        <f t="shared" si="169"/>
        <v>2.2791815369426573</v>
      </c>
      <c r="U170" s="66">
        <f t="shared" si="169"/>
        <v>2.2791815369426573</v>
      </c>
      <c r="V170" s="66">
        <f t="shared" si="169"/>
        <v>2.2791815369426573</v>
      </c>
      <c r="W170" s="66">
        <f t="shared" si="169"/>
        <v>2.2791815369426573</v>
      </c>
      <c r="X170" s="66">
        <f t="shared" si="169"/>
        <v>2.2791815369426573</v>
      </c>
      <c r="Y170" s="66">
        <f t="shared" si="169"/>
        <v>2.2791815369426573</v>
      </c>
      <c r="Z170" s="66">
        <f t="shared" si="169"/>
        <v>2.2791815369426573</v>
      </c>
      <c r="AA170" s="66">
        <f t="shared" si="169"/>
        <v>2.2791815369426573</v>
      </c>
      <c r="AB170" s="66">
        <f t="shared" si="169"/>
        <v>2.2791815369426573</v>
      </c>
      <c r="AC170" s="66">
        <f t="shared" si="169"/>
        <v>2.2791815369426573</v>
      </c>
    </row>
    <row r="171" spans="1:29" x14ac:dyDescent="0.3">
      <c r="A171" s="30" t="str">
        <f t="shared" si="166"/>
        <v>Residual value (costumization)</v>
      </c>
      <c r="B171" s="66">
        <f>((1+B141)^B149)*B141/(((1+B141)^B149)-1)*(B140)/B153</f>
        <v>-0.11395907684713286</v>
      </c>
      <c r="C171" s="66">
        <f t="shared" ref="C171:AC171" si="170">((1+C141)^C149)*C141/(((1+C141)^C149)-1)*(C140)/C153</f>
        <v>-0.11395907684713286</v>
      </c>
      <c r="D171" s="66">
        <f t="shared" si="170"/>
        <v>-0.11395907684713286</v>
      </c>
      <c r="E171" s="66">
        <f t="shared" si="170"/>
        <v>-0.11395907684713286</v>
      </c>
      <c r="F171" s="66">
        <f t="shared" si="170"/>
        <v>-0.11395907684713286</v>
      </c>
      <c r="G171" s="66">
        <f t="shared" si="170"/>
        <v>-0.11395907684713286</v>
      </c>
      <c r="H171" s="66">
        <f t="shared" si="170"/>
        <v>-0.11395907684713286</v>
      </c>
      <c r="I171" s="66">
        <f t="shared" si="170"/>
        <v>-0.11395907684713286</v>
      </c>
      <c r="J171" s="66">
        <f t="shared" si="170"/>
        <v>-0.11395907684713286</v>
      </c>
      <c r="K171" s="66">
        <f t="shared" si="170"/>
        <v>-0.11395907684713286</v>
      </c>
      <c r="L171" s="66">
        <f t="shared" si="170"/>
        <v>-0.11395907684713286</v>
      </c>
      <c r="M171" s="66">
        <f t="shared" si="170"/>
        <v>-0.11395907684713286</v>
      </c>
      <c r="N171" s="66">
        <f t="shared" si="170"/>
        <v>-0.11395907684713286</v>
      </c>
      <c r="O171" s="66">
        <f t="shared" si="170"/>
        <v>-0.11395907684713286</v>
      </c>
      <c r="P171" s="66">
        <f t="shared" si="170"/>
        <v>-0.11395907684713286</v>
      </c>
      <c r="Q171" s="66">
        <f t="shared" si="170"/>
        <v>-0.11395907684713286</v>
      </c>
      <c r="R171" s="66">
        <f t="shared" si="170"/>
        <v>-0.11395907684713286</v>
      </c>
      <c r="S171" s="66">
        <f t="shared" si="170"/>
        <v>-0.11395907684713286</v>
      </c>
      <c r="T171" s="66">
        <f t="shared" si="170"/>
        <v>-0.11395907684713286</v>
      </c>
      <c r="U171" s="66">
        <f t="shared" si="170"/>
        <v>-0.11395907684713286</v>
      </c>
      <c r="V171" s="66">
        <f t="shared" si="170"/>
        <v>-0.11395907684713286</v>
      </c>
      <c r="W171" s="66">
        <f t="shared" si="170"/>
        <v>-0.11395907684713286</v>
      </c>
      <c r="X171" s="66">
        <f t="shared" si="170"/>
        <v>-0.11395907684713286</v>
      </c>
      <c r="Y171" s="66">
        <f t="shared" si="170"/>
        <v>-0.11395907684713286</v>
      </c>
      <c r="Z171" s="66">
        <f t="shared" si="170"/>
        <v>-0.11395907684713286</v>
      </c>
      <c r="AA171" s="66">
        <f t="shared" si="170"/>
        <v>-0.11395907684713286</v>
      </c>
      <c r="AB171" s="66">
        <f t="shared" si="170"/>
        <v>-0.11395907684713286</v>
      </c>
      <c r="AC171" s="66">
        <f t="shared" si="170"/>
        <v>-0.11395907684713286</v>
      </c>
    </row>
    <row r="172" spans="1:29" x14ac:dyDescent="0.3">
      <c r="A172" s="30" t="str">
        <f t="shared" si="166"/>
        <v>Opex fix (admin, crew, insurance)</v>
      </c>
      <c r="B172" s="66">
        <f>B142/B153</f>
        <v>3.473389355742297</v>
      </c>
      <c r="C172" s="66">
        <f t="shared" ref="C172:AC172" si="171">C142/C153</f>
        <v>3.473389355742297</v>
      </c>
      <c r="D172" s="66">
        <f t="shared" si="171"/>
        <v>3.473389355742297</v>
      </c>
      <c r="E172" s="66">
        <f t="shared" si="171"/>
        <v>3.473389355742297</v>
      </c>
      <c r="F172" s="66">
        <f t="shared" si="171"/>
        <v>3.473389355742297</v>
      </c>
      <c r="G172" s="66">
        <f t="shared" si="171"/>
        <v>3.473389355742297</v>
      </c>
      <c r="H172" s="66">
        <f t="shared" si="171"/>
        <v>3.473389355742297</v>
      </c>
      <c r="I172" s="66">
        <f t="shared" si="171"/>
        <v>3.473389355742297</v>
      </c>
      <c r="J172" s="66">
        <f t="shared" si="171"/>
        <v>3.473389355742297</v>
      </c>
      <c r="K172" s="66">
        <f t="shared" si="171"/>
        <v>3.473389355742297</v>
      </c>
      <c r="L172" s="66">
        <f t="shared" si="171"/>
        <v>3.473389355742297</v>
      </c>
      <c r="M172" s="66">
        <f t="shared" si="171"/>
        <v>3.473389355742297</v>
      </c>
      <c r="N172" s="66">
        <f t="shared" si="171"/>
        <v>3.473389355742297</v>
      </c>
      <c r="O172" s="66">
        <f t="shared" si="171"/>
        <v>3.473389355742297</v>
      </c>
      <c r="P172" s="66">
        <f t="shared" si="171"/>
        <v>3.473389355742297</v>
      </c>
      <c r="Q172" s="66">
        <f t="shared" si="171"/>
        <v>3.473389355742297</v>
      </c>
      <c r="R172" s="66">
        <f t="shared" si="171"/>
        <v>3.473389355742297</v>
      </c>
      <c r="S172" s="66">
        <f t="shared" si="171"/>
        <v>3.473389355742297</v>
      </c>
      <c r="T172" s="66">
        <f t="shared" si="171"/>
        <v>3.473389355742297</v>
      </c>
      <c r="U172" s="66">
        <f t="shared" si="171"/>
        <v>3.473389355742297</v>
      </c>
      <c r="V172" s="66">
        <f t="shared" si="171"/>
        <v>3.473389355742297</v>
      </c>
      <c r="W172" s="66">
        <f t="shared" si="171"/>
        <v>3.473389355742297</v>
      </c>
      <c r="X172" s="66">
        <f t="shared" si="171"/>
        <v>3.473389355742297</v>
      </c>
      <c r="Y172" s="66">
        <f t="shared" si="171"/>
        <v>3.473389355742297</v>
      </c>
      <c r="Z172" s="66">
        <f t="shared" si="171"/>
        <v>3.473389355742297</v>
      </c>
      <c r="AA172" s="66">
        <f t="shared" si="171"/>
        <v>3.473389355742297</v>
      </c>
      <c r="AB172" s="66">
        <f t="shared" si="171"/>
        <v>3.473389355742297</v>
      </c>
      <c r="AC172" s="66">
        <f t="shared" si="171"/>
        <v>3.473389355742297</v>
      </c>
    </row>
    <row r="173" spans="1:29" x14ac:dyDescent="0.3">
      <c r="A173" s="30" t="str">
        <f t="shared" si="166"/>
        <v>Opex maintenance &amp; repair</v>
      </c>
      <c r="B173" s="66">
        <f>B143/B153</f>
        <v>7.7810095446659027</v>
      </c>
      <c r="C173" s="66">
        <f t="shared" ref="C173:AC173" si="172">C143/C153</f>
        <v>7.7544083025658797</v>
      </c>
      <c r="D173" s="66">
        <f t="shared" si="172"/>
        <v>7.7166383521194692</v>
      </c>
      <c r="E173" s="66">
        <f t="shared" si="172"/>
        <v>7.6632541566239745</v>
      </c>
      <c r="F173" s="66">
        <f t="shared" si="172"/>
        <v>7.5883037092789669</v>
      </c>
      <c r="G173" s="66">
        <f t="shared" si="172"/>
        <v>7.4840953796145033</v>
      </c>
      <c r="H173" s="66">
        <f t="shared" si="172"/>
        <v>7.3412296580858891</v>
      </c>
      <c r="I173" s="66">
        <f t="shared" si="172"/>
        <v>7.1492334372232325</v>
      </c>
      <c r="J173" s="66">
        <f t="shared" si="172"/>
        <v>6.8982572856136732</v>
      </c>
      <c r="K173" s="66">
        <f t="shared" si="172"/>
        <v>6.5821952431369439</v>
      </c>
      <c r="L173" s="66">
        <f t="shared" si="172"/>
        <v>6.202929864727218</v>
      </c>
      <c r="M173" s="66">
        <f t="shared" si="172"/>
        <v>5.7740665669419418</v>
      </c>
      <c r="N173" s="66">
        <f t="shared" si="172"/>
        <v>5.3213173430518594</v>
      </c>
      <c r="O173" s="66">
        <f t="shared" si="172"/>
        <v>4.8774773770442641</v>
      </c>
      <c r="P173" s="66">
        <f t="shared" si="172"/>
        <v>4.4734407201834294</v>
      </c>
      <c r="Q173" s="66">
        <f t="shared" si="172"/>
        <v>4.13006709777809</v>
      </c>
      <c r="R173" s="66">
        <f t="shared" si="172"/>
        <v>3.855086320963053</v>
      </c>
      <c r="S173" s="66">
        <f t="shared" si="172"/>
        <v>3.6452637837353725</v>
      </c>
      <c r="T173" s="66">
        <f t="shared" si="172"/>
        <v>3.4910273910812166</v>
      </c>
      <c r="U173" s="66">
        <f t="shared" si="172"/>
        <v>3.3807506016196185</v>
      </c>
      <c r="V173" s="66">
        <f t="shared" si="172"/>
        <v>3.3034628578447651</v>
      </c>
      <c r="W173" s="66">
        <f t="shared" si="172"/>
        <v>3.2500522764203521</v>
      </c>
      <c r="X173" s="66">
        <f t="shared" si="172"/>
        <v>3.2135007540002656</v>
      </c>
      <c r="Y173" s="66">
        <f t="shared" si="172"/>
        <v>3.188653681086</v>
      </c>
      <c r="Z173" s="66">
        <f t="shared" si="172"/>
        <v>3.1718399433283566</v>
      </c>
      <c r="AA173" s="66">
        <f t="shared" si="172"/>
        <v>3.1604973782831638</v>
      </c>
      <c r="AB173" s="66">
        <f t="shared" si="172"/>
        <v>3.1528616198398223</v>
      </c>
      <c r="AC173" s="66">
        <f t="shared" si="172"/>
        <v>3.1477284841474571</v>
      </c>
    </row>
    <row r="174" spans="1:29" x14ac:dyDescent="0.3">
      <c r="A174" s="30" t="str">
        <f t="shared" si="166"/>
        <v>Opex var (mode-fees, shunting)</v>
      </c>
      <c r="B174" s="66">
        <f>B144*B153/B153</f>
        <v>3.6414565826330532</v>
      </c>
      <c r="C174" s="66">
        <f t="shared" ref="C174:AC174" si="173">C144*C153/C153</f>
        <v>3.6414565826330532</v>
      </c>
      <c r="D174" s="66">
        <f t="shared" si="173"/>
        <v>3.6414565826330532</v>
      </c>
      <c r="E174" s="66">
        <f t="shared" si="173"/>
        <v>3.6414565826330532</v>
      </c>
      <c r="F174" s="66">
        <f t="shared" si="173"/>
        <v>3.6414565826330532</v>
      </c>
      <c r="G174" s="66">
        <f t="shared" si="173"/>
        <v>3.6414565826330532</v>
      </c>
      <c r="H174" s="66">
        <f t="shared" si="173"/>
        <v>3.6414565826330532</v>
      </c>
      <c r="I174" s="66">
        <f t="shared" si="173"/>
        <v>3.6414565826330532</v>
      </c>
      <c r="J174" s="66">
        <f t="shared" si="173"/>
        <v>3.6414565826330532</v>
      </c>
      <c r="K174" s="66">
        <f t="shared" si="173"/>
        <v>3.6414565826330532</v>
      </c>
      <c r="L174" s="66">
        <f t="shared" si="173"/>
        <v>3.6414565826330532</v>
      </c>
      <c r="M174" s="66">
        <f t="shared" si="173"/>
        <v>3.6414565826330532</v>
      </c>
      <c r="N174" s="66">
        <f t="shared" si="173"/>
        <v>3.6414565826330532</v>
      </c>
      <c r="O174" s="66">
        <f t="shared" si="173"/>
        <v>3.6414565826330532</v>
      </c>
      <c r="P174" s="66">
        <f t="shared" si="173"/>
        <v>3.6414565826330532</v>
      </c>
      <c r="Q174" s="66">
        <f t="shared" si="173"/>
        <v>3.6414565826330532</v>
      </c>
      <c r="R174" s="66">
        <f t="shared" si="173"/>
        <v>3.6414565826330532</v>
      </c>
      <c r="S174" s="66">
        <f t="shared" si="173"/>
        <v>3.6414565826330532</v>
      </c>
      <c r="T174" s="66">
        <f t="shared" si="173"/>
        <v>3.6414565826330532</v>
      </c>
      <c r="U174" s="66">
        <f t="shared" si="173"/>
        <v>3.6414565826330532</v>
      </c>
      <c r="V174" s="66">
        <f t="shared" si="173"/>
        <v>3.6414565826330532</v>
      </c>
      <c r="W174" s="66">
        <f t="shared" si="173"/>
        <v>3.6414565826330532</v>
      </c>
      <c r="X174" s="66">
        <f t="shared" si="173"/>
        <v>3.6414565826330532</v>
      </c>
      <c r="Y174" s="66">
        <f t="shared" si="173"/>
        <v>3.6414565826330532</v>
      </c>
      <c r="Z174" s="66">
        <f t="shared" si="173"/>
        <v>3.6414565826330532</v>
      </c>
      <c r="AA174" s="66">
        <f t="shared" si="173"/>
        <v>3.6414565826330532</v>
      </c>
      <c r="AB174" s="66">
        <f t="shared" si="173"/>
        <v>3.6414565826330532</v>
      </c>
      <c r="AC174" s="66">
        <f t="shared" si="173"/>
        <v>3.6414565826330532</v>
      </c>
    </row>
    <row r="175" spans="1:29" x14ac:dyDescent="0.3">
      <c r="A175" s="30" t="str">
        <f t="shared" si="166"/>
        <v>Fuel Cost</v>
      </c>
      <c r="B175" s="66">
        <f>B145*B146*B153/B153</f>
        <v>8.4698629251950113</v>
      </c>
      <c r="C175" s="66">
        <f t="shared" ref="C175:AC175" si="174">C145*C146*C153/C153</f>
        <v>8.4369809481189879</v>
      </c>
      <c r="D175" s="66">
        <f t="shared" si="174"/>
        <v>8.3903696735597642</v>
      </c>
      <c r="E175" s="66">
        <f t="shared" si="174"/>
        <v>8.324642067491391</v>
      </c>
      <c r="F175" s="66">
        <f t="shared" si="174"/>
        <v>8.2326640253702319</v>
      </c>
      <c r="G175" s="66">
        <f t="shared" si="174"/>
        <v>8.1053679779279246</v>
      </c>
      <c r="H175" s="66">
        <f t="shared" si="174"/>
        <v>7.9319593395648607</v>
      </c>
      <c r="I175" s="66">
        <f t="shared" si="174"/>
        <v>7.7009375096841852</v>
      </c>
      <c r="J175" s="66">
        <f t="shared" si="174"/>
        <v>7.4024417558463229</v>
      </c>
      <c r="K175" s="66">
        <f t="shared" si="174"/>
        <v>7.0321699283010322</v>
      </c>
      <c r="L175" s="66">
        <f t="shared" si="174"/>
        <v>6.5961432670378439</v>
      </c>
      <c r="M175" s="66">
        <f t="shared" si="174"/>
        <v>6.1139892174750745</v>
      </c>
      <c r="N175" s="66">
        <f t="shared" si="174"/>
        <v>5.6175270121752394</v>
      </c>
      <c r="O175" s="66">
        <f t="shared" si="174"/>
        <v>5.1433421548288711</v>
      </c>
      <c r="P175" s="66">
        <f t="shared" si="174"/>
        <v>4.7224494946019533</v>
      </c>
      <c r="Q175" s="66">
        <f t="shared" si="174"/>
        <v>4.3728172693605067</v>
      </c>
      <c r="R175" s="66">
        <f t="shared" si="174"/>
        <v>4.0981689382712672</v>
      </c>
      <c r="S175" s="66">
        <f t="shared" si="174"/>
        <v>3.8917973633110425</v>
      </c>
      <c r="T175" s="66">
        <f t="shared" si="174"/>
        <v>3.741862616690621</v>
      </c>
      <c r="U175" s="66">
        <f t="shared" si="174"/>
        <v>3.6355782869580788</v>
      </c>
      <c r="V175" s="66">
        <f t="shared" si="174"/>
        <v>3.5615443120608479</v>
      </c>
      <c r="W175" s="66">
        <f t="shared" si="174"/>
        <v>3.510601697660988</v>
      </c>
      <c r="X175" s="66">
        <f t="shared" si="174"/>
        <v>3.4758424826050121</v>
      </c>
      <c r="Y175" s="66">
        <f t="shared" si="174"/>
        <v>3.4522617393209574</v>
      </c>
      <c r="Z175" s="66">
        <f t="shared" si="174"/>
        <v>3.4363269296495731</v>
      </c>
      <c r="AA175" s="66">
        <f t="shared" si="174"/>
        <v>3.4255873285065905</v>
      </c>
      <c r="AB175" s="66">
        <f t="shared" si="174"/>
        <v>3.4183620372217196</v>
      </c>
      <c r="AC175" s="66">
        <f t="shared" si="174"/>
        <v>3.4135068980776566</v>
      </c>
    </row>
    <row r="176" spans="1:29" ht="15" thickBot="1" x14ac:dyDescent="0.35">
      <c r="A176" s="59" t="str">
        <f t="shared" ref="A176" si="175">A164</f>
        <v>Emission Cost</v>
      </c>
      <c r="B176" s="66">
        <f>B147</f>
        <v>0.14217309718689772</v>
      </c>
      <c r="C176" s="66">
        <f t="shared" ref="C176:AC176" si="176">C147</f>
        <v>0.14203771375766058</v>
      </c>
      <c r="D176" s="66">
        <f t="shared" si="176"/>
        <v>0.14184391539413038</v>
      </c>
      <c r="E176" s="66">
        <f t="shared" si="176"/>
        <v>0.14156667320659028</v>
      </c>
      <c r="F176" s="66">
        <f t="shared" si="176"/>
        <v>0.14117043294406945</v>
      </c>
      <c r="G176" s="66">
        <f t="shared" si="176"/>
        <v>0.14060491245838053</v>
      </c>
      <c r="H176" s="66">
        <f t="shared" si="176"/>
        <v>0.13979947254939792</v>
      </c>
      <c r="I176" s="66">
        <f t="shared" si="176"/>
        <v>0.13865586333989385</v>
      </c>
      <c r="J176" s="66">
        <f t="shared" si="176"/>
        <v>0.13703948161608845</v>
      </c>
      <c r="K176" s="66">
        <f t="shared" si="176"/>
        <v>0.13477011083780754</v>
      </c>
      <c r="L176" s="66">
        <f t="shared" si="176"/>
        <v>0.13161486164889458</v>
      </c>
      <c r="M176" s="66">
        <f t="shared" si="176"/>
        <v>0.12728913304900186</v>
      </c>
      <c r="N176" s="66">
        <f t="shared" si="176"/>
        <v>0.12147581733708304</v>
      </c>
      <c r="O176" s="66">
        <f t="shared" si="176"/>
        <v>0.11387669065160279</v>
      </c>
      <c r="P176" s="66">
        <f t="shared" si="176"/>
        <v>0.10430687501035908</v>
      </c>
      <c r="Q176" s="66">
        <f t="shared" si="176"/>
        <v>9.2823370942467606E-2</v>
      </c>
      <c r="R176" s="66">
        <f t="shared" si="176"/>
        <v>7.9838127086736127E-2</v>
      </c>
      <c r="S176" s="66">
        <f t="shared" si="176"/>
        <v>6.6129658425355342E-2</v>
      </c>
      <c r="T176" s="66">
        <f t="shared" si="176"/>
        <v>5.2690946786259088E-2</v>
      </c>
      <c r="U176" s="66">
        <f t="shared" si="176"/>
        <v>4.0457410964736609E-2</v>
      </c>
      <c r="V176" s="66">
        <f t="shared" si="176"/>
        <v>3.0060647605444357E-2</v>
      </c>
      <c r="W176" s="66">
        <f t="shared" si="176"/>
        <v>2.1734702109475382E-2</v>
      </c>
      <c r="X176" s="66">
        <f t="shared" si="176"/>
        <v>1.5381636164219614E-2</v>
      </c>
      <c r="Y176" s="66">
        <f t="shared" si="176"/>
        <v>1.0711623177831281E-2</v>
      </c>
      <c r="Z176" s="66">
        <f t="shared" si="176"/>
        <v>7.3726314520740077E-3</v>
      </c>
      <c r="AA176" s="66">
        <f t="shared" si="176"/>
        <v>5.0324913534492977E-3</v>
      </c>
      <c r="AB176" s="66">
        <f t="shared" si="176"/>
        <v>3.4153107090481305E-3</v>
      </c>
      <c r="AC176" s="66">
        <f t="shared" si="176"/>
        <v>2.3085934068818315E-3</v>
      </c>
    </row>
    <row r="177" spans="1:29" ht="15" thickBot="1" x14ac:dyDescent="0.35">
      <c r="A177" s="31" t="s">
        <v>63</v>
      </c>
      <c r="B177" s="76">
        <f>B168+B169+B170-B171+B172+B173+B174+B175+B176</f>
        <v>30.501771914633927</v>
      </c>
      <c r="C177" s="76">
        <f t="shared" ref="C177:AC177" si="177">C168+C169+C170-C171+C172+C173+C174+C175+C176</f>
        <v>30.42531137536686</v>
      </c>
      <c r="D177" s="76">
        <f t="shared" si="177"/>
        <v>30.316823216259699</v>
      </c>
      <c r="E177" s="76">
        <f t="shared" si="177"/>
        <v>30.163635253048263</v>
      </c>
      <c r="F177" s="76">
        <f t="shared" si="177"/>
        <v>29.948857450180707</v>
      </c>
      <c r="G177" s="76">
        <f t="shared" si="177"/>
        <v>29.650810554926252</v>
      </c>
      <c r="H177" s="76">
        <f t="shared" si="177"/>
        <v>29.2432787595354</v>
      </c>
      <c r="I177" s="76">
        <f t="shared" si="177"/>
        <v>28.697559309953327</v>
      </c>
      <c r="J177" s="76">
        <f t="shared" si="177"/>
        <v>27.987571508498778</v>
      </c>
      <c r="K177" s="76">
        <f t="shared" si="177"/>
        <v>27.098861186962466</v>
      </c>
      <c r="L177" s="76">
        <f t="shared" si="177"/>
        <v>26.040291145292084</v>
      </c>
      <c r="M177" s="76">
        <f t="shared" si="177"/>
        <v>24.853423586738959</v>
      </c>
      <c r="N177" s="76">
        <f t="shared" si="177"/>
        <v>23.611751559587763</v>
      </c>
      <c r="O177" s="76">
        <f t="shared" si="177"/>
        <v>22.405121009654916</v>
      </c>
      <c r="P177" s="76">
        <f t="shared" si="177"/>
        <v>21.3148157849283</v>
      </c>
      <c r="Q177" s="76">
        <f t="shared" si="177"/>
        <v>20.392927682503654</v>
      </c>
      <c r="R177" s="76">
        <f t="shared" si="177"/>
        <v>19.656215865335319</v>
      </c>
      <c r="S177" s="76">
        <f t="shared" si="177"/>
        <v>19.09346919138256</v>
      </c>
      <c r="T177" s="76">
        <f t="shared" si="177"/>
        <v>18.67820827792616</v>
      </c>
      <c r="U177" s="76">
        <f t="shared" si="177"/>
        <v>18.379594525877597</v>
      </c>
      <c r="V177" s="76">
        <f t="shared" si="177"/>
        <v>18.168943167686002</v>
      </c>
      <c r="W177" s="76">
        <f t="shared" si="177"/>
        <v>18.022448401289431</v>
      </c>
      <c r="X177" s="76">
        <f t="shared" si="177"/>
        <v>17.921642880531145</v>
      </c>
      <c r="Y177" s="76">
        <f t="shared" si="177"/>
        <v>17.852813724715926</v>
      </c>
      <c r="Z177" s="76">
        <f t="shared" si="177"/>
        <v>17.806080971879116</v>
      </c>
      <c r="AA177" s="76">
        <f t="shared" si="177"/>
        <v>17.774477393328599</v>
      </c>
      <c r="AB177" s="76">
        <f t="shared" si="177"/>
        <v>17.753164766141584</v>
      </c>
      <c r="AC177" s="76">
        <f t="shared" si="177"/>
        <v>17.738819852593977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78">A156</f>
        <v>Capex vehicle</v>
      </c>
      <c r="B180" s="65">
        <f>((1+B141)^B148)*B141/(((1+B141)^B148)-1)*(B137)/B153/(B150)</f>
        <v>2.1632138711235615E-3</v>
      </c>
      <c r="C180" s="65">
        <f t="shared" ref="C180:AC180" si="179">((1+C141)^C148)*C141/(((1+C141)^C148)-1)*(C137)/C153/(C150)</f>
        <v>2.1558184071327311E-3</v>
      </c>
      <c r="D180" s="65">
        <f t="shared" si="179"/>
        <v>2.145317908418739E-3</v>
      </c>
      <c r="E180" s="65">
        <f t="shared" si="179"/>
        <v>2.1304764625200132E-3</v>
      </c>
      <c r="F180" s="65">
        <f t="shared" si="179"/>
        <v>2.1096393402400665E-3</v>
      </c>
      <c r="G180" s="65">
        <f t="shared" si="179"/>
        <v>2.0806681761613224E-3</v>
      </c>
      <c r="H180" s="65">
        <f t="shared" si="179"/>
        <v>2.0409497940227692E-3</v>
      </c>
      <c r="I180" s="65">
        <f t="shared" si="179"/>
        <v>1.9875725444783161E-3</v>
      </c>
      <c r="J180" s="65">
        <f t="shared" si="179"/>
        <v>1.9177981675974668E-3</v>
      </c>
      <c r="K180" s="65">
        <f t="shared" si="179"/>
        <v>1.829929133316432E-3</v>
      </c>
      <c r="L180" s="65">
        <f t="shared" si="179"/>
        <v>1.7244888144602143E-3</v>
      </c>
      <c r="M180" s="65">
        <f t="shared" si="179"/>
        <v>1.6052596798267933E-3</v>
      </c>
      <c r="N180" s="65">
        <f t="shared" si="179"/>
        <v>1.479389971579121E-3</v>
      </c>
      <c r="O180" s="65">
        <f t="shared" si="179"/>
        <v>1.3559971437570768E-3</v>
      </c>
      <c r="P180" s="65">
        <f t="shared" si="179"/>
        <v>1.2436701127276767E-3</v>
      </c>
      <c r="Q180" s="65">
        <f t="shared" si="179"/>
        <v>1.1482081320295062E-3</v>
      </c>
      <c r="R180" s="65">
        <f t="shared" si="179"/>
        <v>1.0717601817623844E-3</v>
      </c>
      <c r="S180" s="65">
        <f t="shared" si="179"/>
        <v>1.0134270027064077E-3</v>
      </c>
      <c r="T180" s="65">
        <f t="shared" si="179"/>
        <v>9.7054743777254216E-4</v>
      </c>
      <c r="U180" s="65">
        <f t="shared" si="179"/>
        <v>9.3988916916910165E-4</v>
      </c>
      <c r="V180" s="65">
        <f t="shared" si="179"/>
        <v>9.1840225048048251E-4</v>
      </c>
      <c r="W180" s="65">
        <f t="shared" si="179"/>
        <v>9.0355346897741005E-4</v>
      </c>
      <c r="X180" s="65">
        <f t="shared" si="179"/>
        <v>8.9339170785169349E-4</v>
      </c>
      <c r="Y180" s="65">
        <f t="shared" si="179"/>
        <v>8.8648392390972366E-4</v>
      </c>
      <c r="Z180" s="65">
        <f t="shared" si="179"/>
        <v>8.8180950338190116E-4</v>
      </c>
      <c r="AA180" s="65">
        <f t="shared" si="179"/>
        <v>8.7865613441364158E-4</v>
      </c>
      <c r="AB180" s="65">
        <f t="shared" si="179"/>
        <v>8.7653330208881694E-4</v>
      </c>
      <c r="AC180" s="65">
        <f t="shared" si="179"/>
        <v>8.7510622887057403E-4</v>
      </c>
    </row>
    <row r="181" spans="1:29" x14ac:dyDescent="0.3">
      <c r="A181" s="30" t="str">
        <f t="shared" si="178"/>
        <v>Residual value (vehicle)</v>
      </c>
      <c r="B181" s="68">
        <f>((1+B141)^B148)*B141/(((1+B141)^B148)-1)*(B138)/B153/(B150)</f>
        <v>-1.0931217673919614E-4</v>
      </c>
      <c r="C181" s="68">
        <f t="shared" ref="C181:AC181" si="180">((1+C141)^C148)*C141/(((1+C141)^C148)-1)*(C138)/C153/(C150)</f>
        <v>-1.0943543447237665E-4</v>
      </c>
      <c r="D181" s="68">
        <f t="shared" si="180"/>
        <v>-1.0961044278427652E-4</v>
      </c>
      <c r="E181" s="68">
        <f t="shared" si="180"/>
        <v>-1.0985780021592194E-4</v>
      </c>
      <c r="F181" s="68">
        <f t="shared" si="180"/>
        <v>-1.102050855872544E-4</v>
      </c>
      <c r="G181" s="68">
        <f t="shared" si="180"/>
        <v>-1.1068793832190012E-4</v>
      </c>
      <c r="H181" s="68">
        <f t="shared" si="180"/>
        <v>-1.1134991135754269E-4</v>
      </c>
      <c r="I181" s="68">
        <f t="shared" si="180"/>
        <v>-1.1223953218328357E-4</v>
      </c>
      <c r="J181" s="68">
        <f t="shared" si="180"/>
        <v>-1.1340243846463104E-4</v>
      </c>
      <c r="K181" s="68">
        <f t="shared" si="180"/>
        <v>-1.1486692236931498E-4</v>
      </c>
      <c r="L181" s="68">
        <f t="shared" si="180"/>
        <v>-1.1662426101691861E-4</v>
      </c>
      <c r="M181" s="68">
        <f t="shared" si="180"/>
        <v>-1.1861141326080898E-4</v>
      </c>
      <c r="N181" s="68">
        <f t="shared" si="180"/>
        <v>-1.2070924173160351E-4</v>
      </c>
      <c r="O181" s="68">
        <f t="shared" si="180"/>
        <v>-1.2276578886197088E-4</v>
      </c>
      <c r="P181" s="68">
        <f t="shared" si="180"/>
        <v>-1.2463790604579422E-4</v>
      </c>
      <c r="Q181" s="68">
        <f t="shared" si="180"/>
        <v>-1.2622893905743041E-4</v>
      </c>
      <c r="R181" s="68">
        <f t="shared" si="180"/>
        <v>-1.2750307156188243E-4</v>
      </c>
      <c r="S181" s="68">
        <f t="shared" si="180"/>
        <v>-1.2847529121281536E-4</v>
      </c>
      <c r="T181" s="68">
        <f t="shared" si="180"/>
        <v>-1.2918995062837979E-4</v>
      </c>
      <c r="U181" s="68">
        <f t="shared" si="180"/>
        <v>-1.2970092177177047E-4</v>
      </c>
      <c r="V181" s="68">
        <f t="shared" si="180"/>
        <v>-1.3005903708324747E-4</v>
      </c>
      <c r="W181" s="68">
        <f t="shared" si="180"/>
        <v>-1.3030651677496533E-4</v>
      </c>
      <c r="X181" s="68">
        <f t="shared" si="180"/>
        <v>-1.3047587946039396E-4</v>
      </c>
      <c r="Y181" s="68">
        <f t="shared" si="180"/>
        <v>-1.305910091927601E-4</v>
      </c>
      <c r="Z181" s="68">
        <f t="shared" si="180"/>
        <v>-1.3066891620155716E-4</v>
      </c>
      <c r="AA181" s="68">
        <f t="shared" si="180"/>
        <v>-1.3072147235102815E-4</v>
      </c>
      <c r="AB181" s="68">
        <f t="shared" si="180"/>
        <v>-1.3075685288977524E-4</v>
      </c>
      <c r="AC181" s="68">
        <f t="shared" si="180"/>
        <v>-1.3078063744341263E-4</v>
      </c>
    </row>
    <row r="182" spans="1:29" x14ac:dyDescent="0.3">
      <c r="A182" s="30" t="str">
        <f t="shared" si="178"/>
        <v>Capex costumization</v>
      </c>
      <c r="B182" s="66">
        <f>((1+B141)^B149)*B141/(((1+B141)^B149)-1)*(B139)/B153/(B150)</f>
        <v>1.0174917575636864E-3</v>
      </c>
      <c r="C182" s="66">
        <f t="shared" ref="C182:AC182" si="181">((1+C141)^C149)*C141/(((1+C141)^C149)-1)*(C139)/C153/(C150)</f>
        <v>1.0174917575636864E-3</v>
      </c>
      <c r="D182" s="66">
        <f t="shared" si="181"/>
        <v>1.0174917575636864E-3</v>
      </c>
      <c r="E182" s="66">
        <f t="shared" si="181"/>
        <v>1.0174917575636864E-3</v>
      </c>
      <c r="F182" s="66">
        <f t="shared" si="181"/>
        <v>1.0174917575636864E-3</v>
      </c>
      <c r="G182" s="66">
        <f t="shared" si="181"/>
        <v>1.0174917575636864E-3</v>
      </c>
      <c r="H182" s="66">
        <f t="shared" si="181"/>
        <v>1.0174917575636864E-3</v>
      </c>
      <c r="I182" s="66">
        <f t="shared" si="181"/>
        <v>1.0174917575636864E-3</v>
      </c>
      <c r="J182" s="66">
        <f t="shared" si="181"/>
        <v>1.0174917575636864E-3</v>
      </c>
      <c r="K182" s="66">
        <f t="shared" si="181"/>
        <v>1.0174917575636864E-3</v>
      </c>
      <c r="L182" s="66">
        <f t="shared" si="181"/>
        <v>1.0174917575636864E-3</v>
      </c>
      <c r="M182" s="66">
        <f t="shared" si="181"/>
        <v>1.0174917575636864E-3</v>
      </c>
      <c r="N182" s="66">
        <f t="shared" si="181"/>
        <v>1.0174917575636864E-3</v>
      </c>
      <c r="O182" s="66">
        <f t="shared" si="181"/>
        <v>1.0174917575636864E-3</v>
      </c>
      <c r="P182" s="66">
        <f t="shared" si="181"/>
        <v>1.0174917575636864E-3</v>
      </c>
      <c r="Q182" s="66">
        <f t="shared" si="181"/>
        <v>1.0174917575636864E-3</v>
      </c>
      <c r="R182" s="66">
        <f t="shared" si="181"/>
        <v>1.0174917575636864E-3</v>
      </c>
      <c r="S182" s="66">
        <f t="shared" si="181"/>
        <v>1.0174917575636864E-3</v>
      </c>
      <c r="T182" s="66">
        <f t="shared" si="181"/>
        <v>1.0174917575636864E-3</v>
      </c>
      <c r="U182" s="66">
        <f t="shared" si="181"/>
        <v>1.0174917575636864E-3</v>
      </c>
      <c r="V182" s="66">
        <f t="shared" si="181"/>
        <v>1.0174917575636864E-3</v>
      </c>
      <c r="W182" s="66">
        <f t="shared" si="181"/>
        <v>1.0174917575636864E-3</v>
      </c>
      <c r="X182" s="66">
        <f t="shared" si="181"/>
        <v>1.0174917575636864E-3</v>
      </c>
      <c r="Y182" s="66">
        <f t="shared" si="181"/>
        <v>1.0174917575636864E-3</v>
      </c>
      <c r="Z182" s="66">
        <f t="shared" si="181"/>
        <v>1.0174917575636864E-3</v>
      </c>
      <c r="AA182" s="66">
        <f t="shared" si="181"/>
        <v>1.0174917575636864E-3</v>
      </c>
      <c r="AB182" s="66">
        <f t="shared" si="181"/>
        <v>1.0174917575636864E-3</v>
      </c>
      <c r="AC182" s="66">
        <f t="shared" si="181"/>
        <v>1.0174917575636864E-3</v>
      </c>
    </row>
    <row r="183" spans="1:29" x14ac:dyDescent="0.3">
      <c r="A183" s="30" t="str">
        <f t="shared" si="178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82">((1+C141)^C149)*C141/(((1+C141)^C149)-1)*(C140)/C153/(C150)</f>
        <v>-5.0874587878184312E-5</v>
      </c>
      <c r="D183" s="69">
        <f t="shared" si="182"/>
        <v>-5.0874587878184312E-5</v>
      </c>
      <c r="E183" s="69">
        <f t="shared" si="182"/>
        <v>-5.0874587878184312E-5</v>
      </c>
      <c r="F183" s="69">
        <f t="shared" si="182"/>
        <v>-5.0874587878184312E-5</v>
      </c>
      <c r="G183" s="69">
        <f t="shared" si="182"/>
        <v>-5.0874587878184312E-5</v>
      </c>
      <c r="H183" s="69">
        <f t="shared" si="182"/>
        <v>-5.0874587878184312E-5</v>
      </c>
      <c r="I183" s="69">
        <f t="shared" si="182"/>
        <v>-5.0874587878184312E-5</v>
      </c>
      <c r="J183" s="69">
        <f t="shared" si="182"/>
        <v>-5.0874587878184312E-5</v>
      </c>
      <c r="K183" s="69">
        <f t="shared" si="182"/>
        <v>-5.0874587878184312E-5</v>
      </c>
      <c r="L183" s="69">
        <f t="shared" si="182"/>
        <v>-5.0874587878184312E-5</v>
      </c>
      <c r="M183" s="69">
        <f t="shared" si="182"/>
        <v>-5.0874587878184312E-5</v>
      </c>
      <c r="N183" s="69">
        <f t="shared" si="182"/>
        <v>-5.0874587878184312E-5</v>
      </c>
      <c r="O183" s="69">
        <f t="shared" si="182"/>
        <v>-5.0874587878184312E-5</v>
      </c>
      <c r="P183" s="69">
        <f t="shared" si="182"/>
        <v>-5.0874587878184312E-5</v>
      </c>
      <c r="Q183" s="69">
        <f t="shared" si="182"/>
        <v>-5.0874587878184312E-5</v>
      </c>
      <c r="R183" s="69">
        <f t="shared" si="182"/>
        <v>-5.0874587878184312E-5</v>
      </c>
      <c r="S183" s="69">
        <f t="shared" si="182"/>
        <v>-5.0874587878184312E-5</v>
      </c>
      <c r="T183" s="69">
        <f t="shared" si="182"/>
        <v>-5.0874587878184312E-5</v>
      </c>
      <c r="U183" s="69">
        <f t="shared" si="182"/>
        <v>-5.0874587878184312E-5</v>
      </c>
      <c r="V183" s="69">
        <f t="shared" si="182"/>
        <v>-5.0874587878184312E-5</v>
      </c>
      <c r="W183" s="69">
        <f t="shared" si="182"/>
        <v>-5.0874587878184312E-5</v>
      </c>
      <c r="X183" s="69">
        <f t="shared" si="182"/>
        <v>-5.0874587878184312E-5</v>
      </c>
      <c r="Y183" s="69">
        <f t="shared" si="182"/>
        <v>-5.0874587878184312E-5</v>
      </c>
      <c r="Z183" s="69">
        <f t="shared" si="182"/>
        <v>-5.0874587878184312E-5</v>
      </c>
      <c r="AA183" s="69">
        <f t="shared" si="182"/>
        <v>-5.0874587878184312E-5</v>
      </c>
      <c r="AB183" s="69">
        <f t="shared" si="182"/>
        <v>-5.0874587878184312E-5</v>
      </c>
      <c r="AC183" s="69">
        <f t="shared" si="182"/>
        <v>-5.0874587878184312E-5</v>
      </c>
    </row>
    <row r="184" spans="1:29" x14ac:dyDescent="0.3">
      <c r="A184" s="30" t="str">
        <f t="shared" si="178"/>
        <v>Opex fix (admin, crew, insurance)</v>
      </c>
      <c r="B184" s="66">
        <f>B142/B153/(B150)</f>
        <v>1.5506202480992397E-3</v>
      </c>
      <c r="C184" s="66">
        <f t="shared" ref="C184:AC184" si="183">C142/C153/(C150)</f>
        <v>1.5506202480992397E-3</v>
      </c>
      <c r="D184" s="66">
        <f t="shared" si="183"/>
        <v>1.5506202480992397E-3</v>
      </c>
      <c r="E184" s="66">
        <f t="shared" si="183"/>
        <v>1.5506202480992397E-3</v>
      </c>
      <c r="F184" s="66">
        <f t="shared" si="183"/>
        <v>1.5506202480992397E-3</v>
      </c>
      <c r="G184" s="66">
        <f t="shared" si="183"/>
        <v>1.5506202480992397E-3</v>
      </c>
      <c r="H184" s="66">
        <f t="shared" si="183"/>
        <v>1.5506202480992397E-3</v>
      </c>
      <c r="I184" s="66">
        <f t="shared" si="183"/>
        <v>1.5506202480992397E-3</v>
      </c>
      <c r="J184" s="66">
        <f t="shared" si="183"/>
        <v>1.5506202480992397E-3</v>
      </c>
      <c r="K184" s="66">
        <f t="shared" si="183"/>
        <v>1.5506202480992397E-3</v>
      </c>
      <c r="L184" s="66">
        <f t="shared" si="183"/>
        <v>1.5506202480992397E-3</v>
      </c>
      <c r="M184" s="66">
        <f t="shared" si="183"/>
        <v>1.5506202480992397E-3</v>
      </c>
      <c r="N184" s="66">
        <f t="shared" si="183"/>
        <v>1.5506202480992397E-3</v>
      </c>
      <c r="O184" s="66">
        <f t="shared" si="183"/>
        <v>1.5506202480992397E-3</v>
      </c>
      <c r="P184" s="66">
        <f t="shared" si="183"/>
        <v>1.5506202480992397E-3</v>
      </c>
      <c r="Q184" s="66">
        <f t="shared" si="183"/>
        <v>1.5506202480992397E-3</v>
      </c>
      <c r="R184" s="66">
        <f t="shared" si="183"/>
        <v>1.5506202480992397E-3</v>
      </c>
      <c r="S184" s="66">
        <f t="shared" si="183"/>
        <v>1.5506202480992397E-3</v>
      </c>
      <c r="T184" s="66">
        <f t="shared" si="183"/>
        <v>1.5506202480992397E-3</v>
      </c>
      <c r="U184" s="66">
        <f t="shared" si="183"/>
        <v>1.5506202480992397E-3</v>
      </c>
      <c r="V184" s="66">
        <f t="shared" si="183"/>
        <v>1.5506202480992397E-3</v>
      </c>
      <c r="W184" s="66">
        <f t="shared" si="183"/>
        <v>1.5506202480992397E-3</v>
      </c>
      <c r="X184" s="66">
        <f t="shared" si="183"/>
        <v>1.5506202480992397E-3</v>
      </c>
      <c r="Y184" s="66">
        <f t="shared" si="183"/>
        <v>1.5506202480992397E-3</v>
      </c>
      <c r="Z184" s="66">
        <f t="shared" si="183"/>
        <v>1.5506202480992397E-3</v>
      </c>
      <c r="AA184" s="66">
        <f t="shared" si="183"/>
        <v>1.5506202480992397E-3</v>
      </c>
      <c r="AB184" s="66">
        <f t="shared" si="183"/>
        <v>1.5506202480992397E-3</v>
      </c>
      <c r="AC184" s="66">
        <f t="shared" si="183"/>
        <v>1.5506202480992397E-3</v>
      </c>
    </row>
    <row r="185" spans="1:29" x14ac:dyDescent="0.3">
      <c r="A185" s="30" t="str">
        <f t="shared" si="178"/>
        <v>Opex maintenance &amp; repair</v>
      </c>
      <c r="B185" s="66">
        <f>B143/B153/(B150)</f>
        <v>3.4736649752972778E-3</v>
      </c>
      <c r="C185" s="66">
        <f t="shared" ref="C185:AC185" si="184">C143/C153/(C150)</f>
        <v>3.4617894207883393E-3</v>
      </c>
      <c r="D185" s="66">
        <f t="shared" si="184"/>
        <v>3.44492783576762E-3</v>
      </c>
      <c r="E185" s="66">
        <f t="shared" si="184"/>
        <v>3.4210956056357029E-3</v>
      </c>
      <c r="F185" s="66">
        <f t="shared" si="184"/>
        <v>3.387635584499539E-3</v>
      </c>
      <c r="G185" s="66">
        <f t="shared" si="184"/>
        <v>3.3411140087564748E-3</v>
      </c>
      <c r="H185" s="66">
        <f t="shared" si="184"/>
        <v>3.2773346687883435E-3</v>
      </c>
      <c r="I185" s="66">
        <f t="shared" si="184"/>
        <v>3.1916220701889431E-3</v>
      </c>
      <c r="J185" s="66">
        <f t="shared" si="184"/>
        <v>3.0795791453632469E-3</v>
      </c>
      <c r="K185" s="66">
        <f t="shared" si="184"/>
        <v>2.9384800192575641E-3</v>
      </c>
      <c r="L185" s="66">
        <f t="shared" si="184"/>
        <v>2.7691651181817939E-3</v>
      </c>
      <c r="M185" s="66">
        <f t="shared" si="184"/>
        <v>2.5777082888133671E-3</v>
      </c>
      <c r="N185" s="66">
        <f t="shared" si="184"/>
        <v>2.3755880995767228E-3</v>
      </c>
      <c r="O185" s="66">
        <f t="shared" si="184"/>
        <v>2.1774452576090466E-3</v>
      </c>
      <c r="P185" s="66">
        <f t="shared" si="184"/>
        <v>1.9970717500818881E-3</v>
      </c>
      <c r="Q185" s="66">
        <f t="shared" si="184"/>
        <v>1.8437799543652188E-3</v>
      </c>
      <c r="R185" s="66">
        <f t="shared" si="184"/>
        <v>1.7210206790013629E-3</v>
      </c>
      <c r="S185" s="66">
        <f t="shared" si="184"/>
        <v>1.6273499034532913E-3</v>
      </c>
      <c r="T185" s="66">
        <f t="shared" si="184"/>
        <v>1.5584943710184004E-3</v>
      </c>
      <c r="U185" s="66">
        <f t="shared" si="184"/>
        <v>1.5092636614373297E-3</v>
      </c>
      <c r="V185" s="66">
        <f t="shared" si="184"/>
        <v>1.4747602043949845E-3</v>
      </c>
      <c r="W185" s="66">
        <f t="shared" si="184"/>
        <v>1.4509161948305144E-3</v>
      </c>
      <c r="X185" s="66">
        <f t="shared" si="184"/>
        <v>1.4345985508929758E-3</v>
      </c>
      <c r="Y185" s="66">
        <f t="shared" si="184"/>
        <v>1.4235061076276786E-3</v>
      </c>
      <c r="Z185" s="66">
        <f t="shared" si="184"/>
        <v>1.4159999747001592E-3</v>
      </c>
      <c r="AA185" s="66">
        <f t="shared" si="184"/>
        <v>1.4109363295906981E-3</v>
      </c>
      <c r="AB185" s="66">
        <f t="shared" si="184"/>
        <v>1.4075275088570635E-3</v>
      </c>
      <c r="AC185" s="66">
        <f t="shared" si="184"/>
        <v>1.4052359304229719E-3</v>
      </c>
    </row>
    <row r="186" spans="1:29" x14ac:dyDescent="0.3">
      <c r="A186" s="30" t="str">
        <f t="shared" si="178"/>
        <v>Opex var (mode-fees, shunting)</v>
      </c>
      <c r="B186" s="66">
        <f>B144*B153/B153/(B150)</f>
        <v>1.6256502601040416E-3</v>
      </c>
      <c r="C186" s="66">
        <f t="shared" ref="C186:AC186" si="185">C144*C153/C153/(C150)</f>
        <v>1.6256502601040416E-3</v>
      </c>
      <c r="D186" s="66">
        <f t="shared" si="185"/>
        <v>1.6256502601040416E-3</v>
      </c>
      <c r="E186" s="66">
        <f t="shared" si="185"/>
        <v>1.6256502601040416E-3</v>
      </c>
      <c r="F186" s="66">
        <f t="shared" si="185"/>
        <v>1.6256502601040416E-3</v>
      </c>
      <c r="G186" s="66">
        <f t="shared" si="185"/>
        <v>1.6256502601040416E-3</v>
      </c>
      <c r="H186" s="66">
        <f t="shared" si="185"/>
        <v>1.6256502601040416E-3</v>
      </c>
      <c r="I186" s="66">
        <f t="shared" si="185"/>
        <v>1.6256502601040416E-3</v>
      </c>
      <c r="J186" s="66">
        <f t="shared" si="185"/>
        <v>1.6256502601040416E-3</v>
      </c>
      <c r="K186" s="66">
        <f t="shared" si="185"/>
        <v>1.6256502601040416E-3</v>
      </c>
      <c r="L186" s="66">
        <f t="shared" si="185"/>
        <v>1.6256502601040416E-3</v>
      </c>
      <c r="M186" s="66">
        <f t="shared" si="185"/>
        <v>1.6256502601040416E-3</v>
      </c>
      <c r="N186" s="66">
        <f t="shared" si="185"/>
        <v>1.6256502601040416E-3</v>
      </c>
      <c r="O186" s="66">
        <f t="shared" si="185"/>
        <v>1.6256502601040416E-3</v>
      </c>
      <c r="P186" s="66">
        <f t="shared" si="185"/>
        <v>1.6256502601040416E-3</v>
      </c>
      <c r="Q186" s="66">
        <f t="shared" si="185"/>
        <v>1.6256502601040416E-3</v>
      </c>
      <c r="R186" s="66">
        <f t="shared" si="185"/>
        <v>1.6256502601040416E-3</v>
      </c>
      <c r="S186" s="66">
        <f t="shared" si="185"/>
        <v>1.6256502601040416E-3</v>
      </c>
      <c r="T186" s="66">
        <f t="shared" si="185"/>
        <v>1.6256502601040416E-3</v>
      </c>
      <c r="U186" s="66">
        <f t="shared" si="185"/>
        <v>1.6256502601040416E-3</v>
      </c>
      <c r="V186" s="66">
        <f t="shared" si="185"/>
        <v>1.6256502601040416E-3</v>
      </c>
      <c r="W186" s="66">
        <f t="shared" si="185"/>
        <v>1.6256502601040416E-3</v>
      </c>
      <c r="X186" s="66">
        <f t="shared" si="185"/>
        <v>1.6256502601040416E-3</v>
      </c>
      <c r="Y186" s="66">
        <f t="shared" si="185"/>
        <v>1.6256502601040416E-3</v>
      </c>
      <c r="Z186" s="66">
        <f t="shared" si="185"/>
        <v>1.6256502601040416E-3</v>
      </c>
      <c r="AA186" s="66">
        <f t="shared" si="185"/>
        <v>1.6256502601040416E-3</v>
      </c>
      <c r="AB186" s="66">
        <f t="shared" si="185"/>
        <v>1.6256502601040416E-3</v>
      </c>
      <c r="AC186" s="66">
        <f t="shared" si="185"/>
        <v>1.6256502601040416E-3</v>
      </c>
    </row>
    <row r="187" spans="1:29" x14ac:dyDescent="0.3">
      <c r="A187" s="30" t="str">
        <f t="shared" si="178"/>
        <v>Fuel Cost</v>
      </c>
      <c r="B187" s="66">
        <f>B145*B146*B153/B153/(B150)</f>
        <v>3.7811888058906298E-3</v>
      </c>
      <c r="C187" s="66">
        <f t="shared" ref="C187:AC187" si="186">C145*C146*C153/C153/(C150)</f>
        <v>3.766509351838834E-3</v>
      </c>
      <c r="D187" s="66">
        <f t="shared" si="186"/>
        <v>3.7457007471248947E-3</v>
      </c>
      <c r="E187" s="66">
        <f t="shared" si="186"/>
        <v>3.7163580658443711E-3</v>
      </c>
      <c r="F187" s="66">
        <f t="shared" si="186"/>
        <v>3.6752964398974251E-3</v>
      </c>
      <c r="G187" s="66">
        <f t="shared" si="186"/>
        <v>3.618467847289252E-3</v>
      </c>
      <c r="H187" s="66">
        <f t="shared" si="186"/>
        <v>3.5410532765914556E-3</v>
      </c>
      <c r="I187" s="66">
        <f t="shared" si="186"/>
        <v>3.4379185311090112E-3</v>
      </c>
      <c r="J187" s="66">
        <f t="shared" si="186"/>
        <v>3.3046614981456801E-3</v>
      </c>
      <c r="K187" s="66">
        <f t="shared" si="186"/>
        <v>3.1393615751343896E-3</v>
      </c>
      <c r="L187" s="66">
        <f t="shared" si="186"/>
        <v>2.9447068156418948E-3</v>
      </c>
      <c r="M187" s="66">
        <f t="shared" si="186"/>
        <v>2.7294594720870869E-3</v>
      </c>
      <c r="N187" s="66">
        <f t="shared" si="186"/>
        <v>2.5078245590068032E-3</v>
      </c>
      <c r="O187" s="66">
        <f t="shared" si="186"/>
        <v>2.2961348905486032E-3</v>
      </c>
      <c r="P187" s="66">
        <f t="shared" si="186"/>
        <v>2.1082363815187292E-3</v>
      </c>
      <c r="Q187" s="66">
        <f t="shared" si="186"/>
        <v>1.9521505666787976E-3</v>
      </c>
      <c r="R187" s="66">
        <f t="shared" si="186"/>
        <v>1.829539704585387E-3</v>
      </c>
      <c r="S187" s="66">
        <f t="shared" si="186"/>
        <v>1.7374095371924297E-3</v>
      </c>
      <c r="T187" s="66">
        <f t="shared" si="186"/>
        <v>1.67047438245117E-3</v>
      </c>
      <c r="U187" s="66">
        <f t="shared" si="186"/>
        <v>1.6230260209634281E-3</v>
      </c>
      <c r="V187" s="66">
        <f t="shared" si="186"/>
        <v>1.5899751393128785E-3</v>
      </c>
      <c r="W187" s="66">
        <f t="shared" si="186"/>
        <v>1.5672329007415124E-3</v>
      </c>
      <c r="X187" s="66">
        <f t="shared" si="186"/>
        <v>1.5517153940200947E-3</v>
      </c>
      <c r="Y187" s="66">
        <f t="shared" si="186"/>
        <v>1.5411882764825703E-3</v>
      </c>
      <c r="Z187" s="66">
        <f t="shared" si="186"/>
        <v>1.534074522164988E-3</v>
      </c>
      <c r="AA187" s="66">
        <f t="shared" si="186"/>
        <v>1.5292800573690137E-3</v>
      </c>
      <c r="AB187" s="66">
        <f t="shared" si="186"/>
        <v>1.5260544809025535E-3</v>
      </c>
      <c r="AC187" s="66">
        <f t="shared" si="186"/>
        <v>1.5238870080703825E-3</v>
      </c>
    </row>
    <row r="188" spans="1:29" x14ac:dyDescent="0.3">
      <c r="A188" s="59" t="str">
        <f>A151</f>
        <v>Market failure (av. utilization)</v>
      </c>
      <c r="B188" s="66">
        <f t="shared" ref="B188:AC188" si="187">B177/B151-B177/B150</f>
        <v>2.8935832731516557E-2</v>
      </c>
      <c r="C188" s="66">
        <f t="shared" si="187"/>
        <v>2.8863297621720792E-2</v>
      </c>
      <c r="D188" s="66">
        <f t="shared" si="187"/>
        <v>2.8760379167210651E-2</v>
      </c>
      <c r="E188" s="66">
        <f t="shared" si="187"/>
        <v>2.8615055764610511E-2</v>
      </c>
      <c r="F188" s="66">
        <f t="shared" si="187"/>
        <v>2.841130450072946E-2</v>
      </c>
      <c r="G188" s="66">
        <f t="shared" si="187"/>
        <v>2.812855912018673E-2</v>
      </c>
      <c r="H188" s="66">
        <f t="shared" si="187"/>
        <v>2.7741949716077106E-2</v>
      </c>
      <c r="I188" s="66">
        <f t="shared" si="187"/>
        <v>2.7224247113236968E-2</v>
      </c>
      <c r="J188" s="66">
        <f t="shared" si="187"/>
        <v>2.6550709578374951E-2</v>
      </c>
      <c r="K188" s="66">
        <f t="shared" si="187"/>
        <v>2.5707625009953227E-2</v>
      </c>
      <c r="L188" s="66">
        <f t="shared" si="187"/>
        <v>2.4703401198100744E-2</v>
      </c>
      <c r="M188" s="66">
        <f t="shared" si="187"/>
        <v>2.3577466572241201E-2</v>
      </c>
      <c r="N188" s="66">
        <f t="shared" si="187"/>
        <v>2.2399541100055355E-2</v>
      </c>
      <c r="O188" s="66">
        <f t="shared" si="187"/>
        <v>2.1254858100677093E-2</v>
      </c>
      <c r="P188" s="66">
        <f t="shared" si="187"/>
        <v>2.0220528367398495E-2</v>
      </c>
      <c r="Q188" s="66">
        <f t="shared" si="187"/>
        <v>1.9345969341660829E-2</v>
      </c>
      <c r="R188" s="66">
        <f t="shared" si="187"/>
        <v>1.8647079782963191E-2</v>
      </c>
      <c r="S188" s="66">
        <f t="shared" si="187"/>
        <v>1.8113224121289254E-2</v>
      </c>
      <c r="T188" s="66">
        <f t="shared" si="187"/>
        <v>1.7719282406514769E-2</v>
      </c>
      <c r="U188" s="66">
        <f t="shared" si="187"/>
        <v>1.7435999271200844E-2</v>
      </c>
      <c r="V188" s="66">
        <f t="shared" si="187"/>
        <v>1.7236162603273548E-2</v>
      </c>
      <c r="W188" s="66">
        <f t="shared" si="187"/>
        <v>1.7097188773544658E-2</v>
      </c>
      <c r="X188" s="66">
        <f t="shared" si="187"/>
        <v>1.700155853621816E-2</v>
      </c>
      <c r="Y188" s="66">
        <f t="shared" si="187"/>
        <v>1.6936263020098812E-2</v>
      </c>
      <c r="Z188" s="66">
        <f t="shared" si="187"/>
        <v>1.6891929493412106E-2</v>
      </c>
      <c r="AA188" s="66">
        <f t="shared" si="187"/>
        <v>1.6861948420010389E-2</v>
      </c>
      <c r="AB188" s="66">
        <f t="shared" si="187"/>
        <v>1.6841729967879845E-2</v>
      </c>
      <c r="AC188" s="66">
        <f t="shared" si="187"/>
        <v>1.682812151194741E-2</v>
      </c>
    </row>
    <row r="189" spans="1:29" x14ac:dyDescent="0.3">
      <c r="A189" s="59" t="str">
        <f>A152</f>
        <v>Payload loss (fuel)</v>
      </c>
      <c r="B189" s="66">
        <f>B177/(B150-B152)-B177/B150</f>
        <v>2.475793174889114E-4</v>
      </c>
      <c r="C189" s="66">
        <f t="shared" ref="C189:AC189" si="188">C177/(C150-C152)-C177/C150</f>
        <v>2.4695869622862708E-4</v>
      </c>
      <c r="D189" s="66">
        <f t="shared" si="188"/>
        <v>2.4607811052158868E-4</v>
      </c>
      <c r="E189" s="66">
        <f t="shared" si="188"/>
        <v>2.4483470172928859E-4</v>
      </c>
      <c r="F189" s="66">
        <f t="shared" si="188"/>
        <v>2.4309137540731024E-4</v>
      </c>
      <c r="G189" s="66">
        <f t="shared" si="188"/>
        <v>2.4067216359517987E-4</v>
      </c>
      <c r="H189" s="66">
        <f t="shared" si="188"/>
        <v>2.373642756455796E-4</v>
      </c>
      <c r="I189" s="66">
        <f t="shared" si="188"/>
        <v>2.3293473465871295E-4</v>
      </c>
      <c r="J189" s="66">
        <f t="shared" si="188"/>
        <v>2.2717184665989321E-4</v>
      </c>
      <c r="K189" s="66">
        <f t="shared" si="188"/>
        <v>2.1995828885521505E-4</v>
      </c>
      <c r="L189" s="66">
        <f t="shared" si="188"/>
        <v>2.1136599955594131E-4</v>
      </c>
      <c r="M189" s="66">
        <f t="shared" si="188"/>
        <v>2.0173233430794725E-4</v>
      </c>
      <c r="N189" s="66">
        <f t="shared" si="188"/>
        <v>1.9165382759405748E-4</v>
      </c>
      <c r="O189" s="66">
        <f t="shared" si="188"/>
        <v>1.8185974845499192E-4</v>
      </c>
      <c r="P189" s="66">
        <f t="shared" si="188"/>
        <v>1.7300986838415799E-4</v>
      </c>
      <c r="Q189" s="66">
        <f t="shared" si="188"/>
        <v>1.6552701040993198E-4</v>
      </c>
      <c r="R189" s="66">
        <f t="shared" si="188"/>
        <v>1.5954720669915032E-4</v>
      </c>
      <c r="S189" s="66">
        <f t="shared" si="188"/>
        <v>1.5497945772226067E-4</v>
      </c>
      <c r="T189" s="66">
        <f t="shared" si="188"/>
        <v>1.5160883342472432E-4</v>
      </c>
      <c r="U189" s="66">
        <f t="shared" si="188"/>
        <v>1.49185020502254E-4</v>
      </c>
      <c r="V189" s="66">
        <f t="shared" si="188"/>
        <v>1.4747518804939831E-4</v>
      </c>
      <c r="W189" s="66">
        <f t="shared" si="188"/>
        <v>1.4628610715332335E-4</v>
      </c>
      <c r="X189" s="66">
        <f t="shared" si="188"/>
        <v>1.4546788052379085E-4</v>
      </c>
      <c r="Y189" s="66">
        <f t="shared" si="188"/>
        <v>1.4490920231100511E-4</v>
      </c>
      <c r="Z189" s="66">
        <f t="shared" si="188"/>
        <v>1.4452987801849906E-4</v>
      </c>
      <c r="AA189" s="66">
        <f t="shared" si="188"/>
        <v>1.4427335546532936E-4</v>
      </c>
      <c r="AB189" s="66">
        <f t="shared" si="188"/>
        <v>1.4410036336153821E-4</v>
      </c>
      <c r="AC189" s="66">
        <f t="shared" si="188"/>
        <v>1.4398392737494971E-4</v>
      </c>
    </row>
    <row r="190" spans="1:29" ht="15" thickBot="1" x14ac:dyDescent="0.35">
      <c r="A190" s="59" t="str">
        <f>A127</f>
        <v>Emission Cost</v>
      </c>
      <c r="B190" s="68">
        <f>B147*B153/B153/(B150)</f>
        <v>6.3470132672722201E-5</v>
      </c>
      <c r="C190" s="68">
        <f t="shared" ref="C190:AC190" si="189">C147*C153/C153/(C150)</f>
        <v>6.3409693641812759E-5</v>
      </c>
      <c r="D190" s="68">
        <f t="shared" si="189"/>
        <v>6.3323176515236784E-5</v>
      </c>
      <c r="E190" s="68">
        <f t="shared" si="189"/>
        <v>6.319940768151351E-5</v>
      </c>
      <c r="F190" s="68">
        <f t="shared" si="189"/>
        <v>6.3022514707173862E-5</v>
      </c>
      <c r="G190" s="68">
        <f t="shared" si="189"/>
        <v>6.2770050204634162E-5</v>
      </c>
      <c r="H190" s="68">
        <f t="shared" si="189"/>
        <v>6.2410478816695501E-5</v>
      </c>
      <c r="I190" s="68">
        <f t="shared" si="189"/>
        <v>6.1899938991024039E-5</v>
      </c>
      <c r="J190" s="68">
        <f t="shared" si="189"/>
        <v>6.1178340007182337E-5</v>
      </c>
      <c r="K190" s="68">
        <f t="shared" si="189"/>
        <v>6.0165228052592656E-5</v>
      </c>
      <c r="L190" s="68">
        <f t="shared" si="189"/>
        <v>5.8756634664685076E-5</v>
      </c>
      <c r="M190" s="68">
        <f t="shared" si="189"/>
        <v>5.6825505825447255E-5</v>
      </c>
      <c r="N190" s="68">
        <f t="shared" si="189"/>
        <v>5.4230275596912073E-5</v>
      </c>
      <c r="O190" s="68">
        <f t="shared" si="189"/>
        <v>5.0837808326608381E-5</v>
      </c>
      <c r="P190" s="68">
        <f t="shared" si="189"/>
        <v>4.6565569201053159E-5</v>
      </c>
      <c r="Q190" s="68">
        <f t="shared" si="189"/>
        <v>4.143900488503018E-5</v>
      </c>
      <c r="R190" s="68">
        <f t="shared" si="189"/>
        <v>3.5642021020864345E-5</v>
      </c>
      <c r="S190" s="68">
        <f t="shared" si="189"/>
        <v>2.9522168939890776E-5</v>
      </c>
      <c r="T190" s="68">
        <f t="shared" si="189"/>
        <v>2.3522744101008524E-5</v>
      </c>
      <c r="U190" s="68">
        <f t="shared" si="189"/>
        <v>1.8061344180685985E-5</v>
      </c>
      <c r="V190" s="68">
        <f t="shared" si="189"/>
        <v>1.3419931966716231E-5</v>
      </c>
      <c r="W190" s="68">
        <f t="shared" si="189"/>
        <v>9.7029920131586533E-6</v>
      </c>
      <c r="X190" s="68">
        <f t="shared" si="189"/>
        <v>6.8668018590266139E-6</v>
      </c>
      <c r="Y190" s="68">
        <f t="shared" si="189"/>
        <v>4.7819746329603935E-6</v>
      </c>
      <c r="Z190" s="68">
        <f t="shared" si="189"/>
        <v>3.2913533268187533E-6</v>
      </c>
      <c r="AA190" s="68">
        <f t="shared" si="189"/>
        <v>2.2466479256470077E-6</v>
      </c>
      <c r="AB190" s="68">
        <f t="shared" si="189"/>
        <v>1.5246922808250581E-6</v>
      </c>
      <c r="AC190" s="68">
        <f t="shared" si="189"/>
        <v>1.0306220566436748E-6</v>
      </c>
    </row>
    <row r="191" spans="1:29" ht="15" thickBot="1" x14ac:dyDescent="0.35">
      <c r="A191" s="31" t="s">
        <v>210</v>
      </c>
      <c r="B191" s="67">
        <f>B180+B181+B182+B183+B184+B185+B186+B187+B188+B189+B190</f>
        <v>4.2698525335139244E-2</v>
      </c>
      <c r="C191" s="67">
        <f t="shared" ref="C191:AC191" si="190">C180+C181+C182+C183+C184+C185+C186+C187+C188+C189+C190</f>
        <v>4.259123543476754E-2</v>
      </c>
      <c r="D191" s="67">
        <f t="shared" si="190"/>
        <v>4.2439004180663237E-2</v>
      </c>
      <c r="E191" s="67">
        <f t="shared" si="190"/>
        <v>4.2224049885694254E-2</v>
      </c>
      <c r="F191" s="67">
        <f t="shared" si="190"/>
        <v>4.1922672347782505E-2</v>
      </c>
      <c r="G191" s="67">
        <f t="shared" si="190"/>
        <v>4.1504451105760481E-2</v>
      </c>
      <c r="H191" s="67">
        <f t="shared" si="190"/>
        <v>4.0932599976473187E-2</v>
      </c>
      <c r="I191" s="67">
        <f t="shared" si="190"/>
        <v>4.0166843078368472E-2</v>
      </c>
      <c r="J191" s="67">
        <f t="shared" si="190"/>
        <v>3.9170583815572577E-2</v>
      </c>
      <c r="K191" s="67">
        <f t="shared" si="190"/>
        <v>3.7923540010088887E-2</v>
      </c>
      <c r="L191" s="67">
        <f t="shared" si="190"/>
        <v>3.643814799747714E-2</v>
      </c>
      <c r="M191" s="67">
        <f t="shared" si="190"/>
        <v>3.4772728117729815E-2</v>
      </c>
      <c r="N191" s="67">
        <f t="shared" si="190"/>
        <v>3.3030406269566145E-2</v>
      </c>
      <c r="O191" s="67">
        <f t="shared" si="190"/>
        <v>3.1337254838400226E-2</v>
      </c>
      <c r="P191" s="67">
        <f t="shared" si="190"/>
        <v>2.9807331821154991E-2</v>
      </c>
      <c r="Q191" s="67">
        <f t="shared" si="190"/>
        <v>2.8513732748860668E-2</v>
      </c>
      <c r="R191" s="67">
        <f t="shared" si="190"/>
        <v>2.7479974182359243E-2</v>
      </c>
      <c r="S191" s="67">
        <f t="shared" si="190"/>
        <v>2.6690324577979502E-2</v>
      </c>
      <c r="T191" s="67">
        <f t="shared" si="190"/>
        <v>2.6107627902543014E-2</v>
      </c>
      <c r="U191" s="67">
        <f t="shared" si="190"/>
        <v>2.568861124357066E-2</v>
      </c>
      <c r="V191" s="67">
        <f t="shared" si="190"/>
        <v>2.5393023958283547E-2</v>
      </c>
      <c r="W191" s="67">
        <f t="shared" si="190"/>
        <v>2.5187461598374396E-2</v>
      </c>
      <c r="X191" s="67">
        <f t="shared" si="190"/>
        <v>2.5046010669794134E-2</v>
      </c>
      <c r="Y191" s="67">
        <f t="shared" si="190"/>
        <v>2.4949429173758773E-2</v>
      </c>
      <c r="Z191" s="67">
        <f t="shared" si="190"/>
        <v>2.4883853486691698E-2</v>
      </c>
      <c r="AA191" s="67">
        <f t="shared" si="190"/>
        <v>2.4839507150312475E-2</v>
      </c>
      <c r="AB191" s="67">
        <f t="shared" si="190"/>
        <v>2.4809601140369654E-2</v>
      </c>
      <c r="AC191" s="67">
        <f t="shared" si="190"/>
        <v>2.47894722691883E-2</v>
      </c>
    </row>
    <row r="193" spans="2:2" x14ac:dyDescent="0.3">
      <c r="B193" s="40"/>
    </row>
    <row r="215" spans="1:44" s="3" customFormat="1" ht="21" x14ac:dyDescent="0.4">
      <c r="A215" s="2" t="str">
        <f>'Parameter Input'!A100</f>
        <v>Railway long-haul: Container</v>
      </c>
    </row>
    <row r="216" spans="1:44" s="3" customFormat="1" ht="21" x14ac:dyDescent="0.4">
      <c r="A216" s="2" t="s">
        <v>103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Input'!$L$113</f>
        <v>10000000</v>
      </c>
      <c r="C225" s="42">
        <f>'Parameter Input'!$M$113</f>
        <v>4000000</v>
      </c>
      <c r="D225" s="1" t="s">
        <v>15</v>
      </c>
      <c r="L225" s="51">
        <f>'Parameter Input'!$O$113</f>
        <v>12</v>
      </c>
      <c r="M225" s="52">
        <v>0</v>
      </c>
      <c r="N225" s="52">
        <v>1</v>
      </c>
      <c r="O225" s="52">
        <f>'Parameter Input'!$P$113</f>
        <v>0.9</v>
      </c>
      <c r="P225" s="53">
        <f>'Parameter Input'!$Q$113</f>
        <v>0.4</v>
      </c>
      <c r="Q225" s="4">
        <f t="shared" ref="Q225:AR234" si="191">$N225+($M225-$N225)*((1/(1+EXP(-$P225*(Q$9-$L225)))^$O225))</f>
        <v>0.9867978615748374</v>
      </c>
      <c r="R225" s="4">
        <f t="shared" si="191"/>
        <v>0.98114509762858249</v>
      </c>
      <c r="S225" s="4">
        <f t="shared" si="191"/>
        <v>0.97311898315872036</v>
      </c>
      <c r="T225" s="4">
        <f t="shared" si="191"/>
        <v>0.96177484161592774</v>
      </c>
      <c r="U225" s="4">
        <f t="shared" si="191"/>
        <v>0.94584787155511363</v>
      </c>
      <c r="V225" s="4">
        <f t="shared" si="191"/>
        <v>0.92370360150141495</v>
      </c>
      <c r="W225" s="4">
        <f t="shared" si="191"/>
        <v>0.89334463567658451</v>
      </c>
      <c r="X225" s="4">
        <f t="shared" si="191"/>
        <v>0.85254543874327005</v>
      </c>
      <c r="Y225" s="4">
        <f t="shared" si="191"/>
        <v>0.79921300652623883</v>
      </c>
      <c r="Z225" s="4">
        <f t="shared" si="191"/>
        <v>0.73204982249993378</v>
      </c>
      <c r="AA225" s="4">
        <f t="shared" si="191"/>
        <v>0.65145592958786691</v>
      </c>
      <c r="AB225" s="4">
        <f t="shared" si="191"/>
        <v>0.56032247880849573</v>
      </c>
      <c r="AC225" s="4">
        <f t="shared" si="191"/>
        <v>0.46411326873185343</v>
      </c>
      <c r="AD225" s="4">
        <f t="shared" si="191"/>
        <v>0.36979727595523937</v>
      </c>
      <c r="AE225" s="4">
        <f t="shared" si="191"/>
        <v>0.28393948637231203</v>
      </c>
      <c r="AF225" s="4">
        <f t="shared" si="191"/>
        <v>0.21097259161117732</v>
      </c>
      <c r="AG225" s="4">
        <f t="shared" si="191"/>
        <v>0.15253917653798199</v>
      </c>
      <c r="AH225" s="4">
        <f t="shared" si="191"/>
        <v>0.10795188737709993</v>
      </c>
      <c r="AI225" s="4">
        <f t="shared" si="191"/>
        <v>7.5176653938091809E-2</v>
      </c>
      <c r="AJ225" s="4">
        <f t="shared" si="191"/>
        <v>5.1742836177502194E-2</v>
      </c>
      <c r="AK225" s="4">
        <f t="shared" si="191"/>
        <v>3.5319190625345942E-2</v>
      </c>
      <c r="AL225" s="4">
        <f t="shared" si="191"/>
        <v>2.3969442072658165E-2</v>
      </c>
      <c r="AM225" s="4">
        <f t="shared" si="191"/>
        <v>1.6202243558389728E-2</v>
      </c>
      <c r="AN225" s="4">
        <f t="shared" si="191"/>
        <v>1.0922240564108399E-2</v>
      </c>
      <c r="AO225" s="4">
        <f t="shared" si="191"/>
        <v>7.3493212906090566E-3</v>
      </c>
      <c r="AP225" s="4">
        <f t="shared" si="191"/>
        <v>4.9390262185057265E-3</v>
      </c>
      <c r="AQ225" s="4">
        <f t="shared" si="191"/>
        <v>3.3164275492956197E-3</v>
      </c>
      <c r="AR225" s="4">
        <f t="shared" si="191"/>
        <v>2.2256362146679809E-3</v>
      </c>
    </row>
    <row r="226" spans="1:44" x14ac:dyDescent="0.3">
      <c r="A226" s="24" t="s">
        <v>28</v>
      </c>
      <c r="B226" s="60">
        <f>'Parameter Input'!$L$114</f>
        <v>-500000</v>
      </c>
      <c r="C226" s="61">
        <f>'Parameter Input'!$M$114</f>
        <v>-600000</v>
      </c>
      <c r="D226" s="1" t="s">
        <v>15</v>
      </c>
      <c r="L226" s="54">
        <f>'Parameter Input'!$O$114</f>
        <v>12</v>
      </c>
      <c r="M226" s="37">
        <v>0</v>
      </c>
      <c r="N226" s="37">
        <v>1</v>
      </c>
      <c r="O226" s="37">
        <f>'Parameter Input'!$P$114</f>
        <v>0.9</v>
      </c>
      <c r="P226" s="55">
        <f>'Parameter Input'!$Q$114</f>
        <v>0.4</v>
      </c>
      <c r="Q226" s="4">
        <f t="shared" si="191"/>
        <v>0.9867978615748374</v>
      </c>
      <c r="R226" s="4">
        <f t="shared" si="191"/>
        <v>0.98114509762858249</v>
      </c>
      <c r="S226" s="4">
        <f t="shared" si="191"/>
        <v>0.97311898315872036</v>
      </c>
      <c r="T226" s="4">
        <f t="shared" si="191"/>
        <v>0.96177484161592774</v>
      </c>
      <c r="U226" s="4">
        <f t="shared" si="191"/>
        <v>0.94584787155511363</v>
      </c>
      <c r="V226" s="4">
        <f t="shared" si="191"/>
        <v>0.92370360150141495</v>
      </c>
      <c r="W226" s="4">
        <f t="shared" si="191"/>
        <v>0.89334463567658451</v>
      </c>
      <c r="X226" s="4">
        <f t="shared" si="191"/>
        <v>0.85254543874327005</v>
      </c>
      <c r="Y226" s="4">
        <f t="shared" si="191"/>
        <v>0.79921300652623883</v>
      </c>
      <c r="Z226" s="4">
        <f t="shared" si="191"/>
        <v>0.73204982249993378</v>
      </c>
      <c r="AA226" s="4">
        <f t="shared" si="191"/>
        <v>0.65145592958786691</v>
      </c>
      <c r="AB226" s="4">
        <f t="shared" si="191"/>
        <v>0.56032247880849573</v>
      </c>
      <c r="AC226" s="4">
        <f t="shared" si="191"/>
        <v>0.46411326873185343</v>
      </c>
      <c r="AD226" s="4">
        <f t="shared" si="191"/>
        <v>0.36979727595523937</v>
      </c>
      <c r="AE226" s="4">
        <f t="shared" si="191"/>
        <v>0.28393948637231203</v>
      </c>
      <c r="AF226" s="4">
        <f t="shared" si="191"/>
        <v>0.21097259161117732</v>
      </c>
      <c r="AG226" s="4">
        <f t="shared" si="191"/>
        <v>0.15253917653798199</v>
      </c>
      <c r="AH226" s="4">
        <f t="shared" si="191"/>
        <v>0.10795188737709993</v>
      </c>
      <c r="AI226" s="4">
        <f t="shared" si="191"/>
        <v>7.5176653938091809E-2</v>
      </c>
      <c r="AJ226" s="4">
        <f t="shared" si="191"/>
        <v>5.1742836177502194E-2</v>
      </c>
      <c r="AK226" s="4">
        <f t="shared" si="191"/>
        <v>3.5319190625345942E-2</v>
      </c>
      <c r="AL226" s="4">
        <f t="shared" si="191"/>
        <v>2.3969442072658165E-2</v>
      </c>
      <c r="AM226" s="4">
        <f t="shared" si="191"/>
        <v>1.6202243558389728E-2</v>
      </c>
      <c r="AN226" s="4">
        <f t="shared" si="191"/>
        <v>1.0922240564108399E-2</v>
      </c>
      <c r="AO226" s="4">
        <f t="shared" si="191"/>
        <v>7.3493212906090566E-3</v>
      </c>
      <c r="AP226" s="4">
        <f t="shared" si="191"/>
        <v>4.9390262185057265E-3</v>
      </c>
      <c r="AQ226" s="4">
        <f t="shared" si="191"/>
        <v>3.3164275492956197E-3</v>
      </c>
      <c r="AR226" s="4">
        <f t="shared" si="191"/>
        <v>2.2256362146679809E-3</v>
      </c>
    </row>
    <row r="227" spans="1:44" x14ac:dyDescent="0.3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91"/>
        <v>0.9867978615748374</v>
      </c>
      <c r="R227" s="4">
        <f t="shared" si="191"/>
        <v>0.98114509762858249</v>
      </c>
      <c r="S227" s="4">
        <f t="shared" si="191"/>
        <v>0.97311898315872036</v>
      </c>
      <c r="T227" s="4">
        <f t="shared" si="191"/>
        <v>0.96177484161592774</v>
      </c>
      <c r="U227" s="4">
        <f t="shared" si="191"/>
        <v>0.94584787155511363</v>
      </c>
      <c r="V227" s="4">
        <f t="shared" si="191"/>
        <v>0.92370360150141495</v>
      </c>
      <c r="W227" s="4">
        <f t="shared" si="191"/>
        <v>0.89334463567658451</v>
      </c>
      <c r="X227" s="4">
        <f t="shared" si="191"/>
        <v>0.85254543874327005</v>
      </c>
      <c r="Y227" s="4">
        <f t="shared" si="191"/>
        <v>0.79921300652623883</v>
      </c>
      <c r="Z227" s="4">
        <f t="shared" si="191"/>
        <v>0.73204982249993378</v>
      </c>
      <c r="AA227" s="4">
        <f t="shared" si="191"/>
        <v>0.65145592958786691</v>
      </c>
      <c r="AB227" s="4">
        <f t="shared" si="191"/>
        <v>0.56032247880849573</v>
      </c>
      <c r="AC227" s="4">
        <f t="shared" si="191"/>
        <v>0.46411326873185343</v>
      </c>
      <c r="AD227" s="4">
        <f t="shared" si="191"/>
        <v>0.36979727595523937</v>
      </c>
      <c r="AE227" s="4">
        <f t="shared" si="191"/>
        <v>0.28393948637231203</v>
      </c>
      <c r="AF227" s="4">
        <f t="shared" si="191"/>
        <v>0.21097259161117732</v>
      </c>
      <c r="AG227" s="4">
        <f t="shared" si="191"/>
        <v>0.15253917653798199</v>
      </c>
      <c r="AH227" s="4">
        <f t="shared" si="191"/>
        <v>0.10795188737709993</v>
      </c>
      <c r="AI227" s="4">
        <f t="shared" si="191"/>
        <v>7.5176653938091809E-2</v>
      </c>
      <c r="AJ227" s="4">
        <f t="shared" si="191"/>
        <v>5.1742836177502194E-2</v>
      </c>
      <c r="AK227" s="4">
        <f t="shared" si="191"/>
        <v>3.5319190625345942E-2</v>
      </c>
      <c r="AL227" s="4">
        <f t="shared" si="191"/>
        <v>2.3969442072658165E-2</v>
      </c>
      <c r="AM227" s="4">
        <f t="shared" si="191"/>
        <v>1.6202243558389728E-2</v>
      </c>
      <c r="AN227" s="4">
        <f t="shared" si="191"/>
        <v>1.0922240564108399E-2</v>
      </c>
      <c r="AO227" s="4">
        <f t="shared" si="191"/>
        <v>7.3493212906090566E-3</v>
      </c>
      <c r="AP227" s="4">
        <f t="shared" si="191"/>
        <v>4.9390262185057265E-3</v>
      </c>
      <c r="AQ227" s="4">
        <f t="shared" si="191"/>
        <v>3.3164275492956197E-3</v>
      </c>
      <c r="AR227" s="4">
        <f t="shared" si="191"/>
        <v>2.2256362146679809E-3</v>
      </c>
    </row>
    <row r="228" spans="1:44" x14ac:dyDescent="0.3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91"/>
        <v>0.9867978615748374</v>
      </c>
      <c r="R228" s="4">
        <f t="shared" si="191"/>
        <v>0.98114509762858249</v>
      </c>
      <c r="S228" s="4">
        <f t="shared" si="191"/>
        <v>0.97311898315872036</v>
      </c>
      <c r="T228" s="4">
        <f t="shared" si="191"/>
        <v>0.96177484161592774</v>
      </c>
      <c r="U228" s="4">
        <f t="shared" si="191"/>
        <v>0.94584787155511363</v>
      </c>
      <c r="V228" s="4">
        <f t="shared" si="191"/>
        <v>0.92370360150141495</v>
      </c>
      <c r="W228" s="4">
        <f t="shared" si="191"/>
        <v>0.89334463567658451</v>
      </c>
      <c r="X228" s="4">
        <f t="shared" si="191"/>
        <v>0.85254543874327005</v>
      </c>
      <c r="Y228" s="4">
        <f t="shared" si="191"/>
        <v>0.79921300652623883</v>
      </c>
      <c r="Z228" s="4">
        <f t="shared" si="191"/>
        <v>0.73204982249993378</v>
      </c>
      <c r="AA228" s="4">
        <f t="shared" si="191"/>
        <v>0.65145592958786691</v>
      </c>
      <c r="AB228" s="4">
        <f t="shared" si="191"/>
        <v>0.56032247880849573</v>
      </c>
      <c r="AC228" s="4">
        <f t="shared" si="191"/>
        <v>0.46411326873185343</v>
      </c>
      <c r="AD228" s="4">
        <f t="shared" si="191"/>
        <v>0.36979727595523937</v>
      </c>
      <c r="AE228" s="4">
        <f t="shared" si="191"/>
        <v>0.28393948637231203</v>
      </c>
      <c r="AF228" s="4">
        <f t="shared" si="191"/>
        <v>0.21097259161117732</v>
      </c>
      <c r="AG228" s="4">
        <f t="shared" si="191"/>
        <v>0.15253917653798199</v>
      </c>
      <c r="AH228" s="4">
        <f t="shared" si="191"/>
        <v>0.10795188737709993</v>
      </c>
      <c r="AI228" s="4">
        <f t="shared" si="191"/>
        <v>7.5176653938091809E-2</v>
      </c>
      <c r="AJ228" s="4">
        <f t="shared" si="191"/>
        <v>5.1742836177502194E-2</v>
      </c>
      <c r="AK228" s="4">
        <f t="shared" si="191"/>
        <v>3.5319190625345942E-2</v>
      </c>
      <c r="AL228" s="4">
        <f t="shared" si="191"/>
        <v>2.3969442072658165E-2</v>
      </c>
      <c r="AM228" s="4">
        <f t="shared" si="191"/>
        <v>1.6202243558389728E-2</v>
      </c>
      <c r="AN228" s="4">
        <f t="shared" si="191"/>
        <v>1.0922240564108399E-2</v>
      </c>
      <c r="AO228" s="4">
        <f t="shared" si="191"/>
        <v>7.3493212906090566E-3</v>
      </c>
      <c r="AP228" s="4">
        <f t="shared" si="191"/>
        <v>4.9390262185057265E-3</v>
      </c>
      <c r="AQ228" s="4">
        <f t="shared" si="191"/>
        <v>3.3164275492956197E-3</v>
      </c>
      <c r="AR228" s="4">
        <f t="shared" si="191"/>
        <v>2.2256362146679809E-3</v>
      </c>
    </row>
    <row r="229" spans="1:44" x14ac:dyDescent="0.3">
      <c r="A229" s="24" t="s">
        <v>79</v>
      </c>
      <c r="B229" s="45">
        <f>'Parameter Input'!$L$120</f>
        <v>0.06</v>
      </c>
      <c r="C229" s="46">
        <f>'Parameter Input'!$M$120</f>
        <v>0.06</v>
      </c>
      <c r="D229" s="1" t="s">
        <v>57</v>
      </c>
      <c r="L229" s="54">
        <f>'Parameter Input'!$O$120</f>
        <v>12</v>
      </c>
      <c r="M229" s="37">
        <v>0</v>
      </c>
      <c r="N229" s="37">
        <v>1</v>
      </c>
      <c r="O229" s="37">
        <f>'Parameter Input'!$P$120</f>
        <v>0.9</v>
      </c>
      <c r="P229" s="55">
        <f>'Parameter Input'!$Q$120</f>
        <v>0.4</v>
      </c>
      <c r="Q229" s="4">
        <f t="shared" si="191"/>
        <v>0.9867978615748374</v>
      </c>
      <c r="R229" s="4">
        <f t="shared" si="191"/>
        <v>0.98114509762858249</v>
      </c>
      <c r="S229" s="4">
        <f t="shared" si="191"/>
        <v>0.97311898315872036</v>
      </c>
      <c r="T229" s="4">
        <f t="shared" si="191"/>
        <v>0.96177484161592774</v>
      </c>
      <c r="U229" s="4">
        <f t="shared" si="191"/>
        <v>0.94584787155511363</v>
      </c>
      <c r="V229" s="4">
        <f t="shared" si="191"/>
        <v>0.92370360150141495</v>
      </c>
      <c r="W229" s="4">
        <f t="shared" si="191"/>
        <v>0.89334463567658451</v>
      </c>
      <c r="X229" s="4">
        <f t="shared" si="191"/>
        <v>0.85254543874327005</v>
      </c>
      <c r="Y229" s="4">
        <f t="shared" si="191"/>
        <v>0.79921300652623883</v>
      </c>
      <c r="Z229" s="4">
        <f t="shared" si="191"/>
        <v>0.73204982249993378</v>
      </c>
      <c r="AA229" s="4">
        <f t="shared" si="191"/>
        <v>0.65145592958786691</v>
      </c>
      <c r="AB229" s="4">
        <f t="shared" si="191"/>
        <v>0.56032247880849573</v>
      </c>
      <c r="AC229" s="4">
        <f t="shared" si="191"/>
        <v>0.46411326873185343</v>
      </c>
      <c r="AD229" s="4">
        <f t="shared" si="191"/>
        <v>0.36979727595523937</v>
      </c>
      <c r="AE229" s="4">
        <f t="shared" si="191"/>
        <v>0.28393948637231203</v>
      </c>
      <c r="AF229" s="4">
        <f t="shared" si="191"/>
        <v>0.21097259161117732</v>
      </c>
      <c r="AG229" s="4">
        <f t="shared" si="191"/>
        <v>0.15253917653798199</v>
      </c>
      <c r="AH229" s="4">
        <f t="shared" si="191"/>
        <v>0.10795188737709993</v>
      </c>
      <c r="AI229" s="4">
        <f t="shared" si="191"/>
        <v>7.5176653938091809E-2</v>
      </c>
      <c r="AJ229" s="4">
        <f t="shared" si="191"/>
        <v>5.1742836177502194E-2</v>
      </c>
      <c r="AK229" s="4">
        <f t="shared" si="191"/>
        <v>3.5319190625345942E-2</v>
      </c>
      <c r="AL229" s="4">
        <f t="shared" si="191"/>
        <v>2.3969442072658165E-2</v>
      </c>
      <c r="AM229" s="4">
        <f t="shared" si="191"/>
        <v>1.6202243558389728E-2</v>
      </c>
      <c r="AN229" s="4">
        <f t="shared" si="191"/>
        <v>1.0922240564108399E-2</v>
      </c>
      <c r="AO229" s="4">
        <f t="shared" si="191"/>
        <v>7.3493212906090566E-3</v>
      </c>
      <c r="AP229" s="4">
        <f t="shared" si="191"/>
        <v>4.9390262185057265E-3</v>
      </c>
      <c r="AQ229" s="4">
        <f t="shared" si="191"/>
        <v>3.3164275492956197E-3</v>
      </c>
      <c r="AR229" s="4">
        <f t="shared" si="191"/>
        <v>2.2256362146679809E-3</v>
      </c>
    </row>
    <row r="230" spans="1:44" x14ac:dyDescent="0.3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91"/>
        <v>0.9867978615748374</v>
      </c>
      <c r="R230" s="4">
        <f t="shared" si="191"/>
        <v>0.98114509762858249</v>
      </c>
      <c r="S230" s="4">
        <f t="shared" si="191"/>
        <v>0.97311898315872036</v>
      </c>
      <c r="T230" s="4">
        <f t="shared" si="191"/>
        <v>0.96177484161592774</v>
      </c>
      <c r="U230" s="4">
        <f t="shared" si="191"/>
        <v>0.94584787155511363</v>
      </c>
      <c r="V230" s="4">
        <f t="shared" si="191"/>
        <v>0.92370360150141495</v>
      </c>
      <c r="W230" s="4">
        <f t="shared" si="191"/>
        <v>0.89334463567658451</v>
      </c>
      <c r="X230" s="4">
        <f t="shared" si="191"/>
        <v>0.85254543874327005</v>
      </c>
      <c r="Y230" s="4">
        <f t="shared" si="191"/>
        <v>0.79921300652623883</v>
      </c>
      <c r="Z230" s="4">
        <f t="shared" si="191"/>
        <v>0.73204982249993378</v>
      </c>
      <c r="AA230" s="4">
        <f t="shared" si="191"/>
        <v>0.65145592958786691</v>
      </c>
      <c r="AB230" s="4">
        <f t="shared" si="191"/>
        <v>0.56032247880849573</v>
      </c>
      <c r="AC230" s="4">
        <f t="shared" si="191"/>
        <v>0.46411326873185343</v>
      </c>
      <c r="AD230" s="4">
        <f t="shared" si="191"/>
        <v>0.36979727595523937</v>
      </c>
      <c r="AE230" s="4">
        <f t="shared" si="191"/>
        <v>0.28393948637231203</v>
      </c>
      <c r="AF230" s="4">
        <f t="shared" si="191"/>
        <v>0.21097259161117732</v>
      </c>
      <c r="AG230" s="4">
        <f t="shared" si="191"/>
        <v>0.15253917653798199</v>
      </c>
      <c r="AH230" s="4">
        <f t="shared" si="191"/>
        <v>0.10795188737709993</v>
      </c>
      <c r="AI230" s="4">
        <f t="shared" si="191"/>
        <v>7.5176653938091809E-2</v>
      </c>
      <c r="AJ230" s="4">
        <f t="shared" si="191"/>
        <v>5.1742836177502194E-2</v>
      </c>
      <c r="AK230" s="4">
        <f t="shared" si="191"/>
        <v>3.5319190625345942E-2</v>
      </c>
      <c r="AL230" s="4">
        <f t="shared" si="191"/>
        <v>2.3969442072658165E-2</v>
      </c>
      <c r="AM230" s="4">
        <f t="shared" si="191"/>
        <v>1.6202243558389728E-2</v>
      </c>
      <c r="AN230" s="4">
        <f t="shared" si="191"/>
        <v>1.0922240564108399E-2</v>
      </c>
      <c r="AO230" s="4">
        <f t="shared" si="191"/>
        <v>7.3493212906090566E-3</v>
      </c>
      <c r="AP230" s="4">
        <f t="shared" si="191"/>
        <v>4.9390262185057265E-3</v>
      </c>
      <c r="AQ230" s="4">
        <f t="shared" si="191"/>
        <v>3.3164275492956197E-3</v>
      </c>
      <c r="AR230" s="4">
        <f t="shared" si="191"/>
        <v>2.2256362146679809E-3</v>
      </c>
    </row>
    <row r="231" spans="1:44" x14ac:dyDescent="0.3">
      <c r="A231" s="24" t="s">
        <v>52</v>
      </c>
      <c r="B231" s="43">
        <f>'Parameter Input'!$L$116</f>
        <v>1400000.0000000002</v>
      </c>
      <c r="C231" s="44">
        <f>'Parameter Input'!$M$116</f>
        <v>560000</v>
      </c>
      <c r="D231" s="1" t="s">
        <v>38</v>
      </c>
      <c r="L231" s="54">
        <f>'Parameter Input'!$O$116</f>
        <v>12</v>
      </c>
      <c r="M231" s="37">
        <v>0</v>
      </c>
      <c r="N231" s="37">
        <v>1</v>
      </c>
      <c r="O231" s="37">
        <f>'Parameter Input'!$P$116</f>
        <v>0.9</v>
      </c>
      <c r="P231" s="55">
        <f>'Parameter Input'!$Q$116</f>
        <v>0.4</v>
      </c>
      <c r="Q231" s="4">
        <f t="shared" si="191"/>
        <v>0.9867978615748374</v>
      </c>
      <c r="R231" s="4">
        <f t="shared" si="191"/>
        <v>0.98114509762858249</v>
      </c>
      <c r="S231" s="4">
        <f t="shared" si="191"/>
        <v>0.97311898315872036</v>
      </c>
      <c r="T231" s="4">
        <f t="shared" si="191"/>
        <v>0.96177484161592774</v>
      </c>
      <c r="U231" s="4">
        <f t="shared" si="191"/>
        <v>0.94584787155511363</v>
      </c>
      <c r="V231" s="4">
        <f t="shared" si="191"/>
        <v>0.92370360150141495</v>
      </c>
      <c r="W231" s="4">
        <f t="shared" si="191"/>
        <v>0.89334463567658451</v>
      </c>
      <c r="X231" s="4">
        <f t="shared" si="191"/>
        <v>0.85254543874327005</v>
      </c>
      <c r="Y231" s="4">
        <f t="shared" si="191"/>
        <v>0.79921300652623883</v>
      </c>
      <c r="Z231" s="4">
        <f t="shared" si="191"/>
        <v>0.73204982249993378</v>
      </c>
      <c r="AA231" s="4">
        <f t="shared" si="191"/>
        <v>0.65145592958786691</v>
      </c>
      <c r="AB231" s="4">
        <f t="shared" si="191"/>
        <v>0.56032247880849573</v>
      </c>
      <c r="AC231" s="4">
        <f t="shared" si="191"/>
        <v>0.46411326873185343</v>
      </c>
      <c r="AD231" s="4">
        <f t="shared" si="191"/>
        <v>0.36979727595523937</v>
      </c>
      <c r="AE231" s="4">
        <f t="shared" si="191"/>
        <v>0.28393948637231203</v>
      </c>
      <c r="AF231" s="4">
        <f t="shared" si="191"/>
        <v>0.21097259161117732</v>
      </c>
      <c r="AG231" s="4">
        <f t="shared" si="191"/>
        <v>0.15253917653798199</v>
      </c>
      <c r="AH231" s="4">
        <f t="shared" si="191"/>
        <v>0.10795188737709993</v>
      </c>
      <c r="AI231" s="4">
        <f t="shared" si="191"/>
        <v>7.5176653938091809E-2</v>
      </c>
      <c r="AJ231" s="4">
        <f t="shared" si="191"/>
        <v>5.1742836177502194E-2</v>
      </c>
      <c r="AK231" s="4">
        <f t="shared" si="191"/>
        <v>3.5319190625345942E-2</v>
      </c>
      <c r="AL231" s="4">
        <f t="shared" si="191"/>
        <v>2.3969442072658165E-2</v>
      </c>
      <c r="AM231" s="4">
        <f t="shared" si="191"/>
        <v>1.6202243558389728E-2</v>
      </c>
      <c r="AN231" s="4">
        <f t="shared" si="191"/>
        <v>1.0922240564108399E-2</v>
      </c>
      <c r="AO231" s="4">
        <f t="shared" si="191"/>
        <v>7.3493212906090566E-3</v>
      </c>
      <c r="AP231" s="4">
        <f t="shared" si="191"/>
        <v>4.9390262185057265E-3</v>
      </c>
      <c r="AQ231" s="4">
        <f t="shared" si="191"/>
        <v>3.3164275492956197E-3</v>
      </c>
      <c r="AR231" s="4">
        <f t="shared" si="191"/>
        <v>2.2256362146679809E-3</v>
      </c>
    </row>
    <row r="232" spans="1:44" x14ac:dyDescent="0.3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91"/>
        <v>0.9867978615748374</v>
      </c>
      <c r="R232" s="4">
        <f t="shared" si="191"/>
        <v>0.98114509762858249</v>
      </c>
      <c r="S232" s="4">
        <f t="shared" si="191"/>
        <v>0.97311898315872036</v>
      </c>
      <c r="T232" s="4">
        <f t="shared" si="191"/>
        <v>0.96177484161592774</v>
      </c>
      <c r="U232" s="4">
        <f t="shared" si="191"/>
        <v>0.94584787155511363</v>
      </c>
      <c r="V232" s="4">
        <f t="shared" si="191"/>
        <v>0.92370360150141495</v>
      </c>
      <c r="W232" s="4">
        <f t="shared" si="191"/>
        <v>0.89334463567658451</v>
      </c>
      <c r="X232" s="4">
        <f t="shared" si="191"/>
        <v>0.85254543874327005</v>
      </c>
      <c r="Y232" s="4">
        <f t="shared" si="191"/>
        <v>0.79921300652623883</v>
      </c>
      <c r="Z232" s="4">
        <f t="shared" si="191"/>
        <v>0.73204982249993378</v>
      </c>
      <c r="AA232" s="4">
        <f t="shared" si="191"/>
        <v>0.65145592958786691</v>
      </c>
      <c r="AB232" s="4">
        <f t="shared" si="191"/>
        <v>0.56032247880849573</v>
      </c>
      <c r="AC232" s="4">
        <f t="shared" si="191"/>
        <v>0.46411326873185343</v>
      </c>
      <c r="AD232" s="4">
        <f t="shared" si="191"/>
        <v>0.36979727595523937</v>
      </c>
      <c r="AE232" s="4">
        <f t="shared" si="191"/>
        <v>0.28393948637231203</v>
      </c>
      <c r="AF232" s="4">
        <f t="shared" si="191"/>
        <v>0.21097259161117732</v>
      </c>
      <c r="AG232" s="4">
        <f t="shared" si="191"/>
        <v>0.15253917653798199</v>
      </c>
      <c r="AH232" s="4">
        <f t="shared" si="191"/>
        <v>0.10795188737709993</v>
      </c>
      <c r="AI232" s="4">
        <f t="shared" si="191"/>
        <v>7.5176653938091809E-2</v>
      </c>
      <c r="AJ232" s="4">
        <f t="shared" si="191"/>
        <v>5.1742836177502194E-2</v>
      </c>
      <c r="AK232" s="4">
        <f t="shared" si="191"/>
        <v>3.5319190625345942E-2</v>
      </c>
      <c r="AL232" s="4">
        <f t="shared" si="191"/>
        <v>2.3969442072658165E-2</v>
      </c>
      <c r="AM232" s="4">
        <f t="shared" si="191"/>
        <v>1.6202243558389728E-2</v>
      </c>
      <c r="AN232" s="4">
        <f t="shared" si="191"/>
        <v>1.0922240564108399E-2</v>
      </c>
      <c r="AO232" s="4">
        <f t="shared" si="191"/>
        <v>7.3493212906090566E-3</v>
      </c>
      <c r="AP232" s="4">
        <f t="shared" si="191"/>
        <v>4.9390262185057265E-3</v>
      </c>
      <c r="AQ232" s="4">
        <f t="shared" si="191"/>
        <v>3.3164275492956197E-3</v>
      </c>
      <c r="AR232" s="4">
        <f t="shared" si="191"/>
        <v>2.2256362146679809E-3</v>
      </c>
    </row>
    <row r="233" spans="1:44" x14ac:dyDescent="0.3">
      <c r="A233" s="24" t="s">
        <v>59</v>
      </c>
      <c r="B233" s="47">
        <f>'Parameter Input'!$L$117</f>
        <v>39.507490909090912</v>
      </c>
      <c r="C233" s="48">
        <f>'Parameter Input'!$M$117</f>
        <v>33.429415384615389</v>
      </c>
      <c r="D233" s="1" t="s">
        <v>60</v>
      </c>
      <c r="L233" s="54">
        <f>'Parameter Input'!$O$117</f>
        <v>12</v>
      </c>
      <c r="M233" s="37">
        <v>0</v>
      </c>
      <c r="N233" s="37">
        <v>1</v>
      </c>
      <c r="O233" s="37">
        <f>'Parameter Input'!$P$117</f>
        <v>0.9</v>
      </c>
      <c r="P233" s="55">
        <f>'Parameter Input'!$Q$117</f>
        <v>0.4</v>
      </c>
      <c r="Q233" s="4">
        <f t="shared" si="191"/>
        <v>0.9867978615748374</v>
      </c>
      <c r="R233" s="4">
        <f t="shared" si="191"/>
        <v>0.98114509762858249</v>
      </c>
      <c r="S233" s="4">
        <f t="shared" si="191"/>
        <v>0.97311898315872036</v>
      </c>
      <c r="T233" s="4">
        <f t="shared" si="191"/>
        <v>0.96177484161592774</v>
      </c>
      <c r="U233" s="4">
        <f t="shared" si="191"/>
        <v>0.94584787155511363</v>
      </c>
      <c r="V233" s="4">
        <f t="shared" si="191"/>
        <v>0.92370360150141495</v>
      </c>
      <c r="W233" s="4">
        <f t="shared" si="191"/>
        <v>0.89334463567658451</v>
      </c>
      <c r="X233" s="4">
        <f t="shared" si="191"/>
        <v>0.85254543874327005</v>
      </c>
      <c r="Y233" s="4">
        <f t="shared" si="191"/>
        <v>0.79921300652623883</v>
      </c>
      <c r="Z233" s="4">
        <f t="shared" si="191"/>
        <v>0.73204982249993378</v>
      </c>
      <c r="AA233" s="4">
        <f t="shared" si="191"/>
        <v>0.65145592958786691</v>
      </c>
      <c r="AB233" s="4">
        <f t="shared" si="191"/>
        <v>0.56032247880849573</v>
      </c>
      <c r="AC233" s="4">
        <f t="shared" si="191"/>
        <v>0.46411326873185343</v>
      </c>
      <c r="AD233" s="4">
        <f t="shared" si="191"/>
        <v>0.36979727595523937</v>
      </c>
      <c r="AE233" s="4">
        <f t="shared" si="191"/>
        <v>0.28393948637231203</v>
      </c>
      <c r="AF233" s="4">
        <f t="shared" si="191"/>
        <v>0.21097259161117732</v>
      </c>
      <c r="AG233" s="4">
        <f t="shared" si="191"/>
        <v>0.15253917653798199</v>
      </c>
      <c r="AH233" s="4">
        <f t="shared" si="191"/>
        <v>0.10795188737709993</v>
      </c>
      <c r="AI233" s="4">
        <f t="shared" si="191"/>
        <v>7.5176653938091809E-2</v>
      </c>
      <c r="AJ233" s="4">
        <f t="shared" si="191"/>
        <v>5.1742836177502194E-2</v>
      </c>
      <c r="AK233" s="4">
        <f t="shared" si="191"/>
        <v>3.5319190625345942E-2</v>
      </c>
      <c r="AL233" s="4">
        <f t="shared" si="191"/>
        <v>2.3969442072658165E-2</v>
      </c>
      <c r="AM233" s="4">
        <f t="shared" si="191"/>
        <v>1.6202243558389728E-2</v>
      </c>
      <c r="AN233" s="4">
        <f t="shared" si="191"/>
        <v>1.0922240564108399E-2</v>
      </c>
      <c r="AO233" s="4">
        <f t="shared" si="191"/>
        <v>7.3493212906090566E-3</v>
      </c>
      <c r="AP233" s="4">
        <f t="shared" si="191"/>
        <v>4.9390262185057265E-3</v>
      </c>
      <c r="AQ233" s="4">
        <f t="shared" si="191"/>
        <v>3.3164275492956197E-3</v>
      </c>
      <c r="AR233" s="4">
        <f t="shared" si="191"/>
        <v>2.2256362146679809E-3</v>
      </c>
    </row>
    <row r="234" spans="1:44" x14ac:dyDescent="0.3">
      <c r="A234" s="24" t="s">
        <v>67</v>
      </c>
      <c r="B234" s="45">
        <f>'Parameter Input'!$L$118</f>
        <v>0.21633448448114301</v>
      </c>
      <c r="C234" s="46">
        <f>'Parameter Input'!$M$118</f>
        <v>0.101814693285632</v>
      </c>
      <c r="D234" s="1" t="s">
        <v>68</v>
      </c>
      <c r="L234" s="54">
        <f>'Parameter Input'!$O$118</f>
        <v>12</v>
      </c>
      <c r="M234" s="37">
        <v>0</v>
      </c>
      <c r="N234" s="37">
        <v>1</v>
      </c>
      <c r="O234" s="37">
        <f>'Parameter Input'!$P$118</f>
        <v>0.9</v>
      </c>
      <c r="P234" s="55">
        <f>'Parameter Input'!$Q$118</f>
        <v>0.4</v>
      </c>
      <c r="Q234" s="4">
        <f t="shared" si="191"/>
        <v>0.9867978615748374</v>
      </c>
      <c r="R234" s="4">
        <f t="shared" si="191"/>
        <v>0.98114509762858249</v>
      </c>
      <c r="S234" s="4">
        <f t="shared" si="191"/>
        <v>0.97311898315872036</v>
      </c>
      <c r="T234" s="4">
        <f t="shared" ref="T234:AI241" si="192">$N234+($M234-$N234)*((1/(1+EXP(-$P234*(T$9-$L234)))^$O234))</f>
        <v>0.96177484161592774</v>
      </c>
      <c r="U234" s="4">
        <f t="shared" si="192"/>
        <v>0.94584787155511363</v>
      </c>
      <c r="V234" s="4">
        <f t="shared" si="192"/>
        <v>0.92370360150141495</v>
      </c>
      <c r="W234" s="4">
        <f t="shared" si="192"/>
        <v>0.89334463567658451</v>
      </c>
      <c r="X234" s="4">
        <f t="shared" si="192"/>
        <v>0.85254543874327005</v>
      </c>
      <c r="Y234" s="4">
        <f t="shared" si="192"/>
        <v>0.79921300652623883</v>
      </c>
      <c r="Z234" s="4">
        <f t="shared" si="192"/>
        <v>0.73204982249993378</v>
      </c>
      <c r="AA234" s="4">
        <f t="shared" si="192"/>
        <v>0.65145592958786691</v>
      </c>
      <c r="AB234" s="4">
        <f t="shared" si="192"/>
        <v>0.56032247880849573</v>
      </c>
      <c r="AC234" s="4">
        <f t="shared" si="192"/>
        <v>0.46411326873185343</v>
      </c>
      <c r="AD234" s="4">
        <f t="shared" si="192"/>
        <v>0.36979727595523937</v>
      </c>
      <c r="AE234" s="4">
        <f t="shared" si="192"/>
        <v>0.28393948637231203</v>
      </c>
      <c r="AF234" s="4">
        <f t="shared" si="192"/>
        <v>0.21097259161117732</v>
      </c>
      <c r="AG234" s="4">
        <f t="shared" si="192"/>
        <v>0.15253917653798199</v>
      </c>
      <c r="AH234" s="4">
        <f t="shared" si="192"/>
        <v>0.10795188737709993</v>
      </c>
      <c r="AI234" s="4">
        <f t="shared" si="192"/>
        <v>7.5176653938091809E-2</v>
      </c>
      <c r="AJ234" s="4">
        <f t="shared" ref="AJ234:AR241" si="193">$N234+($M234-$N234)*((1/(1+EXP(-$P234*(AJ$9-$L234)))^$O234))</f>
        <v>5.1742836177502194E-2</v>
      </c>
      <c r="AK234" s="4">
        <f t="shared" si="193"/>
        <v>3.5319190625345942E-2</v>
      </c>
      <c r="AL234" s="4">
        <f t="shared" si="193"/>
        <v>2.3969442072658165E-2</v>
      </c>
      <c r="AM234" s="4">
        <f t="shared" si="193"/>
        <v>1.6202243558389728E-2</v>
      </c>
      <c r="AN234" s="4">
        <f t="shared" si="193"/>
        <v>1.0922240564108399E-2</v>
      </c>
      <c r="AO234" s="4">
        <f t="shared" si="193"/>
        <v>7.3493212906090566E-3</v>
      </c>
      <c r="AP234" s="4">
        <f t="shared" si="193"/>
        <v>4.9390262185057265E-3</v>
      </c>
      <c r="AQ234" s="4">
        <f t="shared" si="193"/>
        <v>3.3164275492956197E-3</v>
      </c>
      <c r="AR234" s="4">
        <f t="shared" si="193"/>
        <v>2.2256362146679809E-3</v>
      </c>
    </row>
    <row r="235" spans="1:44" x14ac:dyDescent="0.3">
      <c r="A235" s="24" t="s">
        <v>206</v>
      </c>
      <c r="B235" s="115">
        <f>'Parameter Input'!$L$121</f>
        <v>0.14248603278688524</v>
      </c>
      <c r="C235" s="116">
        <f>'Parameter Input'!$M$121</f>
        <v>0</v>
      </c>
      <c r="D235" s="1" t="s">
        <v>76</v>
      </c>
      <c r="L235" s="54">
        <f>'Parameter Input'!$O$121</f>
        <v>17</v>
      </c>
      <c r="M235" s="37">
        <v>0</v>
      </c>
      <c r="N235" s="37">
        <v>1</v>
      </c>
      <c r="O235" s="37">
        <f>'Parameter Input'!$P$121</f>
        <v>0.9</v>
      </c>
      <c r="P235" s="55">
        <f>'Parameter Input'!$Q$121</f>
        <v>0.4</v>
      </c>
      <c r="Q235" s="4">
        <f t="shared" ref="Q235:AR235" si="194">$N235+($M235-$N235)*((1/(1+EXP(-$P235*(Q$9-$L235)))^$O235))</f>
        <v>0.99780374543478534</v>
      </c>
      <c r="R235" s="4">
        <f t="shared" si="194"/>
        <v>0.99685359315256394</v>
      </c>
      <c r="S235" s="4">
        <f t="shared" si="194"/>
        <v>0.99549347132349975</v>
      </c>
      <c r="T235" s="4">
        <f t="shared" si="194"/>
        <v>0.99354772139898062</v>
      </c>
      <c r="U235" s="4">
        <f t="shared" si="194"/>
        <v>0.99076681540580536</v>
      </c>
      <c r="V235" s="4">
        <f t="shared" si="194"/>
        <v>0.9867978615748374</v>
      </c>
      <c r="W235" s="4">
        <f t="shared" si="194"/>
        <v>0.98114509762858249</v>
      </c>
      <c r="X235" s="4">
        <f t="shared" si="194"/>
        <v>0.97311898315872036</v>
      </c>
      <c r="Y235" s="4">
        <f t="shared" si="194"/>
        <v>0.96177484161592774</v>
      </c>
      <c r="Z235" s="4">
        <f t="shared" si="194"/>
        <v>0.94584787155511363</v>
      </c>
      <c r="AA235" s="4">
        <f t="shared" si="194"/>
        <v>0.92370360150141495</v>
      </c>
      <c r="AB235" s="4">
        <f t="shared" si="194"/>
        <v>0.89334463567658451</v>
      </c>
      <c r="AC235" s="4">
        <f t="shared" si="194"/>
        <v>0.85254543874327005</v>
      </c>
      <c r="AD235" s="4">
        <f t="shared" si="194"/>
        <v>0.79921300652623883</v>
      </c>
      <c r="AE235" s="4">
        <f t="shared" si="194"/>
        <v>0.73204982249993378</v>
      </c>
      <c r="AF235" s="4">
        <f t="shared" si="194"/>
        <v>0.65145592958786691</v>
      </c>
      <c r="AG235" s="4">
        <f t="shared" si="194"/>
        <v>0.56032247880849573</v>
      </c>
      <c r="AH235" s="4">
        <f t="shared" si="194"/>
        <v>0.46411326873185343</v>
      </c>
      <c r="AI235" s="4">
        <f t="shared" si="194"/>
        <v>0.36979727595523937</v>
      </c>
      <c r="AJ235" s="4">
        <f t="shared" si="194"/>
        <v>0.28393948637231203</v>
      </c>
      <c r="AK235" s="4">
        <f t="shared" si="194"/>
        <v>0.21097259161117732</v>
      </c>
      <c r="AL235" s="4">
        <f t="shared" si="194"/>
        <v>0.15253917653798199</v>
      </c>
      <c r="AM235" s="4">
        <f t="shared" si="194"/>
        <v>0.10795188737709993</v>
      </c>
      <c r="AN235" s="4">
        <f t="shared" si="194"/>
        <v>7.5176653938091809E-2</v>
      </c>
      <c r="AO235" s="4">
        <f t="shared" si="194"/>
        <v>5.1742836177502194E-2</v>
      </c>
      <c r="AP235" s="4">
        <f t="shared" si="194"/>
        <v>3.5319190625345942E-2</v>
      </c>
      <c r="AQ235" s="4">
        <f t="shared" si="194"/>
        <v>2.3969442072658165E-2</v>
      </c>
      <c r="AR235" s="4">
        <f t="shared" si="194"/>
        <v>1.6202243558389728E-2</v>
      </c>
    </row>
    <row r="236" spans="1:44" x14ac:dyDescent="0.3">
      <c r="A236" s="24" t="s">
        <v>41</v>
      </c>
      <c r="B236" s="43">
        <f>'Parameter Input'!$L$115</f>
        <v>20</v>
      </c>
      <c r="C236" s="44">
        <f>'Parameter Input'!$M$115</f>
        <v>20</v>
      </c>
      <c r="D236" s="1" t="s">
        <v>42</v>
      </c>
      <c r="L236" s="54">
        <f>'Parameter Input'!$O$115</f>
        <v>12</v>
      </c>
      <c r="M236" s="37">
        <v>0</v>
      </c>
      <c r="N236" s="37">
        <v>1</v>
      </c>
      <c r="O236" s="37">
        <f>'Parameter Input'!$P$115</f>
        <v>0.9</v>
      </c>
      <c r="P236" s="55">
        <f>'Parameter Input'!$Q$115</f>
        <v>0.4</v>
      </c>
      <c r="Q236" s="4">
        <f t="shared" ref="Q236:AF241" si="195">$N236+($M236-$N236)*((1/(1+EXP(-$P236*(Q$9-$L236)))^$O236))</f>
        <v>0.9867978615748374</v>
      </c>
      <c r="R236" s="4">
        <f t="shared" si="195"/>
        <v>0.98114509762858249</v>
      </c>
      <c r="S236" s="4">
        <f t="shared" si="195"/>
        <v>0.97311898315872036</v>
      </c>
      <c r="T236" s="4">
        <f t="shared" si="195"/>
        <v>0.96177484161592774</v>
      </c>
      <c r="U236" s="4">
        <f t="shared" si="195"/>
        <v>0.94584787155511363</v>
      </c>
      <c r="V236" s="4">
        <f t="shared" si="195"/>
        <v>0.92370360150141495</v>
      </c>
      <c r="W236" s="4">
        <f t="shared" si="195"/>
        <v>0.89334463567658451</v>
      </c>
      <c r="X236" s="4">
        <f t="shared" si="195"/>
        <v>0.85254543874327005</v>
      </c>
      <c r="Y236" s="4">
        <f t="shared" si="195"/>
        <v>0.79921300652623883</v>
      </c>
      <c r="Z236" s="4">
        <f t="shared" si="195"/>
        <v>0.73204982249993378</v>
      </c>
      <c r="AA236" s="4">
        <f t="shared" si="195"/>
        <v>0.65145592958786691</v>
      </c>
      <c r="AB236" s="4">
        <f t="shared" si="195"/>
        <v>0.56032247880849573</v>
      </c>
      <c r="AC236" s="4">
        <f t="shared" si="195"/>
        <v>0.46411326873185343</v>
      </c>
      <c r="AD236" s="4">
        <f t="shared" si="195"/>
        <v>0.36979727595523937</v>
      </c>
      <c r="AE236" s="4">
        <f t="shared" si="195"/>
        <v>0.28393948637231203</v>
      </c>
      <c r="AF236" s="4">
        <f t="shared" si="195"/>
        <v>0.21097259161117732</v>
      </c>
      <c r="AG236" s="4">
        <f t="shared" si="192"/>
        <v>0.15253917653798199</v>
      </c>
      <c r="AH236" s="4">
        <f t="shared" si="192"/>
        <v>0.10795188737709993</v>
      </c>
      <c r="AI236" s="4">
        <f t="shared" si="192"/>
        <v>7.5176653938091809E-2</v>
      </c>
      <c r="AJ236" s="4">
        <f t="shared" si="193"/>
        <v>5.1742836177502194E-2</v>
      </c>
      <c r="AK236" s="4">
        <f t="shared" si="193"/>
        <v>3.5319190625345942E-2</v>
      </c>
      <c r="AL236" s="4">
        <f t="shared" si="193"/>
        <v>2.3969442072658165E-2</v>
      </c>
      <c r="AM236" s="4">
        <f t="shared" si="193"/>
        <v>1.6202243558389728E-2</v>
      </c>
      <c r="AN236" s="4">
        <f t="shared" si="193"/>
        <v>1.0922240564108399E-2</v>
      </c>
      <c r="AO236" s="4">
        <f t="shared" si="193"/>
        <v>7.3493212906090566E-3</v>
      </c>
      <c r="AP236" s="4">
        <f t="shared" si="193"/>
        <v>4.9390262185057265E-3</v>
      </c>
      <c r="AQ236" s="4">
        <f t="shared" si="193"/>
        <v>3.3164275492956197E-3</v>
      </c>
      <c r="AR236" s="4">
        <f t="shared" si="193"/>
        <v>2.2256362146679809E-3</v>
      </c>
    </row>
    <row r="237" spans="1:44" x14ac:dyDescent="0.3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95"/>
        <v>0.9867978615748374</v>
      </c>
      <c r="R237" s="4">
        <f t="shared" si="195"/>
        <v>0.98114509762858249</v>
      </c>
      <c r="S237" s="4">
        <f t="shared" si="195"/>
        <v>0.97311898315872036</v>
      </c>
      <c r="T237" s="4">
        <f t="shared" si="195"/>
        <v>0.96177484161592774</v>
      </c>
      <c r="U237" s="4">
        <f t="shared" si="195"/>
        <v>0.94584787155511363</v>
      </c>
      <c r="V237" s="4">
        <f t="shared" si="195"/>
        <v>0.92370360150141495</v>
      </c>
      <c r="W237" s="4">
        <f t="shared" si="195"/>
        <v>0.89334463567658451</v>
      </c>
      <c r="X237" s="4">
        <f t="shared" si="195"/>
        <v>0.85254543874327005</v>
      </c>
      <c r="Y237" s="4">
        <f t="shared" si="195"/>
        <v>0.79921300652623883</v>
      </c>
      <c r="Z237" s="4">
        <f t="shared" si="195"/>
        <v>0.73204982249993378</v>
      </c>
      <c r="AA237" s="4">
        <f t="shared" si="195"/>
        <v>0.65145592958786691</v>
      </c>
      <c r="AB237" s="4">
        <f t="shared" si="195"/>
        <v>0.56032247880849573</v>
      </c>
      <c r="AC237" s="4">
        <f t="shared" si="195"/>
        <v>0.46411326873185343</v>
      </c>
      <c r="AD237" s="4">
        <f t="shared" si="195"/>
        <v>0.36979727595523937</v>
      </c>
      <c r="AE237" s="4">
        <f t="shared" si="195"/>
        <v>0.28393948637231203</v>
      </c>
      <c r="AF237" s="4">
        <f t="shared" si="195"/>
        <v>0.21097259161117732</v>
      </c>
      <c r="AG237" s="4">
        <f t="shared" si="192"/>
        <v>0.15253917653798199</v>
      </c>
      <c r="AH237" s="4">
        <f t="shared" si="192"/>
        <v>0.10795188737709993</v>
      </c>
      <c r="AI237" s="4">
        <f t="shared" si="192"/>
        <v>7.5176653938091809E-2</v>
      </c>
      <c r="AJ237" s="4">
        <f t="shared" si="193"/>
        <v>5.1742836177502194E-2</v>
      </c>
      <c r="AK237" s="4">
        <f t="shared" si="193"/>
        <v>3.5319190625345942E-2</v>
      </c>
      <c r="AL237" s="4">
        <f t="shared" si="193"/>
        <v>2.3969442072658165E-2</v>
      </c>
      <c r="AM237" s="4">
        <f t="shared" si="193"/>
        <v>1.6202243558389728E-2</v>
      </c>
      <c r="AN237" s="4">
        <f t="shared" si="193"/>
        <v>1.0922240564108399E-2</v>
      </c>
      <c r="AO237" s="4">
        <f t="shared" si="193"/>
        <v>7.3493212906090566E-3</v>
      </c>
      <c r="AP237" s="4">
        <f t="shared" si="193"/>
        <v>4.9390262185057265E-3</v>
      </c>
      <c r="AQ237" s="4">
        <f t="shared" si="193"/>
        <v>3.3164275492956197E-3</v>
      </c>
      <c r="AR237" s="4">
        <f t="shared" si="193"/>
        <v>2.2256362146679809E-3</v>
      </c>
    </row>
    <row r="238" spans="1:44" x14ac:dyDescent="0.3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95"/>
        <v>0.9867978615748374</v>
      </c>
      <c r="R238" s="4">
        <f t="shared" si="195"/>
        <v>0.98114509762858249</v>
      </c>
      <c r="S238" s="4">
        <f t="shared" si="195"/>
        <v>0.97311898315872036</v>
      </c>
      <c r="T238" s="4">
        <f t="shared" si="195"/>
        <v>0.96177484161592774</v>
      </c>
      <c r="U238" s="4">
        <f t="shared" si="195"/>
        <v>0.94584787155511363</v>
      </c>
      <c r="V238" s="4">
        <f t="shared" si="195"/>
        <v>0.92370360150141495</v>
      </c>
      <c r="W238" s="4">
        <f t="shared" si="195"/>
        <v>0.89334463567658451</v>
      </c>
      <c r="X238" s="4">
        <f t="shared" si="195"/>
        <v>0.85254543874327005</v>
      </c>
      <c r="Y238" s="4">
        <f t="shared" si="195"/>
        <v>0.79921300652623883</v>
      </c>
      <c r="Z238" s="4">
        <f t="shared" si="195"/>
        <v>0.73204982249993378</v>
      </c>
      <c r="AA238" s="4">
        <f t="shared" si="195"/>
        <v>0.65145592958786691</v>
      </c>
      <c r="AB238" s="4">
        <f t="shared" si="195"/>
        <v>0.56032247880849573</v>
      </c>
      <c r="AC238" s="4">
        <f t="shared" si="195"/>
        <v>0.46411326873185343</v>
      </c>
      <c r="AD238" s="4">
        <f t="shared" si="195"/>
        <v>0.36979727595523937</v>
      </c>
      <c r="AE238" s="4">
        <f t="shared" si="195"/>
        <v>0.28393948637231203</v>
      </c>
      <c r="AF238" s="4">
        <f t="shared" si="195"/>
        <v>0.21097259161117732</v>
      </c>
      <c r="AG238" s="4">
        <f t="shared" si="192"/>
        <v>0.15253917653798199</v>
      </c>
      <c r="AH238" s="4">
        <f t="shared" si="192"/>
        <v>0.10795188737709993</v>
      </c>
      <c r="AI238" s="4">
        <f t="shared" si="192"/>
        <v>7.5176653938091809E-2</v>
      </c>
      <c r="AJ238" s="4">
        <f t="shared" si="193"/>
        <v>5.1742836177502194E-2</v>
      </c>
      <c r="AK238" s="4">
        <f t="shared" si="193"/>
        <v>3.5319190625345942E-2</v>
      </c>
      <c r="AL238" s="4">
        <f t="shared" si="193"/>
        <v>2.3969442072658165E-2</v>
      </c>
      <c r="AM238" s="4">
        <f t="shared" si="193"/>
        <v>1.6202243558389728E-2</v>
      </c>
      <c r="AN238" s="4">
        <f t="shared" si="193"/>
        <v>1.0922240564108399E-2</v>
      </c>
      <c r="AO238" s="4">
        <f t="shared" si="193"/>
        <v>7.3493212906090566E-3</v>
      </c>
      <c r="AP238" s="4">
        <f t="shared" si="193"/>
        <v>4.9390262185057265E-3</v>
      </c>
      <c r="AQ238" s="4">
        <f t="shared" si="193"/>
        <v>3.3164275492956197E-3</v>
      </c>
      <c r="AR238" s="4">
        <f t="shared" si="193"/>
        <v>2.2256362146679809E-3</v>
      </c>
    </row>
    <row r="239" spans="1:44" x14ac:dyDescent="0.3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95"/>
        <v>0.9867978615748374</v>
      </c>
      <c r="R239" s="4">
        <f t="shared" si="195"/>
        <v>0.98114509762858249</v>
      </c>
      <c r="S239" s="4">
        <f t="shared" si="195"/>
        <v>0.97311898315872036</v>
      </c>
      <c r="T239" s="4">
        <f t="shared" si="195"/>
        <v>0.96177484161592774</v>
      </c>
      <c r="U239" s="4">
        <f t="shared" si="195"/>
        <v>0.94584787155511363</v>
      </c>
      <c r="V239" s="4">
        <f t="shared" si="195"/>
        <v>0.92370360150141495</v>
      </c>
      <c r="W239" s="4">
        <f t="shared" si="195"/>
        <v>0.89334463567658451</v>
      </c>
      <c r="X239" s="4">
        <f t="shared" si="195"/>
        <v>0.85254543874327005</v>
      </c>
      <c r="Y239" s="4">
        <f t="shared" si="195"/>
        <v>0.79921300652623883</v>
      </c>
      <c r="Z239" s="4">
        <f t="shared" si="195"/>
        <v>0.73204982249993378</v>
      </c>
      <c r="AA239" s="4">
        <f t="shared" si="195"/>
        <v>0.65145592958786691</v>
      </c>
      <c r="AB239" s="4">
        <f t="shared" si="195"/>
        <v>0.56032247880849573</v>
      </c>
      <c r="AC239" s="4">
        <f t="shared" si="195"/>
        <v>0.46411326873185343</v>
      </c>
      <c r="AD239" s="4">
        <f t="shared" si="195"/>
        <v>0.36979727595523937</v>
      </c>
      <c r="AE239" s="4">
        <f t="shared" si="195"/>
        <v>0.28393948637231203</v>
      </c>
      <c r="AF239" s="4">
        <f t="shared" si="195"/>
        <v>0.21097259161117732</v>
      </c>
      <c r="AG239" s="4">
        <f t="shared" si="192"/>
        <v>0.15253917653798199</v>
      </c>
      <c r="AH239" s="4">
        <f t="shared" si="192"/>
        <v>0.10795188737709993</v>
      </c>
      <c r="AI239" s="4">
        <f t="shared" si="192"/>
        <v>7.5176653938091809E-2</v>
      </c>
      <c r="AJ239" s="4">
        <f t="shared" si="193"/>
        <v>5.1742836177502194E-2</v>
      </c>
      <c r="AK239" s="4">
        <f t="shared" si="193"/>
        <v>3.5319190625345942E-2</v>
      </c>
      <c r="AL239" s="4">
        <f t="shared" si="193"/>
        <v>2.3969442072658165E-2</v>
      </c>
      <c r="AM239" s="4">
        <f t="shared" si="193"/>
        <v>1.6202243558389728E-2</v>
      </c>
      <c r="AN239" s="4">
        <f t="shared" si="193"/>
        <v>1.0922240564108399E-2</v>
      </c>
      <c r="AO239" s="4">
        <f t="shared" si="193"/>
        <v>7.3493212906090566E-3</v>
      </c>
      <c r="AP239" s="4">
        <f t="shared" si="193"/>
        <v>4.9390262185057265E-3</v>
      </c>
      <c r="AQ239" s="4">
        <f t="shared" si="193"/>
        <v>3.3164275492956197E-3</v>
      </c>
      <c r="AR239" s="4">
        <f t="shared" si="193"/>
        <v>2.2256362146679809E-3</v>
      </c>
    </row>
    <row r="240" spans="1:44" x14ac:dyDescent="0.3">
      <c r="A240" s="24" t="s">
        <v>73</v>
      </c>
      <c r="B240" s="72">
        <f>'Parameter Input'!$L$119</f>
        <v>1.7857142857142856E-2</v>
      </c>
      <c r="C240" s="73">
        <f>'Parameter Input'!$M$119</f>
        <v>1.7857142857142856E-2</v>
      </c>
      <c r="D240" s="1" t="s">
        <v>57</v>
      </c>
      <c r="L240" s="54">
        <f>'Parameter Input'!$O$119</f>
        <v>12</v>
      </c>
      <c r="M240" s="37">
        <v>0</v>
      </c>
      <c r="N240" s="37">
        <v>1</v>
      </c>
      <c r="O240" s="37">
        <f>'Parameter Input'!$P$119</f>
        <v>0.9</v>
      </c>
      <c r="P240" s="55">
        <f>'Parameter Input'!$Q$119</f>
        <v>0.4</v>
      </c>
      <c r="Q240" s="4">
        <f t="shared" si="195"/>
        <v>0.9867978615748374</v>
      </c>
      <c r="R240" s="4">
        <f t="shared" si="195"/>
        <v>0.98114509762858249</v>
      </c>
      <c r="S240" s="4">
        <f t="shared" si="195"/>
        <v>0.97311898315872036</v>
      </c>
      <c r="T240" s="4">
        <f t="shared" si="195"/>
        <v>0.96177484161592774</v>
      </c>
      <c r="U240" s="4">
        <f t="shared" si="195"/>
        <v>0.94584787155511363</v>
      </c>
      <c r="V240" s="4">
        <f t="shared" si="195"/>
        <v>0.92370360150141495</v>
      </c>
      <c r="W240" s="4">
        <f t="shared" si="195"/>
        <v>0.89334463567658451</v>
      </c>
      <c r="X240" s="4">
        <f t="shared" si="195"/>
        <v>0.85254543874327005</v>
      </c>
      <c r="Y240" s="4">
        <f t="shared" si="195"/>
        <v>0.79921300652623883</v>
      </c>
      <c r="Z240" s="4">
        <f t="shared" si="195"/>
        <v>0.73204982249993378</v>
      </c>
      <c r="AA240" s="4">
        <f t="shared" si="195"/>
        <v>0.65145592958786691</v>
      </c>
      <c r="AB240" s="4">
        <f t="shared" si="195"/>
        <v>0.56032247880849573</v>
      </c>
      <c r="AC240" s="4">
        <f t="shared" si="195"/>
        <v>0.46411326873185343</v>
      </c>
      <c r="AD240" s="4">
        <f t="shared" si="195"/>
        <v>0.36979727595523937</v>
      </c>
      <c r="AE240" s="4">
        <f t="shared" si="195"/>
        <v>0.28393948637231203</v>
      </c>
      <c r="AF240" s="4">
        <f t="shared" si="195"/>
        <v>0.21097259161117732</v>
      </c>
      <c r="AG240" s="4">
        <f t="shared" si="192"/>
        <v>0.15253917653798199</v>
      </c>
      <c r="AH240" s="4">
        <f t="shared" si="192"/>
        <v>0.10795188737709993</v>
      </c>
      <c r="AI240" s="4">
        <f t="shared" si="192"/>
        <v>7.5176653938091809E-2</v>
      </c>
      <c r="AJ240" s="4">
        <f t="shared" si="193"/>
        <v>5.1742836177502194E-2</v>
      </c>
      <c r="AK240" s="4">
        <f t="shared" si="193"/>
        <v>3.5319190625345942E-2</v>
      </c>
      <c r="AL240" s="4">
        <f t="shared" si="193"/>
        <v>2.3969442072658165E-2</v>
      </c>
      <c r="AM240" s="4">
        <f t="shared" si="193"/>
        <v>1.6202243558389728E-2</v>
      </c>
      <c r="AN240" s="4">
        <f t="shared" si="193"/>
        <v>1.0922240564108399E-2</v>
      </c>
      <c r="AO240" s="4">
        <f t="shared" si="193"/>
        <v>7.3493212906090566E-3</v>
      </c>
      <c r="AP240" s="4">
        <f t="shared" si="193"/>
        <v>4.9390262185057265E-3</v>
      </c>
      <c r="AQ240" s="4">
        <f t="shared" si="193"/>
        <v>3.3164275492956197E-3</v>
      </c>
      <c r="AR240" s="4">
        <f t="shared" si="193"/>
        <v>2.2256362146679809E-3</v>
      </c>
    </row>
    <row r="241" spans="1:44" ht="15" thickBot="1" x14ac:dyDescent="0.35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95"/>
        <v>0.9867978615748374</v>
      </c>
      <c r="R241" s="4">
        <f t="shared" si="195"/>
        <v>0.98114509762858249</v>
      </c>
      <c r="S241" s="4">
        <f t="shared" si="195"/>
        <v>0.97311898315872036</v>
      </c>
      <c r="T241" s="4">
        <f t="shared" si="195"/>
        <v>0.96177484161592774</v>
      </c>
      <c r="U241" s="4">
        <f t="shared" si="195"/>
        <v>0.94584787155511363</v>
      </c>
      <c r="V241" s="4">
        <f t="shared" si="195"/>
        <v>0.92370360150141495</v>
      </c>
      <c r="W241" s="4">
        <f t="shared" si="195"/>
        <v>0.89334463567658451</v>
      </c>
      <c r="X241" s="4">
        <f t="shared" si="195"/>
        <v>0.85254543874327005</v>
      </c>
      <c r="Y241" s="4">
        <f t="shared" si="195"/>
        <v>0.79921300652623883</v>
      </c>
      <c r="Z241" s="4">
        <f t="shared" si="195"/>
        <v>0.73204982249993378</v>
      </c>
      <c r="AA241" s="4">
        <f t="shared" si="195"/>
        <v>0.65145592958786691</v>
      </c>
      <c r="AB241" s="4">
        <f t="shared" si="195"/>
        <v>0.56032247880849573</v>
      </c>
      <c r="AC241" s="4">
        <f t="shared" si="195"/>
        <v>0.46411326873185343</v>
      </c>
      <c r="AD241" s="4">
        <f t="shared" si="195"/>
        <v>0.36979727595523937</v>
      </c>
      <c r="AE241" s="4">
        <f t="shared" si="195"/>
        <v>0.28393948637231203</v>
      </c>
      <c r="AF241" s="4">
        <f t="shared" si="195"/>
        <v>0.21097259161117732</v>
      </c>
      <c r="AG241" s="4">
        <f t="shared" si="192"/>
        <v>0.15253917653798199</v>
      </c>
      <c r="AH241" s="4">
        <f t="shared" si="192"/>
        <v>0.10795188737709993</v>
      </c>
      <c r="AI241" s="4">
        <f t="shared" si="192"/>
        <v>7.5176653938091809E-2</v>
      </c>
      <c r="AJ241" s="4">
        <f t="shared" si="193"/>
        <v>5.1742836177502194E-2</v>
      </c>
      <c r="AK241" s="4">
        <f t="shared" si="193"/>
        <v>3.5319190625345942E-2</v>
      </c>
      <c r="AL241" s="4">
        <f t="shared" si="193"/>
        <v>2.3969442072658165E-2</v>
      </c>
      <c r="AM241" s="4">
        <f t="shared" si="193"/>
        <v>1.6202243558389728E-2</v>
      </c>
      <c r="AN241" s="4">
        <f t="shared" si="193"/>
        <v>1.0922240564108399E-2</v>
      </c>
      <c r="AO241" s="4">
        <f t="shared" si="193"/>
        <v>7.3493212906090566E-3</v>
      </c>
      <c r="AP241" s="4">
        <f t="shared" si="193"/>
        <v>4.9390262185057265E-3</v>
      </c>
      <c r="AQ241" s="4">
        <f t="shared" si="193"/>
        <v>3.3164275492956197E-3</v>
      </c>
      <c r="AR241" s="4">
        <f t="shared" si="193"/>
        <v>2.2256362146679809E-3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96">A225</f>
        <v>Capex vehicle</v>
      </c>
      <c r="B245" s="62">
        <f t="shared" ref="B245:B254" si="197">$B225+($C225-$B225)*(1-Q225)</f>
        <v>9920787.1694490239</v>
      </c>
      <c r="C245" s="62">
        <f t="shared" ref="C245:C254" si="198">$B225+($C225-$B225)*(1-R225)</f>
        <v>9886870.5857714955</v>
      </c>
      <c r="D245" s="62">
        <f t="shared" ref="D245:D254" si="199">$B225+($C225-$B225)*(1-S225)</f>
        <v>9838713.8989523221</v>
      </c>
      <c r="E245" s="62">
        <f t="shared" ref="E245:E254" si="200">$B225+($C225-$B225)*(1-T225)</f>
        <v>9770649.0496955663</v>
      </c>
      <c r="F245" s="62">
        <f t="shared" ref="F245:F254" si="201">$B225+($C225-$B225)*(1-U225)</f>
        <v>9675087.2293306813</v>
      </c>
      <c r="G245" s="62">
        <f t="shared" ref="G245:G254" si="202">$B225+($C225-$B225)*(1-V225)</f>
        <v>9542221.6090084892</v>
      </c>
      <c r="H245" s="62">
        <f t="shared" ref="H245:H254" si="203">$B225+($C225-$B225)*(1-W225)</f>
        <v>9360067.8140595071</v>
      </c>
      <c r="I245" s="62">
        <f t="shared" ref="I245:I254" si="204">$B225+($C225-$B225)*(1-X225)</f>
        <v>9115272.63245962</v>
      </c>
      <c r="J245" s="62">
        <f t="shared" ref="J245:J254" si="205">$B225+($C225-$B225)*(1-Y225)</f>
        <v>8795278.0391574334</v>
      </c>
      <c r="K245" s="62">
        <f t="shared" ref="K245:K254" si="206">$B225+($C225-$B225)*(1-Z225)</f>
        <v>8392298.9349996019</v>
      </c>
      <c r="L245" s="62">
        <f t="shared" ref="L245:L254" si="207">$B225+($C225-$B225)*(1-AA225)</f>
        <v>7908735.5775272017</v>
      </c>
      <c r="M245" s="62">
        <f t="shared" ref="M245:M254" si="208">$B225+($C225-$B225)*(1-AB225)</f>
        <v>7361934.872850975</v>
      </c>
      <c r="N245" s="62">
        <f t="shared" ref="N245:N254" si="209">$B225+($C225-$B225)*(1-AC225)</f>
        <v>6784679.6123911208</v>
      </c>
      <c r="O245" s="62">
        <f t="shared" ref="O245:O254" si="210">$B225+($C225-$B225)*(1-AD225)</f>
        <v>6218783.6557314359</v>
      </c>
      <c r="P245" s="62">
        <f t="shared" ref="P245:P254" si="211">$B225+($C225-$B225)*(1-AE225)</f>
        <v>5703636.9182338724</v>
      </c>
      <c r="Q245" s="62">
        <f t="shared" ref="Q245:Q254" si="212">$B225+($C225-$B225)*(1-AF225)</f>
        <v>5265835.5496670641</v>
      </c>
      <c r="R245" s="62">
        <f t="shared" ref="R245:R254" si="213">$B225+($C225-$B225)*(1-AG225)</f>
        <v>4915235.0592278922</v>
      </c>
      <c r="S245" s="62">
        <f t="shared" ref="S245:S254" si="214">$B225+($C225-$B225)*(1-AH225)</f>
        <v>4647711.3242625995</v>
      </c>
      <c r="T245" s="62">
        <f t="shared" ref="T245:T254" si="215">$B225+($C225-$B225)*(1-AI225)</f>
        <v>4451059.923628551</v>
      </c>
      <c r="U245" s="62">
        <f t="shared" ref="U245:U254" si="216">$B225+($C225-$B225)*(1-AJ225)</f>
        <v>4310457.0170650128</v>
      </c>
      <c r="V245" s="62">
        <f t="shared" ref="V245:V254" si="217">$B225+($C225-$B225)*(1-AK225)</f>
        <v>4211915.1437520757</v>
      </c>
      <c r="W245" s="62">
        <f t="shared" ref="W245:W254" si="218">$B225+($C225-$B225)*(1-AL225)</f>
        <v>4143816.6524359491</v>
      </c>
      <c r="X245" s="62">
        <f t="shared" ref="X245:X254" si="219">$B225+($C225-$B225)*(1-AM225)</f>
        <v>4097213.4613503385</v>
      </c>
      <c r="Y245" s="62">
        <f t="shared" ref="Y245:Y254" si="220">$B225+($C225-$B225)*(1-AN225)</f>
        <v>4065533.4433846502</v>
      </c>
      <c r="Z245" s="62">
        <f t="shared" ref="Z245:Z254" si="221">$B225+($C225-$B225)*(1-AO225)</f>
        <v>4044095.9277436547</v>
      </c>
      <c r="AA245" s="62">
        <f t="shared" ref="AA245:AA254" si="222">$B225+($C225-$B225)*(1-AP225)</f>
        <v>4029634.1573110344</v>
      </c>
      <c r="AB245" s="62">
        <f t="shared" ref="AB245:AB254" si="223">$B225+($C225-$B225)*(1-AQ225)</f>
        <v>4019898.5652957736</v>
      </c>
      <c r="AC245" s="62">
        <f t="shared" ref="AC245:AC254" si="224">$B225+($C225-$B225)*(1-AR225)</f>
        <v>4013353.8172880076</v>
      </c>
    </row>
    <row r="246" spans="1:44" x14ac:dyDescent="0.3">
      <c r="A246" s="30" t="str">
        <f t="shared" si="196"/>
        <v>Residual value (vehicle)</v>
      </c>
      <c r="B246" s="62">
        <f t="shared" si="197"/>
        <v>-501320.21384251624</v>
      </c>
      <c r="C246" s="62">
        <f t="shared" si="198"/>
        <v>-501885.49023714173</v>
      </c>
      <c r="D246" s="62">
        <f t="shared" si="199"/>
        <v>-502688.10168412799</v>
      </c>
      <c r="E246" s="62">
        <f t="shared" si="200"/>
        <v>-503822.51583840721</v>
      </c>
      <c r="F246" s="62">
        <f t="shared" si="201"/>
        <v>-505415.21284448862</v>
      </c>
      <c r="G246" s="62">
        <f t="shared" si="202"/>
        <v>-507629.63984985853</v>
      </c>
      <c r="H246" s="62">
        <f t="shared" si="203"/>
        <v>-510665.53643234156</v>
      </c>
      <c r="I246" s="62">
        <f t="shared" si="204"/>
        <v>-514745.45612567302</v>
      </c>
      <c r="J246" s="62">
        <f t="shared" si="205"/>
        <v>-520078.69934737612</v>
      </c>
      <c r="K246" s="62">
        <f t="shared" si="206"/>
        <v>-526795.01775000663</v>
      </c>
      <c r="L246" s="62">
        <f t="shared" si="207"/>
        <v>-534854.40704121336</v>
      </c>
      <c r="M246" s="62">
        <f t="shared" si="208"/>
        <v>-543967.75211915048</v>
      </c>
      <c r="N246" s="62">
        <f t="shared" si="209"/>
        <v>-553588.67312681465</v>
      </c>
      <c r="O246" s="62">
        <f t="shared" si="210"/>
        <v>-563020.27240447607</v>
      </c>
      <c r="P246" s="62">
        <f t="shared" si="211"/>
        <v>-571606.05136276875</v>
      </c>
      <c r="Q246" s="62">
        <f t="shared" si="212"/>
        <v>-578902.74083888228</v>
      </c>
      <c r="R246" s="62">
        <f t="shared" si="213"/>
        <v>-584746.08234620176</v>
      </c>
      <c r="S246" s="62">
        <f t="shared" si="214"/>
        <v>-589204.81126228999</v>
      </c>
      <c r="T246" s="62">
        <f t="shared" si="215"/>
        <v>-592482.33460619079</v>
      </c>
      <c r="U246" s="62">
        <f t="shared" si="216"/>
        <v>-594825.71638224972</v>
      </c>
      <c r="V246" s="62">
        <f t="shared" si="217"/>
        <v>-596468.08093746542</v>
      </c>
      <c r="W246" s="62">
        <f t="shared" si="218"/>
        <v>-597603.05579273414</v>
      </c>
      <c r="X246" s="62">
        <f t="shared" si="219"/>
        <v>-598379.77564416104</v>
      </c>
      <c r="Y246" s="62">
        <f t="shared" si="220"/>
        <v>-598907.77594358916</v>
      </c>
      <c r="Z246" s="62">
        <f t="shared" si="221"/>
        <v>-599265.06787093915</v>
      </c>
      <c r="AA246" s="62">
        <f t="shared" si="222"/>
        <v>-599506.0973781494</v>
      </c>
      <c r="AB246" s="62">
        <f t="shared" si="223"/>
        <v>-599668.35724507039</v>
      </c>
      <c r="AC246" s="62">
        <f t="shared" si="224"/>
        <v>-599777.43637853325</v>
      </c>
    </row>
    <row r="247" spans="1:44" x14ac:dyDescent="0.3">
      <c r="A247" s="30" t="str">
        <f t="shared" si="196"/>
        <v>Capex costumization</v>
      </c>
      <c r="B247" s="62">
        <f t="shared" si="197"/>
        <v>2800000</v>
      </c>
      <c r="C247" s="62">
        <f t="shared" si="198"/>
        <v>2800000</v>
      </c>
      <c r="D247" s="62">
        <f t="shared" si="199"/>
        <v>2800000</v>
      </c>
      <c r="E247" s="62">
        <f t="shared" si="200"/>
        <v>2800000</v>
      </c>
      <c r="F247" s="62">
        <f t="shared" si="201"/>
        <v>2800000</v>
      </c>
      <c r="G247" s="62">
        <f t="shared" si="202"/>
        <v>2800000</v>
      </c>
      <c r="H247" s="62">
        <f t="shared" si="203"/>
        <v>2800000</v>
      </c>
      <c r="I247" s="62">
        <f t="shared" si="204"/>
        <v>2800000</v>
      </c>
      <c r="J247" s="62">
        <f t="shared" si="205"/>
        <v>2800000</v>
      </c>
      <c r="K247" s="62">
        <f t="shared" si="206"/>
        <v>2800000</v>
      </c>
      <c r="L247" s="62">
        <f t="shared" si="207"/>
        <v>2800000</v>
      </c>
      <c r="M247" s="62">
        <f t="shared" si="208"/>
        <v>2800000</v>
      </c>
      <c r="N247" s="62">
        <f t="shared" si="209"/>
        <v>2800000</v>
      </c>
      <c r="O247" s="62">
        <f t="shared" si="210"/>
        <v>2800000</v>
      </c>
      <c r="P247" s="62">
        <f t="shared" si="211"/>
        <v>2800000</v>
      </c>
      <c r="Q247" s="62">
        <f t="shared" si="212"/>
        <v>2800000</v>
      </c>
      <c r="R247" s="62">
        <f t="shared" si="213"/>
        <v>2800000</v>
      </c>
      <c r="S247" s="62">
        <f t="shared" si="214"/>
        <v>2800000</v>
      </c>
      <c r="T247" s="62">
        <f t="shared" si="215"/>
        <v>2800000</v>
      </c>
      <c r="U247" s="62">
        <f t="shared" si="216"/>
        <v>2800000</v>
      </c>
      <c r="V247" s="62">
        <f t="shared" si="217"/>
        <v>2800000</v>
      </c>
      <c r="W247" s="62">
        <f t="shared" si="218"/>
        <v>2800000</v>
      </c>
      <c r="X247" s="62">
        <f t="shared" si="219"/>
        <v>2800000</v>
      </c>
      <c r="Y247" s="62">
        <f t="shared" si="220"/>
        <v>2800000</v>
      </c>
      <c r="Z247" s="62">
        <f t="shared" si="221"/>
        <v>2800000</v>
      </c>
      <c r="AA247" s="62">
        <f t="shared" si="222"/>
        <v>2800000</v>
      </c>
      <c r="AB247" s="62">
        <f t="shared" si="223"/>
        <v>2800000</v>
      </c>
      <c r="AC247" s="62">
        <f t="shared" si="224"/>
        <v>2800000</v>
      </c>
    </row>
    <row r="248" spans="1:44" x14ac:dyDescent="0.3">
      <c r="A248" s="30" t="str">
        <f t="shared" si="196"/>
        <v>Residual value (costumization)</v>
      </c>
      <c r="B248" s="62">
        <f t="shared" si="197"/>
        <v>-140000</v>
      </c>
      <c r="C248" s="62">
        <f t="shared" si="198"/>
        <v>-140000</v>
      </c>
      <c r="D248" s="62">
        <f t="shared" si="199"/>
        <v>-140000</v>
      </c>
      <c r="E248" s="62">
        <f t="shared" si="200"/>
        <v>-140000</v>
      </c>
      <c r="F248" s="62">
        <f t="shared" si="201"/>
        <v>-140000</v>
      </c>
      <c r="G248" s="62">
        <f t="shared" si="202"/>
        <v>-140000</v>
      </c>
      <c r="H248" s="62">
        <f t="shared" si="203"/>
        <v>-140000</v>
      </c>
      <c r="I248" s="62">
        <f t="shared" si="204"/>
        <v>-140000</v>
      </c>
      <c r="J248" s="62">
        <f t="shared" si="205"/>
        <v>-140000</v>
      </c>
      <c r="K248" s="62">
        <f t="shared" si="206"/>
        <v>-140000</v>
      </c>
      <c r="L248" s="62">
        <f t="shared" si="207"/>
        <v>-140000</v>
      </c>
      <c r="M248" s="62">
        <f t="shared" si="208"/>
        <v>-140000</v>
      </c>
      <c r="N248" s="62">
        <f t="shared" si="209"/>
        <v>-140000</v>
      </c>
      <c r="O248" s="62">
        <f t="shared" si="210"/>
        <v>-140000</v>
      </c>
      <c r="P248" s="62">
        <f t="shared" si="211"/>
        <v>-140000</v>
      </c>
      <c r="Q248" s="62">
        <f t="shared" si="212"/>
        <v>-140000</v>
      </c>
      <c r="R248" s="62">
        <f t="shared" si="213"/>
        <v>-140000</v>
      </c>
      <c r="S248" s="62">
        <f t="shared" si="214"/>
        <v>-140000</v>
      </c>
      <c r="T248" s="62">
        <f t="shared" si="215"/>
        <v>-140000</v>
      </c>
      <c r="U248" s="62">
        <f t="shared" si="216"/>
        <v>-140000</v>
      </c>
      <c r="V248" s="62">
        <f t="shared" si="217"/>
        <v>-140000</v>
      </c>
      <c r="W248" s="62">
        <f t="shared" si="218"/>
        <v>-140000</v>
      </c>
      <c r="X248" s="62">
        <f t="shared" si="219"/>
        <v>-140000</v>
      </c>
      <c r="Y248" s="62">
        <f t="shared" si="220"/>
        <v>-140000</v>
      </c>
      <c r="Z248" s="62">
        <f t="shared" si="221"/>
        <v>-140000</v>
      </c>
      <c r="AA248" s="62">
        <f t="shared" si="222"/>
        <v>-140000</v>
      </c>
      <c r="AB248" s="62">
        <f t="shared" si="223"/>
        <v>-140000</v>
      </c>
      <c r="AC248" s="62">
        <f t="shared" si="224"/>
        <v>-140000</v>
      </c>
    </row>
    <row r="249" spans="1:44" x14ac:dyDescent="0.3">
      <c r="A249" s="30" t="str">
        <f t="shared" si="196"/>
        <v>WACC</v>
      </c>
      <c r="B249" s="62">
        <f t="shared" si="197"/>
        <v>0.06</v>
      </c>
      <c r="C249" s="62">
        <f t="shared" si="198"/>
        <v>0.06</v>
      </c>
      <c r="D249" s="62">
        <f t="shared" si="199"/>
        <v>0.06</v>
      </c>
      <c r="E249" s="62">
        <f t="shared" si="200"/>
        <v>0.06</v>
      </c>
      <c r="F249" s="62">
        <f t="shared" si="201"/>
        <v>0.06</v>
      </c>
      <c r="G249" s="62">
        <f t="shared" si="202"/>
        <v>0.06</v>
      </c>
      <c r="H249" s="62">
        <f t="shared" si="203"/>
        <v>0.06</v>
      </c>
      <c r="I249" s="62">
        <f t="shared" si="204"/>
        <v>0.06</v>
      </c>
      <c r="J249" s="62">
        <f t="shared" si="205"/>
        <v>0.06</v>
      </c>
      <c r="K249" s="62">
        <f t="shared" si="206"/>
        <v>0.06</v>
      </c>
      <c r="L249" s="62">
        <f t="shared" si="207"/>
        <v>0.06</v>
      </c>
      <c r="M249" s="62">
        <f t="shared" si="208"/>
        <v>0.06</v>
      </c>
      <c r="N249" s="62">
        <f t="shared" si="209"/>
        <v>0.06</v>
      </c>
      <c r="O249" s="62">
        <f t="shared" si="210"/>
        <v>0.06</v>
      </c>
      <c r="P249" s="62">
        <f t="shared" si="211"/>
        <v>0.06</v>
      </c>
      <c r="Q249" s="62">
        <f t="shared" si="212"/>
        <v>0.06</v>
      </c>
      <c r="R249" s="62">
        <f t="shared" si="213"/>
        <v>0.06</v>
      </c>
      <c r="S249" s="62">
        <f t="shared" si="214"/>
        <v>0.06</v>
      </c>
      <c r="T249" s="62">
        <f t="shared" si="215"/>
        <v>0.06</v>
      </c>
      <c r="U249" s="62">
        <f t="shared" si="216"/>
        <v>0.06</v>
      </c>
      <c r="V249" s="62">
        <f t="shared" si="217"/>
        <v>0.06</v>
      </c>
      <c r="W249" s="62">
        <f t="shared" si="218"/>
        <v>0.06</v>
      </c>
      <c r="X249" s="62">
        <f t="shared" si="219"/>
        <v>0.06</v>
      </c>
      <c r="Y249" s="62">
        <f t="shared" si="220"/>
        <v>0.06</v>
      </c>
      <c r="Z249" s="62">
        <f t="shared" si="221"/>
        <v>0.06</v>
      </c>
      <c r="AA249" s="62">
        <f t="shared" si="222"/>
        <v>0.06</v>
      </c>
      <c r="AB249" s="62">
        <f t="shared" si="223"/>
        <v>0.06</v>
      </c>
      <c r="AC249" s="62">
        <f t="shared" si="224"/>
        <v>0.06</v>
      </c>
    </row>
    <row r="250" spans="1:44" x14ac:dyDescent="0.3">
      <c r="A250" s="30" t="str">
        <f t="shared" si="196"/>
        <v>Opex fix (admin, crew, insurance)</v>
      </c>
      <c r="B250" s="62">
        <f t="shared" si="197"/>
        <v>610000</v>
      </c>
      <c r="C250" s="62">
        <f t="shared" si="198"/>
        <v>610000</v>
      </c>
      <c r="D250" s="62">
        <f t="shared" si="199"/>
        <v>610000</v>
      </c>
      <c r="E250" s="62">
        <f t="shared" si="200"/>
        <v>610000</v>
      </c>
      <c r="F250" s="62">
        <f t="shared" si="201"/>
        <v>610000</v>
      </c>
      <c r="G250" s="62">
        <f t="shared" si="202"/>
        <v>610000</v>
      </c>
      <c r="H250" s="62">
        <f t="shared" si="203"/>
        <v>610000</v>
      </c>
      <c r="I250" s="62">
        <f t="shared" si="204"/>
        <v>610000</v>
      </c>
      <c r="J250" s="62">
        <f t="shared" si="205"/>
        <v>610000</v>
      </c>
      <c r="K250" s="62">
        <f t="shared" si="206"/>
        <v>610000</v>
      </c>
      <c r="L250" s="62">
        <f t="shared" si="207"/>
        <v>610000</v>
      </c>
      <c r="M250" s="62">
        <f t="shared" si="208"/>
        <v>610000</v>
      </c>
      <c r="N250" s="62">
        <f t="shared" si="209"/>
        <v>610000</v>
      </c>
      <c r="O250" s="62">
        <f t="shared" si="210"/>
        <v>610000</v>
      </c>
      <c r="P250" s="62">
        <f t="shared" si="211"/>
        <v>610000</v>
      </c>
      <c r="Q250" s="62">
        <f t="shared" si="212"/>
        <v>610000</v>
      </c>
      <c r="R250" s="62">
        <f t="shared" si="213"/>
        <v>610000</v>
      </c>
      <c r="S250" s="62">
        <f t="shared" si="214"/>
        <v>610000</v>
      </c>
      <c r="T250" s="62">
        <f t="shared" si="215"/>
        <v>610000</v>
      </c>
      <c r="U250" s="62">
        <f t="shared" si="216"/>
        <v>610000</v>
      </c>
      <c r="V250" s="62">
        <f t="shared" si="217"/>
        <v>610000</v>
      </c>
      <c r="W250" s="62">
        <f t="shared" si="218"/>
        <v>610000</v>
      </c>
      <c r="X250" s="62">
        <f t="shared" si="219"/>
        <v>610000</v>
      </c>
      <c r="Y250" s="62">
        <f t="shared" si="220"/>
        <v>610000</v>
      </c>
      <c r="Z250" s="62">
        <f t="shared" si="221"/>
        <v>610000</v>
      </c>
      <c r="AA250" s="62">
        <f t="shared" si="222"/>
        <v>610000</v>
      </c>
      <c r="AB250" s="62">
        <f t="shared" si="223"/>
        <v>610000</v>
      </c>
      <c r="AC250" s="62">
        <f t="shared" si="224"/>
        <v>610000</v>
      </c>
    </row>
    <row r="251" spans="1:44" x14ac:dyDescent="0.3">
      <c r="A251" s="30" t="str">
        <f t="shared" si="196"/>
        <v>Opex maintenance &amp; repair</v>
      </c>
      <c r="B251" s="62">
        <f t="shared" si="197"/>
        <v>1388910.2037228637</v>
      </c>
      <c r="C251" s="62">
        <f t="shared" si="198"/>
        <v>1384161.8820080096</v>
      </c>
      <c r="D251" s="62">
        <f t="shared" si="199"/>
        <v>1377419.9458533253</v>
      </c>
      <c r="E251" s="62">
        <f t="shared" si="200"/>
        <v>1367890.8669573795</v>
      </c>
      <c r="F251" s="62">
        <f t="shared" si="201"/>
        <v>1354512.2121062956</v>
      </c>
      <c r="G251" s="62">
        <f t="shared" si="202"/>
        <v>1335911.0252611889</v>
      </c>
      <c r="H251" s="62">
        <f t="shared" si="203"/>
        <v>1310409.4939683313</v>
      </c>
      <c r="I251" s="62">
        <f t="shared" si="204"/>
        <v>1276138.1685443469</v>
      </c>
      <c r="J251" s="62">
        <f t="shared" si="205"/>
        <v>1231338.9254820407</v>
      </c>
      <c r="K251" s="62">
        <f t="shared" si="206"/>
        <v>1174921.8508999445</v>
      </c>
      <c r="L251" s="62">
        <f t="shared" si="207"/>
        <v>1107222.9808538083</v>
      </c>
      <c r="M251" s="62">
        <f t="shared" si="208"/>
        <v>1030670.8821991365</v>
      </c>
      <c r="N251" s="62">
        <f t="shared" si="209"/>
        <v>949855.14573475695</v>
      </c>
      <c r="O251" s="62">
        <f t="shared" si="210"/>
        <v>870629.71180240111</v>
      </c>
      <c r="P251" s="62">
        <f t="shared" si="211"/>
        <v>798509.16855274222</v>
      </c>
      <c r="Q251" s="62">
        <f t="shared" si="212"/>
        <v>737216.97695338901</v>
      </c>
      <c r="R251" s="62">
        <f t="shared" si="213"/>
        <v>688132.90829190495</v>
      </c>
      <c r="S251" s="62">
        <f t="shared" si="214"/>
        <v>650679.58539676399</v>
      </c>
      <c r="T251" s="62">
        <f t="shared" si="215"/>
        <v>623148.38930799719</v>
      </c>
      <c r="U251" s="62">
        <f t="shared" si="216"/>
        <v>603463.98238910188</v>
      </c>
      <c r="V251" s="62">
        <f t="shared" si="217"/>
        <v>589668.12012529059</v>
      </c>
      <c r="W251" s="62">
        <f t="shared" si="218"/>
        <v>580134.33134103287</v>
      </c>
      <c r="X251" s="62">
        <f t="shared" si="219"/>
        <v>573609.8845890474</v>
      </c>
      <c r="Y251" s="62">
        <f t="shared" si="220"/>
        <v>569174.682073851</v>
      </c>
      <c r="Z251" s="62">
        <f t="shared" si="221"/>
        <v>566173.42988411163</v>
      </c>
      <c r="AA251" s="62">
        <f t="shared" si="222"/>
        <v>564148.78202354477</v>
      </c>
      <c r="AB251" s="62">
        <f t="shared" si="223"/>
        <v>562785.79914140829</v>
      </c>
      <c r="AC251" s="62">
        <f t="shared" si="224"/>
        <v>561869.53442032111</v>
      </c>
    </row>
    <row r="252" spans="1:44" x14ac:dyDescent="0.3">
      <c r="A252" s="30" t="str">
        <f t="shared" si="196"/>
        <v>Opex var (mode-fees, shunting)</v>
      </c>
      <c r="B252" s="62">
        <f t="shared" si="197"/>
        <v>3.6414565826330532</v>
      </c>
      <c r="C252" s="62">
        <f t="shared" si="198"/>
        <v>3.6414565826330532</v>
      </c>
      <c r="D252" s="62">
        <f t="shared" si="199"/>
        <v>3.6414565826330532</v>
      </c>
      <c r="E252" s="62">
        <f t="shared" si="200"/>
        <v>3.6414565826330532</v>
      </c>
      <c r="F252" s="62">
        <f t="shared" si="201"/>
        <v>3.6414565826330532</v>
      </c>
      <c r="G252" s="62">
        <f t="shared" si="202"/>
        <v>3.6414565826330532</v>
      </c>
      <c r="H252" s="62">
        <f t="shared" si="203"/>
        <v>3.6414565826330532</v>
      </c>
      <c r="I252" s="62">
        <f t="shared" si="204"/>
        <v>3.6414565826330532</v>
      </c>
      <c r="J252" s="62">
        <f t="shared" si="205"/>
        <v>3.6414565826330532</v>
      </c>
      <c r="K252" s="62">
        <f t="shared" si="206"/>
        <v>3.6414565826330532</v>
      </c>
      <c r="L252" s="62">
        <f t="shared" si="207"/>
        <v>3.6414565826330532</v>
      </c>
      <c r="M252" s="62">
        <f t="shared" si="208"/>
        <v>3.6414565826330532</v>
      </c>
      <c r="N252" s="62">
        <f t="shared" si="209"/>
        <v>3.6414565826330532</v>
      </c>
      <c r="O252" s="62">
        <f t="shared" si="210"/>
        <v>3.6414565826330532</v>
      </c>
      <c r="P252" s="62">
        <f t="shared" si="211"/>
        <v>3.6414565826330532</v>
      </c>
      <c r="Q252" s="62">
        <f t="shared" si="212"/>
        <v>3.6414565826330532</v>
      </c>
      <c r="R252" s="62">
        <f t="shared" si="213"/>
        <v>3.6414565826330532</v>
      </c>
      <c r="S252" s="62">
        <f t="shared" si="214"/>
        <v>3.6414565826330532</v>
      </c>
      <c r="T252" s="62">
        <f t="shared" si="215"/>
        <v>3.6414565826330532</v>
      </c>
      <c r="U252" s="62">
        <f t="shared" si="216"/>
        <v>3.6414565826330532</v>
      </c>
      <c r="V252" s="62">
        <f t="shared" si="217"/>
        <v>3.6414565826330532</v>
      </c>
      <c r="W252" s="62">
        <f t="shared" si="218"/>
        <v>3.6414565826330532</v>
      </c>
      <c r="X252" s="62">
        <f t="shared" si="219"/>
        <v>3.6414565826330532</v>
      </c>
      <c r="Y252" s="62">
        <f t="shared" si="220"/>
        <v>3.6414565826330532</v>
      </c>
      <c r="Z252" s="62">
        <f t="shared" si="221"/>
        <v>3.6414565826330532</v>
      </c>
      <c r="AA252" s="62">
        <f t="shared" si="222"/>
        <v>3.6414565826330532</v>
      </c>
      <c r="AB252" s="62">
        <f t="shared" si="223"/>
        <v>3.6414565826330532</v>
      </c>
      <c r="AC252" s="62">
        <f t="shared" si="224"/>
        <v>3.6414565826330532</v>
      </c>
    </row>
    <row r="253" spans="1:44" x14ac:dyDescent="0.3">
      <c r="A253" s="30" t="str">
        <f t="shared" si="196"/>
        <v>Fuel Economy</v>
      </c>
      <c r="B253" s="62">
        <f t="shared" si="197"/>
        <v>39.427247314658196</v>
      </c>
      <c r="C253" s="62">
        <f t="shared" si="198"/>
        <v>39.39288938847082</v>
      </c>
      <c r="D253" s="62">
        <f t="shared" si="199"/>
        <v>39.344106058554914</v>
      </c>
      <c r="E253" s="62">
        <f t="shared" si="200"/>
        <v>39.27515550949748</v>
      </c>
      <c r="F253" s="62">
        <f t="shared" si="201"/>
        <v>39.178350182591792</v>
      </c>
      <c r="G253" s="62">
        <f t="shared" si="202"/>
        <v>39.043755636771031</v>
      </c>
      <c r="H253" s="62">
        <f t="shared" si="203"/>
        <v>38.859231549642743</v>
      </c>
      <c r="I253" s="62">
        <f t="shared" si="204"/>
        <v>38.611250949344104</v>
      </c>
      <c r="J253" s="62">
        <f t="shared" si="205"/>
        <v>38.287092398425017</v>
      </c>
      <c r="K253" s="62">
        <f t="shared" si="206"/>
        <v>37.878869493448889</v>
      </c>
      <c r="L253" s="62">
        <f t="shared" si="207"/>
        <v>37.389013725517856</v>
      </c>
      <c r="M253" s="62">
        <f t="shared" si="208"/>
        <v>36.835097728874764</v>
      </c>
      <c r="N253" s="62">
        <f t="shared" si="209"/>
        <v>36.250330883878796</v>
      </c>
      <c r="O253" s="62">
        <f t="shared" si="210"/>
        <v>35.677071156616648</v>
      </c>
      <c r="P253" s="62">
        <f t="shared" si="211"/>
        <v>35.155221027167087</v>
      </c>
      <c r="Q253" s="62">
        <f t="shared" si="212"/>
        <v>34.711722730022458</v>
      </c>
      <c r="R253" s="62">
        <f t="shared" si="213"/>
        <v>34.356560020054545</v>
      </c>
      <c r="S253" s="62">
        <f t="shared" si="214"/>
        <v>34.085555109103076</v>
      </c>
      <c r="T253" s="62">
        <f t="shared" si="215"/>
        <v>33.886344764928474</v>
      </c>
      <c r="U253" s="62">
        <f t="shared" si="216"/>
        <v>33.743912250752814</v>
      </c>
      <c r="V253" s="62">
        <f t="shared" si="217"/>
        <v>33.64408809269959</v>
      </c>
      <c r="W253" s="62">
        <f t="shared" si="218"/>
        <v>33.575103463812546</v>
      </c>
      <c r="X253" s="62">
        <f t="shared" si="219"/>
        <v>33.527893844629226</v>
      </c>
      <c r="Y253" s="62">
        <f t="shared" si="220"/>
        <v>33.49580158766053</v>
      </c>
      <c r="Z253" s="62">
        <f t="shared" si="221"/>
        <v>33.474085114473347</v>
      </c>
      <c r="AA253" s="62">
        <f t="shared" si="222"/>
        <v>33.459435158988832</v>
      </c>
      <c r="AB253" s="62">
        <f t="shared" si="223"/>
        <v>33.449572881731456</v>
      </c>
      <c r="AC253" s="62">
        <f t="shared" si="224"/>
        <v>33.442942969618151</v>
      </c>
    </row>
    <row r="254" spans="1:44" x14ac:dyDescent="0.3">
      <c r="A254" s="30" t="str">
        <f t="shared" si="196"/>
        <v>Fuel Cost</v>
      </c>
      <c r="B254" s="62">
        <f t="shared" si="197"/>
        <v>0.21482257834535914</v>
      </c>
      <c r="C254" s="62">
        <f t="shared" si="198"/>
        <v>0.21417522499855654</v>
      </c>
      <c r="D254" s="62">
        <f t="shared" si="199"/>
        <v>0.21325607604535665</v>
      </c>
      <c r="E254" s="62">
        <f t="shared" si="200"/>
        <v>0.21195694732458373</v>
      </c>
      <c r="F254" s="62">
        <f t="shared" si="201"/>
        <v>0.21013299403884214</v>
      </c>
      <c r="G254" s="62">
        <f t="shared" si="202"/>
        <v>0.20759703685611555</v>
      </c>
      <c r="H254" s="62">
        <f t="shared" si="203"/>
        <v>0.20412033442894431</v>
      </c>
      <c r="I254" s="62">
        <f t="shared" si="204"/>
        <v>0.19944801891519662</v>
      </c>
      <c r="J254" s="62">
        <f t="shared" si="205"/>
        <v>0.19334039991375346</v>
      </c>
      <c r="K254" s="62">
        <f t="shared" si="206"/>
        <v>0.18564888610303532</v>
      </c>
      <c r="L254" s="62">
        <f t="shared" si="207"/>
        <v>0.17641929031511205</v>
      </c>
      <c r="M254" s="62">
        <f t="shared" si="208"/>
        <v>0.16598270656093206</v>
      </c>
      <c r="N254" s="62">
        <f t="shared" si="209"/>
        <v>0.15496484791186993</v>
      </c>
      <c r="O254" s="62">
        <f t="shared" si="210"/>
        <v>0.14416380011269478</v>
      </c>
      <c r="P254" s="62">
        <f t="shared" si="211"/>
        <v>0.13433138397714983</v>
      </c>
      <c r="Q254" s="62">
        <f t="shared" si="212"/>
        <v>0.12597523042491984</v>
      </c>
      <c r="R254" s="62">
        <f t="shared" si="213"/>
        <v>0.11928344793189689</v>
      </c>
      <c r="S254" s="62">
        <f t="shared" si="214"/>
        <v>0.11417732088721881</v>
      </c>
      <c r="T254" s="62">
        <f t="shared" si="215"/>
        <v>0.11042390799739947</v>
      </c>
      <c r="U254" s="62">
        <f t="shared" si="216"/>
        <v>0.10774027208054308</v>
      </c>
      <c r="V254" s="62">
        <f t="shared" si="217"/>
        <v>0.10585943962124107</v>
      </c>
      <c r="W254" s="62">
        <f t="shared" si="218"/>
        <v>0.10455966878686571</v>
      </c>
      <c r="X254" s="62">
        <f t="shared" si="219"/>
        <v>0.10367017083483761</v>
      </c>
      <c r="Y254" s="62">
        <f t="shared" si="220"/>
        <v>0.10306550599442084</v>
      </c>
      <c r="Z254" s="62">
        <f t="shared" si="221"/>
        <v>0.10265633602526128</v>
      </c>
      <c r="AA254" s="62">
        <f t="shared" si="222"/>
        <v>0.10238030953688443</v>
      </c>
      <c r="AB254" s="62">
        <f t="shared" si="223"/>
        <v>0.10219448987609238</v>
      </c>
      <c r="AC254" s="62">
        <f t="shared" si="224"/>
        <v>0.10206957268021295</v>
      </c>
    </row>
    <row r="255" spans="1:44" x14ac:dyDescent="0.3">
      <c r="A255" s="30" t="str">
        <f t="shared" ref="A255" si="225">A235</f>
        <v>Emission Cost</v>
      </c>
      <c r="B255" s="66">
        <f>$B235+($C235-$B235)*(1-Q235)</f>
        <v>0.14217309718689772</v>
      </c>
      <c r="C255" s="66">
        <f t="shared" ref="C255:AC255" si="226">$B235+($C235-$B235)*(1-R235)</f>
        <v>0.14203771375766058</v>
      </c>
      <c r="D255" s="66">
        <f t="shared" si="226"/>
        <v>0.14184391539413038</v>
      </c>
      <c r="E255" s="66">
        <f t="shared" si="226"/>
        <v>0.14156667320659028</v>
      </c>
      <c r="F255" s="66">
        <f t="shared" si="226"/>
        <v>0.14117043294406945</v>
      </c>
      <c r="G255" s="66">
        <f t="shared" si="226"/>
        <v>0.14060491245838053</v>
      </c>
      <c r="H255" s="66">
        <f t="shared" si="226"/>
        <v>0.13979947254939792</v>
      </c>
      <c r="I255" s="66">
        <f t="shared" si="226"/>
        <v>0.13865586333989385</v>
      </c>
      <c r="J255" s="66">
        <f t="shared" si="226"/>
        <v>0.13703948161608845</v>
      </c>
      <c r="K255" s="66">
        <f t="shared" si="226"/>
        <v>0.13477011083780754</v>
      </c>
      <c r="L255" s="66">
        <f t="shared" si="226"/>
        <v>0.13161486164889458</v>
      </c>
      <c r="M255" s="66">
        <f t="shared" si="226"/>
        <v>0.12728913304900186</v>
      </c>
      <c r="N255" s="66">
        <f t="shared" si="226"/>
        <v>0.12147581733708304</v>
      </c>
      <c r="O255" s="66">
        <f t="shared" si="226"/>
        <v>0.11387669065160279</v>
      </c>
      <c r="P255" s="66">
        <f t="shared" si="226"/>
        <v>0.10430687501035908</v>
      </c>
      <c r="Q255" s="66">
        <f t="shared" si="226"/>
        <v>9.2823370942467606E-2</v>
      </c>
      <c r="R255" s="66">
        <f t="shared" si="226"/>
        <v>7.9838127086736127E-2</v>
      </c>
      <c r="S255" s="66">
        <f t="shared" si="226"/>
        <v>6.6129658425355342E-2</v>
      </c>
      <c r="T255" s="66">
        <f t="shared" si="226"/>
        <v>5.2690946786259088E-2</v>
      </c>
      <c r="U255" s="66">
        <f t="shared" si="226"/>
        <v>4.0457410964736609E-2</v>
      </c>
      <c r="V255" s="66">
        <f t="shared" si="226"/>
        <v>3.0060647605444357E-2</v>
      </c>
      <c r="W255" s="66">
        <f t="shared" si="226"/>
        <v>2.1734702109475382E-2</v>
      </c>
      <c r="X255" s="66">
        <f t="shared" si="226"/>
        <v>1.5381636164219614E-2</v>
      </c>
      <c r="Y255" s="66">
        <f t="shared" si="226"/>
        <v>1.0711623177831281E-2</v>
      </c>
      <c r="Z255" s="66">
        <f t="shared" si="226"/>
        <v>7.3726314520740077E-3</v>
      </c>
      <c r="AA255" s="66">
        <f t="shared" si="226"/>
        <v>5.0324913534492977E-3</v>
      </c>
      <c r="AB255" s="66">
        <f t="shared" si="226"/>
        <v>3.4153107090481305E-3</v>
      </c>
      <c r="AC255" s="66">
        <f t="shared" si="226"/>
        <v>2.3085934068818315E-3</v>
      </c>
    </row>
    <row r="256" spans="1:44" x14ac:dyDescent="0.3">
      <c r="A256" s="30" t="str">
        <f>A236</f>
        <v>Lifetime vehicle</v>
      </c>
      <c r="B256" s="62">
        <f>$B236+($C236-$B236)*(1-Q236)</f>
        <v>20</v>
      </c>
      <c r="C256" s="62">
        <f t="shared" ref="C256:L258" si="227">$B236+($C236-$B236)*(1-R236)</f>
        <v>20</v>
      </c>
      <c r="D256" s="62">
        <f t="shared" si="227"/>
        <v>20</v>
      </c>
      <c r="E256" s="62">
        <f t="shared" si="227"/>
        <v>20</v>
      </c>
      <c r="F256" s="62">
        <f t="shared" si="227"/>
        <v>20</v>
      </c>
      <c r="G256" s="62">
        <f t="shared" si="227"/>
        <v>20</v>
      </c>
      <c r="H256" s="62">
        <f t="shared" si="227"/>
        <v>20</v>
      </c>
      <c r="I256" s="62">
        <f t="shared" si="227"/>
        <v>20</v>
      </c>
      <c r="J256" s="62">
        <f t="shared" si="227"/>
        <v>20</v>
      </c>
      <c r="K256" s="62">
        <f t="shared" si="227"/>
        <v>20</v>
      </c>
      <c r="L256" s="62">
        <f t="shared" si="227"/>
        <v>20</v>
      </c>
      <c r="M256" s="62">
        <f t="shared" ref="M256:V258" si="228">$B236+($C236-$B236)*(1-AB236)</f>
        <v>20</v>
      </c>
      <c r="N256" s="62">
        <f t="shared" si="228"/>
        <v>20</v>
      </c>
      <c r="O256" s="62">
        <f t="shared" si="228"/>
        <v>20</v>
      </c>
      <c r="P256" s="62">
        <f t="shared" si="228"/>
        <v>20</v>
      </c>
      <c r="Q256" s="62">
        <f t="shared" si="228"/>
        <v>20</v>
      </c>
      <c r="R256" s="62">
        <f t="shared" si="228"/>
        <v>20</v>
      </c>
      <c r="S256" s="62">
        <f t="shared" si="228"/>
        <v>20</v>
      </c>
      <c r="T256" s="62">
        <f t="shared" si="228"/>
        <v>20</v>
      </c>
      <c r="U256" s="62">
        <f t="shared" si="228"/>
        <v>20</v>
      </c>
      <c r="V256" s="62">
        <f t="shared" si="228"/>
        <v>20</v>
      </c>
      <c r="W256" s="62">
        <f t="shared" ref="W256:AC258" si="229">$B236+($C236-$B236)*(1-AL236)</f>
        <v>20</v>
      </c>
      <c r="X256" s="62">
        <f t="shared" si="229"/>
        <v>20</v>
      </c>
      <c r="Y256" s="62">
        <f t="shared" si="229"/>
        <v>20</v>
      </c>
      <c r="Z256" s="62">
        <f t="shared" si="229"/>
        <v>20</v>
      </c>
      <c r="AA256" s="62">
        <f t="shared" si="229"/>
        <v>20</v>
      </c>
      <c r="AB256" s="62">
        <f t="shared" si="229"/>
        <v>20</v>
      </c>
      <c r="AC256" s="62">
        <f t="shared" si="229"/>
        <v>20</v>
      </c>
    </row>
    <row r="257" spans="1:29" x14ac:dyDescent="0.3">
      <c r="A257" s="30" t="str">
        <f>A237</f>
        <v>Lifetime costumization</v>
      </c>
      <c r="B257" s="62">
        <f>$B237+($C237-$B237)*(1-Q237)</f>
        <v>30</v>
      </c>
      <c r="C257" s="62">
        <f t="shared" si="227"/>
        <v>30</v>
      </c>
      <c r="D257" s="62">
        <f t="shared" si="227"/>
        <v>30</v>
      </c>
      <c r="E257" s="62">
        <f t="shared" si="227"/>
        <v>30</v>
      </c>
      <c r="F257" s="62">
        <f t="shared" si="227"/>
        <v>30</v>
      </c>
      <c r="G257" s="62">
        <f t="shared" si="227"/>
        <v>30</v>
      </c>
      <c r="H257" s="62">
        <f t="shared" si="227"/>
        <v>30</v>
      </c>
      <c r="I257" s="62">
        <f t="shared" si="227"/>
        <v>30</v>
      </c>
      <c r="J257" s="62">
        <f t="shared" si="227"/>
        <v>30</v>
      </c>
      <c r="K257" s="62">
        <f t="shared" si="227"/>
        <v>30</v>
      </c>
      <c r="L257" s="62">
        <f t="shared" si="227"/>
        <v>30</v>
      </c>
      <c r="M257" s="62">
        <f t="shared" si="228"/>
        <v>30</v>
      </c>
      <c r="N257" s="62">
        <f t="shared" si="228"/>
        <v>30</v>
      </c>
      <c r="O257" s="62">
        <f t="shared" si="228"/>
        <v>30</v>
      </c>
      <c r="P257" s="62">
        <f t="shared" si="228"/>
        <v>30</v>
      </c>
      <c r="Q257" s="62">
        <f t="shared" si="228"/>
        <v>30</v>
      </c>
      <c r="R257" s="62">
        <f t="shared" si="228"/>
        <v>30</v>
      </c>
      <c r="S257" s="62">
        <f t="shared" si="228"/>
        <v>30</v>
      </c>
      <c r="T257" s="62">
        <f t="shared" si="228"/>
        <v>30</v>
      </c>
      <c r="U257" s="62">
        <f t="shared" si="228"/>
        <v>30</v>
      </c>
      <c r="V257" s="62">
        <f t="shared" si="228"/>
        <v>30</v>
      </c>
      <c r="W257" s="62">
        <f t="shared" si="229"/>
        <v>30</v>
      </c>
      <c r="X257" s="62">
        <f t="shared" si="229"/>
        <v>30</v>
      </c>
      <c r="Y257" s="62">
        <f t="shared" si="229"/>
        <v>30</v>
      </c>
      <c r="Z257" s="62">
        <f t="shared" si="229"/>
        <v>30</v>
      </c>
      <c r="AA257" s="62">
        <f t="shared" si="229"/>
        <v>30</v>
      </c>
      <c r="AB257" s="62">
        <f t="shared" si="229"/>
        <v>30</v>
      </c>
      <c r="AC257" s="62">
        <f t="shared" si="229"/>
        <v>30</v>
      </c>
    </row>
    <row r="258" spans="1:29" x14ac:dyDescent="0.3">
      <c r="A258" s="30" t="str">
        <f>A238</f>
        <v>Tonnage .</v>
      </c>
      <c r="B258" s="62">
        <f>$B238+($C238-$B238)*(1-Q238)</f>
        <v>2240</v>
      </c>
      <c r="C258" s="62">
        <f t="shared" si="227"/>
        <v>2240</v>
      </c>
      <c r="D258" s="62">
        <f t="shared" si="227"/>
        <v>2240</v>
      </c>
      <c r="E258" s="62">
        <f t="shared" si="227"/>
        <v>2240</v>
      </c>
      <c r="F258" s="62">
        <f t="shared" si="227"/>
        <v>2240</v>
      </c>
      <c r="G258" s="62">
        <f t="shared" si="227"/>
        <v>2240</v>
      </c>
      <c r="H258" s="62">
        <f t="shared" si="227"/>
        <v>2240</v>
      </c>
      <c r="I258" s="62">
        <f t="shared" si="227"/>
        <v>2240</v>
      </c>
      <c r="J258" s="62">
        <f t="shared" si="227"/>
        <v>2240</v>
      </c>
      <c r="K258" s="62">
        <f t="shared" si="227"/>
        <v>2240</v>
      </c>
      <c r="L258" s="62">
        <f t="shared" si="227"/>
        <v>2240</v>
      </c>
      <c r="M258" s="62">
        <f t="shared" si="228"/>
        <v>2240</v>
      </c>
      <c r="N258" s="62">
        <f t="shared" si="228"/>
        <v>2240</v>
      </c>
      <c r="O258" s="62">
        <f t="shared" si="228"/>
        <v>2240</v>
      </c>
      <c r="P258" s="62">
        <f t="shared" si="228"/>
        <v>2240</v>
      </c>
      <c r="Q258" s="62">
        <f t="shared" si="228"/>
        <v>2240</v>
      </c>
      <c r="R258" s="62">
        <f t="shared" si="228"/>
        <v>2240</v>
      </c>
      <c r="S258" s="62">
        <f t="shared" si="228"/>
        <v>2240</v>
      </c>
      <c r="T258" s="62">
        <f t="shared" si="228"/>
        <v>2240</v>
      </c>
      <c r="U258" s="62">
        <f t="shared" si="228"/>
        <v>2240</v>
      </c>
      <c r="V258" s="62">
        <f t="shared" si="228"/>
        <v>2240</v>
      </c>
      <c r="W258" s="62">
        <f t="shared" si="229"/>
        <v>2240</v>
      </c>
      <c r="X258" s="62">
        <f t="shared" si="229"/>
        <v>2240</v>
      </c>
      <c r="Y258" s="62">
        <f t="shared" si="229"/>
        <v>2240</v>
      </c>
      <c r="Z258" s="62">
        <f t="shared" si="229"/>
        <v>2240</v>
      </c>
      <c r="AA258" s="62">
        <f t="shared" si="229"/>
        <v>2240</v>
      </c>
      <c r="AB258" s="62">
        <f t="shared" si="229"/>
        <v>2240</v>
      </c>
      <c r="AC258" s="62">
        <f t="shared" si="229"/>
        <v>2240</v>
      </c>
    </row>
    <row r="259" spans="1:29" x14ac:dyDescent="0.3">
      <c r="A259" s="30" t="str">
        <f>A239</f>
        <v>Market failure (av. utilization)</v>
      </c>
      <c r="B259" s="62">
        <f t="shared" ref="B259:K260" si="230">($B239+($C239-$B239)*(1-Q239))*B$44</f>
        <v>716.80000000000007</v>
      </c>
      <c r="C259" s="62">
        <f t="shared" si="230"/>
        <v>716.80000000000007</v>
      </c>
      <c r="D259" s="62">
        <f t="shared" si="230"/>
        <v>716.80000000000007</v>
      </c>
      <c r="E259" s="62">
        <f t="shared" si="230"/>
        <v>716.80000000000007</v>
      </c>
      <c r="F259" s="62">
        <f t="shared" si="230"/>
        <v>716.80000000000007</v>
      </c>
      <c r="G259" s="62">
        <f t="shared" si="230"/>
        <v>716.80000000000007</v>
      </c>
      <c r="H259" s="62">
        <f t="shared" si="230"/>
        <v>716.80000000000007</v>
      </c>
      <c r="I259" s="62">
        <f t="shared" si="230"/>
        <v>716.80000000000007</v>
      </c>
      <c r="J259" s="62">
        <f t="shared" si="230"/>
        <v>716.80000000000007</v>
      </c>
      <c r="K259" s="62">
        <f t="shared" si="230"/>
        <v>716.80000000000007</v>
      </c>
      <c r="L259" s="62">
        <f t="shared" ref="L259:U260" si="231">($B239+($C239-$B239)*(1-AA239))*L$44</f>
        <v>716.80000000000007</v>
      </c>
      <c r="M259" s="62">
        <f t="shared" si="231"/>
        <v>716.80000000000007</v>
      </c>
      <c r="N259" s="62">
        <f t="shared" si="231"/>
        <v>716.80000000000007</v>
      </c>
      <c r="O259" s="62">
        <f t="shared" si="231"/>
        <v>716.80000000000007</v>
      </c>
      <c r="P259" s="62">
        <f t="shared" si="231"/>
        <v>716.80000000000007</v>
      </c>
      <c r="Q259" s="62">
        <f t="shared" si="231"/>
        <v>716.80000000000007</v>
      </c>
      <c r="R259" s="62">
        <f t="shared" si="231"/>
        <v>716.80000000000007</v>
      </c>
      <c r="S259" s="62">
        <f t="shared" si="231"/>
        <v>716.80000000000007</v>
      </c>
      <c r="T259" s="62">
        <f t="shared" si="231"/>
        <v>716.80000000000007</v>
      </c>
      <c r="U259" s="62">
        <f t="shared" si="231"/>
        <v>716.80000000000007</v>
      </c>
      <c r="V259" s="62">
        <f t="shared" ref="V259:AC260" si="232">($B239+($C239-$B239)*(1-AK239))*V$44</f>
        <v>716.80000000000007</v>
      </c>
      <c r="W259" s="62">
        <f t="shared" si="232"/>
        <v>716.80000000000007</v>
      </c>
      <c r="X259" s="62">
        <f t="shared" si="232"/>
        <v>716.80000000000007</v>
      </c>
      <c r="Y259" s="62">
        <f t="shared" si="232"/>
        <v>716.80000000000007</v>
      </c>
      <c r="Z259" s="62">
        <f t="shared" si="232"/>
        <v>716.80000000000007</v>
      </c>
      <c r="AA259" s="62">
        <f t="shared" si="232"/>
        <v>716.80000000000007</v>
      </c>
      <c r="AB259" s="62">
        <f t="shared" si="232"/>
        <v>716.80000000000007</v>
      </c>
      <c r="AC259" s="62">
        <f t="shared" si="232"/>
        <v>716.80000000000007</v>
      </c>
    </row>
    <row r="260" spans="1:29" x14ac:dyDescent="0.3">
      <c r="A260" s="30" t="s">
        <v>73</v>
      </c>
      <c r="B260" s="62">
        <f t="shared" si="230"/>
        <v>40</v>
      </c>
      <c r="C260" s="62">
        <f t="shared" si="230"/>
        <v>40</v>
      </c>
      <c r="D260" s="62">
        <f t="shared" si="230"/>
        <v>40</v>
      </c>
      <c r="E260" s="62">
        <f t="shared" si="230"/>
        <v>40</v>
      </c>
      <c r="F260" s="62">
        <f t="shared" si="230"/>
        <v>40</v>
      </c>
      <c r="G260" s="62">
        <f t="shared" si="230"/>
        <v>40</v>
      </c>
      <c r="H260" s="62">
        <f t="shared" si="230"/>
        <v>40</v>
      </c>
      <c r="I260" s="62">
        <f t="shared" si="230"/>
        <v>40</v>
      </c>
      <c r="J260" s="62">
        <f t="shared" si="230"/>
        <v>40</v>
      </c>
      <c r="K260" s="62">
        <f t="shared" si="230"/>
        <v>40</v>
      </c>
      <c r="L260" s="62">
        <f t="shared" si="231"/>
        <v>40</v>
      </c>
      <c r="M260" s="62">
        <f t="shared" si="231"/>
        <v>40</v>
      </c>
      <c r="N260" s="62">
        <f t="shared" si="231"/>
        <v>40</v>
      </c>
      <c r="O260" s="62">
        <f t="shared" si="231"/>
        <v>40</v>
      </c>
      <c r="P260" s="62">
        <f t="shared" si="231"/>
        <v>40</v>
      </c>
      <c r="Q260" s="62">
        <f t="shared" si="231"/>
        <v>40</v>
      </c>
      <c r="R260" s="62">
        <f t="shared" si="231"/>
        <v>40</v>
      </c>
      <c r="S260" s="62">
        <f t="shared" si="231"/>
        <v>40</v>
      </c>
      <c r="T260" s="62">
        <f t="shared" si="231"/>
        <v>40</v>
      </c>
      <c r="U260" s="62">
        <f t="shared" si="231"/>
        <v>40</v>
      </c>
      <c r="V260" s="62">
        <f t="shared" si="232"/>
        <v>40</v>
      </c>
      <c r="W260" s="62">
        <f t="shared" si="232"/>
        <v>40</v>
      </c>
      <c r="X260" s="62">
        <f t="shared" si="232"/>
        <v>40</v>
      </c>
      <c r="Y260" s="62">
        <f t="shared" si="232"/>
        <v>40</v>
      </c>
      <c r="Z260" s="62">
        <f t="shared" si="232"/>
        <v>40</v>
      </c>
      <c r="AA260" s="62">
        <f t="shared" si="232"/>
        <v>40</v>
      </c>
      <c r="AB260" s="62">
        <f t="shared" si="232"/>
        <v>40</v>
      </c>
      <c r="AC260" s="62">
        <f t="shared" si="232"/>
        <v>40</v>
      </c>
    </row>
    <row r="261" spans="1:29" x14ac:dyDescent="0.3">
      <c r="A261" s="30" t="str">
        <f>A241</f>
        <v>Annual Mileage</v>
      </c>
      <c r="B261" s="62">
        <f t="shared" ref="B261:AC261" si="233">$B241+($C241-$B241)*(1-Q241)</f>
        <v>178500</v>
      </c>
      <c r="C261" s="62">
        <f t="shared" si="233"/>
        <v>178500</v>
      </c>
      <c r="D261" s="62">
        <f t="shared" si="233"/>
        <v>178500</v>
      </c>
      <c r="E261" s="62">
        <f t="shared" si="233"/>
        <v>178500</v>
      </c>
      <c r="F261" s="62">
        <f t="shared" si="233"/>
        <v>178500</v>
      </c>
      <c r="G261" s="62">
        <f t="shared" si="233"/>
        <v>178500</v>
      </c>
      <c r="H261" s="62">
        <f t="shared" si="233"/>
        <v>178500</v>
      </c>
      <c r="I261" s="62">
        <f t="shared" si="233"/>
        <v>178500</v>
      </c>
      <c r="J261" s="62">
        <f t="shared" si="233"/>
        <v>178500</v>
      </c>
      <c r="K261" s="62">
        <f t="shared" si="233"/>
        <v>178500</v>
      </c>
      <c r="L261" s="62">
        <f t="shared" si="233"/>
        <v>178500</v>
      </c>
      <c r="M261" s="62">
        <f t="shared" si="233"/>
        <v>178500</v>
      </c>
      <c r="N261" s="62">
        <f t="shared" si="233"/>
        <v>178500</v>
      </c>
      <c r="O261" s="62">
        <f t="shared" si="233"/>
        <v>178500</v>
      </c>
      <c r="P261" s="62">
        <f t="shared" si="233"/>
        <v>178500</v>
      </c>
      <c r="Q261" s="62">
        <f t="shared" si="233"/>
        <v>178500</v>
      </c>
      <c r="R261" s="62">
        <f t="shared" si="233"/>
        <v>178500</v>
      </c>
      <c r="S261" s="62">
        <f t="shared" si="233"/>
        <v>178500</v>
      </c>
      <c r="T261" s="62">
        <f t="shared" si="233"/>
        <v>178500</v>
      </c>
      <c r="U261" s="62">
        <f t="shared" si="233"/>
        <v>178500</v>
      </c>
      <c r="V261" s="62">
        <f t="shared" si="233"/>
        <v>178500</v>
      </c>
      <c r="W261" s="62">
        <f t="shared" si="233"/>
        <v>178500</v>
      </c>
      <c r="X261" s="62">
        <f t="shared" si="233"/>
        <v>178500</v>
      </c>
      <c r="Y261" s="62">
        <f t="shared" si="233"/>
        <v>178500</v>
      </c>
      <c r="Z261" s="62">
        <f t="shared" si="233"/>
        <v>178500</v>
      </c>
      <c r="AA261" s="62">
        <f t="shared" si="233"/>
        <v>178500</v>
      </c>
      <c r="AB261" s="62">
        <f t="shared" si="233"/>
        <v>178500</v>
      </c>
      <c r="AC261" s="62">
        <f t="shared" si="233"/>
        <v>178500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864939.43423004472</v>
      </c>
      <c r="C264" s="63">
        <f t="shared" ref="C264:AC264" si="234">((1+C249)^C256)*C249/(((1+C249)^C256)-1)*(C245)</f>
        <v>861982.43190795113</v>
      </c>
      <c r="D264" s="63">
        <f t="shared" si="234"/>
        <v>857783.91250214854</v>
      </c>
      <c r="E264" s="63">
        <f t="shared" si="234"/>
        <v>851849.70877400215</v>
      </c>
      <c r="F264" s="63">
        <f t="shared" si="234"/>
        <v>843518.19380158815</v>
      </c>
      <c r="G264" s="63">
        <f t="shared" si="234"/>
        <v>831934.36355634325</v>
      </c>
      <c r="H264" s="63">
        <f t="shared" si="234"/>
        <v>816053.36564206402</v>
      </c>
      <c r="I264" s="63">
        <f t="shared" si="234"/>
        <v>794711.00618420995</v>
      </c>
      <c r="J264" s="63">
        <f t="shared" si="234"/>
        <v>766812.41933217109</v>
      </c>
      <c r="K264" s="63">
        <f t="shared" si="234"/>
        <v>731678.86466524214</v>
      </c>
      <c r="L264" s="63">
        <f t="shared" si="234"/>
        <v>689519.60757377208</v>
      </c>
      <c r="M264" s="63">
        <f t="shared" si="234"/>
        <v>641847.03038194508</v>
      </c>
      <c r="N264" s="63">
        <f t="shared" si="234"/>
        <v>591519.28623619571</v>
      </c>
      <c r="O264" s="63">
        <f t="shared" si="234"/>
        <v>542181.89795982966</v>
      </c>
      <c r="P264" s="63">
        <f t="shared" si="234"/>
        <v>497269.05787303421</v>
      </c>
      <c r="Q264" s="63">
        <f t="shared" si="234"/>
        <v>459099.53951067774</v>
      </c>
      <c r="R264" s="63">
        <f t="shared" si="234"/>
        <v>428532.59107587172</v>
      </c>
      <c r="S264" s="63">
        <f t="shared" si="234"/>
        <v>405208.65276213008</v>
      </c>
      <c r="T264" s="63">
        <f t="shared" si="234"/>
        <v>388063.68751897325</v>
      </c>
      <c r="U264" s="63">
        <f t="shared" si="234"/>
        <v>375805.28540057357</v>
      </c>
      <c r="V264" s="63">
        <f t="shared" si="234"/>
        <v>367213.95583211613</v>
      </c>
      <c r="W264" s="63">
        <f t="shared" si="234"/>
        <v>361276.81903592765</v>
      </c>
      <c r="X264" s="63">
        <f t="shared" si="234"/>
        <v>357213.74046742113</v>
      </c>
      <c r="Y264" s="63">
        <f t="shared" si="234"/>
        <v>354451.73213606392</v>
      </c>
      <c r="Z264" s="63">
        <f t="shared" si="234"/>
        <v>352582.71183221939</v>
      </c>
      <c r="AA264" s="63">
        <f t="shared" si="234"/>
        <v>351321.86878395046</v>
      </c>
      <c r="AB264" s="63">
        <f t="shared" si="234"/>
        <v>350473.07550719258</v>
      </c>
      <c r="AC264" s="63">
        <f t="shared" si="234"/>
        <v>349902.47455161036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-43707.380747400188</v>
      </c>
      <c r="C265" s="62">
        <f t="shared" ref="C265:AC265" si="235">((1+C249)^C256)*C249/(((1+C249)^C256)-1)*(C246)</f>
        <v>-43756.664119435081</v>
      </c>
      <c r="D265" s="62">
        <f t="shared" si="235"/>
        <v>-43826.639442865126</v>
      </c>
      <c r="E265" s="62">
        <f t="shared" si="235"/>
        <v>-43925.54283833423</v>
      </c>
      <c r="F265" s="62">
        <f t="shared" si="235"/>
        <v>-44064.401421207796</v>
      </c>
      <c r="G265" s="62">
        <f t="shared" si="235"/>
        <v>-44257.465258628545</v>
      </c>
      <c r="H265" s="62">
        <f t="shared" si="235"/>
        <v>-44522.148557199871</v>
      </c>
      <c r="I265" s="62">
        <f t="shared" si="235"/>
        <v>-44877.854548164105</v>
      </c>
      <c r="J265" s="62">
        <f t="shared" si="235"/>
        <v>-45342.830995698081</v>
      </c>
      <c r="K265" s="62">
        <f t="shared" si="235"/>
        <v>-45928.390240146902</v>
      </c>
      <c r="L265" s="62">
        <f t="shared" si="235"/>
        <v>-46631.044525004734</v>
      </c>
      <c r="M265" s="62">
        <f t="shared" si="235"/>
        <v>-47425.587478201858</v>
      </c>
      <c r="N265" s="62">
        <f t="shared" si="235"/>
        <v>-48264.383213964342</v>
      </c>
      <c r="O265" s="62">
        <f t="shared" si="235"/>
        <v>-49086.673018570444</v>
      </c>
      <c r="P265" s="62">
        <f t="shared" si="235"/>
        <v>-49835.220353350363</v>
      </c>
      <c r="Q265" s="62">
        <f t="shared" si="235"/>
        <v>-50471.378992722974</v>
      </c>
      <c r="R265" s="62">
        <f t="shared" si="235"/>
        <v>-50980.828133303068</v>
      </c>
      <c r="S265" s="62">
        <f t="shared" si="235"/>
        <v>-51369.560438532098</v>
      </c>
      <c r="T265" s="62">
        <f t="shared" si="235"/>
        <v>-51655.309859251378</v>
      </c>
      <c r="U265" s="62">
        <f t="shared" si="235"/>
        <v>-51859.616561224706</v>
      </c>
      <c r="V265" s="62">
        <f t="shared" si="235"/>
        <v>-52002.805387365668</v>
      </c>
      <c r="W265" s="62">
        <f t="shared" si="235"/>
        <v>-52101.757667302139</v>
      </c>
      <c r="X265" s="62">
        <f t="shared" si="235"/>
        <v>-52169.475643443919</v>
      </c>
      <c r="Y265" s="62">
        <f t="shared" si="235"/>
        <v>-52215.509115633206</v>
      </c>
      <c r="Z265" s="62">
        <f t="shared" si="235"/>
        <v>-52246.659454030618</v>
      </c>
      <c r="AA265" s="62">
        <f t="shared" si="235"/>
        <v>-52267.673504835089</v>
      </c>
      <c r="AB265" s="62">
        <f t="shared" si="235"/>
        <v>-52281.820059447724</v>
      </c>
      <c r="AC265" s="62">
        <f t="shared" si="235"/>
        <v>-52291.330075374099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36">((1+C249)^C257)*C249/(((1+C249)^C257)-1)*(C247)</f>
        <v>203416.95217213215</v>
      </c>
      <c r="D266" s="62">
        <f t="shared" si="236"/>
        <v>203416.95217213215</v>
      </c>
      <c r="E266" s="62">
        <f t="shared" si="236"/>
        <v>203416.95217213215</v>
      </c>
      <c r="F266" s="62">
        <f t="shared" si="236"/>
        <v>203416.95217213215</v>
      </c>
      <c r="G266" s="62">
        <f t="shared" si="236"/>
        <v>203416.95217213215</v>
      </c>
      <c r="H266" s="62">
        <f t="shared" si="236"/>
        <v>203416.95217213215</v>
      </c>
      <c r="I266" s="62">
        <f t="shared" si="236"/>
        <v>203416.95217213215</v>
      </c>
      <c r="J266" s="62">
        <f t="shared" si="236"/>
        <v>203416.95217213215</v>
      </c>
      <c r="K266" s="62">
        <f t="shared" si="236"/>
        <v>203416.95217213215</v>
      </c>
      <c r="L266" s="62">
        <f t="shared" si="236"/>
        <v>203416.95217213215</v>
      </c>
      <c r="M266" s="62">
        <f t="shared" si="236"/>
        <v>203416.95217213215</v>
      </c>
      <c r="N266" s="62">
        <f t="shared" si="236"/>
        <v>203416.95217213215</v>
      </c>
      <c r="O266" s="62">
        <f t="shared" si="236"/>
        <v>203416.95217213215</v>
      </c>
      <c r="P266" s="62">
        <f t="shared" si="236"/>
        <v>203416.95217213215</v>
      </c>
      <c r="Q266" s="62">
        <f t="shared" si="236"/>
        <v>203416.95217213215</v>
      </c>
      <c r="R266" s="62">
        <f t="shared" si="236"/>
        <v>203416.95217213215</v>
      </c>
      <c r="S266" s="62">
        <f t="shared" si="236"/>
        <v>203416.95217213215</v>
      </c>
      <c r="T266" s="62">
        <f t="shared" si="236"/>
        <v>203416.95217213215</v>
      </c>
      <c r="U266" s="62">
        <f t="shared" si="236"/>
        <v>203416.95217213215</v>
      </c>
      <c r="V266" s="62">
        <f t="shared" si="236"/>
        <v>203416.95217213215</v>
      </c>
      <c r="W266" s="62">
        <f t="shared" si="236"/>
        <v>203416.95217213215</v>
      </c>
      <c r="X266" s="62">
        <f t="shared" si="236"/>
        <v>203416.95217213215</v>
      </c>
      <c r="Y266" s="62">
        <f t="shared" si="236"/>
        <v>203416.95217213215</v>
      </c>
      <c r="Z266" s="62">
        <f t="shared" si="236"/>
        <v>203416.95217213215</v>
      </c>
      <c r="AA266" s="62">
        <f t="shared" si="236"/>
        <v>203416.95217213215</v>
      </c>
      <c r="AB266" s="62">
        <f t="shared" si="236"/>
        <v>203416.95217213215</v>
      </c>
      <c r="AC266" s="62">
        <f t="shared" si="236"/>
        <v>203416.95217213215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37">((1+C249)^C257)*C249/(((1+C249)^C257)-1)*(C248)</f>
        <v>-10170.847608606608</v>
      </c>
      <c r="D267" s="62">
        <f t="shared" si="237"/>
        <v>-10170.847608606608</v>
      </c>
      <c r="E267" s="62">
        <f t="shared" si="237"/>
        <v>-10170.847608606608</v>
      </c>
      <c r="F267" s="62">
        <f t="shared" si="237"/>
        <v>-10170.847608606608</v>
      </c>
      <c r="G267" s="62">
        <f t="shared" si="237"/>
        <v>-10170.847608606608</v>
      </c>
      <c r="H267" s="62">
        <f t="shared" si="237"/>
        <v>-10170.847608606608</v>
      </c>
      <c r="I267" s="62">
        <f t="shared" si="237"/>
        <v>-10170.847608606608</v>
      </c>
      <c r="J267" s="62">
        <f t="shared" si="237"/>
        <v>-10170.847608606608</v>
      </c>
      <c r="K267" s="62">
        <f t="shared" si="237"/>
        <v>-10170.847608606608</v>
      </c>
      <c r="L267" s="62">
        <f t="shared" si="237"/>
        <v>-10170.847608606608</v>
      </c>
      <c r="M267" s="62">
        <f t="shared" si="237"/>
        <v>-10170.847608606608</v>
      </c>
      <c r="N267" s="62">
        <f t="shared" si="237"/>
        <v>-10170.847608606608</v>
      </c>
      <c r="O267" s="62">
        <f t="shared" si="237"/>
        <v>-10170.847608606608</v>
      </c>
      <c r="P267" s="62">
        <f t="shared" si="237"/>
        <v>-10170.847608606608</v>
      </c>
      <c r="Q267" s="62">
        <f t="shared" si="237"/>
        <v>-10170.847608606608</v>
      </c>
      <c r="R267" s="62">
        <f t="shared" si="237"/>
        <v>-10170.847608606608</v>
      </c>
      <c r="S267" s="62">
        <f t="shared" si="237"/>
        <v>-10170.847608606608</v>
      </c>
      <c r="T267" s="62">
        <f t="shared" si="237"/>
        <v>-10170.847608606608</v>
      </c>
      <c r="U267" s="62">
        <f t="shared" si="237"/>
        <v>-10170.847608606608</v>
      </c>
      <c r="V267" s="62">
        <f t="shared" si="237"/>
        <v>-10170.847608606608</v>
      </c>
      <c r="W267" s="62">
        <f t="shared" si="237"/>
        <v>-10170.847608606608</v>
      </c>
      <c r="X267" s="62">
        <f t="shared" si="237"/>
        <v>-10170.847608606608</v>
      </c>
      <c r="Y267" s="62">
        <f t="shared" si="237"/>
        <v>-10170.847608606608</v>
      </c>
      <c r="Z267" s="62">
        <f t="shared" si="237"/>
        <v>-10170.847608606608</v>
      </c>
      <c r="AA267" s="62">
        <f t="shared" si="237"/>
        <v>-10170.847608606608</v>
      </c>
      <c r="AB267" s="62">
        <f t="shared" si="237"/>
        <v>-10170.847608606608</v>
      </c>
      <c r="AC267" s="62">
        <f t="shared" si="237"/>
        <v>-10170.847608606608</v>
      </c>
    </row>
    <row r="268" spans="1:29" x14ac:dyDescent="0.3">
      <c r="A268" s="30" t="str">
        <f t="shared" ref="A268:AC268" si="238">A250</f>
        <v>Opex fix (admin, crew, insurance)</v>
      </c>
      <c r="B268" s="62">
        <f t="shared" si="238"/>
        <v>610000</v>
      </c>
      <c r="C268" s="62">
        <f t="shared" si="238"/>
        <v>610000</v>
      </c>
      <c r="D268" s="62">
        <f t="shared" si="238"/>
        <v>610000</v>
      </c>
      <c r="E268" s="62">
        <f t="shared" si="238"/>
        <v>610000</v>
      </c>
      <c r="F268" s="62">
        <f t="shared" si="238"/>
        <v>610000</v>
      </c>
      <c r="G268" s="62">
        <f t="shared" si="238"/>
        <v>610000</v>
      </c>
      <c r="H268" s="62">
        <f t="shared" si="238"/>
        <v>610000</v>
      </c>
      <c r="I268" s="62">
        <f t="shared" si="238"/>
        <v>610000</v>
      </c>
      <c r="J268" s="62">
        <f t="shared" si="238"/>
        <v>610000</v>
      </c>
      <c r="K268" s="62">
        <f t="shared" si="238"/>
        <v>610000</v>
      </c>
      <c r="L268" s="62">
        <f t="shared" si="238"/>
        <v>610000</v>
      </c>
      <c r="M268" s="62">
        <f t="shared" si="238"/>
        <v>610000</v>
      </c>
      <c r="N268" s="62">
        <f t="shared" si="238"/>
        <v>610000</v>
      </c>
      <c r="O268" s="62">
        <f t="shared" si="238"/>
        <v>610000</v>
      </c>
      <c r="P268" s="62">
        <f t="shared" si="238"/>
        <v>610000</v>
      </c>
      <c r="Q268" s="62">
        <f t="shared" si="238"/>
        <v>610000</v>
      </c>
      <c r="R268" s="62">
        <f t="shared" si="238"/>
        <v>610000</v>
      </c>
      <c r="S268" s="62">
        <f t="shared" si="238"/>
        <v>610000</v>
      </c>
      <c r="T268" s="62">
        <f t="shared" si="238"/>
        <v>610000</v>
      </c>
      <c r="U268" s="62">
        <f t="shared" si="238"/>
        <v>610000</v>
      </c>
      <c r="V268" s="62">
        <f t="shared" si="238"/>
        <v>610000</v>
      </c>
      <c r="W268" s="62">
        <f t="shared" si="238"/>
        <v>610000</v>
      </c>
      <c r="X268" s="62">
        <f t="shared" si="238"/>
        <v>610000</v>
      </c>
      <c r="Y268" s="62">
        <f t="shared" si="238"/>
        <v>610000</v>
      </c>
      <c r="Z268" s="62">
        <f t="shared" si="238"/>
        <v>610000</v>
      </c>
      <c r="AA268" s="62">
        <f t="shared" si="238"/>
        <v>610000</v>
      </c>
      <c r="AB268" s="62">
        <f t="shared" si="238"/>
        <v>610000</v>
      </c>
      <c r="AC268" s="62">
        <f t="shared" si="238"/>
        <v>610000</v>
      </c>
    </row>
    <row r="269" spans="1:29" x14ac:dyDescent="0.3">
      <c r="A269" s="30" t="str">
        <f t="shared" ref="A269:AC269" si="239">A251</f>
        <v>Opex maintenance &amp; repair</v>
      </c>
      <c r="B269" s="62">
        <f t="shared" si="239"/>
        <v>1388910.2037228637</v>
      </c>
      <c r="C269" s="62">
        <f t="shared" si="239"/>
        <v>1384161.8820080096</v>
      </c>
      <c r="D269" s="62">
        <f t="shared" si="239"/>
        <v>1377419.9458533253</v>
      </c>
      <c r="E269" s="62">
        <f t="shared" si="239"/>
        <v>1367890.8669573795</v>
      </c>
      <c r="F269" s="62">
        <f t="shared" si="239"/>
        <v>1354512.2121062956</v>
      </c>
      <c r="G269" s="62">
        <f t="shared" si="239"/>
        <v>1335911.0252611889</v>
      </c>
      <c r="H269" s="62">
        <f t="shared" si="239"/>
        <v>1310409.4939683313</v>
      </c>
      <c r="I269" s="62">
        <f t="shared" si="239"/>
        <v>1276138.1685443469</v>
      </c>
      <c r="J269" s="62">
        <f t="shared" si="239"/>
        <v>1231338.9254820407</v>
      </c>
      <c r="K269" s="62">
        <f t="shared" si="239"/>
        <v>1174921.8508999445</v>
      </c>
      <c r="L269" s="62">
        <f t="shared" si="239"/>
        <v>1107222.9808538083</v>
      </c>
      <c r="M269" s="62">
        <f t="shared" si="239"/>
        <v>1030670.8821991365</v>
      </c>
      <c r="N269" s="62">
        <f t="shared" si="239"/>
        <v>949855.14573475695</v>
      </c>
      <c r="O269" s="62">
        <f t="shared" si="239"/>
        <v>870629.71180240111</v>
      </c>
      <c r="P269" s="62">
        <f t="shared" si="239"/>
        <v>798509.16855274222</v>
      </c>
      <c r="Q269" s="62">
        <f t="shared" si="239"/>
        <v>737216.97695338901</v>
      </c>
      <c r="R269" s="62">
        <f t="shared" si="239"/>
        <v>688132.90829190495</v>
      </c>
      <c r="S269" s="62">
        <f t="shared" si="239"/>
        <v>650679.58539676399</v>
      </c>
      <c r="T269" s="62">
        <f t="shared" si="239"/>
        <v>623148.38930799719</v>
      </c>
      <c r="U269" s="62">
        <f t="shared" si="239"/>
        <v>603463.98238910188</v>
      </c>
      <c r="V269" s="62">
        <f t="shared" si="239"/>
        <v>589668.12012529059</v>
      </c>
      <c r="W269" s="62">
        <f t="shared" si="239"/>
        <v>580134.33134103287</v>
      </c>
      <c r="X269" s="62">
        <f t="shared" si="239"/>
        <v>573609.8845890474</v>
      </c>
      <c r="Y269" s="62">
        <f t="shared" si="239"/>
        <v>569174.682073851</v>
      </c>
      <c r="Z269" s="62">
        <f t="shared" si="239"/>
        <v>566173.42988411163</v>
      </c>
      <c r="AA269" s="62">
        <f t="shared" si="239"/>
        <v>564148.78202354477</v>
      </c>
      <c r="AB269" s="62">
        <f t="shared" si="239"/>
        <v>562785.79914140829</v>
      </c>
      <c r="AC269" s="62">
        <f t="shared" si="239"/>
        <v>561869.53442032111</v>
      </c>
    </row>
    <row r="270" spans="1:29" x14ac:dyDescent="0.3">
      <c r="A270" s="30" t="str">
        <f>A252</f>
        <v>Opex var (mode-fees, shunting)</v>
      </c>
      <c r="B270" s="62">
        <f>B252*B261</f>
        <v>650000</v>
      </c>
      <c r="C270" s="62">
        <f t="shared" ref="C270:AC270" si="240">C252*C261</f>
        <v>650000</v>
      </c>
      <c r="D270" s="62">
        <f t="shared" si="240"/>
        <v>650000</v>
      </c>
      <c r="E270" s="62">
        <f t="shared" si="240"/>
        <v>650000</v>
      </c>
      <c r="F270" s="62">
        <f t="shared" si="240"/>
        <v>650000</v>
      </c>
      <c r="G270" s="62">
        <f t="shared" si="240"/>
        <v>650000</v>
      </c>
      <c r="H270" s="62">
        <f t="shared" si="240"/>
        <v>650000</v>
      </c>
      <c r="I270" s="62">
        <f t="shared" si="240"/>
        <v>650000</v>
      </c>
      <c r="J270" s="62">
        <f t="shared" si="240"/>
        <v>650000</v>
      </c>
      <c r="K270" s="62">
        <f t="shared" si="240"/>
        <v>650000</v>
      </c>
      <c r="L270" s="62">
        <f t="shared" si="240"/>
        <v>650000</v>
      </c>
      <c r="M270" s="62">
        <f t="shared" si="240"/>
        <v>650000</v>
      </c>
      <c r="N270" s="62">
        <f t="shared" si="240"/>
        <v>650000</v>
      </c>
      <c r="O270" s="62">
        <f t="shared" si="240"/>
        <v>650000</v>
      </c>
      <c r="P270" s="62">
        <f t="shared" si="240"/>
        <v>650000</v>
      </c>
      <c r="Q270" s="62">
        <f t="shared" si="240"/>
        <v>650000</v>
      </c>
      <c r="R270" s="62">
        <f t="shared" si="240"/>
        <v>650000</v>
      </c>
      <c r="S270" s="62">
        <f t="shared" si="240"/>
        <v>650000</v>
      </c>
      <c r="T270" s="62">
        <f t="shared" si="240"/>
        <v>650000</v>
      </c>
      <c r="U270" s="62">
        <f t="shared" si="240"/>
        <v>650000</v>
      </c>
      <c r="V270" s="62">
        <f t="shared" si="240"/>
        <v>650000</v>
      </c>
      <c r="W270" s="62">
        <f t="shared" si="240"/>
        <v>650000</v>
      </c>
      <c r="X270" s="62">
        <f t="shared" si="240"/>
        <v>650000</v>
      </c>
      <c r="Y270" s="62">
        <f t="shared" si="240"/>
        <v>650000</v>
      </c>
      <c r="Z270" s="62">
        <f t="shared" si="240"/>
        <v>650000</v>
      </c>
      <c r="AA270" s="62">
        <f t="shared" si="240"/>
        <v>650000</v>
      </c>
      <c r="AB270" s="62">
        <f t="shared" si="240"/>
        <v>650000</v>
      </c>
      <c r="AC270" s="62">
        <f t="shared" si="240"/>
        <v>650000</v>
      </c>
    </row>
    <row r="271" spans="1:29" x14ac:dyDescent="0.3">
      <c r="A271" s="30" t="str">
        <f>A254</f>
        <v>Fuel Cost</v>
      </c>
      <c r="B271" s="62">
        <f>B253*B254*B261</f>
        <v>1511870.5321473095</v>
      </c>
      <c r="C271" s="62">
        <f t="shared" ref="C271:AC271" si="241">C253*C254*C261</f>
        <v>1506001.0992392392</v>
      </c>
      <c r="D271" s="62">
        <f t="shared" si="241"/>
        <v>1497680.9867304179</v>
      </c>
      <c r="E271" s="62">
        <f t="shared" si="241"/>
        <v>1485948.6090472133</v>
      </c>
      <c r="F271" s="62">
        <f t="shared" si="241"/>
        <v>1469530.5285285865</v>
      </c>
      <c r="G271" s="62">
        <f t="shared" si="241"/>
        <v>1446808.1840601345</v>
      </c>
      <c r="H271" s="62">
        <f t="shared" si="241"/>
        <v>1415854.7421123276</v>
      </c>
      <c r="I271" s="62">
        <f t="shared" si="241"/>
        <v>1374617.3454786271</v>
      </c>
      <c r="J271" s="62">
        <f t="shared" si="241"/>
        <v>1321335.8534185686</v>
      </c>
      <c r="K271" s="62">
        <f t="shared" si="241"/>
        <v>1255242.3322017342</v>
      </c>
      <c r="L271" s="62">
        <f t="shared" si="241"/>
        <v>1177411.5731662551</v>
      </c>
      <c r="M271" s="62">
        <f t="shared" si="241"/>
        <v>1091347.0753193009</v>
      </c>
      <c r="N271" s="62">
        <f t="shared" si="241"/>
        <v>1002728.5716732802</v>
      </c>
      <c r="O271" s="62">
        <f t="shared" si="241"/>
        <v>918086.57463695353</v>
      </c>
      <c r="P271" s="62">
        <f t="shared" si="241"/>
        <v>842957.23478644865</v>
      </c>
      <c r="Q271" s="62">
        <f t="shared" si="241"/>
        <v>780547.88258085051</v>
      </c>
      <c r="R271" s="62">
        <f t="shared" si="241"/>
        <v>731523.15548142116</v>
      </c>
      <c r="S271" s="62">
        <f t="shared" si="241"/>
        <v>694685.82935102109</v>
      </c>
      <c r="T271" s="62">
        <f t="shared" si="241"/>
        <v>667922.47707927588</v>
      </c>
      <c r="U271" s="62">
        <f t="shared" si="241"/>
        <v>648950.7242220171</v>
      </c>
      <c r="V271" s="62">
        <f t="shared" si="241"/>
        <v>635735.65970286133</v>
      </c>
      <c r="W271" s="62">
        <f t="shared" si="241"/>
        <v>626642.40303248633</v>
      </c>
      <c r="X271" s="62">
        <f t="shared" si="241"/>
        <v>620437.88314499462</v>
      </c>
      <c r="Y271" s="62">
        <f t="shared" si="241"/>
        <v>616228.72046879085</v>
      </c>
      <c r="Z271" s="62">
        <f t="shared" si="241"/>
        <v>613384.35694244877</v>
      </c>
      <c r="AA271" s="62">
        <f t="shared" si="241"/>
        <v>611467.33813842642</v>
      </c>
      <c r="AB271" s="62">
        <f t="shared" si="241"/>
        <v>610177.62364407699</v>
      </c>
      <c r="AC271" s="62">
        <f t="shared" si="241"/>
        <v>609310.98130686174</v>
      </c>
    </row>
    <row r="272" spans="1:29" ht="15" thickBot="1" x14ac:dyDescent="0.35">
      <c r="A272" s="59" t="str">
        <f>A235</f>
        <v>Emission Cost</v>
      </c>
      <c r="B272" s="62">
        <f>B255*B261</f>
        <v>25377.897847861244</v>
      </c>
      <c r="C272" s="62">
        <f t="shared" ref="C272:AC272" si="242">C255*C261</f>
        <v>25353.731905742414</v>
      </c>
      <c r="D272" s="62">
        <f t="shared" si="242"/>
        <v>25319.138897852274</v>
      </c>
      <c r="E272" s="62">
        <f t="shared" si="242"/>
        <v>25269.651167376363</v>
      </c>
      <c r="F272" s="62">
        <f t="shared" si="242"/>
        <v>25198.922280516395</v>
      </c>
      <c r="G272" s="62">
        <f t="shared" si="242"/>
        <v>25097.976873820924</v>
      </c>
      <c r="H272" s="62">
        <f t="shared" si="242"/>
        <v>24954.20585006753</v>
      </c>
      <c r="I272" s="62">
        <f t="shared" si="242"/>
        <v>24750.071606171052</v>
      </c>
      <c r="J272" s="62">
        <f t="shared" si="242"/>
        <v>24461.547468471788</v>
      </c>
      <c r="K272" s="62">
        <f t="shared" si="242"/>
        <v>24056.464784548647</v>
      </c>
      <c r="L272" s="62">
        <f t="shared" si="242"/>
        <v>23493.252804327683</v>
      </c>
      <c r="M272" s="62">
        <f t="shared" si="242"/>
        <v>22721.110249246831</v>
      </c>
      <c r="N272" s="62">
        <f t="shared" si="242"/>
        <v>21683.433394669322</v>
      </c>
      <c r="O272" s="62">
        <f t="shared" si="242"/>
        <v>20326.989281311096</v>
      </c>
      <c r="P272" s="62">
        <f t="shared" si="242"/>
        <v>18618.777189349097</v>
      </c>
      <c r="Q272" s="62">
        <f t="shared" si="242"/>
        <v>16568.971713230469</v>
      </c>
      <c r="R272" s="62">
        <f t="shared" si="242"/>
        <v>14251.105684982398</v>
      </c>
      <c r="S272" s="62">
        <f t="shared" si="242"/>
        <v>11804.144028925928</v>
      </c>
      <c r="T272" s="62">
        <f t="shared" si="242"/>
        <v>9405.334001347248</v>
      </c>
      <c r="U272" s="62">
        <f t="shared" si="242"/>
        <v>7221.6478572054848</v>
      </c>
      <c r="V272" s="62">
        <f t="shared" si="242"/>
        <v>5365.8255975718175</v>
      </c>
      <c r="W272" s="62">
        <f t="shared" si="242"/>
        <v>3879.6443265413554</v>
      </c>
      <c r="X272" s="62">
        <f t="shared" si="242"/>
        <v>2745.6220553132011</v>
      </c>
      <c r="Y272" s="62">
        <f t="shared" si="242"/>
        <v>1912.0247372428837</v>
      </c>
      <c r="Z272" s="62">
        <f t="shared" si="242"/>
        <v>1316.0147141952104</v>
      </c>
      <c r="AA272" s="62">
        <f t="shared" si="242"/>
        <v>898.29970659069966</v>
      </c>
      <c r="AB272" s="62">
        <f t="shared" si="242"/>
        <v>609.63296156509125</v>
      </c>
      <c r="AC272" s="62">
        <f t="shared" si="242"/>
        <v>412.08392312840692</v>
      </c>
    </row>
    <row r="273" spans="1:29" ht="15" thickBot="1" x14ac:dyDescent="0.35">
      <c r="A273" s="31" t="s">
        <v>209</v>
      </c>
      <c r="B273" s="64">
        <f>B264+B265+B266+B267+B268+B269+B270+B271+B272</f>
        <v>5200636.7917642044</v>
      </c>
      <c r="C273" s="64">
        <f t="shared" ref="C273:AC273" si="243">C264+C265+C266+C267+C268+C269+C270+C271+C272</f>
        <v>5186988.5855050329</v>
      </c>
      <c r="D273" s="64">
        <f t="shared" si="243"/>
        <v>5167623.4491044041</v>
      </c>
      <c r="E273" s="64">
        <f t="shared" si="243"/>
        <v>5140279.3976711622</v>
      </c>
      <c r="F273" s="64">
        <f t="shared" si="243"/>
        <v>5101941.5598593038</v>
      </c>
      <c r="G273" s="64">
        <f t="shared" si="243"/>
        <v>5048740.1890563834</v>
      </c>
      <c r="H273" s="64">
        <f t="shared" si="243"/>
        <v>4975995.7635791162</v>
      </c>
      <c r="I273" s="64">
        <f t="shared" si="243"/>
        <v>4878584.8418287169</v>
      </c>
      <c r="J273" s="64">
        <f t="shared" si="243"/>
        <v>4751852.0192690799</v>
      </c>
      <c r="K273" s="64">
        <f t="shared" si="243"/>
        <v>4593217.2268748479</v>
      </c>
      <c r="L273" s="64">
        <f t="shared" si="243"/>
        <v>4404262.4744366845</v>
      </c>
      <c r="M273" s="64">
        <f t="shared" si="243"/>
        <v>4192406.6152349534</v>
      </c>
      <c r="N273" s="64">
        <f t="shared" si="243"/>
        <v>3970768.1583884628</v>
      </c>
      <c r="O273" s="64">
        <f t="shared" si="243"/>
        <v>3755384.6052254504</v>
      </c>
      <c r="P273" s="64">
        <f t="shared" si="243"/>
        <v>3560765.1226117495</v>
      </c>
      <c r="Q273" s="64">
        <f t="shared" si="243"/>
        <v>3396208.09632895</v>
      </c>
      <c r="R273" s="64">
        <f t="shared" si="243"/>
        <v>3264705.0369644035</v>
      </c>
      <c r="S273" s="64">
        <f t="shared" si="243"/>
        <v>3164254.7556638345</v>
      </c>
      <c r="T273" s="64">
        <f t="shared" si="243"/>
        <v>3090130.6826118678</v>
      </c>
      <c r="U273" s="64">
        <f t="shared" si="243"/>
        <v>3036828.1278711986</v>
      </c>
      <c r="V273" s="64">
        <f t="shared" si="243"/>
        <v>2999226.8604339994</v>
      </c>
      <c r="W273" s="64">
        <f t="shared" si="243"/>
        <v>2973077.5446322118</v>
      </c>
      <c r="X273" s="64">
        <f t="shared" si="243"/>
        <v>2955083.7591768578</v>
      </c>
      <c r="Y273" s="64">
        <f t="shared" si="243"/>
        <v>2942797.754863841</v>
      </c>
      <c r="Z273" s="64">
        <f t="shared" si="243"/>
        <v>2934455.9584824699</v>
      </c>
      <c r="AA273" s="64">
        <f t="shared" si="243"/>
        <v>2928814.7197112027</v>
      </c>
      <c r="AB273" s="64">
        <f t="shared" si="243"/>
        <v>2925010.4157583206</v>
      </c>
      <c r="AC273" s="64">
        <f t="shared" si="243"/>
        <v>2922449.848690073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44">A264</f>
        <v>Capex vehicle</v>
      </c>
      <c r="B276" s="65">
        <f>((1+B249)^B256)*B249/(((1+B249)^B256)-1)*(B245)/B261</f>
        <v>4.8455990713167774</v>
      </c>
      <c r="C276" s="65">
        <f t="shared" ref="C276:AC276" si="245">((1+C249)^C256)*C249/(((1+C249)^C256)-1)*(C245)/C261</f>
        <v>4.8290332319773173</v>
      </c>
      <c r="D276" s="65">
        <f t="shared" si="245"/>
        <v>4.8055121148579749</v>
      </c>
      <c r="E276" s="65">
        <f t="shared" si="245"/>
        <v>4.7722672760448299</v>
      </c>
      <c r="F276" s="65">
        <f t="shared" si="245"/>
        <v>4.7255921221377486</v>
      </c>
      <c r="G276" s="65">
        <f t="shared" si="245"/>
        <v>4.6606967146013627</v>
      </c>
      <c r="H276" s="65">
        <f t="shared" si="245"/>
        <v>4.571727538611003</v>
      </c>
      <c r="I276" s="65">
        <f t="shared" si="245"/>
        <v>4.4521624996314282</v>
      </c>
      <c r="J276" s="65">
        <f t="shared" si="245"/>
        <v>4.2958678954183256</v>
      </c>
      <c r="K276" s="65">
        <f t="shared" si="245"/>
        <v>4.0990412586288079</v>
      </c>
      <c r="L276" s="65">
        <f t="shared" si="245"/>
        <v>3.8628549443908802</v>
      </c>
      <c r="M276" s="65">
        <f t="shared" si="245"/>
        <v>3.5957816828120173</v>
      </c>
      <c r="N276" s="65">
        <f t="shared" si="245"/>
        <v>3.3138335363372309</v>
      </c>
      <c r="O276" s="65">
        <f t="shared" si="245"/>
        <v>3.0374336020158523</v>
      </c>
      <c r="P276" s="65">
        <f t="shared" si="245"/>
        <v>2.7858210525099958</v>
      </c>
      <c r="Q276" s="65">
        <f t="shared" si="245"/>
        <v>2.5719862157460938</v>
      </c>
      <c r="R276" s="65">
        <f t="shared" si="245"/>
        <v>2.4007428071477408</v>
      </c>
      <c r="S276" s="65">
        <f t="shared" si="245"/>
        <v>2.2700764860623535</v>
      </c>
      <c r="T276" s="65">
        <f t="shared" si="245"/>
        <v>2.1740262606104945</v>
      </c>
      <c r="U276" s="65">
        <f t="shared" si="245"/>
        <v>2.1053517389387877</v>
      </c>
      <c r="V276" s="65">
        <f t="shared" si="245"/>
        <v>2.0572210410762808</v>
      </c>
      <c r="W276" s="65">
        <f t="shared" si="245"/>
        <v>2.0239597705093986</v>
      </c>
      <c r="X276" s="65">
        <f t="shared" si="245"/>
        <v>2.0011974255877933</v>
      </c>
      <c r="Y276" s="65">
        <f t="shared" si="245"/>
        <v>1.985723989557781</v>
      </c>
      <c r="Z276" s="65">
        <f t="shared" si="245"/>
        <v>1.9752532875754587</v>
      </c>
      <c r="AA276" s="65">
        <f t="shared" si="245"/>
        <v>1.9681897410865572</v>
      </c>
      <c r="AB276" s="65">
        <f t="shared" si="245"/>
        <v>1.9634345966789499</v>
      </c>
      <c r="AC276" s="65">
        <f t="shared" si="245"/>
        <v>1.9602379526700859</v>
      </c>
    </row>
    <row r="277" spans="1:29" x14ac:dyDescent="0.3">
      <c r="A277" s="30" t="str">
        <f t="shared" si="244"/>
        <v>Residual value (vehicle)</v>
      </c>
      <c r="B277" s="66">
        <f>((1+B249)^B256)*B249/(((1+B249)^B256)-1)*(B246)/B261</f>
        <v>-0.24485927589579937</v>
      </c>
      <c r="C277" s="66">
        <f t="shared" ref="C277:AC277" si="246">((1+C249)^C256)*C249/(((1+C249)^C256)-1)*(C246)/C261</f>
        <v>-0.2451353732181237</v>
      </c>
      <c r="D277" s="66">
        <f t="shared" si="246"/>
        <v>-0.24552739183677941</v>
      </c>
      <c r="E277" s="66">
        <f t="shared" si="246"/>
        <v>-0.24608147248366516</v>
      </c>
      <c r="F277" s="66">
        <f t="shared" si="246"/>
        <v>-0.24685939171544985</v>
      </c>
      <c r="G277" s="66">
        <f t="shared" si="246"/>
        <v>-0.24794098184105628</v>
      </c>
      <c r="H277" s="66">
        <f t="shared" si="246"/>
        <v>-0.24942380144089563</v>
      </c>
      <c r="I277" s="66">
        <f t="shared" si="246"/>
        <v>-0.25141655209055519</v>
      </c>
      <c r="J277" s="66">
        <f t="shared" si="246"/>
        <v>-0.25402146216077354</v>
      </c>
      <c r="K277" s="66">
        <f t="shared" si="246"/>
        <v>-0.25730190610726555</v>
      </c>
      <c r="L277" s="66">
        <f t="shared" si="246"/>
        <v>-0.26123834467789769</v>
      </c>
      <c r="M277" s="66">
        <f t="shared" si="246"/>
        <v>-0.26568956570421209</v>
      </c>
      <c r="N277" s="66">
        <f t="shared" si="246"/>
        <v>-0.27038870147879185</v>
      </c>
      <c r="O277" s="66">
        <f t="shared" si="246"/>
        <v>-0.27499536705081479</v>
      </c>
      <c r="P277" s="66">
        <f t="shared" si="246"/>
        <v>-0.27918890954257908</v>
      </c>
      <c r="Q277" s="66">
        <f t="shared" si="246"/>
        <v>-0.28275282348864411</v>
      </c>
      <c r="R277" s="66">
        <f t="shared" si="246"/>
        <v>-0.28560688029861664</v>
      </c>
      <c r="S277" s="66">
        <f t="shared" si="246"/>
        <v>-0.28778465231670641</v>
      </c>
      <c r="T277" s="66">
        <f t="shared" si="246"/>
        <v>-0.28938548940757075</v>
      </c>
      <c r="U277" s="66">
        <f t="shared" si="246"/>
        <v>-0.29053006476876586</v>
      </c>
      <c r="V277" s="66">
        <f t="shared" si="246"/>
        <v>-0.29133224306647432</v>
      </c>
      <c r="W277" s="66">
        <f t="shared" si="246"/>
        <v>-0.29188659757592234</v>
      </c>
      <c r="X277" s="66">
        <f t="shared" si="246"/>
        <v>-0.29226596999128246</v>
      </c>
      <c r="Y277" s="66">
        <f t="shared" si="246"/>
        <v>-0.29252386059178265</v>
      </c>
      <c r="Z277" s="66">
        <f t="shared" si="246"/>
        <v>-0.29269837229148804</v>
      </c>
      <c r="AA277" s="66">
        <f t="shared" si="246"/>
        <v>-0.29281609806630304</v>
      </c>
      <c r="AB277" s="66">
        <f t="shared" si="246"/>
        <v>-0.29289535047309651</v>
      </c>
      <c r="AC277" s="66">
        <f t="shared" si="246"/>
        <v>-0.29294862787324427</v>
      </c>
    </row>
    <row r="278" spans="1:29" x14ac:dyDescent="0.3">
      <c r="A278" s="30" t="str">
        <f t="shared" si="244"/>
        <v>Capex costumization</v>
      </c>
      <c r="B278" s="66">
        <f>((1+B249)^B257)*B249/(((1+B249)^B257)-1)*(B247)/B261</f>
        <v>1.1395907684713287</v>
      </c>
      <c r="C278" s="66">
        <f t="shared" ref="C278:AC278" si="247">((1+C249)^C257)*C249/(((1+C249)^C257)-1)*(C247)/C261</f>
        <v>1.1395907684713287</v>
      </c>
      <c r="D278" s="66">
        <f t="shared" si="247"/>
        <v>1.1395907684713287</v>
      </c>
      <c r="E278" s="66">
        <f t="shared" si="247"/>
        <v>1.1395907684713287</v>
      </c>
      <c r="F278" s="66">
        <f t="shared" si="247"/>
        <v>1.1395907684713287</v>
      </c>
      <c r="G278" s="66">
        <f t="shared" si="247"/>
        <v>1.1395907684713287</v>
      </c>
      <c r="H278" s="66">
        <f t="shared" si="247"/>
        <v>1.1395907684713287</v>
      </c>
      <c r="I278" s="66">
        <f t="shared" si="247"/>
        <v>1.1395907684713287</v>
      </c>
      <c r="J278" s="66">
        <f t="shared" si="247"/>
        <v>1.1395907684713287</v>
      </c>
      <c r="K278" s="66">
        <f t="shared" si="247"/>
        <v>1.1395907684713287</v>
      </c>
      <c r="L278" s="66">
        <f t="shared" si="247"/>
        <v>1.1395907684713287</v>
      </c>
      <c r="M278" s="66">
        <f t="shared" si="247"/>
        <v>1.1395907684713287</v>
      </c>
      <c r="N278" s="66">
        <f t="shared" si="247"/>
        <v>1.1395907684713287</v>
      </c>
      <c r="O278" s="66">
        <f t="shared" si="247"/>
        <v>1.1395907684713287</v>
      </c>
      <c r="P278" s="66">
        <f t="shared" si="247"/>
        <v>1.1395907684713287</v>
      </c>
      <c r="Q278" s="66">
        <f t="shared" si="247"/>
        <v>1.1395907684713287</v>
      </c>
      <c r="R278" s="66">
        <f t="shared" si="247"/>
        <v>1.1395907684713287</v>
      </c>
      <c r="S278" s="66">
        <f t="shared" si="247"/>
        <v>1.1395907684713287</v>
      </c>
      <c r="T278" s="66">
        <f t="shared" si="247"/>
        <v>1.1395907684713287</v>
      </c>
      <c r="U278" s="66">
        <f t="shared" si="247"/>
        <v>1.1395907684713287</v>
      </c>
      <c r="V278" s="66">
        <f t="shared" si="247"/>
        <v>1.1395907684713287</v>
      </c>
      <c r="W278" s="66">
        <f t="shared" si="247"/>
        <v>1.1395907684713287</v>
      </c>
      <c r="X278" s="66">
        <f t="shared" si="247"/>
        <v>1.1395907684713287</v>
      </c>
      <c r="Y278" s="66">
        <f t="shared" si="247"/>
        <v>1.1395907684713287</v>
      </c>
      <c r="Z278" s="66">
        <f t="shared" si="247"/>
        <v>1.1395907684713287</v>
      </c>
      <c r="AA278" s="66">
        <f t="shared" si="247"/>
        <v>1.1395907684713287</v>
      </c>
      <c r="AB278" s="66">
        <f t="shared" si="247"/>
        <v>1.1395907684713287</v>
      </c>
      <c r="AC278" s="66">
        <f t="shared" si="247"/>
        <v>1.1395907684713287</v>
      </c>
    </row>
    <row r="279" spans="1:29" x14ac:dyDescent="0.3">
      <c r="A279" s="30" t="str">
        <f t="shared" si="244"/>
        <v>Residual value (costumization)</v>
      </c>
      <c r="B279" s="66">
        <f>((1+B249)^B257)*B249/(((1+B249)^B257)-1)*(B248)/B261</f>
        <v>-5.6979538423566428E-2</v>
      </c>
      <c r="C279" s="66">
        <f t="shared" ref="C279:AC279" si="248">((1+C249)^C257)*C249/(((1+C249)^C257)-1)*(C248)/C261</f>
        <v>-5.6979538423566428E-2</v>
      </c>
      <c r="D279" s="66">
        <f t="shared" si="248"/>
        <v>-5.6979538423566428E-2</v>
      </c>
      <c r="E279" s="66">
        <f t="shared" si="248"/>
        <v>-5.6979538423566428E-2</v>
      </c>
      <c r="F279" s="66">
        <f t="shared" si="248"/>
        <v>-5.6979538423566428E-2</v>
      </c>
      <c r="G279" s="66">
        <f t="shared" si="248"/>
        <v>-5.6979538423566428E-2</v>
      </c>
      <c r="H279" s="66">
        <f t="shared" si="248"/>
        <v>-5.6979538423566428E-2</v>
      </c>
      <c r="I279" s="66">
        <f t="shared" si="248"/>
        <v>-5.6979538423566428E-2</v>
      </c>
      <c r="J279" s="66">
        <f t="shared" si="248"/>
        <v>-5.6979538423566428E-2</v>
      </c>
      <c r="K279" s="66">
        <f t="shared" si="248"/>
        <v>-5.6979538423566428E-2</v>
      </c>
      <c r="L279" s="66">
        <f t="shared" si="248"/>
        <v>-5.6979538423566428E-2</v>
      </c>
      <c r="M279" s="66">
        <f t="shared" si="248"/>
        <v>-5.6979538423566428E-2</v>
      </c>
      <c r="N279" s="66">
        <f t="shared" si="248"/>
        <v>-5.6979538423566428E-2</v>
      </c>
      <c r="O279" s="66">
        <f t="shared" si="248"/>
        <v>-5.6979538423566428E-2</v>
      </c>
      <c r="P279" s="66">
        <f t="shared" si="248"/>
        <v>-5.6979538423566428E-2</v>
      </c>
      <c r="Q279" s="66">
        <f t="shared" si="248"/>
        <v>-5.6979538423566428E-2</v>
      </c>
      <c r="R279" s="66">
        <f t="shared" si="248"/>
        <v>-5.6979538423566428E-2</v>
      </c>
      <c r="S279" s="66">
        <f t="shared" si="248"/>
        <v>-5.6979538423566428E-2</v>
      </c>
      <c r="T279" s="66">
        <f t="shared" si="248"/>
        <v>-5.6979538423566428E-2</v>
      </c>
      <c r="U279" s="66">
        <f t="shared" si="248"/>
        <v>-5.6979538423566428E-2</v>
      </c>
      <c r="V279" s="66">
        <f t="shared" si="248"/>
        <v>-5.6979538423566428E-2</v>
      </c>
      <c r="W279" s="66">
        <f t="shared" si="248"/>
        <v>-5.6979538423566428E-2</v>
      </c>
      <c r="X279" s="66">
        <f t="shared" si="248"/>
        <v>-5.6979538423566428E-2</v>
      </c>
      <c r="Y279" s="66">
        <f t="shared" si="248"/>
        <v>-5.6979538423566428E-2</v>
      </c>
      <c r="Z279" s="66">
        <f t="shared" si="248"/>
        <v>-5.6979538423566428E-2</v>
      </c>
      <c r="AA279" s="66">
        <f t="shared" si="248"/>
        <v>-5.6979538423566428E-2</v>
      </c>
      <c r="AB279" s="66">
        <f t="shared" si="248"/>
        <v>-5.6979538423566428E-2</v>
      </c>
      <c r="AC279" s="66">
        <f t="shared" si="248"/>
        <v>-5.6979538423566428E-2</v>
      </c>
    </row>
    <row r="280" spans="1:29" x14ac:dyDescent="0.3">
      <c r="A280" s="30" t="str">
        <f t="shared" si="244"/>
        <v>Opex fix (admin, crew, insurance)</v>
      </c>
      <c r="B280" s="66">
        <f>B250/B261</f>
        <v>3.4173669467787113</v>
      </c>
      <c r="C280" s="66">
        <f t="shared" ref="C280:AC280" si="249">C250/C261</f>
        <v>3.4173669467787113</v>
      </c>
      <c r="D280" s="66">
        <f t="shared" si="249"/>
        <v>3.4173669467787113</v>
      </c>
      <c r="E280" s="66">
        <f t="shared" si="249"/>
        <v>3.4173669467787113</v>
      </c>
      <c r="F280" s="66">
        <f t="shared" si="249"/>
        <v>3.4173669467787113</v>
      </c>
      <c r="G280" s="66">
        <f t="shared" si="249"/>
        <v>3.4173669467787113</v>
      </c>
      <c r="H280" s="66">
        <f t="shared" si="249"/>
        <v>3.4173669467787113</v>
      </c>
      <c r="I280" s="66">
        <f t="shared" si="249"/>
        <v>3.4173669467787113</v>
      </c>
      <c r="J280" s="66">
        <f t="shared" si="249"/>
        <v>3.4173669467787113</v>
      </c>
      <c r="K280" s="66">
        <f t="shared" si="249"/>
        <v>3.4173669467787113</v>
      </c>
      <c r="L280" s="66">
        <f t="shared" si="249"/>
        <v>3.4173669467787113</v>
      </c>
      <c r="M280" s="66">
        <f t="shared" si="249"/>
        <v>3.4173669467787113</v>
      </c>
      <c r="N280" s="66">
        <f t="shared" si="249"/>
        <v>3.4173669467787113</v>
      </c>
      <c r="O280" s="66">
        <f t="shared" si="249"/>
        <v>3.4173669467787113</v>
      </c>
      <c r="P280" s="66">
        <f t="shared" si="249"/>
        <v>3.4173669467787113</v>
      </c>
      <c r="Q280" s="66">
        <f t="shared" si="249"/>
        <v>3.4173669467787113</v>
      </c>
      <c r="R280" s="66">
        <f t="shared" si="249"/>
        <v>3.4173669467787113</v>
      </c>
      <c r="S280" s="66">
        <f t="shared" si="249"/>
        <v>3.4173669467787113</v>
      </c>
      <c r="T280" s="66">
        <f t="shared" si="249"/>
        <v>3.4173669467787113</v>
      </c>
      <c r="U280" s="66">
        <f t="shared" si="249"/>
        <v>3.4173669467787113</v>
      </c>
      <c r="V280" s="66">
        <f t="shared" si="249"/>
        <v>3.4173669467787113</v>
      </c>
      <c r="W280" s="66">
        <f t="shared" si="249"/>
        <v>3.4173669467787113</v>
      </c>
      <c r="X280" s="66">
        <f t="shared" si="249"/>
        <v>3.4173669467787113</v>
      </c>
      <c r="Y280" s="66">
        <f t="shared" si="249"/>
        <v>3.4173669467787113</v>
      </c>
      <c r="Z280" s="66">
        <f t="shared" si="249"/>
        <v>3.4173669467787113</v>
      </c>
      <c r="AA280" s="66">
        <f t="shared" si="249"/>
        <v>3.4173669467787113</v>
      </c>
      <c r="AB280" s="66">
        <f t="shared" si="249"/>
        <v>3.4173669467787113</v>
      </c>
      <c r="AC280" s="66">
        <f t="shared" si="249"/>
        <v>3.4173669467787113</v>
      </c>
    </row>
    <row r="281" spans="1:29" x14ac:dyDescent="0.3">
      <c r="A281" s="30" t="str">
        <f t="shared" si="244"/>
        <v>Opex maintenance &amp; repair</v>
      </c>
      <c r="B281" s="66">
        <f>B251/B261</f>
        <v>7.7810095446659027</v>
      </c>
      <c r="C281" s="66">
        <f t="shared" ref="C281:AC281" si="250">C251/C261</f>
        <v>7.7544083025658797</v>
      </c>
      <c r="D281" s="66">
        <f t="shared" si="250"/>
        <v>7.7166383521194692</v>
      </c>
      <c r="E281" s="66">
        <f t="shared" si="250"/>
        <v>7.6632541566239745</v>
      </c>
      <c r="F281" s="66">
        <f t="shared" si="250"/>
        <v>7.5883037092789669</v>
      </c>
      <c r="G281" s="66">
        <f t="shared" si="250"/>
        <v>7.4840953796145033</v>
      </c>
      <c r="H281" s="66">
        <f t="shared" si="250"/>
        <v>7.3412296580858891</v>
      </c>
      <c r="I281" s="66">
        <f t="shared" si="250"/>
        <v>7.1492334372232325</v>
      </c>
      <c r="J281" s="66">
        <f t="shared" si="250"/>
        <v>6.8982572856136732</v>
      </c>
      <c r="K281" s="66">
        <f t="shared" si="250"/>
        <v>6.5821952431369439</v>
      </c>
      <c r="L281" s="66">
        <f t="shared" si="250"/>
        <v>6.202929864727218</v>
      </c>
      <c r="M281" s="66">
        <f t="shared" si="250"/>
        <v>5.7740665669419418</v>
      </c>
      <c r="N281" s="66">
        <f t="shared" si="250"/>
        <v>5.3213173430518594</v>
      </c>
      <c r="O281" s="66">
        <f t="shared" si="250"/>
        <v>4.8774773770442641</v>
      </c>
      <c r="P281" s="66">
        <f t="shared" si="250"/>
        <v>4.4734407201834294</v>
      </c>
      <c r="Q281" s="66">
        <f t="shared" si="250"/>
        <v>4.13006709777809</v>
      </c>
      <c r="R281" s="66">
        <f t="shared" si="250"/>
        <v>3.855086320963053</v>
      </c>
      <c r="S281" s="66">
        <f t="shared" si="250"/>
        <v>3.6452637837353725</v>
      </c>
      <c r="T281" s="66">
        <f t="shared" si="250"/>
        <v>3.4910273910812166</v>
      </c>
      <c r="U281" s="66">
        <f t="shared" si="250"/>
        <v>3.3807506016196185</v>
      </c>
      <c r="V281" s="66">
        <f t="shared" si="250"/>
        <v>3.3034628578447651</v>
      </c>
      <c r="W281" s="66">
        <f t="shared" si="250"/>
        <v>3.2500522764203521</v>
      </c>
      <c r="X281" s="66">
        <f t="shared" si="250"/>
        <v>3.2135007540002656</v>
      </c>
      <c r="Y281" s="66">
        <f t="shared" si="250"/>
        <v>3.188653681086</v>
      </c>
      <c r="Z281" s="66">
        <f t="shared" si="250"/>
        <v>3.1718399433283566</v>
      </c>
      <c r="AA281" s="66">
        <f t="shared" si="250"/>
        <v>3.1604973782831638</v>
      </c>
      <c r="AB281" s="66">
        <f t="shared" si="250"/>
        <v>3.1528616198398223</v>
      </c>
      <c r="AC281" s="66">
        <f t="shared" si="250"/>
        <v>3.1477284841474571</v>
      </c>
    </row>
    <row r="282" spans="1:29" x14ac:dyDescent="0.3">
      <c r="A282" s="30" t="str">
        <f t="shared" si="244"/>
        <v>Opex var (mode-fees, shunting)</v>
      </c>
      <c r="B282" s="66">
        <f>B252*B261/B261</f>
        <v>3.6414565826330532</v>
      </c>
      <c r="C282" s="66">
        <f t="shared" ref="C282:AC282" si="251">C252*C261/C261</f>
        <v>3.6414565826330532</v>
      </c>
      <c r="D282" s="66">
        <f t="shared" si="251"/>
        <v>3.6414565826330532</v>
      </c>
      <c r="E282" s="66">
        <f t="shared" si="251"/>
        <v>3.6414565826330532</v>
      </c>
      <c r="F282" s="66">
        <f t="shared" si="251"/>
        <v>3.6414565826330532</v>
      </c>
      <c r="G282" s="66">
        <f t="shared" si="251"/>
        <v>3.6414565826330532</v>
      </c>
      <c r="H282" s="66">
        <f t="shared" si="251"/>
        <v>3.6414565826330532</v>
      </c>
      <c r="I282" s="66">
        <f t="shared" si="251"/>
        <v>3.6414565826330532</v>
      </c>
      <c r="J282" s="66">
        <f t="shared" si="251"/>
        <v>3.6414565826330532</v>
      </c>
      <c r="K282" s="66">
        <f t="shared" si="251"/>
        <v>3.6414565826330532</v>
      </c>
      <c r="L282" s="66">
        <f t="shared" si="251"/>
        <v>3.6414565826330532</v>
      </c>
      <c r="M282" s="66">
        <f t="shared" si="251"/>
        <v>3.6414565826330532</v>
      </c>
      <c r="N282" s="66">
        <f t="shared" si="251"/>
        <v>3.6414565826330532</v>
      </c>
      <c r="O282" s="66">
        <f t="shared" si="251"/>
        <v>3.6414565826330532</v>
      </c>
      <c r="P282" s="66">
        <f t="shared" si="251"/>
        <v>3.6414565826330532</v>
      </c>
      <c r="Q282" s="66">
        <f t="shared" si="251"/>
        <v>3.6414565826330532</v>
      </c>
      <c r="R282" s="66">
        <f t="shared" si="251"/>
        <v>3.6414565826330532</v>
      </c>
      <c r="S282" s="66">
        <f t="shared" si="251"/>
        <v>3.6414565826330532</v>
      </c>
      <c r="T282" s="66">
        <f t="shared" si="251"/>
        <v>3.6414565826330532</v>
      </c>
      <c r="U282" s="66">
        <f t="shared" si="251"/>
        <v>3.6414565826330532</v>
      </c>
      <c r="V282" s="66">
        <f t="shared" si="251"/>
        <v>3.6414565826330532</v>
      </c>
      <c r="W282" s="66">
        <f t="shared" si="251"/>
        <v>3.6414565826330532</v>
      </c>
      <c r="X282" s="66">
        <f t="shared" si="251"/>
        <v>3.6414565826330532</v>
      </c>
      <c r="Y282" s="66">
        <f t="shared" si="251"/>
        <v>3.6414565826330532</v>
      </c>
      <c r="Z282" s="66">
        <f t="shared" si="251"/>
        <v>3.6414565826330532</v>
      </c>
      <c r="AA282" s="66">
        <f t="shared" si="251"/>
        <v>3.6414565826330532</v>
      </c>
      <c r="AB282" s="66">
        <f t="shared" si="251"/>
        <v>3.6414565826330532</v>
      </c>
      <c r="AC282" s="66">
        <f t="shared" si="251"/>
        <v>3.6414565826330532</v>
      </c>
    </row>
    <row r="283" spans="1:29" x14ac:dyDescent="0.3">
      <c r="A283" s="30" t="str">
        <f t="shared" si="244"/>
        <v>Fuel Cost</v>
      </c>
      <c r="B283" s="66">
        <f>B253*B254*B261/B261</f>
        <v>8.4698629251950113</v>
      </c>
      <c r="C283" s="66">
        <f t="shared" ref="C283:AC283" si="252">C253*C254*C261/C261</f>
        <v>8.4369809481189879</v>
      </c>
      <c r="D283" s="66">
        <f t="shared" si="252"/>
        <v>8.3903696735597642</v>
      </c>
      <c r="E283" s="66">
        <f t="shared" si="252"/>
        <v>8.324642067491391</v>
      </c>
      <c r="F283" s="66">
        <f t="shared" si="252"/>
        <v>8.2326640253702319</v>
      </c>
      <c r="G283" s="66">
        <f t="shared" si="252"/>
        <v>8.1053679779279246</v>
      </c>
      <c r="H283" s="66">
        <f t="shared" si="252"/>
        <v>7.9319593395648607</v>
      </c>
      <c r="I283" s="66">
        <f t="shared" si="252"/>
        <v>7.7009375096841852</v>
      </c>
      <c r="J283" s="66">
        <f t="shared" si="252"/>
        <v>7.4024417558463229</v>
      </c>
      <c r="K283" s="66">
        <f t="shared" si="252"/>
        <v>7.0321699283010322</v>
      </c>
      <c r="L283" s="66">
        <f t="shared" si="252"/>
        <v>6.5961432670378439</v>
      </c>
      <c r="M283" s="66">
        <f t="shared" si="252"/>
        <v>6.1139892174750745</v>
      </c>
      <c r="N283" s="66">
        <f t="shared" si="252"/>
        <v>5.6175270121752394</v>
      </c>
      <c r="O283" s="66">
        <f t="shared" si="252"/>
        <v>5.1433421548288711</v>
      </c>
      <c r="P283" s="66">
        <f t="shared" si="252"/>
        <v>4.7224494946019533</v>
      </c>
      <c r="Q283" s="66">
        <f t="shared" si="252"/>
        <v>4.3728172693605067</v>
      </c>
      <c r="R283" s="66">
        <f t="shared" si="252"/>
        <v>4.0981689382712672</v>
      </c>
      <c r="S283" s="66">
        <f t="shared" si="252"/>
        <v>3.8917973633110425</v>
      </c>
      <c r="T283" s="66">
        <f t="shared" si="252"/>
        <v>3.741862616690621</v>
      </c>
      <c r="U283" s="66">
        <f t="shared" si="252"/>
        <v>3.6355782869580788</v>
      </c>
      <c r="V283" s="66">
        <f t="shared" si="252"/>
        <v>3.5615443120608479</v>
      </c>
      <c r="W283" s="66">
        <f t="shared" si="252"/>
        <v>3.510601697660988</v>
      </c>
      <c r="X283" s="66">
        <f t="shared" si="252"/>
        <v>3.4758424826050121</v>
      </c>
      <c r="Y283" s="66">
        <f t="shared" si="252"/>
        <v>3.4522617393209574</v>
      </c>
      <c r="Z283" s="66">
        <f t="shared" si="252"/>
        <v>3.4363269296495731</v>
      </c>
      <c r="AA283" s="66">
        <f t="shared" si="252"/>
        <v>3.4255873285065905</v>
      </c>
      <c r="AB283" s="66">
        <f t="shared" si="252"/>
        <v>3.4183620372217196</v>
      </c>
      <c r="AC283" s="66">
        <f t="shared" si="252"/>
        <v>3.4135068980776566</v>
      </c>
    </row>
    <row r="284" spans="1:29" ht="15" thickBot="1" x14ac:dyDescent="0.35">
      <c r="A284" s="59" t="str">
        <f t="shared" ref="A284" si="253">A272</f>
        <v>Emission Cost</v>
      </c>
      <c r="B284" s="66">
        <f>B255</f>
        <v>0.14217309718689772</v>
      </c>
      <c r="C284" s="66">
        <f t="shared" ref="C284:AC284" si="254">C255</f>
        <v>0.14203771375766058</v>
      </c>
      <c r="D284" s="66">
        <f t="shared" si="254"/>
        <v>0.14184391539413038</v>
      </c>
      <c r="E284" s="66">
        <f t="shared" si="254"/>
        <v>0.14156667320659028</v>
      </c>
      <c r="F284" s="66">
        <f t="shared" si="254"/>
        <v>0.14117043294406945</v>
      </c>
      <c r="G284" s="66">
        <f t="shared" si="254"/>
        <v>0.14060491245838053</v>
      </c>
      <c r="H284" s="66">
        <f t="shared" si="254"/>
        <v>0.13979947254939792</v>
      </c>
      <c r="I284" s="66">
        <f t="shared" si="254"/>
        <v>0.13865586333989385</v>
      </c>
      <c r="J284" s="66">
        <f t="shared" si="254"/>
        <v>0.13703948161608845</v>
      </c>
      <c r="K284" s="66">
        <f t="shared" si="254"/>
        <v>0.13477011083780754</v>
      </c>
      <c r="L284" s="66">
        <f t="shared" si="254"/>
        <v>0.13161486164889458</v>
      </c>
      <c r="M284" s="66">
        <f t="shared" si="254"/>
        <v>0.12728913304900186</v>
      </c>
      <c r="N284" s="66">
        <f t="shared" si="254"/>
        <v>0.12147581733708304</v>
      </c>
      <c r="O284" s="66">
        <f t="shared" si="254"/>
        <v>0.11387669065160279</v>
      </c>
      <c r="P284" s="66">
        <f t="shared" si="254"/>
        <v>0.10430687501035908</v>
      </c>
      <c r="Q284" s="66">
        <f t="shared" si="254"/>
        <v>9.2823370942467606E-2</v>
      </c>
      <c r="R284" s="66">
        <f t="shared" si="254"/>
        <v>7.9838127086736127E-2</v>
      </c>
      <c r="S284" s="66">
        <f t="shared" si="254"/>
        <v>6.6129658425355342E-2</v>
      </c>
      <c r="T284" s="66">
        <f t="shared" si="254"/>
        <v>5.2690946786259088E-2</v>
      </c>
      <c r="U284" s="66">
        <f t="shared" si="254"/>
        <v>4.0457410964736609E-2</v>
      </c>
      <c r="V284" s="66">
        <f t="shared" si="254"/>
        <v>3.0060647605444357E-2</v>
      </c>
      <c r="W284" s="66">
        <f t="shared" si="254"/>
        <v>2.1734702109475382E-2</v>
      </c>
      <c r="X284" s="66">
        <f t="shared" si="254"/>
        <v>1.5381636164219614E-2</v>
      </c>
      <c r="Y284" s="66">
        <f t="shared" si="254"/>
        <v>1.0711623177831281E-2</v>
      </c>
      <c r="Z284" s="66">
        <f t="shared" si="254"/>
        <v>7.3726314520740077E-3</v>
      </c>
      <c r="AA284" s="66">
        <f t="shared" si="254"/>
        <v>5.0324913534492977E-3</v>
      </c>
      <c r="AB284" s="66">
        <f t="shared" si="254"/>
        <v>3.4153107090481305E-3</v>
      </c>
      <c r="AC284" s="66">
        <f t="shared" si="254"/>
        <v>2.3085934068818315E-3</v>
      </c>
    </row>
    <row r="285" spans="1:29" ht="15" thickBot="1" x14ac:dyDescent="0.35">
      <c r="A285" s="31" t="s">
        <v>63</v>
      </c>
      <c r="B285" s="76">
        <f>B276+B277+B278-B279+B280+B281+B282+B283+B284</f>
        <v>29.249179198775451</v>
      </c>
      <c r="C285" s="76">
        <f t="shared" ref="C285:AC285" si="255">C276+C277+C278-C279+C280+C281+C282+C283+C284</f>
        <v>29.172718659508384</v>
      </c>
      <c r="D285" s="76">
        <f t="shared" si="255"/>
        <v>29.064230500401219</v>
      </c>
      <c r="E285" s="76">
        <f t="shared" si="255"/>
        <v>28.911042537189779</v>
      </c>
      <c r="F285" s="76">
        <f t="shared" si="255"/>
        <v>28.696264734322224</v>
      </c>
      <c r="G285" s="76">
        <f t="shared" si="255"/>
        <v>28.398217839067776</v>
      </c>
      <c r="H285" s="76">
        <f t="shared" si="255"/>
        <v>27.990686043676916</v>
      </c>
      <c r="I285" s="76">
        <f t="shared" si="255"/>
        <v>27.444966594094844</v>
      </c>
      <c r="J285" s="76">
        <f t="shared" si="255"/>
        <v>26.734978792640298</v>
      </c>
      <c r="K285" s="76">
        <f t="shared" si="255"/>
        <v>25.846268471103983</v>
      </c>
      <c r="L285" s="76">
        <f t="shared" si="255"/>
        <v>24.7876984294336</v>
      </c>
      <c r="M285" s="76">
        <f t="shared" si="255"/>
        <v>23.600830870880483</v>
      </c>
      <c r="N285" s="76">
        <f t="shared" si="255"/>
        <v>22.359158843729279</v>
      </c>
      <c r="O285" s="76">
        <f t="shared" si="255"/>
        <v>21.152528293796433</v>
      </c>
      <c r="P285" s="76">
        <f t="shared" si="255"/>
        <v>20.062223069069816</v>
      </c>
      <c r="Q285" s="76">
        <f t="shared" si="255"/>
        <v>19.140334966645174</v>
      </c>
      <c r="R285" s="76">
        <f t="shared" si="255"/>
        <v>18.403623149476839</v>
      </c>
      <c r="S285" s="76">
        <f t="shared" si="255"/>
        <v>17.84087647552408</v>
      </c>
      <c r="T285" s="76">
        <f t="shared" si="255"/>
        <v>17.42561556206768</v>
      </c>
      <c r="U285" s="76">
        <f t="shared" si="255"/>
        <v>17.127001810019117</v>
      </c>
      <c r="V285" s="76">
        <f t="shared" si="255"/>
        <v>16.916350451827526</v>
      </c>
      <c r="W285" s="76">
        <f t="shared" si="255"/>
        <v>16.769855685430951</v>
      </c>
      <c r="X285" s="76">
        <f t="shared" si="255"/>
        <v>16.669050164672669</v>
      </c>
      <c r="Y285" s="76">
        <f t="shared" si="255"/>
        <v>16.600221008857446</v>
      </c>
      <c r="Z285" s="76">
        <f t="shared" si="255"/>
        <v>16.553488256020636</v>
      </c>
      <c r="AA285" s="76">
        <f t="shared" si="255"/>
        <v>16.521884677470119</v>
      </c>
      <c r="AB285" s="76">
        <f t="shared" si="255"/>
        <v>16.500572050283104</v>
      </c>
      <c r="AC285" s="76">
        <f t="shared" si="255"/>
        <v>16.486227136735494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56">A264</f>
        <v>Capex vehicle</v>
      </c>
      <c r="B288" s="65">
        <f>((1+B249)^B256)*B249/(((1+B249)^B256)-1)*(B245)/B261/(B258)</f>
        <v>2.1632138711235615E-3</v>
      </c>
      <c r="C288" s="65">
        <f t="shared" ref="C288:AC288" si="257">((1+C249)^C256)*C249/(((1+C249)^C256)-1)*(C245)/C261/(C258)</f>
        <v>2.1558184071327311E-3</v>
      </c>
      <c r="D288" s="65">
        <f t="shared" si="257"/>
        <v>2.145317908418739E-3</v>
      </c>
      <c r="E288" s="65">
        <f t="shared" si="257"/>
        <v>2.1304764625200132E-3</v>
      </c>
      <c r="F288" s="65">
        <f t="shared" si="257"/>
        <v>2.1096393402400665E-3</v>
      </c>
      <c r="G288" s="65">
        <f t="shared" si="257"/>
        <v>2.0806681761613224E-3</v>
      </c>
      <c r="H288" s="65">
        <f t="shared" si="257"/>
        <v>2.0409497940227692E-3</v>
      </c>
      <c r="I288" s="65">
        <f t="shared" si="257"/>
        <v>1.9875725444783161E-3</v>
      </c>
      <c r="J288" s="65">
        <f t="shared" si="257"/>
        <v>1.9177981675974668E-3</v>
      </c>
      <c r="K288" s="65">
        <f t="shared" si="257"/>
        <v>1.829929133316432E-3</v>
      </c>
      <c r="L288" s="65">
        <f t="shared" si="257"/>
        <v>1.7244888144602143E-3</v>
      </c>
      <c r="M288" s="65">
        <f t="shared" si="257"/>
        <v>1.6052596798267933E-3</v>
      </c>
      <c r="N288" s="65">
        <f t="shared" si="257"/>
        <v>1.479389971579121E-3</v>
      </c>
      <c r="O288" s="65">
        <f t="shared" si="257"/>
        <v>1.3559971437570768E-3</v>
      </c>
      <c r="P288" s="65">
        <f t="shared" si="257"/>
        <v>1.2436701127276767E-3</v>
      </c>
      <c r="Q288" s="65">
        <f t="shared" si="257"/>
        <v>1.1482081320295062E-3</v>
      </c>
      <c r="R288" s="65">
        <f t="shared" si="257"/>
        <v>1.0717601817623844E-3</v>
      </c>
      <c r="S288" s="65">
        <f t="shared" si="257"/>
        <v>1.0134270027064077E-3</v>
      </c>
      <c r="T288" s="65">
        <f t="shared" si="257"/>
        <v>9.7054743777254216E-4</v>
      </c>
      <c r="U288" s="65">
        <f t="shared" si="257"/>
        <v>9.3988916916910165E-4</v>
      </c>
      <c r="V288" s="65">
        <f t="shared" si="257"/>
        <v>9.1840225048048251E-4</v>
      </c>
      <c r="W288" s="65">
        <f t="shared" si="257"/>
        <v>9.0355346897741005E-4</v>
      </c>
      <c r="X288" s="65">
        <f t="shared" si="257"/>
        <v>8.9339170785169349E-4</v>
      </c>
      <c r="Y288" s="65">
        <f t="shared" si="257"/>
        <v>8.8648392390972366E-4</v>
      </c>
      <c r="Z288" s="65">
        <f t="shared" si="257"/>
        <v>8.8180950338190116E-4</v>
      </c>
      <c r="AA288" s="65">
        <f t="shared" si="257"/>
        <v>8.7865613441364158E-4</v>
      </c>
      <c r="AB288" s="65">
        <f t="shared" si="257"/>
        <v>8.7653330208881694E-4</v>
      </c>
      <c r="AC288" s="65">
        <f t="shared" si="257"/>
        <v>8.7510622887057403E-4</v>
      </c>
    </row>
    <row r="289" spans="1:29" x14ac:dyDescent="0.3">
      <c r="A289" s="30" t="str">
        <f t="shared" si="256"/>
        <v>Residual value (vehicle)</v>
      </c>
      <c r="B289" s="68">
        <f>((1+B249)^B256)*B249/(((1+B249)^B256)-1)*(B246)/B261/(B258)</f>
        <v>-1.0931217673919614E-4</v>
      </c>
      <c r="C289" s="68">
        <f t="shared" ref="C289:AC289" si="258">((1+C249)^C256)*C249/(((1+C249)^C256)-1)*(C246)/C261/(C258)</f>
        <v>-1.0943543447237665E-4</v>
      </c>
      <c r="D289" s="68">
        <f t="shared" si="258"/>
        <v>-1.0961044278427652E-4</v>
      </c>
      <c r="E289" s="68">
        <f t="shared" si="258"/>
        <v>-1.0985780021592194E-4</v>
      </c>
      <c r="F289" s="68">
        <f t="shared" si="258"/>
        <v>-1.102050855872544E-4</v>
      </c>
      <c r="G289" s="68">
        <f t="shared" si="258"/>
        <v>-1.1068793832190012E-4</v>
      </c>
      <c r="H289" s="68">
        <f t="shared" si="258"/>
        <v>-1.1134991135754269E-4</v>
      </c>
      <c r="I289" s="68">
        <f t="shared" si="258"/>
        <v>-1.1223953218328357E-4</v>
      </c>
      <c r="J289" s="68">
        <f t="shared" si="258"/>
        <v>-1.1340243846463104E-4</v>
      </c>
      <c r="K289" s="68">
        <f t="shared" si="258"/>
        <v>-1.1486692236931498E-4</v>
      </c>
      <c r="L289" s="68">
        <f t="shared" si="258"/>
        <v>-1.1662426101691861E-4</v>
      </c>
      <c r="M289" s="68">
        <f t="shared" si="258"/>
        <v>-1.1861141326080898E-4</v>
      </c>
      <c r="N289" s="68">
        <f t="shared" si="258"/>
        <v>-1.2070924173160351E-4</v>
      </c>
      <c r="O289" s="68">
        <f t="shared" si="258"/>
        <v>-1.2276578886197088E-4</v>
      </c>
      <c r="P289" s="68">
        <f t="shared" si="258"/>
        <v>-1.2463790604579422E-4</v>
      </c>
      <c r="Q289" s="68">
        <f t="shared" si="258"/>
        <v>-1.2622893905743041E-4</v>
      </c>
      <c r="R289" s="68">
        <f t="shared" si="258"/>
        <v>-1.2750307156188243E-4</v>
      </c>
      <c r="S289" s="68">
        <f t="shared" si="258"/>
        <v>-1.2847529121281536E-4</v>
      </c>
      <c r="T289" s="68">
        <f t="shared" si="258"/>
        <v>-1.2918995062837979E-4</v>
      </c>
      <c r="U289" s="68">
        <f t="shared" si="258"/>
        <v>-1.2970092177177047E-4</v>
      </c>
      <c r="V289" s="68">
        <f t="shared" si="258"/>
        <v>-1.3005903708324747E-4</v>
      </c>
      <c r="W289" s="68">
        <f t="shared" si="258"/>
        <v>-1.3030651677496533E-4</v>
      </c>
      <c r="X289" s="68">
        <f t="shared" si="258"/>
        <v>-1.3047587946039396E-4</v>
      </c>
      <c r="Y289" s="68">
        <f t="shared" si="258"/>
        <v>-1.305910091927601E-4</v>
      </c>
      <c r="Z289" s="68">
        <f t="shared" si="258"/>
        <v>-1.3066891620155716E-4</v>
      </c>
      <c r="AA289" s="68">
        <f t="shared" si="258"/>
        <v>-1.3072147235102815E-4</v>
      </c>
      <c r="AB289" s="68">
        <f t="shared" si="258"/>
        <v>-1.3075685288977524E-4</v>
      </c>
      <c r="AC289" s="68">
        <f t="shared" si="258"/>
        <v>-1.3078063744341263E-4</v>
      </c>
    </row>
    <row r="290" spans="1:29" x14ac:dyDescent="0.3">
      <c r="A290" s="30" t="str">
        <f t="shared" si="256"/>
        <v>Capex costumization</v>
      </c>
      <c r="B290" s="66">
        <f>((1+B249)^B257)*B249/(((1+B249)^B257)-1)*(B247)/B261/(B258)</f>
        <v>5.087458787818432E-4</v>
      </c>
      <c r="C290" s="66">
        <f t="shared" ref="C290:AC290" si="259">((1+C249)^C257)*C249/(((1+C249)^C257)-1)*(C247)/C261/(C258)</f>
        <v>5.087458787818432E-4</v>
      </c>
      <c r="D290" s="66">
        <f t="shared" si="259"/>
        <v>5.087458787818432E-4</v>
      </c>
      <c r="E290" s="66">
        <f t="shared" si="259"/>
        <v>5.087458787818432E-4</v>
      </c>
      <c r="F290" s="66">
        <f t="shared" si="259"/>
        <v>5.087458787818432E-4</v>
      </c>
      <c r="G290" s="66">
        <f t="shared" si="259"/>
        <v>5.087458787818432E-4</v>
      </c>
      <c r="H290" s="66">
        <f t="shared" si="259"/>
        <v>5.087458787818432E-4</v>
      </c>
      <c r="I290" s="66">
        <f t="shared" si="259"/>
        <v>5.087458787818432E-4</v>
      </c>
      <c r="J290" s="66">
        <f t="shared" si="259"/>
        <v>5.087458787818432E-4</v>
      </c>
      <c r="K290" s="66">
        <f t="shared" si="259"/>
        <v>5.087458787818432E-4</v>
      </c>
      <c r="L290" s="66">
        <f t="shared" si="259"/>
        <v>5.087458787818432E-4</v>
      </c>
      <c r="M290" s="66">
        <f t="shared" si="259"/>
        <v>5.087458787818432E-4</v>
      </c>
      <c r="N290" s="66">
        <f t="shared" si="259"/>
        <v>5.087458787818432E-4</v>
      </c>
      <c r="O290" s="66">
        <f t="shared" si="259"/>
        <v>5.087458787818432E-4</v>
      </c>
      <c r="P290" s="66">
        <f t="shared" si="259"/>
        <v>5.087458787818432E-4</v>
      </c>
      <c r="Q290" s="66">
        <f t="shared" si="259"/>
        <v>5.087458787818432E-4</v>
      </c>
      <c r="R290" s="66">
        <f t="shared" si="259"/>
        <v>5.087458787818432E-4</v>
      </c>
      <c r="S290" s="66">
        <f t="shared" si="259"/>
        <v>5.087458787818432E-4</v>
      </c>
      <c r="T290" s="66">
        <f t="shared" si="259"/>
        <v>5.087458787818432E-4</v>
      </c>
      <c r="U290" s="66">
        <f t="shared" si="259"/>
        <v>5.087458787818432E-4</v>
      </c>
      <c r="V290" s="66">
        <f t="shared" si="259"/>
        <v>5.087458787818432E-4</v>
      </c>
      <c r="W290" s="66">
        <f t="shared" si="259"/>
        <v>5.087458787818432E-4</v>
      </c>
      <c r="X290" s="66">
        <f t="shared" si="259"/>
        <v>5.087458787818432E-4</v>
      </c>
      <c r="Y290" s="66">
        <f t="shared" si="259"/>
        <v>5.087458787818432E-4</v>
      </c>
      <c r="Z290" s="66">
        <f t="shared" si="259"/>
        <v>5.087458787818432E-4</v>
      </c>
      <c r="AA290" s="66">
        <f t="shared" si="259"/>
        <v>5.087458787818432E-4</v>
      </c>
      <c r="AB290" s="66">
        <f t="shared" si="259"/>
        <v>5.087458787818432E-4</v>
      </c>
      <c r="AC290" s="66">
        <f t="shared" si="259"/>
        <v>5.087458787818432E-4</v>
      </c>
    </row>
    <row r="291" spans="1:29" x14ac:dyDescent="0.3">
      <c r="A291" s="30" t="str">
        <f t="shared" si="256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60">((1+C249)^C257)*C249/(((1+C249)^C257)-1)*(C248)/C261/(C258)</f>
        <v>-2.5437293939092156E-5</v>
      </c>
      <c r="D291" s="69">
        <f t="shared" si="260"/>
        <v>-2.5437293939092156E-5</v>
      </c>
      <c r="E291" s="69">
        <f t="shared" si="260"/>
        <v>-2.5437293939092156E-5</v>
      </c>
      <c r="F291" s="69">
        <f t="shared" si="260"/>
        <v>-2.5437293939092156E-5</v>
      </c>
      <c r="G291" s="69">
        <f t="shared" si="260"/>
        <v>-2.5437293939092156E-5</v>
      </c>
      <c r="H291" s="69">
        <f t="shared" si="260"/>
        <v>-2.5437293939092156E-5</v>
      </c>
      <c r="I291" s="69">
        <f t="shared" si="260"/>
        <v>-2.5437293939092156E-5</v>
      </c>
      <c r="J291" s="69">
        <f t="shared" si="260"/>
        <v>-2.5437293939092156E-5</v>
      </c>
      <c r="K291" s="69">
        <f t="shared" si="260"/>
        <v>-2.5437293939092156E-5</v>
      </c>
      <c r="L291" s="69">
        <f t="shared" si="260"/>
        <v>-2.5437293939092156E-5</v>
      </c>
      <c r="M291" s="69">
        <f t="shared" si="260"/>
        <v>-2.5437293939092156E-5</v>
      </c>
      <c r="N291" s="69">
        <f t="shared" si="260"/>
        <v>-2.5437293939092156E-5</v>
      </c>
      <c r="O291" s="69">
        <f t="shared" si="260"/>
        <v>-2.5437293939092156E-5</v>
      </c>
      <c r="P291" s="69">
        <f t="shared" si="260"/>
        <v>-2.5437293939092156E-5</v>
      </c>
      <c r="Q291" s="69">
        <f t="shared" si="260"/>
        <v>-2.5437293939092156E-5</v>
      </c>
      <c r="R291" s="69">
        <f t="shared" si="260"/>
        <v>-2.5437293939092156E-5</v>
      </c>
      <c r="S291" s="69">
        <f t="shared" si="260"/>
        <v>-2.5437293939092156E-5</v>
      </c>
      <c r="T291" s="69">
        <f t="shared" si="260"/>
        <v>-2.5437293939092156E-5</v>
      </c>
      <c r="U291" s="69">
        <f t="shared" si="260"/>
        <v>-2.5437293939092156E-5</v>
      </c>
      <c r="V291" s="69">
        <f t="shared" si="260"/>
        <v>-2.5437293939092156E-5</v>
      </c>
      <c r="W291" s="69">
        <f t="shared" si="260"/>
        <v>-2.5437293939092156E-5</v>
      </c>
      <c r="X291" s="69">
        <f t="shared" si="260"/>
        <v>-2.5437293939092156E-5</v>
      </c>
      <c r="Y291" s="69">
        <f t="shared" si="260"/>
        <v>-2.5437293939092156E-5</v>
      </c>
      <c r="Z291" s="69">
        <f t="shared" si="260"/>
        <v>-2.5437293939092156E-5</v>
      </c>
      <c r="AA291" s="69">
        <f t="shared" si="260"/>
        <v>-2.5437293939092156E-5</v>
      </c>
      <c r="AB291" s="69">
        <f t="shared" si="260"/>
        <v>-2.5437293939092156E-5</v>
      </c>
      <c r="AC291" s="69">
        <f t="shared" si="260"/>
        <v>-2.5437293939092156E-5</v>
      </c>
    </row>
    <row r="292" spans="1:29" x14ac:dyDescent="0.3">
      <c r="A292" s="30" t="str">
        <f t="shared" si="256"/>
        <v>Opex fix (admin, crew, insurance)</v>
      </c>
      <c r="B292" s="66">
        <f>B250/B261/(B258)</f>
        <v>1.525610244097639E-3</v>
      </c>
      <c r="C292" s="66">
        <f t="shared" ref="C292:AC292" si="261">C250/C261/(C258)</f>
        <v>1.525610244097639E-3</v>
      </c>
      <c r="D292" s="66">
        <f t="shared" si="261"/>
        <v>1.525610244097639E-3</v>
      </c>
      <c r="E292" s="66">
        <f t="shared" si="261"/>
        <v>1.525610244097639E-3</v>
      </c>
      <c r="F292" s="66">
        <f t="shared" si="261"/>
        <v>1.525610244097639E-3</v>
      </c>
      <c r="G292" s="66">
        <f t="shared" si="261"/>
        <v>1.525610244097639E-3</v>
      </c>
      <c r="H292" s="66">
        <f t="shared" si="261"/>
        <v>1.525610244097639E-3</v>
      </c>
      <c r="I292" s="66">
        <f t="shared" si="261"/>
        <v>1.525610244097639E-3</v>
      </c>
      <c r="J292" s="66">
        <f t="shared" si="261"/>
        <v>1.525610244097639E-3</v>
      </c>
      <c r="K292" s="66">
        <f t="shared" si="261"/>
        <v>1.525610244097639E-3</v>
      </c>
      <c r="L292" s="66">
        <f t="shared" si="261"/>
        <v>1.525610244097639E-3</v>
      </c>
      <c r="M292" s="66">
        <f t="shared" si="261"/>
        <v>1.525610244097639E-3</v>
      </c>
      <c r="N292" s="66">
        <f t="shared" si="261"/>
        <v>1.525610244097639E-3</v>
      </c>
      <c r="O292" s="66">
        <f t="shared" si="261"/>
        <v>1.525610244097639E-3</v>
      </c>
      <c r="P292" s="66">
        <f t="shared" si="261"/>
        <v>1.525610244097639E-3</v>
      </c>
      <c r="Q292" s="66">
        <f t="shared" si="261"/>
        <v>1.525610244097639E-3</v>
      </c>
      <c r="R292" s="66">
        <f t="shared" si="261"/>
        <v>1.525610244097639E-3</v>
      </c>
      <c r="S292" s="66">
        <f t="shared" si="261"/>
        <v>1.525610244097639E-3</v>
      </c>
      <c r="T292" s="66">
        <f t="shared" si="261"/>
        <v>1.525610244097639E-3</v>
      </c>
      <c r="U292" s="66">
        <f t="shared" si="261"/>
        <v>1.525610244097639E-3</v>
      </c>
      <c r="V292" s="66">
        <f t="shared" si="261"/>
        <v>1.525610244097639E-3</v>
      </c>
      <c r="W292" s="66">
        <f t="shared" si="261"/>
        <v>1.525610244097639E-3</v>
      </c>
      <c r="X292" s="66">
        <f t="shared" si="261"/>
        <v>1.525610244097639E-3</v>
      </c>
      <c r="Y292" s="66">
        <f t="shared" si="261"/>
        <v>1.525610244097639E-3</v>
      </c>
      <c r="Z292" s="66">
        <f t="shared" si="261"/>
        <v>1.525610244097639E-3</v>
      </c>
      <c r="AA292" s="66">
        <f t="shared" si="261"/>
        <v>1.525610244097639E-3</v>
      </c>
      <c r="AB292" s="66">
        <f t="shared" si="261"/>
        <v>1.525610244097639E-3</v>
      </c>
      <c r="AC292" s="66">
        <f t="shared" si="261"/>
        <v>1.525610244097639E-3</v>
      </c>
    </row>
    <row r="293" spans="1:29" x14ac:dyDescent="0.3">
      <c r="A293" s="30" t="str">
        <f t="shared" si="256"/>
        <v>Opex maintenance &amp; repair</v>
      </c>
      <c r="B293" s="66">
        <f>B251/B261/(B258)</f>
        <v>3.4736649752972778E-3</v>
      </c>
      <c r="C293" s="66">
        <f t="shared" ref="C293:AC293" si="262">C251/C261/(C258)</f>
        <v>3.4617894207883393E-3</v>
      </c>
      <c r="D293" s="66">
        <f t="shared" si="262"/>
        <v>3.44492783576762E-3</v>
      </c>
      <c r="E293" s="66">
        <f t="shared" si="262"/>
        <v>3.4210956056357029E-3</v>
      </c>
      <c r="F293" s="66">
        <f t="shared" si="262"/>
        <v>3.387635584499539E-3</v>
      </c>
      <c r="G293" s="66">
        <f t="shared" si="262"/>
        <v>3.3411140087564748E-3</v>
      </c>
      <c r="H293" s="66">
        <f t="shared" si="262"/>
        <v>3.2773346687883435E-3</v>
      </c>
      <c r="I293" s="66">
        <f t="shared" si="262"/>
        <v>3.1916220701889431E-3</v>
      </c>
      <c r="J293" s="66">
        <f t="shared" si="262"/>
        <v>3.0795791453632469E-3</v>
      </c>
      <c r="K293" s="66">
        <f t="shared" si="262"/>
        <v>2.9384800192575641E-3</v>
      </c>
      <c r="L293" s="66">
        <f t="shared" si="262"/>
        <v>2.7691651181817939E-3</v>
      </c>
      <c r="M293" s="66">
        <f t="shared" si="262"/>
        <v>2.5777082888133671E-3</v>
      </c>
      <c r="N293" s="66">
        <f t="shared" si="262"/>
        <v>2.3755880995767228E-3</v>
      </c>
      <c r="O293" s="66">
        <f t="shared" si="262"/>
        <v>2.1774452576090466E-3</v>
      </c>
      <c r="P293" s="66">
        <f t="shared" si="262"/>
        <v>1.9970717500818881E-3</v>
      </c>
      <c r="Q293" s="66">
        <f t="shared" si="262"/>
        <v>1.8437799543652188E-3</v>
      </c>
      <c r="R293" s="66">
        <f t="shared" si="262"/>
        <v>1.7210206790013629E-3</v>
      </c>
      <c r="S293" s="66">
        <f t="shared" si="262"/>
        <v>1.6273499034532913E-3</v>
      </c>
      <c r="T293" s="66">
        <f t="shared" si="262"/>
        <v>1.5584943710184004E-3</v>
      </c>
      <c r="U293" s="66">
        <f t="shared" si="262"/>
        <v>1.5092636614373297E-3</v>
      </c>
      <c r="V293" s="66">
        <f t="shared" si="262"/>
        <v>1.4747602043949845E-3</v>
      </c>
      <c r="W293" s="66">
        <f t="shared" si="262"/>
        <v>1.4509161948305144E-3</v>
      </c>
      <c r="X293" s="66">
        <f t="shared" si="262"/>
        <v>1.4345985508929758E-3</v>
      </c>
      <c r="Y293" s="66">
        <f t="shared" si="262"/>
        <v>1.4235061076276786E-3</v>
      </c>
      <c r="Z293" s="66">
        <f t="shared" si="262"/>
        <v>1.4159999747001592E-3</v>
      </c>
      <c r="AA293" s="66">
        <f t="shared" si="262"/>
        <v>1.4109363295906981E-3</v>
      </c>
      <c r="AB293" s="66">
        <f t="shared" si="262"/>
        <v>1.4075275088570635E-3</v>
      </c>
      <c r="AC293" s="66">
        <f t="shared" si="262"/>
        <v>1.4052359304229719E-3</v>
      </c>
    </row>
    <row r="294" spans="1:29" x14ac:dyDescent="0.3">
      <c r="A294" s="30" t="str">
        <f t="shared" si="256"/>
        <v>Opex var (mode-fees, shunting)</v>
      </c>
      <c r="B294" s="66">
        <f>B252*B261/B261/(B258)</f>
        <v>1.6256502601040416E-3</v>
      </c>
      <c r="C294" s="66">
        <f t="shared" ref="C294:AC294" si="263">C252*C261/C261/(C258)</f>
        <v>1.6256502601040416E-3</v>
      </c>
      <c r="D294" s="66">
        <f t="shared" si="263"/>
        <v>1.6256502601040416E-3</v>
      </c>
      <c r="E294" s="66">
        <f t="shared" si="263"/>
        <v>1.6256502601040416E-3</v>
      </c>
      <c r="F294" s="66">
        <f t="shared" si="263"/>
        <v>1.6256502601040416E-3</v>
      </c>
      <c r="G294" s="66">
        <f t="shared" si="263"/>
        <v>1.6256502601040416E-3</v>
      </c>
      <c r="H294" s="66">
        <f t="shared" si="263"/>
        <v>1.6256502601040416E-3</v>
      </c>
      <c r="I294" s="66">
        <f t="shared" si="263"/>
        <v>1.6256502601040416E-3</v>
      </c>
      <c r="J294" s="66">
        <f t="shared" si="263"/>
        <v>1.6256502601040416E-3</v>
      </c>
      <c r="K294" s="66">
        <f t="shared" si="263"/>
        <v>1.6256502601040416E-3</v>
      </c>
      <c r="L294" s="66">
        <f t="shared" si="263"/>
        <v>1.6256502601040416E-3</v>
      </c>
      <c r="M294" s="66">
        <f t="shared" si="263"/>
        <v>1.6256502601040416E-3</v>
      </c>
      <c r="N294" s="66">
        <f t="shared" si="263"/>
        <v>1.6256502601040416E-3</v>
      </c>
      <c r="O294" s="66">
        <f t="shared" si="263"/>
        <v>1.6256502601040416E-3</v>
      </c>
      <c r="P294" s="66">
        <f t="shared" si="263"/>
        <v>1.6256502601040416E-3</v>
      </c>
      <c r="Q294" s="66">
        <f t="shared" si="263"/>
        <v>1.6256502601040416E-3</v>
      </c>
      <c r="R294" s="66">
        <f t="shared" si="263"/>
        <v>1.6256502601040416E-3</v>
      </c>
      <c r="S294" s="66">
        <f t="shared" si="263"/>
        <v>1.6256502601040416E-3</v>
      </c>
      <c r="T294" s="66">
        <f t="shared" si="263"/>
        <v>1.6256502601040416E-3</v>
      </c>
      <c r="U294" s="66">
        <f t="shared" si="263"/>
        <v>1.6256502601040416E-3</v>
      </c>
      <c r="V294" s="66">
        <f t="shared" si="263"/>
        <v>1.6256502601040416E-3</v>
      </c>
      <c r="W294" s="66">
        <f t="shared" si="263"/>
        <v>1.6256502601040416E-3</v>
      </c>
      <c r="X294" s="66">
        <f t="shared" si="263"/>
        <v>1.6256502601040416E-3</v>
      </c>
      <c r="Y294" s="66">
        <f t="shared" si="263"/>
        <v>1.6256502601040416E-3</v>
      </c>
      <c r="Z294" s="66">
        <f t="shared" si="263"/>
        <v>1.6256502601040416E-3</v>
      </c>
      <c r="AA294" s="66">
        <f t="shared" si="263"/>
        <v>1.6256502601040416E-3</v>
      </c>
      <c r="AB294" s="66">
        <f t="shared" si="263"/>
        <v>1.6256502601040416E-3</v>
      </c>
      <c r="AC294" s="66">
        <f t="shared" si="263"/>
        <v>1.6256502601040416E-3</v>
      </c>
    </row>
    <row r="295" spans="1:29" x14ac:dyDescent="0.3">
      <c r="A295" s="30" t="str">
        <f t="shared" si="256"/>
        <v>Fuel Cost</v>
      </c>
      <c r="B295" s="66">
        <f>B253*B254*B261/B261/(B258)</f>
        <v>3.7811888058906298E-3</v>
      </c>
      <c r="C295" s="66">
        <f t="shared" ref="C295:AC295" si="264">C253*C254*C261/C261/(C258)</f>
        <v>3.766509351838834E-3</v>
      </c>
      <c r="D295" s="66">
        <f t="shared" si="264"/>
        <v>3.7457007471248947E-3</v>
      </c>
      <c r="E295" s="66">
        <f t="shared" si="264"/>
        <v>3.7163580658443711E-3</v>
      </c>
      <c r="F295" s="66">
        <f t="shared" si="264"/>
        <v>3.6752964398974251E-3</v>
      </c>
      <c r="G295" s="66">
        <f t="shared" si="264"/>
        <v>3.618467847289252E-3</v>
      </c>
      <c r="H295" s="66">
        <f t="shared" si="264"/>
        <v>3.5410532765914556E-3</v>
      </c>
      <c r="I295" s="66">
        <f t="shared" si="264"/>
        <v>3.4379185311090112E-3</v>
      </c>
      <c r="J295" s="66">
        <f t="shared" si="264"/>
        <v>3.3046614981456801E-3</v>
      </c>
      <c r="K295" s="66">
        <f t="shared" si="264"/>
        <v>3.1393615751343896E-3</v>
      </c>
      <c r="L295" s="66">
        <f t="shared" si="264"/>
        <v>2.9447068156418948E-3</v>
      </c>
      <c r="M295" s="66">
        <f t="shared" si="264"/>
        <v>2.7294594720870869E-3</v>
      </c>
      <c r="N295" s="66">
        <f t="shared" si="264"/>
        <v>2.5078245590068032E-3</v>
      </c>
      <c r="O295" s="66">
        <f t="shared" si="264"/>
        <v>2.2961348905486032E-3</v>
      </c>
      <c r="P295" s="66">
        <f t="shared" si="264"/>
        <v>2.1082363815187292E-3</v>
      </c>
      <c r="Q295" s="66">
        <f t="shared" si="264"/>
        <v>1.9521505666787976E-3</v>
      </c>
      <c r="R295" s="66">
        <f t="shared" si="264"/>
        <v>1.829539704585387E-3</v>
      </c>
      <c r="S295" s="66">
        <f t="shared" si="264"/>
        <v>1.7374095371924297E-3</v>
      </c>
      <c r="T295" s="66">
        <f t="shared" si="264"/>
        <v>1.67047438245117E-3</v>
      </c>
      <c r="U295" s="66">
        <f t="shared" si="264"/>
        <v>1.6230260209634281E-3</v>
      </c>
      <c r="V295" s="66">
        <f t="shared" si="264"/>
        <v>1.5899751393128785E-3</v>
      </c>
      <c r="W295" s="66">
        <f t="shared" si="264"/>
        <v>1.5672329007415124E-3</v>
      </c>
      <c r="X295" s="66">
        <f t="shared" si="264"/>
        <v>1.5517153940200947E-3</v>
      </c>
      <c r="Y295" s="66">
        <f t="shared" si="264"/>
        <v>1.5411882764825703E-3</v>
      </c>
      <c r="Z295" s="66">
        <f t="shared" si="264"/>
        <v>1.534074522164988E-3</v>
      </c>
      <c r="AA295" s="66">
        <f t="shared" si="264"/>
        <v>1.5292800573690137E-3</v>
      </c>
      <c r="AB295" s="66">
        <f t="shared" si="264"/>
        <v>1.5260544809025535E-3</v>
      </c>
      <c r="AC295" s="66">
        <f t="shared" si="264"/>
        <v>1.5238870080703825E-3</v>
      </c>
    </row>
    <row r="296" spans="1:29" x14ac:dyDescent="0.3">
      <c r="A296" s="59" t="str">
        <f>A259</f>
        <v>Market failure (av. utilization)</v>
      </c>
      <c r="B296" s="66">
        <f t="shared" ref="B296:AC296" si="265">B285/B259-B285/B258</f>
        <v>2.7747547230981169E-2</v>
      </c>
      <c r="C296" s="66">
        <f t="shared" si="265"/>
        <v>2.7675012121185408E-2</v>
      </c>
      <c r="D296" s="66">
        <f t="shared" si="265"/>
        <v>2.7572093666675256E-2</v>
      </c>
      <c r="E296" s="66">
        <f t="shared" si="265"/>
        <v>2.7426770264075119E-2</v>
      </c>
      <c r="F296" s="66">
        <f t="shared" si="265"/>
        <v>2.7223019000194068E-2</v>
      </c>
      <c r="G296" s="66">
        <f t="shared" si="265"/>
        <v>2.6940273619651345E-2</v>
      </c>
      <c r="H296" s="66">
        <f t="shared" si="265"/>
        <v>2.6553664215541714E-2</v>
      </c>
      <c r="I296" s="66">
        <f t="shared" si="265"/>
        <v>2.603596161270158E-2</v>
      </c>
      <c r="J296" s="66">
        <f t="shared" si="265"/>
        <v>2.536242407783957E-2</v>
      </c>
      <c r="K296" s="66">
        <f t="shared" si="265"/>
        <v>2.4519339509417835E-2</v>
      </c>
      <c r="L296" s="66">
        <f t="shared" si="265"/>
        <v>2.3515115697565356E-2</v>
      </c>
      <c r="M296" s="66">
        <f t="shared" si="265"/>
        <v>2.2389181071705816E-2</v>
      </c>
      <c r="N296" s="66">
        <f t="shared" si="265"/>
        <v>2.121125559951996E-2</v>
      </c>
      <c r="O296" s="66">
        <f t="shared" si="265"/>
        <v>2.0066572600141701E-2</v>
      </c>
      <c r="P296" s="66">
        <f t="shared" si="265"/>
        <v>1.9032242866863103E-2</v>
      </c>
      <c r="Q296" s="66">
        <f t="shared" si="265"/>
        <v>1.8157683841125441E-2</v>
      </c>
      <c r="R296" s="66">
        <f t="shared" si="265"/>
        <v>1.7458794282427803E-2</v>
      </c>
      <c r="S296" s="66">
        <f t="shared" si="265"/>
        <v>1.6924938620753865E-2</v>
      </c>
      <c r="T296" s="66">
        <f t="shared" si="265"/>
        <v>1.6530996905979381E-2</v>
      </c>
      <c r="U296" s="66">
        <f t="shared" si="265"/>
        <v>1.6247713770665455E-2</v>
      </c>
      <c r="V296" s="66">
        <f t="shared" si="265"/>
        <v>1.6047877102738164E-2</v>
      </c>
      <c r="W296" s="66">
        <f t="shared" si="265"/>
        <v>1.590890327300927E-2</v>
      </c>
      <c r="X296" s="66">
        <f t="shared" si="265"/>
        <v>1.5813273035682775E-2</v>
      </c>
      <c r="Y296" s="66">
        <f t="shared" si="265"/>
        <v>1.5747977519563423E-2</v>
      </c>
      <c r="Z296" s="66">
        <f t="shared" si="265"/>
        <v>1.5703643992876718E-2</v>
      </c>
      <c r="AA296" s="66">
        <f t="shared" si="265"/>
        <v>1.5673662919475001E-2</v>
      </c>
      <c r="AB296" s="66">
        <f t="shared" si="265"/>
        <v>1.5653444467344461E-2</v>
      </c>
      <c r="AC296" s="66">
        <f t="shared" si="265"/>
        <v>1.5639836011412018E-2</v>
      </c>
    </row>
    <row r="297" spans="1:29" x14ac:dyDescent="0.3">
      <c r="A297" s="59" t="str">
        <f>A260</f>
        <v>Payload loss (fuel)</v>
      </c>
      <c r="B297" s="66">
        <f>B285/(B258-B260)-B285/B258</f>
        <v>2.3741216882122891E-4</v>
      </c>
      <c r="C297" s="66">
        <f t="shared" ref="C297:AC297" si="266">C285/(C258-C260)-C285/C258</f>
        <v>2.3679154756094459E-4</v>
      </c>
      <c r="D297" s="66">
        <f t="shared" si="266"/>
        <v>2.3591096185390618E-4</v>
      </c>
      <c r="E297" s="66">
        <f t="shared" si="266"/>
        <v>2.346675530616061E-4</v>
      </c>
      <c r="F297" s="66">
        <f t="shared" si="266"/>
        <v>2.3292422673962775E-4</v>
      </c>
      <c r="G297" s="66">
        <f t="shared" si="266"/>
        <v>2.3050501492749911E-4</v>
      </c>
      <c r="H297" s="66">
        <f t="shared" si="266"/>
        <v>2.2719712697789711E-4</v>
      </c>
      <c r="I297" s="66">
        <f t="shared" si="266"/>
        <v>2.2276758599103046E-4</v>
      </c>
      <c r="J297" s="66">
        <f t="shared" si="266"/>
        <v>2.1700469799221071E-4</v>
      </c>
      <c r="K297" s="66">
        <f t="shared" si="266"/>
        <v>2.0979114018753083E-4</v>
      </c>
      <c r="L297" s="66">
        <f t="shared" si="266"/>
        <v>2.0119885088825881E-4</v>
      </c>
      <c r="M297" s="66">
        <f t="shared" si="266"/>
        <v>1.9156518564026476E-4</v>
      </c>
      <c r="N297" s="66">
        <f t="shared" si="266"/>
        <v>1.8148667892637499E-4</v>
      </c>
      <c r="O297" s="66">
        <f t="shared" si="266"/>
        <v>1.7169259978730943E-4</v>
      </c>
      <c r="P297" s="66">
        <f t="shared" si="266"/>
        <v>1.628427197164755E-4</v>
      </c>
      <c r="Q297" s="66">
        <f t="shared" si="266"/>
        <v>1.5535986174224949E-4</v>
      </c>
      <c r="R297" s="66">
        <f t="shared" si="266"/>
        <v>1.4938005803146782E-4</v>
      </c>
      <c r="S297" s="66">
        <f t="shared" si="266"/>
        <v>1.4481230905457818E-4</v>
      </c>
      <c r="T297" s="66">
        <f t="shared" si="266"/>
        <v>1.414416847570427E-4</v>
      </c>
      <c r="U297" s="66">
        <f t="shared" si="266"/>
        <v>1.3901787183457064E-4</v>
      </c>
      <c r="V297" s="66">
        <f t="shared" si="266"/>
        <v>1.3730803938171669E-4</v>
      </c>
      <c r="W297" s="66">
        <f t="shared" si="266"/>
        <v>1.3611895848564086E-4</v>
      </c>
      <c r="X297" s="66">
        <f t="shared" si="266"/>
        <v>1.3530073185610923E-4</v>
      </c>
      <c r="Y297" s="66">
        <f t="shared" si="266"/>
        <v>1.3474205364332349E-4</v>
      </c>
      <c r="Z297" s="66">
        <f t="shared" si="266"/>
        <v>1.3436272935081657E-4</v>
      </c>
      <c r="AA297" s="66">
        <f t="shared" si="266"/>
        <v>1.3410620679764687E-4</v>
      </c>
      <c r="AB297" s="66">
        <f t="shared" si="266"/>
        <v>1.3393321469385659E-4</v>
      </c>
      <c r="AC297" s="66">
        <f t="shared" si="266"/>
        <v>1.3381677870726895E-4</v>
      </c>
    </row>
    <row r="298" spans="1:29" ht="15" thickBot="1" x14ac:dyDescent="0.35">
      <c r="A298" s="59" t="str">
        <f>A235</f>
        <v>Emission Cost</v>
      </c>
      <c r="B298" s="68">
        <f>B255*B261/B261/(B258)</f>
        <v>6.3470132672722201E-5</v>
      </c>
      <c r="C298" s="68">
        <f t="shared" ref="C298:AC298" si="267">C255*C261/C261/(C258)</f>
        <v>6.3409693641812759E-5</v>
      </c>
      <c r="D298" s="68">
        <f t="shared" si="267"/>
        <v>6.3323176515236784E-5</v>
      </c>
      <c r="E298" s="68">
        <f t="shared" si="267"/>
        <v>6.319940768151351E-5</v>
      </c>
      <c r="F298" s="68">
        <f t="shared" si="267"/>
        <v>6.3022514707173862E-5</v>
      </c>
      <c r="G298" s="68">
        <f t="shared" si="267"/>
        <v>6.2770050204634162E-5</v>
      </c>
      <c r="H298" s="68">
        <f t="shared" si="267"/>
        <v>6.2410478816695501E-5</v>
      </c>
      <c r="I298" s="68">
        <f t="shared" si="267"/>
        <v>6.1899938991024039E-5</v>
      </c>
      <c r="J298" s="68">
        <f t="shared" si="267"/>
        <v>6.1178340007182337E-5</v>
      </c>
      <c r="K298" s="68">
        <f t="shared" si="267"/>
        <v>6.0165228052592656E-5</v>
      </c>
      <c r="L298" s="68">
        <f t="shared" si="267"/>
        <v>5.8756634664685076E-5</v>
      </c>
      <c r="M298" s="68">
        <f t="shared" si="267"/>
        <v>5.6825505825447255E-5</v>
      </c>
      <c r="N298" s="68">
        <f t="shared" si="267"/>
        <v>5.4230275596912073E-5</v>
      </c>
      <c r="O298" s="68">
        <f t="shared" si="267"/>
        <v>5.0837808326608381E-5</v>
      </c>
      <c r="P298" s="68">
        <f t="shared" si="267"/>
        <v>4.6565569201053159E-5</v>
      </c>
      <c r="Q298" s="68">
        <f t="shared" si="267"/>
        <v>4.143900488503018E-5</v>
      </c>
      <c r="R298" s="68">
        <f t="shared" si="267"/>
        <v>3.5642021020864345E-5</v>
      </c>
      <c r="S298" s="68">
        <f t="shared" si="267"/>
        <v>2.9522168939890776E-5</v>
      </c>
      <c r="T298" s="68">
        <f t="shared" si="267"/>
        <v>2.3522744101008524E-5</v>
      </c>
      <c r="U298" s="68">
        <f t="shared" si="267"/>
        <v>1.8061344180685985E-5</v>
      </c>
      <c r="V298" s="68">
        <f t="shared" si="267"/>
        <v>1.3419931966716231E-5</v>
      </c>
      <c r="W298" s="68">
        <f t="shared" si="267"/>
        <v>9.7029920131586533E-6</v>
      </c>
      <c r="X298" s="68">
        <f t="shared" si="267"/>
        <v>6.8668018590266139E-6</v>
      </c>
      <c r="Y298" s="68">
        <f t="shared" si="267"/>
        <v>4.7819746329603935E-6</v>
      </c>
      <c r="Z298" s="68">
        <f t="shared" si="267"/>
        <v>3.2913533268187533E-6</v>
      </c>
      <c r="AA298" s="68">
        <f t="shared" si="267"/>
        <v>2.2466479256470077E-6</v>
      </c>
      <c r="AB298" s="68">
        <f t="shared" si="267"/>
        <v>1.5246922808250581E-6</v>
      </c>
      <c r="AC298" s="68">
        <f t="shared" si="267"/>
        <v>1.0306220566436748E-6</v>
      </c>
    </row>
    <row r="299" spans="1:29" ht="15" thickBot="1" x14ac:dyDescent="0.35">
      <c r="A299" s="31" t="s">
        <v>210</v>
      </c>
      <c r="B299" s="67">
        <f>B288+B289+B290+B291+B292+B293+B294+B295+B296+B297+B298</f>
        <v>4.0991754097091826E-2</v>
      </c>
      <c r="C299" s="67">
        <f t="shared" ref="C299:AC299" si="268">C288+C289+C290+C291+C292+C293+C294+C295+C296+C297+C298</f>
        <v>4.0884464196720122E-2</v>
      </c>
      <c r="D299" s="67">
        <f t="shared" si="268"/>
        <v>4.0732232942615812E-2</v>
      </c>
      <c r="E299" s="67">
        <f t="shared" si="268"/>
        <v>4.0517278647646836E-2</v>
      </c>
      <c r="F299" s="67">
        <f t="shared" si="268"/>
        <v>4.021590110973508E-2</v>
      </c>
      <c r="G299" s="67">
        <f t="shared" si="268"/>
        <v>3.9797679867713057E-2</v>
      </c>
      <c r="H299" s="67">
        <f t="shared" si="268"/>
        <v>3.9225828738425762E-2</v>
      </c>
      <c r="I299" s="67">
        <f t="shared" si="268"/>
        <v>3.8460071840321054E-2</v>
      </c>
      <c r="J299" s="67">
        <f t="shared" si="268"/>
        <v>3.7463812577525159E-2</v>
      </c>
      <c r="K299" s="67">
        <f t="shared" si="268"/>
        <v>3.6216768772041455E-2</v>
      </c>
      <c r="L299" s="67">
        <f t="shared" si="268"/>
        <v>3.4731376759429715E-2</v>
      </c>
      <c r="M299" s="67">
        <f t="shared" si="268"/>
        <v>3.3065956879682397E-2</v>
      </c>
      <c r="N299" s="67">
        <f t="shared" si="268"/>
        <v>3.1323635031518721E-2</v>
      </c>
      <c r="O299" s="67">
        <f t="shared" si="268"/>
        <v>2.9630483600352805E-2</v>
      </c>
      <c r="P299" s="67">
        <f t="shared" si="268"/>
        <v>2.8100560583107566E-2</v>
      </c>
      <c r="Q299" s="67">
        <f t="shared" si="268"/>
        <v>2.6806961510813247E-2</v>
      </c>
      <c r="R299" s="67">
        <f t="shared" si="268"/>
        <v>2.5773202944311815E-2</v>
      </c>
      <c r="S299" s="67">
        <f t="shared" si="268"/>
        <v>2.4983553339932081E-2</v>
      </c>
      <c r="T299" s="67">
        <f t="shared" si="268"/>
        <v>2.4400856664495596E-2</v>
      </c>
      <c r="U299" s="67">
        <f t="shared" si="268"/>
        <v>2.3981840005523235E-2</v>
      </c>
      <c r="V299" s="67">
        <f t="shared" si="268"/>
        <v>2.3686252720236126E-2</v>
      </c>
      <c r="W299" s="67">
        <f t="shared" si="268"/>
        <v>2.3480690360326975E-2</v>
      </c>
      <c r="X299" s="67">
        <f t="shared" si="268"/>
        <v>2.3339239431746716E-2</v>
      </c>
      <c r="Y299" s="67">
        <f t="shared" si="268"/>
        <v>2.3242657935711352E-2</v>
      </c>
      <c r="Z299" s="67">
        <f t="shared" si="268"/>
        <v>2.3177082248644277E-2</v>
      </c>
      <c r="AA299" s="67">
        <f t="shared" si="268"/>
        <v>2.3132735912265053E-2</v>
      </c>
      <c r="AB299" s="67">
        <f t="shared" si="268"/>
        <v>2.3102829902322233E-2</v>
      </c>
      <c r="AC299" s="67">
        <f t="shared" si="268"/>
        <v>2.3082701031140882E-2</v>
      </c>
    </row>
    <row r="301" spans="1:29" x14ac:dyDescent="0.3">
      <c r="B301" s="40"/>
    </row>
    <row r="324" spans="1:44" s="3" customFormat="1" ht="21" x14ac:dyDescent="0.4">
      <c r="A324" s="2" t="str">
        <f>'Parameter Input'!A112</f>
        <v>Railway long-haul: Break bulk</v>
      </c>
    </row>
    <row r="325" spans="1:44" s="3" customFormat="1" ht="21" x14ac:dyDescent="0.4">
      <c r="A325" s="2" t="s">
        <v>103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Input'!$L$113</f>
        <v>10000000</v>
      </c>
      <c r="C334" s="42">
        <f>'Parameter Input'!$M$113</f>
        <v>4000000</v>
      </c>
      <c r="D334" s="1" t="s">
        <v>15</v>
      </c>
      <c r="L334" s="51">
        <f>'Parameter Input'!$O$113</f>
        <v>12</v>
      </c>
      <c r="M334" s="52">
        <v>0</v>
      </c>
      <c r="N334" s="52">
        <v>1</v>
      </c>
      <c r="O334" s="52">
        <f>'Parameter Input'!$P$113</f>
        <v>0.9</v>
      </c>
      <c r="P334" s="53">
        <f>'Parameter Input'!$Q$113</f>
        <v>0.4</v>
      </c>
      <c r="Q334" s="4">
        <f t="shared" ref="Q334:AR343" si="269">$N334+($M334-$N334)*((1/(1+EXP(-$P334*(Q$9-$L334)))^$O334))</f>
        <v>0.9867978615748374</v>
      </c>
      <c r="R334" s="4">
        <f t="shared" si="269"/>
        <v>0.98114509762858249</v>
      </c>
      <c r="S334" s="4">
        <f t="shared" si="269"/>
        <v>0.97311898315872036</v>
      </c>
      <c r="T334" s="4">
        <f t="shared" si="269"/>
        <v>0.96177484161592774</v>
      </c>
      <c r="U334" s="4">
        <f t="shared" si="269"/>
        <v>0.94584787155511363</v>
      </c>
      <c r="V334" s="4">
        <f t="shared" si="269"/>
        <v>0.92370360150141495</v>
      </c>
      <c r="W334" s="4">
        <f t="shared" si="269"/>
        <v>0.89334463567658451</v>
      </c>
      <c r="X334" s="4">
        <f t="shared" si="269"/>
        <v>0.85254543874327005</v>
      </c>
      <c r="Y334" s="4">
        <f t="shared" si="269"/>
        <v>0.79921300652623883</v>
      </c>
      <c r="Z334" s="4">
        <f t="shared" si="269"/>
        <v>0.73204982249993378</v>
      </c>
      <c r="AA334" s="4">
        <f t="shared" si="269"/>
        <v>0.65145592958786691</v>
      </c>
      <c r="AB334" s="4">
        <f t="shared" si="269"/>
        <v>0.56032247880849573</v>
      </c>
      <c r="AC334" s="4">
        <f t="shared" si="269"/>
        <v>0.46411326873185343</v>
      </c>
      <c r="AD334" s="4">
        <f t="shared" si="269"/>
        <v>0.36979727595523937</v>
      </c>
      <c r="AE334" s="4">
        <f t="shared" si="269"/>
        <v>0.28393948637231203</v>
      </c>
      <c r="AF334" s="4">
        <f t="shared" si="269"/>
        <v>0.21097259161117732</v>
      </c>
      <c r="AG334" s="4">
        <f t="shared" si="269"/>
        <v>0.15253917653798199</v>
      </c>
      <c r="AH334" s="4">
        <f t="shared" si="269"/>
        <v>0.10795188737709993</v>
      </c>
      <c r="AI334" s="4">
        <f t="shared" si="269"/>
        <v>7.5176653938091809E-2</v>
      </c>
      <c r="AJ334" s="4">
        <f t="shared" si="269"/>
        <v>5.1742836177502194E-2</v>
      </c>
      <c r="AK334" s="4">
        <f t="shared" si="269"/>
        <v>3.5319190625345942E-2</v>
      </c>
      <c r="AL334" s="4">
        <f t="shared" si="269"/>
        <v>2.3969442072658165E-2</v>
      </c>
      <c r="AM334" s="4">
        <f t="shared" si="269"/>
        <v>1.6202243558389728E-2</v>
      </c>
      <c r="AN334" s="4">
        <f t="shared" si="269"/>
        <v>1.0922240564108399E-2</v>
      </c>
      <c r="AO334" s="4">
        <f t="shared" si="269"/>
        <v>7.3493212906090566E-3</v>
      </c>
      <c r="AP334" s="4">
        <f t="shared" si="269"/>
        <v>4.9390262185057265E-3</v>
      </c>
      <c r="AQ334" s="4">
        <f t="shared" si="269"/>
        <v>3.3164275492956197E-3</v>
      </c>
      <c r="AR334" s="4">
        <f t="shared" si="269"/>
        <v>2.2256362146679809E-3</v>
      </c>
    </row>
    <row r="335" spans="1:44" x14ac:dyDescent="0.3">
      <c r="A335" s="24" t="s">
        <v>28</v>
      </c>
      <c r="B335" s="60">
        <f>'Parameter Input'!$L$114</f>
        <v>-500000</v>
      </c>
      <c r="C335" s="61">
        <f>'Parameter Input'!$M$114</f>
        <v>-600000</v>
      </c>
      <c r="D335" s="1" t="s">
        <v>15</v>
      </c>
      <c r="L335" s="54">
        <f>'Parameter Input'!$O$114</f>
        <v>12</v>
      </c>
      <c r="M335" s="37">
        <v>0</v>
      </c>
      <c r="N335" s="37">
        <v>1</v>
      </c>
      <c r="O335" s="37">
        <f>'Parameter Input'!$P$114</f>
        <v>0.9</v>
      </c>
      <c r="P335" s="55">
        <f>'Parameter Input'!$Q$114</f>
        <v>0.4</v>
      </c>
      <c r="Q335" s="4">
        <f t="shared" si="269"/>
        <v>0.9867978615748374</v>
      </c>
      <c r="R335" s="4">
        <f t="shared" si="269"/>
        <v>0.98114509762858249</v>
      </c>
      <c r="S335" s="4">
        <f t="shared" si="269"/>
        <v>0.97311898315872036</v>
      </c>
      <c r="T335" s="4">
        <f t="shared" si="269"/>
        <v>0.96177484161592774</v>
      </c>
      <c r="U335" s="4">
        <f t="shared" si="269"/>
        <v>0.94584787155511363</v>
      </c>
      <c r="V335" s="4">
        <f t="shared" si="269"/>
        <v>0.92370360150141495</v>
      </c>
      <c r="W335" s="4">
        <f t="shared" si="269"/>
        <v>0.89334463567658451</v>
      </c>
      <c r="X335" s="4">
        <f t="shared" si="269"/>
        <v>0.85254543874327005</v>
      </c>
      <c r="Y335" s="4">
        <f t="shared" si="269"/>
        <v>0.79921300652623883</v>
      </c>
      <c r="Z335" s="4">
        <f t="shared" si="269"/>
        <v>0.73204982249993378</v>
      </c>
      <c r="AA335" s="4">
        <f t="shared" si="269"/>
        <v>0.65145592958786691</v>
      </c>
      <c r="AB335" s="4">
        <f t="shared" si="269"/>
        <v>0.56032247880849573</v>
      </c>
      <c r="AC335" s="4">
        <f t="shared" si="269"/>
        <v>0.46411326873185343</v>
      </c>
      <c r="AD335" s="4">
        <f t="shared" si="269"/>
        <v>0.36979727595523937</v>
      </c>
      <c r="AE335" s="4">
        <f t="shared" si="269"/>
        <v>0.28393948637231203</v>
      </c>
      <c r="AF335" s="4">
        <f t="shared" si="269"/>
        <v>0.21097259161117732</v>
      </c>
      <c r="AG335" s="4">
        <f t="shared" si="269"/>
        <v>0.15253917653798199</v>
      </c>
      <c r="AH335" s="4">
        <f t="shared" si="269"/>
        <v>0.10795188737709993</v>
      </c>
      <c r="AI335" s="4">
        <f t="shared" si="269"/>
        <v>7.5176653938091809E-2</v>
      </c>
      <c r="AJ335" s="4">
        <f t="shared" si="269"/>
        <v>5.1742836177502194E-2</v>
      </c>
      <c r="AK335" s="4">
        <f t="shared" si="269"/>
        <v>3.5319190625345942E-2</v>
      </c>
      <c r="AL335" s="4">
        <f t="shared" si="269"/>
        <v>2.3969442072658165E-2</v>
      </c>
      <c r="AM335" s="4">
        <f t="shared" si="269"/>
        <v>1.6202243558389728E-2</v>
      </c>
      <c r="AN335" s="4">
        <f t="shared" si="269"/>
        <v>1.0922240564108399E-2</v>
      </c>
      <c r="AO335" s="4">
        <f t="shared" si="269"/>
        <v>7.3493212906090566E-3</v>
      </c>
      <c r="AP335" s="4">
        <f t="shared" si="269"/>
        <v>4.9390262185057265E-3</v>
      </c>
      <c r="AQ335" s="4">
        <f t="shared" si="269"/>
        <v>3.3164275492956197E-3</v>
      </c>
      <c r="AR335" s="4">
        <f t="shared" si="269"/>
        <v>2.2256362146679809E-3</v>
      </c>
    </row>
    <row r="336" spans="1:44" x14ac:dyDescent="0.3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69"/>
        <v>0.9867978615748374</v>
      </c>
      <c r="R336" s="4">
        <f t="shared" si="269"/>
        <v>0.98114509762858249</v>
      </c>
      <c r="S336" s="4">
        <f t="shared" si="269"/>
        <v>0.97311898315872036</v>
      </c>
      <c r="T336" s="4">
        <f t="shared" si="269"/>
        <v>0.96177484161592774</v>
      </c>
      <c r="U336" s="4">
        <f t="shared" si="269"/>
        <v>0.94584787155511363</v>
      </c>
      <c r="V336" s="4">
        <f t="shared" si="269"/>
        <v>0.92370360150141495</v>
      </c>
      <c r="W336" s="4">
        <f t="shared" si="269"/>
        <v>0.89334463567658451</v>
      </c>
      <c r="X336" s="4">
        <f t="shared" si="269"/>
        <v>0.85254543874327005</v>
      </c>
      <c r="Y336" s="4">
        <f t="shared" si="269"/>
        <v>0.79921300652623883</v>
      </c>
      <c r="Z336" s="4">
        <f t="shared" si="269"/>
        <v>0.73204982249993378</v>
      </c>
      <c r="AA336" s="4">
        <f t="shared" si="269"/>
        <v>0.65145592958786691</v>
      </c>
      <c r="AB336" s="4">
        <f t="shared" si="269"/>
        <v>0.56032247880849573</v>
      </c>
      <c r="AC336" s="4">
        <f t="shared" si="269"/>
        <v>0.46411326873185343</v>
      </c>
      <c r="AD336" s="4">
        <f t="shared" si="269"/>
        <v>0.36979727595523937</v>
      </c>
      <c r="AE336" s="4">
        <f t="shared" si="269"/>
        <v>0.28393948637231203</v>
      </c>
      <c r="AF336" s="4">
        <f t="shared" si="269"/>
        <v>0.21097259161117732</v>
      </c>
      <c r="AG336" s="4">
        <f t="shared" si="269"/>
        <v>0.15253917653798199</v>
      </c>
      <c r="AH336" s="4">
        <f t="shared" si="269"/>
        <v>0.10795188737709993</v>
      </c>
      <c r="AI336" s="4">
        <f t="shared" si="269"/>
        <v>7.5176653938091809E-2</v>
      </c>
      <c r="AJ336" s="4">
        <f t="shared" si="269"/>
        <v>5.1742836177502194E-2</v>
      </c>
      <c r="AK336" s="4">
        <f t="shared" si="269"/>
        <v>3.5319190625345942E-2</v>
      </c>
      <c r="AL336" s="4">
        <f t="shared" si="269"/>
        <v>2.3969442072658165E-2</v>
      </c>
      <c r="AM336" s="4">
        <f t="shared" si="269"/>
        <v>1.6202243558389728E-2</v>
      </c>
      <c r="AN336" s="4">
        <f t="shared" si="269"/>
        <v>1.0922240564108399E-2</v>
      </c>
      <c r="AO336" s="4">
        <f t="shared" si="269"/>
        <v>7.3493212906090566E-3</v>
      </c>
      <c r="AP336" s="4">
        <f t="shared" si="269"/>
        <v>4.9390262185057265E-3</v>
      </c>
      <c r="AQ336" s="4">
        <f t="shared" si="269"/>
        <v>3.3164275492956197E-3</v>
      </c>
      <c r="AR336" s="4">
        <f t="shared" si="269"/>
        <v>2.2256362146679809E-3</v>
      </c>
    </row>
    <row r="337" spans="1:44" x14ac:dyDescent="0.3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69"/>
        <v>0.9867978615748374</v>
      </c>
      <c r="R337" s="4">
        <f t="shared" si="269"/>
        <v>0.98114509762858249</v>
      </c>
      <c r="S337" s="4">
        <f t="shared" si="269"/>
        <v>0.97311898315872036</v>
      </c>
      <c r="T337" s="4">
        <f t="shared" si="269"/>
        <v>0.96177484161592774</v>
      </c>
      <c r="U337" s="4">
        <f t="shared" si="269"/>
        <v>0.94584787155511363</v>
      </c>
      <c r="V337" s="4">
        <f t="shared" si="269"/>
        <v>0.92370360150141495</v>
      </c>
      <c r="W337" s="4">
        <f t="shared" si="269"/>
        <v>0.89334463567658451</v>
      </c>
      <c r="X337" s="4">
        <f t="shared" si="269"/>
        <v>0.85254543874327005</v>
      </c>
      <c r="Y337" s="4">
        <f t="shared" si="269"/>
        <v>0.79921300652623883</v>
      </c>
      <c r="Z337" s="4">
        <f t="shared" si="269"/>
        <v>0.73204982249993378</v>
      </c>
      <c r="AA337" s="4">
        <f t="shared" si="269"/>
        <v>0.65145592958786691</v>
      </c>
      <c r="AB337" s="4">
        <f t="shared" si="269"/>
        <v>0.56032247880849573</v>
      </c>
      <c r="AC337" s="4">
        <f t="shared" si="269"/>
        <v>0.46411326873185343</v>
      </c>
      <c r="AD337" s="4">
        <f t="shared" si="269"/>
        <v>0.36979727595523937</v>
      </c>
      <c r="AE337" s="4">
        <f t="shared" si="269"/>
        <v>0.28393948637231203</v>
      </c>
      <c r="AF337" s="4">
        <f t="shared" si="269"/>
        <v>0.21097259161117732</v>
      </c>
      <c r="AG337" s="4">
        <f t="shared" si="269"/>
        <v>0.15253917653798199</v>
      </c>
      <c r="AH337" s="4">
        <f t="shared" si="269"/>
        <v>0.10795188737709993</v>
      </c>
      <c r="AI337" s="4">
        <f t="shared" si="269"/>
        <v>7.5176653938091809E-2</v>
      </c>
      <c r="AJ337" s="4">
        <f t="shared" si="269"/>
        <v>5.1742836177502194E-2</v>
      </c>
      <c r="AK337" s="4">
        <f t="shared" si="269"/>
        <v>3.5319190625345942E-2</v>
      </c>
      <c r="AL337" s="4">
        <f t="shared" si="269"/>
        <v>2.3969442072658165E-2</v>
      </c>
      <c r="AM337" s="4">
        <f t="shared" si="269"/>
        <v>1.6202243558389728E-2</v>
      </c>
      <c r="AN337" s="4">
        <f t="shared" si="269"/>
        <v>1.0922240564108399E-2</v>
      </c>
      <c r="AO337" s="4">
        <f t="shared" si="269"/>
        <v>7.3493212906090566E-3</v>
      </c>
      <c r="AP337" s="4">
        <f t="shared" si="269"/>
        <v>4.9390262185057265E-3</v>
      </c>
      <c r="AQ337" s="4">
        <f t="shared" si="269"/>
        <v>3.3164275492956197E-3</v>
      </c>
      <c r="AR337" s="4">
        <f t="shared" si="269"/>
        <v>2.2256362146679809E-3</v>
      </c>
    </row>
    <row r="338" spans="1:44" x14ac:dyDescent="0.3">
      <c r="A338" s="24" t="s">
        <v>79</v>
      </c>
      <c r="B338" s="45">
        <f>'Parameter Input'!$L$120</f>
        <v>0.06</v>
      </c>
      <c r="C338" s="46">
        <f>'Parameter Input'!$M$120</f>
        <v>0.06</v>
      </c>
      <c r="D338" s="1" t="s">
        <v>57</v>
      </c>
      <c r="L338" s="54">
        <f>'Parameter Input'!$O$120</f>
        <v>12</v>
      </c>
      <c r="M338" s="37">
        <v>0</v>
      </c>
      <c r="N338" s="37">
        <v>1</v>
      </c>
      <c r="O338" s="37">
        <f>'Parameter Input'!$P$120</f>
        <v>0.9</v>
      </c>
      <c r="P338" s="55">
        <f>'Parameter Input'!$Q$120</f>
        <v>0.4</v>
      </c>
      <c r="Q338" s="4">
        <f t="shared" si="269"/>
        <v>0.9867978615748374</v>
      </c>
      <c r="R338" s="4">
        <f t="shared" si="269"/>
        <v>0.98114509762858249</v>
      </c>
      <c r="S338" s="4">
        <f t="shared" si="269"/>
        <v>0.97311898315872036</v>
      </c>
      <c r="T338" s="4">
        <f t="shared" si="269"/>
        <v>0.96177484161592774</v>
      </c>
      <c r="U338" s="4">
        <f t="shared" si="269"/>
        <v>0.94584787155511363</v>
      </c>
      <c r="V338" s="4">
        <f t="shared" si="269"/>
        <v>0.92370360150141495</v>
      </c>
      <c r="W338" s="4">
        <f t="shared" si="269"/>
        <v>0.89334463567658451</v>
      </c>
      <c r="X338" s="4">
        <f t="shared" si="269"/>
        <v>0.85254543874327005</v>
      </c>
      <c r="Y338" s="4">
        <f t="shared" si="269"/>
        <v>0.79921300652623883</v>
      </c>
      <c r="Z338" s="4">
        <f t="shared" si="269"/>
        <v>0.73204982249993378</v>
      </c>
      <c r="AA338" s="4">
        <f t="shared" si="269"/>
        <v>0.65145592958786691</v>
      </c>
      <c r="AB338" s="4">
        <f t="shared" si="269"/>
        <v>0.56032247880849573</v>
      </c>
      <c r="AC338" s="4">
        <f t="shared" si="269"/>
        <v>0.46411326873185343</v>
      </c>
      <c r="AD338" s="4">
        <f t="shared" si="269"/>
        <v>0.36979727595523937</v>
      </c>
      <c r="AE338" s="4">
        <f t="shared" si="269"/>
        <v>0.28393948637231203</v>
      </c>
      <c r="AF338" s="4">
        <f t="shared" si="269"/>
        <v>0.21097259161117732</v>
      </c>
      <c r="AG338" s="4">
        <f t="shared" si="269"/>
        <v>0.15253917653798199</v>
      </c>
      <c r="AH338" s="4">
        <f t="shared" si="269"/>
        <v>0.10795188737709993</v>
      </c>
      <c r="AI338" s="4">
        <f t="shared" si="269"/>
        <v>7.5176653938091809E-2</v>
      </c>
      <c r="AJ338" s="4">
        <f t="shared" si="269"/>
        <v>5.1742836177502194E-2</v>
      </c>
      <c r="AK338" s="4">
        <f t="shared" si="269"/>
        <v>3.5319190625345942E-2</v>
      </c>
      <c r="AL338" s="4">
        <f t="shared" si="269"/>
        <v>2.3969442072658165E-2</v>
      </c>
      <c r="AM338" s="4">
        <f t="shared" si="269"/>
        <v>1.6202243558389728E-2</v>
      </c>
      <c r="AN338" s="4">
        <f t="shared" si="269"/>
        <v>1.0922240564108399E-2</v>
      </c>
      <c r="AO338" s="4">
        <f t="shared" si="269"/>
        <v>7.3493212906090566E-3</v>
      </c>
      <c r="AP338" s="4">
        <f t="shared" si="269"/>
        <v>4.9390262185057265E-3</v>
      </c>
      <c r="AQ338" s="4">
        <f t="shared" si="269"/>
        <v>3.3164275492956197E-3</v>
      </c>
      <c r="AR338" s="4">
        <f t="shared" si="269"/>
        <v>2.2256362146679809E-3</v>
      </c>
    </row>
    <row r="339" spans="1:44" x14ac:dyDescent="0.3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69"/>
        <v>0.9867978615748374</v>
      </c>
      <c r="R339" s="4">
        <f t="shared" si="269"/>
        <v>0.98114509762858249</v>
      </c>
      <c r="S339" s="4">
        <f t="shared" si="269"/>
        <v>0.97311898315872036</v>
      </c>
      <c r="T339" s="4">
        <f t="shared" si="269"/>
        <v>0.96177484161592774</v>
      </c>
      <c r="U339" s="4">
        <f t="shared" si="269"/>
        <v>0.94584787155511363</v>
      </c>
      <c r="V339" s="4">
        <f t="shared" si="269"/>
        <v>0.92370360150141495</v>
      </c>
      <c r="W339" s="4">
        <f t="shared" si="269"/>
        <v>0.89334463567658451</v>
      </c>
      <c r="X339" s="4">
        <f t="shared" si="269"/>
        <v>0.85254543874327005</v>
      </c>
      <c r="Y339" s="4">
        <f t="shared" si="269"/>
        <v>0.79921300652623883</v>
      </c>
      <c r="Z339" s="4">
        <f t="shared" si="269"/>
        <v>0.73204982249993378</v>
      </c>
      <c r="AA339" s="4">
        <f t="shared" si="269"/>
        <v>0.65145592958786691</v>
      </c>
      <c r="AB339" s="4">
        <f t="shared" si="269"/>
        <v>0.56032247880849573</v>
      </c>
      <c r="AC339" s="4">
        <f t="shared" si="269"/>
        <v>0.46411326873185343</v>
      </c>
      <c r="AD339" s="4">
        <f t="shared" si="269"/>
        <v>0.36979727595523937</v>
      </c>
      <c r="AE339" s="4">
        <f t="shared" si="269"/>
        <v>0.28393948637231203</v>
      </c>
      <c r="AF339" s="4">
        <f t="shared" si="269"/>
        <v>0.21097259161117732</v>
      </c>
      <c r="AG339" s="4">
        <f t="shared" si="269"/>
        <v>0.15253917653798199</v>
      </c>
      <c r="AH339" s="4">
        <f t="shared" si="269"/>
        <v>0.10795188737709993</v>
      </c>
      <c r="AI339" s="4">
        <f t="shared" si="269"/>
        <v>7.5176653938091809E-2</v>
      </c>
      <c r="AJ339" s="4">
        <f t="shared" si="269"/>
        <v>5.1742836177502194E-2</v>
      </c>
      <c r="AK339" s="4">
        <f t="shared" si="269"/>
        <v>3.5319190625345942E-2</v>
      </c>
      <c r="AL339" s="4">
        <f t="shared" si="269"/>
        <v>2.3969442072658165E-2</v>
      </c>
      <c r="AM339" s="4">
        <f t="shared" si="269"/>
        <v>1.6202243558389728E-2</v>
      </c>
      <c r="AN339" s="4">
        <f t="shared" si="269"/>
        <v>1.0922240564108399E-2</v>
      </c>
      <c r="AO339" s="4">
        <f t="shared" si="269"/>
        <v>7.3493212906090566E-3</v>
      </c>
      <c r="AP339" s="4">
        <f t="shared" si="269"/>
        <v>4.9390262185057265E-3</v>
      </c>
      <c r="AQ339" s="4">
        <f t="shared" si="269"/>
        <v>3.3164275492956197E-3</v>
      </c>
      <c r="AR339" s="4">
        <f t="shared" si="269"/>
        <v>2.2256362146679809E-3</v>
      </c>
    </row>
    <row r="340" spans="1:44" x14ac:dyDescent="0.3">
      <c r="A340" s="24" t="s">
        <v>52</v>
      </c>
      <c r="B340" s="43">
        <f>'Parameter Input'!$L$116</f>
        <v>1400000.0000000002</v>
      </c>
      <c r="C340" s="44">
        <f>'Parameter Input'!$M$116</f>
        <v>560000</v>
      </c>
      <c r="D340" s="1" t="s">
        <v>38</v>
      </c>
      <c r="L340" s="54">
        <f>'Parameter Input'!$O$116</f>
        <v>12</v>
      </c>
      <c r="M340" s="37">
        <v>0</v>
      </c>
      <c r="N340" s="37">
        <v>1</v>
      </c>
      <c r="O340" s="37">
        <f>'Parameter Input'!$P$116</f>
        <v>0.9</v>
      </c>
      <c r="P340" s="55">
        <f>'Parameter Input'!$Q$116</f>
        <v>0.4</v>
      </c>
      <c r="Q340" s="4">
        <f t="shared" si="269"/>
        <v>0.9867978615748374</v>
      </c>
      <c r="R340" s="4">
        <f t="shared" si="269"/>
        <v>0.98114509762858249</v>
      </c>
      <c r="S340" s="4">
        <f t="shared" si="269"/>
        <v>0.97311898315872036</v>
      </c>
      <c r="T340" s="4">
        <f t="shared" si="269"/>
        <v>0.96177484161592774</v>
      </c>
      <c r="U340" s="4">
        <f t="shared" si="269"/>
        <v>0.94584787155511363</v>
      </c>
      <c r="V340" s="4">
        <f t="shared" si="269"/>
        <v>0.92370360150141495</v>
      </c>
      <c r="W340" s="4">
        <f t="shared" si="269"/>
        <v>0.89334463567658451</v>
      </c>
      <c r="X340" s="4">
        <f t="shared" si="269"/>
        <v>0.85254543874327005</v>
      </c>
      <c r="Y340" s="4">
        <f t="shared" si="269"/>
        <v>0.79921300652623883</v>
      </c>
      <c r="Z340" s="4">
        <f t="shared" si="269"/>
        <v>0.73204982249993378</v>
      </c>
      <c r="AA340" s="4">
        <f t="shared" si="269"/>
        <v>0.65145592958786691</v>
      </c>
      <c r="AB340" s="4">
        <f t="shared" si="269"/>
        <v>0.56032247880849573</v>
      </c>
      <c r="AC340" s="4">
        <f t="shared" si="269"/>
        <v>0.46411326873185343</v>
      </c>
      <c r="AD340" s="4">
        <f t="shared" si="269"/>
        <v>0.36979727595523937</v>
      </c>
      <c r="AE340" s="4">
        <f t="shared" si="269"/>
        <v>0.28393948637231203</v>
      </c>
      <c r="AF340" s="4">
        <f t="shared" si="269"/>
        <v>0.21097259161117732</v>
      </c>
      <c r="AG340" s="4">
        <f t="shared" si="269"/>
        <v>0.15253917653798199</v>
      </c>
      <c r="AH340" s="4">
        <f t="shared" si="269"/>
        <v>0.10795188737709993</v>
      </c>
      <c r="AI340" s="4">
        <f t="shared" si="269"/>
        <v>7.5176653938091809E-2</v>
      </c>
      <c r="AJ340" s="4">
        <f t="shared" si="269"/>
        <v>5.1742836177502194E-2</v>
      </c>
      <c r="AK340" s="4">
        <f t="shared" si="269"/>
        <v>3.5319190625345942E-2</v>
      </c>
      <c r="AL340" s="4">
        <f t="shared" si="269"/>
        <v>2.3969442072658165E-2</v>
      </c>
      <c r="AM340" s="4">
        <f t="shared" si="269"/>
        <v>1.6202243558389728E-2</v>
      </c>
      <c r="AN340" s="4">
        <f t="shared" si="269"/>
        <v>1.0922240564108399E-2</v>
      </c>
      <c r="AO340" s="4">
        <f t="shared" si="269"/>
        <v>7.3493212906090566E-3</v>
      </c>
      <c r="AP340" s="4">
        <f t="shared" si="269"/>
        <v>4.9390262185057265E-3</v>
      </c>
      <c r="AQ340" s="4">
        <f t="shared" si="269"/>
        <v>3.3164275492956197E-3</v>
      </c>
      <c r="AR340" s="4">
        <f t="shared" si="269"/>
        <v>2.2256362146679809E-3</v>
      </c>
    </row>
    <row r="341" spans="1:44" x14ac:dyDescent="0.3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69"/>
        <v>0.9867978615748374</v>
      </c>
      <c r="R341" s="4">
        <f t="shared" si="269"/>
        <v>0.98114509762858249</v>
      </c>
      <c r="S341" s="4">
        <f t="shared" si="269"/>
        <v>0.97311898315872036</v>
      </c>
      <c r="T341" s="4">
        <f t="shared" si="269"/>
        <v>0.96177484161592774</v>
      </c>
      <c r="U341" s="4">
        <f t="shared" si="269"/>
        <v>0.94584787155511363</v>
      </c>
      <c r="V341" s="4">
        <f t="shared" si="269"/>
        <v>0.92370360150141495</v>
      </c>
      <c r="W341" s="4">
        <f t="shared" si="269"/>
        <v>0.89334463567658451</v>
      </c>
      <c r="X341" s="4">
        <f t="shared" si="269"/>
        <v>0.85254543874327005</v>
      </c>
      <c r="Y341" s="4">
        <f t="shared" si="269"/>
        <v>0.79921300652623883</v>
      </c>
      <c r="Z341" s="4">
        <f t="shared" si="269"/>
        <v>0.73204982249993378</v>
      </c>
      <c r="AA341" s="4">
        <f t="shared" si="269"/>
        <v>0.65145592958786691</v>
      </c>
      <c r="AB341" s="4">
        <f t="shared" si="269"/>
        <v>0.56032247880849573</v>
      </c>
      <c r="AC341" s="4">
        <f t="shared" si="269"/>
        <v>0.46411326873185343</v>
      </c>
      <c r="AD341" s="4">
        <f t="shared" si="269"/>
        <v>0.36979727595523937</v>
      </c>
      <c r="AE341" s="4">
        <f t="shared" si="269"/>
        <v>0.28393948637231203</v>
      </c>
      <c r="AF341" s="4">
        <f t="shared" si="269"/>
        <v>0.21097259161117732</v>
      </c>
      <c r="AG341" s="4">
        <f t="shared" si="269"/>
        <v>0.15253917653798199</v>
      </c>
      <c r="AH341" s="4">
        <f t="shared" si="269"/>
        <v>0.10795188737709993</v>
      </c>
      <c r="AI341" s="4">
        <f t="shared" si="269"/>
        <v>7.5176653938091809E-2</v>
      </c>
      <c r="AJ341" s="4">
        <f t="shared" si="269"/>
        <v>5.1742836177502194E-2</v>
      </c>
      <c r="AK341" s="4">
        <f t="shared" si="269"/>
        <v>3.5319190625345942E-2</v>
      </c>
      <c r="AL341" s="4">
        <f t="shared" si="269"/>
        <v>2.3969442072658165E-2</v>
      </c>
      <c r="AM341" s="4">
        <f t="shared" si="269"/>
        <v>1.6202243558389728E-2</v>
      </c>
      <c r="AN341" s="4">
        <f t="shared" si="269"/>
        <v>1.0922240564108399E-2</v>
      </c>
      <c r="AO341" s="4">
        <f t="shared" si="269"/>
        <v>7.3493212906090566E-3</v>
      </c>
      <c r="AP341" s="4">
        <f t="shared" si="269"/>
        <v>4.9390262185057265E-3</v>
      </c>
      <c r="AQ341" s="4">
        <f t="shared" si="269"/>
        <v>3.3164275492956197E-3</v>
      </c>
      <c r="AR341" s="4">
        <f t="shared" si="269"/>
        <v>2.2256362146679809E-3</v>
      </c>
    </row>
    <row r="342" spans="1:44" x14ac:dyDescent="0.3">
      <c r="A342" s="24" t="s">
        <v>59</v>
      </c>
      <c r="B342" s="47">
        <f>'Parameter Input'!$L$117</f>
        <v>39.507490909090912</v>
      </c>
      <c r="C342" s="48">
        <f>'Parameter Input'!$M$117</f>
        <v>33.429415384615389</v>
      </c>
      <c r="D342" s="1" t="s">
        <v>60</v>
      </c>
      <c r="L342" s="54">
        <f>'Parameter Input'!$O$117</f>
        <v>12</v>
      </c>
      <c r="M342" s="37">
        <v>0</v>
      </c>
      <c r="N342" s="37">
        <v>1</v>
      </c>
      <c r="O342" s="37">
        <f>'Parameter Input'!$P$117</f>
        <v>0.9</v>
      </c>
      <c r="P342" s="55">
        <f>'Parameter Input'!$Q$117</f>
        <v>0.4</v>
      </c>
      <c r="Q342" s="4">
        <f t="shared" si="269"/>
        <v>0.9867978615748374</v>
      </c>
      <c r="R342" s="4">
        <f t="shared" si="269"/>
        <v>0.98114509762858249</v>
      </c>
      <c r="S342" s="4">
        <f t="shared" si="269"/>
        <v>0.97311898315872036</v>
      </c>
      <c r="T342" s="4">
        <f t="shared" si="269"/>
        <v>0.96177484161592774</v>
      </c>
      <c r="U342" s="4">
        <f t="shared" si="269"/>
        <v>0.94584787155511363</v>
      </c>
      <c r="V342" s="4">
        <f t="shared" si="269"/>
        <v>0.92370360150141495</v>
      </c>
      <c r="W342" s="4">
        <f t="shared" si="269"/>
        <v>0.89334463567658451</v>
      </c>
      <c r="X342" s="4">
        <f t="shared" si="269"/>
        <v>0.85254543874327005</v>
      </c>
      <c r="Y342" s="4">
        <f t="shared" si="269"/>
        <v>0.79921300652623883</v>
      </c>
      <c r="Z342" s="4">
        <f t="shared" si="269"/>
        <v>0.73204982249993378</v>
      </c>
      <c r="AA342" s="4">
        <f t="shared" si="269"/>
        <v>0.65145592958786691</v>
      </c>
      <c r="AB342" s="4">
        <f t="shared" si="269"/>
        <v>0.56032247880849573</v>
      </c>
      <c r="AC342" s="4">
        <f t="shared" si="269"/>
        <v>0.46411326873185343</v>
      </c>
      <c r="AD342" s="4">
        <f t="shared" si="269"/>
        <v>0.36979727595523937</v>
      </c>
      <c r="AE342" s="4">
        <f t="shared" si="269"/>
        <v>0.28393948637231203</v>
      </c>
      <c r="AF342" s="4">
        <f t="shared" si="269"/>
        <v>0.21097259161117732</v>
      </c>
      <c r="AG342" s="4">
        <f t="shared" si="269"/>
        <v>0.15253917653798199</v>
      </c>
      <c r="AH342" s="4">
        <f t="shared" si="269"/>
        <v>0.10795188737709993</v>
      </c>
      <c r="AI342" s="4">
        <f t="shared" si="269"/>
        <v>7.5176653938091809E-2</v>
      </c>
      <c r="AJ342" s="4">
        <f t="shared" si="269"/>
        <v>5.1742836177502194E-2</v>
      </c>
      <c r="AK342" s="4">
        <f t="shared" si="269"/>
        <v>3.5319190625345942E-2</v>
      </c>
      <c r="AL342" s="4">
        <f t="shared" si="269"/>
        <v>2.3969442072658165E-2</v>
      </c>
      <c r="AM342" s="4">
        <f t="shared" si="269"/>
        <v>1.6202243558389728E-2</v>
      </c>
      <c r="AN342" s="4">
        <f t="shared" si="269"/>
        <v>1.0922240564108399E-2</v>
      </c>
      <c r="AO342" s="4">
        <f t="shared" si="269"/>
        <v>7.3493212906090566E-3</v>
      </c>
      <c r="AP342" s="4">
        <f t="shared" si="269"/>
        <v>4.9390262185057265E-3</v>
      </c>
      <c r="AQ342" s="4">
        <f t="shared" si="269"/>
        <v>3.3164275492956197E-3</v>
      </c>
      <c r="AR342" s="4">
        <f t="shared" si="269"/>
        <v>2.2256362146679809E-3</v>
      </c>
    </row>
    <row r="343" spans="1:44" x14ac:dyDescent="0.3">
      <c r="A343" s="24" t="s">
        <v>67</v>
      </c>
      <c r="B343" s="45">
        <f>'Parameter Input'!$L$118</f>
        <v>0.21633448448114301</v>
      </c>
      <c r="C343" s="46">
        <f>'Parameter Input'!$M$118</f>
        <v>0.101814693285632</v>
      </c>
      <c r="D343" s="1" t="s">
        <v>68</v>
      </c>
      <c r="L343" s="54">
        <f>'Parameter Input'!$O$118</f>
        <v>12</v>
      </c>
      <c r="M343" s="37">
        <v>0</v>
      </c>
      <c r="N343" s="37">
        <v>1</v>
      </c>
      <c r="O343" s="37">
        <f>'Parameter Input'!$P$118</f>
        <v>0.9</v>
      </c>
      <c r="P343" s="55">
        <f>'Parameter Input'!$Q$118</f>
        <v>0.4</v>
      </c>
      <c r="Q343" s="4">
        <f t="shared" si="269"/>
        <v>0.9867978615748374</v>
      </c>
      <c r="R343" s="4">
        <f t="shared" si="269"/>
        <v>0.98114509762858249</v>
      </c>
      <c r="S343" s="4">
        <f t="shared" si="269"/>
        <v>0.97311898315872036</v>
      </c>
      <c r="T343" s="4">
        <f t="shared" ref="T343:AI350" si="270">$N343+($M343-$N343)*((1/(1+EXP(-$P343*(T$9-$L343)))^$O343))</f>
        <v>0.96177484161592774</v>
      </c>
      <c r="U343" s="4">
        <f t="shared" si="270"/>
        <v>0.94584787155511363</v>
      </c>
      <c r="V343" s="4">
        <f t="shared" si="270"/>
        <v>0.92370360150141495</v>
      </c>
      <c r="W343" s="4">
        <f t="shared" si="270"/>
        <v>0.89334463567658451</v>
      </c>
      <c r="X343" s="4">
        <f t="shared" si="270"/>
        <v>0.85254543874327005</v>
      </c>
      <c r="Y343" s="4">
        <f t="shared" si="270"/>
        <v>0.79921300652623883</v>
      </c>
      <c r="Z343" s="4">
        <f t="shared" si="270"/>
        <v>0.73204982249993378</v>
      </c>
      <c r="AA343" s="4">
        <f t="shared" si="270"/>
        <v>0.65145592958786691</v>
      </c>
      <c r="AB343" s="4">
        <f t="shared" si="270"/>
        <v>0.56032247880849573</v>
      </c>
      <c r="AC343" s="4">
        <f t="shared" si="270"/>
        <v>0.46411326873185343</v>
      </c>
      <c r="AD343" s="4">
        <f t="shared" si="270"/>
        <v>0.36979727595523937</v>
      </c>
      <c r="AE343" s="4">
        <f t="shared" si="270"/>
        <v>0.28393948637231203</v>
      </c>
      <c r="AF343" s="4">
        <f t="shared" si="270"/>
        <v>0.21097259161117732</v>
      </c>
      <c r="AG343" s="4">
        <f t="shared" si="270"/>
        <v>0.15253917653798199</v>
      </c>
      <c r="AH343" s="4">
        <f t="shared" si="270"/>
        <v>0.10795188737709993</v>
      </c>
      <c r="AI343" s="4">
        <f t="shared" si="270"/>
        <v>7.5176653938091809E-2</v>
      </c>
      <c r="AJ343" s="4">
        <f t="shared" ref="AJ343:AR350" si="271">$N343+($M343-$N343)*((1/(1+EXP(-$P343*(AJ$9-$L343)))^$O343))</f>
        <v>5.1742836177502194E-2</v>
      </c>
      <c r="AK343" s="4">
        <f t="shared" si="271"/>
        <v>3.5319190625345942E-2</v>
      </c>
      <c r="AL343" s="4">
        <f t="shared" si="271"/>
        <v>2.3969442072658165E-2</v>
      </c>
      <c r="AM343" s="4">
        <f t="shared" si="271"/>
        <v>1.6202243558389728E-2</v>
      </c>
      <c r="AN343" s="4">
        <f t="shared" si="271"/>
        <v>1.0922240564108399E-2</v>
      </c>
      <c r="AO343" s="4">
        <f t="shared" si="271"/>
        <v>7.3493212906090566E-3</v>
      </c>
      <c r="AP343" s="4">
        <f t="shared" si="271"/>
        <v>4.9390262185057265E-3</v>
      </c>
      <c r="AQ343" s="4">
        <f t="shared" si="271"/>
        <v>3.3164275492956197E-3</v>
      </c>
      <c r="AR343" s="4">
        <f t="shared" si="271"/>
        <v>2.2256362146679809E-3</v>
      </c>
    </row>
    <row r="344" spans="1:44" x14ac:dyDescent="0.3">
      <c r="A344" s="24" t="s">
        <v>206</v>
      </c>
      <c r="B344" s="115">
        <f>'Parameter Input'!$L$121</f>
        <v>0.14248603278688524</v>
      </c>
      <c r="C344" s="116">
        <f>'Parameter Input'!$M$121</f>
        <v>0</v>
      </c>
      <c r="D344" s="1" t="s">
        <v>76</v>
      </c>
      <c r="L344" s="54">
        <f>'Parameter Input'!$O$121</f>
        <v>17</v>
      </c>
      <c r="M344" s="37">
        <v>0</v>
      </c>
      <c r="N344" s="37">
        <v>1</v>
      </c>
      <c r="O344" s="37">
        <f>'Parameter Input'!$P$121</f>
        <v>0.9</v>
      </c>
      <c r="P344" s="55">
        <f>'Parameter Input'!$Q$121</f>
        <v>0.4</v>
      </c>
      <c r="Q344" s="4">
        <f t="shared" ref="Q344:AR344" si="272">$N344+($M344-$N344)*((1/(1+EXP(-$P344*(Q$9-$L344)))^$O344))</f>
        <v>0.99780374543478534</v>
      </c>
      <c r="R344" s="4">
        <f t="shared" si="272"/>
        <v>0.99685359315256394</v>
      </c>
      <c r="S344" s="4">
        <f t="shared" si="272"/>
        <v>0.99549347132349975</v>
      </c>
      <c r="T344" s="4">
        <f t="shared" si="272"/>
        <v>0.99354772139898062</v>
      </c>
      <c r="U344" s="4">
        <f t="shared" si="272"/>
        <v>0.99076681540580536</v>
      </c>
      <c r="V344" s="4">
        <f t="shared" si="272"/>
        <v>0.9867978615748374</v>
      </c>
      <c r="W344" s="4">
        <f t="shared" si="272"/>
        <v>0.98114509762858249</v>
      </c>
      <c r="X344" s="4">
        <f t="shared" si="272"/>
        <v>0.97311898315872036</v>
      </c>
      <c r="Y344" s="4">
        <f t="shared" si="272"/>
        <v>0.96177484161592774</v>
      </c>
      <c r="Z344" s="4">
        <f t="shared" si="272"/>
        <v>0.94584787155511363</v>
      </c>
      <c r="AA344" s="4">
        <f t="shared" si="272"/>
        <v>0.92370360150141495</v>
      </c>
      <c r="AB344" s="4">
        <f t="shared" si="272"/>
        <v>0.89334463567658451</v>
      </c>
      <c r="AC344" s="4">
        <f t="shared" si="272"/>
        <v>0.85254543874327005</v>
      </c>
      <c r="AD344" s="4">
        <f t="shared" si="272"/>
        <v>0.79921300652623883</v>
      </c>
      <c r="AE344" s="4">
        <f t="shared" si="272"/>
        <v>0.73204982249993378</v>
      </c>
      <c r="AF344" s="4">
        <f t="shared" si="272"/>
        <v>0.65145592958786691</v>
      </c>
      <c r="AG344" s="4">
        <f t="shared" si="272"/>
        <v>0.56032247880849573</v>
      </c>
      <c r="AH344" s="4">
        <f t="shared" si="272"/>
        <v>0.46411326873185343</v>
      </c>
      <c r="AI344" s="4">
        <f t="shared" si="272"/>
        <v>0.36979727595523937</v>
      </c>
      <c r="AJ344" s="4">
        <f t="shared" si="272"/>
        <v>0.28393948637231203</v>
      </c>
      <c r="AK344" s="4">
        <f t="shared" si="272"/>
        <v>0.21097259161117732</v>
      </c>
      <c r="AL344" s="4">
        <f t="shared" si="272"/>
        <v>0.15253917653798199</v>
      </c>
      <c r="AM344" s="4">
        <f t="shared" si="272"/>
        <v>0.10795188737709993</v>
      </c>
      <c r="AN344" s="4">
        <f t="shared" si="272"/>
        <v>7.5176653938091809E-2</v>
      </c>
      <c r="AO344" s="4">
        <f t="shared" si="272"/>
        <v>5.1742836177502194E-2</v>
      </c>
      <c r="AP344" s="4">
        <f t="shared" si="272"/>
        <v>3.5319190625345942E-2</v>
      </c>
      <c r="AQ344" s="4">
        <f t="shared" si="272"/>
        <v>2.3969442072658165E-2</v>
      </c>
      <c r="AR344" s="4">
        <f t="shared" si="272"/>
        <v>1.6202243558389728E-2</v>
      </c>
    </row>
    <row r="345" spans="1:44" x14ac:dyDescent="0.3">
      <c r="A345" s="24" t="s">
        <v>41</v>
      </c>
      <c r="B345" s="43">
        <f>'Parameter Input'!$L$115</f>
        <v>20</v>
      </c>
      <c r="C345" s="44">
        <f>'Parameter Input'!$M$115</f>
        <v>20</v>
      </c>
      <c r="D345" s="1" t="s">
        <v>42</v>
      </c>
      <c r="L345" s="54">
        <f>'Parameter Input'!$O$115</f>
        <v>12</v>
      </c>
      <c r="M345" s="37">
        <v>0</v>
      </c>
      <c r="N345" s="37">
        <v>1</v>
      </c>
      <c r="O345" s="37">
        <f>'Parameter Input'!$P$115</f>
        <v>0.9</v>
      </c>
      <c r="P345" s="55">
        <f>'Parameter Input'!$Q$115</f>
        <v>0.4</v>
      </c>
      <c r="Q345" s="4">
        <f t="shared" ref="Q345:AF350" si="273">$N345+($M345-$N345)*((1/(1+EXP(-$P345*(Q$9-$L345)))^$O345))</f>
        <v>0.9867978615748374</v>
      </c>
      <c r="R345" s="4">
        <f t="shared" si="273"/>
        <v>0.98114509762858249</v>
      </c>
      <c r="S345" s="4">
        <f t="shared" si="273"/>
        <v>0.97311898315872036</v>
      </c>
      <c r="T345" s="4">
        <f t="shared" si="273"/>
        <v>0.96177484161592774</v>
      </c>
      <c r="U345" s="4">
        <f t="shared" si="273"/>
        <v>0.94584787155511363</v>
      </c>
      <c r="V345" s="4">
        <f t="shared" si="273"/>
        <v>0.92370360150141495</v>
      </c>
      <c r="W345" s="4">
        <f t="shared" si="273"/>
        <v>0.89334463567658451</v>
      </c>
      <c r="X345" s="4">
        <f t="shared" si="273"/>
        <v>0.85254543874327005</v>
      </c>
      <c r="Y345" s="4">
        <f t="shared" si="273"/>
        <v>0.79921300652623883</v>
      </c>
      <c r="Z345" s="4">
        <f t="shared" si="273"/>
        <v>0.73204982249993378</v>
      </c>
      <c r="AA345" s="4">
        <f t="shared" si="273"/>
        <v>0.65145592958786691</v>
      </c>
      <c r="AB345" s="4">
        <f t="shared" si="273"/>
        <v>0.56032247880849573</v>
      </c>
      <c r="AC345" s="4">
        <f t="shared" si="273"/>
        <v>0.46411326873185343</v>
      </c>
      <c r="AD345" s="4">
        <f t="shared" si="273"/>
        <v>0.36979727595523937</v>
      </c>
      <c r="AE345" s="4">
        <f t="shared" si="273"/>
        <v>0.28393948637231203</v>
      </c>
      <c r="AF345" s="4">
        <f t="shared" si="273"/>
        <v>0.21097259161117732</v>
      </c>
      <c r="AG345" s="4">
        <f t="shared" si="270"/>
        <v>0.15253917653798199</v>
      </c>
      <c r="AH345" s="4">
        <f t="shared" si="270"/>
        <v>0.10795188737709993</v>
      </c>
      <c r="AI345" s="4">
        <f t="shared" si="270"/>
        <v>7.5176653938091809E-2</v>
      </c>
      <c r="AJ345" s="4">
        <f t="shared" si="271"/>
        <v>5.1742836177502194E-2</v>
      </c>
      <c r="AK345" s="4">
        <f t="shared" si="271"/>
        <v>3.5319190625345942E-2</v>
      </c>
      <c r="AL345" s="4">
        <f t="shared" si="271"/>
        <v>2.3969442072658165E-2</v>
      </c>
      <c r="AM345" s="4">
        <f t="shared" si="271"/>
        <v>1.6202243558389728E-2</v>
      </c>
      <c r="AN345" s="4">
        <f t="shared" si="271"/>
        <v>1.0922240564108399E-2</v>
      </c>
      <c r="AO345" s="4">
        <f t="shared" si="271"/>
        <v>7.3493212906090566E-3</v>
      </c>
      <c r="AP345" s="4">
        <f t="shared" si="271"/>
        <v>4.9390262185057265E-3</v>
      </c>
      <c r="AQ345" s="4">
        <f t="shared" si="271"/>
        <v>3.3164275492956197E-3</v>
      </c>
      <c r="AR345" s="4">
        <f t="shared" si="271"/>
        <v>2.2256362146679809E-3</v>
      </c>
    </row>
    <row r="346" spans="1:44" x14ac:dyDescent="0.3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73"/>
        <v>0.9867978615748374</v>
      </c>
      <c r="R346" s="4">
        <f t="shared" si="273"/>
        <v>0.98114509762858249</v>
      </c>
      <c r="S346" s="4">
        <f t="shared" si="273"/>
        <v>0.97311898315872036</v>
      </c>
      <c r="T346" s="4">
        <f t="shared" si="273"/>
        <v>0.96177484161592774</v>
      </c>
      <c r="U346" s="4">
        <f t="shared" si="273"/>
        <v>0.94584787155511363</v>
      </c>
      <c r="V346" s="4">
        <f t="shared" si="273"/>
        <v>0.92370360150141495</v>
      </c>
      <c r="W346" s="4">
        <f t="shared" si="273"/>
        <v>0.89334463567658451</v>
      </c>
      <c r="X346" s="4">
        <f t="shared" si="273"/>
        <v>0.85254543874327005</v>
      </c>
      <c r="Y346" s="4">
        <f t="shared" si="273"/>
        <v>0.79921300652623883</v>
      </c>
      <c r="Z346" s="4">
        <f t="shared" si="273"/>
        <v>0.73204982249993378</v>
      </c>
      <c r="AA346" s="4">
        <f t="shared" si="273"/>
        <v>0.65145592958786691</v>
      </c>
      <c r="AB346" s="4">
        <f t="shared" si="273"/>
        <v>0.56032247880849573</v>
      </c>
      <c r="AC346" s="4">
        <f t="shared" si="273"/>
        <v>0.46411326873185343</v>
      </c>
      <c r="AD346" s="4">
        <f t="shared" si="273"/>
        <v>0.36979727595523937</v>
      </c>
      <c r="AE346" s="4">
        <f t="shared" si="273"/>
        <v>0.28393948637231203</v>
      </c>
      <c r="AF346" s="4">
        <f t="shared" si="273"/>
        <v>0.21097259161117732</v>
      </c>
      <c r="AG346" s="4">
        <f t="shared" si="270"/>
        <v>0.15253917653798199</v>
      </c>
      <c r="AH346" s="4">
        <f t="shared" si="270"/>
        <v>0.10795188737709993</v>
      </c>
      <c r="AI346" s="4">
        <f t="shared" si="270"/>
        <v>7.5176653938091809E-2</v>
      </c>
      <c r="AJ346" s="4">
        <f t="shared" si="271"/>
        <v>5.1742836177502194E-2</v>
      </c>
      <c r="AK346" s="4">
        <f t="shared" si="271"/>
        <v>3.5319190625345942E-2</v>
      </c>
      <c r="AL346" s="4">
        <f t="shared" si="271"/>
        <v>2.3969442072658165E-2</v>
      </c>
      <c r="AM346" s="4">
        <f t="shared" si="271"/>
        <v>1.6202243558389728E-2</v>
      </c>
      <c r="AN346" s="4">
        <f t="shared" si="271"/>
        <v>1.0922240564108399E-2</v>
      </c>
      <c r="AO346" s="4">
        <f t="shared" si="271"/>
        <v>7.3493212906090566E-3</v>
      </c>
      <c r="AP346" s="4">
        <f t="shared" si="271"/>
        <v>4.9390262185057265E-3</v>
      </c>
      <c r="AQ346" s="4">
        <f t="shared" si="271"/>
        <v>3.3164275492956197E-3</v>
      </c>
      <c r="AR346" s="4">
        <f t="shared" si="271"/>
        <v>2.2256362146679809E-3</v>
      </c>
    </row>
    <row r="347" spans="1:44" x14ac:dyDescent="0.3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73"/>
        <v>0.9867978615748374</v>
      </c>
      <c r="R347" s="4">
        <f t="shared" si="273"/>
        <v>0.98114509762858249</v>
      </c>
      <c r="S347" s="4">
        <f t="shared" si="273"/>
        <v>0.97311898315872036</v>
      </c>
      <c r="T347" s="4">
        <f t="shared" si="273"/>
        <v>0.96177484161592774</v>
      </c>
      <c r="U347" s="4">
        <f t="shared" si="273"/>
        <v>0.94584787155511363</v>
      </c>
      <c r="V347" s="4">
        <f t="shared" si="273"/>
        <v>0.92370360150141495</v>
      </c>
      <c r="W347" s="4">
        <f t="shared" si="273"/>
        <v>0.89334463567658451</v>
      </c>
      <c r="X347" s="4">
        <f t="shared" si="273"/>
        <v>0.85254543874327005</v>
      </c>
      <c r="Y347" s="4">
        <f t="shared" si="273"/>
        <v>0.79921300652623883</v>
      </c>
      <c r="Z347" s="4">
        <f t="shared" si="273"/>
        <v>0.73204982249993378</v>
      </c>
      <c r="AA347" s="4">
        <f t="shared" si="273"/>
        <v>0.65145592958786691</v>
      </c>
      <c r="AB347" s="4">
        <f t="shared" si="273"/>
        <v>0.56032247880849573</v>
      </c>
      <c r="AC347" s="4">
        <f t="shared" si="273"/>
        <v>0.46411326873185343</v>
      </c>
      <c r="AD347" s="4">
        <f t="shared" si="273"/>
        <v>0.36979727595523937</v>
      </c>
      <c r="AE347" s="4">
        <f t="shared" si="273"/>
        <v>0.28393948637231203</v>
      </c>
      <c r="AF347" s="4">
        <f t="shared" si="273"/>
        <v>0.21097259161117732</v>
      </c>
      <c r="AG347" s="4">
        <f t="shared" si="270"/>
        <v>0.15253917653798199</v>
      </c>
      <c r="AH347" s="4">
        <f t="shared" si="270"/>
        <v>0.10795188737709993</v>
      </c>
      <c r="AI347" s="4">
        <f t="shared" si="270"/>
        <v>7.5176653938091809E-2</v>
      </c>
      <c r="AJ347" s="4">
        <f t="shared" si="271"/>
        <v>5.1742836177502194E-2</v>
      </c>
      <c r="AK347" s="4">
        <f t="shared" si="271"/>
        <v>3.5319190625345942E-2</v>
      </c>
      <c r="AL347" s="4">
        <f t="shared" si="271"/>
        <v>2.3969442072658165E-2</v>
      </c>
      <c r="AM347" s="4">
        <f t="shared" si="271"/>
        <v>1.6202243558389728E-2</v>
      </c>
      <c r="AN347" s="4">
        <f t="shared" si="271"/>
        <v>1.0922240564108399E-2</v>
      </c>
      <c r="AO347" s="4">
        <f t="shared" si="271"/>
        <v>7.3493212906090566E-3</v>
      </c>
      <c r="AP347" s="4">
        <f t="shared" si="271"/>
        <v>4.9390262185057265E-3</v>
      </c>
      <c r="AQ347" s="4">
        <f t="shared" si="271"/>
        <v>3.3164275492956197E-3</v>
      </c>
      <c r="AR347" s="4">
        <f t="shared" si="271"/>
        <v>2.2256362146679809E-3</v>
      </c>
    </row>
    <row r="348" spans="1:44" x14ac:dyDescent="0.3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73"/>
        <v>0.9867978615748374</v>
      </c>
      <c r="R348" s="4">
        <f t="shared" si="273"/>
        <v>0.98114509762858249</v>
      </c>
      <c r="S348" s="4">
        <f t="shared" si="273"/>
        <v>0.97311898315872036</v>
      </c>
      <c r="T348" s="4">
        <f t="shared" si="273"/>
        <v>0.96177484161592774</v>
      </c>
      <c r="U348" s="4">
        <f t="shared" si="273"/>
        <v>0.94584787155511363</v>
      </c>
      <c r="V348" s="4">
        <f t="shared" si="273"/>
        <v>0.92370360150141495</v>
      </c>
      <c r="W348" s="4">
        <f t="shared" si="273"/>
        <v>0.89334463567658451</v>
      </c>
      <c r="X348" s="4">
        <f t="shared" si="273"/>
        <v>0.85254543874327005</v>
      </c>
      <c r="Y348" s="4">
        <f t="shared" si="273"/>
        <v>0.79921300652623883</v>
      </c>
      <c r="Z348" s="4">
        <f t="shared" si="273"/>
        <v>0.73204982249993378</v>
      </c>
      <c r="AA348" s="4">
        <f t="shared" si="273"/>
        <v>0.65145592958786691</v>
      </c>
      <c r="AB348" s="4">
        <f t="shared" si="273"/>
        <v>0.56032247880849573</v>
      </c>
      <c r="AC348" s="4">
        <f t="shared" si="273"/>
        <v>0.46411326873185343</v>
      </c>
      <c r="AD348" s="4">
        <f t="shared" si="273"/>
        <v>0.36979727595523937</v>
      </c>
      <c r="AE348" s="4">
        <f t="shared" si="273"/>
        <v>0.28393948637231203</v>
      </c>
      <c r="AF348" s="4">
        <f t="shared" si="273"/>
        <v>0.21097259161117732</v>
      </c>
      <c r="AG348" s="4">
        <f t="shared" si="270"/>
        <v>0.15253917653798199</v>
      </c>
      <c r="AH348" s="4">
        <f t="shared" si="270"/>
        <v>0.10795188737709993</v>
      </c>
      <c r="AI348" s="4">
        <f t="shared" si="270"/>
        <v>7.5176653938091809E-2</v>
      </c>
      <c r="AJ348" s="4">
        <f t="shared" si="271"/>
        <v>5.1742836177502194E-2</v>
      </c>
      <c r="AK348" s="4">
        <f t="shared" si="271"/>
        <v>3.5319190625345942E-2</v>
      </c>
      <c r="AL348" s="4">
        <f t="shared" si="271"/>
        <v>2.3969442072658165E-2</v>
      </c>
      <c r="AM348" s="4">
        <f t="shared" si="271"/>
        <v>1.6202243558389728E-2</v>
      </c>
      <c r="AN348" s="4">
        <f t="shared" si="271"/>
        <v>1.0922240564108399E-2</v>
      </c>
      <c r="AO348" s="4">
        <f t="shared" si="271"/>
        <v>7.3493212906090566E-3</v>
      </c>
      <c r="AP348" s="4">
        <f t="shared" si="271"/>
        <v>4.9390262185057265E-3</v>
      </c>
      <c r="AQ348" s="4">
        <f t="shared" si="271"/>
        <v>3.3164275492956197E-3</v>
      </c>
      <c r="AR348" s="4">
        <f t="shared" si="271"/>
        <v>2.2256362146679809E-3</v>
      </c>
    </row>
    <row r="349" spans="1:44" x14ac:dyDescent="0.3">
      <c r="A349" s="24" t="s">
        <v>73</v>
      </c>
      <c r="B349" s="72">
        <f>'Parameter Input'!$L$119</f>
        <v>1.7857142857142856E-2</v>
      </c>
      <c r="C349" s="73">
        <f>'Parameter Input'!$M$119</f>
        <v>1.7857142857142856E-2</v>
      </c>
      <c r="D349" s="1" t="s">
        <v>57</v>
      </c>
      <c r="L349" s="54">
        <f>'Parameter Input'!$O$119</f>
        <v>12</v>
      </c>
      <c r="M349" s="37">
        <v>0</v>
      </c>
      <c r="N349" s="37">
        <v>1</v>
      </c>
      <c r="O349" s="37">
        <f>'Parameter Input'!$P$119</f>
        <v>0.9</v>
      </c>
      <c r="P349" s="55">
        <f>'Parameter Input'!$Q$119</f>
        <v>0.4</v>
      </c>
      <c r="Q349" s="4">
        <f t="shared" si="273"/>
        <v>0.9867978615748374</v>
      </c>
      <c r="R349" s="4">
        <f t="shared" si="273"/>
        <v>0.98114509762858249</v>
      </c>
      <c r="S349" s="4">
        <f t="shared" si="273"/>
        <v>0.97311898315872036</v>
      </c>
      <c r="T349" s="4">
        <f t="shared" si="273"/>
        <v>0.96177484161592774</v>
      </c>
      <c r="U349" s="4">
        <f t="shared" si="273"/>
        <v>0.94584787155511363</v>
      </c>
      <c r="V349" s="4">
        <f t="shared" si="273"/>
        <v>0.92370360150141495</v>
      </c>
      <c r="W349" s="4">
        <f t="shared" si="273"/>
        <v>0.89334463567658451</v>
      </c>
      <c r="X349" s="4">
        <f t="shared" si="273"/>
        <v>0.85254543874327005</v>
      </c>
      <c r="Y349" s="4">
        <f t="shared" si="273"/>
        <v>0.79921300652623883</v>
      </c>
      <c r="Z349" s="4">
        <f t="shared" si="273"/>
        <v>0.73204982249993378</v>
      </c>
      <c r="AA349" s="4">
        <f t="shared" si="273"/>
        <v>0.65145592958786691</v>
      </c>
      <c r="AB349" s="4">
        <f t="shared" si="273"/>
        <v>0.56032247880849573</v>
      </c>
      <c r="AC349" s="4">
        <f t="shared" si="273"/>
        <v>0.46411326873185343</v>
      </c>
      <c r="AD349" s="4">
        <f t="shared" si="273"/>
        <v>0.36979727595523937</v>
      </c>
      <c r="AE349" s="4">
        <f t="shared" si="273"/>
        <v>0.28393948637231203</v>
      </c>
      <c r="AF349" s="4">
        <f t="shared" si="273"/>
        <v>0.21097259161117732</v>
      </c>
      <c r="AG349" s="4">
        <f t="shared" si="270"/>
        <v>0.15253917653798199</v>
      </c>
      <c r="AH349" s="4">
        <f t="shared" si="270"/>
        <v>0.10795188737709993</v>
      </c>
      <c r="AI349" s="4">
        <f t="shared" si="270"/>
        <v>7.5176653938091809E-2</v>
      </c>
      <c r="AJ349" s="4">
        <f t="shared" si="271"/>
        <v>5.1742836177502194E-2</v>
      </c>
      <c r="AK349" s="4">
        <f t="shared" si="271"/>
        <v>3.5319190625345942E-2</v>
      </c>
      <c r="AL349" s="4">
        <f t="shared" si="271"/>
        <v>2.3969442072658165E-2</v>
      </c>
      <c r="AM349" s="4">
        <f t="shared" si="271"/>
        <v>1.6202243558389728E-2</v>
      </c>
      <c r="AN349" s="4">
        <f t="shared" si="271"/>
        <v>1.0922240564108399E-2</v>
      </c>
      <c r="AO349" s="4">
        <f t="shared" si="271"/>
        <v>7.3493212906090566E-3</v>
      </c>
      <c r="AP349" s="4">
        <f t="shared" si="271"/>
        <v>4.9390262185057265E-3</v>
      </c>
      <c r="AQ349" s="4">
        <f t="shared" si="271"/>
        <v>3.3164275492956197E-3</v>
      </c>
      <c r="AR349" s="4">
        <f t="shared" si="271"/>
        <v>2.2256362146679809E-3</v>
      </c>
    </row>
    <row r="350" spans="1:44" ht="15" thickBot="1" x14ac:dyDescent="0.35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73"/>
        <v>0.9867978615748374</v>
      </c>
      <c r="R350" s="4">
        <f t="shared" si="273"/>
        <v>0.98114509762858249</v>
      </c>
      <c r="S350" s="4">
        <f t="shared" si="273"/>
        <v>0.97311898315872036</v>
      </c>
      <c r="T350" s="4">
        <f t="shared" si="273"/>
        <v>0.96177484161592774</v>
      </c>
      <c r="U350" s="4">
        <f t="shared" si="273"/>
        <v>0.94584787155511363</v>
      </c>
      <c r="V350" s="4">
        <f t="shared" si="273"/>
        <v>0.92370360150141495</v>
      </c>
      <c r="W350" s="4">
        <f t="shared" si="273"/>
        <v>0.89334463567658451</v>
      </c>
      <c r="X350" s="4">
        <f t="shared" si="273"/>
        <v>0.85254543874327005</v>
      </c>
      <c r="Y350" s="4">
        <f t="shared" si="273"/>
        <v>0.79921300652623883</v>
      </c>
      <c r="Z350" s="4">
        <f t="shared" si="273"/>
        <v>0.73204982249993378</v>
      </c>
      <c r="AA350" s="4">
        <f t="shared" si="273"/>
        <v>0.65145592958786691</v>
      </c>
      <c r="AB350" s="4">
        <f t="shared" si="273"/>
        <v>0.56032247880849573</v>
      </c>
      <c r="AC350" s="4">
        <f t="shared" si="273"/>
        <v>0.46411326873185343</v>
      </c>
      <c r="AD350" s="4">
        <f t="shared" si="273"/>
        <v>0.36979727595523937</v>
      </c>
      <c r="AE350" s="4">
        <f t="shared" si="273"/>
        <v>0.28393948637231203</v>
      </c>
      <c r="AF350" s="4">
        <f t="shared" si="273"/>
        <v>0.21097259161117732</v>
      </c>
      <c r="AG350" s="4">
        <f t="shared" si="270"/>
        <v>0.15253917653798199</v>
      </c>
      <c r="AH350" s="4">
        <f t="shared" si="270"/>
        <v>0.10795188737709993</v>
      </c>
      <c r="AI350" s="4">
        <f t="shared" si="270"/>
        <v>7.5176653938091809E-2</v>
      </c>
      <c r="AJ350" s="4">
        <f t="shared" si="271"/>
        <v>5.1742836177502194E-2</v>
      </c>
      <c r="AK350" s="4">
        <f t="shared" si="271"/>
        <v>3.5319190625345942E-2</v>
      </c>
      <c r="AL350" s="4">
        <f t="shared" si="271"/>
        <v>2.3969442072658165E-2</v>
      </c>
      <c r="AM350" s="4">
        <f t="shared" si="271"/>
        <v>1.6202243558389728E-2</v>
      </c>
      <c r="AN350" s="4">
        <f t="shared" si="271"/>
        <v>1.0922240564108399E-2</v>
      </c>
      <c r="AO350" s="4">
        <f t="shared" si="271"/>
        <v>7.3493212906090566E-3</v>
      </c>
      <c r="AP350" s="4">
        <f t="shared" si="271"/>
        <v>4.9390262185057265E-3</v>
      </c>
      <c r="AQ350" s="4">
        <f t="shared" si="271"/>
        <v>3.3164275492956197E-3</v>
      </c>
      <c r="AR350" s="4">
        <f t="shared" si="271"/>
        <v>2.2256362146679809E-3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74">A334</f>
        <v>Capex vehicle</v>
      </c>
      <c r="B354" s="62">
        <f t="shared" ref="B354:B363" si="275">$B334+($C334-$B334)*(1-Q334)</f>
        <v>9920787.1694490239</v>
      </c>
      <c r="C354" s="62">
        <f t="shared" ref="C354:C363" si="276">$B334+($C334-$B334)*(1-R334)</f>
        <v>9886870.5857714955</v>
      </c>
      <c r="D354" s="62">
        <f t="shared" ref="D354:D363" si="277">$B334+($C334-$B334)*(1-S334)</f>
        <v>9838713.8989523221</v>
      </c>
      <c r="E354" s="62">
        <f t="shared" ref="E354:E363" si="278">$B334+($C334-$B334)*(1-T334)</f>
        <v>9770649.0496955663</v>
      </c>
      <c r="F354" s="62">
        <f t="shared" ref="F354:F363" si="279">$B334+($C334-$B334)*(1-U334)</f>
        <v>9675087.2293306813</v>
      </c>
      <c r="G354" s="62">
        <f t="shared" ref="G354:G363" si="280">$B334+($C334-$B334)*(1-V334)</f>
        <v>9542221.6090084892</v>
      </c>
      <c r="H354" s="62">
        <f t="shared" ref="H354:H363" si="281">$B334+($C334-$B334)*(1-W334)</f>
        <v>9360067.8140595071</v>
      </c>
      <c r="I354" s="62">
        <f t="shared" ref="I354:I363" si="282">$B334+($C334-$B334)*(1-X334)</f>
        <v>9115272.63245962</v>
      </c>
      <c r="J354" s="62">
        <f t="shared" ref="J354:J363" si="283">$B334+($C334-$B334)*(1-Y334)</f>
        <v>8795278.0391574334</v>
      </c>
      <c r="K354" s="62">
        <f t="shared" ref="K354:K363" si="284">$B334+($C334-$B334)*(1-Z334)</f>
        <v>8392298.9349996019</v>
      </c>
      <c r="L354" s="62">
        <f t="shared" ref="L354:L363" si="285">$B334+($C334-$B334)*(1-AA334)</f>
        <v>7908735.5775272017</v>
      </c>
      <c r="M354" s="62">
        <f t="shared" ref="M354:M363" si="286">$B334+($C334-$B334)*(1-AB334)</f>
        <v>7361934.872850975</v>
      </c>
      <c r="N354" s="62">
        <f t="shared" ref="N354:N363" si="287">$B334+($C334-$B334)*(1-AC334)</f>
        <v>6784679.6123911208</v>
      </c>
      <c r="O354" s="62">
        <f t="shared" ref="O354:O363" si="288">$B334+($C334-$B334)*(1-AD334)</f>
        <v>6218783.6557314359</v>
      </c>
      <c r="P354" s="62">
        <f t="shared" ref="P354:P363" si="289">$B334+($C334-$B334)*(1-AE334)</f>
        <v>5703636.9182338724</v>
      </c>
      <c r="Q354" s="62">
        <f t="shared" ref="Q354:Q363" si="290">$B334+($C334-$B334)*(1-AF334)</f>
        <v>5265835.5496670641</v>
      </c>
      <c r="R354" s="62">
        <f t="shared" ref="R354:R363" si="291">$B334+($C334-$B334)*(1-AG334)</f>
        <v>4915235.0592278922</v>
      </c>
      <c r="S354" s="62">
        <f t="shared" ref="S354:S363" si="292">$B334+($C334-$B334)*(1-AH334)</f>
        <v>4647711.3242625995</v>
      </c>
      <c r="T354" s="62">
        <f t="shared" ref="T354:T363" si="293">$B334+($C334-$B334)*(1-AI334)</f>
        <v>4451059.923628551</v>
      </c>
      <c r="U354" s="62">
        <f t="shared" ref="U354:U363" si="294">$B334+($C334-$B334)*(1-AJ334)</f>
        <v>4310457.0170650128</v>
      </c>
      <c r="V354" s="62">
        <f t="shared" ref="V354:V363" si="295">$B334+($C334-$B334)*(1-AK334)</f>
        <v>4211915.1437520757</v>
      </c>
      <c r="W354" s="62">
        <f t="shared" ref="W354:W363" si="296">$B334+($C334-$B334)*(1-AL334)</f>
        <v>4143816.6524359491</v>
      </c>
      <c r="X354" s="62">
        <f t="shared" ref="X354:X363" si="297">$B334+($C334-$B334)*(1-AM334)</f>
        <v>4097213.4613503385</v>
      </c>
      <c r="Y354" s="62">
        <f t="shared" ref="Y354:Y363" si="298">$B334+($C334-$B334)*(1-AN334)</f>
        <v>4065533.4433846502</v>
      </c>
      <c r="Z354" s="62">
        <f t="shared" ref="Z354:Z363" si="299">$B334+($C334-$B334)*(1-AO334)</f>
        <v>4044095.9277436547</v>
      </c>
      <c r="AA354" s="62">
        <f t="shared" ref="AA354:AA363" si="300">$B334+($C334-$B334)*(1-AP334)</f>
        <v>4029634.1573110344</v>
      </c>
      <c r="AB354" s="62">
        <f t="shared" ref="AB354:AB363" si="301">$B334+($C334-$B334)*(1-AQ334)</f>
        <v>4019898.5652957736</v>
      </c>
      <c r="AC354" s="62">
        <f t="shared" ref="AC354:AC363" si="302">$B334+($C334-$B334)*(1-AR334)</f>
        <v>4013353.8172880076</v>
      </c>
    </row>
    <row r="355" spans="1:29" x14ac:dyDescent="0.3">
      <c r="A355" s="30" t="str">
        <f t="shared" si="274"/>
        <v>Residual value (vehicle)</v>
      </c>
      <c r="B355" s="62">
        <f t="shared" si="275"/>
        <v>-501320.21384251624</v>
      </c>
      <c r="C355" s="62">
        <f t="shared" si="276"/>
        <v>-501885.49023714173</v>
      </c>
      <c r="D355" s="62">
        <f t="shared" si="277"/>
        <v>-502688.10168412799</v>
      </c>
      <c r="E355" s="62">
        <f t="shared" si="278"/>
        <v>-503822.51583840721</v>
      </c>
      <c r="F355" s="62">
        <f t="shared" si="279"/>
        <v>-505415.21284448862</v>
      </c>
      <c r="G355" s="62">
        <f t="shared" si="280"/>
        <v>-507629.63984985853</v>
      </c>
      <c r="H355" s="62">
        <f t="shared" si="281"/>
        <v>-510665.53643234156</v>
      </c>
      <c r="I355" s="62">
        <f t="shared" si="282"/>
        <v>-514745.45612567302</v>
      </c>
      <c r="J355" s="62">
        <f t="shared" si="283"/>
        <v>-520078.69934737612</v>
      </c>
      <c r="K355" s="62">
        <f t="shared" si="284"/>
        <v>-526795.01775000663</v>
      </c>
      <c r="L355" s="62">
        <f t="shared" si="285"/>
        <v>-534854.40704121336</v>
      </c>
      <c r="M355" s="62">
        <f t="shared" si="286"/>
        <v>-543967.75211915048</v>
      </c>
      <c r="N355" s="62">
        <f t="shared" si="287"/>
        <v>-553588.67312681465</v>
      </c>
      <c r="O355" s="62">
        <f t="shared" si="288"/>
        <v>-563020.27240447607</v>
      </c>
      <c r="P355" s="62">
        <f t="shared" si="289"/>
        <v>-571606.05136276875</v>
      </c>
      <c r="Q355" s="62">
        <f t="shared" si="290"/>
        <v>-578902.74083888228</v>
      </c>
      <c r="R355" s="62">
        <f t="shared" si="291"/>
        <v>-584746.08234620176</v>
      </c>
      <c r="S355" s="62">
        <f t="shared" si="292"/>
        <v>-589204.81126228999</v>
      </c>
      <c r="T355" s="62">
        <f t="shared" si="293"/>
        <v>-592482.33460619079</v>
      </c>
      <c r="U355" s="62">
        <f t="shared" si="294"/>
        <v>-594825.71638224972</v>
      </c>
      <c r="V355" s="62">
        <f t="shared" si="295"/>
        <v>-596468.08093746542</v>
      </c>
      <c r="W355" s="62">
        <f t="shared" si="296"/>
        <v>-597603.05579273414</v>
      </c>
      <c r="X355" s="62">
        <f t="shared" si="297"/>
        <v>-598379.77564416104</v>
      </c>
      <c r="Y355" s="62">
        <f t="shared" si="298"/>
        <v>-598907.77594358916</v>
      </c>
      <c r="Z355" s="62">
        <f t="shared" si="299"/>
        <v>-599265.06787093915</v>
      </c>
      <c r="AA355" s="62">
        <f t="shared" si="300"/>
        <v>-599506.0973781494</v>
      </c>
      <c r="AB355" s="62">
        <f t="shared" si="301"/>
        <v>-599668.35724507039</v>
      </c>
      <c r="AC355" s="62">
        <f t="shared" si="302"/>
        <v>-599777.43637853325</v>
      </c>
    </row>
    <row r="356" spans="1:29" x14ac:dyDescent="0.3">
      <c r="A356" s="30" t="str">
        <f t="shared" si="274"/>
        <v>Capex costumization</v>
      </c>
      <c r="B356" s="62">
        <f t="shared" si="275"/>
        <v>4200000</v>
      </c>
      <c r="C356" s="62">
        <f t="shared" si="276"/>
        <v>4200000</v>
      </c>
      <c r="D356" s="62">
        <f t="shared" si="277"/>
        <v>4200000</v>
      </c>
      <c r="E356" s="62">
        <f t="shared" si="278"/>
        <v>4200000</v>
      </c>
      <c r="F356" s="62">
        <f t="shared" si="279"/>
        <v>4200000</v>
      </c>
      <c r="G356" s="62">
        <f t="shared" si="280"/>
        <v>4200000</v>
      </c>
      <c r="H356" s="62">
        <f t="shared" si="281"/>
        <v>4200000</v>
      </c>
      <c r="I356" s="62">
        <f t="shared" si="282"/>
        <v>4200000</v>
      </c>
      <c r="J356" s="62">
        <f t="shared" si="283"/>
        <v>4200000</v>
      </c>
      <c r="K356" s="62">
        <f t="shared" si="284"/>
        <v>4200000</v>
      </c>
      <c r="L356" s="62">
        <f t="shared" si="285"/>
        <v>4200000</v>
      </c>
      <c r="M356" s="62">
        <f t="shared" si="286"/>
        <v>4200000</v>
      </c>
      <c r="N356" s="62">
        <f t="shared" si="287"/>
        <v>4200000</v>
      </c>
      <c r="O356" s="62">
        <f t="shared" si="288"/>
        <v>4200000</v>
      </c>
      <c r="P356" s="62">
        <f t="shared" si="289"/>
        <v>4200000</v>
      </c>
      <c r="Q356" s="62">
        <f t="shared" si="290"/>
        <v>4200000</v>
      </c>
      <c r="R356" s="62">
        <f t="shared" si="291"/>
        <v>4200000</v>
      </c>
      <c r="S356" s="62">
        <f t="shared" si="292"/>
        <v>4200000</v>
      </c>
      <c r="T356" s="62">
        <f t="shared" si="293"/>
        <v>4200000</v>
      </c>
      <c r="U356" s="62">
        <f t="shared" si="294"/>
        <v>4200000</v>
      </c>
      <c r="V356" s="62">
        <f t="shared" si="295"/>
        <v>4200000</v>
      </c>
      <c r="W356" s="62">
        <f t="shared" si="296"/>
        <v>4200000</v>
      </c>
      <c r="X356" s="62">
        <f t="shared" si="297"/>
        <v>4200000</v>
      </c>
      <c r="Y356" s="62">
        <f t="shared" si="298"/>
        <v>4200000</v>
      </c>
      <c r="Z356" s="62">
        <f t="shared" si="299"/>
        <v>4200000</v>
      </c>
      <c r="AA356" s="62">
        <f t="shared" si="300"/>
        <v>4200000</v>
      </c>
      <c r="AB356" s="62">
        <f t="shared" si="301"/>
        <v>4200000</v>
      </c>
      <c r="AC356" s="62">
        <f t="shared" si="302"/>
        <v>4200000</v>
      </c>
    </row>
    <row r="357" spans="1:29" x14ac:dyDescent="0.3">
      <c r="A357" s="30" t="str">
        <f t="shared" si="274"/>
        <v>Residual value (costumization)</v>
      </c>
      <c r="B357" s="62">
        <f t="shared" si="275"/>
        <v>-210000</v>
      </c>
      <c r="C357" s="62">
        <f t="shared" si="276"/>
        <v>-210000</v>
      </c>
      <c r="D357" s="62">
        <f t="shared" si="277"/>
        <v>-210000</v>
      </c>
      <c r="E357" s="62">
        <f t="shared" si="278"/>
        <v>-210000</v>
      </c>
      <c r="F357" s="62">
        <f t="shared" si="279"/>
        <v>-210000</v>
      </c>
      <c r="G357" s="62">
        <f t="shared" si="280"/>
        <v>-210000</v>
      </c>
      <c r="H357" s="62">
        <f t="shared" si="281"/>
        <v>-210000</v>
      </c>
      <c r="I357" s="62">
        <f t="shared" si="282"/>
        <v>-210000</v>
      </c>
      <c r="J357" s="62">
        <f t="shared" si="283"/>
        <v>-210000</v>
      </c>
      <c r="K357" s="62">
        <f t="shared" si="284"/>
        <v>-210000</v>
      </c>
      <c r="L357" s="62">
        <f t="shared" si="285"/>
        <v>-210000</v>
      </c>
      <c r="M357" s="62">
        <f t="shared" si="286"/>
        <v>-210000</v>
      </c>
      <c r="N357" s="62">
        <f t="shared" si="287"/>
        <v>-210000</v>
      </c>
      <c r="O357" s="62">
        <f t="shared" si="288"/>
        <v>-210000</v>
      </c>
      <c r="P357" s="62">
        <f t="shared" si="289"/>
        <v>-210000</v>
      </c>
      <c r="Q357" s="62">
        <f t="shared" si="290"/>
        <v>-210000</v>
      </c>
      <c r="R357" s="62">
        <f t="shared" si="291"/>
        <v>-210000</v>
      </c>
      <c r="S357" s="62">
        <f t="shared" si="292"/>
        <v>-210000</v>
      </c>
      <c r="T357" s="62">
        <f t="shared" si="293"/>
        <v>-210000</v>
      </c>
      <c r="U357" s="62">
        <f t="shared" si="294"/>
        <v>-210000</v>
      </c>
      <c r="V357" s="62">
        <f t="shared" si="295"/>
        <v>-210000</v>
      </c>
      <c r="W357" s="62">
        <f t="shared" si="296"/>
        <v>-210000</v>
      </c>
      <c r="X357" s="62">
        <f t="shared" si="297"/>
        <v>-210000</v>
      </c>
      <c r="Y357" s="62">
        <f t="shared" si="298"/>
        <v>-210000</v>
      </c>
      <c r="Z357" s="62">
        <f t="shared" si="299"/>
        <v>-210000</v>
      </c>
      <c r="AA357" s="62">
        <f t="shared" si="300"/>
        <v>-210000</v>
      </c>
      <c r="AB357" s="62">
        <f t="shared" si="301"/>
        <v>-210000</v>
      </c>
      <c r="AC357" s="62">
        <f t="shared" si="302"/>
        <v>-210000</v>
      </c>
    </row>
    <row r="358" spans="1:29" x14ac:dyDescent="0.3">
      <c r="A358" s="30" t="str">
        <f t="shared" si="274"/>
        <v>WACC</v>
      </c>
      <c r="B358" s="62">
        <f t="shared" si="275"/>
        <v>0.06</v>
      </c>
      <c r="C358" s="62">
        <f t="shared" si="276"/>
        <v>0.06</v>
      </c>
      <c r="D358" s="62">
        <f t="shared" si="277"/>
        <v>0.06</v>
      </c>
      <c r="E358" s="62">
        <f t="shared" si="278"/>
        <v>0.06</v>
      </c>
      <c r="F358" s="62">
        <f t="shared" si="279"/>
        <v>0.06</v>
      </c>
      <c r="G358" s="62">
        <f t="shared" si="280"/>
        <v>0.06</v>
      </c>
      <c r="H358" s="62">
        <f t="shared" si="281"/>
        <v>0.06</v>
      </c>
      <c r="I358" s="62">
        <f t="shared" si="282"/>
        <v>0.06</v>
      </c>
      <c r="J358" s="62">
        <f t="shared" si="283"/>
        <v>0.06</v>
      </c>
      <c r="K358" s="62">
        <f t="shared" si="284"/>
        <v>0.06</v>
      </c>
      <c r="L358" s="62">
        <f t="shared" si="285"/>
        <v>0.06</v>
      </c>
      <c r="M358" s="62">
        <f t="shared" si="286"/>
        <v>0.06</v>
      </c>
      <c r="N358" s="62">
        <f t="shared" si="287"/>
        <v>0.06</v>
      </c>
      <c r="O358" s="62">
        <f t="shared" si="288"/>
        <v>0.06</v>
      </c>
      <c r="P358" s="62">
        <f t="shared" si="289"/>
        <v>0.06</v>
      </c>
      <c r="Q358" s="62">
        <f t="shared" si="290"/>
        <v>0.06</v>
      </c>
      <c r="R358" s="62">
        <f t="shared" si="291"/>
        <v>0.06</v>
      </c>
      <c r="S358" s="62">
        <f t="shared" si="292"/>
        <v>0.06</v>
      </c>
      <c r="T358" s="62">
        <f t="shared" si="293"/>
        <v>0.06</v>
      </c>
      <c r="U358" s="62">
        <f t="shared" si="294"/>
        <v>0.06</v>
      </c>
      <c r="V358" s="62">
        <f t="shared" si="295"/>
        <v>0.06</v>
      </c>
      <c r="W358" s="62">
        <f t="shared" si="296"/>
        <v>0.06</v>
      </c>
      <c r="X358" s="62">
        <f t="shared" si="297"/>
        <v>0.06</v>
      </c>
      <c r="Y358" s="62">
        <f t="shared" si="298"/>
        <v>0.06</v>
      </c>
      <c r="Z358" s="62">
        <f t="shared" si="299"/>
        <v>0.06</v>
      </c>
      <c r="AA358" s="62">
        <f t="shared" si="300"/>
        <v>0.06</v>
      </c>
      <c r="AB358" s="62">
        <f t="shared" si="301"/>
        <v>0.06</v>
      </c>
      <c r="AC358" s="62">
        <f t="shared" si="302"/>
        <v>0.06</v>
      </c>
    </row>
    <row r="359" spans="1:29" x14ac:dyDescent="0.3">
      <c r="A359" s="30" t="str">
        <f t="shared" si="274"/>
        <v>Opex fix (admin, crew, insurance)</v>
      </c>
      <c r="B359" s="62">
        <f t="shared" si="275"/>
        <v>1450000</v>
      </c>
      <c r="C359" s="62">
        <f t="shared" si="276"/>
        <v>1450000</v>
      </c>
      <c r="D359" s="62">
        <f t="shared" si="277"/>
        <v>1450000</v>
      </c>
      <c r="E359" s="62">
        <f t="shared" si="278"/>
        <v>1450000</v>
      </c>
      <c r="F359" s="62">
        <f t="shared" si="279"/>
        <v>1450000</v>
      </c>
      <c r="G359" s="62">
        <f t="shared" si="280"/>
        <v>1450000</v>
      </c>
      <c r="H359" s="62">
        <f t="shared" si="281"/>
        <v>1450000</v>
      </c>
      <c r="I359" s="62">
        <f t="shared" si="282"/>
        <v>1450000</v>
      </c>
      <c r="J359" s="62">
        <f t="shared" si="283"/>
        <v>1450000</v>
      </c>
      <c r="K359" s="62">
        <f t="shared" si="284"/>
        <v>1450000</v>
      </c>
      <c r="L359" s="62">
        <f t="shared" si="285"/>
        <v>1450000</v>
      </c>
      <c r="M359" s="62">
        <f t="shared" si="286"/>
        <v>1450000</v>
      </c>
      <c r="N359" s="62">
        <f t="shared" si="287"/>
        <v>1450000</v>
      </c>
      <c r="O359" s="62">
        <f t="shared" si="288"/>
        <v>1450000</v>
      </c>
      <c r="P359" s="62">
        <f t="shared" si="289"/>
        <v>1450000</v>
      </c>
      <c r="Q359" s="62">
        <f t="shared" si="290"/>
        <v>1450000</v>
      </c>
      <c r="R359" s="62">
        <f t="shared" si="291"/>
        <v>1450000</v>
      </c>
      <c r="S359" s="62">
        <f t="shared" si="292"/>
        <v>1450000</v>
      </c>
      <c r="T359" s="62">
        <f t="shared" si="293"/>
        <v>1450000</v>
      </c>
      <c r="U359" s="62">
        <f t="shared" si="294"/>
        <v>1450000</v>
      </c>
      <c r="V359" s="62">
        <f t="shared" si="295"/>
        <v>1450000</v>
      </c>
      <c r="W359" s="62">
        <f t="shared" si="296"/>
        <v>1450000</v>
      </c>
      <c r="X359" s="62">
        <f t="shared" si="297"/>
        <v>1450000</v>
      </c>
      <c r="Y359" s="62">
        <f t="shared" si="298"/>
        <v>1450000</v>
      </c>
      <c r="Z359" s="62">
        <f t="shared" si="299"/>
        <v>1450000</v>
      </c>
      <c r="AA359" s="62">
        <f t="shared" si="300"/>
        <v>1450000</v>
      </c>
      <c r="AB359" s="62">
        <f t="shared" si="301"/>
        <v>1450000</v>
      </c>
      <c r="AC359" s="62">
        <f t="shared" si="302"/>
        <v>1450000</v>
      </c>
    </row>
    <row r="360" spans="1:29" x14ac:dyDescent="0.3">
      <c r="A360" s="30" t="str">
        <f t="shared" si="274"/>
        <v>Opex maintenance &amp; repair</v>
      </c>
      <c r="B360" s="62">
        <f t="shared" si="275"/>
        <v>1388910.2037228637</v>
      </c>
      <c r="C360" s="62">
        <f t="shared" si="276"/>
        <v>1384161.8820080096</v>
      </c>
      <c r="D360" s="62">
        <f t="shared" si="277"/>
        <v>1377419.9458533253</v>
      </c>
      <c r="E360" s="62">
        <f t="shared" si="278"/>
        <v>1367890.8669573795</v>
      </c>
      <c r="F360" s="62">
        <f t="shared" si="279"/>
        <v>1354512.2121062956</v>
      </c>
      <c r="G360" s="62">
        <f t="shared" si="280"/>
        <v>1335911.0252611889</v>
      </c>
      <c r="H360" s="62">
        <f t="shared" si="281"/>
        <v>1310409.4939683313</v>
      </c>
      <c r="I360" s="62">
        <f t="shared" si="282"/>
        <v>1276138.1685443469</v>
      </c>
      <c r="J360" s="62">
        <f t="shared" si="283"/>
        <v>1231338.9254820407</v>
      </c>
      <c r="K360" s="62">
        <f t="shared" si="284"/>
        <v>1174921.8508999445</v>
      </c>
      <c r="L360" s="62">
        <f t="shared" si="285"/>
        <v>1107222.9808538083</v>
      </c>
      <c r="M360" s="62">
        <f t="shared" si="286"/>
        <v>1030670.8821991365</v>
      </c>
      <c r="N360" s="62">
        <f t="shared" si="287"/>
        <v>949855.14573475695</v>
      </c>
      <c r="O360" s="62">
        <f t="shared" si="288"/>
        <v>870629.71180240111</v>
      </c>
      <c r="P360" s="62">
        <f t="shared" si="289"/>
        <v>798509.16855274222</v>
      </c>
      <c r="Q360" s="62">
        <f t="shared" si="290"/>
        <v>737216.97695338901</v>
      </c>
      <c r="R360" s="62">
        <f t="shared" si="291"/>
        <v>688132.90829190495</v>
      </c>
      <c r="S360" s="62">
        <f t="shared" si="292"/>
        <v>650679.58539676399</v>
      </c>
      <c r="T360" s="62">
        <f t="shared" si="293"/>
        <v>623148.38930799719</v>
      </c>
      <c r="U360" s="62">
        <f t="shared" si="294"/>
        <v>603463.98238910188</v>
      </c>
      <c r="V360" s="62">
        <f t="shared" si="295"/>
        <v>589668.12012529059</v>
      </c>
      <c r="W360" s="62">
        <f t="shared" si="296"/>
        <v>580134.33134103287</v>
      </c>
      <c r="X360" s="62">
        <f t="shared" si="297"/>
        <v>573609.8845890474</v>
      </c>
      <c r="Y360" s="62">
        <f t="shared" si="298"/>
        <v>569174.682073851</v>
      </c>
      <c r="Z360" s="62">
        <f t="shared" si="299"/>
        <v>566173.42988411163</v>
      </c>
      <c r="AA360" s="62">
        <f t="shared" si="300"/>
        <v>564148.78202354477</v>
      </c>
      <c r="AB360" s="62">
        <f t="shared" si="301"/>
        <v>562785.79914140829</v>
      </c>
      <c r="AC360" s="62">
        <f t="shared" si="302"/>
        <v>561869.53442032111</v>
      </c>
    </row>
    <row r="361" spans="1:29" x14ac:dyDescent="0.3">
      <c r="A361" s="30" t="str">
        <f t="shared" si="274"/>
        <v>Opex var (mode-fees, shunting)</v>
      </c>
      <c r="B361" s="62">
        <f t="shared" si="275"/>
        <v>8.9635854341736696</v>
      </c>
      <c r="C361" s="62">
        <f t="shared" si="276"/>
        <v>8.9635854341736696</v>
      </c>
      <c r="D361" s="62">
        <f t="shared" si="277"/>
        <v>8.9635854341736696</v>
      </c>
      <c r="E361" s="62">
        <f t="shared" si="278"/>
        <v>8.9635854341736696</v>
      </c>
      <c r="F361" s="62">
        <f t="shared" si="279"/>
        <v>8.9635854341736696</v>
      </c>
      <c r="G361" s="62">
        <f t="shared" si="280"/>
        <v>8.9635854341736696</v>
      </c>
      <c r="H361" s="62">
        <f t="shared" si="281"/>
        <v>8.9635854341736696</v>
      </c>
      <c r="I361" s="62">
        <f t="shared" si="282"/>
        <v>8.9635854341736696</v>
      </c>
      <c r="J361" s="62">
        <f t="shared" si="283"/>
        <v>8.9635854341736696</v>
      </c>
      <c r="K361" s="62">
        <f t="shared" si="284"/>
        <v>8.9635854341736696</v>
      </c>
      <c r="L361" s="62">
        <f t="shared" si="285"/>
        <v>8.9635854341736696</v>
      </c>
      <c r="M361" s="62">
        <f t="shared" si="286"/>
        <v>8.9635854341736696</v>
      </c>
      <c r="N361" s="62">
        <f t="shared" si="287"/>
        <v>8.9635854341736696</v>
      </c>
      <c r="O361" s="62">
        <f t="shared" si="288"/>
        <v>8.9635854341736696</v>
      </c>
      <c r="P361" s="62">
        <f t="shared" si="289"/>
        <v>8.9635854341736696</v>
      </c>
      <c r="Q361" s="62">
        <f t="shared" si="290"/>
        <v>8.9635854341736696</v>
      </c>
      <c r="R361" s="62">
        <f t="shared" si="291"/>
        <v>8.9635854341736696</v>
      </c>
      <c r="S361" s="62">
        <f t="shared" si="292"/>
        <v>8.9635854341736696</v>
      </c>
      <c r="T361" s="62">
        <f t="shared" si="293"/>
        <v>8.9635854341736696</v>
      </c>
      <c r="U361" s="62">
        <f t="shared" si="294"/>
        <v>8.9635854341736696</v>
      </c>
      <c r="V361" s="62">
        <f t="shared" si="295"/>
        <v>8.9635854341736696</v>
      </c>
      <c r="W361" s="62">
        <f t="shared" si="296"/>
        <v>8.9635854341736696</v>
      </c>
      <c r="X361" s="62">
        <f t="shared" si="297"/>
        <v>8.9635854341736696</v>
      </c>
      <c r="Y361" s="62">
        <f t="shared" si="298"/>
        <v>8.9635854341736696</v>
      </c>
      <c r="Z361" s="62">
        <f t="shared" si="299"/>
        <v>8.9635854341736696</v>
      </c>
      <c r="AA361" s="62">
        <f t="shared" si="300"/>
        <v>8.9635854341736696</v>
      </c>
      <c r="AB361" s="62">
        <f t="shared" si="301"/>
        <v>8.9635854341736696</v>
      </c>
      <c r="AC361" s="62">
        <f t="shared" si="302"/>
        <v>8.9635854341736696</v>
      </c>
    </row>
    <row r="362" spans="1:29" x14ac:dyDescent="0.3">
      <c r="A362" s="30" t="str">
        <f t="shared" si="274"/>
        <v>Fuel Economy</v>
      </c>
      <c r="B362" s="62">
        <f t="shared" si="275"/>
        <v>39.427247314658196</v>
      </c>
      <c r="C362" s="62">
        <f t="shared" si="276"/>
        <v>39.39288938847082</v>
      </c>
      <c r="D362" s="62">
        <f t="shared" si="277"/>
        <v>39.344106058554914</v>
      </c>
      <c r="E362" s="62">
        <f t="shared" si="278"/>
        <v>39.27515550949748</v>
      </c>
      <c r="F362" s="62">
        <f t="shared" si="279"/>
        <v>39.178350182591792</v>
      </c>
      <c r="G362" s="62">
        <f t="shared" si="280"/>
        <v>39.043755636771031</v>
      </c>
      <c r="H362" s="62">
        <f t="shared" si="281"/>
        <v>38.859231549642743</v>
      </c>
      <c r="I362" s="62">
        <f t="shared" si="282"/>
        <v>38.611250949344104</v>
      </c>
      <c r="J362" s="62">
        <f t="shared" si="283"/>
        <v>38.287092398425017</v>
      </c>
      <c r="K362" s="62">
        <f t="shared" si="284"/>
        <v>37.878869493448889</v>
      </c>
      <c r="L362" s="62">
        <f t="shared" si="285"/>
        <v>37.389013725517856</v>
      </c>
      <c r="M362" s="62">
        <f t="shared" si="286"/>
        <v>36.835097728874764</v>
      </c>
      <c r="N362" s="62">
        <f t="shared" si="287"/>
        <v>36.250330883878796</v>
      </c>
      <c r="O362" s="62">
        <f t="shared" si="288"/>
        <v>35.677071156616648</v>
      </c>
      <c r="P362" s="62">
        <f t="shared" si="289"/>
        <v>35.155221027167087</v>
      </c>
      <c r="Q362" s="62">
        <f t="shared" si="290"/>
        <v>34.711722730022458</v>
      </c>
      <c r="R362" s="62">
        <f t="shared" si="291"/>
        <v>34.356560020054545</v>
      </c>
      <c r="S362" s="62">
        <f t="shared" si="292"/>
        <v>34.085555109103076</v>
      </c>
      <c r="T362" s="62">
        <f t="shared" si="293"/>
        <v>33.886344764928474</v>
      </c>
      <c r="U362" s="62">
        <f t="shared" si="294"/>
        <v>33.743912250752814</v>
      </c>
      <c r="V362" s="62">
        <f t="shared" si="295"/>
        <v>33.64408809269959</v>
      </c>
      <c r="W362" s="62">
        <f t="shared" si="296"/>
        <v>33.575103463812546</v>
      </c>
      <c r="X362" s="62">
        <f t="shared" si="297"/>
        <v>33.527893844629226</v>
      </c>
      <c r="Y362" s="62">
        <f t="shared" si="298"/>
        <v>33.49580158766053</v>
      </c>
      <c r="Z362" s="62">
        <f t="shared" si="299"/>
        <v>33.474085114473347</v>
      </c>
      <c r="AA362" s="62">
        <f t="shared" si="300"/>
        <v>33.459435158988832</v>
      </c>
      <c r="AB362" s="62">
        <f t="shared" si="301"/>
        <v>33.449572881731456</v>
      </c>
      <c r="AC362" s="62">
        <f t="shared" si="302"/>
        <v>33.442942969618151</v>
      </c>
    </row>
    <row r="363" spans="1:29" x14ac:dyDescent="0.3">
      <c r="A363" s="30" t="str">
        <f t="shared" si="274"/>
        <v>Fuel Cost</v>
      </c>
      <c r="B363" s="62">
        <f t="shared" si="275"/>
        <v>0.21482257834535914</v>
      </c>
      <c r="C363" s="62">
        <f t="shared" si="276"/>
        <v>0.21417522499855654</v>
      </c>
      <c r="D363" s="62">
        <f t="shared" si="277"/>
        <v>0.21325607604535665</v>
      </c>
      <c r="E363" s="62">
        <f t="shared" si="278"/>
        <v>0.21195694732458373</v>
      </c>
      <c r="F363" s="62">
        <f t="shared" si="279"/>
        <v>0.21013299403884214</v>
      </c>
      <c r="G363" s="62">
        <f t="shared" si="280"/>
        <v>0.20759703685611555</v>
      </c>
      <c r="H363" s="62">
        <f t="shared" si="281"/>
        <v>0.20412033442894431</v>
      </c>
      <c r="I363" s="62">
        <f t="shared" si="282"/>
        <v>0.19944801891519662</v>
      </c>
      <c r="J363" s="62">
        <f t="shared" si="283"/>
        <v>0.19334039991375346</v>
      </c>
      <c r="K363" s="62">
        <f t="shared" si="284"/>
        <v>0.18564888610303532</v>
      </c>
      <c r="L363" s="62">
        <f t="shared" si="285"/>
        <v>0.17641929031511205</v>
      </c>
      <c r="M363" s="62">
        <f t="shared" si="286"/>
        <v>0.16598270656093206</v>
      </c>
      <c r="N363" s="62">
        <f t="shared" si="287"/>
        <v>0.15496484791186993</v>
      </c>
      <c r="O363" s="62">
        <f t="shared" si="288"/>
        <v>0.14416380011269478</v>
      </c>
      <c r="P363" s="62">
        <f t="shared" si="289"/>
        <v>0.13433138397714983</v>
      </c>
      <c r="Q363" s="62">
        <f t="shared" si="290"/>
        <v>0.12597523042491984</v>
      </c>
      <c r="R363" s="62">
        <f t="shared" si="291"/>
        <v>0.11928344793189689</v>
      </c>
      <c r="S363" s="62">
        <f t="shared" si="292"/>
        <v>0.11417732088721881</v>
      </c>
      <c r="T363" s="62">
        <f t="shared" si="293"/>
        <v>0.11042390799739947</v>
      </c>
      <c r="U363" s="62">
        <f t="shared" si="294"/>
        <v>0.10774027208054308</v>
      </c>
      <c r="V363" s="62">
        <f t="shared" si="295"/>
        <v>0.10585943962124107</v>
      </c>
      <c r="W363" s="62">
        <f t="shared" si="296"/>
        <v>0.10455966878686571</v>
      </c>
      <c r="X363" s="62">
        <f t="shared" si="297"/>
        <v>0.10367017083483761</v>
      </c>
      <c r="Y363" s="62">
        <f t="shared" si="298"/>
        <v>0.10306550599442084</v>
      </c>
      <c r="Z363" s="62">
        <f t="shared" si="299"/>
        <v>0.10265633602526128</v>
      </c>
      <c r="AA363" s="62">
        <f t="shared" si="300"/>
        <v>0.10238030953688443</v>
      </c>
      <c r="AB363" s="62">
        <f t="shared" si="301"/>
        <v>0.10219448987609238</v>
      </c>
      <c r="AC363" s="62">
        <f t="shared" si="302"/>
        <v>0.10206957268021295</v>
      </c>
    </row>
    <row r="364" spans="1:29" x14ac:dyDescent="0.3">
      <c r="A364" s="30" t="str">
        <f t="shared" ref="A364" si="303">A344</f>
        <v>Emission Cost</v>
      </c>
      <c r="B364" s="66">
        <f>$B344+($C344-$B344)*(1-Q344)</f>
        <v>0.14217309718689772</v>
      </c>
      <c r="C364" s="66">
        <f t="shared" ref="C364:AC364" si="304">$B344+($C344-$B344)*(1-R344)</f>
        <v>0.14203771375766058</v>
      </c>
      <c r="D364" s="66">
        <f t="shared" si="304"/>
        <v>0.14184391539413038</v>
      </c>
      <c r="E364" s="66">
        <f t="shared" si="304"/>
        <v>0.14156667320659028</v>
      </c>
      <c r="F364" s="66">
        <f t="shared" si="304"/>
        <v>0.14117043294406945</v>
      </c>
      <c r="G364" s="66">
        <f t="shared" si="304"/>
        <v>0.14060491245838053</v>
      </c>
      <c r="H364" s="66">
        <f t="shared" si="304"/>
        <v>0.13979947254939792</v>
      </c>
      <c r="I364" s="66">
        <f t="shared" si="304"/>
        <v>0.13865586333989385</v>
      </c>
      <c r="J364" s="66">
        <f t="shared" si="304"/>
        <v>0.13703948161608845</v>
      </c>
      <c r="K364" s="66">
        <f t="shared" si="304"/>
        <v>0.13477011083780754</v>
      </c>
      <c r="L364" s="66">
        <f t="shared" si="304"/>
        <v>0.13161486164889458</v>
      </c>
      <c r="M364" s="66">
        <f t="shared" si="304"/>
        <v>0.12728913304900186</v>
      </c>
      <c r="N364" s="66">
        <f t="shared" si="304"/>
        <v>0.12147581733708304</v>
      </c>
      <c r="O364" s="66">
        <f t="shared" si="304"/>
        <v>0.11387669065160279</v>
      </c>
      <c r="P364" s="66">
        <f t="shared" si="304"/>
        <v>0.10430687501035908</v>
      </c>
      <c r="Q364" s="66">
        <f t="shared" si="304"/>
        <v>9.2823370942467606E-2</v>
      </c>
      <c r="R364" s="66">
        <f t="shared" si="304"/>
        <v>7.9838127086736127E-2</v>
      </c>
      <c r="S364" s="66">
        <f t="shared" si="304"/>
        <v>6.6129658425355342E-2</v>
      </c>
      <c r="T364" s="66">
        <f t="shared" si="304"/>
        <v>5.2690946786259088E-2</v>
      </c>
      <c r="U364" s="66">
        <f t="shared" si="304"/>
        <v>4.0457410964736609E-2</v>
      </c>
      <c r="V364" s="66">
        <f t="shared" si="304"/>
        <v>3.0060647605444357E-2</v>
      </c>
      <c r="W364" s="66">
        <f t="shared" si="304"/>
        <v>2.1734702109475382E-2</v>
      </c>
      <c r="X364" s="66">
        <f t="shared" si="304"/>
        <v>1.5381636164219614E-2</v>
      </c>
      <c r="Y364" s="66">
        <f t="shared" si="304"/>
        <v>1.0711623177831281E-2</v>
      </c>
      <c r="Z364" s="66">
        <f t="shared" si="304"/>
        <v>7.3726314520740077E-3</v>
      </c>
      <c r="AA364" s="66">
        <f t="shared" si="304"/>
        <v>5.0324913534492977E-3</v>
      </c>
      <c r="AB364" s="66">
        <f t="shared" si="304"/>
        <v>3.4153107090481305E-3</v>
      </c>
      <c r="AC364" s="66">
        <f t="shared" si="304"/>
        <v>2.3085934068818315E-3</v>
      </c>
    </row>
    <row r="365" spans="1:29" x14ac:dyDescent="0.3">
      <c r="A365" s="30" t="str">
        <f>A345</f>
        <v>Lifetime vehicle</v>
      </c>
      <c r="B365" s="62">
        <f>$B345+($C345-$B345)*(1-Q345)</f>
        <v>20</v>
      </c>
      <c r="C365" s="62">
        <f t="shared" ref="C365:L367" si="305">$B345+($C345-$B345)*(1-R345)</f>
        <v>20</v>
      </c>
      <c r="D365" s="62">
        <f t="shared" si="305"/>
        <v>20</v>
      </c>
      <c r="E365" s="62">
        <f t="shared" si="305"/>
        <v>20</v>
      </c>
      <c r="F365" s="62">
        <f t="shared" si="305"/>
        <v>20</v>
      </c>
      <c r="G365" s="62">
        <f t="shared" si="305"/>
        <v>20</v>
      </c>
      <c r="H365" s="62">
        <f t="shared" si="305"/>
        <v>20</v>
      </c>
      <c r="I365" s="62">
        <f t="shared" si="305"/>
        <v>20</v>
      </c>
      <c r="J365" s="62">
        <f t="shared" si="305"/>
        <v>20</v>
      </c>
      <c r="K365" s="62">
        <f t="shared" si="305"/>
        <v>20</v>
      </c>
      <c r="L365" s="62">
        <f t="shared" si="305"/>
        <v>20</v>
      </c>
      <c r="M365" s="62">
        <f t="shared" ref="M365:V367" si="306">$B345+($C345-$B345)*(1-AB345)</f>
        <v>20</v>
      </c>
      <c r="N365" s="62">
        <f t="shared" si="306"/>
        <v>20</v>
      </c>
      <c r="O365" s="62">
        <f t="shared" si="306"/>
        <v>20</v>
      </c>
      <c r="P365" s="62">
        <f t="shared" si="306"/>
        <v>20</v>
      </c>
      <c r="Q365" s="62">
        <f t="shared" si="306"/>
        <v>20</v>
      </c>
      <c r="R365" s="62">
        <f t="shared" si="306"/>
        <v>20</v>
      </c>
      <c r="S365" s="62">
        <f t="shared" si="306"/>
        <v>20</v>
      </c>
      <c r="T365" s="62">
        <f t="shared" si="306"/>
        <v>20</v>
      </c>
      <c r="U365" s="62">
        <f t="shared" si="306"/>
        <v>20</v>
      </c>
      <c r="V365" s="62">
        <f t="shared" si="306"/>
        <v>20</v>
      </c>
      <c r="W365" s="62">
        <f t="shared" ref="W365:AC367" si="307">$B345+($C345-$B345)*(1-AL345)</f>
        <v>20</v>
      </c>
      <c r="X365" s="62">
        <f t="shared" si="307"/>
        <v>20</v>
      </c>
      <c r="Y365" s="62">
        <f t="shared" si="307"/>
        <v>20</v>
      </c>
      <c r="Z365" s="62">
        <f t="shared" si="307"/>
        <v>20</v>
      </c>
      <c r="AA365" s="62">
        <f t="shared" si="307"/>
        <v>20</v>
      </c>
      <c r="AB365" s="62">
        <f t="shared" si="307"/>
        <v>20</v>
      </c>
      <c r="AC365" s="62">
        <f t="shared" si="307"/>
        <v>20</v>
      </c>
    </row>
    <row r="366" spans="1:29" x14ac:dyDescent="0.3">
      <c r="A366" s="30" t="str">
        <f>A346</f>
        <v>Lifetime costumization</v>
      </c>
      <c r="B366" s="62">
        <f>$B346+($C346-$B346)*(1-Q346)</f>
        <v>30</v>
      </c>
      <c r="C366" s="62">
        <f t="shared" si="305"/>
        <v>30</v>
      </c>
      <c r="D366" s="62">
        <f t="shared" si="305"/>
        <v>30</v>
      </c>
      <c r="E366" s="62">
        <f t="shared" si="305"/>
        <v>30</v>
      </c>
      <c r="F366" s="62">
        <f t="shared" si="305"/>
        <v>30</v>
      </c>
      <c r="G366" s="62">
        <f t="shared" si="305"/>
        <v>30</v>
      </c>
      <c r="H366" s="62">
        <f t="shared" si="305"/>
        <v>30</v>
      </c>
      <c r="I366" s="62">
        <f t="shared" si="305"/>
        <v>30</v>
      </c>
      <c r="J366" s="62">
        <f t="shared" si="305"/>
        <v>30</v>
      </c>
      <c r="K366" s="62">
        <f t="shared" si="305"/>
        <v>30</v>
      </c>
      <c r="L366" s="62">
        <f t="shared" si="305"/>
        <v>30</v>
      </c>
      <c r="M366" s="62">
        <f t="shared" si="306"/>
        <v>30</v>
      </c>
      <c r="N366" s="62">
        <f t="shared" si="306"/>
        <v>30</v>
      </c>
      <c r="O366" s="62">
        <f t="shared" si="306"/>
        <v>30</v>
      </c>
      <c r="P366" s="62">
        <f t="shared" si="306"/>
        <v>30</v>
      </c>
      <c r="Q366" s="62">
        <f t="shared" si="306"/>
        <v>30</v>
      </c>
      <c r="R366" s="62">
        <f t="shared" si="306"/>
        <v>30</v>
      </c>
      <c r="S366" s="62">
        <f t="shared" si="306"/>
        <v>30</v>
      </c>
      <c r="T366" s="62">
        <f t="shared" si="306"/>
        <v>30</v>
      </c>
      <c r="U366" s="62">
        <f t="shared" si="306"/>
        <v>30</v>
      </c>
      <c r="V366" s="62">
        <f t="shared" si="306"/>
        <v>30</v>
      </c>
      <c r="W366" s="62">
        <f t="shared" si="307"/>
        <v>30</v>
      </c>
      <c r="X366" s="62">
        <f t="shared" si="307"/>
        <v>30</v>
      </c>
      <c r="Y366" s="62">
        <f t="shared" si="307"/>
        <v>30</v>
      </c>
      <c r="Z366" s="62">
        <f t="shared" si="307"/>
        <v>30</v>
      </c>
      <c r="AA366" s="62">
        <f t="shared" si="307"/>
        <v>30</v>
      </c>
      <c r="AB366" s="62">
        <f t="shared" si="307"/>
        <v>30</v>
      </c>
      <c r="AC366" s="62">
        <f t="shared" si="307"/>
        <v>30</v>
      </c>
    </row>
    <row r="367" spans="1:29" x14ac:dyDescent="0.3">
      <c r="A367" s="30" t="str">
        <f>A347</f>
        <v>Tonnage .</v>
      </c>
      <c r="B367" s="62">
        <f>$B347+($C347-$B347)*(1-Q347)</f>
        <v>2240</v>
      </c>
      <c r="C367" s="62">
        <f t="shared" si="305"/>
        <v>2240</v>
      </c>
      <c r="D367" s="62">
        <f t="shared" si="305"/>
        <v>2240</v>
      </c>
      <c r="E367" s="62">
        <f t="shared" si="305"/>
        <v>2240</v>
      </c>
      <c r="F367" s="62">
        <f t="shared" si="305"/>
        <v>2240</v>
      </c>
      <c r="G367" s="62">
        <f t="shared" si="305"/>
        <v>2240</v>
      </c>
      <c r="H367" s="62">
        <f t="shared" si="305"/>
        <v>2240</v>
      </c>
      <c r="I367" s="62">
        <f t="shared" si="305"/>
        <v>2240</v>
      </c>
      <c r="J367" s="62">
        <f t="shared" si="305"/>
        <v>2240</v>
      </c>
      <c r="K367" s="62">
        <f t="shared" si="305"/>
        <v>2240</v>
      </c>
      <c r="L367" s="62">
        <f t="shared" si="305"/>
        <v>2240</v>
      </c>
      <c r="M367" s="62">
        <f t="shared" si="306"/>
        <v>2240</v>
      </c>
      <c r="N367" s="62">
        <f t="shared" si="306"/>
        <v>2240</v>
      </c>
      <c r="O367" s="62">
        <f t="shared" si="306"/>
        <v>2240</v>
      </c>
      <c r="P367" s="62">
        <f t="shared" si="306"/>
        <v>2240</v>
      </c>
      <c r="Q367" s="62">
        <f t="shared" si="306"/>
        <v>2240</v>
      </c>
      <c r="R367" s="62">
        <f t="shared" si="306"/>
        <v>2240</v>
      </c>
      <c r="S367" s="62">
        <f t="shared" si="306"/>
        <v>2240</v>
      </c>
      <c r="T367" s="62">
        <f t="shared" si="306"/>
        <v>2240</v>
      </c>
      <c r="U367" s="62">
        <f t="shared" si="306"/>
        <v>2240</v>
      </c>
      <c r="V367" s="62">
        <f t="shared" si="306"/>
        <v>2240</v>
      </c>
      <c r="W367" s="62">
        <f t="shared" si="307"/>
        <v>2240</v>
      </c>
      <c r="X367" s="62">
        <f t="shared" si="307"/>
        <v>2240</v>
      </c>
      <c r="Y367" s="62">
        <f t="shared" si="307"/>
        <v>2240</v>
      </c>
      <c r="Z367" s="62">
        <f t="shared" si="307"/>
        <v>2240</v>
      </c>
      <c r="AA367" s="62">
        <f t="shared" si="307"/>
        <v>2240</v>
      </c>
      <c r="AB367" s="62">
        <f t="shared" si="307"/>
        <v>2240</v>
      </c>
      <c r="AC367" s="62">
        <f t="shared" si="307"/>
        <v>2240</v>
      </c>
    </row>
    <row r="368" spans="1:29" x14ac:dyDescent="0.3">
      <c r="A368" s="30" t="str">
        <f>A348</f>
        <v>Market failure (av. utilization)</v>
      </c>
      <c r="B368" s="62">
        <f t="shared" ref="B368:K369" si="308">($B348+($C348-$B348)*(1-Q348))*B$44</f>
        <v>1209.6000000000001</v>
      </c>
      <c r="C368" s="62">
        <f t="shared" si="308"/>
        <v>1209.6000000000001</v>
      </c>
      <c r="D368" s="62">
        <f t="shared" si="308"/>
        <v>1209.6000000000001</v>
      </c>
      <c r="E368" s="62">
        <f t="shared" si="308"/>
        <v>1209.6000000000001</v>
      </c>
      <c r="F368" s="62">
        <f t="shared" si="308"/>
        <v>1209.6000000000001</v>
      </c>
      <c r="G368" s="62">
        <f t="shared" si="308"/>
        <v>1209.6000000000001</v>
      </c>
      <c r="H368" s="62">
        <f t="shared" si="308"/>
        <v>1209.6000000000001</v>
      </c>
      <c r="I368" s="62">
        <f t="shared" si="308"/>
        <v>1209.6000000000001</v>
      </c>
      <c r="J368" s="62">
        <f t="shared" si="308"/>
        <v>1209.6000000000001</v>
      </c>
      <c r="K368" s="62">
        <f t="shared" si="308"/>
        <v>1209.6000000000001</v>
      </c>
      <c r="L368" s="62">
        <f t="shared" ref="L368:U369" si="309">($B348+($C348-$B348)*(1-AA348))*L$44</f>
        <v>1209.6000000000001</v>
      </c>
      <c r="M368" s="62">
        <f t="shared" si="309"/>
        <v>1209.6000000000001</v>
      </c>
      <c r="N368" s="62">
        <f t="shared" si="309"/>
        <v>1209.6000000000001</v>
      </c>
      <c r="O368" s="62">
        <f t="shared" si="309"/>
        <v>1209.6000000000001</v>
      </c>
      <c r="P368" s="62">
        <f t="shared" si="309"/>
        <v>1209.6000000000001</v>
      </c>
      <c r="Q368" s="62">
        <f t="shared" si="309"/>
        <v>1209.6000000000001</v>
      </c>
      <c r="R368" s="62">
        <f t="shared" si="309"/>
        <v>1209.6000000000001</v>
      </c>
      <c r="S368" s="62">
        <f t="shared" si="309"/>
        <v>1209.6000000000001</v>
      </c>
      <c r="T368" s="62">
        <f t="shared" si="309"/>
        <v>1209.6000000000001</v>
      </c>
      <c r="U368" s="62">
        <f t="shared" si="309"/>
        <v>1209.6000000000001</v>
      </c>
      <c r="V368" s="62">
        <f t="shared" ref="V368:AC369" si="310">($B348+($C348-$B348)*(1-AK348))*V$44</f>
        <v>1209.6000000000001</v>
      </c>
      <c r="W368" s="62">
        <f t="shared" si="310"/>
        <v>1209.6000000000001</v>
      </c>
      <c r="X368" s="62">
        <f t="shared" si="310"/>
        <v>1209.6000000000001</v>
      </c>
      <c r="Y368" s="62">
        <f t="shared" si="310"/>
        <v>1209.6000000000001</v>
      </c>
      <c r="Z368" s="62">
        <f t="shared" si="310"/>
        <v>1209.6000000000001</v>
      </c>
      <c r="AA368" s="62">
        <f t="shared" si="310"/>
        <v>1209.6000000000001</v>
      </c>
      <c r="AB368" s="62">
        <f t="shared" si="310"/>
        <v>1209.6000000000001</v>
      </c>
      <c r="AC368" s="62">
        <f t="shared" si="310"/>
        <v>1209.6000000000001</v>
      </c>
    </row>
    <row r="369" spans="1:29" x14ac:dyDescent="0.3">
      <c r="A369" s="30" t="s">
        <v>73</v>
      </c>
      <c r="B369" s="62">
        <f t="shared" si="308"/>
        <v>40</v>
      </c>
      <c r="C369" s="62">
        <f t="shared" si="308"/>
        <v>40</v>
      </c>
      <c r="D369" s="62">
        <f t="shared" si="308"/>
        <v>40</v>
      </c>
      <c r="E369" s="62">
        <f t="shared" si="308"/>
        <v>40</v>
      </c>
      <c r="F369" s="62">
        <f t="shared" si="308"/>
        <v>40</v>
      </c>
      <c r="G369" s="62">
        <f t="shared" si="308"/>
        <v>40</v>
      </c>
      <c r="H369" s="62">
        <f t="shared" si="308"/>
        <v>40</v>
      </c>
      <c r="I369" s="62">
        <f t="shared" si="308"/>
        <v>40</v>
      </c>
      <c r="J369" s="62">
        <f t="shared" si="308"/>
        <v>40</v>
      </c>
      <c r="K369" s="62">
        <f t="shared" si="308"/>
        <v>40</v>
      </c>
      <c r="L369" s="62">
        <f t="shared" si="309"/>
        <v>40</v>
      </c>
      <c r="M369" s="62">
        <f t="shared" si="309"/>
        <v>40</v>
      </c>
      <c r="N369" s="62">
        <f t="shared" si="309"/>
        <v>40</v>
      </c>
      <c r="O369" s="62">
        <f t="shared" si="309"/>
        <v>40</v>
      </c>
      <c r="P369" s="62">
        <f t="shared" si="309"/>
        <v>40</v>
      </c>
      <c r="Q369" s="62">
        <f t="shared" si="309"/>
        <v>40</v>
      </c>
      <c r="R369" s="62">
        <f t="shared" si="309"/>
        <v>40</v>
      </c>
      <c r="S369" s="62">
        <f t="shared" si="309"/>
        <v>40</v>
      </c>
      <c r="T369" s="62">
        <f t="shared" si="309"/>
        <v>40</v>
      </c>
      <c r="U369" s="62">
        <f t="shared" si="309"/>
        <v>40</v>
      </c>
      <c r="V369" s="62">
        <f t="shared" si="310"/>
        <v>40</v>
      </c>
      <c r="W369" s="62">
        <f t="shared" si="310"/>
        <v>40</v>
      </c>
      <c r="X369" s="62">
        <f t="shared" si="310"/>
        <v>40</v>
      </c>
      <c r="Y369" s="62">
        <f t="shared" si="310"/>
        <v>40</v>
      </c>
      <c r="Z369" s="62">
        <f t="shared" si="310"/>
        <v>40</v>
      </c>
      <c r="AA369" s="62">
        <f t="shared" si="310"/>
        <v>40</v>
      </c>
      <c r="AB369" s="62">
        <f t="shared" si="310"/>
        <v>40</v>
      </c>
      <c r="AC369" s="62">
        <f t="shared" si="310"/>
        <v>40</v>
      </c>
    </row>
    <row r="370" spans="1:29" x14ac:dyDescent="0.3">
      <c r="A370" s="30" t="str">
        <f>A350</f>
        <v>Annual Mileage</v>
      </c>
      <c r="B370" s="62">
        <f t="shared" ref="B370:AC370" si="311">$B350+($C350-$B350)*(1-Q350)</f>
        <v>178500</v>
      </c>
      <c r="C370" s="62">
        <f t="shared" si="311"/>
        <v>178500</v>
      </c>
      <c r="D370" s="62">
        <f t="shared" si="311"/>
        <v>178500</v>
      </c>
      <c r="E370" s="62">
        <f t="shared" si="311"/>
        <v>178500</v>
      </c>
      <c r="F370" s="62">
        <f t="shared" si="311"/>
        <v>178500</v>
      </c>
      <c r="G370" s="62">
        <f t="shared" si="311"/>
        <v>178500</v>
      </c>
      <c r="H370" s="62">
        <f t="shared" si="311"/>
        <v>178500</v>
      </c>
      <c r="I370" s="62">
        <f t="shared" si="311"/>
        <v>178500</v>
      </c>
      <c r="J370" s="62">
        <f t="shared" si="311"/>
        <v>178500</v>
      </c>
      <c r="K370" s="62">
        <f t="shared" si="311"/>
        <v>178500</v>
      </c>
      <c r="L370" s="62">
        <f t="shared" si="311"/>
        <v>178500</v>
      </c>
      <c r="M370" s="62">
        <f t="shared" si="311"/>
        <v>178500</v>
      </c>
      <c r="N370" s="62">
        <f t="shared" si="311"/>
        <v>178500</v>
      </c>
      <c r="O370" s="62">
        <f t="shared" si="311"/>
        <v>178500</v>
      </c>
      <c r="P370" s="62">
        <f t="shared" si="311"/>
        <v>178500</v>
      </c>
      <c r="Q370" s="62">
        <f t="shared" si="311"/>
        <v>178500</v>
      </c>
      <c r="R370" s="62">
        <f t="shared" si="311"/>
        <v>178500</v>
      </c>
      <c r="S370" s="62">
        <f t="shared" si="311"/>
        <v>178500</v>
      </c>
      <c r="T370" s="62">
        <f t="shared" si="311"/>
        <v>178500</v>
      </c>
      <c r="U370" s="62">
        <f t="shared" si="311"/>
        <v>178500</v>
      </c>
      <c r="V370" s="62">
        <f t="shared" si="311"/>
        <v>178500</v>
      </c>
      <c r="W370" s="62">
        <f t="shared" si="311"/>
        <v>178500</v>
      </c>
      <c r="X370" s="62">
        <f t="shared" si="311"/>
        <v>178500</v>
      </c>
      <c r="Y370" s="62">
        <f t="shared" si="311"/>
        <v>178500</v>
      </c>
      <c r="Z370" s="62">
        <f t="shared" si="311"/>
        <v>178500</v>
      </c>
      <c r="AA370" s="62">
        <f t="shared" si="311"/>
        <v>178500</v>
      </c>
      <c r="AB370" s="62">
        <f t="shared" si="311"/>
        <v>178500</v>
      </c>
      <c r="AC370" s="62">
        <f t="shared" si="311"/>
        <v>178500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864939.43423004472</v>
      </c>
      <c r="C373" s="63">
        <f t="shared" ref="C373:AC373" si="312">((1+C358)^C365)*C358/(((1+C358)^C365)-1)*(C354)</f>
        <v>861982.43190795113</v>
      </c>
      <c r="D373" s="63">
        <f t="shared" si="312"/>
        <v>857783.91250214854</v>
      </c>
      <c r="E373" s="63">
        <f t="shared" si="312"/>
        <v>851849.70877400215</v>
      </c>
      <c r="F373" s="63">
        <f t="shared" si="312"/>
        <v>843518.19380158815</v>
      </c>
      <c r="G373" s="63">
        <f t="shared" si="312"/>
        <v>831934.36355634325</v>
      </c>
      <c r="H373" s="63">
        <f t="shared" si="312"/>
        <v>816053.36564206402</v>
      </c>
      <c r="I373" s="63">
        <f t="shared" si="312"/>
        <v>794711.00618420995</v>
      </c>
      <c r="J373" s="63">
        <f t="shared" si="312"/>
        <v>766812.41933217109</v>
      </c>
      <c r="K373" s="63">
        <f t="shared" si="312"/>
        <v>731678.86466524214</v>
      </c>
      <c r="L373" s="63">
        <f t="shared" si="312"/>
        <v>689519.60757377208</v>
      </c>
      <c r="M373" s="63">
        <f t="shared" si="312"/>
        <v>641847.03038194508</v>
      </c>
      <c r="N373" s="63">
        <f t="shared" si="312"/>
        <v>591519.28623619571</v>
      </c>
      <c r="O373" s="63">
        <f t="shared" si="312"/>
        <v>542181.89795982966</v>
      </c>
      <c r="P373" s="63">
        <f t="shared" si="312"/>
        <v>497269.05787303421</v>
      </c>
      <c r="Q373" s="63">
        <f t="shared" si="312"/>
        <v>459099.53951067774</v>
      </c>
      <c r="R373" s="63">
        <f t="shared" si="312"/>
        <v>428532.59107587172</v>
      </c>
      <c r="S373" s="63">
        <f t="shared" si="312"/>
        <v>405208.65276213008</v>
      </c>
      <c r="T373" s="63">
        <f t="shared" si="312"/>
        <v>388063.68751897325</v>
      </c>
      <c r="U373" s="63">
        <f t="shared" si="312"/>
        <v>375805.28540057357</v>
      </c>
      <c r="V373" s="63">
        <f t="shared" si="312"/>
        <v>367213.95583211613</v>
      </c>
      <c r="W373" s="63">
        <f t="shared" si="312"/>
        <v>361276.81903592765</v>
      </c>
      <c r="X373" s="63">
        <f t="shared" si="312"/>
        <v>357213.74046742113</v>
      </c>
      <c r="Y373" s="63">
        <f t="shared" si="312"/>
        <v>354451.73213606392</v>
      </c>
      <c r="Z373" s="63">
        <f t="shared" si="312"/>
        <v>352582.71183221939</v>
      </c>
      <c r="AA373" s="63">
        <f t="shared" si="312"/>
        <v>351321.86878395046</v>
      </c>
      <c r="AB373" s="63">
        <f t="shared" si="312"/>
        <v>350473.07550719258</v>
      </c>
      <c r="AC373" s="63">
        <f t="shared" si="312"/>
        <v>349902.47455161036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-43707.380747400188</v>
      </c>
      <c r="C374" s="62">
        <f t="shared" ref="C374:AC374" si="313">((1+C358)^C365)*C358/(((1+C358)^C365)-1)*(C355)</f>
        <v>-43756.664119435081</v>
      </c>
      <c r="D374" s="62">
        <f t="shared" si="313"/>
        <v>-43826.639442865126</v>
      </c>
      <c r="E374" s="62">
        <f t="shared" si="313"/>
        <v>-43925.54283833423</v>
      </c>
      <c r="F374" s="62">
        <f t="shared" si="313"/>
        <v>-44064.401421207796</v>
      </c>
      <c r="G374" s="62">
        <f t="shared" si="313"/>
        <v>-44257.465258628545</v>
      </c>
      <c r="H374" s="62">
        <f t="shared" si="313"/>
        <v>-44522.148557199871</v>
      </c>
      <c r="I374" s="62">
        <f t="shared" si="313"/>
        <v>-44877.854548164105</v>
      </c>
      <c r="J374" s="62">
        <f t="shared" si="313"/>
        <v>-45342.830995698081</v>
      </c>
      <c r="K374" s="62">
        <f t="shared" si="313"/>
        <v>-45928.390240146902</v>
      </c>
      <c r="L374" s="62">
        <f t="shared" si="313"/>
        <v>-46631.044525004734</v>
      </c>
      <c r="M374" s="62">
        <f t="shared" si="313"/>
        <v>-47425.587478201858</v>
      </c>
      <c r="N374" s="62">
        <f t="shared" si="313"/>
        <v>-48264.383213964342</v>
      </c>
      <c r="O374" s="62">
        <f t="shared" si="313"/>
        <v>-49086.673018570444</v>
      </c>
      <c r="P374" s="62">
        <f t="shared" si="313"/>
        <v>-49835.220353350363</v>
      </c>
      <c r="Q374" s="62">
        <f t="shared" si="313"/>
        <v>-50471.378992722974</v>
      </c>
      <c r="R374" s="62">
        <f t="shared" si="313"/>
        <v>-50980.828133303068</v>
      </c>
      <c r="S374" s="62">
        <f t="shared" si="313"/>
        <v>-51369.560438532098</v>
      </c>
      <c r="T374" s="62">
        <f t="shared" si="313"/>
        <v>-51655.309859251378</v>
      </c>
      <c r="U374" s="62">
        <f t="shared" si="313"/>
        <v>-51859.616561224706</v>
      </c>
      <c r="V374" s="62">
        <f t="shared" si="313"/>
        <v>-52002.805387365668</v>
      </c>
      <c r="W374" s="62">
        <f t="shared" si="313"/>
        <v>-52101.757667302139</v>
      </c>
      <c r="X374" s="62">
        <f t="shared" si="313"/>
        <v>-52169.475643443919</v>
      </c>
      <c r="Y374" s="62">
        <f t="shared" si="313"/>
        <v>-52215.509115633206</v>
      </c>
      <c r="Z374" s="62">
        <f t="shared" si="313"/>
        <v>-52246.659454030618</v>
      </c>
      <c r="AA374" s="62">
        <f t="shared" si="313"/>
        <v>-52267.673504835089</v>
      </c>
      <c r="AB374" s="62">
        <f t="shared" si="313"/>
        <v>-52281.820059447724</v>
      </c>
      <c r="AC374" s="62">
        <f t="shared" si="313"/>
        <v>-52291.330075374099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314">((1+C358)^C366)*C358/(((1+C358)^C366)-1)*(C356)</f>
        <v>305125.4282581982</v>
      </c>
      <c r="D375" s="62">
        <f t="shared" si="314"/>
        <v>305125.4282581982</v>
      </c>
      <c r="E375" s="62">
        <f t="shared" si="314"/>
        <v>305125.4282581982</v>
      </c>
      <c r="F375" s="62">
        <f t="shared" si="314"/>
        <v>305125.4282581982</v>
      </c>
      <c r="G375" s="62">
        <f t="shared" si="314"/>
        <v>305125.4282581982</v>
      </c>
      <c r="H375" s="62">
        <f t="shared" si="314"/>
        <v>305125.4282581982</v>
      </c>
      <c r="I375" s="62">
        <f t="shared" si="314"/>
        <v>305125.4282581982</v>
      </c>
      <c r="J375" s="62">
        <f t="shared" si="314"/>
        <v>305125.4282581982</v>
      </c>
      <c r="K375" s="62">
        <f t="shared" si="314"/>
        <v>305125.4282581982</v>
      </c>
      <c r="L375" s="62">
        <f t="shared" si="314"/>
        <v>305125.4282581982</v>
      </c>
      <c r="M375" s="62">
        <f t="shared" si="314"/>
        <v>305125.4282581982</v>
      </c>
      <c r="N375" s="62">
        <f t="shared" si="314"/>
        <v>305125.4282581982</v>
      </c>
      <c r="O375" s="62">
        <f t="shared" si="314"/>
        <v>305125.4282581982</v>
      </c>
      <c r="P375" s="62">
        <f t="shared" si="314"/>
        <v>305125.4282581982</v>
      </c>
      <c r="Q375" s="62">
        <f t="shared" si="314"/>
        <v>305125.4282581982</v>
      </c>
      <c r="R375" s="62">
        <f t="shared" si="314"/>
        <v>305125.4282581982</v>
      </c>
      <c r="S375" s="62">
        <f t="shared" si="314"/>
        <v>305125.4282581982</v>
      </c>
      <c r="T375" s="62">
        <f t="shared" si="314"/>
        <v>305125.4282581982</v>
      </c>
      <c r="U375" s="62">
        <f t="shared" si="314"/>
        <v>305125.4282581982</v>
      </c>
      <c r="V375" s="62">
        <f t="shared" si="314"/>
        <v>305125.4282581982</v>
      </c>
      <c r="W375" s="62">
        <f t="shared" si="314"/>
        <v>305125.4282581982</v>
      </c>
      <c r="X375" s="62">
        <f t="shared" si="314"/>
        <v>305125.4282581982</v>
      </c>
      <c r="Y375" s="62">
        <f t="shared" si="314"/>
        <v>305125.4282581982</v>
      </c>
      <c r="Z375" s="62">
        <f t="shared" si="314"/>
        <v>305125.4282581982</v>
      </c>
      <c r="AA375" s="62">
        <f t="shared" si="314"/>
        <v>305125.4282581982</v>
      </c>
      <c r="AB375" s="62">
        <f t="shared" si="314"/>
        <v>305125.4282581982</v>
      </c>
      <c r="AC375" s="62">
        <f t="shared" si="314"/>
        <v>305125.4282581982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315">((1+C358)^C366)*C358/(((1+C358)^C366)-1)*(C357)</f>
        <v>-15256.271412909911</v>
      </c>
      <c r="D376" s="62">
        <f t="shared" si="315"/>
        <v>-15256.271412909911</v>
      </c>
      <c r="E376" s="62">
        <f t="shared" si="315"/>
        <v>-15256.271412909911</v>
      </c>
      <c r="F376" s="62">
        <f t="shared" si="315"/>
        <v>-15256.271412909911</v>
      </c>
      <c r="G376" s="62">
        <f t="shared" si="315"/>
        <v>-15256.271412909911</v>
      </c>
      <c r="H376" s="62">
        <f t="shared" si="315"/>
        <v>-15256.271412909911</v>
      </c>
      <c r="I376" s="62">
        <f t="shared" si="315"/>
        <v>-15256.271412909911</v>
      </c>
      <c r="J376" s="62">
        <f t="shared" si="315"/>
        <v>-15256.271412909911</v>
      </c>
      <c r="K376" s="62">
        <f t="shared" si="315"/>
        <v>-15256.271412909911</v>
      </c>
      <c r="L376" s="62">
        <f t="shared" si="315"/>
        <v>-15256.271412909911</v>
      </c>
      <c r="M376" s="62">
        <f t="shared" si="315"/>
        <v>-15256.271412909911</v>
      </c>
      <c r="N376" s="62">
        <f t="shared" si="315"/>
        <v>-15256.271412909911</v>
      </c>
      <c r="O376" s="62">
        <f t="shared" si="315"/>
        <v>-15256.271412909911</v>
      </c>
      <c r="P376" s="62">
        <f t="shared" si="315"/>
        <v>-15256.271412909911</v>
      </c>
      <c r="Q376" s="62">
        <f t="shared" si="315"/>
        <v>-15256.271412909911</v>
      </c>
      <c r="R376" s="62">
        <f t="shared" si="315"/>
        <v>-15256.271412909911</v>
      </c>
      <c r="S376" s="62">
        <f t="shared" si="315"/>
        <v>-15256.271412909911</v>
      </c>
      <c r="T376" s="62">
        <f t="shared" si="315"/>
        <v>-15256.271412909911</v>
      </c>
      <c r="U376" s="62">
        <f t="shared" si="315"/>
        <v>-15256.271412909911</v>
      </c>
      <c r="V376" s="62">
        <f t="shared" si="315"/>
        <v>-15256.271412909911</v>
      </c>
      <c r="W376" s="62">
        <f t="shared" si="315"/>
        <v>-15256.271412909911</v>
      </c>
      <c r="X376" s="62">
        <f t="shared" si="315"/>
        <v>-15256.271412909911</v>
      </c>
      <c r="Y376" s="62">
        <f t="shared" si="315"/>
        <v>-15256.271412909911</v>
      </c>
      <c r="Z376" s="62">
        <f t="shared" si="315"/>
        <v>-15256.271412909911</v>
      </c>
      <c r="AA376" s="62">
        <f t="shared" si="315"/>
        <v>-15256.271412909911</v>
      </c>
      <c r="AB376" s="62">
        <f t="shared" si="315"/>
        <v>-15256.271412909911</v>
      </c>
      <c r="AC376" s="62">
        <f t="shared" si="315"/>
        <v>-15256.271412909911</v>
      </c>
    </row>
    <row r="377" spans="1:29" x14ac:dyDescent="0.3">
      <c r="A377" s="30" t="str">
        <f t="shared" ref="A377:AC377" si="316">A359</f>
        <v>Opex fix (admin, crew, insurance)</v>
      </c>
      <c r="B377" s="62">
        <f t="shared" si="316"/>
        <v>1450000</v>
      </c>
      <c r="C377" s="62">
        <f t="shared" si="316"/>
        <v>1450000</v>
      </c>
      <c r="D377" s="62">
        <f t="shared" si="316"/>
        <v>1450000</v>
      </c>
      <c r="E377" s="62">
        <f t="shared" si="316"/>
        <v>1450000</v>
      </c>
      <c r="F377" s="62">
        <f t="shared" si="316"/>
        <v>1450000</v>
      </c>
      <c r="G377" s="62">
        <f t="shared" si="316"/>
        <v>1450000</v>
      </c>
      <c r="H377" s="62">
        <f t="shared" si="316"/>
        <v>1450000</v>
      </c>
      <c r="I377" s="62">
        <f t="shared" si="316"/>
        <v>1450000</v>
      </c>
      <c r="J377" s="62">
        <f t="shared" si="316"/>
        <v>1450000</v>
      </c>
      <c r="K377" s="62">
        <f t="shared" si="316"/>
        <v>1450000</v>
      </c>
      <c r="L377" s="62">
        <f t="shared" si="316"/>
        <v>1450000</v>
      </c>
      <c r="M377" s="62">
        <f t="shared" si="316"/>
        <v>1450000</v>
      </c>
      <c r="N377" s="62">
        <f t="shared" si="316"/>
        <v>1450000</v>
      </c>
      <c r="O377" s="62">
        <f t="shared" si="316"/>
        <v>1450000</v>
      </c>
      <c r="P377" s="62">
        <f t="shared" si="316"/>
        <v>1450000</v>
      </c>
      <c r="Q377" s="62">
        <f t="shared" si="316"/>
        <v>1450000</v>
      </c>
      <c r="R377" s="62">
        <f t="shared" si="316"/>
        <v>1450000</v>
      </c>
      <c r="S377" s="62">
        <f t="shared" si="316"/>
        <v>1450000</v>
      </c>
      <c r="T377" s="62">
        <f t="shared" si="316"/>
        <v>1450000</v>
      </c>
      <c r="U377" s="62">
        <f t="shared" si="316"/>
        <v>1450000</v>
      </c>
      <c r="V377" s="62">
        <f t="shared" si="316"/>
        <v>1450000</v>
      </c>
      <c r="W377" s="62">
        <f t="shared" si="316"/>
        <v>1450000</v>
      </c>
      <c r="X377" s="62">
        <f t="shared" si="316"/>
        <v>1450000</v>
      </c>
      <c r="Y377" s="62">
        <f t="shared" si="316"/>
        <v>1450000</v>
      </c>
      <c r="Z377" s="62">
        <f t="shared" si="316"/>
        <v>1450000</v>
      </c>
      <c r="AA377" s="62">
        <f t="shared" si="316"/>
        <v>1450000</v>
      </c>
      <c r="AB377" s="62">
        <f t="shared" si="316"/>
        <v>1450000</v>
      </c>
      <c r="AC377" s="62">
        <f t="shared" si="316"/>
        <v>1450000</v>
      </c>
    </row>
    <row r="378" spans="1:29" x14ac:dyDescent="0.3">
      <c r="A378" s="30" t="str">
        <f t="shared" ref="A378:AC378" si="317">A360</f>
        <v>Opex maintenance &amp; repair</v>
      </c>
      <c r="B378" s="62">
        <f t="shared" si="317"/>
        <v>1388910.2037228637</v>
      </c>
      <c r="C378" s="62">
        <f t="shared" si="317"/>
        <v>1384161.8820080096</v>
      </c>
      <c r="D378" s="62">
        <f t="shared" si="317"/>
        <v>1377419.9458533253</v>
      </c>
      <c r="E378" s="62">
        <f t="shared" si="317"/>
        <v>1367890.8669573795</v>
      </c>
      <c r="F378" s="62">
        <f t="shared" si="317"/>
        <v>1354512.2121062956</v>
      </c>
      <c r="G378" s="62">
        <f t="shared" si="317"/>
        <v>1335911.0252611889</v>
      </c>
      <c r="H378" s="62">
        <f t="shared" si="317"/>
        <v>1310409.4939683313</v>
      </c>
      <c r="I378" s="62">
        <f t="shared" si="317"/>
        <v>1276138.1685443469</v>
      </c>
      <c r="J378" s="62">
        <f t="shared" si="317"/>
        <v>1231338.9254820407</v>
      </c>
      <c r="K378" s="62">
        <f t="shared" si="317"/>
        <v>1174921.8508999445</v>
      </c>
      <c r="L378" s="62">
        <f t="shared" si="317"/>
        <v>1107222.9808538083</v>
      </c>
      <c r="M378" s="62">
        <f t="shared" si="317"/>
        <v>1030670.8821991365</v>
      </c>
      <c r="N378" s="62">
        <f t="shared" si="317"/>
        <v>949855.14573475695</v>
      </c>
      <c r="O378" s="62">
        <f t="shared" si="317"/>
        <v>870629.71180240111</v>
      </c>
      <c r="P378" s="62">
        <f t="shared" si="317"/>
        <v>798509.16855274222</v>
      </c>
      <c r="Q378" s="62">
        <f t="shared" si="317"/>
        <v>737216.97695338901</v>
      </c>
      <c r="R378" s="62">
        <f t="shared" si="317"/>
        <v>688132.90829190495</v>
      </c>
      <c r="S378" s="62">
        <f t="shared" si="317"/>
        <v>650679.58539676399</v>
      </c>
      <c r="T378" s="62">
        <f t="shared" si="317"/>
        <v>623148.38930799719</v>
      </c>
      <c r="U378" s="62">
        <f t="shared" si="317"/>
        <v>603463.98238910188</v>
      </c>
      <c r="V378" s="62">
        <f t="shared" si="317"/>
        <v>589668.12012529059</v>
      </c>
      <c r="W378" s="62">
        <f t="shared" si="317"/>
        <v>580134.33134103287</v>
      </c>
      <c r="X378" s="62">
        <f t="shared" si="317"/>
        <v>573609.8845890474</v>
      </c>
      <c r="Y378" s="62">
        <f t="shared" si="317"/>
        <v>569174.682073851</v>
      </c>
      <c r="Z378" s="62">
        <f t="shared" si="317"/>
        <v>566173.42988411163</v>
      </c>
      <c r="AA378" s="62">
        <f t="shared" si="317"/>
        <v>564148.78202354477</v>
      </c>
      <c r="AB378" s="62">
        <f t="shared" si="317"/>
        <v>562785.79914140829</v>
      </c>
      <c r="AC378" s="62">
        <f t="shared" si="317"/>
        <v>561869.53442032111</v>
      </c>
    </row>
    <row r="379" spans="1:29" x14ac:dyDescent="0.3">
      <c r="A379" s="30" t="str">
        <f>A361</f>
        <v>Opex var (mode-fees, shunting)</v>
      </c>
      <c r="B379" s="62">
        <f>B361*B370</f>
        <v>1600000</v>
      </c>
      <c r="C379" s="62">
        <f t="shared" ref="C379:AC379" si="318">C361*C370</f>
        <v>1600000</v>
      </c>
      <c r="D379" s="62">
        <f t="shared" si="318"/>
        <v>1600000</v>
      </c>
      <c r="E379" s="62">
        <f t="shared" si="318"/>
        <v>1600000</v>
      </c>
      <c r="F379" s="62">
        <f t="shared" si="318"/>
        <v>1600000</v>
      </c>
      <c r="G379" s="62">
        <f t="shared" si="318"/>
        <v>1600000</v>
      </c>
      <c r="H379" s="62">
        <f t="shared" si="318"/>
        <v>1600000</v>
      </c>
      <c r="I379" s="62">
        <f t="shared" si="318"/>
        <v>1600000</v>
      </c>
      <c r="J379" s="62">
        <f t="shared" si="318"/>
        <v>1600000</v>
      </c>
      <c r="K379" s="62">
        <f t="shared" si="318"/>
        <v>1600000</v>
      </c>
      <c r="L379" s="62">
        <f t="shared" si="318"/>
        <v>1600000</v>
      </c>
      <c r="M379" s="62">
        <f t="shared" si="318"/>
        <v>1600000</v>
      </c>
      <c r="N379" s="62">
        <f t="shared" si="318"/>
        <v>1600000</v>
      </c>
      <c r="O379" s="62">
        <f t="shared" si="318"/>
        <v>1600000</v>
      </c>
      <c r="P379" s="62">
        <f t="shared" si="318"/>
        <v>1600000</v>
      </c>
      <c r="Q379" s="62">
        <f t="shared" si="318"/>
        <v>1600000</v>
      </c>
      <c r="R379" s="62">
        <f t="shared" si="318"/>
        <v>1600000</v>
      </c>
      <c r="S379" s="62">
        <f t="shared" si="318"/>
        <v>1600000</v>
      </c>
      <c r="T379" s="62">
        <f t="shared" si="318"/>
        <v>1600000</v>
      </c>
      <c r="U379" s="62">
        <f t="shared" si="318"/>
        <v>1600000</v>
      </c>
      <c r="V379" s="62">
        <f t="shared" si="318"/>
        <v>1600000</v>
      </c>
      <c r="W379" s="62">
        <f t="shared" si="318"/>
        <v>1600000</v>
      </c>
      <c r="X379" s="62">
        <f t="shared" si="318"/>
        <v>1600000</v>
      </c>
      <c r="Y379" s="62">
        <f t="shared" si="318"/>
        <v>1600000</v>
      </c>
      <c r="Z379" s="62">
        <f t="shared" si="318"/>
        <v>1600000</v>
      </c>
      <c r="AA379" s="62">
        <f t="shared" si="318"/>
        <v>1600000</v>
      </c>
      <c r="AB379" s="62">
        <f t="shared" si="318"/>
        <v>1600000</v>
      </c>
      <c r="AC379" s="62">
        <f t="shared" si="318"/>
        <v>1600000</v>
      </c>
    </row>
    <row r="380" spans="1:29" x14ac:dyDescent="0.3">
      <c r="A380" s="30" t="str">
        <f>A363</f>
        <v>Fuel Cost</v>
      </c>
      <c r="B380" s="62">
        <f>B362*B363*B370</f>
        <v>1511870.5321473095</v>
      </c>
      <c r="C380" s="62">
        <f t="shared" ref="C380:AC380" si="319">C362*C363*C370</f>
        <v>1506001.0992392392</v>
      </c>
      <c r="D380" s="62">
        <f t="shared" si="319"/>
        <v>1497680.9867304179</v>
      </c>
      <c r="E380" s="62">
        <f t="shared" si="319"/>
        <v>1485948.6090472133</v>
      </c>
      <c r="F380" s="62">
        <f t="shared" si="319"/>
        <v>1469530.5285285865</v>
      </c>
      <c r="G380" s="62">
        <f t="shared" si="319"/>
        <v>1446808.1840601345</v>
      </c>
      <c r="H380" s="62">
        <f t="shared" si="319"/>
        <v>1415854.7421123276</v>
      </c>
      <c r="I380" s="62">
        <f t="shared" si="319"/>
        <v>1374617.3454786271</v>
      </c>
      <c r="J380" s="62">
        <f t="shared" si="319"/>
        <v>1321335.8534185686</v>
      </c>
      <c r="K380" s="62">
        <f t="shared" si="319"/>
        <v>1255242.3322017342</v>
      </c>
      <c r="L380" s="62">
        <f t="shared" si="319"/>
        <v>1177411.5731662551</v>
      </c>
      <c r="M380" s="62">
        <f t="shared" si="319"/>
        <v>1091347.0753193009</v>
      </c>
      <c r="N380" s="62">
        <f t="shared" si="319"/>
        <v>1002728.5716732802</v>
      </c>
      <c r="O380" s="62">
        <f t="shared" si="319"/>
        <v>918086.57463695353</v>
      </c>
      <c r="P380" s="62">
        <f t="shared" si="319"/>
        <v>842957.23478644865</v>
      </c>
      <c r="Q380" s="62">
        <f t="shared" si="319"/>
        <v>780547.88258085051</v>
      </c>
      <c r="R380" s="62">
        <f t="shared" si="319"/>
        <v>731523.15548142116</v>
      </c>
      <c r="S380" s="62">
        <f t="shared" si="319"/>
        <v>694685.82935102109</v>
      </c>
      <c r="T380" s="62">
        <f t="shared" si="319"/>
        <v>667922.47707927588</v>
      </c>
      <c r="U380" s="62">
        <f t="shared" si="319"/>
        <v>648950.7242220171</v>
      </c>
      <c r="V380" s="62">
        <f t="shared" si="319"/>
        <v>635735.65970286133</v>
      </c>
      <c r="W380" s="62">
        <f t="shared" si="319"/>
        <v>626642.40303248633</v>
      </c>
      <c r="X380" s="62">
        <f t="shared" si="319"/>
        <v>620437.88314499462</v>
      </c>
      <c r="Y380" s="62">
        <f t="shared" si="319"/>
        <v>616228.72046879085</v>
      </c>
      <c r="Z380" s="62">
        <f t="shared" si="319"/>
        <v>613384.35694244877</v>
      </c>
      <c r="AA380" s="62">
        <f t="shared" si="319"/>
        <v>611467.33813842642</v>
      </c>
      <c r="AB380" s="62">
        <f t="shared" si="319"/>
        <v>610177.62364407699</v>
      </c>
      <c r="AC380" s="62">
        <f t="shared" si="319"/>
        <v>609310.98130686174</v>
      </c>
    </row>
    <row r="381" spans="1:29" ht="15" thickBot="1" x14ac:dyDescent="0.35">
      <c r="A381" s="59" t="str">
        <f>A344</f>
        <v>Emission Cost</v>
      </c>
      <c r="B381" s="62">
        <f>B364*B370</f>
        <v>25377.897847861244</v>
      </c>
      <c r="C381" s="62">
        <f t="shared" ref="C381:AC381" si="320">C364*C370</f>
        <v>25353.731905742414</v>
      </c>
      <c r="D381" s="62">
        <f t="shared" si="320"/>
        <v>25319.138897852274</v>
      </c>
      <c r="E381" s="62">
        <f t="shared" si="320"/>
        <v>25269.651167376363</v>
      </c>
      <c r="F381" s="62">
        <f t="shared" si="320"/>
        <v>25198.922280516395</v>
      </c>
      <c r="G381" s="62">
        <f t="shared" si="320"/>
        <v>25097.976873820924</v>
      </c>
      <c r="H381" s="62">
        <f t="shared" si="320"/>
        <v>24954.20585006753</v>
      </c>
      <c r="I381" s="62">
        <f t="shared" si="320"/>
        <v>24750.071606171052</v>
      </c>
      <c r="J381" s="62">
        <f t="shared" si="320"/>
        <v>24461.547468471788</v>
      </c>
      <c r="K381" s="62">
        <f t="shared" si="320"/>
        <v>24056.464784548647</v>
      </c>
      <c r="L381" s="62">
        <f t="shared" si="320"/>
        <v>23493.252804327683</v>
      </c>
      <c r="M381" s="62">
        <f t="shared" si="320"/>
        <v>22721.110249246831</v>
      </c>
      <c r="N381" s="62">
        <f t="shared" si="320"/>
        <v>21683.433394669322</v>
      </c>
      <c r="O381" s="62">
        <f t="shared" si="320"/>
        <v>20326.989281311096</v>
      </c>
      <c r="P381" s="62">
        <f t="shared" si="320"/>
        <v>18618.777189349097</v>
      </c>
      <c r="Q381" s="62">
        <f t="shared" si="320"/>
        <v>16568.971713230469</v>
      </c>
      <c r="R381" s="62">
        <f t="shared" si="320"/>
        <v>14251.105684982398</v>
      </c>
      <c r="S381" s="62">
        <f t="shared" si="320"/>
        <v>11804.144028925928</v>
      </c>
      <c r="T381" s="62">
        <f t="shared" si="320"/>
        <v>9405.334001347248</v>
      </c>
      <c r="U381" s="62">
        <f t="shared" si="320"/>
        <v>7221.6478572054848</v>
      </c>
      <c r="V381" s="62">
        <f t="shared" si="320"/>
        <v>5365.8255975718175</v>
      </c>
      <c r="W381" s="62">
        <f t="shared" si="320"/>
        <v>3879.6443265413554</v>
      </c>
      <c r="X381" s="62">
        <f t="shared" si="320"/>
        <v>2745.6220553132011</v>
      </c>
      <c r="Y381" s="62">
        <f t="shared" si="320"/>
        <v>1912.0247372428837</v>
      </c>
      <c r="Z381" s="62">
        <f t="shared" si="320"/>
        <v>1316.0147141952104</v>
      </c>
      <c r="AA381" s="62">
        <f t="shared" si="320"/>
        <v>898.29970659069966</v>
      </c>
      <c r="AB381" s="62">
        <f t="shared" si="320"/>
        <v>609.63296156509125</v>
      </c>
      <c r="AC381" s="62">
        <f t="shared" si="320"/>
        <v>412.08392312840692</v>
      </c>
    </row>
    <row r="382" spans="1:29" ht="15" thickBot="1" x14ac:dyDescent="0.35">
      <c r="A382" s="31" t="s">
        <v>209</v>
      </c>
      <c r="B382" s="64">
        <f>B373+B374+B375+B376+B377+B378+B379+B380+B381</f>
        <v>7087259.8440459669</v>
      </c>
      <c r="C382" s="64">
        <f t="shared" ref="C382:AC382" si="321">C373+C374+C375+C376+C377+C378+C379+C380+C381</f>
        <v>7073611.6377867954</v>
      </c>
      <c r="D382" s="64">
        <f t="shared" si="321"/>
        <v>7054246.5013861675</v>
      </c>
      <c r="E382" s="64">
        <f t="shared" si="321"/>
        <v>7026902.4499529246</v>
      </c>
      <c r="F382" s="64">
        <f t="shared" si="321"/>
        <v>6988564.6121410672</v>
      </c>
      <c r="G382" s="64">
        <f t="shared" si="321"/>
        <v>6935363.2413381469</v>
      </c>
      <c r="H382" s="64">
        <f t="shared" si="321"/>
        <v>6862618.8158608787</v>
      </c>
      <c r="I382" s="64">
        <f t="shared" si="321"/>
        <v>6765207.8941104794</v>
      </c>
      <c r="J382" s="64">
        <f t="shared" si="321"/>
        <v>6638475.0715508414</v>
      </c>
      <c r="K382" s="64">
        <f t="shared" si="321"/>
        <v>6479840.2791566113</v>
      </c>
      <c r="L382" s="64">
        <f t="shared" si="321"/>
        <v>6290885.526718447</v>
      </c>
      <c r="M382" s="64">
        <f t="shared" si="321"/>
        <v>6079029.6675167149</v>
      </c>
      <c r="N382" s="64">
        <f t="shared" si="321"/>
        <v>5857391.2106702272</v>
      </c>
      <c r="O382" s="64">
        <f t="shared" si="321"/>
        <v>5642007.6575072128</v>
      </c>
      <c r="P382" s="64">
        <f t="shared" si="321"/>
        <v>5447388.1748935124</v>
      </c>
      <c r="Q382" s="64">
        <f t="shared" si="321"/>
        <v>5282831.148610713</v>
      </c>
      <c r="R382" s="64">
        <f t="shared" si="321"/>
        <v>5151328.0892461659</v>
      </c>
      <c r="S382" s="64">
        <f t="shared" si="321"/>
        <v>5050877.8079455979</v>
      </c>
      <c r="T382" s="64">
        <f t="shared" si="321"/>
        <v>4976753.7348936312</v>
      </c>
      <c r="U382" s="64">
        <f t="shared" si="321"/>
        <v>4923451.180152962</v>
      </c>
      <c r="V382" s="64">
        <f t="shared" si="321"/>
        <v>4885849.9127157629</v>
      </c>
      <c r="W382" s="64">
        <f t="shared" si="321"/>
        <v>4859700.5969139747</v>
      </c>
      <c r="X382" s="64">
        <f t="shared" si="321"/>
        <v>4841706.8114586212</v>
      </c>
      <c r="Y382" s="64">
        <f t="shared" si="321"/>
        <v>4829420.8071456039</v>
      </c>
      <c r="Z382" s="64">
        <f t="shared" si="321"/>
        <v>4821079.0107642328</v>
      </c>
      <c r="AA382" s="64">
        <f t="shared" si="321"/>
        <v>4815437.7719929656</v>
      </c>
      <c r="AB382" s="64">
        <f t="shared" si="321"/>
        <v>4811633.4680400835</v>
      </c>
      <c r="AC382" s="64">
        <f t="shared" si="321"/>
        <v>4809072.9009718364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322">A373</f>
        <v>Capex vehicle</v>
      </c>
      <c r="B385" s="65">
        <f>((1+B358)^B365)*B358/(((1+B358)^B365)-1)*(B354)/B370</f>
        <v>4.8455990713167774</v>
      </c>
      <c r="C385" s="65">
        <f t="shared" ref="C385:AC385" si="323">((1+C358)^C365)*C358/(((1+C358)^C365)-1)*(C354)/C370</f>
        <v>4.8290332319773173</v>
      </c>
      <c r="D385" s="65">
        <f t="shared" si="323"/>
        <v>4.8055121148579749</v>
      </c>
      <c r="E385" s="65">
        <f t="shared" si="323"/>
        <v>4.7722672760448299</v>
      </c>
      <c r="F385" s="65">
        <f t="shared" si="323"/>
        <v>4.7255921221377486</v>
      </c>
      <c r="G385" s="65">
        <f t="shared" si="323"/>
        <v>4.6606967146013627</v>
      </c>
      <c r="H385" s="65">
        <f t="shared" si="323"/>
        <v>4.571727538611003</v>
      </c>
      <c r="I385" s="65">
        <f t="shared" si="323"/>
        <v>4.4521624996314282</v>
      </c>
      <c r="J385" s="65">
        <f t="shared" si="323"/>
        <v>4.2958678954183256</v>
      </c>
      <c r="K385" s="65">
        <f t="shared" si="323"/>
        <v>4.0990412586288079</v>
      </c>
      <c r="L385" s="65">
        <f t="shared" si="323"/>
        <v>3.8628549443908802</v>
      </c>
      <c r="M385" s="65">
        <f t="shared" si="323"/>
        <v>3.5957816828120173</v>
      </c>
      <c r="N385" s="65">
        <f t="shared" si="323"/>
        <v>3.3138335363372309</v>
      </c>
      <c r="O385" s="65">
        <f t="shared" si="323"/>
        <v>3.0374336020158523</v>
      </c>
      <c r="P385" s="65">
        <f t="shared" si="323"/>
        <v>2.7858210525099958</v>
      </c>
      <c r="Q385" s="65">
        <f t="shared" si="323"/>
        <v>2.5719862157460938</v>
      </c>
      <c r="R385" s="65">
        <f t="shared" si="323"/>
        <v>2.4007428071477408</v>
      </c>
      <c r="S385" s="65">
        <f t="shared" si="323"/>
        <v>2.2700764860623535</v>
      </c>
      <c r="T385" s="65">
        <f t="shared" si="323"/>
        <v>2.1740262606104945</v>
      </c>
      <c r="U385" s="65">
        <f t="shared" si="323"/>
        <v>2.1053517389387877</v>
      </c>
      <c r="V385" s="65">
        <f t="shared" si="323"/>
        <v>2.0572210410762808</v>
      </c>
      <c r="W385" s="65">
        <f t="shared" si="323"/>
        <v>2.0239597705093986</v>
      </c>
      <c r="X385" s="65">
        <f t="shared" si="323"/>
        <v>2.0011974255877933</v>
      </c>
      <c r="Y385" s="65">
        <f t="shared" si="323"/>
        <v>1.985723989557781</v>
      </c>
      <c r="Z385" s="65">
        <f t="shared" si="323"/>
        <v>1.9752532875754587</v>
      </c>
      <c r="AA385" s="65">
        <f t="shared" si="323"/>
        <v>1.9681897410865572</v>
      </c>
      <c r="AB385" s="65">
        <f t="shared" si="323"/>
        <v>1.9634345966789499</v>
      </c>
      <c r="AC385" s="65">
        <f t="shared" si="323"/>
        <v>1.9602379526700859</v>
      </c>
    </row>
    <row r="386" spans="1:29" x14ac:dyDescent="0.3">
      <c r="A386" s="30" t="str">
        <f t="shared" si="322"/>
        <v>Residual value (vehicle)</v>
      </c>
      <c r="B386" s="66">
        <f>((1+B358)^B365)*B358/(((1+B358)^B365)-1)*(B355)/B370</f>
        <v>-0.24485927589579937</v>
      </c>
      <c r="C386" s="66">
        <f t="shared" ref="C386:AC386" si="324">((1+C358)^C365)*C358/(((1+C358)^C365)-1)*(C355)/C370</f>
        <v>-0.2451353732181237</v>
      </c>
      <c r="D386" s="66">
        <f t="shared" si="324"/>
        <v>-0.24552739183677941</v>
      </c>
      <c r="E386" s="66">
        <f t="shared" si="324"/>
        <v>-0.24608147248366516</v>
      </c>
      <c r="F386" s="66">
        <f t="shared" si="324"/>
        <v>-0.24685939171544985</v>
      </c>
      <c r="G386" s="66">
        <f t="shared" si="324"/>
        <v>-0.24794098184105628</v>
      </c>
      <c r="H386" s="66">
        <f t="shared" si="324"/>
        <v>-0.24942380144089563</v>
      </c>
      <c r="I386" s="66">
        <f t="shared" si="324"/>
        <v>-0.25141655209055519</v>
      </c>
      <c r="J386" s="66">
        <f t="shared" si="324"/>
        <v>-0.25402146216077354</v>
      </c>
      <c r="K386" s="66">
        <f t="shared" si="324"/>
        <v>-0.25730190610726555</v>
      </c>
      <c r="L386" s="66">
        <f t="shared" si="324"/>
        <v>-0.26123834467789769</v>
      </c>
      <c r="M386" s="66">
        <f t="shared" si="324"/>
        <v>-0.26568956570421209</v>
      </c>
      <c r="N386" s="66">
        <f t="shared" si="324"/>
        <v>-0.27038870147879185</v>
      </c>
      <c r="O386" s="66">
        <f t="shared" si="324"/>
        <v>-0.27499536705081479</v>
      </c>
      <c r="P386" s="66">
        <f t="shared" si="324"/>
        <v>-0.27918890954257908</v>
      </c>
      <c r="Q386" s="66">
        <f t="shared" si="324"/>
        <v>-0.28275282348864411</v>
      </c>
      <c r="R386" s="66">
        <f t="shared" si="324"/>
        <v>-0.28560688029861664</v>
      </c>
      <c r="S386" s="66">
        <f t="shared" si="324"/>
        <v>-0.28778465231670641</v>
      </c>
      <c r="T386" s="66">
        <f t="shared" si="324"/>
        <v>-0.28938548940757075</v>
      </c>
      <c r="U386" s="66">
        <f t="shared" si="324"/>
        <v>-0.29053006476876586</v>
      </c>
      <c r="V386" s="66">
        <f t="shared" si="324"/>
        <v>-0.29133224306647432</v>
      </c>
      <c r="W386" s="66">
        <f t="shared" si="324"/>
        <v>-0.29188659757592234</v>
      </c>
      <c r="X386" s="66">
        <f t="shared" si="324"/>
        <v>-0.29226596999128246</v>
      </c>
      <c r="Y386" s="66">
        <f t="shared" si="324"/>
        <v>-0.29252386059178265</v>
      </c>
      <c r="Z386" s="66">
        <f t="shared" si="324"/>
        <v>-0.29269837229148804</v>
      </c>
      <c r="AA386" s="66">
        <f t="shared" si="324"/>
        <v>-0.29281609806630304</v>
      </c>
      <c r="AB386" s="66">
        <f t="shared" si="324"/>
        <v>-0.29289535047309651</v>
      </c>
      <c r="AC386" s="66">
        <f t="shared" si="324"/>
        <v>-0.29294862787324427</v>
      </c>
    </row>
    <row r="387" spans="1:29" x14ac:dyDescent="0.3">
      <c r="A387" s="30" t="str">
        <f t="shared" si="322"/>
        <v>Capex costumization</v>
      </c>
      <c r="B387" s="66">
        <f>((1+B358)^B366)*B358/(((1+B358)^B366)-1)*(B356)/B370</f>
        <v>1.7093861527069927</v>
      </c>
      <c r="C387" s="66">
        <f t="shared" ref="C387:AC387" si="325">((1+C358)^C366)*C358/(((1+C358)^C366)-1)*(C356)/C370</f>
        <v>1.7093861527069927</v>
      </c>
      <c r="D387" s="66">
        <f t="shared" si="325"/>
        <v>1.7093861527069927</v>
      </c>
      <c r="E387" s="66">
        <f t="shared" si="325"/>
        <v>1.7093861527069927</v>
      </c>
      <c r="F387" s="66">
        <f t="shared" si="325"/>
        <v>1.7093861527069927</v>
      </c>
      <c r="G387" s="66">
        <f t="shared" si="325"/>
        <v>1.7093861527069927</v>
      </c>
      <c r="H387" s="66">
        <f t="shared" si="325"/>
        <v>1.7093861527069927</v>
      </c>
      <c r="I387" s="66">
        <f t="shared" si="325"/>
        <v>1.7093861527069927</v>
      </c>
      <c r="J387" s="66">
        <f t="shared" si="325"/>
        <v>1.7093861527069927</v>
      </c>
      <c r="K387" s="66">
        <f t="shared" si="325"/>
        <v>1.7093861527069927</v>
      </c>
      <c r="L387" s="66">
        <f t="shared" si="325"/>
        <v>1.7093861527069927</v>
      </c>
      <c r="M387" s="66">
        <f t="shared" si="325"/>
        <v>1.7093861527069927</v>
      </c>
      <c r="N387" s="66">
        <f t="shared" si="325"/>
        <v>1.7093861527069927</v>
      </c>
      <c r="O387" s="66">
        <f t="shared" si="325"/>
        <v>1.7093861527069927</v>
      </c>
      <c r="P387" s="66">
        <f t="shared" si="325"/>
        <v>1.7093861527069927</v>
      </c>
      <c r="Q387" s="66">
        <f t="shared" si="325"/>
        <v>1.7093861527069927</v>
      </c>
      <c r="R387" s="66">
        <f t="shared" si="325"/>
        <v>1.7093861527069927</v>
      </c>
      <c r="S387" s="66">
        <f t="shared" si="325"/>
        <v>1.7093861527069927</v>
      </c>
      <c r="T387" s="66">
        <f t="shared" si="325"/>
        <v>1.7093861527069927</v>
      </c>
      <c r="U387" s="66">
        <f t="shared" si="325"/>
        <v>1.7093861527069927</v>
      </c>
      <c r="V387" s="66">
        <f t="shared" si="325"/>
        <v>1.7093861527069927</v>
      </c>
      <c r="W387" s="66">
        <f t="shared" si="325"/>
        <v>1.7093861527069927</v>
      </c>
      <c r="X387" s="66">
        <f t="shared" si="325"/>
        <v>1.7093861527069927</v>
      </c>
      <c r="Y387" s="66">
        <f t="shared" si="325"/>
        <v>1.7093861527069927</v>
      </c>
      <c r="Z387" s="66">
        <f t="shared" si="325"/>
        <v>1.7093861527069927</v>
      </c>
      <c r="AA387" s="66">
        <f t="shared" si="325"/>
        <v>1.7093861527069927</v>
      </c>
      <c r="AB387" s="66">
        <f t="shared" si="325"/>
        <v>1.7093861527069927</v>
      </c>
      <c r="AC387" s="66">
        <f t="shared" si="325"/>
        <v>1.7093861527069927</v>
      </c>
    </row>
    <row r="388" spans="1:29" x14ac:dyDescent="0.3">
      <c r="A388" s="30" t="str">
        <f t="shared" si="322"/>
        <v>Residual value (costumization)</v>
      </c>
      <c r="B388" s="66">
        <f>((1+B358)^B366)*B358/(((1+B358)^B366)-1)*(B357)/B370</f>
        <v>-8.5469307635349642E-2</v>
      </c>
      <c r="C388" s="66">
        <f t="shared" ref="C388:AC388" si="326">((1+C358)^C366)*C358/(((1+C358)^C366)-1)*(C357)/C370</f>
        <v>-8.5469307635349642E-2</v>
      </c>
      <c r="D388" s="66">
        <f t="shared" si="326"/>
        <v>-8.5469307635349642E-2</v>
      </c>
      <c r="E388" s="66">
        <f t="shared" si="326"/>
        <v>-8.5469307635349642E-2</v>
      </c>
      <c r="F388" s="66">
        <f t="shared" si="326"/>
        <v>-8.5469307635349642E-2</v>
      </c>
      <c r="G388" s="66">
        <f t="shared" si="326"/>
        <v>-8.5469307635349642E-2</v>
      </c>
      <c r="H388" s="66">
        <f t="shared" si="326"/>
        <v>-8.5469307635349642E-2</v>
      </c>
      <c r="I388" s="66">
        <f t="shared" si="326"/>
        <v>-8.5469307635349642E-2</v>
      </c>
      <c r="J388" s="66">
        <f t="shared" si="326"/>
        <v>-8.5469307635349642E-2</v>
      </c>
      <c r="K388" s="66">
        <f t="shared" si="326"/>
        <v>-8.5469307635349642E-2</v>
      </c>
      <c r="L388" s="66">
        <f t="shared" si="326"/>
        <v>-8.5469307635349642E-2</v>
      </c>
      <c r="M388" s="66">
        <f t="shared" si="326"/>
        <v>-8.5469307635349642E-2</v>
      </c>
      <c r="N388" s="66">
        <f t="shared" si="326"/>
        <v>-8.5469307635349642E-2</v>
      </c>
      <c r="O388" s="66">
        <f t="shared" si="326"/>
        <v>-8.5469307635349642E-2</v>
      </c>
      <c r="P388" s="66">
        <f t="shared" si="326"/>
        <v>-8.5469307635349642E-2</v>
      </c>
      <c r="Q388" s="66">
        <f t="shared" si="326"/>
        <v>-8.5469307635349642E-2</v>
      </c>
      <c r="R388" s="66">
        <f t="shared" si="326"/>
        <v>-8.5469307635349642E-2</v>
      </c>
      <c r="S388" s="66">
        <f t="shared" si="326"/>
        <v>-8.5469307635349642E-2</v>
      </c>
      <c r="T388" s="66">
        <f t="shared" si="326"/>
        <v>-8.5469307635349642E-2</v>
      </c>
      <c r="U388" s="66">
        <f t="shared" si="326"/>
        <v>-8.5469307635349642E-2</v>
      </c>
      <c r="V388" s="66">
        <f t="shared" si="326"/>
        <v>-8.5469307635349642E-2</v>
      </c>
      <c r="W388" s="66">
        <f t="shared" si="326"/>
        <v>-8.5469307635349642E-2</v>
      </c>
      <c r="X388" s="66">
        <f t="shared" si="326"/>
        <v>-8.5469307635349642E-2</v>
      </c>
      <c r="Y388" s="66">
        <f t="shared" si="326"/>
        <v>-8.5469307635349642E-2</v>
      </c>
      <c r="Z388" s="66">
        <f t="shared" si="326"/>
        <v>-8.5469307635349642E-2</v>
      </c>
      <c r="AA388" s="66">
        <f t="shared" si="326"/>
        <v>-8.5469307635349642E-2</v>
      </c>
      <c r="AB388" s="66">
        <f t="shared" si="326"/>
        <v>-8.5469307635349642E-2</v>
      </c>
      <c r="AC388" s="66">
        <f t="shared" si="326"/>
        <v>-8.5469307635349642E-2</v>
      </c>
    </row>
    <row r="389" spans="1:29" x14ac:dyDescent="0.3">
      <c r="A389" s="30" t="str">
        <f t="shared" si="322"/>
        <v>Opex fix (admin, crew, insurance)</v>
      </c>
      <c r="B389" s="66">
        <f>B359/B370</f>
        <v>8.1232492997198875</v>
      </c>
      <c r="C389" s="66">
        <f t="shared" ref="C389:AC389" si="327">C359/C370</f>
        <v>8.1232492997198875</v>
      </c>
      <c r="D389" s="66">
        <f t="shared" si="327"/>
        <v>8.1232492997198875</v>
      </c>
      <c r="E389" s="66">
        <f t="shared" si="327"/>
        <v>8.1232492997198875</v>
      </c>
      <c r="F389" s="66">
        <f t="shared" si="327"/>
        <v>8.1232492997198875</v>
      </c>
      <c r="G389" s="66">
        <f t="shared" si="327"/>
        <v>8.1232492997198875</v>
      </c>
      <c r="H389" s="66">
        <f t="shared" si="327"/>
        <v>8.1232492997198875</v>
      </c>
      <c r="I389" s="66">
        <f t="shared" si="327"/>
        <v>8.1232492997198875</v>
      </c>
      <c r="J389" s="66">
        <f t="shared" si="327"/>
        <v>8.1232492997198875</v>
      </c>
      <c r="K389" s="66">
        <f t="shared" si="327"/>
        <v>8.1232492997198875</v>
      </c>
      <c r="L389" s="66">
        <f t="shared" si="327"/>
        <v>8.1232492997198875</v>
      </c>
      <c r="M389" s="66">
        <f t="shared" si="327"/>
        <v>8.1232492997198875</v>
      </c>
      <c r="N389" s="66">
        <f t="shared" si="327"/>
        <v>8.1232492997198875</v>
      </c>
      <c r="O389" s="66">
        <f t="shared" si="327"/>
        <v>8.1232492997198875</v>
      </c>
      <c r="P389" s="66">
        <f t="shared" si="327"/>
        <v>8.1232492997198875</v>
      </c>
      <c r="Q389" s="66">
        <f t="shared" si="327"/>
        <v>8.1232492997198875</v>
      </c>
      <c r="R389" s="66">
        <f t="shared" si="327"/>
        <v>8.1232492997198875</v>
      </c>
      <c r="S389" s="66">
        <f t="shared" si="327"/>
        <v>8.1232492997198875</v>
      </c>
      <c r="T389" s="66">
        <f t="shared" si="327"/>
        <v>8.1232492997198875</v>
      </c>
      <c r="U389" s="66">
        <f t="shared" si="327"/>
        <v>8.1232492997198875</v>
      </c>
      <c r="V389" s="66">
        <f t="shared" si="327"/>
        <v>8.1232492997198875</v>
      </c>
      <c r="W389" s="66">
        <f t="shared" si="327"/>
        <v>8.1232492997198875</v>
      </c>
      <c r="X389" s="66">
        <f t="shared" si="327"/>
        <v>8.1232492997198875</v>
      </c>
      <c r="Y389" s="66">
        <f t="shared" si="327"/>
        <v>8.1232492997198875</v>
      </c>
      <c r="Z389" s="66">
        <f t="shared" si="327"/>
        <v>8.1232492997198875</v>
      </c>
      <c r="AA389" s="66">
        <f t="shared" si="327"/>
        <v>8.1232492997198875</v>
      </c>
      <c r="AB389" s="66">
        <f t="shared" si="327"/>
        <v>8.1232492997198875</v>
      </c>
      <c r="AC389" s="66">
        <f t="shared" si="327"/>
        <v>8.1232492997198875</v>
      </c>
    </row>
    <row r="390" spans="1:29" x14ac:dyDescent="0.3">
      <c r="A390" s="30" t="str">
        <f t="shared" si="322"/>
        <v>Opex maintenance &amp; repair</v>
      </c>
      <c r="B390" s="66">
        <f>B360/B370</f>
        <v>7.7810095446659027</v>
      </c>
      <c r="C390" s="66">
        <f t="shared" ref="C390:AC390" si="328">C360/C370</f>
        <v>7.7544083025658797</v>
      </c>
      <c r="D390" s="66">
        <f t="shared" si="328"/>
        <v>7.7166383521194692</v>
      </c>
      <c r="E390" s="66">
        <f t="shared" si="328"/>
        <v>7.6632541566239745</v>
      </c>
      <c r="F390" s="66">
        <f t="shared" si="328"/>
        <v>7.5883037092789669</v>
      </c>
      <c r="G390" s="66">
        <f t="shared" si="328"/>
        <v>7.4840953796145033</v>
      </c>
      <c r="H390" s="66">
        <f t="shared" si="328"/>
        <v>7.3412296580858891</v>
      </c>
      <c r="I390" s="66">
        <f t="shared" si="328"/>
        <v>7.1492334372232325</v>
      </c>
      <c r="J390" s="66">
        <f t="shared" si="328"/>
        <v>6.8982572856136732</v>
      </c>
      <c r="K390" s="66">
        <f t="shared" si="328"/>
        <v>6.5821952431369439</v>
      </c>
      <c r="L390" s="66">
        <f t="shared" si="328"/>
        <v>6.202929864727218</v>
      </c>
      <c r="M390" s="66">
        <f t="shared" si="328"/>
        <v>5.7740665669419418</v>
      </c>
      <c r="N390" s="66">
        <f t="shared" si="328"/>
        <v>5.3213173430518594</v>
      </c>
      <c r="O390" s="66">
        <f t="shared" si="328"/>
        <v>4.8774773770442641</v>
      </c>
      <c r="P390" s="66">
        <f t="shared" si="328"/>
        <v>4.4734407201834294</v>
      </c>
      <c r="Q390" s="66">
        <f t="shared" si="328"/>
        <v>4.13006709777809</v>
      </c>
      <c r="R390" s="66">
        <f t="shared" si="328"/>
        <v>3.855086320963053</v>
      </c>
      <c r="S390" s="66">
        <f t="shared" si="328"/>
        <v>3.6452637837353725</v>
      </c>
      <c r="T390" s="66">
        <f t="shared" si="328"/>
        <v>3.4910273910812166</v>
      </c>
      <c r="U390" s="66">
        <f t="shared" si="328"/>
        <v>3.3807506016196185</v>
      </c>
      <c r="V390" s="66">
        <f t="shared" si="328"/>
        <v>3.3034628578447651</v>
      </c>
      <c r="W390" s="66">
        <f t="shared" si="328"/>
        <v>3.2500522764203521</v>
      </c>
      <c r="X390" s="66">
        <f t="shared" si="328"/>
        <v>3.2135007540002656</v>
      </c>
      <c r="Y390" s="66">
        <f t="shared" si="328"/>
        <v>3.188653681086</v>
      </c>
      <c r="Z390" s="66">
        <f t="shared" si="328"/>
        <v>3.1718399433283566</v>
      </c>
      <c r="AA390" s="66">
        <f t="shared" si="328"/>
        <v>3.1604973782831638</v>
      </c>
      <c r="AB390" s="66">
        <f t="shared" si="328"/>
        <v>3.1528616198398223</v>
      </c>
      <c r="AC390" s="66">
        <f t="shared" si="328"/>
        <v>3.1477284841474571</v>
      </c>
    </row>
    <row r="391" spans="1:29" x14ac:dyDescent="0.3">
      <c r="A391" s="30" t="str">
        <f t="shared" si="322"/>
        <v>Opex var (mode-fees, shunting)</v>
      </c>
      <c r="B391" s="66">
        <f>B361*B370/B370</f>
        <v>8.9635854341736696</v>
      </c>
      <c r="C391" s="66">
        <f t="shared" ref="C391:AC391" si="329">C361*C370/C370</f>
        <v>8.9635854341736696</v>
      </c>
      <c r="D391" s="66">
        <f t="shared" si="329"/>
        <v>8.9635854341736696</v>
      </c>
      <c r="E391" s="66">
        <f t="shared" si="329"/>
        <v>8.9635854341736696</v>
      </c>
      <c r="F391" s="66">
        <f t="shared" si="329"/>
        <v>8.9635854341736696</v>
      </c>
      <c r="G391" s="66">
        <f t="shared" si="329"/>
        <v>8.9635854341736696</v>
      </c>
      <c r="H391" s="66">
        <f t="shared" si="329"/>
        <v>8.9635854341736696</v>
      </c>
      <c r="I391" s="66">
        <f t="shared" si="329"/>
        <v>8.9635854341736696</v>
      </c>
      <c r="J391" s="66">
        <f t="shared" si="329"/>
        <v>8.9635854341736696</v>
      </c>
      <c r="K391" s="66">
        <f t="shared" si="329"/>
        <v>8.9635854341736696</v>
      </c>
      <c r="L391" s="66">
        <f t="shared" si="329"/>
        <v>8.9635854341736696</v>
      </c>
      <c r="M391" s="66">
        <f t="shared" si="329"/>
        <v>8.9635854341736696</v>
      </c>
      <c r="N391" s="66">
        <f t="shared" si="329"/>
        <v>8.9635854341736696</v>
      </c>
      <c r="O391" s="66">
        <f t="shared" si="329"/>
        <v>8.9635854341736696</v>
      </c>
      <c r="P391" s="66">
        <f t="shared" si="329"/>
        <v>8.9635854341736696</v>
      </c>
      <c r="Q391" s="66">
        <f t="shared" si="329"/>
        <v>8.9635854341736696</v>
      </c>
      <c r="R391" s="66">
        <f t="shared" si="329"/>
        <v>8.9635854341736696</v>
      </c>
      <c r="S391" s="66">
        <f t="shared" si="329"/>
        <v>8.9635854341736696</v>
      </c>
      <c r="T391" s="66">
        <f t="shared" si="329"/>
        <v>8.9635854341736696</v>
      </c>
      <c r="U391" s="66">
        <f t="shared" si="329"/>
        <v>8.9635854341736696</v>
      </c>
      <c r="V391" s="66">
        <f t="shared" si="329"/>
        <v>8.9635854341736696</v>
      </c>
      <c r="W391" s="66">
        <f t="shared" si="329"/>
        <v>8.9635854341736696</v>
      </c>
      <c r="X391" s="66">
        <f t="shared" si="329"/>
        <v>8.9635854341736696</v>
      </c>
      <c r="Y391" s="66">
        <f t="shared" si="329"/>
        <v>8.9635854341736696</v>
      </c>
      <c r="Z391" s="66">
        <f t="shared" si="329"/>
        <v>8.9635854341736696</v>
      </c>
      <c r="AA391" s="66">
        <f t="shared" si="329"/>
        <v>8.9635854341736696</v>
      </c>
      <c r="AB391" s="66">
        <f t="shared" si="329"/>
        <v>8.9635854341736696</v>
      </c>
      <c r="AC391" s="66">
        <f t="shared" si="329"/>
        <v>8.9635854341736696</v>
      </c>
    </row>
    <row r="392" spans="1:29" x14ac:dyDescent="0.3">
      <c r="A392" s="30" t="str">
        <f t="shared" si="322"/>
        <v>Fuel Cost</v>
      </c>
      <c r="B392" s="66">
        <f>B362*B363*B370/B370</f>
        <v>8.4698629251950113</v>
      </c>
      <c r="C392" s="66">
        <f t="shared" ref="C392:AC392" si="330">C362*C363*C370/C370</f>
        <v>8.4369809481189879</v>
      </c>
      <c r="D392" s="66">
        <f t="shared" si="330"/>
        <v>8.3903696735597642</v>
      </c>
      <c r="E392" s="66">
        <f t="shared" si="330"/>
        <v>8.324642067491391</v>
      </c>
      <c r="F392" s="66">
        <f t="shared" si="330"/>
        <v>8.2326640253702319</v>
      </c>
      <c r="G392" s="66">
        <f t="shared" si="330"/>
        <v>8.1053679779279246</v>
      </c>
      <c r="H392" s="66">
        <f t="shared" si="330"/>
        <v>7.9319593395648607</v>
      </c>
      <c r="I392" s="66">
        <f t="shared" si="330"/>
        <v>7.7009375096841852</v>
      </c>
      <c r="J392" s="66">
        <f t="shared" si="330"/>
        <v>7.4024417558463229</v>
      </c>
      <c r="K392" s="66">
        <f t="shared" si="330"/>
        <v>7.0321699283010322</v>
      </c>
      <c r="L392" s="66">
        <f t="shared" si="330"/>
        <v>6.5961432670378439</v>
      </c>
      <c r="M392" s="66">
        <f t="shared" si="330"/>
        <v>6.1139892174750745</v>
      </c>
      <c r="N392" s="66">
        <f t="shared" si="330"/>
        <v>5.6175270121752394</v>
      </c>
      <c r="O392" s="66">
        <f t="shared" si="330"/>
        <v>5.1433421548288711</v>
      </c>
      <c r="P392" s="66">
        <f t="shared" si="330"/>
        <v>4.7224494946019533</v>
      </c>
      <c r="Q392" s="66">
        <f t="shared" si="330"/>
        <v>4.3728172693605067</v>
      </c>
      <c r="R392" s="66">
        <f t="shared" si="330"/>
        <v>4.0981689382712672</v>
      </c>
      <c r="S392" s="66">
        <f t="shared" si="330"/>
        <v>3.8917973633110425</v>
      </c>
      <c r="T392" s="66">
        <f t="shared" si="330"/>
        <v>3.741862616690621</v>
      </c>
      <c r="U392" s="66">
        <f t="shared" si="330"/>
        <v>3.6355782869580788</v>
      </c>
      <c r="V392" s="66">
        <f t="shared" si="330"/>
        <v>3.5615443120608479</v>
      </c>
      <c r="W392" s="66">
        <f t="shared" si="330"/>
        <v>3.510601697660988</v>
      </c>
      <c r="X392" s="66">
        <f t="shared" si="330"/>
        <v>3.4758424826050121</v>
      </c>
      <c r="Y392" s="66">
        <f t="shared" si="330"/>
        <v>3.4522617393209574</v>
      </c>
      <c r="Z392" s="66">
        <f t="shared" si="330"/>
        <v>3.4363269296495731</v>
      </c>
      <c r="AA392" s="66">
        <f t="shared" si="330"/>
        <v>3.4255873285065905</v>
      </c>
      <c r="AB392" s="66">
        <f t="shared" si="330"/>
        <v>3.4183620372217196</v>
      </c>
      <c r="AC392" s="66">
        <f t="shared" si="330"/>
        <v>3.4135068980776566</v>
      </c>
    </row>
    <row r="393" spans="1:29" ht="15" thickBot="1" x14ac:dyDescent="0.35">
      <c r="A393" s="59" t="str">
        <f t="shared" ref="A393" si="331">A381</f>
        <v>Emission Cost</v>
      </c>
      <c r="B393" s="66">
        <f>B364</f>
        <v>0.14217309718689772</v>
      </c>
      <c r="C393" s="66">
        <f t="shared" ref="C393:AC393" si="332">C364</f>
        <v>0.14203771375766058</v>
      </c>
      <c r="D393" s="66">
        <f t="shared" si="332"/>
        <v>0.14184391539413038</v>
      </c>
      <c r="E393" s="66">
        <f t="shared" si="332"/>
        <v>0.14156667320659028</v>
      </c>
      <c r="F393" s="66">
        <f t="shared" si="332"/>
        <v>0.14117043294406945</v>
      </c>
      <c r="G393" s="66">
        <f t="shared" si="332"/>
        <v>0.14060491245838053</v>
      </c>
      <c r="H393" s="66">
        <f t="shared" si="332"/>
        <v>0.13979947254939792</v>
      </c>
      <c r="I393" s="66">
        <f t="shared" si="332"/>
        <v>0.13865586333989385</v>
      </c>
      <c r="J393" s="66">
        <f t="shared" si="332"/>
        <v>0.13703948161608845</v>
      </c>
      <c r="K393" s="66">
        <f t="shared" si="332"/>
        <v>0.13477011083780754</v>
      </c>
      <c r="L393" s="66">
        <f t="shared" si="332"/>
        <v>0.13161486164889458</v>
      </c>
      <c r="M393" s="66">
        <f t="shared" si="332"/>
        <v>0.12728913304900186</v>
      </c>
      <c r="N393" s="66">
        <f t="shared" si="332"/>
        <v>0.12147581733708304</v>
      </c>
      <c r="O393" s="66">
        <f t="shared" si="332"/>
        <v>0.11387669065160279</v>
      </c>
      <c r="P393" s="66">
        <f t="shared" si="332"/>
        <v>0.10430687501035908</v>
      </c>
      <c r="Q393" s="66">
        <f t="shared" si="332"/>
        <v>9.2823370942467606E-2</v>
      </c>
      <c r="R393" s="66">
        <f t="shared" si="332"/>
        <v>7.9838127086736127E-2</v>
      </c>
      <c r="S393" s="66">
        <f t="shared" si="332"/>
        <v>6.6129658425355342E-2</v>
      </c>
      <c r="T393" s="66">
        <f t="shared" si="332"/>
        <v>5.2690946786259088E-2</v>
      </c>
      <c r="U393" s="66">
        <f t="shared" si="332"/>
        <v>4.0457410964736609E-2</v>
      </c>
      <c r="V393" s="66">
        <f t="shared" si="332"/>
        <v>3.0060647605444357E-2</v>
      </c>
      <c r="W393" s="66">
        <f t="shared" si="332"/>
        <v>2.1734702109475382E-2</v>
      </c>
      <c r="X393" s="66">
        <f t="shared" si="332"/>
        <v>1.5381636164219614E-2</v>
      </c>
      <c r="Y393" s="66">
        <f t="shared" si="332"/>
        <v>1.0711623177831281E-2</v>
      </c>
      <c r="Z393" s="66">
        <f t="shared" si="332"/>
        <v>7.3726314520740077E-3</v>
      </c>
      <c r="AA393" s="66">
        <f t="shared" si="332"/>
        <v>5.0324913534492977E-3</v>
      </c>
      <c r="AB393" s="66">
        <f t="shared" si="332"/>
        <v>3.4153107090481305E-3</v>
      </c>
      <c r="AC393" s="66">
        <f t="shared" si="332"/>
        <v>2.3085934068818315E-3</v>
      </c>
    </row>
    <row r="394" spans="1:29" ht="15" thickBot="1" x14ac:dyDescent="0.35">
      <c r="A394" s="31" t="s">
        <v>63</v>
      </c>
      <c r="B394" s="76">
        <f>B385+B386+B387-B388+B389+B390+B391+B392+B393</f>
        <v>39.875475556704693</v>
      </c>
      <c r="C394" s="76">
        <f t="shared" ref="C394:AC394" si="333">C385+C386+C387-C388+C389+C390+C391+C392+C393</f>
        <v>39.799015017437618</v>
      </c>
      <c r="D394" s="76">
        <f t="shared" si="333"/>
        <v>39.690526858330465</v>
      </c>
      <c r="E394" s="76">
        <f t="shared" si="333"/>
        <v>39.537338895119021</v>
      </c>
      <c r="F394" s="76">
        <f t="shared" si="333"/>
        <v>39.322561092251469</v>
      </c>
      <c r="G394" s="76">
        <f t="shared" si="333"/>
        <v>39.024514196997011</v>
      </c>
      <c r="H394" s="76">
        <f t="shared" si="333"/>
        <v>38.616982401606158</v>
      </c>
      <c r="I394" s="76">
        <f t="shared" si="333"/>
        <v>38.071262952024085</v>
      </c>
      <c r="J394" s="76">
        <f t="shared" si="333"/>
        <v>37.361275150569533</v>
      </c>
      <c r="K394" s="76">
        <f t="shared" si="333"/>
        <v>36.472564829033224</v>
      </c>
      <c r="L394" s="76">
        <f t="shared" si="333"/>
        <v>35.413994787362839</v>
      </c>
      <c r="M394" s="76">
        <f t="shared" si="333"/>
        <v>34.227127228809728</v>
      </c>
      <c r="N394" s="76">
        <f t="shared" si="333"/>
        <v>32.985455201658525</v>
      </c>
      <c r="O394" s="76">
        <f t="shared" si="333"/>
        <v>31.778824651725674</v>
      </c>
      <c r="P394" s="76">
        <f t="shared" si="333"/>
        <v>30.688519426999058</v>
      </c>
      <c r="Q394" s="76">
        <f t="shared" si="333"/>
        <v>29.766631324574412</v>
      </c>
      <c r="R394" s="76">
        <f t="shared" si="333"/>
        <v>29.029919507406078</v>
      </c>
      <c r="S394" s="76">
        <f t="shared" si="333"/>
        <v>28.467172833453319</v>
      </c>
      <c r="T394" s="76">
        <f t="shared" si="333"/>
        <v>28.051911919996918</v>
      </c>
      <c r="U394" s="76">
        <f t="shared" si="333"/>
        <v>27.753298167948355</v>
      </c>
      <c r="V394" s="76">
        <f t="shared" si="333"/>
        <v>27.542646809756761</v>
      </c>
      <c r="W394" s="76">
        <f t="shared" si="333"/>
        <v>27.396152043360193</v>
      </c>
      <c r="X394" s="76">
        <f t="shared" si="333"/>
        <v>27.295346522601911</v>
      </c>
      <c r="Y394" s="76">
        <f t="shared" si="333"/>
        <v>27.226517366786684</v>
      </c>
      <c r="Z394" s="76">
        <f t="shared" si="333"/>
        <v>27.179784613949874</v>
      </c>
      <c r="AA394" s="76">
        <f t="shared" si="333"/>
        <v>27.148181035399361</v>
      </c>
      <c r="AB394" s="76">
        <f t="shared" si="333"/>
        <v>27.126868408212342</v>
      </c>
      <c r="AC394" s="76">
        <f t="shared" si="333"/>
        <v>27.112523494664735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334">A373</f>
        <v>Capex vehicle</v>
      </c>
      <c r="B397" s="65">
        <f>((1+B358)^B365)*B358/(((1+B358)^B365)-1)*(B354)/B370/(B367)</f>
        <v>2.1632138711235615E-3</v>
      </c>
      <c r="C397" s="65">
        <f t="shared" ref="C397:AC397" si="335">((1+C358)^C365)*C358/(((1+C358)^C365)-1)*(C354)/C370/(C367)</f>
        <v>2.1558184071327311E-3</v>
      </c>
      <c r="D397" s="65">
        <f t="shared" si="335"/>
        <v>2.145317908418739E-3</v>
      </c>
      <c r="E397" s="65">
        <f t="shared" si="335"/>
        <v>2.1304764625200132E-3</v>
      </c>
      <c r="F397" s="65">
        <f t="shared" si="335"/>
        <v>2.1096393402400665E-3</v>
      </c>
      <c r="G397" s="65">
        <f t="shared" si="335"/>
        <v>2.0806681761613224E-3</v>
      </c>
      <c r="H397" s="65">
        <f t="shared" si="335"/>
        <v>2.0409497940227692E-3</v>
      </c>
      <c r="I397" s="65">
        <f t="shared" si="335"/>
        <v>1.9875725444783161E-3</v>
      </c>
      <c r="J397" s="65">
        <f t="shared" si="335"/>
        <v>1.9177981675974668E-3</v>
      </c>
      <c r="K397" s="65">
        <f t="shared" si="335"/>
        <v>1.829929133316432E-3</v>
      </c>
      <c r="L397" s="65">
        <f t="shared" si="335"/>
        <v>1.7244888144602143E-3</v>
      </c>
      <c r="M397" s="65">
        <f t="shared" si="335"/>
        <v>1.6052596798267933E-3</v>
      </c>
      <c r="N397" s="65">
        <f t="shared" si="335"/>
        <v>1.479389971579121E-3</v>
      </c>
      <c r="O397" s="65">
        <f t="shared" si="335"/>
        <v>1.3559971437570768E-3</v>
      </c>
      <c r="P397" s="65">
        <f t="shared" si="335"/>
        <v>1.2436701127276767E-3</v>
      </c>
      <c r="Q397" s="65">
        <f t="shared" si="335"/>
        <v>1.1482081320295062E-3</v>
      </c>
      <c r="R397" s="65">
        <f t="shared" si="335"/>
        <v>1.0717601817623844E-3</v>
      </c>
      <c r="S397" s="65">
        <f t="shared" si="335"/>
        <v>1.0134270027064077E-3</v>
      </c>
      <c r="T397" s="65">
        <f t="shared" si="335"/>
        <v>9.7054743777254216E-4</v>
      </c>
      <c r="U397" s="65">
        <f t="shared" si="335"/>
        <v>9.3988916916910165E-4</v>
      </c>
      <c r="V397" s="65">
        <f t="shared" si="335"/>
        <v>9.1840225048048251E-4</v>
      </c>
      <c r="W397" s="65">
        <f t="shared" si="335"/>
        <v>9.0355346897741005E-4</v>
      </c>
      <c r="X397" s="65">
        <f t="shared" si="335"/>
        <v>8.9339170785169349E-4</v>
      </c>
      <c r="Y397" s="65">
        <f t="shared" si="335"/>
        <v>8.8648392390972366E-4</v>
      </c>
      <c r="Z397" s="65">
        <f t="shared" si="335"/>
        <v>8.8180950338190116E-4</v>
      </c>
      <c r="AA397" s="65">
        <f t="shared" si="335"/>
        <v>8.7865613441364158E-4</v>
      </c>
      <c r="AB397" s="65">
        <f t="shared" si="335"/>
        <v>8.7653330208881694E-4</v>
      </c>
      <c r="AC397" s="65">
        <f t="shared" si="335"/>
        <v>8.7510622887057403E-4</v>
      </c>
    </row>
    <row r="398" spans="1:29" x14ac:dyDescent="0.3">
      <c r="A398" s="30" t="str">
        <f t="shared" si="334"/>
        <v>Residual value (vehicle)</v>
      </c>
      <c r="B398" s="68">
        <f>((1+B358)^B365)*B358/(((1+B358)^B365)-1)*(B355)/B370/(B367)</f>
        <v>-1.0931217673919614E-4</v>
      </c>
      <c r="C398" s="68">
        <f t="shared" ref="C398:AC398" si="336">((1+C358)^C365)*C358/(((1+C358)^C365)-1)*(C355)/C370/(C367)</f>
        <v>-1.0943543447237665E-4</v>
      </c>
      <c r="D398" s="68">
        <f t="shared" si="336"/>
        <v>-1.0961044278427652E-4</v>
      </c>
      <c r="E398" s="68">
        <f t="shared" si="336"/>
        <v>-1.0985780021592194E-4</v>
      </c>
      <c r="F398" s="68">
        <f t="shared" si="336"/>
        <v>-1.102050855872544E-4</v>
      </c>
      <c r="G398" s="68">
        <f t="shared" si="336"/>
        <v>-1.1068793832190012E-4</v>
      </c>
      <c r="H398" s="68">
        <f t="shared" si="336"/>
        <v>-1.1134991135754269E-4</v>
      </c>
      <c r="I398" s="68">
        <f t="shared" si="336"/>
        <v>-1.1223953218328357E-4</v>
      </c>
      <c r="J398" s="68">
        <f t="shared" si="336"/>
        <v>-1.1340243846463104E-4</v>
      </c>
      <c r="K398" s="68">
        <f t="shared" si="336"/>
        <v>-1.1486692236931498E-4</v>
      </c>
      <c r="L398" s="68">
        <f t="shared" si="336"/>
        <v>-1.1662426101691861E-4</v>
      </c>
      <c r="M398" s="68">
        <f t="shared" si="336"/>
        <v>-1.1861141326080898E-4</v>
      </c>
      <c r="N398" s="68">
        <f t="shared" si="336"/>
        <v>-1.2070924173160351E-4</v>
      </c>
      <c r="O398" s="68">
        <f t="shared" si="336"/>
        <v>-1.2276578886197088E-4</v>
      </c>
      <c r="P398" s="68">
        <f t="shared" si="336"/>
        <v>-1.2463790604579422E-4</v>
      </c>
      <c r="Q398" s="68">
        <f t="shared" si="336"/>
        <v>-1.2622893905743041E-4</v>
      </c>
      <c r="R398" s="68">
        <f t="shared" si="336"/>
        <v>-1.2750307156188243E-4</v>
      </c>
      <c r="S398" s="68">
        <f t="shared" si="336"/>
        <v>-1.2847529121281536E-4</v>
      </c>
      <c r="T398" s="68">
        <f t="shared" si="336"/>
        <v>-1.2918995062837979E-4</v>
      </c>
      <c r="U398" s="68">
        <f t="shared" si="336"/>
        <v>-1.2970092177177047E-4</v>
      </c>
      <c r="V398" s="68">
        <f t="shared" si="336"/>
        <v>-1.3005903708324747E-4</v>
      </c>
      <c r="W398" s="68">
        <f t="shared" si="336"/>
        <v>-1.3030651677496533E-4</v>
      </c>
      <c r="X398" s="68">
        <f t="shared" si="336"/>
        <v>-1.3047587946039396E-4</v>
      </c>
      <c r="Y398" s="68">
        <f t="shared" si="336"/>
        <v>-1.305910091927601E-4</v>
      </c>
      <c r="Z398" s="68">
        <f t="shared" si="336"/>
        <v>-1.3066891620155716E-4</v>
      </c>
      <c r="AA398" s="68">
        <f t="shared" si="336"/>
        <v>-1.3072147235102815E-4</v>
      </c>
      <c r="AB398" s="68">
        <f t="shared" si="336"/>
        <v>-1.3075685288977524E-4</v>
      </c>
      <c r="AC398" s="68">
        <f t="shared" si="336"/>
        <v>-1.3078063744341263E-4</v>
      </c>
    </row>
    <row r="399" spans="1:29" x14ac:dyDescent="0.3">
      <c r="A399" s="30" t="str">
        <f t="shared" si="334"/>
        <v>Capex costumization</v>
      </c>
      <c r="B399" s="66">
        <f>((1+B358)^B366)*B358/(((1+B358)^B366)-1)*(B356)/B370/(B367)</f>
        <v>7.6311881817276459E-4</v>
      </c>
      <c r="C399" s="66">
        <f t="shared" ref="C399:AC399" si="337">((1+C358)^C366)*C358/(((1+C358)^C366)-1)*(C356)/C370/(C367)</f>
        <v>7.6311881817276459E-4</v>
      </c>
      <c r="D399" s="66">
        <f t="shared" si="337"/>
        <v>7.6311881817276459E-4</v>
      </c>
      <c r="E399" s="66">
        <f t="shared" si="337"/>
        <v>7.6311881817276459E-4</v>
      </c>
      <c r="F399" s="66">
        <f t="shared" si="337"/>
        <v>7.6311881817276459E-4</v>
      </c>
      <c r="G399" s="66">
        <f t="shared" si="337"/>
        <v>7.6311881817276459E-4</v>
      </c>
      <c r="H399" s="66">
        <f t="shared" si="337"/>
        <v>7.6311881817276459E-4</v>
      </c>
      <c r="I399" s="66">
        <f t="shared" si="337"/>
        <v>7.6311881817276459E-4</v>
      </c>
      <c r="J399" s="66">
        <f t="shared" si="337"/>
        <v>7.6311881817276459E-4</v>
      </c>
      <c r="K399" s="66">
        <f t="shared" si="337"/>
        <v>7.6311881817276459E-4</v>
      </c>
      <c r="L399" s="66">
        <f t="shared" si="337"/>
        <v>7.6311881817276459E-4</v>
      </c>
      <c r="M399" s="66">
        <f t="shared" si="337"/>
        <v>7.6311881817276459E-4</v>
      </c>
      <c r="N399" s="66">
        <f t="shared" si="337"/>
        <v>7.6311881817276459E-4</v>
      </c>
      <c r="O399" s="66">
        <f t="shared" si="337"/>
        <v>7.6311881817276459E-4</v>
      </c>
      <c r="P399" s="66">
        <f t="shared" si="337"/>
        <v>7.6311881817276459E-4</v>
      </c>
      <c r="Q399" s="66">
        <f t="shared" si="337"/>
        <v>7.6311881817276459E-4</v>
      </c>
      <c r="R399" s="66">
        <f t="shared" si="337"/>
        <v>7.6311881817276459E-4</v>
      </c>
      <c r="S399" s="66">
        <f t="shared" si="337"/>
        <v>7.6311881817276459E-4</v>
      </c>
      <c r="T399" s="66">
        <f t="shared" si="337"/>
        <v>7.6311881817276459E-4</v>
      </c>
      <c r="U399" s="66">
        <f t="shared" si="337"/>
        <v>7.6311881817276459E-4</v>
      </c>
      <c r="V399" s="66">
        <f t="shared" si="337"/>
        <v>7.6311881817276459E-4</v>
      </c>
      <c r="W399" s="66">
        <f t="shared" si="337"/>
        <v>7.6311881817276459E-4</v>
      </c>
      <c r="X399" s="66">
        <f t="shared" si="337"/>
        <v>7.6311881817276459E-4</v>
      </c>
      <c r="Y399" s="66">
        <f t="shared" si="337"/>
        <v>7.6311881817276459E-4</v>
      </c>
      <c r="Z399" s="66">
        <f t="shared" si="337"/>
        <v>7.6311881817276459E-4</v>
      </c>
      <c r="AA399" s="66">
        <f t="shared" si="337"/>
        <v>7.6311881817276459E-4</v>
      </c>
      <c r="AB399" s="66">
        <f t="shared" si="337"/>
        <v>7.6311881817276459E-4</v>
      </c>
      <c r="AC399" s="66">
        <f t="shared" si="337"/>
        <v>7.6311881817276459E-4</v>
      </c>
    </row>
    <row r="400" spans="1:29" x14ac:dyDescent="0.3">
      <c r="A400" s="30" t="str">
        <f t="shared" si="334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38">((1+C358)^C366)*C358/(((1+C358)^C366)-1)*(C357)/C370/(C367)</f>
        <v>-3.8155940908638231E-5</v>
      </c>
      <c r="D400" s="69">
        <f t="shared" si="338"/>
        <v>-3.8155940908638231E-5</v>
      </c>
      <c r="E400" s="69">
        <f t="shared" si="338"/>
        <v>-3.8155940908638231E-5</v>
      </c>
      <c r="F400" s="69">
        <f t="shared" si="338"/>
        <v>-3.8155940908638231E-5</v>
      </c>
      <c r="G400" s="69">
        <f t="shared" si="338"/>
        <v>-3.8155940908638231E-5</v>
      </c>
      <c r="H400" s="69">
        <f t="shared" si="338"/>
        <v>-3.8155940908638231E-5</v>
      </c>
      <c r="I400" s="69">
        <f t="shared" si="338"/>
        <v>-3.8155940908638231E-5</v>
      </c>
      <c r="J400" s="69">
        <f t="shared" si="338"/>
        <v>-3.8155940908638231E-5</v>
      </c>
      <c r="K400" s="69">
        <f t="shared" si="338"/>
        <v>-3.8155940908638231E-5</v>
      </c>
      <c r="L400" s="69">
        <f t="shared" si="338"/>
        <v>-3.8155940908638231E-5</v>
      </c>
      <c r="M400" s="69">
        <f t="shared" si="338"/>
        <v>-3.8155940908638231E-5</v>
      </c>
      <c r="N400" s="69">
        <f t="shared" si="338"/>
        <v>-3.8155940908638231E-5</v>
      </c>
      <c r="O400" s="69">
        <f t="shared" si="338"/>
        <v>-3.8155940908638231E-5</v>
      </c>
      <c r="P400" s="69">
        <f t="shared" si="338"/>
        <v>-3.8155940908638231E-5</v>
      </c>
      <c r="Q400" s="69">
        <f t="shared" si="338"/>
        <v>-3.8155940908638231E-5</v>
      </c>
      <c r="R400" s="69">
        <f t="shared" si="338"/>
        <v>-3.8155940908638231E-5</v>
      </c>
      <c r="S400" s="69">
        <f t="shared" si="338"/>
        <v>-3.8155940908638231E-5</v>
      </c>
      <c r="T400" s="69">
        <f t="shared" si="338"/>
        <v>-3.8155940908638231E-5</v>
      </c>
      <c r="U400" s="69">
        <f t="shared" si="338"/>
        <v>-3.8155940908638231E-5</v>
      </c>
      <c r="V400" s="69">
        <f t="shared" si="338"/>
        <v>-3.8155940908638231E-5</v>
      </c>
      <c r="W400" s="69">
        <f t="shared" si="338"/>
        <v>-3.8155940908638231E-5</v>
      </c>
      <c r="X400" s="69">
        <f t="shared" si="338"/>
        <v>-3.8155940908638231E-5</v>
      </c>
      <c r="Y400" s="69">
        <f t="shared" si="338"/>
        <v>-3.8155940908638231E-5</v>
      </c>
      <c r="Z400" s="69">
        <f t="shared" si="338"/>
        <v>-3.8155940908638231E-5</v>
      </c>
      <c r="AA400" s="69">
        <f t="shared" si="338"/>
        <v>-3.8155940908638231E-5</v>
      </c>
      <c r="AB400" s="69">
        <f t="shared" si="338"/>
        <v>-3.8155940908638231E-5</v>
      </c>
      <c r="AC400" s="69">
        <f t="shared" si="338"/>
        <v>-3.8155940908638231E-5</v>
      </c>
    </row>
    <row r="401" spans="1:29" x14ac:dyDescent="0.3">
      <c r="A401" s="30" t="str">
        <f t="shared" si="334"/>
        <v>Opex fix (admin, crew, insurance)</v>
      </c>
      <c r="B401" s="66">
        <f>B359/B370/(B367)</f>
        <v>3.6264505802320927E-3</v>
      </c>
      <c r="C401" s="66">
        <f t="shared" ref="C401:AC401" si="339">C359/C370/(C367)</f>
        <v>3.6264505802320927E-3</v>
      </c>
      <c r="D401" s="66">
        <f t="shared" si="339"/>
        <v>3.6264505802320927E-3</v>
      </c>
      <c r="E401" s="66">
        <f t="shared" si="339"/>
        <v>3.6264505802320927E-3</v>
      </c>
      <c r="F401" s="66">
        <f t="shared" si="339"/>
        <v>3.6264505802320927E-3</v>
      </c>
      <c r="G401" s="66">
        <f t="shared" si="339"/>
        <v>3.6264505802320927E-3</v>
      </c>
      <c r="H401" s="66">
        <f t="shared" si="339"/>
        <v>3.6264505802320927E-3</v>
      </c>
      <c r="I401" s="66">
        <f t="shared" si="339"/>
        <v>3.6264505802320927E-3</v>
      </c>
      <c r="J401" s="66">
        <f t="shared" si="339"/>
        <v>3.6264505802320927E-3</v>
      </c>
      <c r="K401" s="66">
        <f t="shared" si="339"/>
        <v>3.6264505802320927E-3</v>
      </c>
      <c r="L401" s="66">
        <f t="shared" si="339"/>
        <v>3.6264505802320927E-3</v>
      </c>
      <c r="M401" s="66">
        <f t="shared" si="339"/>
        <v>3.6264505802320927E-3</v>
      </c>
      <c r="N401" s="66">
        <f t="shared" si="339"/>
        <v>3.6264505802320927E-3</v>
      </c>
      <c r="O401" s="66">
        <f t="shared" si="339"/>
        <v>3.6264505802320927E-3</v>
      </c>
      <c r="P401" s="66">
        <f t="shared" si="339"/>
        <v>3.6264505802320927E-3</v>
      </c>
      <c r="Q401" s="66">
        <f t="shared" si="339"/>
        <v>3.6264505802320927E-3</v>
      </c>
      <c r="R401" s="66">
        <f t="shared" si="339"/>
        <v>3.6264505802320927E-3</v>
      </c>
      <c r="S401" s="66">
        <f t="shared" si="339"/>
        <v>3.6264505802320927E-3</v>
      </c>
      <c r="T401" s="66">
        <f t="shared" si="339"/>
        <v>3.6264505802320927E-3</v>
      </c>
      <c r="U401" s="66">
        <f t="shared" si="339"/>
        <v>3.6264505802320927E-3</v>
      </c>
      <c r="V401" s="66">
        <f t="shared" si="339"/>
        <v>3.6264505802320927E-3</v>
      </c>
      <c r="W401" s="66">
        <f t="shared" si="339"/>
        <v>3.6264505802320927E-3</v>
      </c>
      <c r="X401" s="66">
        <f t="shared" si="339"/>
        <v>3.6264505802320927E-3</v>
      </c>
      <c r="Y401" s="66">
        <f t="shared" si="339"/>
        <v>3.6264505802320927E-3</v>
      </c>
      <c r="Z401" s="66">
        <f t="shared" si="339"/>
        <v>3.6264505802320927E-3</v>
      </c>
      <c r="AA401" s="66">
        <f t="shared" si="339"/>
        <v>3.6264505802320927E-3</v>
      </c>
      <c r="AB401" s="66">
        <f t="shared" si="339"/>
        <v>3.6264505802320927E-3</v>
      </c>
      <c r="AC401" s="66">
        <f t="shared" si="339"/>
        <v>3.6264505802320927E-3</v>
      </c>
    </row>
    <row r="402" spans="1:29" x14ac:dyDescent="0.3">
      <c r="A402" s="30" t="str">
        <f t="shared" si="334"/>
        <v>Opex maintenance &amp; repair</v>
      </c>
      <c r="B402" s="66">
        <f>B360/B370/(B367)</f>
        <v>3.4736649752972778E-3</v>
      </c>
      <c r="C402" s="66">
        <f t="shared" ref="C402:AC402" si="340">C360/C370/(C367)</f>
        <v>3.4617894207883393E-3</v>
      </c>
      <c r="D402" s="66">
        <f t="shared" si="340"/>
        <v>3.44492783576762E-3</v>
      </c>
      <c r="E402" s="66">
        <f t="shared" si="340"/>
        <v>3.4210956056357029E-3</v>
      </c>
      <c r="F402" s="66">
        <f t="shared" si="340"/>
        <v>3.387635584499539E-3</v>
      </c>
      <c r="G402" s="66">
        <f t="shared" si="340"/>
        <v>3.3411140087564748E-3</v>
      </c>
      <c r="H402" s="66">
        <f t="shared" si="340"/>
        <v>3.2773346687883435E-3</v>
      </c>
      <c r="I402" s="66">
        <f t="shared" si="340"/>
        <v>3.1916220701889431E-3</v>
      </c>
      <c r="J402" s="66">
        <f t="shared" si="340"/>
        <v>3.0795791453632469E-3</v>
      </c>
      <c r="K402" s="66">
        <f t="shared" si="340"/>
        <v>2.9384800192575641E-3</v>
      </c>
      <c r="L402" s="66">
        <f t="shared" si="340"/>
        <v>2.7691651181817939E-3</v>
      </c>
      <c r="M402" s="66">
        <f t="shared" si="340"/>
        <v>2.5777082888133671E-3</v>
      </c>
      <c r="N402" s="66">
        <f t="shared" si="340"/>
        <v>2.3755880995767228E-3</v>
      </c>
      <c r="O402" s="66">
        <f t="shared" si="340"/>
        <v>2.1774452576090466E-3</v>
      </c>
      <c r="P402" s="66">
        <f t="shared" si="340"/>
        <v>1.9970717500818881E-3</v>
      </c>
      <c r="Q402" s="66">
        <f t="shared" si="340"/>
        <v>1.8437799543652188E-3</v>
      </c>
      <c r="R402" s="66">
        <f t="shared" si="340"/>
        <v>1.7210206790013629E-3</v>
      </c>
      <c r="S402" s="66">
        <f t="shared" si="340"/>
        <v>1.6273499034532913E-3</v>
      </c>
      <c r="T402" s="66">
        <f t="shared" si="340"/>
        <v>1.5584943710184004E-3</v>
      </c>
      <c r="U402" s="66">
        <f t="shared" si="340"/>
        <v>1.5092636614373297E-3</v>
      </c>
      <c r="V402" s="66">
        <f t="shared" si="340"/>
        <v>1.4747602043949845E-3</v>
      </c>
      <c r="W402" s="66">
        <f t="shared" si="340"/>
        <v>1.4509161948305144E-3</v>
      </c>
      <c r="X402" s="66">
        <f t="shared" si="340"/>
        <v>1.4345985508929758E-3</v>
      </c>
      <c r="Y402" s="66">
        <f t="shared" si="340"/>
        <v>1.4235061076276786E-3</v>
      </c>
      <c r="Z402" s="66">
        <f t="shared" si="340"/>
        <v>1.4159999747001592E-3</v>
      </c>
      <c r="AA402" s="66">
        <f t="shared" si="340"/>
        <v>1.4109363295906981E-3</v>
      </c>
      <c r="AB402" s="66">
        <f t="shared" si="340"/>
        <v>1.4075275088570635E-3</v>
      </c>
      <c r="AC402" s="66">
        <f t="shared" si="340"/>
        <v>1.4052359304229719E-3</v>
      </c>
    </row>
    <row r="403" spans="1:29" x14ac:dyDescent="0.3">
      <c r="A403" s="30" t="str">
        <f t="shared" si="334"/>
        <v>Opex var (mode-fees, shunting)</v>
      </c>
      <c r="B403" s="66">
        <f>B361*B370/B370/(B367)</f>
        <v>4.0016006402561026E-3</v>
      </c>
      <c r="C403" s="66">
        <f t="shared" ref="C403:AC403" si="341">C361*C370/C370/(C367)</f>
        <v>4.0016006402561026E-3</v>
      </c>
      <c r="D403" s="66">
        <f t="shared" si="341"/>
        <v>4.0016006402561026E-3</v>
      </c>
      <c r="E403" s="66">
        <f t="shared" si="341"/>
        <v>4.0016006402561026E-3</v>
      </c>
      <c r="F403" s="66">
        <f t="shared" si="341"/>
        <v>4.0016006402561026E-3</v>
      </c>
      <c r="G403" s="66">
        <f t="shared" si="341"/>
        <v>4.0016006402561026E-3</v>
      </c>
      <c r="H403" s="66">
        <f t="shared" si="341"/>
        <v>4.0016006402561026E-3</v>
      </c>
      <c r="I403" s="66">
        <f t="shared" si="341"/>
        <v>4.0016006402561026E-3</v>
      </c>
      <c r="J403" s="66">
        <f t="shared" si="341"/>
        <v>4.0016006402561026E-3</v>
      </c>
      <c r="K403" s="66">
        <f t="shared" si="341"/>
        <v>4.0016006402561026E-3</v>
      </c>
      <c r="L403" s="66">
        <f t="shared" si="341"/>
        <v>4.0016006402561026E-3</v>
      </c>
      <c r="M403" s="66">
        <f t="shared" si="341"/>
        <v>4.0016006402561026E-3</v>
      </c>
      <c r="N403" s="66">
        <f t="shared" si="341"/>
        <v>4.0016006402561026E-3</v>
      </c>
      <c r="O403" s="66">
        <f t="shared" si="341"/>
        <v>4.0016006402561026E-3</v>
      </c>
      <c r="P403" s="66">
        <f t="shared" si="341"/>
        <v>4.0016006402561026E-3</v>
      </c>
      <c r="Q403" s="66">
        <f t="shared" si="341"/>
        <v>4.0016006402561026E-3</v>
      </c>
      <c r="R403" s="66">
        <f t="shared" si="341"/>
        <v>4.0016006402561026E-3</v>
      </c>
      <c r="S403" s="66">
        <f t="shared" si="341"/>
        <v>4.0016006402561026E-3</v>
      </c>
      <c r="T403" s="66">
        <f t="shared" si="341"/>
        <v>4.0016006402561026E-3</v>
      </c>
      <c r="U403" s="66">
        <f t="shared" si="341"/>
        <v>4.0016006402561026E-3</v>
      </c>
      <c r="V403" s="66">
        <f t="shared" si="341"/>
        <v>4.0016006402561026E-3</v>
      </c>
      <c r="W403" s="66">
        <f t="shared" si="341"/>
        <v>4.0016006402561026E-3</v>
      </c>
      <c r="X403" s="66">
        <f t="shared" si="341"/>
        <v>4.0016006402561026E-3</v>
      </c>
      <c r="Y403" s="66">
        <f t="shared" si="341"/>
        <v>4.0016006402561026E-3</v>
      </c>
      <c r="Z403" s="66">
        <f t="shared" si="341"/>
        <v>4.0016006402561026E-3</v>
      </c>
      <c r="AA403" s="66">
        <f t="shared" si="341"/>
        <v>4.0016006402561026E-3</v>
      </c>
      <c r="AB403" s="66">
        <f t="shared" si="341"/>
        <v>4.0016006402561026E-3</v>
      </c>
      <c r="AC403" s="66">
        <f t="shared" si="341"/>
        <v>4.0016006402561026E-3</v>
      </c>
    </row>
    <row r="404" spans="1:29" x14ac:dyDescent="0.3">
      <c r="A404" s="30" t="str">
        <f t="shared" si="334"/>
        <v>Fuel Cost</v>
      </c>
      <c r="B404" s="66">
        <f>B362*B363*B370/B370/(B367)</f>
        <v>3.7811888058906298E-3</v>
      </c>
      <c r="C404" s="66">
        <f t="shared" ref="C404:AC404" si="342">C362*C363*C370/C370/(C367)</f>
        <v>3.766509351838834E-3</v>
      </c>
      <c r="D404" s="66">
        <f t="shared" si="342"/>
        <v>3.7457007471248947E-3</v>
      </c>
      <c r="E404" s="66">
        <f t="shared" si="342"/>
        <v>3.7163580658443711E-3</v>
      </c>
      <c r="F404" s="66">
        <f t="shared" si="342"/>
        <v>3.6752964398974251E-3</v>
      </c>
      <c r="G404" s="66">
        <f t="shared" si="342"/>
        <v>3.618467847289252E-3</v>
      </c>
      <c r="H404" s="66">
        <f t="shared" si="342"/>
        <v>3.5410532765914556E-3</v>
      </c>
      <c r="I404" s="66">
        <f t="shared" si="342"/>
        <v>3.4379185311090112E-3</v>
      </c>
      <c r="J404" s="66">
        <f t="shared" si="342"/>
        <v>3.3046614981456801E-3</v>
      </c>
      <c r="K404" s="66">
        <f t="shared" si="342"/>
        <v>3.1393615751343896E-3</v>
      </c>
      <c r="L404" s="66">
        <f t="shared" si="342"/>
        <v>2.9447068156418948E-3</v>
      </c>
      <c r="M404" s="66">
        <f t="shared" si="342"/>
        <v>2.7294594720870869E-3</v>
      </c>
      <c r="N404" s="66">
        <f t="shared" si="342"/>
        <v>2.5078245590068032E-3</v>
      </c>
      <c r="O404" s="66">
        <f t="shared" si="342"/>
        <v>2.2961348905486032E-3</v>
      </c>
      <c r="P404" s="66">
        <f t="shared" si="342"/>
        <v>2.1082363815187292E-3</v>
      </c>
      <c r="Q404" s="66">
        <f t="shared" si="342"/>
        <v>1.9521505666787976E-3</v>
      </c>
      <c r="R404" s="66">
        <f t="shared" si="342"/>
        <v>1.829539704585387E-3</v>
      </c>
      <c r="S404" s="66">
        <f t="shared" si="342"/>
        <v>1.7374095371924297E-3</v>
      </c>
      <c r="T404" s="66">
        <f t="shared" si="342"/>
        <v>1.67047438245117E-3</v>
      </c>
      <c r="U404" s="66">
        <f t="shared" si="342"/>
        <v>1.6230260209634281E-3</v>
      </c>
      <c r="V404" s="66">
        <f t="shared" si="342"/>
        <v>1.5899751393128785E-3</v>
      </c>
      <c r="W404" s="66">
        <f t="shared" si="342"/>
        <v>1.5672329007415124E-3</v>
      </c>
      <c r="X404" s="66">
        <f t="shared" si="342"/>
        <v>1.5517153940200947E-3</v>
      </c>
      <c r="Y404" s="66">
        <f t="shared" si="342"/>
        <v>1.5411882764825703E-3</v>
      </c>
      <c r="Z404" s="66">
        <f t="shared" si="342"/>
        <v>1.534074522164988E-3</v>
      </c>
      <c r="AA404" s="66">
        <f t="shared" si="342"/>
        <v>1.5292800573690137E-3</v>
      </c>
      <c r="AB404" s="66">
        <f t="shared" si="342"/>
        <v>1.5260544809025535E-3</v>
      </c>
      <c r="AC404" s="66">
        <f t="shared" si="342"/>
        <v>1.5238870080703825E-3</v>
      </c>
    </row>
    <row r="405" spans="1:29" x14ac:dyDescent="0.3">
      <c r="A405" s="59" t="str">
        <f>A368</f>
        <v>Market failure (av. utilization)</v>
      </c>
      <c r="B405" s="66">
        <f t="shared" ref="B405:AC405" si="343">B394/B368-B394/B367</f>
        <v>1.5164284685916136E-2</v>
      </c>
      <c r="C405" s="66">
        <f t="shared" si="343"/>
        <v>1.5135207430573165E-2</v>
      </c>
      <c r="D405" s="66">
        <f t="shared" si="343"/>
        <v>1.5093950359484139E-2</v>
      </c>
      <c r="E405" s="66">
        <f t="shared" si="343"/>
        <v>1.5035694354955977E-2</v>
      </c>
      <c r="F405" s="66">
        <f t="shared" si="343"/>
        <v>1.4954016288389278E-2</v>
      </c>
      <c r="G405" s="66">
        <f t="shared" si="343"/>
        <v>1.4840671734969099E-2</v>
      </c>
      <c r="H405" s="66">
        <f t="shared" si="343"/>
        <v>1.4685691058811859E-2</v>
      </c>
      <c r="I405" s="66">
        <f t="shared" si="343"/>
        <v>1.4478158860723438E-2</v>
      </c>
      <c r="J405" s="66">
        <f t="shared" si="343"/>
        <v>1.4208156885963941E-2</v>
      </c>
      <c r="K405" s="66">
        <f t="shared" si="343"/>
        <v>1.3870188344374403E-2</v>
      </c>
      <c r="L405" s="66">
        <f t="shared" si="343"/>
        <v>1.3467623679056632E-2</v>
      </c>
      <c r="M405" s="66">
        <f t="shared" si="343"/>
        <v>1.3016268622067189E-2</v>
      </c>
      <c r="N405" s="66">
        <f t="shared" si="343"/>
        <v>1.2544071918620137E-2</v>
      </c>
      <c r="O405" s="66">
        <f t="shared" si="343"/>
        <v>1.2085201173771336E-2</v>
      </c>
      <c r="P405" s="66">
        <f t="shared" si="343"/>
        <v>1.1670567903786013E-2</v>
      </c>
      <c r="Q405" s="66">
        <f t="shared" si="343"/>
        <v>1.1319982150549128E-2</v>
      </c>
      <c r="R405" s="66">
        <f t="shared" si="343"/>
        <v>1.103981727298842E-2</v>
      </c>
      <c r="S405" s="66">
        <f t="shared" si="343"/>
        <v>1.0825809774626757E-2</v>
      </c>
      <c r="T405" s="66">
        <f t="shared" si="343"/>
        <v>1.0667889784390362E-2</v>
      </c>
      <c r="U405" s="66">
        <f t="shared" si="343"/>
        <v>1.0554329660430094E-2</v>
      </c>
      <c r="V405" s="66">
        <f t="shared" si="343"/>
        <v>1.0474220843657497E-2</v>
      </c>
      <c r="W405" s="66">
        <f t="shared" si="343"/>
        <v>1.0418510201674674E-2</v>
      </c>
      <c r="X405" s="66">
        <f t="shared" si="343"/>
        <v>1.0380174768846622E-2</v>
      </c>
      <c r="Y405" s="66">
        <f t="shared" si="343"/>
        <v>1.0353999659988322E-2</v>
      </c>
      <c r="Z405" s="66">
        <f t="shared" si="343"/>
        <v>1.0336227614431991E-2</v>
      </c>
      <c r="AA405" s="66">
        <f t="shared" si="343"/>
        <v>1.0324209057774225E-2</v>
      </c>
      <c r="AB405" s="66">
        <f t="shared" si="343"/>
        <v>1.0316104057355883E-2</v>
      </c>
      <c r="AC405" s="66">
        <f t="shared" si="343"/>
        <v>1.0310648815762049E-2</v>
      </c>
    </row>
    <row r="406" spans="1:29" x14ac:dyDescent="0.3">
      <c r="A406" s="59" t="str">
        <f>A369</f>
        <v>Payload loss (fuel)</v>
      </c>
      <c r="B406" s="66">
        <f>B394/(B367-B369)-B394/B367</f>
        <v>3.2366457432390222E-4</v>
      </c>
      <c r="C406" s="66">
        <f t="shared" ref="C406:AC406" si="344">C394/(C367-C369)-C394/C367</f>
        <v>3.2304395306361616E-4</v>
      </c>
      <c r="D406" s="66">
        <f t="shared" si="344"/>
        <v>3.2216336735657949E-4</v>
      </c>
      <c r="E406" s="66">
        <f t="shared" si="344"/>
        <v>3.2091995856427941E-4</v>
      </c>
      <c r="F406" s="66">
        <f t="shared" si="344"/>
        <v>3.1917663224230106E-4</v>
      </c>
      <c r="G406" s="66">
        <f t="shared" si="344"/>
        <v>3.1675742043017069E-4</v>
      </c>
      <c r="H406" s="66">
        <f t="shared" si="344"/>
        <v>3.1344953248057042E-4</v>
      </c>
      <c r="I406" s="66">
        <f t="shared" si="344"/>
        <v>3.090199914937003E-4</v>
      </c>
      <c r="J406" s="66">
        <f t="shared" si="344"/>
        <v>3.0325710349488402E-4</v>
      </c>
      <c r="K406" s="66">
        <f t="shared" si="344"/>
        <v>2.9604354569020414E-4</v>
      </c>
      <c r="L406" s="66">
        <f t="shared" si="344"/>
        <v>2.8745125639093039E-4</v>
      </c>
      <c r="M406" s="66">
        <f t="shared" si="344"/>
        <v>2.7781759114293633E-4</v>
      </c>
      <c r="N406" s="66">
        <f t="shared" si="344"/>
        <v>2.6773908442904656E-4</v>
      </c>
      <c r="O406" s="66">
        <f t="shared" si="344"/>
        <v>2.57945005289981E-4</v>
      </c>
      <c r="P406" s="66">
        <f t="shared" si="344"/>
        <v>2.4909512521914708E-4</v>
      </c>
      <c r="Q406" s="66">
        <f t="shared" si="344"/>
        <v>2.416122672449228E-4</v>
      </c>
      <c r="R406" s="66">
        <f t="shared" si="344"/>
        <v>2.356324635341394E-4</v>
      </c>
      <c r="S406" s="66">
        <f t="shared" si="344"/>
        <v>2.3106471455725149E-4</v>
      </c>
      <c r="T406" s="66">
        <f t="shared" si="344"/>
        <v>2.2769409025971514E-4</v>
      </c>
      <c r="U406" s="66">
        <f t="shared" si="344"/>
        <v>2.2527027733724309E-4</v>
      </c>
      <c r="V406" s="66">
        <f t="shared" si="344"/>
        <v>2.2356044488438913E-4</v>
      </c>
      <c r="W406" s="66">
        <f t="shared" si="344"/>
        <v>2.2237136398831243E-4</v>
      </c>
      <c r="X406" s="66">
        <f t="shared" si="344"/>
        <v>2.2155313735878167E-4</v>
      </c>
      <c r="Y406" s="66">
        <f t="shared" si="344"/>
        <v>2.2099445914599593E-4</v>
      </c>
      <c r="Z406" s="66">
        <f t="shared" si="344"/>
        <v>2.2061513485348815E-4</v>
      </c>
      <c r="AA406" s="66">
        <f t="shared" si="344"/>
        <v>2.2035861230032018E-4</v>
      </c>
      <c r="AB406" s="66">
        <f t="shared" si="344"/>
        <v>2.2018562019652903E-4</v>
      </c>
      <c r="AC406" s="66">
        <f t="shared" si="344"/>
        <v>2.2006918420994052E-4</v>
      </c>
    </row>
    <row r="407" spans="1:29" ht="15" thickBot="1" x14ac:dyDescent="0.35">
      <c r="A407" s="59" t="str">
        <f>A344</f>
        <v>Emission Cost</v>
      </c>
      <c r="B407" s="68">
        <f>B364*B370/B370/(B367)</f>
        <v>6.3470132672722201E-5</v>
      </c>
      <c r="C407" s="68">
        <f t="shared" ref="C407:AC407" si="345">C364*C370/C370/(C367)</f>
        <v>6.3409693641812759E-5</v>
      </c>
      <c r="D407" s="68">
        <f t="shared" si="345"/>
        <v>6.3323176515236784E-5</v>
      </c>
      <c r="E407" s="68">
        <f t="shared" si="345"/>
        <v>6.319940768151351E-5</v>
      </c>
      <c r="F407" s="68">
        <f t="shared" si="345"/>
        <v>6.3022514707173862E-5</v>
      </c>
      <c r="G407" s="68">
        <f t="shared" si="345"/>
        <v>6.2770050204634162E-5</v>
      </c>
      <c r="H407" s="68">
        <f t="shared" si="345"/>
        <v>6.2410478816695501E-5</v>
      </c>
      <c r="I407" s="68">
        <f t="shared" si="345"/>
        <v>6.1899938991024039E-5</v>
      </c>
      <c r="J407" s="68">
        <f t="shared" si="345"/>
        <v>6.1178340007182337E-5</v>
      </c>
      <c r="K407" s="68">
        <f t="shared" si="345"/>
        <v>6.0165228052592656E-5</v>
      </c>
      <c r="L407" s="68">
        <f t="shared" si="345"/>
        <v>5.8756634664685076E-5</v>
      </c>
      <c r="M407" s="68">
        <f t="shared" si="345"/>
        <v>5.6825505825447255E-5</v>
      </c>
      <c r="N407" s="68">
        <f t="shared" si="345"/>
        <v>5.4230275596912073E-5</v>
      </c>
      <c r="O407" s="68">
        <f t="shared" si="345"/>
        <v>5.0837808326608381E-5</v>
      </c>
      <c r="P407" s="68">
        <f t="shared" si="345"/>
        <v>4.6565569201053159E-5</v>
      </c>
      <c r="Q407" s="68">
        <f t="shared" si="345"/>
        <v>4.143900488503018E-5</v>
      </c>
      <c r="R407" s="68">
        <f t="shared" si="345"/>
        <v>3.5642021020864345E-5</v>
      </c>
      <c r="S407" s="68">
        <f t="shared" si="345"/>
        <v>2.9522168939890776E-5</v>
      </c>
      <c r="T407" s="68">
        <f t="shared" si="345"/>
        <v>2.3522744101008524E-5</v>
      </c>
      <c r="U407" s="68">
        <f t="shared" si="345"/>
        <v>1.8061344180685985E-5</v>
      </c>
      <c r="V407" s="68">
        <f t="shared" si="345"/>
        <v>1.3419931966716231E-5</v>
      </c>
      <c r="W407" s="68">
        <f t="shared" si="345"/>
        <v>9.7029920131586533E-6</v>
      </c>
      <c r="X407" s="68">
        <f t="shared" si="345"/>
        <v>6.8668018590266139E-6</v>
      </c>
      <c r="Y407" s="68">
        <f t="shared" si="345"/>
        <v>4.7819746329603935E-6</v>
      </c>
      <c r="Z407" s="68">
        <f t="shared" si="345"/>
        <v>3.2913533268187533E-6</v>
      </c>
      <c r="AA407" s="68">
        <f t="shared" si="345"/>
        <v>2.2466479256470077E-6</v>
      </c>
      <c r="AB407" s="68">
        <f t="shared" si="345"/>
        <v>1.5246922808250581E-6</v>
      </c>
      <c r="AC407" s="68">
        <f t="shared" si="345"/>
        <v>1.0306220566436748E-6</v>
      </c>
    </row>
    <row r="408" spans="1:29" ht="15" thickBot="1" x14ac:dyDescent="0.35">
      <c r="A408" s="31" t="s">
        <v>210</v>
      </c>
      <c r="B408" s="67">
        <f>B397+B398+B399+B400+B401+B402+B403+B404+B405+B406+B407</f>
        <v>3.3213188966237359E-2</v>
      </c>
      <c r="C408" s="67">
        <f t="shared" ref="C408:AC408" si="346">C397+C398+C399+C400+C401+C402+C403+C404+C405+C406+C407</f>
        <v>3.3149356920318444E-2</v>
      </c>
      <c r="D408" s="67">
        <f t="shared" si="346"/>
        <v>3.3058787049635247E-2</v>
      </c>
      <c r="E408" s="67">
        <f t="shared" si="346"/>
        <v>3.2930900152738259E-2</v>
      </c>
      <c r="F408" s="67">
        <f t="shared" si="346"/>
        <v>3.2751595812140849E-2</v>
      </c>
      <c r="G408" s="67">
        <f t="shared" si="346"/>
        <v>3.2502775397241376E-2</v>
      </c>
      <c r="H408" s="67">
        <f t="shared" si="346"/>
        <v>3.2162552995906465E-2</v>
      </c>
      <c r="I408" s="67">
        <f t="shared" si="346"/>
        <v>3.1706966502553467E-2</v>
      </c>
      <c r="J408" s="67">
        <f t="shared" si="346"/>
        <v>3.1114242799860092E-2</v>
      </c>
      <c r="K408" s="67">
        <f t="shared" si="346"/>
        <v>3.0372315021208591E-2</v>
      </c>
      <c r="L408" s="67">
        <f t="shared" si="346"/>
        <v>2.9488582155131556E-2</v>
      </c>
      <c r="M408" s="67">
        <f t="shared" si="346"/>
        <v>2.849774184425433E-2</v>
      </c>
      <c r="N408" s="67">
        <f t="shared" si="346"/>
        <v>2.7461148764829461E-2</v>
      </c>
      <c r="O408" s="67">
        <f t="shared" si="346"/>
        <v>2.6453809588193E-2</v>
      </c>
      <c r="P408" s="67">
        <f t="shared" si="346"/>
        <v>2.5543583034241035E-2</v>
      </c>
      <c r="Q408" s="67">
        <f t="shared" si="346"/>
        <v>2.4773957234447495E-2</v>
      </c>
      <c r="R408" s="67">
        <f t="shared" si="346"/>
        <v>2.4158923349083001E-2</v>
      </c>
      <c r="S408" s="67">
        <f t="shared" si="346"/>
        <v>2.3689121908015535E-2</v>
      </c>
      <c r="T408" s="67">
        <f t="shared" si="346"/>
        <v>2.3342446957117138E-2</v>
      </c>
      <c r="U408" s="67">
        <f t="shared" si="346"/>
        <v>2.3093153309498436E-2</v>
      </c>
      <c r="V408" s="67">
        <f t="shared" si="346"/>
        <v>2.2917293875366024E-2</v>
      </c>
      <c r="W408" s="67">
        <f t="shared" si="346"/>
        <v>2.2794994703202939E-2</v>
      </c>
      <c r="X408" s="67">
        <f t="shared" si="346"/>
        <v>2.2710838579121127E-2</v>
      </c>
      <c r="Y408" s="67">
        <f t="shared" si="346"/>
        <v>2.2653377490346814E-2</v>
      </c>
      <c r="Z408" s="67">
        <f t="shared" si="346"/>
        <v>2.2614363284410108E-2</v>
      </c>
      <c r="AA408" s="67">
        <f t="shared" si="346"/>
        <v>2.2587979464774838E-2</v>
      </c>
      <c r="AB408" s="67">
        <f t="shared" si="346"/>
        <v>2.2570186906544221E-2</v>
      </c>
      <c r="AC408" s="67">
        <f t="shared" si="346"/>
        <v>2.2558211249701473E-2</v>
      </c>
    </row>
    <row r="410" spans="1:29" x14ac:dyDescent="0.3">
      <c r="B410" s="40"/>
    </row>
    <row r="429" spans="1:1" s="3" customFormat="1" ht="21" x14ac:dyDescent="0.4">
      <c r="A429" s="2" t="str">
        <f>'Parameter Input'!A123</f>
        <v>Railway long-haul:  Neo bulk</v>
      </c>
    </row>
    <row r="430" spans="1:1" s="3" customFormat="1" ht="21" x14ac:dyDescent="0.4">
      <c r="A430" s="2" t="s">
        <v>103</v>
      </c>
    </row>
    <row r="431" spans="1:1" x14ac:dyDescent="0.3">
      <c r="A431" s="33" t="s">
        <v>195</v>
      </c>
    </row>
    <row r="432" spans="1:1" x14ac:dyDescent="0.3">
      <c r="A432" s="33" t="s">
        <v>196</v>
      </c>
    </row>
    <row r="433" spans="1:44" ht="15" thickBot="1" x14ac:dyDescent="0.35">
      <c r="A433" s="34" t="s">
        <v>197</v>
      </c>
      <c r="B433" s="34"/>
    </row>
    <row r="434" spans="1:44" ht="15" thickBot="1" x14ac:dyDescent="0.35">
      <c r="A434" s="39" t="s">
        <v>198</v>
      </c>
      <c r="B434" s="35"/>
    </row>
    <row r="435" spans="1:44" ht="15" thickBot="1" x14ac:dyDescent="0.35">
      <c r="A435" s="38" t="s">
        <v>199</v>
      </c>
      <c r="B435" s="36"/>
    </row>
    <row r="436" spans="1:44" ht="15" thickBot="1" x14ac:dyDescent="0.35"/>
    <row r="437" spans="1:44" x14ac:dyDescent="0.3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" thickBot="1" x14ac:dyDescent="0.35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3">
      <c r="A439" s="24" t="s">
        <v>18</v>
      </c>
      <c r="B439" s="41">
        <f>'Parameter Input'!$L$113</f>
        <v>10000000</v>
      </c>
      <c r="C439" s="42">
        <f>'Parameter Input'!$M$113</f>
        <v>4000000</v>
      </c>
      <c r="D439" s="1" t="s">
        <v>15</v>
      </c>
      <c r="L439" s="51">
        <f>'Parameter Input'!$O$113</f>
        <v>12</v>
      </c>
      <c r="M439" s="52">
        <v>0</v>
      </c>
      <c r="N439" s="52">
        <v>1</v>
      </c>
      <c r="O439" s="52">
        <f>'Parameter Input'!$P$113</f>
        <v>0.9</v>
      </c>
      <c r="P439" s="53">
        <f>'Parameter Input'!$Q$113</f>
        <v>0.4</v>
      </c>
      <c r="Q439" s="4">
        <f t="shared" ref="Q439:AR448" si="347">$N439+($M439-$N439)*((1/(1+EXP(-$P439*(Q$9-$L439)))^$O439))</f>
        <v>0.9867978615748374</v>
      </c>
      <c r="R439" s="4">
        <f t="shared" si="347"/>
        <v>0.98114509762858249</v>
      </c>
      <c r="S439" s="4">
        <f t="shared" si="347"/>
        <v>0.97311898315872036</v>
      </c>
      <c r="T439" s="4">
        <f t="shared" si="347"/>
        <v>0.96177484161592774</v>
      </c>
      <c r="U439" s="4">
        <f t="shared" si="347"/>
        <v>0.94584787155511363</v>
      </c>
      <c r="V439" s="4">
        <f t="shared" si="347"/>
        <v>0.92370360150141495</v>
      </c>
      <c r="W439" s="4">
        <f t="shared" si="347"/>
        <v>0.89334463567658451</v>
      </c>
      <c r="X439" s="4">
        <f t="shared" si="347"/>
        <v>0.85254543874327005</v>
      </c>
      <c r="Y439" s="4">
        <f t="shared" si="347"/>
        <v>0.79921300652623883</v>
      </c>
      <c r="Z439" s="4">
        <f t="shared" si="347"/>
        <v>0.73204982249993378</v>
      </c>
      <c r="AA439" s="4">
        <f t="shared" si="347"/>
        <v>0.65145592958786691</v>
      </c>
      <c r="AB439" s="4">
        <f t="shared" si="347"/>
        <v>0.56032247880849573</v>
      </c>
      <c r="AC439" s="4">
        <f t="shared" si="347"/>
        <v>0.46411326873185343</v>
      </c>
      <c r="AD439" s="4">
        <f t="shared" si="347"/>
        <v>0.36979727595523937</v>
      </c>
      <c r="AE439" s="4">
        <f t="shared" si="347"/>
        <v>0.28393948637231203</v>
      </c>
      <c r="AF439" s="4">
        <f t="shared" si="347"/>
        <v>0.21097259161117732</v>
      </c>
      <c r="AG439" s="4">
        <f t="shared" si="347"/>
        <v>0.15253917653798199</v>
      </c>
      <c r="AH439" s="4">
        <f t="shared" si="347"/>
        <v>0.10795188737709993</v>
      </c>
      <c r="AI439" s="4">
        <f t="shared" si="347"/>
        <v>7.5176653938091809E-2</v>
      </c>
      <c r="AJ439" s="4">
        <f t="shared" si="347"/>
        <v>5.1742836177502194E-2</v>
      </c>
      <c r="AK439" s="4">
        <f t="shared" si="347"/>
        <v>3.5319190625345942E-2</v>
      </c>
      <c r="AL439" s="4">
        <f t="shared" si="347"/>
        <v>2.3969442072658165E-2</v>
      </c>
      <c r="AM439" s="4">
        <f t="shared" si="347"/>
        <v>1.6202243558389728E-2</v>
      </c>
      <c r="AN439" s="4">
        <f t="shared" si="347"/>
        <v>1.0922240564108399E-2</v>
      </c>
      <c r="AO439" s="4">
        <f t="shared" si="347"/>
        <v>7.3493212906090566E-3</v>
      </c>
      <c r="AP439" s="4">
        <f t="shared" si="347"/>
        <v>4.9390262185057265E-3</v>
      </c>
      <c r="AQ439" s="4">
        <f t="shared" si="347"/>
        <v>3.3164275492956197E-3</v>
      </c>
      <c r="AR439" s="4">
        <f t="shared" si="347"/>
        <v>2.2256362146679809E-3</v>
      </c>
    </row>
    <row r="440" spans="1:44" x14ac:dyDescent="0.3">
      <c r="A440" s="24" t="s">
        <v>28</v>
      </c>
      <c r="B440" s="60">
        <f>'Parameter Input'!$L$114</f>
        <v>-500000</v>
      </c>
      <c r="C440" s="61">
        <f>'Parameter Input'!$M$114</f>
        <v>-600000</v>
      </c>
      <c r="D440" s="1" t="s">
        <v>15</v>
      </c>
      <c r="L440" s="54">
        <f>'Parameter Input'!$O$114</f>
        <v>12</v>
      </c>
      <c r="M440" s="37">
        <v>0</v>
      </c>
      <c r="N440" s="37">
        <v>1</v>
      </c>
      <c r="O440" s="37">
        <f>'Parameter Input'!$P$114</f>
        <v>0.9</v>
      </c>
      <c r="P440" s="55">
        <f>'Parameter Input'!$Q$114</f>
        <v>0.4</v>
      </c>
      <c r="Q440" s="4">
        <f t="shared" si="347"/>
        <v>0.9867978615748374</v>
      </c>
      <c r="R440" s="4">
        <f t="shared" si="347"/>
        <v>0.98114509762858249</v>
      </c>
      <c r="S440" s="4">
        <f t="shared" si="347"/>
        <v>0.97311898315872036</v>
      </c>
      <c r="T440" s="4">
        <f t="shared" si="347"/>
        <v>0.96177484161592774</v>
      </c>
      <c r="U440" s="4">
        <f t="shared" si="347"/>
        <v>0.94584787155511363</v>
      </c>
      <c r="V440" s="4">
        <f t="shared" si="347"/>
        <v>0.92370360150141495</v>
      </c>
      <c r="W440" s="4">
        <f t="shared" si="347"/>
        <v>0.89334463567658451</v>
      </c>
      <c r="X440" s="4">
        <f t="shared" si="347"/>
        <v>0.85254543874327005</v>
      </c>
      <c r="Y440" s="4">
        <f t="shared" si="347"/>
        <v>0.79921300652623883</v>
      </c>
      <c r="Z440" s="4">
        <f t="shared" si="347"/>
        <v>0.73204982249993378</v>
      </c>
      <c r="AA440" s="4">
        <f t="shared" si="347"/>
        <v>0.65145592958786691</v>
      </c>
      <c r="AB440" s="4">
        <f t="shared" si="347"/>
        <v>0.56032247880849573</v>
      </c>
      <c r="AC440" s="4">
        <f t="shared" si="347"/>
        <v>0.46411326873185343</v>
      </c>
      <c r="AD440" s="4">
        <f t="shared" si="347"/>
        <v>0.36979727595523937</v>
      </c>
      <c r="AE440" s="4">
        <f t="shared" si="347"/>
        <v>0.28393948637231203</v>
      </c>
      <c r="AF440" s="4">
        <f t="shared" si="347"/>
        <v>0.21097259161117732</v>
      </c>
      <c r="AG440" s="4">
        <f t="shared" si="347"/>
        <v>0.15253917653798199</v>
      </c>
      <c r="AH440" s="4">
        <f t="shared" si="347"/>
        <v>0.10795188737709993</v>
      </c>
      <c r="AI440" s="4">
        <f t="shared" si="347"/>
        <v>7.5176653938091809E-2</v>
      </c>
      <c r="AJ440" s="4">
        <f t="shared" si="347"/>
        <v>5.1742836177502194E-2</v>
      </c>
      <c r="AK440" s="4">
        <f t="shared" si="347"/>
        <v>3.5319190625345942E-2</v>
      </c>
      <c r="AL440" s="4">
        <f t="shared" si="347"/>
        <v>2.3969442072658165E-2</v>
      </c>
      <c r="AM440" s="4">
        <f t="shared" si="347"/>
        <v>1.6202243558389728E-2</v>
      </c>
      <c r="AN440" s="4">
        <f t="shared" si="347"/>
        <v>1.0922240564108399E-2</v>
      </c>
      <c r="AO440" s="4">
        <f t="shared" si="347"/>
        <v>7.3493212906090566E-3</v>
      </c>
      <c r="AP440" s="4">
        <f t="shared" si="347"/>
        <v>4.9390262185057265E-3</v>
      </c>
      <c r="AQ440" s="4">
        <f t="shared" si="347"/>
        <v>3.3164275492956197E-3</v>
      </c>
      <c r="AR440" s="4">
        <f t="shared" si="347"/>
        <v>2.2256362146679809E-3</v>
      </c>
    </row>
    <row r="441" spans="1:44" x14ac:dyDescent="0.3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47"/>
        <v>0.9867978615748374</v>
      </c>
      <c r="R441" s="4">
        <f t="shared" si="347"/>
        <v>0.98114509762858249</v>
      </c>
      <c r="S441" s="4">
        <f t="shared" si="347"/>
        <v>0.97311898315872036</v>
      </c>
      <c r="T441" s="4">
        <f t="shared" si="347"/>
        <v>0.96177484161592774</v>
      </c>
      <c r="U441" s="4">
        <f t="shared" si="347"/>
        <v>0.94584787155511363</v>
      </c>
      <c r="V441" s="4">
        <f t="shared" si="347"/>
        <v>0.92370360150141495</v>
      </c>
      <c r="W441" s="4">
        <f t="shared" si="347"/>
        <v>0.89334463567658451</v>
      </c>
      <c r="X441" s="4">
        <f t="shared" si="347"/>
        <v>0.85254543874327005</v>
      </c>
      <c r="Y441" s="4">
        <f t="shared" si="347"/>
        <v>0.79921300652623883</v>
      </c>
      <c r="Z441" s="4">
        <f t="shared" si="347"/>
        <v>0.73204982249993378</v>
      </c>
      <c r="AA441" s="4">
        <f t="shared" si="347"/>
        <v>0.65145592958786691</v>
      </c>
      <c r="AB441" s="4">
        <f t="shared" si="347"/>
        <v>0.56032247880849573</v>
      </c>
      <c r="AC441" s="4">
        <f t="shared" si="347"/>
        <v>0.46411326873185343</v>
      </c>
      <c r="AD441" s="4">
        <f t="shared" si="347"/>
        <v>0.36979727595523937</v>
      </c>
      <c r="AE441" s="4">
        <f t="shared" si="347"/>
        <v>0.28393948637231203</v>
      </c>
      <c r="AF441" s="4">
        <f t="shared" si="347"/>
        <v>0.21097259161117732</v>
      </c>
      <c r="AG441" s="4">
        <f t="shared" si="347"/>
        <v>0.15253917653798199</v>
      </c>
      <c r="AH441" s="4">
        <f t="shared" si="347"/>
        <v>0.10795188737709993</v>
      </c>
      <c r="AI441" s="4">
        <f t="shared" si="347"/>
        <v>7.5176653938091809E-2</v>
      </c>
      <c r="AJ441" s="4">
        <f t="shared" si="347"/>
        <v>5.1742836177502194E-2</v>
      </c>
      <c r="AK441" s="4">
        <f t="shared" si="347"/>
        <v>3.5319190625345942E-2</v>
      </c>
      <c r="AL441" s="4">
        <f t="shared" si="347"/>
        <v>2.3969442072658165E-2</v>
      </c>
      <c r="AM441" s="4">
        <f t="shared" si="347"/>
        <v>1.6202243558389728E-2</v>
      </c>
      <c r="AN441" s="4">
        <f t="shared" si="347"/>
        <v>1.0922240564108399E-2</v>
      </c>
      <c r="AO441" s="4">
        <f t="shared" si="347"/>
        <v>7.3493212906090566E-3</v>
      </c>
      <c r="AP441" s="4">
        <f t="shared" si="347"/>
        <v>4.9390262185057265E-3</v>
      </c>
      <c r="AQ441" s="4">
        <f t="shared" si="347"/>
        <v>3.3164275492956197E-3</v>
      </c>
      <c r="AR441" s="4">
        <f t="shared" si="347"/>
        <v>2.2256362146679809E-3</v>
      </c>
    </row>
    <row r="442" spans="1:44" x14ac:dyDescent="0.3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47"/>
        <v>0.9867978615748374</v>
      </c>
      <c r="R442" s="4">
        <f t="shared" si="347"/>
        <v>0.98114509762858249</v>
      </c>
      <c r="S442" s="4">
        <f t="shared" si="347"/>
        <v>0.97311898315872036</v>
      </c>
      <c r="T442" s="4">
        <f t="shared" si="347"/>
        <v>0.96177484161592774</v>
      </c>
      <c r="U442" s="4">
        <f t="shared" si="347"/>
        <v>0.94584787155511363</v>
      </c>
      <c r="V442" s="4">
        <f t="shared" si="347"/>
        <v>0.92370360150141495</v>
      </c>
      <c r="W442" s="4">
        <f t="shared" si="347"/>
        <v>0.89334463567658451</v>
      </c>
      <c r="X442" s="4">
        <f t="shared" si="347"/>
        <v>0.85254543874327005</v>
      </c>
      <c r="Y442" s="4">
        <f t="shared" si="347"/>
        <v>0.79921300652623883</v>
      </c>
      <c r="Z442" s="4">
        <f t="shared" si="347"/>
        <v>0.73204982249993378</v>
      </c>
      <c r="AA442" s="4">
        <f t="shared" si="347"/>
        <v>0.65145592958786691</v>
      </c>
      <c r="AB442" s="4">
        <f t="shared" si="347"/>
        <v>0.56032247880849573</v>
      </c>
      <c r="AC442" s="4">
        <f t="shared" si="347"/>
        <v>0.46411326873185343</v>
      </c>
      <c r="AD442" s="4">
        <f t="shared" si="347"/>
        <v>0.36979727595523937</v>
      </c>
      <c r="AE442" s="4">
        <f t="shared" si="347"/>
        <v>0.28393948637231203</v>
      </c>
      <c r="AF442" s="4">
        <f t="shared" si="347"/>
        <v>0.21097259161117732</v>
      </c>
      <c r="AG442" s="4">
        <f t="shared" si="347"/>
        <v>0.15253917653798199</v>
      </c>
      <c r="AH442" s="4">
        <f t="shared" si="347"/>
        <v>0.10795188737709993</v>
      </c>
      <c r="AI442" s="4">
        <f t="shared" si="347"/>
        <v>7.5176653938091809E-2</v>
      </c>
      <c r="AJ442" s="4">
        <f t="shared" si="347"/>
        <v>5.1742836177502194E-2</v>
      </c>
      <c r="AK442" s="4">
        <f t="shared" si="347"/>
        <v>3.5319190625345942E-2</v>
      </c>
      <c r="AL442" s="4">
        <f t="shared" si="347"/>
        <v>2.3969442072658165E-2</v>
      </c>
      <c r="AM442" s="4">
        <f t="shared" si="347"/>
        <v>1.6202243558389728E-2</v>
      </c>
      <c r="AN442" s="4">
        <f t="shared" si="347"/>
        <v>1.0922240564108399E-2</v>
      </c>
      <c r="AO442" s="4">
        <f t="shared" si="347"/>
        <v>7.3493212906090566E-3</v>
      </c>
      <c r="AP442" s="4">
        <f t="shared" si="347"/>
        <v>4.9390262185057265E-3</v>
      </c>
      <c r="AQ442" s="4">
        <f t="shared" si="347"/>
        <v>3.3164275492956197E-3</v>
      </c>
      <c r="AR442" s="4">
        <f t="shared" si="347"/>
        <v>2.2256362146679809E-3</v>
      </c>
    </row>
    <row r="443" spans="1:44" x14ac:dyDescent="0.3">
      <c r="A443" s="24" t="s">
        <v>79</v>
      </c>
      <c r="B443" s="45">
        <f>'Parameter Input'!$L$120</f>
        <v>0.06</v>
      </c>
      <c r="C443" s="46">
        <f>'Parameter Input'!$M$120</f>
        <v>0.06</v>
      </c>
      <c r="D443" s="1" t="s">
        <v>57</v>
      </c>
      <c r="L443" s="54">
        <f>'Parameter Input'!$O$120</f>
        <v>12</v>
      </c>
      <c r="M443" s="37">
        <v>0</v>
      </c>
      <c r="N443" s="37">
        <v>1</v>
      </c>
      <c r="O443" s="37">
        <f>'Parameter Input'!$P$120</f>
        <v>0.9</v>
      </c>
      <c r="P443" s="55">
        <f>'Parameter Input'!$Q$120</f>
        <v>0.4</v>
      </c>
      <c r="Q443" s="4">
        <f t="shared" si="347"/>
        <v>0.9867978615748374</v>
      </c>
      <c r="R443" s="4">
        <f t="shared" si="347"/>
        <v>0.98114509762858249</v>
      </c>
      <c r="S443" s="4">
        <f t="shared" si="347"/>
        <v>0.97311898315872036</v>
      </c>
      <c r="T443" s="4">
        <f t="shared" si="347"/>
        <v>0.96177484161592774</v>
      </c>
      <c r="U443" s="4">
        <f t="shared" si="347"/>
        <v>0.94584787155511363</v>
      </c>
      <c r="V443" s="4">
        <f t="shared" si="347"/>
        <v>0.92370360150141495</v>
      </c>
      <c r="W443" s="4">
        <f t="shared" si="347"/>
        <v>0.89334463567658451</v>
      </c>
      <c r="X443" s="4">
        <f t="shared" si="347"/>
        <v>0.85254543874327005</v>
      </c>
      <c r="Y443" s="4">
        <f t="shared" si="347"/>
        <v>0.79921300652623883</v>
      </c>
      <c r="Z443" s="4">
        <f t="shared" si="347"/>
        <v>0.73204982249993378</v>
      </c>
      <c r="AA443" s="4">
        <f t="shared" si="347"/>
        <v>0.65145592958786691</v>
      </c>
      <c r="AB443" s="4">
        <f t="shared" si="347"/>
        <v>0.56032247880849573</v>
      </c>
      <c r="AC443" s="4">
        <f t="shared" si="347"/>
        <v>0.46411326873185343</v>
      </c>
      <c r="AD443" s="4">
        <f t="shared" si="347"/>
        <v>0.36979727595523937</v>
      </c>
      <c r="AE443" s="4">
        <f t="shared" si="347"/>
        <v>0.28393948637231203</v>
      </c>
      <c r="AF443" s="4">
        <f t="shared" si="347"/>
        <v>0.21097259161117732</v>
      </c>
      <c r="AG443" s="4">
        <f t="shared" si="347"/>
        <v>0.15253917653798199</v>
      </c>
      <c r="AH443" s="4">
        <f t="shared" si="347"/>
        <v>0.10795188737709993</v>
      </c>
      <c r="AI443" s="4">
        <f t="shared" si="347"/>
        <v>7.5176653938091809E-2</v>
      </c>
      <c r="AJ443" s="4">
        <f t="shared" si="347"/>
        <v>5.1742836177502194E-2</v>
      </c>
      <c r="AK443" s="4">
        <f t="shared" si="347"/>
        <v>3.5319190625345942E-2</v>
      </c>
      <c r="AL443" s="4">
        <f t="shared" si="347"/>
        <v>2.3969442072658165E-2</v>
      </c>
      <c r="AM443" s="4">
        <f t="shared" si="347"/>
        <v>1.6202243558389728E-2</v>
      </c>
      <c r="AN443" s="4">
        <f t="shared" si="347"/>
        <v>1.0922240564108399E-2</v>
      </c>
      <c r="AO443" s="4">
        <f t="shared" si="347"/>
        <v>7.3493212906090566E-3</v>
      </c>
      <c r="AP443" s="4">
        <f t="shared" si="347"/>
        <v>4.9390262185057265E-3</v>
      </c>
      <c r="AQ443" s="4">
        <f t="shared" si="347"/>
        <v>3.3164275492956197E-3</v>
      </c>
      <c r="AR443" s="4">
        <f t="shared" si="347"/>
        <v>2.2256362146679809E-3</v>
      </c>
    </row>
    <row r="444" spans="1:44" x14ac:dyDescent="0.3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47"/>
        <v>0.9867978615748374</v>
      </c>
      <c r="R444" s="4">
        <f t="shared" si="347"/>
        <v>0.98114509762858249</v>
      </c>
      <c r="S444" s="4">
        <f t="shared" si="347"/>
        <v>0.97311898315872036</v>
      </c>
      <c r="T444" s="4">
        <f t="shared" si="347"/>
        <v>0.96177484161592774</v>
      </c>
      <c r="U444" s="4">
        <f t="shared" si="347"/>
        <v>0.94584787155511363</v>
      </c>
      <c r="V444" s="4">
        <f t="shared" si="347"/>
        <v>0.92370360150141495</v>
      </c>
      <c r="W444" s="4">
        <f t="shared" si="347"/>
        <v>0.89334463567658451</v>
      </c>
      <c r="X444" s="4">
        <f t="shared" si="347"/>
        <v>0.85254543874327005</v>
      </c>
      <c r="Y444" s="4">
        <f t="shared" si="347"/>
        <v>0.79921300652623883</v>
      </c>
      <c r="Z444" s="4">
        <f t="shared" si="347"/>
        <v>0.73204982249993378</v>
      </c>
      <c r="AA444" s="4">
        <f t="shared" si="347"/>
        <v>0.65145592958786691</v>
      </c>
      <c r="AB444" s="4">
        <f t="shared" si="347"/>
        <v>0.56032247880849573</v>
      </c>
      <c r="AC444" s="4">
        <f t="shared" si="347"/>
        <v>0.46411326873185343</v>
      </c>
      <c r="AD444" s="4">
        <f t="shared" si="347"/>
        <v>0.36979727595523937</v>
      </c>
      <c r="AE444" s="4">
        <f t="shared" si="347"/>
        <v>0.28393948637231203</v>
      </c>
      <c r="AF444" s="4">
        <f t="shared" si="347"/>
        <v>0.21097259161117732</v>
      </c>
      <c r="AG444" s="4">
        <f t="shared" si="347"/>
        <v>0.15253917653798199</v>
      </c>
      <c r="AH444" s="4">
        <f t="shared" si="347"/>
        <v>0.10795188737709993</v>
      </c>
      <c r="AI444" s="4">
        <f t="shared" si="347"/>
        <v>7.5176653938091809E-2</v>
      </c>
      <c r="AJ444" s="4">
        <f t="shared" si="347"/>
        <v>5.1742836177502194E-2</v>
      </c>
      <c r="AK444" s="4">
        <f t="shared" si="347"/>
        <v>3.5319190625345942E-2</v>
      </c>
      <c r="AL444" s="4">
        <f t="shared" si="347"/>
        <v>2.3969442072658165E-2</v>
      </c>
      <c r="AM444" s="4">
        <f t="shared" si="347"/>
        <v>1.6202243558389728E-2</v>
      </c>
      <c r="AN444" s="4">
        <f t="shared" si="347"/>
        <v>1.0922240564108399E-2</v>
      </c>
      <c r="AO444" s="4">
        <f t="shared" si="347"/>
        <v>7.3493212906090566E-3</v>
      </c>
      <c r="AP444" s="4">
        <f t="shared" si="347"/>
        <v>4.9390262185057265E-3</v>
      </c>
      <c r="AQ444" s="4">
        <f t="shared" si="347"/>
        <v>3.3164275492956197E-3</v>
      </c>
      <c r="AR444" s="4">
        <f t="shared" si="347"/>
        <v>2.2256362146679809E-3</v>
      </c>
    </row>
    <row r="445" spans="1:44" x14ac:dyDescent="0.3">
      <c r="A445" s="24" t="s">
        <v>52</v>
      </c>
      <c r="B445" s="43">
        <f>'Parameter Input'!$L$116</f>
        <v>1400000.0000000002</v>
      </c>
      <c r="C445" s="44">
        <f>'Parameter Input'!$M$116</f>
        <v>560000</v>
      </c>
      <c r="D445" s="1" t="s">
        <v>38</v>
      </c>
      <c r="L445" s="54">
        <f>'Parameter Input'!$O$116</f>
        <v>12</v>
      </c>
      <c r="M445" s="37">
        <v>0</v>
      </c>
      <c r="N445" s="37">
        <v>1</v>
      </c>
      <c r="O445" s="37">
        <f>'Parameter Input'!$P$116</f>
        <v>0.9</v>
      </c>
      <c r="P445" s="55">
        <f>'Parameter Input'!$Q$116</f>
        <v>0.4</v>
      </c>
      <c r="Q445" s="4">
        <f t="shared" si="347"/>
        <v>0.9867978615748374</v>
      </c>
      <c r="R445" s="4">
        <f t="shared" si="347"/>
        <v>0.98114509762858249</v>
      </c>
      <c r="S445" s="4">
        <f t="shared" si="347"/>
        <v>0.97311898315872036</v>
      </c>
      <c r="T445" s="4">
        <f t="shared" si="347"/>
        <v>0.96177484161592774</v>
      </c>
      <c r="U445" s="4">
        <f t="shared" si="347"/>
        <v>0.94584787155511363</v>
      </c>
      <c r="V445" s="4">
        <f t="shared" si="347"/>
        <v>0.92370360150141495</v>
      </c>
      <c r="W445" s="4">
        <f t="shared" si="347"/>
        <v>0.89334463567658451</v>
      </c>
      <c r="X445" s="4">
        <f t="shared" si="347"/>
        <v>0.85254543874327005</v>
      </c>
      <c r="Y445" s="4">
        <f t="shared" si="347"/>
        <v>0.79921300652623883</v>
      </c>
      <c r="Z445" s="4">
        <f t="shared" si="347"/>
        <v>0.73204982249993378</v>
      </c>
      <c r="AA445" s="4">
        <f t="shared" si="347"/>
        <v>0.65145592958786691</v>
      </c>
      <c r="AB445" s="4">
        <f t="shared" si="347"/>
        <v>0.56032247880849573</v>
      </c>
      <c r="AC445" s="4">
        <f t="shared" si="347"/>
        <v>0.46411326873185343</v>
      </c>
      <c r="AD445" s="4">
        <f t="shared" si="347"/>
        <v>0.36979727595523937</v>
      </c>
      <c r="AE445" s="4">
        <f t="shared" si="347"/>
        <v>0.28393948637231203</v>
      </c>
      <c r="AF445" s="4">
        <f t="shared" si="347"/>
        <v>0.21097259161117732</v>
      </c>
      <c r="AG445" s="4">
        <f t="shared" si="347"/>
        <v>0.15253917653798199</v>
      </c>
      <c r="AH445" s="4">
        <f t="shared" si="347"/>
        <v>0.10795188737709993</v>
      </c>
      <c r="AI445" s="4">
        <f t="shared" si="347"/>
        <v>7.5176653938091809E-2</v>
      </c>
      <c r="AJ445" s="4">
        <f t="shared" si="347"/>
        <v>5.1742836177502194E-2</v>
      </c>
      <c r="AK445" s="4">
        <f t="shared" si="347"/>
        <v>3.5319190625345942E-2</v>
      </c>
      <c r="AL445" s="4">
        <f t="shared" si="347"/>
        <v>2.3969442072658165E-2</v>
      </c>
      <c r="AM445" s="4">
        <f t="shared" si="347"/>
        <v>1.6202243558389728E-2</v>
      </c>
      <c r="AN445" s="4">
        <f t="shared" si="347"/>
        <v>1.0922240564108399E-2</v>
      </c>
      <c r="AO445" s="4">
        <f t="shared" si="347"/>
        <v>7.3493212906090566E-3</v>
      </c>
      <c r="AP445" s="4">
        <f t="shared" si="347"/>
        <v>4.9390262185057265E-3</v>
      </c>
      <c r="AQ445" s="4">
        <f t="shared" si="347"/>
        <v>3.3164275492956197E-3</v>
      </c>
      <c r="AR445" s="4">
        <f t="shared" si="347"/>
        <v>2.2256362146679809E-3</v>
      </c>
    </row>
    <row r="446" spans="1:44" x14ac:dyDescent="0.3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47"/>
        <v>0.9867978615748374</v>
      </c>
      <c r="R446" s="4">
        <f t="shared" si="347"/>
        <v>0.98114509762858249</v>
      </c>
      <c r="S446" s="4">
        <f t="shared" si="347"/>
        <v>0.97311898315872036</v>
      </c>
      <c r="T446" s="4">
        <f t="shared" si="347"/>
        <v>0.96177484161592774</v>
      </c>
      <c r="U446" s="4">
        <f t="shared" si="347"/>
        <v>0.94584787155511363</v>
      </c>
      <c r="V446" s="4">
        <f t="shared" si="347"/>
        <v>0.92370360150141495</v>
      </c>
      <c r="W446" s="4">
        <f t="shared" si="347"/>
        <v>0.89334463567658451</v>
      </c>
      <c r="X446" s="4">
        <f t="shared" si="347"/>
        <v>0.85254543874327005</v>
      </c>
      <c r="Y446" s="4">
        <f t="shared" si="347"/>
        <v>0.79921300652623883</v>
      </c>
      <c r="Z446" s="4">
        <f t="shared" si="347"/>
        <v>0.73204982249993378</v>
      </c>
      <c r="AA446" s="4">
        <f t="shared" si="347"/>
        <v>0.65145592958786691</v>
      </c>
      <c r="AB446" s="4">
        <f t="shared" si="347"/>
        <v>0.56032247880849573</v>
      </c>
      <c r="AC446" s="4">
        <f t="shared" si="347"/>
        <v>0.46411326873185343</v>
      </c>
      <c r="AD446" s="4">
        <f t="shared" si="347"/>
        <v>0.36979727595523937</v>
      </c>
      <c r="AE446" s="4">
        <f t="shared" si="347"/>
        <v>0.28393948637231203</v>
      </c>
      <c r="AF446" s="4">
        <f t="shared" si="347"/>
        <v>0.21097259161117732</v>
      </c>
      <c r="AG446" s="4">
        <f t="shared" si="347"/>
        <v>0.15253917653798199</v>
      </c>
      <c r="AH446" s="4">
        <f t="shared" si="347"/>
        <v>0.10795188737709993</v>
      </c>
      <c r="AI446" s="4">
        <f t="shared" si="347"/>
        <v>7.5176653938091809E-2</v>
      </c>
      <c r="AJ446" s="4">
        <f t="shared" si="347"/>
        <v>5.1742836177502194E-2</v>
      </c>
      <c r="AK446" s="4">
        <f t="shared" si="347"/>
        <v>3.5319190625345942E-2</v>
      </c>
      <c r="AL446" s="4">
        <f t="shared" si="347"/>
        <v>2.3969442072658165E-2</v>
      </c>
      <c r="AM446" s="4">
        <f t="shared" si="347"/>
        <v>1.6202243558389728E-2</v>
      </c>
      <c r="AN446" s="4">
        <f t="shared" si="347"/>
        <v>1.0922240564108399E-2</v>
      </c>
      <c r="AO446" s="4">
        <f t="shared" si="347"/>
        <v>7.3493212906090566E-3</v>
      </c>
      <c r="AP446" s="4">
        <f t="shared" si="347"/>
        <v>4.9390262185057265E-3</v>
      </c>
      <c r="AQ446" s="4">
        <f t="shared" si="347"/>
        <v>3.3164275492956197E-3</v>
      </c>
      <c r="AR446" s="4">
        <f t="shared" si="347"/>
        <v>2.2256362146679809E-3</v>
      </c>
    </row>
    <row r="447" spans="1:44" x14ac:dyDescent="0.3">
      <c r="A447" s="24" t="s">
        <v>59</v>
      </c>
      <c r="B447" s="47">
        <f>'Parameter Input'!$L$117</f>
        <v>39.507490909090912</v>
      </c>
      <c r="C447" s="48">
        <f>'Parameter Input'!$M$117</f>
        <v>33.429415384615389</v>
      </c>
      <c r="D447" s="1" t="s">
        <v>60</v>
      </c>
      <c r="L447" s="54">
        <f>'Parameter Input'!$O$117</f>
        <v>12</v>
      </c>
      <c r="M447" s="37">
        <v>0</v>
      </c>
      <c r="N447" s="37">
        <v>1</v>
      </c>
      <c r="O447" s="37">
        <f>'Parameter Input'!$P$117</f>
        <v>0.9</v>
      </c>
      <c r="P447" s="55">
        <f>'Parameter Input'!$Q$117</f>
        <v>0.4</v>
      </c>
      <c r="Q447" s="4">
        <f t="shared" si="347"/>
        <v>0.9867978615748374</v>
      </c>
      <c r="R447" s="4">
        <f t="shared" si="347"/>
        <v>0.98114509762858249</v>
      </c>
      <c r="S447" s="4">
        <f t="shared" si="347"/>
        <v>0.97311898315872036</v>
      </c>
      <c r="T447" s="4">
        <f t="shared" si="347"/>
        <v>0.96177484161592774</v>
      </c>
      <c r="U447" s="4">
        <f t="shared" si="347"/>
        <v>0.94584787155511363</v>
      </c>
      <c r="V447" s="4">
        <f t="shared" si="347"/>
        <v>0.92370360150141495</v>
      </c>
      <c r="W447" s="4">
        <f t="shared" si="347"/>
        <v>0.89334463567658451</v>
      </c>
      <c r="X447" s="4">
        <f t="shared" si="347"/>
        <v>0.85254543874327005</v>
      </c>
      <c r="Y447" s="4">
        <f t="shared" si="347"/>
        <v>0.79921300652623883</v>
      </c>
      <c r="Z447" s="4">
        <f t="shared" si="347"/>
        <v>0.73204982249993378</v>
      </c>
      <c r="AA447" s="4">
        <f t="shared" si="347"/>
        <v>0.65145592958786691</v>
      </c>
      <c r="AB447" s="4">
        <f t="shared" si="347"/>
        <v>0.56032247880849573</v>
      </c>
      <c r="AC447" s="4">
        <f t="shared" si="347"/>
        <v>0.46411326873185343</v>
      </c>
      <c r="AD447" s="4">
        <f t="shared" si="347"/>
        <v>0.36979727595523937</v>
      </c>
      <c r="AE447" s="4">
        <f t="shared" si="347"/>
        <v>0.28393948637231203</v>
      </c>
      <c r="AF447" s="4">
        <f t="shared" si="347"/>
        <v>0.21097259161117732</v>
      </c>
      <c r="AG447" s="4">
        <f t="shared" si="347"/>
        <v>0.15253917653798199</v>
      </c>
      <c r="AH447" s="4">
        <f t="shared" si="347"/>
        <v>0.10795188737709993</v>
      </c>
      <c r="AI447" s="4">
        <f t="shared" si="347"/>
        <v>7.5176653938091809E-2</v>
      </c>
      <c r="AJ447" s="4">
        <f t="shared" si="347"/>
        <v>5.1742836177502194E-2</v>
      </c>
      <c r="AK447" s="4">
        <f t="shared" si="347"/>
        <v>3.5319190625345942E-2</v>
      </c>
      <c r="AL447" s="4">
        <f t="shared" si="347"/>
        <v>2.3969442072658165E-2</v>
      </c>
      <c r="AM447" s="4">
        <f t="shared" si="347"/>
        <v>1.6202243558389728E-2</v>
      </c>
      <c r="AN447" s="4">
        <f t="shared" si="347"/>
        <v>1.0922240564108399E-2</v>
      </c>
      <c r="AO447" s="4">
        <f t="shared" si="347"/>
        <v>7.3493212906090566E-3</v>
      </c>
      <c r="AP447" s="4">
        <f t="shared" si="347"/>
        <v>4.9390262185057265E-3</v>
      </c>
      <c r="AQ447" s="4">
        <f t="shared" si="347"/>
        <v>3.3164275492956197E-3</v>
      </c>
      <c r="AR447" s="4">
        <f t="shared" si="347"/>
        <v>2.2256362146679809E-3</v>
      </c>
    </row>
    <row r="448" spans="1:44" x14ac:dyDescent="0.3">
      <c r="A448" s="24" t="s">
        <v>67</v>
      </c>
      <c r="B448" s="45">
        <f>'Parameter Input'!$L$118</f>
        <v>0.21633448448114301</v>
      </c>
      <c r="C448" s="46">
        <f>'Parameter Input'!$M$118</f>
        <v>0.101814693285632</v>
      </c>
      <c r="D448" s="1" t="s">
        <v>68</v>
      </c>
      <c r="L448" s="54">
        <f>'Parameter Input'!$O$118</f>
        <v>12</v>
      </c>
      <c r="M448" s="37">
        <v>0</v>
      </c>
      <c r="N448" s="37">
        <v>1</v>
      </c>
      <c r="O448" s="37">
        <f>'Parameter Input'!$P$118</f>
        <v>0.9</v>
      </c>
      <c r="P448" s="55">
        <f>'Parameter Input'!$Q$118</f>
        <v>0.4</v>
      </c>
      <c r="Q448" s="4">
        <f t="shared" si="347"/>
        <v>0.9867978615748374</v>
      </c>
      <c r="R448" s="4">
        <f t="shared" si="347"/>
        <v>0.98114509762858249</v>
      </c>
      <c r="S448" s="4">
        <f t="shared" si="347"/>
        <v>0.97311898315872036</v>
      </c>
      <c r="T448" s="4">
        <f t="shared" ref="T448:AI455" si="348">$N448+($M448-$N448)*((1/(1+EXP(-$P448*(T$9-$L448)))^$O448))</f>
        <v>0.96177484161592774</v>
      </c>
      <c r="U448" s="4">
        <f t="shared" si="348"/>
        <v>0.94584787155511363</v>
      </c>
      <c r="V448" s="4">
        <f t="shared" si="348"/>
        <v>0.92370360150141495</v>
      </c>
      <c r="W448" s="4">
        <f t="shared" si="348"/>
        <v>0.89334463567658451</v>
      </c>
      <c r="X448" s="4">
        <f t="shared" si="348"/>
        <v>0.85254543874327005</v>
      </c>
      <c r="Y448" s="4">
        <f t="shared" si="348"/>
        <v>0.79921300652623883</v>
      </c>
      <c r="Z448" s="4">
        <f t="shared" si="348"/>
        <v>0.73204982249993378</v>
      </c>
      <c r="AA448" s="4">
        <f t="shared" si="348"/>
        <v>0.65145592958786691</v>
      </c>
      <c r="AB448" s="4">
        <f t="shared" si="348"/>
        <v>0.56032247880849573</v>
      </c>
      <c r="AC448" s="4">
        <f t="shared" si="348"/>
        <v>0.46411326873185343</v>
      </c>
      <c r="AD448" s="4">
        <f t="shared" si="348"/>
        <v>0.36979727595523937</v>
      </c>
      <c r="AE448" s="4">
        <f t="shared" si="348"/>
        <v>0.28393948637231203</v>
      </c>
      <c r="AF448" s="4">
        <f t="shared" si="348"/>
        <v>0.21097259161117732</v>
      </c>
      <c r="AG448" s="4">
        <f t="shared" si="348"/>
        <v>0.15253917653798199</v>
      </c>
      <c r="AH448" s="4">
        <f t="shared" si="348"/>
        <v>0.10795188737709993</v>
      </c>
      <c r="AI448" s="4">
        <f t="shared" si="348"/>
        <v>7.5176653938091809E-2</v>
      </c>
      <c r="AJ448" s="4">
        <f t="shared" ref="AJ448:AR455" si="349">$N448+($M448-$N448)*((1/(1+EXP(-$P448*(AJ$9-$L448)))^$O448))</f>
        <v>5.1742836177502194E-2</v>
      </c>
      <c r="AK448" s="4">
        <f t="shared" si="349"/>
        <v>3.5319190625345942E-2</v>
      </c>
      <c r="AL448" s="4">
        <f t="shared" si="349"/>
        <v>2.3969442072658165E-2</v>
      </c>
      <c r="AM448" s="4">
        <f t="shared" si="349"/>
        <v>1.6202243558389728E-2</v>
      </c>
      <c r="AN448" s="4">
        <f t="shared" si="349"/>
        <v>1.0922240564108399E-2</v>
      </c>
      <c r="AO448" s="4">
        <f t="shared" si="349"/>
        <v>7.3493212906090566E-3</v>
      </c>
      <c r="AP448" s="4">
        <f t="shared" si="349"/>
        <v>4.9390262185057265E-3</v>
      </c>
      <c r="AQ448" s="4">
        <f t="shared" si="349"/>
        <v>3.3164275492956197E-3</v>
      </c>
      <c r="AR448" s="4">
        <f t="shared" si="349"/>
        <v>2.2256362146679809E-3</v>
      </c>
    </row>
    <row r="449" spans="1:44" x14ac:dyDescent="0.3">
      <c r="A449" s="24" t="s">
        <v>206</v>
      </c>
      <c r="B449" s="115">
        <f>'Parameter Input'!$L$121</f>
        <v>0.14248603278688524</v>
      </c>
      <c r="C449" s="116">
        <f>'Parameter Input'!$M$121</f>
        <v>0</v>
      </c>
      <c r="D449" s="1" t="s">
        <v>76</v>
      </c>
      <c r="L449" s="54">
        <f>'Parameter Input'!$O$121</f>
        <v>17</v>
      </c>
      <c r="M449" s="37">
        <v>0</v>
      </c>
      <c r="N449" s="37">
        <v>1</v>
      </c>
      <c r="O449" s="37">
        <f>'Parameter Input'!$P$121</f>
        <v>0.9</v>
      </c>
      <c r="P449" s="55">
        <f>'Parameter Input'!$Q$121</f>
        <v>0.4</v>
      </c>
      <c r="Q449" s="4">
        <f t="shared" ref="Q449:AR449" si="350">$N449+($M449-$N449)*((1/(1+EXP(-$P449*(Q$9-$L449)))^$O449))</f>
        <v>0.99780374543478534</v>
      </c>
      <c r="R449" s="4">
        <f t="shared" si="350"/>
        <v>0.99685359315256394</v>
      </c>
      <c r="S449" s="4">
        <f t="shared" si="350"/>
        <v>0.99549347132349975</v>
      </c>
      <c r="T449" s="4">
        <f t="shared" si="350"/>
        <v>0.99354772139898062</v>
      </c>
      <c r="U449" s="4">
        <f t="shared" si="350"/>
        <v>0.99076681540580536</v>
      </c>
      <c r="V449" s="4">
        <f t="shared" si="350"/>
        <v>0.9867978615748374</v>
      </c>
      <c r="W449" s="4">
        <f t="shared" si="350"/>
        <v>0.98114509762858249</v>
      </c>
      <c r="X449" s="4">
        <f t="shared" si="350"/>
        <v>0.97311898315872036</v>
      </c>
      <c r="Y449" s="4">
        <f t="shared" si="350"/>
        <v>0.96177484161592774</v>
      </c>
      <c r="Z449" s="4">
        <f t="shared" si="350"/>
        <v>0.94584787155511363</v>
      </c>
      <c r="AA449" s="4">
        <f t="shared" si="350"/>
        <v>0.92370360150141495</v>
      </c>
      <c r="AB449" s="4">
        <f t="shared" si="350"/>
        <v>0.89334463567658451</v>
      </c>
      <c r="AC449" s="4">
        <f t="shared" si="350"/>
        <v>0.85254543874327005</v>
      </c>
      <c r="AD449" s="4">
        <f t="shared" si="350"/>
        <v>0.79921300652623883</v>
      </c>
      <c r="AE449" s="4">
        <f t="shared" si="350"/>
        <v>0.73204982249993378</v>
      </c>
      <c r="AF449" s="4">
        <f t="shared" si="350"/>
        <v>0.65145592958786691</v>
      </c>
      <c r="AG449" s="4">
        <f t="shared" si="350"/>
        <v>0.56032247880849573</v>
      </c>
      <c r="AH449" s="4">
        <f t="shared" si="350"/>
        <v>0.46411326873185343</v>
      </c>
      <c r="AI449" s="4">
        <f t="shared" si="350"/>
        <v>0.36979727595523937</v>
      </c>
      <c r="AJ449" s="4">
        <f t="shared" si="350"/>
        <v>0.28393948637231203</v>
      </c>
      <c r="AK449" s="4">
        <f t="shared" si="350"/>
        <v>0.21097259161117732</v>
      </c>
      <c r="AL449" s="4">
        <f t="shared" si="350"/>
        <v>0.15253917653798199</v>
      </c>
      <c r="AM449" s="4">
        <f t="shared" si="350"/>
        <v>0.10795188737709993</v>
      </c>
      <c r="AN449" s="4">
        <f t="shared" si="350"/>
        <v>7.5176653938091809E-2</v>
      </c>
      <c r="AO449" s="4">
        <f t="shared" si="350"/>
        <v>5.1742836177502194E-2</v>
      </c>
      <c r="AP449" s="4">
        <f t="shared" si="350"/>
        <v>3.5319190625345942E-2</v>
      </c>
      <c r="AQ449" s="4">
        <f t="shared" si="350"/>
        <v>2.3969442072658165E-2</v>
      </c>
      <c r="AR449" s="4">
        <f t="shared" si="350"/>
        <v>1.6202243558389728E-2</v>
      </c>
    </row>
    <row r="450" spans="1:44" x14ac:dyDescent="0.3">
      <c r="A450" s="24" t="s">
        <v>41</v>
      </c>
      <c r="B450" s="43">
        <f>'Parameter Input'!$L$115</f>
        <v>20</v>
      </c>
      <c r="C450" s="44">
        <f>'Parameter Input'!$M$115</f>
        <v>20</v>
      </c>
      <c r="D450" s="1" t="s">
        <v>42</v>
      </c>
      <c r="L450" s="54">
        <f>'Parameter Input'!$O$115</f>
        <v>12</v>
      </c>
      <c r="M450" s="37">
        <v>0</v>
      </c>
      <c r="N450" s="37">
        <v>1</v>
      </c>
      <c r="O450" s="37">
        <f>'Parameter Input'!$P$115</f>
        <v>0.9</v>
      </c>
      <c r="P450" s="55">
        <f>'Parameter Input'!$Q$115</f>
        <v>0.4</v>
      </c>
      <c r="Q450" s="4">
        <f t="shared" ref="Q450:AF455" si="351">$N450+($M450-$N450)*((1/(1+EXP(-$P450*(Q$9-$L450)))^$O450))</f>
        <v>0.9867978615748374</v>
      </c>
      <c r="R450" s="4">
        <f t="shared" si="351"/>
        <v>0.98114509762858249</v>
      </c>
      <c r="S450" s="4">
        <f t="shared" si="351"/>
        <v>0.97311898315872036</v>
      </c>
      <c r="T450" s="4">
        <f t="shared" si="351"/>
        <v>0.96177484161592774</v>
      </c>
      <c r="U450" s="4">
        <f t="shared" si="351"/>
        <v>0.94584787155511363</v>
      </c>
      <c r="V450" s="4">
        <f t="shared" si="351"/>
        <v>0.92370360150141495</v>
      </c>
      <c r="W450" s="4">
        <f t="shared" si="351"/>
        <v>0.89334463567658451</v>
      </c>
      <c r="X450" s="4">
        <f t="shared" si="351"/>
        <v>0.85254543874327005</v>
      </c>
      <c r="Y450" s="4">
        <f t="shared" si="351"/>
        <v>0.79921300652623883</v>
      </c>
      <c r="Z450" s="4">
        <f t="shared" si="351"/>
        <v>0.73204982249993378</v>
      </c>
      <c r="AA450" s="4">
        <f t="shared" si="351"/>
        <v>0.65145592958786691</v>
      </c>
      <c r="AB450" s="4">
        <f t="shared" si="351"/>
        <v>0.56032247880849573</v>
      </c>
      <c r="AC450" s="4">
        <f t="shared" si="351"/>
        <v>0.46411326873185343</v>
      </c>
      <c r="AD450" s="4">
        <f t="shared" si="351"/>
        <v>0.36979727595523937</v>
      </c>
      <c r="AE450" s="4">
        <f t="shared" si="351"/>
        <v>0.28393948637231203</v>
      </c>
      <c r="AF450" s="4">
        <f t="shared" si="351"/>
        <v>0.21097259161117732</v>
      </c>
      <c r="AG450" s="4">
        <f t="shared" si="348"/>
        <v>0.15253917653798199</v>
      </c>
      <c r="AH450" s="4">
        <f t="shared" si="348"/>
        <v>0.10795188737709993</v>
      </c>
      <c r="AI450" s="4">
        <f t="shared" si="348"/>
        <v>7.5176653938091809E-2</v>
      </c>
      <c r="AJ450" s="4">
        <f t="shared" si="349"/>
        <v>5.1742836177502194E-2</v>
      </c>
      <c r="AK450" s="4">
        <f t="shared" si="349"/>
        <v>3.5319190625345942E-2</v>
      </c>
      <c r="AL450" s="4">
        <f t="shared" si="349"/>
        <v>2.3969442072658165E-2</v>
      </c>
      <c r="AM450" s="4">
        <f t="shared" si="349"/>
        <v>1.6202243558389728E-2</v>
      </c>
      <c r="AN450" s="4">
        <f t="shared" si="349"/>
        <v>1.0922240564108399E-2</v>
      </c>
      <c r="AO450" s="4">
        <f t="shared" si="349"/>
        <v>7.3493212906090566E-3</v>
      </c>
      <c r="AP450" s="4">
        <f t="shared" si="349"/>
        <v>4.9390262185057265E-3</v>
      </c>
      <c r="AQ450" s="4">
        <f t="shared" si="349"/>
        <v>3.3164275492956197E-3</v>
      </c>
      <c r="AR450" s="4">
        <f t="shared" si="349"/>
        <v>2.2256362146679809E-3</v>
      </c>
    </row>
    <row r="451" spans="1:44" x14ac:dyDescent="0.3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351"/>
        <v>0.9867978615748374</v>
      </c>
      <c r="R451" s="4">
        <f t="shared" si="351"/>
        <v>0.98114509762858249</v>
      </c>
      <c r="S451" s="4">
        <f t="shared" si="351"/>
        <v>0.97311898315872036</v>
      </c>
      <c r="T451" s="4">
        <f t="shared" si="351"/>
        <v>0.96177484161592774</v>
      </c>
      <c r="U451" s="4">
        <f t="shared" si="351"/>
        <v>0.94584787155511363</v>
      </c>
      <c r="V451" s="4">
        <f t="shared" si="351"/>
        <v>0.92370360150141495</v>
      </c>
      <c r="W451" s="4">
        <f t="shared" si="351"/>
        <v>0.89334463567658451</v>
      </c>
      <c r="X451" s="4">
        <f t="shared" si="351"/>
        <v>0.85254543874327005</v>
      </c>
      <c r="Y451" s="4">
        <f t="shared" si="351"/>
        <v>0.79921300652623883</v>
      </c>
      <c r="Z451" s="4">
        <f t="shared" si="351"/>
        <v>0.73204982249993378</v>
      </c>
      <c r="AA451" s="4">
        <f t="shared" si="351"/>
        <v>0.65145592958786691</v>
      </c>
      <c r="AB451" s="4">
        <f t="shared" si="351"/>
        <v>0.56032247880849573</v>
      </c>
      <c r="AC451" s="4">
        <f t="shared" si="351"/>
        <v>0.46411326873185343</v>
      </c>
      <c r="AD451" s="4">
        <f t="shared" si="351"/>
        <v>0.36979727595523937</v>
      </c>
      <c r="AE451" s="4">
        <f t="shared" si="351"/>
        <v>0.28393948637231203</v>
      </c>
      <c r="AF451" s="4">
        <f t="shared" si="351"/>
        <v>0.21097259161117732</v>
      </c>
      <c r="AG451" s="4">
        <f t="shared" si="348"/>
        <v>0.15253917653798199</v>
      </c>
      <c r="AH451" s="4">
        <f t="shared" si="348"/>
        <v>0.10795188737709993</v>
      </c>
      <c r="AI451" s="4">
        <f t="shared" si="348"/>
        <v>7.5176653938091809E-2</v>
      </c>
      <c r="AJ451" s="4">
        <f t="shared" si="349"/>
        <v>5.1742836177502194E-2</v>
      </c>
      <c r="AK451" s="4">
        <f t="shared" si="349"/>
        <v>3.5319190625345942E-2</v>
      </c>
      <c r="AL451" s="4">
        <f t="shared" si="349"/>
        <v>2.3969442072658165E-2</v>
      </c>
      <c r="AM451" s="4">
        <f t="shared" si="349"/>
        <v>1.6202243558389728E-2</v>
      </c>
      <c r="AN451" s="4">
        <f t="shared" si="349"/>
        <v>1.0922240564108399E-2</v>
      </c>
      <c r="AO451" s="4">
        <f t="shared" si="349"/>
        <v>7.3493212906090566E-3</v>
      </c>
      <c r="AP451" s="4">
        <f t="shared" si="349"/>
        <v>4.9390262185057265E-3</v>
      </c>
      <c r="AQ451" s="4">
        <f t="shared" si="349"/>
        <v>3.3164275492956197E-3</v>
      </c>
      <c r="AR451" s="4">
        <f t="shared" si="349"/>
        <v>2.2256362146679809E-3</v>
      </c>
    </row>
    <row r="452" spans="1:44" x14ac:dyDescent="0.3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351"/>
        <v>0.9867978615748374</v>
      </c>
      <c r="R452" s="4">
        <f t="shared" si="351"/>
        <v>0.98114509762858249</v>
      </c>
      <c r="S452" s="4">
        <f t="shared" si="351"/>
        <v>0.97311898315872036</v>
      </c>
      <c r="T452" s="4">
        <f t="shared" si="351"/>
        <v>0.96177484161592774</v>
      </c>
      <c r="U452" s="4">
        <f t="shared" si="351"/>
        <v>0.94584787155511363</v>
      </c>
      <c r="V452" s="4">
        <f t="shared" si="351"/>
        <v>0.92370360150141495</v>
      </c>
      <c r="W452" s="4">
        <f t="shared" si="351"/>
        <v>0.89334463567658451</v>
      </c>
      <c r="X452" s="4">
        <f t="shared" si="351"/>
        <v>0.85254543874327005</v>
      </c>
      <c r="Y452" s="4">
        <f t="shared" si="351"/>
        <v>0.79921300652623883</v>
      </c>
      <c r="Z452" s="4">
        <f t="shared" si="351"/>
        <v>0.73204982249993378</v>
      </c>
      <c r="AA452" s="4">
        <f t="shared" si="351"/>
        <v>0.65145592958786691</v>
      </c>
      <c r="AB452" s="4">
        <f t="shared" si="351"/>
        <v>0.56032247880849573</v>
      </c>
      <c r="AC452" s="4">
        <f t="shared" si="351"/>
        <v>0.46411326873185343</v>
      </c>
      <c r="AD452" s="4">
        <f t="shared" si="351"/>
        <v>0.36979727595523937</v>
      </c>
      <c r="AE452" s="4">
        <f t="shared" si="351"/>
        <v>0.28393948637231203</v>
      </c>
      <c r="AF452" s="4">
        <f t="shared" si="351"/>
        <v>0.21097259161117732</v>
      </c>
      <c r="AG452" s="4">
        <f t="shared" si="348"/>
        <v>0.15253917653798199</v>
      </c>
      <c r="AH452" s="4">
        <f t="shared" si="348"/>
        <v>0.10795188737709993</v>
      </c>
      <c r="AI452" s="4">
        <f t="shared" si="348"/>
        <v>7.5176653938091809E-2</v>
      </c>
      <c r="AJ452" s="4">
        <f t="shared" si="349"/>
        <v>5.1742836177502194E-2</v>
      </c>
      <c r="AK452" s="4">
        <f t="shared" si="349"/>
        <v>3.5319190625345942E-2</v>
      </c>
      <c r="AL452" s="4">
        <f t="shared" si="349"/>
        <v>2.3969442072658165E-2</v>
      </c>
      <c r="AM452" s="4">
        <f t="shared" si="349"/>
        <v>1.6202243558389728E-2</v>
      </c>
      <c r="AN452" s="4">
        <f t="shared" si="349"/>
        <v>1.0922240564108399E-2</v>
      </c>
      <c r="AO452" s="4">
        <f t="shared" si="349"/>
        <v>7.3493212906090566E-3</v>
      </c>
      <c r="AP452" s="4">
        <f t="shared" si="349"/>
        <v>4.9390262185057265E-3</v>
      </c>
      <c r="AQ452" s="4">
        <f t="shared" si="349"/>
        <v>3.3164275492956197E-3</v>
      </c>
      <c r="AR452" s="4">
        <f t="shared" si="349"/>
        <v>2.2256362146679809E-3</v>
      </c>
    </row>
    <row r="453" spans="1:44" x14ac:dyDescent="0.3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351"/>
        <v>0.9867978615748374</v>
      </c>
      <c r="R453" s="4">
        <f t="shared" si="351"/>
        <v>0.98114509762858249</v>
      </c>
      <c r="S453" s="4">
        <f t="shared" si="351"/>
        <v>0.97311898315872036</v>
      </c>
      <c r="T453" s="4">
        <f t="shared" si="351"/>
        <v>0.96177484161592774</v>
      </c>
      <c r="U453" s="4">
        <f t="shared" si="351"/>
        <v>0.94584787155511363</v>
      </c>
      <c r="V453" s="4">
        <f t="shared" si="351"/>
        <v>0.92370360150141495</v>
      </c>
      <c r="W453" s="4">
        <f t="shared" si="351"/>
        <v>0.89334463567658451</v>
      </c>
      <c r="X453" s="4">
        <f t="shared" si="351"/>
        <v>0.85254543874327005</v>
      </c>
      <c r="Y453" s="4">
        <f t="shared" si="351"/>
        <v>0.79921300652623883</v>
      </c>
      <c r="Z453" s="4">
        <f t="shared" si="351"/>
        <v>0.73204982249993378</v>
      </c>
      <c r="AA453" s="4">
        <f t="shared" si="351"/>
        <v>0.65145592958786691</v>
      </c>
      <c r="AB453" s="4">
        <f t="shared" si="351"/>
        <v>0.56032247880849573</v>
      </c>
      <c r="AC453" s="4">
        <f t="shared" si="351"/>
        <v>0.46411326873185343</v>
      </c>
      <c r="AD453" s="4">
        <f t="shared" si="351"/>
        <v>0.36979727595523937</v>
      </c>
      <c r="AE453" s="4">
        <f t="shared" si="351"/>
        <v>0.28393948637231203</v>
      </c>
      <c r="AF453" s="4">
        <f t="shared" si="351"/>
        <v>0.21097259161117732</v>
      </c>
      <c r="AG453" s="4">
        <f t="shared" si="348"/>
        <v>0.15253917653798199</v>
      </c>
      <c r="AH453" s="4">
        <f t="shared" si="348"/>
        <v>0.10795188737709993</v>
      </c>
      <c r="AI453" s="4">
        <f t="shared" si="348"/>
        <v>7.5176653938091809E-2</v>
      </c>
      <c r="AJ453" s="4">
        <f t="shared" si="349"/>
        <v>5.1742836177502194E-2</v>
      </c>
      <c r="AK453" s="4">
        <f t="shared" si="349"/>
        <v>3.5319190625345942E-2</v>
      </c>
      <c r="AL453" s="4">
        <f t="shared" si="349"/>
        <v>2.3969442072658165E-2</v>
      </c>
      <c r="AM453" s="4">
        <f t="shared" si="349"/>
        <v>1.6202243558389728E-2</v>
      </c>
      <c r="AN453" s="4">
        <f t="shared" si="349"/>
        <v>1.0922240564108399E-2</v>
      </c>
      <c r="AO453" s="4">
        <f t="shared" si="349"/>
        <v>7.3493212906090566E-3</v>
      </c>
      <c r="AP453" s="4">
        <f t="shared" si="349"/>
        <v>4.9390262185057265E-3</v>
      </c>
      <c r="AQ453" s="4">
        <f t="shared" si="349"/>
        <v>3.3164275492956197E-3</v>
      </c>
      <c r="AR453" s="4">
        <f t="shared" si="349"/>
        <v>2.2256362146679809E-3</v>
      </c>
    </row>
    <row r="454" spans="1:44" x14ac:dyDescent="0.3">
      <c r="A454" s="24" t="s">
        <v>73</v>
      </c>
      <c r="B454" s="72">
        <f>'Parameter Input'!$L$119</f>
        <v>1.7857142857142856E-2</v>
      </c>
      <c r="C454" s="73">
        <f>'Parameter Input'!$M$119</f>
        <v>1.7857142857142856E-2</v>
      </c>
      <c r="D454" s="1" t="s">
        <v>57</v>
      </c>
      <c r="L454" s="54">
        <f>'Parameter Input'!$O$119</f>
        <v>12</v>
      </c>
      <c r="M454" s="37">
        <v>0</v>
      </c>
      <c r="N454" s="37">
        <v>1</v>
      </c>
      <c r="O454" s="37">
        <f>'Parameter Input'!$P$119</f>
        <v>0.9</v>
      </c>
      <c r="P454" s="55">
        <f>'Parameter Input'!$Q$119</f>
        <v>0.4</v>
      </c>
      <c r="Q454" s="4">
        <f t="shared" si="351"/>
        <v>0.9867978615748374</v>
      </c>
      <c r="R454" s="4">
        <f t="shared" si="351"/>
        <v>0.98114509762858249</v>
      </c>
      <c r="S454" s="4">
        <f t="shared" si="351"/>
        <v>0.97311898315872036</v>
      </c>
      <c r="T454" s="4">
        <f t="shared" si="351"/>
        <v>0.96177484161592774</v>
      </c>
      <c r="U454" s="4">
        <f t="shared" si="351"/>
        <v>0.94584787155511363</v>
      </c>
      <c r="V454" s="4">
        <f t="shared" si="351"/>
        <v>0.92370360150141495</v>
      </c>
      <c r="W454" s="4">
        <f t="shared" si="351"/>
        <v>0.89334463567658451</v>
      </c>
      <c r="X454" s="4">
        <f t="shared" si="351"/>
        <v>0.85254543874327005</v>
      </c>
      <c r="Y454" s="4">
        <f t="shared" si="351"/>
        <v>0.79921300652623883</v>
      </c>
      <c r="Z454" s="4">
        <f t="shared" si="351"/>
        <v>0.73204982249993378</v>
      </c>
      <c r="AA454" s="4">
        <f t="shared" si="351"/>
        <v>0.65145592958786691</v>
      </c>
      <c r="AB454" s="4">
        <f t="shared" si="351"/>
        <v>0.56032247880849573</v>
      </c>
      <c r="AC454" s="4">
        <f t="shared" si="351"/>
        <v>0.46411326873185343</v>
      </c>
      <c r="AD454" s="4">
        <f t="shared" si="351"/>
        <v>0.36979727595523937</v>
      </c>
      <c r="AE454" s="4">
        <f t="shared" si="351"/>
        <v>0.28393948637231203</v>
      </c>
      <c r="AF454" s="4">
        <f t="shared" si="351"/>
        <v>0.21097259161117732</v>
      </c>
      <c r="AG454" s="4">
        <f t="shared" si="348"/>
        <v>0.15253917653798199</v>
      </c>
      <c r="AH454" s="4">
        <f t="shared" si="348"/>
        <v>0.10795188737709993</v>
      </c>
      <c r="AI454" s="4">
        <f t="shared" si="348"/>
        <v>7.5176653938091809E-2</v>
      </c>
      <c r="AJ454" s="4">
        <f t="shared" si="349"/>
        <v>5.1742836177502194E-2</v>
      </c>
      <c r="AK454" s="4">
        <f t="shared" si="349"/>
        <v>3.5319190625345942E-2</v>
      </c>
      <c r="AL454" s="4">
        <f t="shared" si="349"/>
        <v>2.3969442072658165E-2</v>
      </c>
      <c r="AM454" s="4">
        <f t="shared" si="349"/>
        <v>1.6202243558389728E-2</v>
      </c>
      <c r="AN454" s="4">
        <f t="shared" si="349"/>
        <v>1.0922240564108399E-2</v>
      </c>
      <c r="AO454" s="4">
        <f t="shared" si="349"/>
        <v>7.3493212906090566E-3</v>
      </c>
      <c r="AP454" s="4">
        <f t="shared" si="349"/>
        <v>4.9390262185057265E-3</v>
      </c>
      <c r="AQ454" s="4">
        <f t="shared" si="349"/>
        <v>3.3164275492956197E-3</v>
      </c>
      <c r="AR454" s="4">
        <f t="shared" si="349"/>
        <v>2.2256362146679809E-3</v>
      </c>
    </row>
    <row r="455" spans="1:44" ht="15" thickBot="1" x14ac:dyDescent="0.35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351"/>
        <v>0.9867978615748374</v>
      </c>
      <c r="R455" s="4">
        <f t="shared" si="351"/>
        <v>0.98114509762858249</v>
      </c>
      <c r="S455" s="4">
        <f t="shared" si="351"/>
        <v>0.97311898315872036</v>
      </c>
      <c r="T455" s="4">
        <f t="shared" si="351"/>
        <v>0.96177484161592774</v>
      </c>
      <c r="U455" s="4">
        <f t="shared" si="351"/>
        <v>0.94584787155511363</v>
      </c>
      <c r="V455" s="4">
        <f t="shared" si="351"/>
        <v>0.92370360150141495</v>
      </c>
      <c r="W455" s="4">
        <f t="shared" si="351"/>
        <v>0.89334463567658451</v>
      </c>
      <c r="X455" s="4">
        <f t="shared" si="351"/>
        <v>0.85254543874327005</v>
      </c>
      <c r="Y455" s="4">
        <f t="shared" si="351"/>
        <v>0.79921300652623883</v>
      </c>
      <c r="Z455" s="4">
        <f t="shared" si="351"/>
        <v>0.73204982249993378</v>
      </c>
      <c r="AA455" s="4">
        <f t="shared" si="351"/>
        <v>0.65145592958786691</v>
      </c>
      <c r="AB455" s="4">
        <f t="shared" si="351"/>
        <v>0.56032247880849573</v>
      </c>
      <c r="AC455" s="4">
        <f t="shared" si="351"/>
        <v>0.46411326873185343</v>
      </c>
      <c r="AD455" s="4">
        <f t="shared" si="351"/>
        <v>0.36979727595523937</v>
      </c>
      <c r="AE455" s="4">
        <f t="shared" si="351"/>
        <v>0.28393948637231203</v>
      </c>
      <c r="AF455" s="4">
        <f t="shared" si="351"/>
        <v>0.21097259161117732</v>
      </c>
      <c r="AG455" s="4">
        <f t="shared" si="348"/>
        <v>0.15253917653798199</v>
      </c>
      <c r="AH455" s="4">
        <f t="shared" si="348"/>
        <v>0.10795188737709993</v>
      </c>
      <c r="AI455" s="4">
        <f t="shared" si="348"/>
        <v>7.5176653938091809E-2</v>
      </c>
      <c r="AJ455" s="4">
        <f t="shared" si="349"/>
        <v>5.1742836177502194E-2</v>
      </c>
      <c r="AK455" s="4">
        <f t="shared" si="349"/>
        <v>3.5319190625345942E-2</v>
      </c>
      <c r="AL455" s="4">
        <f t="shared" si="349"/>
        <v>2.3969442072658165E-2</v>
      </c>
      <c r="AM455" s="4">
        <f t="shared" si="349"/>
        <v>1.6202243558389728E-2</v>
      </c>
      <c r="AN455" s="4">
        <f t="shared" si="349"/>
        <v>1.0922240564108399E-2</v>
      </c>
      <c r="AO455" s="4">
        <f t="shared" si="349"/>
        <v>7.3493212906090566E-3</v>
      </c>
      <c r="AP455" s="4">
        <f t="shared" si="349"/>
        <v>4.9390262185057265E-3</v>
      </c>
      <c r="AQ455" s="4">
        <f t="shared" si="349"/>
        <v>3.3164275492956197E-3</v>
      </c>
      <c r="AR455" s="4">
        <f t="shared" si="349"/>
        <v>2.2256362146679809E-3</v>
      </c>
    </row>
    <row r="456" spans="1:44" x14ac:dyDescent="0.3">
      <c r="A456" s="25"/>
      <c r="B456" s="40"/>
    </row>
    <row r="457" spans="1:44" ht="15" thickBot="1" x14ac:dyDescent="0.35"/>
    <row r="458" spans="1:44" ht="15" thickBot="1" x14ac:dyDescent="0.35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3">
      <c r="A459" s="29" t="str">
        <f t="shared" ref="A459:A468" si="352">A439</f>
        <v>Capex vehicle</v>
      </c>
      <c r="B459" s="62">
        <f t="shared" ref="B459:B468" si="353">$B439+($C439-$B439)*(1-Q439)</f>
        <v>9920787.1694490239</v>
      </c>
      <c r="C459" s="62">
        <f t="shared" ref="C459:C468" si="354">$B439+($C439-$B439)*(1-R439)</f>
        <v>9886870.5857714955</v>
      </c>
      <c r="D459" s="62">
        <f t="shared" ref="D459:D468" si="355">$B439+($C439-$B439)*(1-S439)</f>
        <v>9838713.8989523221</v>
      </c>
      <c r="E459" s="62">
        <f t="shared" ref="E459:E468" si="356">$B439+($C439-$B439)*(1-T439)</f>
        <v>9770649.0496955663</v>
      </c>
      <c r="F459" s="62">
        <f t="shared" ref="F459:F468" si="357">$B439+($C439-$B439)*(1-U439)</f>
        <v>9675087.2293306813</v>
      </c>
      <c r="G459" s="62">
        <f t="shared" ref="G459:G468" si="358">$B439+($C439-$B439)*(1-V439)</f>
        <v>9542221.6090084892</v>
      </c>
      <c r="H459" s="62">
        <f t="shared" ref="H459:H468" si="359">$B439+($C439-$B439)*(1-W439)</f>
        <v>9360067.8140595071</v>
      </c>
      <c r="I459" s="62">
        <f t="shared" ref="I459:I468" si="360">$B439+($C439-$B439)*(1-X439)</f>
        <v>9115272.63245962</v>
      </c>
      <c r="J459" s="62">
        <f t="shared" ref="J459:J468" si="361">$B439+($C439-$B439)*(1-Y439)</f>
        <v>8795278.0391574334</v>
      </c>
      <c r="K459" s="62">
        <f t="shared" ref="K459:K468" si="362">$B439+($C439-$B439)*(1-Z439)</f>
        <v>8392298.9349996019</v>
      </c>
      <c r="L459" s="62">
        <f t="shared" ref="L459:L468" si="363">$B439+($C439-$B439)*(1-AA439)</f>
        <v>7908735.5775272017</v>
      </c>
      <c r="M459" s="62">
        <f t="shared" ref="M459:M468" si="364">$B439+($C439-$B439)*(1-AB439)</f>
        <v>7361934.872850975</v>
      </c>
      <c r="N459" s="62">
        <f t="shared" ref="N459:N468" si="365">$B439+($C439-$B439)*(1-AC439)</f>
        <v>6784679.6123911208</v>
      </c>
      <c r="O459" s="62">
        <f t="shared" ref="O459:O468" si="366">$B439+($C439-$B439)*(1-AD439)</f>
        <v>6218783.6557314359</v>
      </c>
      <c r="P459" s="62">
        <f t="shared" ref="P459:P468" si="367">$B439+($C439-$B439)*(1-AE439)</f>
        <v>5703636.9182338724</v>
      </c>
      <c r="Q459" s="62">
        <f t="shared" ref="Q459:Q468" si="368">$B439+($C439-$B439)*(1-AF439)</f>
        <v>5265835.5496670641</v>
      </c>
      <c r="R459" s="62">
        <f t="shared" ref="R459:R468" si="369">$B439+($C439-$B439)*(1-AG439)</f>
        <v>4915235.0592278922</v>
      </c>
      <c r="S459" s="62">
        <f t="shared" ref="S459:S468" si="370">$B439+($C439-$B439)*(1-AH439)</f>
        <v>4647711.3242625995</v>
      </c>
      <c r="T459" s="62">
        <f t="shared" ref="T459:T468" si="371">$B439+($C439-$B439)*(1-AI439)</f>
        <v>4451059.923628551</v>
      </c>
      <c r="U459" s="62">
        <f t="shared" ref="U459:U468" si="372">$B439+($C439-$B439)*(1-AJ439)</f>
        <v>4310457.0170650128</v>
      </c>
      <c r="V459" s="62">
        <f t="shared" ref="V459:V468" si="373">$B439+($C439-$B439)*(1-AK439)</f>
        <v>4211915.1437520757</v>
      </c>
      <c r="W459" s="62">
        <f t="shared" ref="W459:W468" si="374">$B439+($C439-$B439)*(1-AL439)</f>
        <v>4143816.6524359491</v>
      </c>
      <c r="X459" s="62">
        <f t="shared" ref="X459:X468" si="375">$B439+($C439-$B439)*(1-AM439)</f>
        <v>4097213.4613503385</v>
      </c>
      <c r="Y459" s="62">
        <f t="shared" ref="Y459:Y468" si="376">$B439+($C439-$B439)*(1-AN439)</f>
        <v>4065533.4433846502</v>
      </c>
      <c r="Z459" s="62">
        <f t="shared" ref="Z459:Z468" si="377">$B439+($C439-$B439)*(1-AO439)</f>
        <v>4044095.9277436547</v>
      </c>
      <c r="AA459" s="62">
        <f t="shared" ref="AA459:AA468" si="378">$B439+($C439-$B439)*(1-AP439)</f>
        <v>4029634.1573110344</v>
      </c>
      <c r="AB459" s="62">
        <f t="shared" ref="AB459:AB468" si="379">$B439+($C439-$B439)*(1-AQ439)</f>
        <v>4019898.5652957736</v>
      </c>
      <c r="AC459" s="62">
        <f t="shared" ref="AC459:AC468" si="380">$B439+($C439-$B439)*(1-AR439)</f>
        <v>4013353.8172880076</v>
      </c>
    </row>
    <row r="460" spans="1:44" x14ac:dyDescent="0.3">
      <c r="A460" s="30" t="str">
        <f t="shared" si="352"/>
        <v>Residual value (vehicle)</v>
      </c>
      <c r="B460" s="62">
        <f t="shared" si="353"/>
        <v>-501320.21384251624</v>
      </c>
      <c r="C460" s="62">
        <f t="shared" si="354"/>
        <v>-501885.49023714173</v>
      </c>
      <c r="D460" s="62">
        <f t="shared" si="355"/>
        <v>-502688.10168412799</v>
      </c>
      <c r="E460" s="62">
        <f t="shared" si="356"/>
        <v>-503822.51583840721</v>
      </c>
      <c r="F460" s="62">
        <f t="shared" si="357"/>
        <v>-505415.21284448862</v>
      </c>
      <c r="G460" s="62">
        <f t="shared" si="358"/>
        <v>-507629.63984985853</v>
      </c>
      <c r="H460" s="62">
        <f t="shared" si="359"/>
        <v>-510665.53643234156</v>
      </c>
      <c r="I460" s="62">
        <f t="shared" si="360"/>
        <v>-514745.45612567302</v>
      </c>
      <c r="J460" s="62">
        <f t="shared" si="361"/>
        <v>-520078.69934737612</v>
      </c>
      <c r="K460" s="62">
        <f t="shared" si="362"/>
        <v>-526795.01775000663</v>
      </c>
      <c r="L460" s="62">
        <f t="shared" si="363"/>
        <v>-534854.40704121336</v>
      </c>
      <c r="M460" s="62">
        <f t="shared" si="364"/>
        <v>-543967.75211915048</v>
      </c>
      <c r="N460" s="62">
        <f t="shared" si="365"/>
        <v>-553588.67312681465</v>
      </c>
      <c r="O460" s="62">
        <f t="shared" si="366"/>
        <v>-563020.27240447607</v>
      </c>
      <c r="P460" s="62">
        <f t="shared" si="367"/>
        <v>-571606.05136276875</v>
      </c>
      <c r="Q460" s="62">
        <f t="shared" si="368"/>
        <v>-578902.74083888228</v>
      </c>
      <c r="R460" s="62">
        <f t="shared" si="369"/>
        <v>-584746.08234620176</v>
      </c>
      <c r="S460" s="62">
        <f t="shared" si="370"/>
        <v>-589204.81126228999</v>
      </c>
      <c r="T460" s="62">
        <f t="shared" si="371"/>
        <v>-592482.33460619079</v>
      </c>
      <c r="U460" s="62">
        <f t="shared" si="372"/>
        <v>-594825.71638224972</v>
      </c>
      <c r="V460" s="62">
        <f t="shared" si="373"/>
        <v>-596468.08093746542</v>
      </c>
      <c r="W460" s="62">
        <f t="shared" si="374"/>
        <v>-597603.05579273414</v>
      </c>
      <c r="X460" s="62">
        <f t="shared" si="375"/>
        <v>-598379.77564416104</v>
      </c>
      <c r="Y460" s="62">
        <f t="shared" si="376"/>
        <v>-598907.77594358916</v>
      </c>
      <c r="Z460" s="62">
        <f t="shared" si="377"/>
        <v>-599265.06787093915</v>
      </c>
      <c r="AA460" s="62">
        <f t="shared" si="378"/>
        <v>-599506.0973781494</v>
      </c>
      <c r="AB460" s="62">
        <f t="shared" si="379"/>
        <v>-599668.35724507039</v>
      </c>
      <c r="AC460" s="62">
        <f t="shared" si="380"/>
        <v>-599777.43637853325</v>
      </c>
    </row>
    <row r="461" spans="1:44" x14ac:dyDescent="0.3">
      <c r="A461" s="30" t="str">
        <f t="shared" si="352"/>
        <v>Capex costumization</v>
      </c>
      <c r="B461" s="62">
        <f t="shared" si="353"/>
        <v>3500000</v>
      </c>
      <c r="C461" s="62">
        <f t="shared" si="354"/>
        <v>3500000</v>
      </c>
      <c r="D461" s="62">
        <f t="shared" si="355"/>
        <v>3500000</v>
      </c>
      <c r="E461" s="62">
        <f t="shared" si="356"/>
        <v>3500000</v>
      </c>
      <c r="F461" s="62">
        <f t="shared" si="357"/>
        <v>3500000</v>
      </c>
      <c r="G461" s="62">
        <f t="shared" si="358"/>
        <v>3500000</v>
      </c>
      <c r="H461" s="62">
        <f t="shared" si="359"/>
        <v>3500000</v>
      </c>
      <c r="I461" s="62">
        <f t="shared" si="360"/>
        <v>3500000</v>
      </c>
      <c r="J461" s="62">
        <f t="shared" si="361"/>
        <v>3500000</v>
      </c>
      <c r="K461" s="62">
        <f t="shared" si="362"/>
        <v>3500000</v>
      </c>
      <c r="L461" s="62">
        <f t="shared" si="363"/>
        <v>3500000</v>
      </c>
      <c r="M461" s="62">
        <f t="shared" si="364"/>
        <v>3500000</v>
      </c>
      <c r="N461" s="62">
        <f t="shared" si="365"/>
        <v>3500000</v>
      </c>
      <c r="O461" s="62">
        <f t="shared" si="366"/>
        <v>3500000</v>
      </c>
      <c r="P461" s="62">
        <f t="shared" si="367"/>
        <v>3500000</v>
      </c>
      <c r="Q461" s="62">
        <f t="shared" si="368"/>
        <v>3500000</v>
      </c>
      <c r="R461" s="62">
        <f t="shared" si="369"/>
        <v>3500000</v>
      </c>
      <c r="S461" s="62">
        <f t="shared" si="370"/>
        <v>3500000</v>
      </c>
      <c r="T461" s="62">
        <f t="shared" si="371"/>
        <v>3500000</v>
      </c>
      <c r="U461" s="62">
        <f t="shared" si="372"/>
        <v>3500000</v>
      </c>
      <c r="V461" s="62">
        <f t="shared" si="373"/>
        <v>3500000</v>
      </c>
      <c r="W461" s="62">
        <f t="shared" si="374"/>
        <v>3500000</v>
      </c>
      <c r="X461" s="62">
        <f t="shared" si="375"/>
        <v>3500000</v>
      </c>
      <c r="Y461" s="62">
        <f t="shared" si="376"/>
        <v>3500000</v>
      </c>
      <c r="Z461" s="62">
        <f t="shared" si="377"/>
        <v>3500000</v>
      </c>
      <c r="AA461" s="62">
        <f t="shared" si="378"/>
        <v>3500000</v>
      </c>
      <c r="AB461" s="62">
        <f t="shared" si="379"/>
        <v>3500000</v>
      </c>
      <c r="AC461" s="62">
        <f t="shared" si="380"/>
        <v>3500000</v>
      </c>
    </row>
    <row r="462" spans="1:44" x14ac:dyDescent="0.3">
      <c r="A462" s="30" t="str">
        <f t="shared" si="352"/>
        <v>Residual value (costumization)</v>
      </c>
      <c r="B462" s="62">
        <f t="shared" si="353"/>
        <v>-175000</v>
      </c>
      <c r="C462" s="62">
        <f t="shared" si="354"/>
        <v>-175000</v>
      </c>
      <c r="D462" s="62">
        <f t="shared" si="355"/>
        <v>-175000</v>
      </c>
      <c r="E462" s="62">
        <f t="shared" si="356"/>
        <v>-175000</v>
      </c>
      <c r="F462" s="62">
        <f t="shared" si="357"/>
        <v>-175000</v>
      </c>
      <c r="G462" s="62">
        <f t="shared" si="358"/>
        <v>-175000</v>
      </c>
      <c r="H462" s="62">
        <f t="shared" si="359"/>
        <v>-175000</v>
      </c>
      <c r="I462" s="62">
        <f t="shared" si="360"/>
        <v>-175000</v>
      </c>
      <c r="J462" s="62">
        <f t="shared" si="361"/>
        <v>-175000</v>
      </c>
      <c r="K462" s="62">
        <f t="shared" si="362"/>
        <v>-175000</v>
      </c>
      <c r="L462" s="62">
        <f t="shared" si="363"/>
        <v>-175000</v>
      </c>
      <c r="M462" s="62">
        <f t="shared" si="364"/>
        <v>-175000</v>
      </c>
      <c r="N462" s="62">
        <f t="shared" si="365"/>
        <v>-175000</v>
      </c>
      <c r="O462" s="62">
        <f t="shared" si="366"/>
        <v>-175000</v>
      </c>
      <c r="P462" s="62">
        <f t="shared" si="367"/>
        <v>-175000</v>
      </c>
      <c r="Q462" s="62">
        <f t="shared" si="368"/>
        <v>-175000</v>
      </c>
      <c r="R462" s="62">
        <f t="shared" si="369"/>
        <v>-175000</v>
      </c>
      <c r="S462" s="62">
        <f t="shared" si="370"/>
        <v>-175000</v>
      </c>
      <c r="T462" s="62">
        <f t="shared" si="371"/>
        <v>-175000</v>
      </c>
      <c r="U462" s="62">
        <f t="shared" si="372"/>
        <v>-175000</v>
      </c>
      <c r="V462" s="62">
        <f t="shared" si="373"/>
        <v>-175000</v>
      </c>
      <c r="W462" s="62">
        <f t="shared" si="374"/>
        <v>-175000</v>
      </c>
      <c r="X462" s="62">
        <f t="shared" si="375"/>
        <v>-175000</v>
      </c>
      <c r="Y462" s="62">
        <f t="shared" si="376"/>
        <v>-175000</v>
      </c>
      <c r="Z462" s="62">
        <f t="shared" si="377"/>
        <v>-175000</v>
      </c>
      <c r="AA462" s="62">
        <f t="shared" si="378"/>
        <v>-175000</v>
      </c>
      <c r="AB462" s="62">
        <f t="shared" si="379"/>
        <v>-175000</v>
      </c>
      <c r="AC462" s="62">
        <f t="shared" si="380"/>
        <v>-175000</v>
      </c>
    </row>
    <row r="463" spans="1:44" x14ac:dyDescent="0.3">
      <c r="A463" s="30" t="str">
        <f t="shared" si="352"/>
        <v>WACC</v>
      </c>
      <c r="B463" s="62">
        <f t="shared" si="353"/>
        <v>0.06</v>
      </c>
      <c r="C463" s="62">
        <f t="shared" si="354"/>
        <v>0.06</v>
      </c>
      <c r="D463" s="62">
        <f t="shared" si="355"/>
        <v>0.06</v>
      </c>
      <c r="E463" s="62">
        <f t="shared" si="356"/>
        <v>0.06</v>
      </c>
      <c r="F463" s="62">
        <f t="shared" si="357"/>
        <v>0.06</v>
      </c>
      <c r="G463" s="62">
        <f t="shared" si="358"/>
        <v>0.06</v>
      </c>
      <c r="H463" s="62">
        <f t="shared" si="359"/>
        <v>0.06</v>
      </c>
      <c r="I463" s="62">
        <f t="shared" si="360"/>
        <v>0.06</v>
      </c>
      <c r="J463" s="62">
        <f t="shared" si="361"/>
        <v>0.06</v>
      </c>
      <c r="K463" s="62">
        <f t="shared" si="362"/>
        <v>0.06</v>
      </c>
      <c r="L463" s="62">
        <f t="shared" si="363"/>
        <v>0.06</v>
      </c>
      <c r="M463" s="62">
        <f t="shared" si="364"/>
        <v>0.06</v>
      </c>
      <c r="N463" s="62">
        <f t="shared" si="365"/>
        <v>0.06</v>
      </c>
      <c r="O463" s="62">
        <f t="shared" si="366"/>
        <v>0.06</v>
      </c>
      <c r="P463" s="62">
        <f t="shared" si="367"/>
        <v>0.06</v>
      </c>
      <c r="Q463" s="62">
        <f t="shared" si="368"/>
        <v>0.06</v>
      </c>
      <c r="R463" s="62">
        <f t="shared" si="369"/>
        <v>0.06</v>
      </c>
      <c r="S463" s="62">
        <f t="shared" si="370"/>
        <v>0.06</v>
      </c>
      <c r="T463" s="62">
        <f t="shared" si="371"/>
        <v>0.06</v>
      </c>
      <c r="U463" s="62">
        <f t="shared" si="372"/>
        <v>0.06</v>
      </c>
      <c r="V463" s="62">
        <f t="shared" si="373"/>
        <v>0.06</v>
      </c>
      <c r="W463" s="62">
        <f t="shared" si="374"/>
        <v>0.06</v>
      </c>
      <c r="X463" s="62">
        <f t="shared" si="375"/>
        <v>0.06</v>
      </c>
      <c r="Y463" s="62">
        <f t="shared" si="376"/>
        <v>0.06</v>
      </c>
      <c r="Z463" s="62">
        <f t="shared" si="377"/>
        <v>0.06</v>
      </c>
      <c r="AA463" s="62">
        <f t="shared" si="378"/>
        <v>0.06</v>
      </c>
      <c r="AB463" s="62">
        <f t="shared" si="379"/>
        <v>0.06</v>
      </c>
      <c r="AC463" s="62">
        <f t="shared" si="380"/>
        <v>0.06</v>
      </c>
    </row>
    <row r="464" spans="1:44" x14ac:dyDescent="0.3">
      <c r="A464" s="30" t="str">
        <f t="shared" si="352"/>
        <v>Opex fix (admin, crew, insurance)</v>
      </c>
      <c r="B464" s="62">
        <f t="shared" si="353"/>
        <v>650000</v>
      </c>
      <c r="C464" s="62">
        <f t="shared" si="354"/>
        <v>650000</v>
      </c>
      <c r="D464" s="62">
        <f t="shared" si="355"/>
        <v>650000</v>
      </c>
      <c r="E464" s="62">
        <f t="shared" si="356"/>
        <v>650000</v>
      </c>
      <c r="F464" s="62">
        <f t="shared" si="357"/>
        <v>650000</v>
      </c>
      <c r="G464" s="62">
        <f t="shared" si="358"/>
        <v>650000</v>
      </c>
      <c r="H464" s="62">
        <f t="shared" si="359"/>
        <v>650000</v>
      </c>
      <c r="I464" s="62">
        <f t="shared" si="360"/>
        <v>650000</v>
      </c>
      <c r="J464" s="62">
        <f t="shared" si="361"/>
        <v>650000</v>
      </c>
      <c r="K464" s="62">
        <f t="shared" si="362"/>
        <v>650000</v>
      </c>
      <c r="L464" s="62">
        <f t="shared" si="363"/>
        <v>650000</v>
      </c>
      <c r="M464" s="62">
        <f t="shared" si="364"/>
        <v>650000</v>
      </c>
      <c r="N464" s="62">
        <f t="shared" si="365"/>
        <v>650000</v>
      </c>
      <c r="O464" s="62">
        <f t="shared" si="366"/>
        <v>650000</v>
      </c>
      <c r="P464" s="62">
        <f t="shared" si="367"/>
        <v>650000</v>
      </c>
      <c r="Q464" s="62">
        <f t="shared" si="368"/>
        <v>650000</v>
      </c>
      <c r="R464" s="62">
        <f t="shared" si="369"/>
        <v>650000</v>
      </c>
      <c r="S464" s="62">
        <f t="shared" si="370"/>
        <v>650000</v>
      </c>
      <c r="T464" s="62">
        <f t="shared" si="371"/>
        <v>650000</v>
      </c>
      <c r="U464" s="62">
        <f t="shared" si="372"/>
        <v>650000</v>
      </c>
      <c r="V464" s="62">
        <f t="shared" si="373"/>
        <v>650000</v>
      </c>
      <c r="W464" s="62">
        <f t="shared" si="374"/>
        <v>650000</v>
      </c>
      <c r="X464" s="62">
        <f t="shared" si="375"/>
        <v>650000</v>
      </c>
      <c r="Y464" s="62">
        <f t="shared" si="376"/>
        <v>650000</v>
      </c>
      <c r="Z464" s="62">
        <f t="shared" si="377"/>
        <v>650000</v>
      </c>
      <c r="AA464" s="62">
        <f t="shared" si="378"/>
        <v>650000</v>
      </c>
      <c r="AB464" s="62">
        <f t="shared" si="379"/>
        <v>650000</v>
      </c>
      <c r="AC464" s="62">
        <f t="shared" si="380"/>
        <v>650000</v>
      </c>
    </row>
    <row r="465" spans="1:29" x14ac:dyDescent="0.3">
      <c r="A465" s="30" t="str">
        <f t="shared" si="352"/>
        <v>Opex maintenance &amp; repair</v>
      </c>
      <c r="B465" s="62">
        <f t="shared" si="353"/>
        <v>1388910.2037228637</v>
      </c>
      <c r="C465" s="62">
        <f t="shared" si="354"/>
        <v>1384161.8820080096</v>
      </c>
      <c r="D465" s="62">
        <f t="shared" si="355"/>
        <v>1377419.9458533253</v>
      </c>
      <c r="E465" s="62">
        <f t="shared" si="356"/>
        <v>1367890.8669573795</v>
      </c>
      <c r="F465" s="62">
        <f t="shared" si="357"/>
        <v>1354512.2121062956</v>
      </c>
      <c r="G465" s="62">
        <f t="shared" si="358"/>
        <v>1335911.0252611889</v>
      </c>
      <c r="H465" s="62">
        <f t="shared" si="359"/>
        <v>1310409.4939683313</v>
      </c>
      <c r="I465" s="62">
        <f t="shared" si="360"/>
        <v>1276138.1685443469</v>
      </c>
      <c r="J465" s="62">
        <f t="shared" si="361"/>
        <v>1231338.9254820407</v>
      </c>
      <c r="K465" s="62">
        <f t="shared" si="362"/>
        <v>1174921.8508999445</v>
      </c>
      <c r="L465" s="62">
        <f t="shared" si="363"/>
        <v>1107222.9808538083</v>
      </c>
      <c r="M465" s="62">
        <f t="shared" si="364"/>
        <v>1030670.8821991365</v>
      </c>
      <c r="N465" s="62">
        <f t="shared" si="365"/>
        <v>949855.14573475695</v>
      </c>
      <c r="O465" s="62">
        <f t="shared" si="366"/>
        <v>870629.71180240111</v>
      </c>
      <c r="P465" s="62">
        <f t="shared" si="367"/>
        <v>798509.16855274222</v>
      </c>
      <c r="Q465" s="62">
        <f t="shared" si="368"/>
        <v>737216.97695338901</v>
      </c>
      <c r="R465" s="62">
        <f t="shared" si="369"/>
        <v>688132.90829190495</v>
      </c>
      <c r="S465" s="62">
        <f t="shared" si="370"/>
        <v>650679.58539676399</v>
      </c>
      <c r="T465" s="62">
        <f t="shared" si="371"/>
        <v>623148.38930799719</v>
      </c>
      <c r="U465" s="62">
        <f t="shared" si="372"/>
        <v>603463.98238910188</v>
      </c>
      <c r="V465" s="62">
        <f t="shared" si="373"/>
        <v>589668.12012529059</v>
      </c>
      <c r="W465" s="62">
        <f t="shared" si="374"/>
        <v>580134.33134103287</v>
      </c>
      <c r="X465" s="62">
        <f t="shared" si="375"/>
        <v>573609.8845890474</v>
      </c>
      <c r="Y465" s="62">
        <f t="shared" si="376"/>
        <v>569174.682073851</v>
      </c>
      <c r="Z465" s="62">
        <f t="shared" si="377"/>
        <v>566173.42988411163</v>
      </c>
      <c r="AA465" s="62">
        <f t="shared" si="378"/>
        <v>564148.78202354477</v>
      </c>
      <c r="AB465" s="62">
        <f t="shared" si="379"/>
        <v>562785.79914140829</v>
      </c>
      <c r="AC465" s="62">
        <f t="shared" si="380"/>
        <v>561869.53442032111</v>
      </c>
    </row>
    <row r="466" spans="1:29" x14ac:dyDescent="0.3">
      <c r="A466" s="30" t="str">
        <f t="shared" si="352"/>
        <v>Opex var (mode-fees, shunting)</v>
      </c>
      <c r="B466" s="62">
        <f t="shared" si="353"/>
        <v>3.9215686274509802</v>
      </c>
      <c r="C466" s="62">
        <f t="shared" si="354"/>
        <v>3.9215686274509802</v>
      </c>
      <c r="D466" s="62">
        <f t="shared" si="355"/>
        <v>3.9215686274509802</v>
      </c>
      <c r="E466" s="62">
        <f t="shared" si="356"/>
        <v>3.9215686274509802</v>
      </c>
      <c r="F466" s="62">
        <f t="shared" si="357"/>
        <v>3.9215686274509802</v>
      </c>
      <c r="G466" s="62">
        <f t="shared" si="358"/>
        <v>3.9215686274509802</v>
      </c>
      <c r="H466" s="62">
        <f t="shared" si="359"/>
        <v>3.9215686274509802</v>
      </c>
      <c r="I466" s="62">
        <f t="shared" si="360"/>
        <v>3.9215686274509802</v>
      </c>
      <c r="J466" s="62">
        <f t="shared" si="361"/>
        <v>3.9215686274509802</v>
      </c>
      <c r="K466" s="62">
        <f t="shared" si="362"/>
        <v>3.9215686274509802</v>
      </c>
      <c r="L466" s="62">
        <f t="shared" si="363"/>
        <v>3.9215686274509802</v>
      </c>
      <c r="M466" s="62">
        <f t="shared" si="364"/>
        <v>3.9215686274509802</v>
      </c>
      <c r="N466" s="62">
        <f t="shared" si="365"/>
        <v>3.9215686274509802</v>
      </c>
      <c r="O466" s="62">
        <f t="shared" si="366"/>
        <v>3.9215686274509802</v>
      </c>
      <c r="P466" s="62">
        <f t="shared" si="367"/>
        <v>3.9215686274509802</v>
      </c>
      <c r="Q466" s="62">
        <f t="shared" si="368"/>
        <v>3.9215686274509802</v>
      </c>
      <c r="R466" s="62">
        <f t="shared" si="369"/>
        <v>3.9215686274509802</v>
      </c>
      <c r="S466" s="62">
        <f t="shared" si="370"/>
        <v>3.9215686274509802</v>
      </c>
      <c r="T466" s="62">
        <f t="shared" si="371"/>
        <v>3.9215686274509802</v>
      </c>
      <c r="U466" s="62">
        <f t="shared" si="372"/>
        <v>3.9215686274509802</v>
      </c>
      <c r="V466" s="62">
        <f t="shared" si="373"/>
        <v>3.9215686274509802</v>
      </c>
      <c r="W466" s="62">
        <f t="shared" si="374"/>
        <v>3.9215686274509802</v>
      </c>
      <c r="X466" s="62">
        <f t="shared" si="375"/>
        <v>3.9215686274509802</v>
      </c>
      <c r="Y466" s="62">
        <f t="shared" si="376"/>
        <v>3.9215686274509802</v>
      </c>
      <c r="Z466" s="62">
        <f t="shared" si="377"/>
        <v>3.9215686274509802</v>
      </c>
      <c r="AA466" s="62">
        <f t="shared" si="378"/>
        <v>3.9215686274509802</v>
      </c>
      <c r="AB466" s="62">
        <f t="shared" si="379"/>
        <v>3.9215686274509802</v>
      </c>
      <c r="AC466" s="62">
        <f t="shared" si="380"/>
        <v>3.9215686274509802</v>
      </c>
    </row>
    <row r="467" spans="1:29" x14ac:dyDescent="0.3">
      <c r="A467" s="30" t="str">
        <f t="shared" si="352"/>
        <v>Fuel Economy</v>
      </c>
      <c r="B467" s="62">
        <f t="shared" si="353"/>
        <v>39.427247314658196</v>
      </c>
      <c r="C467" s="62">
        <f t="shared" si="354"/>
        <v>39.39288938847082</v>
      </c>
      <c r="D467" s="62">
        <f t="shared" si="355"/>
        <v>39.344106058554914</v>
      </c>
      <c r="E467" s="62">
        <f t="shared" si="356"/>
        <v>39.27515550949748</v>
      </c>
      <c r="F467" s="62">
        <f t="shared" si="357"/>
        <v>39.178350182591792</v>
      </c>
      <c r="G467" s="62">
        <f t="shared" si="358"/>
        <v>39.043755636771031</v>
      </c>
      <c r="H467" s="62">
        <f t="shared" si="359"/>
        <v>38.859231549642743</v>
      </c>
      <c r="I467" s="62">
        <f t="shared" si="360"/>
        <v>38.611250949344104</v>
      </c>
      <c r="J467" s="62">
        <f t="shared" si="361"/>
        <v>38.287092398425017</v>
      </c>
      <c r="K467" s="62">
        <f t="shared" si="362"/>
        <v>37.878869493448889</v>
      </c>
      <c r="L467" s="62">
        <f t="shared" si="363"/>
        <v>37.389013725517856</v>
      </c>
      <c r="M467" s="62">
        <f t="shared" si="364"/>
        <v>36.835097728874764</v>
      </c>
      <c r="N467" s="62">
        <f t="shared" si="365"/>
        <v>36.250330883878796</v>
      </c>
      <c r="O467" s="62">
        <f t="shared" si="366"/>
        <v>35.677071156616648</v>
      </c>
      <c r="P467" s="62">
        <f t="shared" si="367"/>
        <v>35.155221027167087</v>
      </c>
      <c r="Q467" s="62">
        <f t="shared" si="368"/>
        <v>34.711722730022458</v>
      </c>
      <c r="R467" s="62">
        <f t="shared" si="369"/>
        <v>34.356560020054545</v>
      </c>
      <c r="S467" s="62">
        <f t="shared" si="370"/>
        <v>34.085555109103076</v>
      </c>
      <c r="T467" s="62">
        <f t="shared" si="371"/>
        <v>33.886344764928474</v>
      </c>
      <c r="U467" s="62">
        <f t="shared" si="372"/>
        <v>33.743912250752814</v>
      </c>
      <c r="V467" s="62">
        <f t="shared" si="373"/>
        <v>33.64408809269959</v>
      </c>
      <c r="W467" s="62">
        <f t="shared" si="374"/>
        <v>33.575103463812546</v>
      </c>
      <c r="X467" s="62">
        <f t="shared" si="375"/>
        <v>33.527893844629226</v>
      </c>
      <c r="Y467" s="62">
        <f t="shared" si="376"/>
        <v>33.49580158766053</v>
      </c>
      <c r="Z467" s="62">
        <f t="shared" si="377"/>
        <v>33.474085114473347</v>
      </c>
      <c r="AA467" s="62">
        <f t="shared" si="378"/>
        <v>33.459435158988832</v>
      </c>
      <c r="AB467" s="62">
        <f t="shared" si="379"/>
        <v>33.449572881731456</v>
      </c>
      <c r="AC467" s="62">
        <f t="shared" si="380"/>
        <v>33.442942969618151</v>
      </c>
    </row>
    <row r="468" spans="1:29" x14ac:dyDescent="0.3">
      <c r="A468" s="30" t="str">
        <f t="shared" si="352"/>
        <v>Fuel Cost</v>
      </c>
      <c r="B468" s="62">
        <f t="shared" si="353"/>
        <v>0.21482257834535914</v>
      </c>
      <c r="C468" s="62">
        <f t="shared" si="354"/>
        <v>0.21417522499855654</v>
      </c>
      <c r="D468" s="62">
        <f t="shared" si="355"/>
        <v>0.21325607604535665</v>
      </c>
      <c r="E468" s="62">
        <f t="shared" si="356"/>
        <v>0.21195694732458373</v>
      </c>
      <c r="F468" s="62">
        <f t="shared" si="357"/>
        <v>0.21013299403884214</v>
      </c>
      <c r="G468" s="62">
        <f t="shared" si="358"/>
        <v>0.20759703685611555</v>
      </c>
      <c r="H468" s="62">
        <f t="shared" si="359"/>
        <v>0.20412033442894431</v>
      </c>
      <c r="I468" s="62">
        <f t="shared" si="360"/>
        <v>0.19944801891519662</v>
      </c>
      <c r="J468" s="62">
        <f t="shared" si="361"/>
        <v>0.19334039991375346</v>
      </c>
      <c r="K468" s="62">
        <f t="shared" si="362"/>
        <v>0.18564888610303532</v>
      </c>
      <c r="L468" s="62">
        <f t="shared" si="363"/>
        <v>0.17641929031511205</v>
      </c>
      <c r="M468" s="62">
        <f t="shared" si="364"/>
        <v>0.16598270656093206</v>
      </c>
      <c r="N468" s="62">
        <f t="shared" si="365"/>
        <v>0.15496484791186993</v>
      </c>
      <c r="O468" s="62">
        <f t="shared" si="366"/>
        <v>0.14416380011269478</v>
      </c>
      <c r="P468" s="62">
        <f t="shared" si="367"/>
        <v>0.13433138397714983</v>
      </c>
      <c r="Q468" s="62">
        <f t="shared" si="368"/>
        <v>0.12597523042491984</v>
      </c>
      <c r="R468" s="62">
        <f t="shared" si="369"/>
        <v>0.11928344793189689</v>
      </c>
      <c r="S468" s="62">
        <f t="shared" si="370"/>
        <v>0.11417732088721881</v>
      </c>
      <c r="T468" s="62">
        <f t="shared" si="371"/>
        <v>0.11042390799739947</v>
      </c>
      <c r="U468" s="62">
        <f t="shared" si="372"/>
        <v>0.10774027208054308</v>
      </c>
      <c r="V468" s="62">
        <f t="shared" si="373"/>
        <v>0.10585943962124107</v>
      </c>
      <c r="W468" s="62">
        <f t="shared" si="374"/>
        <v>0.10455966878686571</v>
      </c>
      <c r="X468" s="62">
        <f t="shared" si="375"/>
        <v>0.10367017083483761</v>
      </c>
      <c r="Y468" s="62">
        <f t="shared" si="376"/>
        <v>0.10306550599442084</v>
      </c>
      <c r="Z468" s="62">
        <f t="shared" si="377"/>
        <v>0.10265633602526128</v>
      </c>
      <c r="AA468" s="62">
        <f t="shared" si="378"/>
        <v>0.10238030953688443</v>
      </c>
      <c r="AB468" s="62">
        <f t="shared" si="379"/>
        <v>0.10219448987609238</v>
      </c>
      <c r="AC468" s="62">
        <f t="shared" si="380"/>
        <v>0.10206957268021295</v>
      </c>
    </row>
    <row r="469" spans="1:29" x14ac:dyDescent="0.3">
      <c r="A469" s="30" t="str">
        <f t="shared" ref="A469" si="381">A449</f>
        <v>Emission Cost</v>
      </c>
      <c r="B469" s="66">
        <f>$B449+($C449-$B449)*(1-Q449)</f>
        <v>0.14217309718689772</v>
      </c>
      <c r="C469" s="66">
        <f t="shared" ref="C469:AC469" si="382">$B449+($C449-$B449)*(1-R449)</f>
        <v>0.14203771375766058</v>
      </c>
      <c r="D469" s="66">
        <f t="shared" si="382"/>
        <v>0.14184391539413038</v>
      </c>
      <c r="E469" s="66">
        <f t="shared" si="382"/>
        <v>0.14156667320659028</v>
      </c>
      <c r="F469" s="66">
        <f t="shared" si="382"/>
        <v>0.14117043294406945</v>
      </c>
      <c r="G469" s="66">
        <f t="shared" si="382"/>
        <v>0.14060491245838053</v>
      </c>
      <c r="H469" s="66">
        <f t="shared" si="382"/>
        <v>0.13979947254939792</v>
      </c>
      <c r="I469" s="66">
        <f t="shared" si="382"/>
        <v>0.13865586333989385</v>
      </c>
      <c r="J469" s="66">
        <f t="shared" si="382"/>
        <v>0.13703948161608845</v>
      </c>
      <c r="K469" s="66">
        <f t="shared" si="382"/>
        <v>0.13477011083780754</v>
      </c>
      <c r="L469" s="66">
        <f t="shared" si="382"/>
        <v>0.13161486164889458</v>
      </c>
      <c r="M469" s="66">
        <f t="shared" si="382"/>
        <v>0.12728913304900186</v>
      </c>
      <c r="N469" s="66">
        <f t="shared" si="382"/>
        <v>0.12147581733708304</v>
      </c>
      <c r="O469" s="66">
        <f t="shared" si="382"/>
        <v>0.11387669065160279</v>
      </c>
      <c r="P469" s="66">
        <f t="shared" si="382"/>
        <v>0.10430687501035908</v>
      </c>
      <c r="Q469" s="66">
        <f t="shared" si="382"/>
        <v>9.2823370942467606E-2</v>
      </c>
      <c r="R469" s="66">
        <f t="shared" si="382"/>
        <v>7.9838127086736127E-2</v>
      </c>
      <c r="S469" s="66">
        <f t="shared" si="382"/>
        <v>6.6129658425355342E-2</v>
      </c>
      <c r="T469" s="66">
        <f t="shared" si="382"/>
        <v>5.2690946786259088E-2</v>
      </c>
      <c r="U469" s="66">
        <f t="shared" si="382"/>
        <v>4.0457410964736609E-2</v>
      </c>
      <c r="V469" s="66">
        <f t="shared" si="382"/>
        <v>3.0060647605444357E-2</v>
      </c>
      <c r="W469" s="66">
        <f t="shared" si="382"/>
        <v>2.1734702109475382E-2</v>
      </c>
      <c r="X469" s="66">
        <f t="shared" si="382"/>
        <v>1.5381636164219614E-2</v>
      </c>
      <c r="Y469" s="66">
        <f t="shared" si="382"/>
        <v>1.0711623177831281E-2</v>
      </c>
      <c r="Z469" s="66">
        <f t="shared" si="382"/>
        <v>7.3726314520740077E-3</v>
      </c>
      <c r="AA469" s="66">
        <f t="shared" si="382"/>
        <v>5.0324913534492977E-3</v>
      </c>
      <c r="AB469" s="66">
        <f t="shared" si="382"/>
        <v>3.4153107090481305E-3</v>
      </c>
      <c r="AC469" s="66">
        <f t="shared" si="382"/>
        <v>2.3085934068818315E-3</v>
      </c>
    </row>
    <row r="470" spans="1:29" x14ac:dyDescent="0.3">
      <c r="A470" s="30" t="str">
        <f>A450</f>
        <v>Lifetime vehicle</v>
      </c>
      <c r="B470" s="62">
        <f>$B450+($C450-$B450)*(1-Q450)</f>
        <v>20</v>
      </c>
      <c r="C470" s="62">
        <f t="shared" ref="C470:L472" si="383">$B450+($C450-$B450)*(1-R450)</f>
        <v>20</v>
      </c>
      <c r="D470" s="62">
        <f t="shared" si="383"/>
        <v>20</v>
      </c>
      <c r="E470" s="62">
        <f t="shared" si="383"/>
        <v>20</v>
      </c>
      <c r="F470" s="62">
        <f t="shared" si="383"/>
        <v>20</v>
      </c>
      <c r="G470" s="62">
        <f t="shared" si="383"/>
        <v>20</v>
      </c>
      <c r="H470" s="62">
        <f t="shared" si="383"/>
        <v>20</v>
      </c>
      <c r="I470" s="62">
        <f t="shared" si="383"/>
        <v>20</v>
      </c>
      <c r="J470" s="62">
        <f t="shared" si="383"/>
        <v>20</v>
      </c>
      <c r="K470" s="62">
        <f t="shared" si="383"/>
        <v>20</v>
      </c>
      <c r="L470" s="62">
        <f t="shared" si="383"/>
        <v>20</v>
      </c>
      <c r="M470" s="62">
        <f t="shared" ref="M470:V472" si="384">$B450+($C450-$B450)*(1-AB450)</f>
        <v>20</v>
      </c>
      <c r="N470" s="62">
        <f t="shared" si="384"/>
        <v>20</v>
      </c>
      <c r="O470" s="62">
        <f t="shared" si="384"/>
        <v>20</v>
      </c>
      <c r="P470" s="62">
        <f t="shared" si="384"/>
        <v>20</v>
      </c>
      <c r="Q470" s="62">
        <f t="shared" si="384"/>
        <v>20</v>
      </c>
      <c r="R470" s="62">
        <f t="shared" si="384"/>
        <v>20</v>
      </c>
      <c r="S470" s="62">
        <f t="shared" si="384"/>
        <v>20</v>
      </c>
      <c r="T470" s="62">
        <f t="shared" si="384"/>
        <v>20</v>
      </c>
      <c r="U470" s="62">
        <f t="shared" si="384"/>
        <v>20</v>
      </c>
      <c r="V470" s="62">
        <f t="shared" si="384"/>
        <v>20</v>
      </c>
      <c r="W470" s="62">
        <f t="shared" ref="W470:AC472" si="385">$B450+($C450-$B450)*(1-AL450)</f>
        <v>20</v>
      </c>
      <c r="X470" s="62">
        <f t="shared" si="385"/>
        <v>20</v>
      </c>
      <c r="Y470" s="62">
        <f t="shared" si="385"/>
        <v>20</v>
      </c>
      <c r="Z470" s="62">
        <f t="shared" si="385"/>
        <v>20</v>
      </c>
      <c r="AA470" s="62">
        <f t="shared" si="385"/>
        <v>20</v>
      </c>
      <c r="AB470" s="62">
        <f t="shared" si="385"/>
        <v>20</v>
      </c>
      <c r="AC470" s="62">
        <f t="shared" si="385"/>
        <v>20</v>
      </c>
    </row>
    <row r="471" spans="1:29" x14ac:dyDescent="0.3">
      <c r="A471" s="30" t="str">
        <f>A451</f>
        <v>Lifetime costumization</v>
      </c>
      <c r="B471" s="62">
        <f>$B451+($C451-$B451)*(1-Q451)</f>
        <v>30</v>
      </c>
      <c r="C471" s="62">
        <f t="shared" si="383"/>
        <v>30</v>
      </c>
      <c r="D471" s="62">
        <f t="shared" si="383"/>
        <v>30</v>
      </c>
      <c r="E471" s="62">
        <f t="shared" si="383"/>
        <v>30</v>
      </c>
      <c r="F471" s="62">
        <f t="shared" si="383"/>
        <v>30</v>
      </c>
      <c r="G471" s="62">
        <f t="shared" si="383"/>
        <v>30</v>
      </c>
      <c r="H471" s="62">
        <f t="shared" si="383"/>
        <v>30</v>
      </c>
      <c r="I471" s="62">
        <f t="shared" si="383"/>
        <v>30</v>
      </c>
      <c r="J471" s="62">
        <f t="shared" si="383"/>
        <v>30</v>
      </c>
      <c r="K471" s="62">
        <f t="shared" si="383"/>
        <v>30</v>
      </c>
      <c r="L471" s="62">
        <f t="shared" si="383"/>
        <v>30</v>
      </c>
      <c r="M471" s="62">
        <f t="shared" si="384"/>
        <v>30</v>
      </c>
      <c r="N471" s="62">
        <f t="shared" si="384"/>
        <v>30</v>
      </c>
      <c r="O471" s="62">
        <f t="shared" si="384"/>
        <v>30</v>
      </c>
      <c r="P471" s="62">
        <f t="shared" si="384"/>
        <v>30</v>
      </c>
      <c r="Q471" s="62">
        <f t="shared" si="384"/>
        <v>30</v>
      </c>
      <c r="R471" s="62">
        <f t="shared" si="384"/>
        <v>30</v>
      </c>
      <c r="S471" s="62">
        <f t="shared" si="384"/>
        <v>30</v>
      </c>
      <c r="T471" s="62">
        <f t="shared" si="384"/>
        <v>30</v>
      </c>
      <c r="U471" s="62">
        <f t="shared" si="384"/>
        <v>30</v>
      </c>
      <c r="V471" s="62">
        <f t="shared" si="384"/>
        <v>30</v>
      </c>
      <c r="W471" s="62">
        <f t="shared" si="385"/>
        <v>30</v>
      </c>
      <c r="X471" s="62">
        <f t="shared" si="385"/>
        <v>30</v>
      </c>
      <c r="Y471" s="62">
        <f t="shared" si="385"/>
        <v>30</v>
      </c>
      <c r="Z471" s="62">
        <f t="shared" si="385"/>
        <v>30</v>
      </c>
      <c r="AA471" s="62">
        <f t="shared" si="385"/>
        <v>30</v>
      </c>
      <c r="AB471" s="62">
        <f t="shared" si="385"/>
        <v>30</v>
      </c>
      <c r="AC471" s="62">
        <f t="shared" si="385"/>
        <v>30</v>
      </c>
    </row>
    <row r="472" spans="1:29" x14ac:dyDescent="0.3">
      <c r="A472" s="30" t="str">
        <f>A452</f>
        <v>Tonnage .</v>
      </c>
      <c r="B472" s="62">
        <f>$B452+($C452-$B452)*(1-Q452)</f>
        <v>2800</v>
      </c>
      <c r="C472" s="62">
        <f t="shared" si="383"/>
        <v>2800</v>
      </c>
      <c r="D472" s="62">
        <f t="shared" si="383"/>
        <v>2800</v>
      </c>
      <c r="E472" s="62">
        <f t="shared" si="383"/>
        <v>2800</v>
      </c>
      <c r="F472" s="62">
        <f t="shared" si="383"/>
        <v>2800</v>
      </c>
      <c r="G472" s="62">
        <f t="shared" si="383"/>
        <v>2800</v>
      </c>
      <c r="H472" s="62">
        <f t="shared" si="383"/>
        <v>2800</v>
      </c>
      <c r="I472" s="62">
        <f t="shared" si="383"/>
        <v>2800</v>
      </c>
      <c r="J472" s="62">
        <f t="shared" si="383"/>
        <v>2800</v>
      </c>
      <c r="K472" s="62">
        <f t="shared" si="383"/>
        <v>2800</v>
      </c>
      <c r="L472" s="62">
        <f t="shared" si="383"/>
        <v>2800</v>
      </c>
      <c r="M472" s="62">
        <f t="shared" si="384"/>
        <v>2800</v>
      </c>
      <c r="N472" s="62">
        <f t="shared" si="384"/>
        <v>2800</v>
      </c>
      <c r="O472" s="62">
        <f t="shared" si="384"/>
        <v>2800</v>
      </c>
      <c r="P472" s="62">
        <f t="shared" si="384"/>
        <v>2800</v>
      </c>
      <c r="Q472" s="62">
        <f t="shared" si="384"/>
        <v>2800</v>
      </c>
      <c r="R472" s="62">
        <f t="shared" si="384"/>
        <v>2800</v>
      </c>
      <c r="S472" s="62">
        <f t="shared" si="384"/>
        <v>2800</v>
      </c>
      <c r="T472" s="62">
        <f t="shared" si="384"/>
        <v>2800</v>
      </c>
      <c r="U472" s="62">
        <f t="shared" si="384"/>
        <v>2800</v>
      </c>
      <c r="V472" s="62">
        <f t="shared" si="384"/>
        <v>2800</v>
      </c>
      <c r="W472" s="62">
        <f t="shared" si="385"/>
        <v>2800</v>
      </c>
      <c r="X472" s="62">
        <f t="shared" si="385"/>
        <v>2800</v>
      </c>
      <c r="Y472" s="62">
        <f t="shared" si="385"/>
        <v>2800</v>
      </c>
      <c r="Z472" s="62">
        <f t="shared" si="385"/>
        <v>2800</v>
      </c>
      <c r="AA472" s="62">
        <f t="shared" si="385"/>
        <v>2800</v>
      </c>
      <c r="AB472" s="62">
        <f t="shared" si="385"/>
        <v>2800</v>
      </c>
      <c r="AC472" s="62">
        <f t="shared" si="385"/>
        <v>2800</v>
      </c>
    </row>
    <row r="473" spans="1:29" x14ac:dyDescent="0.3">
      <c r="A473" s="30" t="str">
        <f>A453</f>
        <v>Market failure (av. utilization)</v>
      </c>
      <c r="B473" s="62">
        <f t="shared" ref="B473:K474" si="386">($B453+($C453-$B453)*(1-Q453))*B$44</f>
        <v>716.80000000000007</v>
      </c>
      <c r="C473" s="62">
        <f t="shared" si="386"/>
        <v>716.80000000000007</v>
      </c>
      <c r="D473" s="62">
        <f t="shared" si="386"/>
        <v>716.80000000000007</v>
      </c>
      <c r="E473" s="62">
        <f t="shared" si="386"/>
        <v>716.80000000000007</v>
      </c>
      <c r="F473" s="62">
        <f t="shared" si="386"/>
        <v>716.80000000000007</v>
      </c>
      <c r="G473" s="62">
        <f t="shared" si="386"/>
        <v>716.80000000000007</v>
      </c>
      <c r="H473" s="62">
        <f t="shared" si="386"/>
        <v>716.80000000000007</v>
      </c>
      <c r="I473" s="62">
        <f t="shared" si="386"/>
        <v>716.80000000000007</v>
      </c>
      <c r="J473" s="62">
        <f t="shared" si="386"/>
        <v>716.80000000000007</v>
      </c>
      <c r="K473" s="62">
        <f t="shared" si="386"/>
        <v>716.80000000000007</v>
      </c>
      <c r="L473" s="62">
        <f t="shared" ref="L473:U474" si="387">($B453+($C453-$B453)*(1-AA453))*L$44</f>
        <v>716.80000000000007</v>
      </c>
      <c r="M473" s="62">
        <f t="shared" si="387"/>
        <v>716.80000000000007</v>
      </c>
      <c r="N473" s="62">
        <f t="shared" si="387"/>
        <v>716.80000000000007</v>
      </c>
      <c r="O473" s="62">
        <f t="shared" si="387"/>
        <v>716.80000000000007</v>
      </c>
      <c r="P473" s="62">
        <f t="shared" si="387"/>
        <v>716.80000000000007</v>
      </c>
      <c r="Q473" s="62">
        <f t="shared" si="387"/>
        <v>716.80000000000007</v>
      </c>
      <c r="R473" s="62">
        <f t="shared" si="387"/>
        <v>716.80000000000007</v>
      </c>
      <c r="S473" s="62">
        <f t="shared" si="387"/>
        <v>716.80000000000007</v>
      </c>
      <c r="T473" s="62">
        <f t="shared" si="387"/>
        <v>716.80000000000007</v>
      </c>
      <c r="U473" s="62">
        <f t="shared" si="387"/>
        <v>716.80000000000007</v>
      </c>
      <c r="V473" s="62">
        <f t="shared" ref="V473:AC474" si="388">($B453+($C453-$B453)*(1-AK453))*V$44</f>
        <v>716.80000000000007</v>
      </c>
      <c r="W473" s="62">
        <f t="shared" si="388"/>
        <v>716.80000000000007</v>
      </c>
      <c r="X473" s="62">
        <f t="shared" si="388"/>
        <v>716.80000000000007</v>
      </c>
      <c r="Y473" s="62">
        <f t="shared" si="388"/>
        <v>716.80000000000007</v>
      </c>
      <c r="Z473" s="62">
        <f t="shared" si="388"/>
        <v>716.80000000000007</v>
      </c>
      <c r="AA473" s="62">
        <f t="shared" si="388"/>
        <v>716.80000000000007</v>
      </c>
      <c r="AB473" s="62">
        <f t="shared" si="388"/>
        <v>716.80000000000007</v>
      </c>
      <c r="AC473" s="62">
        <f t="shared" si="388"/>
        <v>716.80000000000007</v>
      </c>
    </row>
    <row r="474" spans="1:29" x14ac:dyDescent="0.3">
      <c r="A474" s="30" t="s">
        <v>73</v>
      </c>
      <c r="B474" s="62">
        <f t="shared" si="386"/>
        <v>40</v>
      </c>
      <c r="C474" s="62">
        <f t="shared" si="386"/>
        <v>40</v>
      </c>
      <c r="D474" s="62">
        <f t="shared" si="386"/>
        <v>40</v>
      </c>
      <c r="E474" s="62">
        <f t="shared" si="386"/>
        <v>40</v>
      </c>
      <c r="F474" s="62">
        <f t="shared" si="386"/>
        <v>40</v>
      </c>
      <c r="G474" s="62">
        <f t="shared" si="386"/>
        <v>40</v>
      </c>
      <c r="H474" s="62">
        <f t="shared" si="386"/>
        <v>40</v>
      </c>
      <c r="I474" s="62">
        <f t="shared" si="386"/>
        <v>40</v>
      </c>
      <c r="J474" s="62">
        <f t="shared" si="386"/>
        <v>40</v>
      </c>
      <c r="K474" s="62">
        <f t="shared" si="386"/>
        <v>40</v>
      </c>
      <c r="L474" s="62">
        <f t="shared" si="387"/>
        <v>40</v>
      </c>
      <c r="M474" s="62">
        <f t="shared" si="387"/>
        <v>40</v>
      </c>
      <c r="N474" s="62">
        <f t="shared" si="387"/>
        <v>40</v>
      </c>
      <c r="O474" s="62">
        <f t="shared" si="387"/>
        <v>40</v>
      </c>
      <c r="P474" s="62">
        <f t="shared" si="387"/>
        <v>40</v>
      </c>
      <c r="Q474" s="62">
        <f t="shared" si="387"/>
        <v>40</v>
      </c>
      <c r="R474" s="62">
        <f t="shared" si="387"/>
        <v>40</v>
      </c>
      <c r="S474" s="62">
        <f t="shared" si="387"/>
        <v>40</v>
      </c>
      <c r="T474" s="62">
        <f t="shared" si="387"/>
        <v>40</v>
      </c>
      <c r="U474" s="62">
        <f t="shared" si="387"/>
        <v>40</v>
      </c>
      <c r="V474" s="62">
        <f t="shared" si="388"/>
        <v>40</v>
      </c>
      <c r="W474" s="62">
        <f t="shared" si="388"/>
        <v>40</v>
      </c>
      <c r="X474" s="62">
        <f t="shared" si="388"/>
        <v>40</v>
      </c>
      <c r="Y474" s="62">
        <f t="shared" si="388"/>
        <v>40</v>
      </c>
      <c r="Z474" s="62">
        <f t="shared" si="388"/>
        <v>40</v>
      </c>
      <c r="AA474" s="62">
        <f t="shared" si="388"/>
        <v>40</v>
      </c>
      <c r="AB474" s="62">
        <f t="shared" si="388"/>
        <v>40</v>
      </c>
      <c r="AC474" s="62">
        <f t="shared" si="388"/>
        <v>40</v>
      </c>
    </row>
    <row r="475" spans="1:29" x14ac:dyDescent="0.3">
      <c r="A475" s="30" t="str">
        <f>A455</f>
        <v>Annual Mileage</v>
      </c>
      <c r="B475" s="62">
        <f t="shared" ref="B475:AC475" si="389">$B455+($C455-$B455)*(1-Q455)</f>
        <v>178500</v>
      </c>
      <c r="C475" s="62">
        <f t="shared" si="389"/>
        <v>178500</v>
      </c>
      <c r="D475" s="62">
        <f t="shared" si="389"/>
        <v>178500</v>
      </c>
      <c r="E475" s="62">
        <f t="shared" si="389"/>
        <v>178500</v>
      </c>
      <c r="F475" s="62">
        <f t="shared" si="389"/>
        <v>178500</v>
      </c>
      <c r="G475" s="62">
        <f t="shared" si="389"/>
        <v>178500</v>
      </c>
      <c r="H475" s="62">
        <f t="shared" si="389"/>
        <v>178500</v>
      </c>
      <c r="I475" s="62">
        <f t="shared" si="389"/>
        <v>178500</v>
      </c>
      <c r="J475" s="62">
        <f t="shared" si="389"/>
        <v>178500</v>
      </c>
      <c r="K475" s="62">
        <f t="shared" si="389"/>
        <v>178500</v>
      </c>
      <c r="L475" s="62">
        <f t="shared" si="389"/>
        <v>178500</v>
      </c>
      <c r="M475" s="62">
        <f t="shared" si="389"/>
        <v>178500</v>
      </c>
      <c r="N475" s="62">
        <f t="shared" si="389"/>
        <v>178500</v>
      </c>
      <c r="O475" s="62">
        <f t="shared" si="389"/>
        <v>178500</v>
      </c>
      <c r="P475" s="62">
        <f t="shared" si="389"/>
        <v>178500</v>
      </c>
      <c r="Q475" s="62">
        <f t="shared" si="389"/>
        <v>178500</v>
      </c>
      <c r="R475" s="62">
        <f t="shared" si="389"/>
        <v>178500</v>
      </c>
      <c r="S475" s="62">
        <f t="shared" si="389"/>
        <v>178500</v>
      </c>
      <c r="T475" s="62">
        <f t="shared" si="389"/>
        <v>178500</v>
      </c>
      <c r="U475" s="62">
        <f t="shared" si="389"/>
        <v>178500</v>
      </c>
      <c r="V475" s="62">
        <f t="shared" si="389"/>
        <v>178500</v>
      </c>
      <c r="W475" s="62">
        <f t="shared" si="389"/>
        <v>178500</v>
      </c>
      <c r="X475" s="62">
        <f t="shared" si="389"/>
        <v>178500</v>
      </c>
      <c r="Y475" s="62">
        <f t="shared" si="389"/>
        <v>178500</v>
      </c>
      <c r="Z475" s="62">
        <f t="shared" si="389"/>
        <v>178500</v>
      </c>
      <c r="AA475" s="62">
        <f t="shared" si="389"/>
        <v>178500</v>
      </c>
      <c r="AB475" s="62">
        <f t="shared" si="389"/>
        <v>178500</v>
      </c>
      <c r="AC475" s="62">
        <f t="shared" si="389"/>
        <v>178500</v>
      </c>
    </row>
    <row r="476" spans="1:29" ht="15" thickBot="1" x14ac:dyDescent="0.35">
      <c r="AC476" s="32"/>
    </row>
    <row r="477" spans="1:29" ht="15" thickBot="1" x14ac:dyDescent="0.35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3">
      <c r="A478" s="29" t="str">
        <f>A459</f>
        <v>Capex vehicle</v>
      </c>
      <c r="B478" s="63">
        <f>((1+B463)^B470)*B463/(((1+B463)^B470)-1)*(B459)</f>
        <v>864939.43423004472</v>
      </c>
      <c r="C478" s="63">
        <f t="shared" ref="C478:AC478" si="390">((1+C463)^C470)*C463/(((1+C463)^C470)-1)*(C459)</f>
        <v>861982.43190795113</v>
      </c>
      <c r="D478" s="63">
        <f t="shared" si="390"/>
        <v>857783.91250214854</v>
      </c>
      <c r="E478" s="63">
        <f t="shared" si="390"/>
        <v>851849.70877400215</v>
      </c>
      <c r="F478" s="63">
        <f t="shared" si="390"/>
        <v>843518.19380158815</v>
      </c>
      <c r="G478" s="63">
        <f t="shared" si="390"/>
        <v>831934.36355634325</v>
      </c>
      <c r="H478" s="63">
        <f t="shared" si="390"/>
        <v>816053.36564206402</v>
      </c>
      <c r="I478" s="63">
        <f t="shared" si="390"/>
        <v>794711.00618420995</v>
      </c>
      <c r="J478" s="63">
        <f t="shared" si="390"/>
        <v>766812.41933217109</v>
      </c>
      <c r="K478" s="63">
        <f t="shared" si="390"/>
        <v>731678.86466524214</v>
      </c>
      <c r="L478" s="63">
        <f t="shared" si="390"/>
        <v>689519.60757377208</v>
      </c>
      <c r="M478" s="63">
        <f t="shared" si="390"/>
        <v>641847.03038194508</v>
      </c>
      <c r="N478" s="63">
        <f t="shared" si="390"/>
        <v>591519.28623619571</v>
      </c>
      <c r="O478" s="63">
        <f t="shared" si="390"/>
        <v>542181.89795982966</v>
      </c>
      <c r="P478" s="63">
        <f t="shared" si="390"/>
        <v>497269.05787303421</v>
      </c>
      <c r="Q478" s="63">
        <f t="shared" si="390"/>
        <v>459099.53951067774</v>
      </c>
      <c r="R478" s="63">
        <f t="shared" si="390"/>
        <v>428532.59107587172</v>
      </c>
      <c r="S478" s="63">
        <f t="shared" si="390"/>
        <v>405208.65276213008</v>
      </c>
      <c r="T478" s="63">
        <f t="shared" si="390"/>
        <v>388063.68751897325</v>
      </c>
      <c r="U478" s="63">
        <f t="shared" si="390"/>
        <v>375805.28540057357</v>
      </c>
      <c r="V478" s="63">
        <f t="shared" si="390"/>
        <v>367213.95583211613</v>
      </c>
      <c r="W478" s="63">
        <f t="shared" si="390"/>
        <v>361276.81903592765</v>
      </c>
      <c r="X478" s="63">
        <f t="shared" si="390"/>
        <v>357213.74046742113</v>
      </c>
      <c r="Y478" s="63">
        <f t="shared" si="390"/>
        <v>354451.73213606392</v>
      </c>
      <c r="Z478" s="63">
        <f t="shared" si="390"/>
        <v>352582.71183221939</v>
      </c>
      <c r="AA478" s="63">
        <f t="shared" si="390"/>
        <v>351321.86878395046</v>
      </c>
      <c r="AB478" s="63">
        <f t="shared" si="390"/>
        <v>350473.07550719258</v>
      </c>
      <c r="AC478" s="63">
        <f t="shared" si="390"/>
        <v>349902.47455161036</v>
      </c>
    </row>
    <row r="479" spans="1:29" x14ac:dyDescent="0.3">
      <c r="A479" s="30" t="str">
        <f>A460</f>
        <v>Residual value (vehicle)</v>
      </c>
      <c r="B479" s="62">
        <f>((1+B463)^B470)*B463/(((1+B463)^B470)-1)*(B460)</f>
        <v>-43707.380747400188</v>
      </c>
      <c r="C479" s="62">
        <f t="shared" ref="C479:AC479" si="391">((1+C463)^C470)*C463/(((1+C463)^C470)-1)*(C460)</f>
        <v>-43756.664119435081</v>
      </c>
      <c r="D479" s="62">
        <f t="shared" si="391"/>
        <v>-43826.639442865126</v>
      </c>
      <c r="E479" s="62">
        <f t="shared" si="391"/>
        <v>-43925.54283833423</v>
      </c>
      <c r="F479" s="62">
        <f t="shared" si="391"/>
        <v>-44064.401421207796</v>
      </c>
      <c r="G479" s="62">
        <f t="shared" si="391"/>
        <v>-44257.465258628545</v>
      </c>
      <c r="H479" s="62">
        <f t="shared" si="391"/>
        <v>-44522.148557199871</v>
      </c>
      <c r="I479" s="62">
        <f t="shared" si="391"/>
        <v>-44877.854548164105</v>
      </c>
      <c r="J479" s="62">
        <f t="shared" si="391"/>
        <v>-45342.830995698081</v>
      </c>
      <c r="K479" s="62">
        <f t="shared" si="391"/>
        <v>-45928.390240146902</v>
      </c>
      <c r="L479" s="62">
        <f t="shared" si="391"/>
        <v>-46631.044525004734</v>
      </c>
      <c r="M479" s="62">
        <f t="shared" si="391"/>
        <v>-47425.587478201858</v>
      </c>
      <c r="N479" s="62">
        <f t="shared" si="391"/>
        <v>-48264.383213964342</v>
      </c>
      <c r="O479" s="62">
        <f t="shared" si="391"/>
        <v>-49086.673018570444</v>
      </c>
      <c r="P479" s="62">
        <f t="shared" si="391"/>
        <v>-49835.220353350363</v>
      </c>
      <c r="Q479" s="62">
        <f t="shared" si="391"/>
        <v>-50471.378992722974</v>
      </c>
      <c r="R479" s="62">
        <f t="shared" si="391"/>
        <v>-50980.828133303068</v>
      </c>
      <c r="S479" s="62">
        <f t="shared" si="391"/>
        <v>-51369.560438532098</v>
      </c>
      <c r="T479" s="62">
        <f t="shared" si="391"/>
        <v>-51655.309859251378</v>
      </c>
      <c r="U479" s="62">
        <f t="shared" si="391"/>
        <v>-51859.616561224706</v>
      </c>
      <c r="V479" s="62">
        <f t="shared" si="391"/>
        <v>-52002.805387365668</v>
      </c>
      <c r="W479" s="62">
        <f t="shared" si="391"/>
        <v>-52101.757667302139</v>
      </c>
      <c r="X479" s="62">
        <f t="shared" si="391"/>
        <v>-52169.475643443919</v>
      </c>
      <c r="Y479" s="62">
        <f t="shared" si="391"/>
        <v>-52215.509115633206</v>
      </c>
      <c r="Z479" s="62">
        <f t="shared" si="391"/>
        <v>-52246.659454030618</v>
      </c>
      <c r="AA479" s="62">
        <f t="shared" si="391"/>
        <v>-52267.673504835089</v>
      </c>
      <c r="AB479" s="62">
        <f t="shared" si="391"/>
        <v>-52281.820059447724</v>
      </c>
      <c r="AC479" s="62">
        <f t="shared" si="391"/>
        <v>-52291.330075374099</v>
      </c>
    </row>
    <row r="480" spans="1:29" x14ac:dyDescent="0.3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392">((1+C463)^C471)*C463/(((1+C463)^C471)-1)*(C461)</f>
        <v>254271.19021516517</v>
      </c>
      <c r="D480" s="62">
        <f t="shared" si="392"/>
        <v>254271.19021516517</v>
      </c>
      <c r="E480" s="62">
        <f t="shared" si="392"/>
        <v>254271.19021516517</v>
      </c>
      <c r="F480" s="62">
        <f t="shared" si="392"/>
        <v>254271.19021516517</v>
      </c>
      <c r="G480" s="62">
        <f t="shared" si="392"/>
        <v>254271.19021516517</v>
      </c>
      <c r="H480" s="62">
        <f t="shared" si="392"/>
        <v>254271.19021516517</v>
      </c>
      <c r="I480" s="62">
        <f t="shared" si="392"/>
        <v>254271.19021516517</v>
      </c>
      <c r="J480" s="62">
        <f t="shared" si="392"/>
        <v>254271.19021516517</v>
      </c>
      <c r="K480" s="62">
        <f t="shared" si="392"/>
        <v>254271.19021516517</v>
      </c>
      <c r="L480" s="62">
        <f t="shared" si="392"/>
        <v>254271.19021516517</v>
      </c>
      <c r="M480" s="62">
        <f t="shared" si="392"/>
        <v>254271.19021516517</v>
      </c>
      <c r="N480" s="62">
        <f t="shared" si="392"/>
        <v>254271.19021516517</v>
      </c>
      <c r="O480" s="62">
        <f t="shared" si="392"/>
        <v>254271.19021516517</v>
      </c>
      <c r="P480" s="62">
        <f t="shared" si="392"/>
        <v>254271.19021516517</v>
      </c>
      <c r="Q480" s="62">
        <f t="shared" si="392"/>
        <v>254271.19021516517</v>
      </c>
      <c r="R480" s="62">
        <f t="shared" si="392"/>
        <v>254271.19021516517</v>
      </c>
      <c r="S480" s="62">
        <f t="shared" si="392"/>
        <v>254271.19021516517</v>
      </c>
      <c r="T480" s="62">
        <f t="shared" si="392"/>
        <v>254271.19021516517</v>
      </c>
      <c r="U480" s="62">
        <f t="shared" si="392"/>
        <v>254271.19021516517</v>
      </c>
      <c r="V480" s="62">
        <f t="shared" si="392"/>
        <v>254271.19021516517</v>
      </c>
      <c r="W480" s="62">
        <f t="shared" si="392"/>
        <v>254271.19021516517</v>
      </c>
      <c r="X480" s="62">
        <f t="shared" si="392"/>
        <v>254271.19021516517</v>
      </c>
      <c r="Y480" s="62">
        <f t="shared" si="392"/>
        <v>254271.19021516517</v>
      </c>
      <c r="Z480" s="62">
        <f t="shared" si="392"/>
        <v>254271.19021516517</v>
      </c>
      <c r="AA480" s="62">
        <f t="shared" si="392"/>
        <v>254271.19021516517</v>
      </c>
      <c r="AB480" s="62">
        <f t="shared" si="392"/>
        <v>254271.19021516517</v>
      </c>
      <c r="AC480" s="62">
        <f t="shared" si="392"/>
        <v>254271.19021516517</v>
      </c>
    </row>
    <row r="481" spans="1:29" x14ac:dyDescent="0.3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393">((1+C463)^C471)*C463/(((1+C463)^C471)-1)*(C462)</f>
        <v>-12713.559510758259</v>
      </c>
      <c r="D481" s="62">
        <f t="shared" si="393"/>
        <v>-12713.559510758259</v>
      </c>
      <c r="E481" s="62">
        <f t="shared" si="393"/>
        <v>-12713.559510758259</v>
      </c>
      <c r="F481" s="62">
        <f t="shared" si="393"/>
        <v>-12713.559510758259</v>
      </c>
      <c r="G481" s="62">
        <f t="shared" si="393"/>
        <v>-12713.559510758259</v>
      </c>
      <c r="H481" s="62">
        <f t="shared" si="393"/>
        <v>-12713.559510758259</v>
      </c>
      <c r="I481" s="62">
        <f t="shared" si="393"/>
        <v>-12713.559510758259</v>
      </c>
      <c r="J481" s="62">
        <f t="shared" si="393"/>
        <v>-12713.559510758259</v>
      </c>
      <c r="K481" s="62">
        <f t="shared" si="393"/>
        <v>-12713.559510758259</v>
      </c>
      <c r="L481" s="62">
        <f t="shared" si="393"/>
        <v>-12713.559510758259</v>
      </c>
      <c r="M481" s="62">
        <f t="shared" si="393"/>
        <v>-12713.559510758259</v>
      </c>
      <c r="N481" s="62">
        <f t="shared" si="393"/>
        <v>-12713.559510758259</v>
      </c>
      <c r="O481" s="62">
        <f t="shared" si="393"/>
        <v>-12713.559510758259</v>
      </c>
      <c r="P481" s="62">
        <f t="shared" si="393"/>
        <v>-12713.559510758259</v>
      </c>
      <c r="Q481" s="62">
        <f t="shared" si="393"/>
        <v>-12713.559510758259</v>
      </c>
      <c r="R481" s="62">
        <f t="shared" si="393"/>
        <v>-12713.559510758259</v>
      </c>
      <c r="S481" s="62">
        <f t="shared" si="393"/>
        <v>-12713.559510758259</v>
      </c>
      <c r="T481" s="62">
        <f t="shared" si="393"/>
        <v>-12713.559510758259</v>
      </c>
      <c r="U481" s="62">
        <f t="shared" si="393"/>
        <v>-12713.559510758259</v>
      </c>
      <c r="V481" s="62">
        <f t="shared" si="393"/>
        <v>-12713.559510758259</v>
      </c>
      <c r="W481" s="62">
        <f t="shared" si="393"/>
        <v>-12713.559510758259</v>
      </c>
      <c r="X481" s="62">
        <f t="shared" si="393"/>
        <v>-12713.559510758259</v>
      </c>
      <c r="Y481" s="62">
        <f t="shared" si="393"/>
        <v>-12713.559510758259</v>
      </c>
      <c r="Z481" s="62">
        <f t="shared" si="393"/>
        <v>-12713.559510758259</v>
      </c>
      <c r="AA481" s="62">
        <f t="shared" si="393"/>
        <v>-12713.559510758259</v>
      </c>
      <c r="AB481" s="62">
        <f t="shared" si="393"/>
        <v>-12713.559510758259</v>
      </c>
      <c r="AC481" s="62">
        <f t="shared" si="393"/>
        <v>-12713.559510758259</v>
      </c>
    </row>
    <row r="482" spans="1:29" x14ac:dyDescent="0.3">
      <c r="A482" s="30" t="str">
        <f t="shared" ref="A482:AC482" si="394">A464</f>
        <v>Opex fix (admin, crew, insurance)</v>
      </c>
      <c r="B482" s="62">
        <f t="shared" si="394"/>
        <v>650000</v>
      </c>
      <c r="C482" s="62">
        <f t="shared" si="394"/>
        <v>650000</v>
      </c>
      <c r="D482" s="62">
        <f t="shared" si="394"/>
        <v>650000</v>
      </c>
      <c r="E482" s="62">
        <f t="shared" si="394"/>
        <v>650000</v>
      </c>
      <c r="F482" s="62">
        <f t="shared" si="394"/>
        <v>650000</v>
      </c>
      <c r="G482" s="62">
        <f t="shared" si="394"/>
        <v>650000</v>
      </c>
      <c r="H482" s="62">
        <f t="shared" si="394"/>
        <v>650000</v>
      </c>
      <c r="I482" s="62">
        <f t="shared" si="394"/>
        <v>650000</v>
      </c>
      <c r="J482" s="62">
        <f t="shared" si="394"/>
        <v>650000</v>
      </c>
      <c r="K482" s="62">
        <f t="shared" si="394"/>
        <v>650000</v>
      </c>
      <c r="L482" s="62">
        <f t="shared" si="394"/>
        <v>650000</v>
      </c>
      <c r="M482" s="62">
        <f t="shared" si="394"/>
        <v>650000</v>
      </c>
      <c r="N482" s="62">
        <f t="shared" si="394"/>
        <v>650000</v>
      </c>
      <c r="O482" s="62">
        <f t="shared" si="394"/>
        <v>650000</v>
      </c>
      <c r="P482" s="62">
        <f t="shared" si="394"/>
        <v>650000</v>
      </c>
      <c r="Q482" s="62">
        <f t="shared" si="394"/>
        <v>650000</v>
      </c>
      <c r="R482" s="62">
        <f t="shared" si="394"/>
        <v>650000</v>
      </c>
      <c r="S482" s="62">
        <f t="shared" si="394"/>
        <v>650000</v>
      </c>
      <c r="T482" s="62">
        <f t="shared" si="394"/>
        <v>650000</v>
      </c>
      <c r="U482" s="62">
        <f t="shared" si="394"/>
        <v>650000</v>
      </c>
      <c r="V482" s="62">
        <f t="shared" si="394"/>
        <v>650000</v>
      </c>
      <c r="W482" s="62">
        <f t="shared" si="394"/>
        <v>650000</v>
      </c>
      <c r="X482" s="62">
        <f t="shared" si="394"/>
        <v>650000</v>
      </c>
      <c r="Y482" s="62">
        <f t="shared" si="394"/>
        <v>650000</v>
      </c>
      <c r="Z482" s="62">
        <f t="shared" si="394"/>
        <v>650000</v>
      </c>
      <c r="AA482" s="62">
        <f t="shared" si="394"/>
        <v>650000</v>
      </c>
      <c r="AB482" s="62">
        <f t="shared" si="394"/>
        <v>650000</v>
      </c>
      <c r="AC482" s="62">
        <f t="shared" si="394"/>
        <v>650000</v>
      </c>
    </row>
    <row r="483" spans="1:29" x14ac:dyDescent="0.3">
      <c r="A483" s="30" t="str">
        <f t="shared" ref="A483:AC483" si="395">A465</f>
        <v>Opex maintenance &amp; repair</v>
      </c>
      <c r="B483" s="62">
        <f t="shared" si="395"/>
        <v>1388910.2037228637</v>
      </c>
      <c r="C483" s="62">
        <f t="shared" si="395"/>
        <v>1384161.8820080096</v>
      </c>
      <c r="D483" s="62">
        <f t="shared" si="395"/>
        <v>1377419.9458533253</v>
      </c>
      <c r="E483" s="62">
        <f t="shared" si="395"/>
        <v>1367890.8669573795</v>
      </c>
      <c r="F483" s="62">
        <f t="shared" si="395"/>
        <v>1354512.2121062956</v>
      </c>
      <c r="G483" s="62">
        <f t="shared" si="395"/>
        <v>1335911.0252611889</v>
      </c>
      <c r="H483" s="62">
        <f t="shared" si="395"/>
        <v>1310409.4939683313</v>
      </c>
      <c r="I483" s="62">
        <f t="shared" si="395"/>
        <v>1276138.1685443469</v>
      </c>
      <c r="J483" s="62">
        <f t="shared" si="395"/>
        <v>1231338.9254820407</v>
      </c>
      <c r="K483" s="62">
        <f t="shared" si="395"/>
        <v>1174921.8508999445</v>
      </c>
      <c r="L483" s="62">
        <f t="shared" si="395"/>
        <v>1107222.9808538083</v>
      </c>
      <c r="M483" s="62">
        <f t="shared" si="395"/>
        <v>1030670.8821991365</v>
      </c>
      <c r="N483" s="62">
        <f t="shared" si="395"/>
        <v>949855.14573475695</v>
      </c>
      <c r="O483" s="62">
        <f t="shared" si="395"/>
        <v>870629.71180240111</v>
      </c>
      <c r="P483" s="62">
        <f t="shared" si="395"/>
        <v>798509.16855274222</v>
      </c>
      <c r="Q483" s="62">
        <f t="shared" si="395"/>
        <v>737216.97695338901</v>
      </c>
      <c r="R483" s="62">
        <f t="shared" si="395"/>
        <v>688132.90829190495</v>
      </c>
      <c r="S483" s="62">
        <f t="shared" si="395"/>
        <v>650679.58539676399</v>
      </c>
      <c r="T483" s="62">
        <f t="shared" si="395"/>
        <v>623148.38930799719</v>
      </c>
      <c r="U483" s="62">
        <f t="shared" si="395"/>
        <v>603463.98238910188</v>
      </c>
      <c r="V483" s="62">
        <f t="shared" si="395"/>
        <v>589668.12012529059</v>
      </c>
      <c r="W483" s="62">
        <f t="shared" si="395"/>
        <v>580134.33134103287</v>
      </c>
      <c r="X483" s="62">
        <f t="shared" si="395"/>
        <v>573609.8845890474</v>
      </c>
      <c r="Y483" s="62">
        <f t="shared" si="395"/>
        <v>569174.682073851</v>
      </c>
      <c r="Z483" s="62">
        <f t="shared" si="395"/>
        <v>566173.42988411163</v>
      </c>
      <c r="AA483" s="62">
        <f t="shared" si="395"/>
        <v>564148.78202354477</v>
      </c>
      <c r="AB483" s="62">
        <f t="shared" si="395"/>
        <v>562785.79914140829</v>
      </c>
      <c r="AC483" s="62">
        <f t="shared" si="395"/>
        <v>561869.53442032111</v>
      </c>
    </row>
    <row r="484" spans="1:29" x14ac:dyDescent="0.3">
      <c r="A484" s="30" t="str">
        <f>A466</f>
        <v>Opex var (mode-fees, shunting)</v>
      </c>
      <c r="B484" s="62">
        <f>B466*B475</f>
        <v>700000</v>
      </c>
      <c r="C484" s="62">
        <f t="shared" ref="C484:AC484" si="396">C466*C475</f>
        <v>700000</v>
      </c>
      <c r="D484" s="62">
        <f t="shared" si="396"/>
        <v>700000</v>
      </c>
      <c r="E484" s="62">
        <f t="shared" si="396"/>
        <v>700000</v>
      </c>
      <c r="F484" s="62">
        <f t="shared" si="396"/>
        <v>700000</v>
      </c>
      <c r="G484" s="62">
        <f t="shared" si="396"/>
        <v>700000</v>
      </c>
      <c r="H484" s="62">
        <f t="shared" si="396"/>
        <v>700000</v>
      </c>
      <c r="I484" s="62">
        <f t="shared" si="396"/>
        <v>700000</v>
      </c>
      <c r="J484" s="62">
        <f t="shared" si="396"/>
        <v>700000</v>
      </c>
      <c r="K484" s="62">
        <f t="shared" si="396"/>
        <v>700000</v>
      </c>
      <c r="L484" s="62">
        <f t="shared" si="396"/>
        <v>700000</v>
      </c>
      <c r="M484" s="62">
        <f t="shared" si="396"/>
        <v>700000</v>
      </c>
      <c r="N484" s="62">
        <f t="shared" si="396"/>
        <v>700000</v>
      </c>
      <c r="O484" s="62">
        <f t="shared" si="396"/>
        <v>700000</v>
      </c>
      <c r="P484" s="62">
        <f t="shared" si="396"/>
        <v>700000</v>
      </c>
      <c r="Q484" s="62">
        <f t="shared" si="396"/>
        <v>700000</v>
      </c>
      <c r="R484" s="62">
        <f t="shared" si="396"/>
        <v>700000</v>
      </c>
      <c r="S484" s="62">
        <f t="shared" si="396"/>
        <v>700000</v>
      </c>
      <c r="T484" s="62">
        <f t="shared" si="396"/>
        <v>700000</v>
      </c>
      <c r="U484" s="62">
        <f t="shared" si="396"/>
        <v>700000</v>
      </c>
      <c r="V484" s="62">
        <f t="shared" si="396"/>
        <v>700000</v>
      </c>
      <c r="W484" s="62">
        <f t="shared" si="396"/>
        <v>700000</v>
      </c>
      <c r="X484" s="62">
        <f t="shared" si="396"/>
        <v>700000</v>
      </c>
      <c r="Y484" s="62">
        <f t="shared" si="396"/>
        <v>700000</v>
      </c>
      <c r="Z484" s="62">
        <f t="shared" si="396"/>
        <v>700000</v>
      </c>
      <c r="AA484" s="62">
        <f t="shared" si="396"/>
        <v>700000</v>
      </c>
      <c r="AB484" s="62">
        <f t="shared" si="396"/>
        <v>700000</v>
      </c>
      <c r="AC484" s="62">
        <f t="shared" si="396"/>
        <v>700000</v>
      </c>
    </row>
    <row r="485" spans="1:29" x14ac:dyDescent="0.3">
      <c r="A485" s="30" t="str">
        <f>A468</f>
        <v>Fuel Cost</v>
      </c>
      <c r="B485" s="62">
        <f>B467*B468*B475</f>
        <v>1511870.5321473095</v>
      </c>
      <c r="C485" s="62">
        <f t="shared" ref="C485:AC485" si="397">C467*C468*C475</f>
        <v>1506001.0992392392</v>
      </c>
      <c r="D485" s="62">
        <f t="shared" si="397"/>
        <v>1497680.9867304179</v>
      </c>
      <c r="E485" s="62">
        <f t="shared" si="397"/>
        <v>1485948.6090472133</v>
      </c>
      <c r="F485" s="62">
        <f t="shared" si="397"/>
        <v>1469530.5285285865</v>
      </c>
      <c r="G485" s="62">
        <f t="shared" si="397"/>
        <v>1446808.1840601345</v>
      </c>
      <c r="H485" s="62">
        <f t="shared" si="397"/>
        <v>1415854.7421123276</v>
      </c>
      <c r="I485" s="62">
        <f t="shared" si="397"/>
        <v>1374617.3454786271</v>
      </c>
      <c r="J485" s="62">
        <f t="shared" si="397"/>
        <v>1321335.8534185686</v>
      </c>
      <c r="K485" s="62">
        <f t="shared" si="397"/>
        <v>1255242.3322017342</v>
      </c>
      <c r="L485" s="62">
        <f t="shared" si="397"/>
        <v>1177411.5731662551</v>
      </c>
      <c r="M485" s="62">
        <f t="shared" si="397"/>
        <v>1091347.0753193009</v>
      </c>
      <c r="N485" s="62">
        <f t="shared" si="397"/>
        <v>1002728.5716732802</v>
      </c>
      <c r="O485" s="62">
        <f t="shared" si="397"/>
        <v>918086.57463695353</v>
      </c>
      <c r="P485" s="62">
        <f t="shared" si="397"/>
        <v>842957.23478644865</v>
      </c>
      <c r="Q485" s="62">
        <f t="shared" si="397"/>
        <v>780547.88258085051</v>
      </c>
      <c r="R485" s="62">
        <f t="shared" si="397"/>
        <v>731523.15548142116</v>
      </c>
      <c r="S485" s="62">
        <f t="shared" si="397"/>
        <v>694685.82935102109</v>
      </c>
      <c r="T485" s="62">
        <f t="shared" si="397"/>
        <v>667922.47707927588</v>
      </c>
      <c r="U485" s="62">
        <f t="shared" si="397"/>
        <v>648950.7242220171</v>
      </c>
      <c r="V485" s="62">
        <f t="shared" si="397"/>
        <v>635735.65970286133</v>
      </c>
      <c r="W485" s="62">
        <f t="shared" si="397"/>
        <v>626642.40303248633</v>
      </c>
      <c r="X485" s="62">
        <f t="shared" si="397"/>
        <v>620437.88314499462</v>
      </c>
      <c r="Y485" s="62">
        <f t="shared" si="397"/>
        <v>616228.72046879085</v>
      </c>
      <c r="Z485" s="62">
        <f t="shared" si="397"/>
        <v>613384.35694244877</v>
      </c>
      <c r="AA485" s="62">
        <f t="shared" si="397"/>
        <v>611467.33813842642</v>
      </c>
      <c r="AB485" s="62">
        <f t="shared" si="397"/>
        <v>610177.62364407699</v>
      </c>
      <c r="AC485" s="62">
        <f t="shared" si="397"/>
        <v>609310.98130686174</v>
      </c>
    </row>
    <row r="486" spans="1:29" ht="15" thickBot="1" x14ac:dyDescent="0.35">
      <c r="A486" s="59" t="str">
        <f>A449</f>
        <v>Emission Cost</v>
      </c>
      <c r="B486" s="62">
        <f>B469*B475</f>
        <v>25377.897847861244</v>
      </c>
      <c r="C486" s="62">
        <f t="shared" ref="C486:AC486" si="398">C469*C475</f>
        <v>25353.731905742414</v>
      </c>
      <c r="D486" s="62">
        <f t="shared" si="398"/>
        <v>25319.138897852274</v>
      </c>
      <c r="E486" s="62">
        <f t="shared" si="398"/>
        <v>25269.651167376363</v>
      </c>
      <c r="F486" s="62">
        <f t="shared" si="398"/>
        <v>25198.922280516395</v>
      </c>
      <c r="G486" s="62">
        <f t="shared" si="398"/>
        <v>25097.976873820924</v>
      </c>
      <c r="H486" s="62">
        <f t="shared" si="398"/>
        <v>24954.20585006753</v>
      </c>
      <c r="I486" s="62">
        <f t="shared" si="398"/>
        <v>24750.071606171052</v>
      </c>
      <c r="J486" s="62">
        <f t="shared" si="398"/>
        <v>24461.547468471788</v>
      </c>
      <c r="K486" s="62">
        <f t="shared" si="398"/>
        <v>24056.464784548647</v>
      </c>
      <c r="L486" s="62">
        <f t="shared" si="398"/>
        <v>23493.252804327683</v>
      </c>
      <c r="M486" s="62">
        <f t="shared" si="398"/>
        <v>22721.110249246831</v>
      </c>
      <c r="N486" s="62">
        <f t="shared" si="398"/>
        <v>21683.433394669322</v>
      </c>
      <c r="O486" s="62">
        <f t="shared" si="398"/>
        <v>20326.989281311096</v>
      </c>
      <c r="P486" s="62">
        <f t="shared" si="398"/>
        <v>18618.777189349097</v>
      </c>
      <c r="Q486" s="62">
        <f t="shared" si="398"/>
        <v>16568.971713230469</v>
      </c>
      <c r="R486" s="62">
        <f t="shared" si="398"/>
        <v>14251.105684982398</v>
      </c>
      <c r="S486" s="62">
        <f t="shared" si="398"/>
        <v>11804.144028925928</v>
      </c>
      <c r="T486" s="62">
        <f t="shared" si="398"/>
        <v>9405.334001347248</v>
      </c>
      <c r="U486" s="62">
        <f t="shared" si="398"/>
        <v>7221.6478572054848</v>
      </c>
      <c r="V486" s="62">
        <f t="shared" si="398"/>
        <v>5365.8255975718175</v>
      </c>
      <c r="W486" s="62">
        <f t="shared" si="398"/>
        <v>3879.6443265413554</v>
      </c>
      <c r="X486" s="62">
        <f t="shared" si="398"/>
        <v>2745.6220553132011</v>
      </c>
      <c r="Y486" s="62">
        <f t="shared" si="398"/>
        <v>1912.0247372428837</v>
      </c>
      <c r="Z486" s="62">
        <f t="shared" si="398"/>
        <v>1316.0147141952104</v>
      </c>
      <c r="AA486" s="62">
        <f t="shared" si="398"/>
        <v>898.29970659069966</v>
      </c>
      <c r="AB486" s="62">
        <f t="shared" si="398"/>
        <v>609.63296156509125</v>
      </c>
      <c r="AC486" s="62">
        <f t="shared" si="398"/>
        <v>412.08392312840692</v>
      </c>
    </row>
    <row r="487" spans="1:29" ht="15" thickBot="1" x14ac:dyDescent="0.35">
      <c r="A487" s="31" t="s">
        <v>209</v>
      </c>
      <c r="B487" s="64">
        <f>B478+B479+B480+B481+B482+B483+B484+B485+B486</f>
        <v>5338948.3179050861</v>
      </c>
      <c r="C487" s="64">
        <f t="shared" ref="C487:AC487" si="399">C478+C479+C480+C481+C482+C483+C484+C485+C486</f>
        <v>5325300.1116459146</v>
      </c>
      <c r="D487" s="64">
        <f t="shared" si="399"/>
        <v>5305934.9752452858</v>
      </c>
      <c r="E487" s="64">
        <f t="shared" si="399"/>
        <v>5278590.9238120439</v>
      </c>
      <c r="F487" s="64">
        <f t="shared" si="399"/>
        <v>5240253.0860001855</v>
      </c>
      <c r="G487" s="64">
        <f t="shared" si="399"/>
        <v>5187051.7151972651</v>
      </c>
      <c r="H487" s="64">
        <f t="shared" si="399"/>
        <v>5114307.289719997</v>
      </c>
      <c r="I487" s="64">
        <f t="shared" si="399"/>
        <v>5016896.3679695977</v>
      </c>
      <c r="J487" s="64">
        <f t="shared" si="399"/>
        <v>4890163.5454099607</v>
      </c>
      <c r="K487" s="64">
        <f t="shared" si="399"/>
        <v>4731528.7530157296</v>
      </c>
      <c r="L487" s="64">
        <f t="shared" si="399"/>
        <v>4542574.0005775653</v>
      </c>
      <c r="M487" s="64">
        <f t="shared" si="399"/>
        <v>4330718.1413758341</v>
      </c>
      <c r="N487" s="64">
        <f t="shared" si="399"/>
        <v>4109079.6845293446</v>
      </c>
      <c r="O487" s="64">
        <f t="shared" si="399"/>
        <v>3893696.1313663321</v>
      </c>
      <c r="P487" s="64">
        <f t="shared" si="399"/>
        <v>3699076.6487526307</v>
      </c>
      <c r="Q487" s="64">
        <f t="shared" si="399"/>
        <v>3534519.6224698317</v>
      </c>
      <c r="R487" s="64">
        <f t="shared" si="399"/>
        <v>3403016.5631052842</v>
      </c>
      <c r="S487" s="64">
        <f t="shared" si="399"/>
        <v>3302566.2818047157</v>
      </c>
      <c r="T487" s="64">
        <f t="shared" si="399"/>
        <v>3228442.2087527495</v>
      </c>
      <c r="U487" s="64">
        <f t="shared" si="399"/>
        <v>3175139.6540120803</v>
      </c>
      <c r="V487" s="64">
        <f t="shared" si="399"/>
        <v>3137538.3865748807</v>
      </c>
      <c r="W487" s="64">
        <f t="shared" si="399"/>
        <v>3111389.070773093</v>
      </c>
      <c r="X487" s="64">
        <f t="shared" si="399"/>
        <v>3093395.2853177395</v>
      </c>
      <c r="Y487" s="64">
        <f t="shared" si="399"/>
        <v>3081109.2810047227</v>
      </c>
      <c r="Z487" s="64">
        <f t="shared" si="399"/>
        <v>3072767.4846233516</v>
      </c>
      <c r="AA487" s="64">
        <f t="shared" si="399"/>
        <v>3067126.2458520844</v>
      </c>
      <c r="AB487" s="64">
        <f t="shared" si="399"/>
        <v>3063321.9418992023</v>
      </c>
      <c r="AC487" s="64">
        <f t="shared" si="399"/>
        <v>3060761.3748309542</v>
      </c>
    </row>
    <row r="488" spans="1:29" ht="15" thickBot="1" x14ac:dyDescent="0.35">
      <c r="AC488" s="32"/>
    </row>
    <row r="489" spans="1:29" ht="15" thickBot="1" x14ac:dyDescent="0.35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3">
      <c r="A490" s="29" t="str">
        <f t="shared" ref="A490:A497" si="400">A478</f>
        <v>Capex vehicle</v>
      </c>
      <c r="B490" s="65">
        <f>((1+B463)^B470)*B463/(((1+B463)^B470)-1)*(B459)/B475</f>
        <v>4.8455990713167774</v>
      </c>
      <c r="C490" s="65">
        <f t="shared" ref="C490:AC490" si="401">((1+C463)^C470)*C463/(((1+C463)^C470)-1)*(C459)/C475</f>
        <v>4.8290332319773173</v>
      </c>
      <c r="D490" s="65">
        <f t="shared" si="401"/>
        <v>4.8055121148579749</v>
      </c>
      <c r="E490" s="65">
        <f t="shared" si="401"/>
        <v>4.7722672760448299</v>
      </c>
      <c r="F490" s="65">
        <f t="shared" si="401"/>
        <v>4.7255921221377486</v>
      </c>
      <c r="G490" s="65">
        <f t="shared" si="401"/>
        <v>4.6606967146013627</v>
      </c>
      <c r="H490" s="65">
        <f t="shared" si="401"/>
        <v>4.571727538611003</v>
      </c>
      <c r="I490" s="65">
        <f t="shared" si="401"/>
        <v>4.4521624996314282</v>
      </c>
      <c r="J490" s="65">
        <f t="shared" si="401"/>
        <v>4.2958678954183256</v>
      </c>
      <c r="K490" s="65">
        <f t="shared" si="401"/>
        <v>4.0990412586288079</v>
      </c>
      <c r="L490" s="65">
        <f t="shared" si="401"/>
        <v>3.8628549443908802</v>
      </c>
      <c r="M490" s="65">
        <f t="shared" si="401"/>
        <v>3.5957816828120173</v>
      </c>
      <c r="N490" s="65">
        <f t="shared" si="401"/>
        <v>3.3138335363372309</v>
      </c>
      <c r="O490" s="65">
        <f t="shared" si="401"/>
        <v>3.0374336020158523</v>
      </c>
      <c r="P490" s="65">
        <f t="shared" si="401"/>
        <v>2.7858210525099958</v>
      </c>
      <c r="Q490" s="65">
        <f t="shared" si="401"/>
        <v>2.5719862157460938</v>
      </c>
      <c r="R490" s="65">
        <f t="shared" si="401"/>
        <v>2.4007428071477408</v>
      </c>
      <c r="S490" s="65">
        <f t="shared" si="401"/>
        <v>2.2700764860623535</v>
      </c>
      <c r="T490" s="65">
        <f t="shared" si="401"/>
        <v>2.1740262606104945</v>
      </c>
      <c r="U490" s="65">
        <f t="shared" si="401"/>
        <v>2.1053517389387877</v>
      </c>
      <c r="V490" s="65">
        <f t="shared" si="401"/>
        <v>2.0572210410762808</v>
      </c>
      <c r="W490" s="65">
        <f t="shared" si="401"/>
        <v>2.0239597705093986</v>
      </c>
      <c r="X490" s="65">
        <f t="shared" si="401"/>
        <v>2.0011974255877933</v>
      </c>
      <c r="Y490" s="65">
        <f t="shared" si="401"/>
        <v>1.985723989557781</v>
      </c>
      <c r="Z490" s="65">
        <f t="shared" si="401"/>
        <v>1.9752532875754587</v>
      </c>
      <c r="AA490" s="65">
        <f t="shared" si="401"/>
        <v>1.9681897410865572</v>
      </c>
      <c r="AB490" s="65">
        <f t="shared" si="401"/>
        <v>1.9634345966789499</v>
      </c>
      <c r="AC490" s="65">
        <f t="shared" si="401"/>
        <v>1.9602379526700859</v>
      </c>
    </row>
    <row r="491" spans="1:29" x14ac:dyDescent="0.3">
      <c r="A491" s="30" t="str">
        <f t="shared" si="400"/>
        <v>Residual value (vehicle)</v>
      </c>
      <c r="B491" s="66">
        <f>((1+B463)^B470)*B463/(((1+B463)^B470)-1)*(B460)/B475</f>
        <v>-0.24485927589579937</v>
      </c>
      <c r="C491" s="66">
        <f t="shared" ref="C491:AC491" si="402">((1+C463)^C470)*C463/(((1+C463)^C470)-1)*(C460)/C475</f>
        <v>-0.2451353732181237</v>
      </c>
      <c r="D491" s="66">
        <f t="shared" si="402"/>
        <v>-0.24552739183677941</v>
      </c>
      <c r="E491" s="66">
        <f t="shared" si="402"/>
        <v>-0.24608147248366516</v>
      </c>
      <c r="F491" s="66">
        <f t="shared" si="402"/>
        <v>-0.24685939171544985</v>
      </c>
      <c r="G491" s="66">
        <f t="shared" si="402"/>
        <v>-0.24794098184105628</v>
      </c>
      <c r="H491" s="66">
        <f t="shared" si="402"/>
        <v>-0.24942380144089563</v>
      </c>
      <c r="I491" s="66">
        <f t="shared" si="402"/>
        <v>-0.25141655209055519</v>
      </c>
      <c r="J491" s="66">
        <f t="shared" si="402"/>
        <v>-0.25402146216077354</v>
      </c>
      <c r="K491" s="66">
        <f t="shared" si="402"/>
        <v>-0.25730190610726555</v>
      </c>
      <c r="L491" s="66">
        <f t="shared" si="402"/>
        <v>-0.26123834467789769</v>
      </c>
      <c r="M491" s="66">
        <f t="shared" si="402"/>
        <v>-0.26568956570421209</v>
      </c>
      <c r="N491" s="66">
        <f t="shared" si="402"/>
        <v>-0.27038870147879185</v>
      </c>
      <c r="O491" s="66">
        <f t="shared" si="402"/>
        <v>-0.27499536705081479</v>
      </c>
      <c r="P491" s="66">
        <f t="shared" si="402"/>
        <v>-0.27918890954257908</v>
      </c>
      <c r="Q491" s="66">
        <f t="shared" si="402"/>
        <v>-0.28275282348864411</v>
      </c>
      <c r="R491" s="66">
        <f t="shared" si="402"/>
        <v>-0.28560688029861664</v>
      </c>
      <c r="S491" s="66">
        <f t="shared" si="402"/>
        <v>-0.28778465231670641</v>
      </c>
      <c r="T491" s="66">
        <f t="shared" si="402"/>
        <v>-0.28938548940757075</v>
      </c>
      <c r="U491" s="66">
        <f t="shared" si="402"/>
        <v>-0.29053006476876586</v>
      </c>
      <c r="V491" s="66">
        <f t="shared" si="402"/>
        <v>-0.29133224306647432</v>
      </c>
      <c r="W491" s="66">
        <f t="shared" si="402"/>
        <v>-0.29188659757592234</v>
      </c>
      <c r="X491" s="66">
        <f t="shared" si="402"/>
        <v>-0.29226596999128246</v>
      </c>
      <c r="Y491" s="66">
        <f t="shared" si="402"/>
        <v>-0.29252386059178265</v>
      </c>
      <c r="Z491" s="66">
        <f t="shared" si="402"/>
        <v>-0.29269837229148804</v>
      </c>
      <c r="AA491" s="66">
        <f t="shared" si="402"/>
        <v>-0.29281609806630304</v>
      </c>
      <c r="AB491" s="66">
        <f t="shared" si="402"/>
        <v>-0.29289535047309651</v>
      </c>
      <c r="AC491" s="66">
        <f t="shared" si="402"/>
        <v>-0.29294862787324427</v>
      </c>
    </row>
    <row r="492" spans="1:29" x14ac:dyDescent="0.3">
      <c r="A492" s="30" t="str">
        <f t="shared" si="400"/>
        <v>Capex costumization</v>
      </c>
      <c r="B492" s="66">
        <f>((1+B463)^B471)*B463/(((1+B463)^B471)-1)*(B461)/B475</f>
        <v>1.4244884605891606</v>
      </c>
      <c r="C492" s="66">
        <f t="shared" ref="C492:AC492" si="403">((1+C463)^C471)*C463/(((1+C463)^C471)-1)*(C461)/C475</f>
        <v>1.4244884605891606</v>
      </c>
      <c r="D492" s="66">
        <f t="shared" si="403"/>
        <v>1.4244884605891606</v>
      </c>
      <c r="E492" s="66">
        <f t="shared" si="403"/>
        <v>1.4244884605891606</v>
      </c>
      <c r="F492" s="66">
        <f t="shared" si="403"/>
        <v>1.4244884605891606</v>
      </c>
      <c r="G492" s="66">
        <f t="shared" si="403"/>
        <v>1.4244884605891606</v>
      </c>
      <c r="H492" s="66">
        <f t="shared" si="403"/>
        <v>1.4244884605891606</v>
      </c>
      <c r="I492" s="66">
        <f t="shared" si="403"/>
        <v>1.4244884605891606</v>
      </c>
      <c r="J492" s="66">
        <f t="shared" si="403"/>
        <v>1.4244884605891606</v>
      </c>
      <c r="K492" s="66">
        <f t="shared" si="403"/>
        <v>1.4244884605891606</v>
      </c>
      <c r="L492" s="66">
        <f t="shared" si="403"/>
        <v>1.4244884605891606</v>
      </c>
      <c r="M492" s="66">
        <f t="shared" si="403"/>
        <v>1.4244884605891606</v>
      </c>
      <c r="N492" s="66">
        <f t="shared" si="403"/>
        <v>1.4244884605891606</v>
      </c>
      <c r="O492" s="66">
        <f t="shared" si="403"/>
        <v>1.4244884605891606</v>
      </c>
      <c r="P492" s="66">
        <f t="shared" si="403"/>
        <v>1.4244884605891606</v>
      </c>
      <c r="Q492" s="66">
        <f t="shared" si="403"/>
        <v>1.4244884605891606</v>
      </c>
      <c r="R492" s="66">
        <f t="shared" si="403"/>
        <v>1.4244884605891606</v>
      </c>
      <c r="S492" s="66">
        <f t="shared" si="403"/>
        <v>1.4244884605891606</v>
      </c>
      <c r="T492" s="66">
        <f t="shared" si="403"/>
        <v>1.4244884605891606</v>
      </c>
      <c r="U492" s="66">
        <f t="shared" si="403"/>
        <v>1.4244884605891606</v>
      </c>
      <c r="V492" s="66">
        <f t="shared" si="403"/>
        <v>1.4244884605891606</v>
      </c>
      <c r="W492" s="66">
        <f t="shared" si="403"/>
        <v>1.4244884605891606</v>
      </c>
      <c r="X492" s="66">
        <f t="shared" si="403"/>
        <v>1.4244884605891606</v>
      </c>
      <c r="Y492" s="66">
        <f t="shared" si="403"/>
        <v>1.4244884605891606</v>
      </c>
      <c r="Z492" s="66">
        <f t="shared" si="403"/>
        <v>1.4244884605891606</v>
      </c>
      <c r="AA492" s="66">
        <f t="shared" si="403"/>
        <v>1.4244884605891606</v>
      </c>
      <c r="AB492" s="66">
        <f t="shared" si="403"/>
        <v>1.4244884605891606</v>
      </c>
      <c r="AC492" s="66">
        <f t="shared" si="403"/>
        <v>1.4244884605891606</v>
      </c>
    </row>
    <row r="493" spans="1:29" x14ac:dyDescent="0.3">
      <c r="A493" s="30" t="str">
        <f t="shared" si="400"/>
        <v>Residual value (costumization)</v>
      </c>
      <c r="B493" s="66">
        <f>((1+B463)^B471)*B463/(((1+B463)^B471)-1)*(B462)/B475</f>
        <v>-7.1224423029458042E-2</v>
      </c>
      <c r="C493" s="66">
        <f t="shared" ref="C493:AC493" si="404">((1+C463)^C471)*C463/(((1+C463)^C471)-1)*(C462)/C475</f>
        <v>-7.1224423029458042E-2</v>
      </c>
      <c r="D493" s="66">
        <f t="shared" si="404"/>
        <v>-7.1224423029458042E-2</v>
      </c>
      <c r="E493" s="66">
        <f t="shared" si="404"/>
        <v>-7.1224423029458042E-2</v>
      </c>
      <c r="F493" s="66">
        <f t="shared" si="404"/>
        <v>-7.1224423029458042E-2</v>
      </c>
      <c r="G493" s="66">
        <f t="shared" si="404"/>
        <v>-7.1224423029458042E-2</v>
      </c>
      <c r="H493" s="66">
        <f t="shared" si="404"/>
        <v>-7.1224423029458042E-2</v>
      </c>
      <c r="I493" s="66">
        <f t="shared" si="404"/>
        <v>-7.1224423029458042E-2</v>
      </c>
      <c r="J493" s="66">
        <f t="shared" si="404"/>
        <v>-7.1224423029458042E-2</v>
      </c>
      <c r="K493" s="66">
        <f t="shared" si="404"/>
        <v>-7.1224423029458042E-2</v>
      </c>
      <c r="L493" s="66">
        <f t="shared" si="404"/>
        <v>-7.1224423029458042E-2</v>
      </c>
      <c r="M493" s="66">
        <f t="shared" si="404"/>
        <v>-7.1224423029458042E-2</v>
      </c>
      <c r="N493" s="66">
        <f t="shared" si="404"/>
        <v>-7.1224423029458042E-2</v>
      </c>
      <c r="O493" s="66">
        <f t="shared" si="404"/>
        <v>-7.1224423029458042E-2</v>
      </c>
      <c r="P493" s="66">
        <f t="shared" si="404"/>
        <v>-7.1224423029458042E-2</v>
      </c>
      <c r="Q493" s="66">
        <f t="shared" si="404"/>
        <v>-7.1224423029458042E-2</v>
      </c>
      <c r="R493" s="66">
        <f t="shared" si="404"/>
        <v>-7.1224423029458042E-2</v>
      </c>
      <c r="S493" s="66">
        <f t="shared" si="404"/>
        <v>-7.1224423029458042E-2</v>
      </c>
      <c r="T493" s="66">
        <f t="shared" si="404"/>
        <v>-7.1224423029458042E-2</v>
      </c>
      <c r="U493" s="66">
        <f t="shared" si="404"/>
        <v>-7.1224423029458042E-2</v>
      </c>
      <c r="V493" s="66">
        <f t="shared" si="404"/>
        <v>-7.1224423029458042E-2</v>
      </c>
      <c r="W493" s="66">
        <f t="shared" si="404"/>
        <v>-7.1224423029458042E-2</v>
      </c>
      <c r="X493" s="66">
        <f t="shared" si="404"/>
        <v>-7.1224423029458042E-2</v>
      </c>
      <c r="Y493" s="66">
        <f t="shared" si="404"/>
        <v>-7.1224423029458042E-2</v>
      </c>
      <c r="Z493" s="66">
        <f t="shared" si="404"/>
        <v>-7.1224423029458042E-2</v>
      </c>
      <c r="AA493" s="66">
        <f t="shared" si="404"/>
        <v>-7.1224423029458042E-2</v>
      </c>
      <c r="AB493" s="66">
        <f t="shared" si="404"/>
        <v>-7.1224423029458042E-2</v>
      </c>
      <c r="AC493" s="66">
        <f t="shared" si="404"/>
        <v>-7.1224423029458042E-2</v>
      </c>
    </row>
    <row r="494" spans="1:29" x14ac:dyDescent="0.3">
      <c r="A494" s="30" t="str">
        <f t="shared" si="400"/>
        <v>Opex fix (admin, crew, insurance)</v>
      </c>
      <c r="B494" s="66">
        <f>B464/B475</f>
        <v>3.6414565826330532</v>
      </c>
      <c r="C494" s="66">
        <f t="shared" ref="C494:AC494" si="405">C464/C475</f>
        <v>3.6414565826330532</v>
      </c>
      <c r="D494" s="66">
        <f t="shared" si="405"/>
        <v>3.6414565826330532</v>
      </c>
      <c r="E494" s="66">
        <f t="shared" si="405"/>
        <v>3.6414565826330532</v>
      </c>
      <c r="F494" s="66">
        <f t="shared" si="405"/>
        <v>3.6414565826330532</v>
      </c>
      <c r="G494" s="66">
        <f t="shared" si="405"/>
        <v>3.6414565826330532</v>
      </c>
      <c r="H494" s="66">
        <f t="shared" si="405"/>
        <v>3.6414565826330532</v>
      </c>
      <c r="I494" s="66">
        <f t="shared" si="405"/>
        <v>3.6414565826330532</v>
      </c>
      <c r="J494" s="66">
        <f t="shared" si="405"/>
        <v>3.6414565826330532</v>
      </c>
      <c r="K494" s="66">
        <f t="shared" si="405"/>
        <v>3.6414565826330532</v>
      </c>
      <c r="L494" s="66">
        <f t="shared" si="405"/>
        <v>3.6414565826330532</v>
      </c>
      <c r="M494" s="66">
        <f t="shared" si="405"/>
        <v>3.6414565826330532</v>
      </c>
      <c r="N494" s="66">
        <f t="shared" si="405"/>
        <v>3.6414565826330532</v>
      </c>
      <c r="O494" s="66">
        <f t="shared" si="405"/>
        <v>3.6414565826330532</v>
      </c>
      <c r="P494" s="66">
        <f t="shared" si="405"/>
        <v>3.6414565826330532</v>
      </c>
      <c r="Q494" s="66">
        <f t="shared" si="405"/>
        <v>3.6414565826330532</v>
      </c>
      <c r="R494" s="66">
        <f t="shared" si="405"/>
        <v>3.6414565826330532</v>
      </c>
      <c r="S494" s="66">
        <f t="shared" si="405"/>
        <v>3.6414565826330532</v>
      </c>
      <c r="T494" s="66">
        <f t="shared" si="405"/>
        <v>3.6414565826330532</v>
      </c>
      <c r="U494" s="66">
        <f t="shared" si="405"/>
        <v>3.6414565826330532</v>
      </c>
      <c r="V494" s="66">
        <f t="shared" si="405"/>
        <v>3.6414565826330532</v>
      </c>
      <c r="W494" s="66">
        <f t="shared" si="405"/>
        <v>3.6414565826330532</v>
      </c>
      <c r="X494" s="66">
        <f t="shared" si="405"/>
        <v>3.6414565826330532</v>
      </c>
      <c r="Y494" s="66">
        <f t="shared" si="405"/>
        <v>3.6414565826330532</v>
      </c>
      <c r="Z494" s="66">
        <f t="shared" si="405"/>
        <v>3.6414565826330532</v>
      </c>
      <c r="AA494" s="66">
        <f t="shared" si="405"/>
        <v>3.6414565826330532</v>
      </c>
      <c r="AB494" s="66">
        <f t="shared" si="405"/>
        <v>3.6414565826330532</v>
      </c>
      <c r="AC494" s="66">
        <f t="shared" si="405"/>
        <v>3.6414565826330532</v>
      </c>
    </row>
    <row r="495" spans="1:29" x14ac:dyDescent="0.3">
      <c r="A495" s="30" t="str">
        <f t="shared" si="400"/>
        <v>Opex maintenance &amp; repair</v>
      </c>
      <c r="B495" s="66">
        <f>B465/B475</f>
        <v>7.7810095446659027</v>
      </c>
      <c r="C495" s="66">
        <f t="shared" ref="C495:AC495" si="406">C465/C475</f>
        <v>7.7544083025658797</v>
      </c>
      <c r="D495" s="66">
        <f t="shared" si="406"/>
        <v>7.7166383521194692</v>
      </c>
      <c r="E495" s="66">
        <f t="shared" si="406"/>
        <v>7.6632541566239745</v>
      </c>
      <c r="F495" s="66">
        <f t="shared" si="406"/>
        <v>7.5883037092789669</v>
      </c>
      <c r="G495" s="66">
        <f t="shared" si="406"/>
        <v>7.4840953796145033</v>
      </c>
      <c r="H495" s="66">
        <f t="shared" si="406"/>
        <v>7.3412296580858891</v>
      </c>
      <c r="I495" s="66">
        <f t="shared" si="406"/>
        <v>7.1492334372232325</v>
      </c>
      <c r="J495" s="66">
        <f t="shared" si="406"/>
        <v>6.8982572856136732</v>
      </c>
      <c r="K495" s="66">
        <f t="shared" si="406"/>
        <v>6.5821952431369439</v>
      </c>
      <c r="L495" s="66">
        <f t="shared" si="406"/>
        <v>6.202929864727218</v>
      </c>
      <c r="M495" s="66">
        <f t="shared" si="406"/>
        <v>5.7740665669419418</v>
      </c>
      <c r="N495" s="66">
        <f t="shared" si="406"/>
        <v>5.3213173430518594</v>
      </c>
      <c r="O495" s="66">
        <f t="shared" si="406"/>
        <v>4.8774773770442641</v>
      </c>
      <c r="P495" s="66">
        <f t="shared" si="406"/>
        <v>4.4734407201834294</v>
      </c>
      <c r="Q495" s="66">
        <f t="shared" si="406"/>
        <v>4.13006709777809</v>
      </c>
      <c r="R495" s="66">
        <f t="shared" si="406"/>
        <v>3.855086320963053</v>
      </c>
      <c r="S495" s="66">
        <f t="shared" si="406"/>
        <v>3.6452637837353725</v>
      </c>
      <c r="T495" s="66">
        <f t="shared" si="406"/>
        <v>3.4910273910812166</v>
      </c>
      <c r="U495" s="66">
        <f t="shared" si="406"/>
        <v>3.3807506016196185</v>
      </c>
      <c r="V495" s="66">
        <f t="shared" si="406"/>
        <v>3.3034628578447651</v>
      </c>
      <c r="W495" s="66">
        <f t="shared" si="406"/>
        <v>3.2500522764203521</v>
      </c>
      <c r="X495" s="66">
        <f t="shared" si="406"/>
        <v>3.2135007540002656</v>
      </c>
      <c r="Y495" s="66">
        <f t="shared" si="406"/>
        <v>3.188653681086</v>
      </c>
      <c r="Z495" s="66">
        <f t="shared" si="406"/>
        <v>3.1718399433283566</v>
      </c>
      <c r="AA495" s="66">
        <f t="shared" si="406"/>
        <v>3.1604973782831638</v>
      </c>
      <c r="AB495" s="66">
        <f t="shared" si="406"/>
        <v>3.1528616198398223</v>
      </c>
      <c r="AC495" s="66">
        <f t="shared" si="406"/>
        <v>3.1477284841474571</v>
      </c>
    </row>
    <row r="496" spans="1:29" x14ac:dyDescent="0.3">
      <c r="A496" s="30" t="str">
        <f t="shared" si="400"/>
        <v>Opex var (mode-fees, shunting)</v>
      </c>
      <c r="B496" s="66">
        <f>B466*B475/B475</f>
        <v>3.9215686274509802</v>
      </c>
      <c r="C496" s="66">
        <f t="shared" ref="C496:AC496" si="407">C466*C475/C475</f>
        <v>3.9215686274509802</v>
      </c>
      <c r="D496" s="66">
        <f t="shared" si="407"/>
        <v>3.9215686274509802</v>
      </c>
      <c r="E496" s="66">
        <f t="shared" si="407"/>
        <v>3.9215686274509802</v>
      </c>
      <c r="F496" s="66">
        <f t="shared" si="407"/>
        <v>3.9215686274509802</v>
      </c>
      <c r="G496" s="66">
        <f t="shared" si="407"/>
        <v>3.9215686274509802</v>
      </c>
      <c r="H496" s="66">
        <f t="shared" si="407"/>
        <v>3.9215686274509802</v>
      </c>
      <c r="I496" s="66">
        <f t="shared" si="407"/>
        <v>3.9215686274509802</v>
      </c>
      <c r="J496" s="66">
        <f t="shared" si="407"/>
        <v>3.9215686274509802</v>
      </c>
      <c r="K496" s="66">
        <f t="shared" si="407"/>
        <v>3.9215686274509802</v>
      </c>
      <c r="L496" s="66">
        <f t="shared" si="407"/>
        <v>3.9215686274509802</v>
      </c>
      <c r="M496" s="66">
        <f t="shared" si="407"/>
        <v>3.9215686274509802</v>
      </c>
      <c r="N496" s="66">
        <f t="shared" si="407"/>
        <v>3.9215686274509802</v>
      </c>
      <c r="O496" s="66">
        <f t="shared" si="407"/>
        <v>3.9215686274509802</v>
      </c>
      <c r="P496" s="66">
        <f t="shared" si="407"/>
        <v>3.9215686274509802</v>
      </c>
      <c r="Q496" s="66">
        <f t="shared" si="407"/>
        <v>3.9215686274509802</v>
      </c>
      <c r="R496" s="66">
        <f t="shared" si="407"/>
        <v>3.9215686274509802</v>
      </c>
      <c r="S496" s="66">
        <f t="shared" si="407"/>
        <v>3.9215686274509802</v>
      </c>
      <c r="T496" s="66">
        <f t="shared" si="407"/>
        <v>3.9215686274509802</v>
      </c>
      <c r="U496" s="66">
        <f t="shared" si="407"/>
        <v>3.9215686274509802</v>
      </c>
      <c r="V496" s="66">
        <f t="shared" si="407"/>
        <v>3.9215686274509802</v>
      </c>
      <c r="W496" s="66">
        <f t="shared" si="407"/>
        <v>3.9215686274509802</v>
      </c>
      <c r="X496" s="66">
        <f t="shared" si="407"/>
        <v>3.9215686274509802</v>
      </c>
      <c r="Y496" s="66">
        <f t="shared" si="407"/>
        <v>3.9215686274509802</v>
      </c>
      <c r="Z496" s="66">
        <f t="shared" si="407"/>
        <v>3.9215686274509802</v>
      </c>
      <c r="AA496" s="66">
        <f t="shared" si="407"/>
        <v>3.9215686274509802</v>
      </c>
      <c r="AB496" s="66">
        <f t="shared" si="407"/>
        <v>3.9215686274509802</v>
      </c>
      <c r="AC496" s="66">
        <f t="shared" si="407"/>
        <v>3.9215686274509802</v>
      </c>
    </row>
    <row r="497" spans="1:29" x14ac:dyDescent="0.3">
      <c r="A497" s="30" t="str">
        <f t="shared" si="400"/>
        <v>Fuel Cost</v>
      </c>
      <c r="B497" s="66">
        <f>B467*B468*B475/B475</f>
        <v>8.4698629251950113</v>
      </c>
      <c r="C497" s="66">
        <f t="shared" ref="C497:AC497" si="408">C467*C468*C475/C475</f>
        <v>8.4369809481189879</v>
      </c>
      <c r="D497" s="66">
        <f t="shared" si="408"/>
        <v>8.3903696735597642</v>
      </c>
      <c r="E497" s="66">
        <f t="shared" si="408"/>
        <v>8.324642067491391</v>
      </c>
      <c r="F497" s="66">
        <f t="shared" si="408"/>
        <v>8.2326640253702319</v>
      </c>
      <c r="G497" s="66">
        <f t="shared" si="408"/>
        <v>8.1053679779279246</v>
      </c>
      <c r="H497" s="66">
        <f t="shared" si="408"/>
        <v>7.9319593395648607</v>
      </c>
      <c r="I497" s="66">
        <f t="shared" si="408"/>
        <v>7.7009375096841852</v>
      </c>
      <c r="J497" s="66">
        <f t="shared" si="408"/>
        <v>7.4024417558463229</v>
      </c>
      <c r="K497" s="66">
        <f t="shared" si="408"/>
        <v>7.0321699283010322</v>
      </c>
      <c r="L497" s="66">
        <f t="shared" si="408"/>
        <v>6.5961432670378439</v>
      </c>
      <c r="M497" s="66">
        <f t="shared" si="408"/>
        <v>6.1139892174750745</v>
      </c>
      <c r="N497" s="66">
        <f t="shared" si="408"/>
        <v>5.6175270121752394</v>
      </c>
      <c r="O497" s="66">
        <f t="shared" si="408"/>
        <v>5.1433421548288711</v>
      </c>
      <c r="P497" s="66">
        <f t="shared" si="408"/>
        <v>4.7224494946019533</v>
      </c>
      <c r="Q497" s="66">
        <f t="shared" si="408"/>
        <v>4.3728172693605067</v>
      </c>
      <c r="R497" s="66">
        <f t="shared" si="408"/>
        <v>4.0981689382712672</v>
      </c>
      <c r="S497" s="66">
        <f t="shared" si="408"/>
        <v>3.8917973633110425</v>
      </c>
      <c r="T497" s="66">
        <f t="shared" si="408"/>
        <v>3.741862616690621</v>
      </c>
      <c r="U497" s="66">
        <f t="shared" si="408"/>
        <v>3.6355782869580788</v>
      </c>
      <c r="V497" s="66">
        <f t="shared" si="408"/>
        <v>3.5615443120608479</v>
      </c>
      <c r="W497" s="66">
        <f t="shared" si="408"/>
        <v>3.510601697660988</v>
      </c>
      <c r="X497" s="66">
        <f t="shared" si="408"/>
        <v>3.4758424826050121</v>
      </c>
      <c r="Y497" s="66">
        <f t="shared" si="408"/>
        <v>3.4522617393209574</v>
      </c>
      <c r="Z497" s="66">
        <f t="shared" si="408"/>
        <v>3.4363269296495731</v>
      </c>
      <c r="AA497" s="66">
        <f t="shared" si="408"/>
        <v>3.4255873285065905</v>
      </c>
      <c r="AB497" s="66">
        <f t="shared" si="408"/>
        <v>3.4183620372217196</v>
      </c>
      <c r="AC497" s="66">
        <f t="shared" si="408"/>
        <v>3.4135068980776566</v>
      </c>
    </row>
    <row r="498" spans="1:29" ht="15" thickBot="1" x14ac:dyDescent="0.35">
      <c r="A498" s="59" t="str">
        <f t="shared" ref="A498" si="409">A486</f>
        <v>Emission Cost</v>
      </c>
      <c r="B498" s="66">
        <f>B469</f>
        <v>0.14217309718689772</v>
      </c>
      <c r="C498" s="66">
        <f t="shared" ref="C498:AC498" si="410">C469</f>
        <v>0.14203771375766058</v>
      </c>
      <c r="D498" s="66">
        <f t="shared" si="410"/>
        <v>0.14184391539413038</v>
      </c>
      <c r="E498" s="66">
        <f t="shared" si="410"/>
        <v>0.14156667320659028</v>
      </c>
      <c r="F498" s="66">
        <f t="shared" si="410"/>
        <v>0.14117043294406945</v>
      </c>
      <c r="G498" s="66">
        <f t="shared" si="410"/>
        <v>0.14060491245838053</v>
      </c>
      <c r="H498" s="66">
        <f t="shared" si="410"/>
        <v>0.13979947254939792</v>
      </c>
      <c r="I498" s="66">
        <f t="shared" si="410"/>
        <v>0.13865586333989385</v>
      </c>
      <c r="J498" s="66">
        <f t="shared" si="410"/>
        <v>0.13703948161608845</v>
      </c>
      <c r="K498" s="66">
        <f t="shared" si="410"/>
        <v>0.13477011083780754</v>
      </c>
      <c r="L498" s="66">
        <f t="shared" si="410"/>
        <v>0.13161486164889458</v>
      </c>
      <c r="M498" s="66">
        <f t="shared" si="410"/>
        <v>0.12728913304900186</v>
      </c>
      <c r="N498" s="66">
        <f t="shared" si="410"/>
        <v>0.12147581733708304</v>
      </c>
      <c r="O498" s="66">
        <f t="shared" si="410"/>
        <v>0.11387669065160279</v>
      </c>
      <c r="P498" s="66">
        <f t="shared" si="410"/>
        <v>0.10430687501035908</v>
      </c>
      <c r="Q498" s="66">
        <f t="shared" si="410"/>
        <v>9.2823370942467606E-2</v>
      </c>
      <c r="R498" s="66">
        <f t="shared" si="410"/>
        <v>7.9838127086736127E-2</v>
      </c>
      <c r="S498" s="66">
        <f t="shared" si="410"/>
        <v>6.6129658425355342E-2</v>
      </c>
      <c r="T498" s="66">
        <f t="shared" si="410"/>
        <v>5.2690946786259088E-2</v>
      </c>
      <c r="U498" s="66">
        <f t="shared" si="410"/>
        <v>4.0457410964736609E-2</v>
      </c>
      <c r="V498" s="66">
        <f t="shared" si="410"/>
        <v>3.0060647605444357E-2</v>
      </c>
      <c r="W498" s="66">
        <f t="shared" si="410"/>
        <v>2.1734702109475382E-2</v>
      </c>
      <c r="X498" s="66">
        <f t="shared" si="410"/>
        <v>1.5381636164219614E-2</v>
      </c>
      <c r="Y498" s="66">
        <f t="shared" si="410"/>
        <v>1.0711623177831281E-2</v>
      </c>
      <c r="Z498" s="66">
        <f t="shared" si="410"/>
        <v>7.3726314520740077E-3</v>
      </c>
      <c r="AA498" s="66">
        <f t="shared" si="410"/>
        <v>5.0324913534492977E-3</v>
      </c>
      <c r="AB498" s="66">
        <f t="shared" si="410"/>
        <v>3.4153107090481305E-3</v>
      </c>
      <c r="AC498" s="66">
        <f t="shared" si="410"/>
        <v>2.3085934068818315E-3</v>
      </c>
    </row>
    <row r="499" spans="1:29" ht="15" thickBot="1" x14ac:dyDescent="0.35">
      <c r="A499" s="31" t="s">
        <v>63</v>
      </c>
      <c r="B499" s="76">
        <f>B490+B491+B492-B493+B494+B495+B496+B497+B498</f>
        <v>30.052523456171443</v>
      </c>
      <c r="C499" s="76">
        <f t="shared" ref="C499:AC499" si="411">C490+C491+C492-C493+C494+C495+C496+C497+C498</f>
        <v>29.976062916904375</v>
      </c>
      <c r="D499" s="76">
        <f t="shared" si="411"/>
        <v>29.867574757797211</v>
      </c>
      <c r="E499" s="76">
        <f t="shared" si="411"/>
        <v>29.714386794585771</v>
      </c>
      <c r="F499" s="76">
        <f t="shared" si="411"/>
        <v>29.499608991718215</v>
      </c>
      <c r="G499" s="76">
        <f t="shared" si="411"/>
        <v>29.201562096463768</v>
      </c>
      <c r="H499" s="76">
        <f t="shared" si="411"/>
        <v>28.794030301072908</v>
      </c>
      <c r="I499" s="76">
        <f t="shared" si="411"/>
        <v>28.248310851490835</v>
      </c>
      <c r="J499" s="76">
        <f t="shared" si="411"/>
        <v>27.53832305003629</v>
      </c>
      <c r="K499" s="76">
        <f t="shared" si="411"/>
        <v>26.649612728499974</v>
      </c>
      <c r="L499" s="76">
        <f t="shared" si="411"/>
        <v>25.591042686829592</v>
      </c>
      <c r="M499" s="76">
        <f t="shared" si="411"/>
        <v>24.404175128276474</v>
      </c>
      <c r="N499" s="76">
        <f t="shared" si="411"/>
        <v>23.162503101125271</v>
      </c>
      <c r="O499" s="76">
        <f t="shared" si="411"/>
        <v>21.955872551192428</v>
      </c>
      <c r="P499" s="76">
        <f t="shared" si="411"/>
        <v>20.865567326465808</v>
      </c>
      <c r="Q499" s="76">
        <f t="shared" si="411"/>
        <v>19.943679224041169</v>
      </c>
      <c r="R499" s="76">
        <f t="shared" si="411"/>
        <v>19.206967406872831</v>
      </c>
      <c r="S499" s="76">
        <f t="shared" si="411"/>
        <v>18.644220732920072</v>
      </c>
      <c r="T499" s="76">
        <f t="shared" si="411"/>
        <v>18.228959819463675</v>
      </c>
      <c r="U499" s="76">
        <f t="shared" si="411"/>
        <v>17.930346067415108</v>
      </c>
      <c r="V499" s="76">
        <f t="shared" si="411"/>
        <v>17.719694709223518</v>
      </c>
      <c r="W499" s="76">
        <f t="shared" si="411"/>
        <v>17.573199942826946</v>
      </c>
      <c r="X499" s="76">
        <f t="shared" si="411"/>
        <v>17.47239442206866</v>
      </c>
      <c r="Y499" s="76">
        <f t="shared" si="411"/>
        <v>17.403565266253437</v>
      </c>
      <c r="Z499" s="76">
        <f t="shared" si="411"/>
        <v>17.356832513416627</v>
      </c>
      <c r="AA499" s="76">
        <f t="shared" si="411"/>
        <v>17.325228934866111</v>
      </c>
      <c r="AB499" s="76">
        <f t="shared" si="411"/>
        <v>17.303916307679096</v>
      </c>
      <c r="AC499" s="76">
        <f t="shared" si="411"/>
        <v>17.289571394131489</v>
      </c>
    </row>
    <row r="500" spans="1:29" ht="15" thickBot="1" x14ac:dyDescent="0.35"/>
    <row r="501" spans="1:29" ht="15" thickBot="1" x14ac:dyDescent="0.35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3">
      <c r="A502" s="29" t="str">
        <f t="shared" ref="A502:A509" si="412">A478</f>
        <v>Capex vehicle</v>
      </c>
      <c r="B502" s="65">
        <f>((1+B463)^B470)*B463/(((1+B463)^B470)-1)*(B459)/B475/(B472)</f>
        <v>1.7305710968988492E-3</v>
      </c>
      <c r="C502" s="65">
        <f t="shared" ref="C502:AC502" si="413">((1+C463)^C470)*C463/(((1+C463)^C470)-1)*(C459)/C475/(C472)</f>
        <v>1.7246547257061848E-3</v>
      </c>
      <c r="D502" s="65">
        <f t="shared" si="413"/>
        <v>1.716254326734991E-3</v>
      </c>
      <c r="E502" s="65">
        <f t="shared" si="413"/>
        <v>1.7043811700160106E-3</v>
      </c>
      <c r="F502" s="65">
        <f t="shared" si="413"/>
        <v>1.687711472192053E-3</v>
      </c>
      <c r="G502" s="65">
        <f t="shared" si="413"/>
        <v>1.6645345409290581E-3</v>
      </c>
      <c r="H502" s="65">
        <f t="shared" si="413"/>
        <v>1.6327598352182155E-3</v>
      </c>
      <c r="I502" s="65">
        <f t="shared" si="413"/>
        <v>1.590058035582653E-3</v>
      </c>
      <c r="J502" s="65">
        <f t="shared" si="413"/>
        <v>1.5342385340779735E-3</v>
      </c>
      <c r="K502" s="65">
        <f t="shared" si="413"/>
        <v>1.4639433066531457E-3</v>
      </c>
      <c r="L502" s="65">
        <f t="shared" si="413"/>
        <v>1.3795910515681715E-3</v>
      </c>
      <c r="M502" s="65">
        <f t="shared" si="413"/>
        <v>1.2842077438614348E-3</v>
      </c>
      <c r="N502" s="65">
        <f t="shared" si="413"/>
        <v>1.1835119772632967E-3</v>
      </c>
      <c r="O502" s="65">
        <f t="shared" si="413"/>
        <v>1.0847977150056616E-3</v>
      </c>
      <c r="P502" s="65">
        <f t="shared" si="413"/>
        <v>9.9493609018214135E-4</v>
      </c>
      <c r="Q502" s="65">
        <f t="shared" si="413"/>
        <v>9.1856650562360494E-4</v>
      </c>
      <c r="R502" s="65">
        <f t="shared" si="413"/>
        <v>8.5740814540990746E-4</v>
      </c>
      <c r="S502" s="65">
        <f t="shared" si="413"/>
        <v>8.1074160216512627E-4</v>
      </c>
      <c r="T502" s="65">
        <f t="shared" si="413"/>
        <v>7.7643795021803375E-4</v>
      </c>
      <c r="U502" s="65">
        <f t="shared" si="413"/>
        <v>7.5191133533528132E-4</v>
      </c>
      <c r="V502" s="65">
        <f t="shared" si="413"/>
        <v>7.3472180038438597E-4</v>
      </c>
      <c r="W502" s="65">
        <f t="shared" si="413"/>
        <v>7.228427751819281E-4</v>
      </c>
      <c r="X502" s="65">
        <f t="shared" si="413"/>
        <v>7.1471336628135481E-4</v>
      </c>
      <c r="Y502" s="65">
        <f t="shared" si="413"/>
        <v>7.0918713912777886E-4</v>
      </c>
      <c r="Z502" s="65">
        <f t="shared" si="413"/>
        <v>7.0544760270552101E-4</v>
      </c>
      <c r="AA502" s="65">
        <f t="shared" si="413"/>
        <v>7.0292490753091333E-4</v>
      </c>
      <c r="AB502" s="65">
        <f t="shared" si="413"/>
        <v>7.0122664167105353E-4</v>
      </c>
      <c r="AC502" s="65">
        <f t="shared" si="413"/>
        <v>7.0008498309645929E-4</v>
      </c>
    </row>
    <row r="503" spans="1:29" x14ac:dyDescent="0.3">
      <c r="A503" s="30" t="str">
        <f t="shared" si="412"/>
        <v>Residual value (vehicle)</v>
      </c>
      <c r="B503" s="68">
        <f>((1+B463)^B470)*B463/(((1+B463)^B470)-1)*(B460)/B475/(B472)</f>
        <v>-8.7449741391356912E-5</v>
      </c>
      <c r="C503" s="68">
        <f t="shared" ref="C503:AC503" si="414">((1+C463)^C470)*C463/(((1+C463)^C470)-1)*(C460)/C475/(C472)</f>
        <v>-8.7548347577901325E-5</v>
      </c>
      <c r="D503" s="68">
        <f t="shared" si="414"/>
        <v>-8.7688354227421217E-5</v>
      </c>
      <c r="E503" s="68">
        <f t="shared" si="414"/>
        <v>-8.7886240172737552E-5</v>
      </c>
      <c r="F503" s="68">
        <f t="shared" si="414"/>
        <v>-8.8164068469803522E-5</v>
      </c>
      <c r="G503" s="68">
        <f t="shared" si="414"/>
        <v>-8.8550350657520108E-5</v>
      </c>
      <c r="H503" s="68">
        <f t="shared" si="414"/>
        <v>-8.9079929086034146E-5</v>
      </c>
      <c r="I503" s="68">
        <f t="shared" si="414"/>
        <v>-8.9791625746626859E-5</v>
      </c>
      <c r="J503" s="68">
        <f t="shared" si="414"/>
        <v>-9.072195077170483E-5</v>
      </c>
      <c r="K503" s="68">
        <f t="shared" si="414"/>
        <v>-9.1893537895451985E-5</v>
      </c>
      <c r="L503" s="68">
        <f t="shared" si="414"/>
        <v>-9.3299408813534893E-5</v>
      </c>
      <c r="M503" s="68">
        <f t="shared" si="414"/>
        <v>-9.4889130608647181E-5</v>
      </c>
      <c r="N503" s="68">
        <f t="shared" si="414"/>
        <v>-9.6567393385282803E-5</v>
      </c>
      <c r="O503" s="68">
        <f t="shared" si="414"/>
        <v>-9.8212631089576716E-5</v>
      </c>
      <c r="P503" s="68">
        <f t="shared" si="414"/>
        <v>-9.9710324836635379E-5</v>
      </c>
      <c r="Q503" s="68">
        <f t="shared" si="414"/>
        <v>-1.0098315124594432E-4</v>
      </c>
      <c r="R503" s="68">
        <f t="shared" si="414"/>
        <v>-1.0200245724950595E-4</v>
      </c>
      <c r="S503" s="68">
        <f t="shared" si="414"/>
        <v>-1.0278023297025229E-4</v>
      </c>
      <c r="T503" s="68">
        <f t="shared" si="414"/>
        <v>-1.0335196050270384E-4</v>
      </c>
      <c r="U503" s="68">
        <f t="shared" si="414"/>
        <v>-1.0376073741741638E-4</v>
      </c>
      <c r="V503" s="68">
        <f t="shared" si="414"/>
        <v>-1.0404722966659797E-4</v>
      </c>
      <c r="W503" s="68">
        <f t="shared" si="414"/>
        <v>-1.0424521341997226E-4</v>
      </c>
      <c r="X503" s="68">
        <f t="shared" si="414"/>
        <v>-1.0438070356831517E-4</v>
      </c>
      <c r="Y503" s="68">
        <f t="shared" si="414"/>
        <v>-1.0447280735420809E-4</v>
      </c>
      <c r="Z503" s="68">
        <f t="shared" si="414"/>
        <v>-1.0453513296124573E-4</v>
      </c>
      <c r="AA503" s="68">
        <f t="shared" si="414"/>
        <v>-1.0457717788082251E-4</v>
      </c>
      <c r="AB503" s="68">
        <f t="shared" si="414"/>
        <v>-1.0460548231182018E-4</v>
      </c>
      <c r="AC503" s="68">
        <f t="shared" si="414"/>
        <v>-1.046245099547301E-4</v>
      </c>
    </row>
    <row r="504" spans="1:29" x14ac:dyDescent="0.3">
      <c r="A504" s="30" t="str">
        <f t="shared" si="412"/>
        <v>Capex costumization</v>
      </c>
      <c r="B504" s="66">
        <f>((1+B463)^B471)*B463/(((1+B463)^B471)-1)*(B461)/B475/(B472)</f>
        <v>5.0874587878184309E-4</v>
      </c>
      <c r="C504" s="66">
        <f t="shared" ref="C504:AC504" si="415">((1+C463)^C471)*C463/(((1+C463)^C471)-1)*(C461)/C475/(C472)</f>
        <v>5.0874587878184309E-4</v>
      </c>
      <c r="D504" s="66">
        <f t="shared" si="415"/>
        <v>5.0874587878184309E-4</v>
      </c>
      <c r="E504" s="66">
        <f t="shared" si="415"/>
        <v>5.0874587878184309E-4</v>
      </c>
      <c r="F504" s="66">
        <f t="shared" si="415"/>
        <v>5.0874587878184309E-4</v>
      </c>
      <c r="G504" s="66">
        <f t="shared" si="415"/>
        <v>5.0874587878184309E-4</v>
      </c>
      <c r="H504" s="66">
        <f t="shared" si="415"/>
        <v>5.0874587878184309E-4</v>
      </c>
      <c r="I504" s="66">
        <f t="shared" si="415"/>
        <v>5.0874587878184309E-4</v>
      </c>
      <c r="J504" s="66">
        <f t="shared" si="415"/>
        <v>5.0874587878184309E-4</v>
      </c>
      <c r="K504" s="66">
        <f t="shared" si="415"/>
        <v>5.0874587878184309E-4</v>
      </c>
      <c r="L504" s="66">
        <f t="shared" si="415"/>
        <v>5.0874587878184309E-4</v>
      </c>
      <c r="M504" s="66">
        <f t="shared" si="415"/>
        <v>5.0874587878184309E-4</v>
      </c>
      <c r="N504" s="66">
        <f t="shared" si="415"/>
        <v>5.0874587878184309E-4</v>
      </c>
      <c r="O504" s="66">
        <f t="shared" si="415"/>
        <v>5.0874587878184309E-4</v>
      </c>
      <c r="P504" s="66">
        <f t="shared" si="415"/>
        <v>5.0874587878184309E-4</v>
      </c>
      <c r="Q504" s="66">
        <f t="shared" si="415"/>
        <v>5.0874587878184309E-4</v>
      </c>
      <c r="R504" s="66">
        <f t="shared" si="415"/>
        <v>5.0874587878184309E-4</v>
      </c>
      <c r="S504" s="66">
        <f t="shared" si="415"/>
        <v>5.0874587878184309E-4</v>
      </c>
      <c r="T504" s="66">
        <f t="shared" si="415"/>
        <v>5.0874587878184309E-4</v>
      </c>
      <c r="U504" s="66">
        <f t="shared" si="415"/>
        <v>5.0874587878184309E-4</v>
      </c>
      <c r="V504" s="66">
        <f t="shared" si="415"/>
        <v>5.0874587878184309E-4</v>
      </c>
      <c r="W504" s="66">
        <f t="shared" si="415"/>
        <v>5.0874587878184309E-4</v>
      </c>
      <c r="X504" s="66">
        <f t="shared" si="415"/>
        <v>5.0874587878184309E-4</v>
      </c>
      <c r="Y504" s="66">
        <f t="shared" si="415"/>
        <v>5.0874587878184309E-4</v>
      </c>
      <c r="Z504" s="66">
        <f t="shared" si="415"/>
        <v>5.0874587878184309E-4</v>
      </c>
      <c r="AA504" s="66">
        <f t="shared" si="415"/>
        <v>5.0874587878184309E-4</v>
      </c>
      <c r="AB504" s="66">
        <f t="shared" si="415"/>
        <v>5.0874587878184309E-4</v>
      </c>
      <c r="AC504" s="66">
        <f t="shared" si="415"/>
        <v>5.0874587878184309E-4</v>
      </c>
    </row>
    <row r="505" spans="1:29" x14ac:dyDescent="0.3">
      <c r="A505" s="30" t="str">
        <f t="shared" si="412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416">((1+C463)^C471)*C463/(((1+C463)^C471)-1)*(C462)/C475/(C472)</f>
        <v>-2.5437293939092159E-5</v>
      </c>
      <c r="D505" s="69">
        <f t="shared" si="416"/>
        <v>-2.5437293939092159E-5</v>
      </c>
      <c r="E505" s="69">
        <f t="shared" si="416"/>
        <v>-2.5437293939092159E-5</v>
      </c>
      <c r="F505" s="69">
        <f t="shared" si="416"/>
        <v>-2.5437293939092159E-5</v>
      </c>
      <c r="G505" s="69">
        <f t="shared" si="416"/>
        <v>-2.5437293939092159E-5</v>
      </c>
      <c r="H505" s="69">
        <f t="shared" si="416"/>
        <v>-2.5437293939092159E-5</v>
      </c>
      <c r="I505" s="69">
        <f t="shared" si="416"/>
        <v>-2.5437293939092159E-5</v>
      </c>
      <c r="J505" s="69">
        <f t="shared" si="416"/>
        <v>-2.5437293939092159E-5</v>
      </c>
      <c r="K505" s="69">
        <f t="shared" si="416"/>
        <v>-2.5437293939092159E-5</v>
      </c>
      <c r="L505" s="69">
        <f t="shared" si="416"/>
        <v>-2.5437293939092159E-5</v>
      </c>
      <c r="M505" s="69">
        <f t="shared" si="416"/>
        <v>-2.5437293939092159E-5</v>
      </c>
      <c r="N505" s="69">
        <f t="shared" si="416"/>
        <v>-2.5437293939092159E-5</v>
      </c>
      <c r="O505" s="69">
        <f t="shared" si="416"/>
        <v>-2.5437293939092159E-5</v>
      </c>
      <c r="P505" s="69">
        <f t="shared" si="416"/>
        <v>-2.5437293939092159E-5</v>
      </c>
      <c r="Q505" s="69">
        <f t="shared" si="416"/>
        <v>-2.5437293939092159E-5</v>
      </c>
      <c r="R505" s="69">
        <f t="shared" si="416"/>
        <v>-2.5437293939092159E-5</v>
      </c>
      <c r="S505" s="69">
        <f t="shared" si="416"/>
        <v>-2.5437293939092159E-5</v>
      </c>
      <c r="T505" s="69">
        <f t="shared" si="416"/>
        <v>-2.5437293939092159E-5</v>
      </c>
      <c r="U505" s="69">
        <f t="shared" si="416"/>
        <v>-2.5437293939092159E-5</v>
      </c>
      <c r="V505" s="69">
        <f t="shared" si="416"/>
        <v>-2.5437293939092159E-5</v>
      </c>
      <c r="W505" s="69">
        <f t="shared" si="416"/>
        <v>-2.5437293939092159E-5</v>
      </c>
      <c r="X505" s="69">
        <f t="shared" si="416"/>
        <v>-2.5437293939092159E-5</v>
      </c>
      <c r="Y505" s="69">
        <f t="shared" si="416"/>
        <v>-2.5437293939092159E-5</v>
      </c>
      <c r="Z505" s="69">
        <f t="shared" si="416"/>
        <v>-2.5437293939092159E-5</v>
      </c>
      <c r="AA505" s="69">
        <f t="shared" si="416"/>
        <v>-2.5437293939092159E-5</v>
      </c>
      <c r="AB505" s="69">
        <f t="shared" si="416"/>
        <v>-2.5437293939092159E-5</v>
      </c>
      <c r="AC505" s="69">
        <f t="shared" si="416"/>
        <v>-2.5437293939092159E-5</v>
      </c>
    </row>
    <row r="506" spans="1:29" x14ac:dyDescent="0.3">
      <c r="A506" s="30" t="str">
        <f t="shared" si="412"/>
        <v>Opex fix (admin, crew, insurance)</v>
      </c>
      <c r="B506" s="66">
        <f>B464/B475/(B472)</f>
        <v>1.3005202080832333E-3</v>
      </c>
      <c r="C506" s="66">
        <f t="shared" ref="C506:AC506" si="417">C464/C475/(C472)</f>
        <v>1.3005202080832333E-3</v>
      </c>
      <c r="D506" s="66">
        <f t="shared" si="417"/>
        <v>1.3005202080832333E-3</v>
      </c>
      <c r="E506" s="66">
        <f t="shared" si="417"/>
        <v>1.3005202080832333E-3</v>
      </c>
      <c r="F506" s="66">
        <f t="shared" si="417"/>
        <v>1.3005202080832333E-3</v>
      </c>
      <c r="G506" s="66">
        <f t="shared" si="417"/>
        <v>1.3005202080832333E-3</v>
      </c>
      <c r="H506" s="66">
        <f t="shared" si="417"/>
        <v>1.3005202080832333E-3</v>
      </c>
      <c r="I506" s="66">
        <f t="shared" si="417"/>
        <v>1.3005202080832333E-3</v>
      </c>
      <c r="J506" s="66">
        <f t="shared" si="417"/>
        <v>1.3005202080832333E-3</v>
      </c>
      <c r="K506" s="66">
        <f t="shared" si="417"/>
        <v>1.3005202080832333E-3</v>
      </c>
      <c r="L506" s="66">
        <f t="shared" si="417"/>
        <v>1.3005202080832333E-3</v>
      </c>
      <c r="M506" s="66">
        <f t="shared" si="417"/>
        <v>1.3005202080832333E-3</v>
      </c>
      <c r="N506" s="66">
        <f t="shared" si="417"/>
        <v>1.3005202080832333E-3</v>
      </c>
      <c r="O506" s="66">
        <f t="shared" si="417"/>
        <v>1.3005202080832333E-3</v>
      </c>
      <c r="P506" s="66">
        <f t="shared" si="417"/>
        <v>1.3005202080832333E-3</v>
      </c>
      <c r="Q506" s="66">
        <f t="shared" si="417"/>
        <v>1.3005202080832333E-3</v>
      </c>
      <c r="R506" s="66">
        <f t="shared" si="417"/>
        <v>1.3005202080832333E-3</v>
      </c>
      <c r="S506" s="66">
        <f t="shared" si="417"/>
        <v>1.3005202080832333E-3</v>
      </c>
      <c r="T506" s="66">
        <f t="shared" si="417"/>
        <v>1.3005202080832333E-3</v>
      </c>
      <c r="U506" s="66">
        <f t="shared" si="417"/>
        <v>1.3005202080832333E-3</v>
      </c>
      <c r="V506" s="66">
        <f t="shared" si="417"/>
        <v>1.3005202080832333E-3</v>
      </c>
      <c r="W506" s="66">
        <f t="shared" si="417"/>
        <v>1.3005202080832333E-3</v>
      </c>
      <c r="X506" s="66">
        <f t="shared" si="417"/>
        <v>1.3005202080832333E-3</v>
      </c>
      <c r="Y506" s="66">
        <f t="shared" si="417"/>
        <v>1.3005202080832333E-3</v>
      </c>
      <c r="Z506" s="66">
        <f t="shared" si="417"/>
        <v>1.3005202080832333E-3</v>
      </c>
      <c r="AA506" s="66">
        <f t="shared" si="417"/>
        <v>1.3005202080832333E-3</v>
      </c>
      <c r="AB506" s="66">
        <f t="shared" si="417"/>
        <v>1.3005202080832333E-3</v>
      </c>
      <c r="AC506" s="66">
        <f t="shared" si="417"/>
        <v>1.3005202080832333E-3</v>
      </c>
    </row>
    <row r="507" spans="1:29" x14ac:dyDescent="0.3">
      <c r="A507" s="30" t="str">
        <f t="shared" si="412"/>
        <v>Opex maintenance &amp; repair</v>
      </c>
      <c r="B507" s="66">
        <f>B465/B475/(B472)</f>
        <v>2.7789319802378224E-3</v>
      </c>
      <c r="C507" s="66">
        <f t="shared" ref="C507:AC507" si="418">C465/C475/(C472)</f>
        <v>2.7694315366306715E-3</v>
      </c>
      <c r="D507" s="66">
        <f t="shared" si="418"/>
        <v>2.7559422686140962E-3</v>
      </c>
      <c r="E507" s="66">
        <f t="shared" si="418"/>
        <v>2.7368764845085622E-3</v>
      </c>
      <c r="F507" s="66">
        <f t="shared" si="418"/>
        <v>2.710108467599631E-3</v>
      </c>
      <c r="G507" s="66">
        <f t="shared" si="418"/>
        <v>2.6728912070051796E-3</v>
      </c>
      <c r="H507" s="66">
        <f t="shared" si="418"/>
        <v>2.6218677350306747E-3</v>
      </c>
      <c r="I507" s="66">
        <f t="shared" si="418"/>
        <v>2.5532976561511546E-3</v>
      </c>
      <c r="J507" s="66">
        <f t="shared" si="418"/>
        <v>2.4636633162905975E-3</v>
      </c>
      <c r="K507" s="66">
        <f t="shared" si="418"/>
        <v>2.3507840154060513E-3</v>
      </c>
      <c r="L507" s="66">
        <f t="shared" si="418"/>
        <v>2.2153320945454348E-3</v>
      </c>
      <c r="M507" s="66">
        <f t="shared" si="418"/>
        <v>2.0621666310506933E-3</v>
      </c>
      <c r="N507" s="66">
        <f t="shared" si="418"/>
        <v>1.9004704796613783E-3</v>
      </c>
      <c r="O507" s="66">
        <f t="shared" si="418"/>
        <v>1.7419562060872371E-3</v>
      </c>
      <c r="P507" s="66">
        <f t="shared" si="418"/>
        <v>1.5976574000655106E-3</v>
      </c>
      <c r="Q507" s="66">
        <f t="shared" si="418"/>
        <v>1.4750239634921749E-3</v>
      </c>
      <c r="R507" s="66">
        <f t="shared" si="418"/>
        <v>1.3768165432010903E-3</v>
      </c>
      <c r="S507" s="66">
        <f t="shared" si="418"/>
        <v>1.3018799227626329E-3</v>
      </c>
      <c r="T507" s="66">
        <f t="shared" si="418"/>
        <v>1.2467954968147202E-3</v>
      </c>
      <c r="U507" s="66">
        <f t="shared" si="418"/>
        <v>1.2074109291498637E-3</v>
      </c>
      <c r="V507" s="66">
        <f t="shared" si="418"/>
        <v>1.1798081635159875E-3</v>
      </c>
      <c r="W507" s="66">
        <f t="shared" si="418"/>
        <v>1.1607329558644115E-3</v>
      </c>
      <c r="X507" s="66">
        <f t="shared" si="418"/>
        <v>1.1476788407143806E-3</v>
      </c>
      <c r="Y507" s="66">
        <f t="shared" si="418"/>
        <v>1.1388048861021428E-3</v>
      </c>
      <c r="Z507" s="66">
        <f t="shared" si="418"/>
        <v>1.1327999797601273E-3</v>
      </c>
      <c r="AA507" s="66">
        <f t="shared" si="418"/>
        <v>1.1287490636725584E-3</v>
      </c>
      <c r="AB507" s="66">
        <f t="shared" si="418"/>
        <v>1.1260220070856508E-3</v>
      </c>
      <c r="AC507" s="66">
        <f t="shared" si="418"/>
        <v>1.1241887443383775E-3</v>
      </c>
    </row>
    <row r="508" spans="1:29" x14ac:dyDescent="0.3">
      <c r="A508" s="30" t="str">
        <f t="shared" si="412"/>
        <v>Opex var (mode-fees, shunting)</v>
      </c>
      <c r="B508" s="66">
        <f>B466*B475/B475/(B472)</f>
        <v>1.4005602240896359E-3</v>
      </c>
      <c r="C508" s="66">
        <f t="shared" ref="C508:AC508" si="419">C466*C475/C475/(C472)</f>
        <v>1.4005602240896359E-3</v>
      </c>
      <c r="D508" s="66">
        <f t="shared" si="419"/>
        <v>1.4005602240896359E-3</v>
      </c>
      <c r="E508" s="66">
        <f t="shared" si="419"/>
        <v>1.4005602240896359E-3</v>
      </c>
      <c r="F508" s="66">
        <f t="shared" si="419"/>
        <v>1.4005602240896359E-3</v>
      </c>
      <c r="G508" s="66">
        <f t="shared" si="419"/>
        <v>1.4005602240896359E-3</v>
      </c>
      <c r="H508" s="66">
        <f t="shared" si="419"/>
        <v>1.4005602240896359E-3</v>
      </c>
      <c r="I508" s="66">
        <f t="shared" si="419"/>
        <v>1.4005602240896359E-3</v>
      </c>
      <c r="J508" s="66">
        <f t="shared" si="419"/>
        <v>1.4005602240896359E-3</v>
      </c>
      <c r="K508" s="66">
        <f t="shared" si="419"/>
        <v>1.4005602240896359E-3</v>
      </c>
      <c r="L508" s="66">
        <f t="shared" si="419"/>
        <v>1.4005602240896359E-3</v>
      </c>
      <c r="M508" s="66">
        <f t="shared" si="419"/>
        <v>1.4005602240896359E-3</v>
      </c>
      <c r="N508" s="66">
        <f t="shared" si="419"/>
        <v>1.4005602240896359E-3</v>
      </c>
      <c r="O508" s="66">
        <f t="shared" si="419"/>
        <v>1.4005602240896359E-3</v>
      </c>
      <c r="P508" s="66">
        <f t="shared" si="419"/>
        <v>1.4005602240896359E-3</v>
      </c>
      <c r="Q508" s="66">
        <f t="shared" si="419"/>
        <v>1.4005602240896359E-3</v>
      </c>
      <c r="R508" s="66">
        <f t="shared" si="419"/>
        <v>1.4005602240896359E-3</v>
      </c>
      <c r="S508" s="66">
        <f t="shared" si="419"/>
        <v>1.4005602240896359E-3</v>
      </c>
      <c r="T508" s="66">
        <f t="shared" si="419"/>
        <v>1.4005602240896359E-3</v>
      </c>
      <c r="U508" s="66">
        <f t="shared" si="419"/>
        <v>1.4005602240896359E-3</v>
      </c>
      <c r="V508" s="66">
        <f t="shared" si="419"/>
        <v>1.4005602240896359E-3</v>
      </c>
      <c r="W508" s="66">
        <f t="shared" si="419"/>
        <v>1.4005602240896359E-3</v>
      </c>
      <c r="X508" s="66">
        <f t="shared" si="419"/>
        <v>1.4005602240896359E-3</v>
      </c>
      <c r="Y508" s="66">
        <f t="shared" si="419"/>
        <v>1.4005602240896359E-3</v>
      </c>
      <c r="Z508" s="66">
        <f t="shared" si="419"/>
        <v>1.4005602240896359E-3</v>
      </c>
      <c r="AA508" s="66">
        <f t="shared" si="419"/>
        <v>1.4005602240896359E-3</v>
      </c>
      <c r="AB508" s="66">
        <f t="shared" si="419"/>
        <v>1.4005602240896359E-3</v>
      </c>
      <c r="AC508" s="66">
        <f t="shared" si="419"/>
        <v>1.4005602240896359E-3</v>
      </c>
    </row>
    <row r="509" spans="1:29" x14ac:dyDescent="0.3">
      <c r="A509" s="30" t="str">
        <f t="shared" si="412"/>
        <v>Fuel Cost</v>
      </c>
      <c r="B509" s="66">
        <f>B467*B468*B475/B475/(B472)</f>
        <v>3.0249510447125042E-3</v>
      </c>
      <c r="C509" s="66">
        <f t="shared" ref="C509:AC509" si="420">C467*C468*C475/C475/(C472)</f>
        <v>3.013207481471067E-3</v>
      </c>
      <c r="D509" s="66">
        <f t="shared" si="420"/>
        <v>2.9965605976999157E-3</v>
      </c>
      <c r="E509" s="66">
        <f t="shared" si="420"/>
        <v>2.9730864526754967E-3</v>
      </c>
      <c r="F509" s="66">
        <f t="shared" si="420"/>
        <v>2.9402371519179401E-3</v>
      </c>
      <c r="G509" s="66">
        <f t="shared" si="420"/>
        <v>2.8947742778314017E-3</v>
      </c>
      <c r="H509" s="66">
        <f t="shared" si="420"/>
        <v>2.8328426212731643E-3</v>
      </c>
      <c r="I509" s="66">
        <f t="shared" si="420"/>
        <v>2.750334824887209E-3</v>
      </c>
      <c r="J509" s="66">
        <f t="shared" si="420"/>
        <v>2.643729198516544E-3</v>
      </c>
      <c r="K509" s="66">
        <f t="shared" si="420"/>
        <v>2.5114892601075115E-3</v>
      </c>
      <c r="L509" s="66">
        <f t="shared" si="420"/>
        <v>2.3557654525135155E-3</v>
      </c>
      <c r="M509" s="66">
        <f t="shared" si="420"/>
        <v>2.1835675776696695E-3</v>
      </c>
      <c r="N509" s="66">
        <f t="shared" si="420"/>
        <v>2.0062596472054427E-3</v>
      </c>
      <c r="O509" s="66">
        <f t="shared" si="420"/>
        <v>1.8369079124388825E-3</v>
      </c>
      <c r="P509" s="66">
        <f t="shared" si="420"/>
        <v>1.6865891052149833E-3</v>
      </c>
      <c r="Q509" s="66">
        <f t="shared" si="420"/>
        <v>1.5617204533430382E-3</v>
      </c>
      <c r="R509" s="66">
        <f t="shared" si="420"/>
        <v>1.4636317636683098E-3</v>
      </c>
      <c r="S509" s="66">
        <f t="shared" si="420"/>
        <v>1.3899276297539437E-3</v>
      </c>
      <c r="T509" s="66">
        <f t="shared" si="420"/>
        <v>1.3363795059609361E-3</v>
      </c>
      <c r="U509" s="66">
        <f t="shared" si="420"/>
        <v>1.2984208167707424E-3</v>
      </c>
      <c r="V509" s="66">
        <f t="shared" si="420"/>
        <v>1.2719801114503028E-3</v>
      </c>
      <c r="W509" s="66">
        <f t="shared" si="420"/>
        <v>1.25378632059321E-3</v>
      </c>
      <c r="X509" s="66">
        <f t="shared" si="420"/>
        <v>1.2413723152160758E-3</v>
      </c>
      <c r="Y509" s="66">
        <f t="shared" si="420"/>
        <v>1.2329506211860562E-3</v>
      </c>
      <c r="Z509" s="66">
        <f t="shared" si="420"/>
        <v>1.2272596177319904E-3</v>
      </c>
      <c r="AA509" s="66">
        <f t="shared" si="420"/>
        <v>1.2234240458952109E-3</v>
      </c>
      <c r="AB509" s="66">
        <f t="shared" si="420"/>
        <v>1.2208435847220428E-3</v>
      </c>
      <c r="AC509" s="66">
        <f t="shared" si="420"/>
        <v>1.2191096064563059E-3</v>
      </c>
    </row>
    <row r="510" spans="1:29" x14ac:dyDescent="0.3">
      <c r="A510" s="59" t="str">
        <f>A473</f>
        <v>Market failure (av. utilization)</v>
      </c>
      <c r="B510" s="66">
        <f t="shared" ref="B510:AC510" si="421">B499/B473-B499/B472</f>
        <v>3.1192909390892233E-2</v>
      </c>
      <c r="C510" s="66">
        <f t="shared" si="421"/>
        <v>3.1113547447233332E-2</v>
      </c>
      <c r="D510" s="66">
        <f t="shared" si="421"/>
        <v>3.1000942549945763E-2</v>
      </c>
      <c r="E510" s="66">
        <f t="shared" si="421"/>
        <v>3.0841941650630318E-2</v>
      </c>
      <c r="F510" s="66">
        <f t="shared" si="421"/>
        <v>3.0619013797207523E-2</v>
      </c>
      <c r="G510" s="66">
        <f t="shared" si="421"/>
        <v>3.0309657086731362E-2</v>
      </c>
      <c r="H510" s="66">
        <f t="shared" si="421"/>
        <v>2.9886660915176118E-2</v>
      </c>
      <c r="I510" s="66">
        <f t="shared" si="421"/>
        <v>2.9320233361480437E-2</v>
      </c>
      <c r="J510" s="66">
        <f t="shared" si="421"/>
        <v>2.8583304058631413E-2</v>
      </c>
      <c r="K510" s="66">
        <f t="shared" si="421"/>
        <v>2.7660870354358227E-2</v>
      </c>
      <c r="L510" s="66">
        <f t="shared" si="421"/>
        <v>2.6562131360213743E-2</v>
      </c>
      <c r="M510" s="66">
        <f t="shared" si="421"/>
        <v>2.5330226416626245E-2</v>
      </c>
      <c r="N510" s="66">
        <f t="shared" si="421"/>
        <v>2.4041437370587612E-2</v>
      </c>
      <c r="O510" s="66">
        <f t="shared" si="421"/>
        <v>2.2789019500679637E-2</v>
      </c>
      <c r="P510" s="66">
        <f t="shared" si="421"/>
        <v>2.1657341086621873E-2</v>
      </c>
      <c r="Q510" s="66">
        <f t="shared" si="421"/>
        <v>2.0700470623167728E-2</v>
      </c>
      <c r="R510" s="66">
        <f t="shared" si="421"/>
        <v>1.9935803223651485E-2</v>
      </c>
      <c r="S510" s="66">
        <f t="shared" si="421"/>
        <v>1.9351702323231766E-2</v>
      </c>
      <c r="T510" s="66">
        <f t="shared" si="421"/>
        <v>1.8920683741184392E-2</v>
      </c>
      <c r="U510" s="66">
        <f t="shared" si="421"/>
        <v>1.8610738663723269E-2</v>
      </c>
      <c r="V510" s="66">
        <f t="shared" si="421"/>
        <v>1.8392093838814585E-2</v>
      </c>
      <c r="W510" s="66">
        <f t="shared" si="421"/>
        <v>1.8240040119228862E-2</v>
      </c>
      <c r="X510" s="66">
        <f t="shared" si="421"/>
        <v>1.8135409388977512E-2</v>
      </c>
      <c r="Y510" s="66">
        <f t="shared" si="421"/>
        <v>1.8063968412517516E-2</v>
      </c>
      <c r="Z510" s="66">
        <f t="shared" si="421"/>
        <v>1.8015462318613239E-2</v>
      </c>
      <c r="AA510" s="66">
        <f t="shared" si="421"/>
        <v>1.7982659497126654E-2</v>
      </c>
      <c r="AB510" s="66">
        <f t="shared" si="421"/>
        <v>1.7960538131854414E-2</v>
      </c>
      <c r="AC510" s="66">
        <f t="shared" si="421"/>
        <v>1.7945648880069512E-2</v>
      </c>
    </row>
    <row r="511" spans="1:29" x14ac:dyDescent="0.3">
      <c r="A511" s="59" t="str">
        <f>A474</f>
        <v>Payload loss (fuel)</v>
      </c>
      <c r="B511" s="66">
        <f>B499/(B472-B474)-B499/B472</f>
        <v>1.5555136364477952E-4</v>
      </c>
      <c r="C511" s="66">
        <f t="shared" ref="C511:AC511" si="422">C499/(C472-C474)-C499/C472</f>
        <v>1.5515560515996091E-4</v>
      </c>
      <c r="D511" s="66">
        <f t="shared" si="422"/>
        <v>1.5459407224532699E-4</v>
      </c>
      <c r="E511" s="66">
        <f t="shared" si="422"/>
        <v>1.5380117388501952E-4</v>
      </c>
      <c r="F511" s="66">
        <f t="shared" si="422"/>
        <v>1.5268948753477223E-4</v>
      </c>
      <c r="G511" s="66">
        <f t="shared" si="422"/>
        <v>1.5114680174153211E-4</v>
      </c>
      <c r="H511" s="66">
        <f t="shared" si="422"/>
        <v>1.4903742391859758E-4</v>
      </c>
      <c r="I511" s="66">
        <f t="shared" si="422"/>
        <v>1.4621278908639145E-4</v>
      </c>
      <c r="J511" s="66">
        <f t="shared" si="422"/>
        <v>1.425379039856952E-4</v>
      </c>
      <c r="K511" s="66">
        <f t="shared" si="422"/>
        <v>1.3793795408126308E-4</v>
      </c>
      <c r="L511" s="66">
        <f t="shared" si="422"/>
        <v>1.3245881307882672E-4</v>
      </c>
      <c r="M511" s="66">
        <f t="shared" si="422"/>
        <v>1.2631560625401932E-4</v>
      </c>
      <c r="N511" s="66">
        <f t="shared" si="422"/>
        <v>1.1988873240748217E-4</v>
      </c>
      <c r="O511" s="66">
        <f t="shared" si="422"/>
        <v>1.136432326666291E-4</v>
      </c>
      <c r="P511" s="66">
        <f t="shared" si="422"/>
        <v>1.0799983088232833E-4</v>
      </c>
      <c r="Q511" s="66">
        <f t="shared" si="422"/>
        <v>1.0322815333354586E-4</v>
      </c>
      <c r="R511" s="66">
        <f t="shared" si="422"/>
        <v>9.9414945170149538E-5</v>
      </c>
      <c r="S511" s="66">
        <f t="shared" si="422"/>
        <v>9.6502177706625503E-5</v>
      </c>
      <c r="T511" s="66">
        <f t="shared" si="422"/>
        <v>9.4352794096602514E-5</v>
      </c>
      <c r="U511" s="66">
        <f t="shared" si="422"/>
        <v>9.2807174261982754E-5</v>
      </c>
      <c r="V511" s="66">
        <f t="shared" si="422"/>
        <v>9.1716846321032719E-5</v>
      </c>
      <c r="W511" s="66">
        <f t="shared" si="422"/>
        <v>9.0958591836578367E-5</v>
      </c>
      <c r="X511" s="66">
        <f t="shared" si="422"/>
        <v>9.0436824130789815E-5</v>
      </c>
      <c r="Y511" s="66">
        <f t="shared" si="422"/>
        <v>9.0080565560317523E-5</v>
      </c>
      <c r="Z511" s="66">
        <f t="shared" si="422"/>
        <v>8.9838677605676501E-5</v>
      </c>
      <c r="AA511" s="66">
        <f t="shared" si="422"/>
        <v>8.9675098006553391E-5</v>
      </c>
      <c r="AB511" s="66">
        <f t="shared" si="422"/>
        <v>8.9564784201237244E-5</v>
      </c>
      <c r="AC511" s="66">
        <f t="shared" si="422"/>
        <v>8.9490535166311669E-5</v>
      </c>
    </row>
    <row r="512" spans="1:29" ht="15" thickBot="1" x14ac:dyDescent="0.35">
      <c r="A512" s="59" t="str">
        <f>A449</f>
        <v>Emission Cost</v>
      </c>
      <c r="B512" s="68">
        <f>B469*B475/B475/(B472)</f>
        <v>5.0776106138177758E-5</v>
      </c>
      <c r="C512" s="68">
        <f t="shared" ref="C512:AC512" si="423">C469*C475/C475/(C472)</f>
        <v>5.072775491345021E-5</v>
      </c>
      <c r="D512" s="68">
        <f t="shared" si="423"/>
        <v>5.0658541212189419E-5</v>
      </c>
      <c r="E512" s="68">
        <f t="shared" si="423"/>
        <v>5.0559526145210816E-5</v>
      </c>
      <c r="F512" s="68">
        <f t="shared" si="423"/>
        <v>5.041801176573909E-5</v>
      </c>
      <c r="G512" s="68">
        <f t="shared" si="423"/>
        <v>5.0216040163707329E-5</v>
      </c>
      <c r="H512" s="68">
        <f t="shared" si="423"/>
        <v>4.9928383053356402E-5</v>
      </c>
      <c r="I512" s="68">
        <f t="shared" si="423"/>
        <v>4.951995119281923E-5</v>
      </c>
      <c r="J512" s="68">
        <f t="shared" si="423"/>
        <v>4.8942672005745877E-5</v>
      </c>
      <c r="K512" s="68">
        <f t="shared" si="423"/>
        <v>4.8132182442074122E-5</v>
      </c>
      <c r="L512" s="68">
        <f t="shared" si="423"/>
        <v>4.7005307731748065E-5</v>
      </c>
      <c r="M512" s="68">
        <f t="shared" si="423"/>
        <v>4.5460404660357809E-5</v>
      </c>
      <c r="N512" s="68">
        <f t="shared" si="423"/>
        <v>4.3384220477529656E-5</v>
      </c>
      <c r="O512" s="68">
        <f t="shared" si="423"/>
        <v>4.0670246661286708E-5</v>
      </c>
      <c r="P512" s="68">
        <f t="shared" si="423"/>
        <v>3.7252455360842527E-5</v>
      </c>
      <c r="Q512" s="68">
        <f t="shared" si="423"/>
        <v>3.3151203908024148E-5</v>
      </c>
      <c r="R512" s="68">
        <f t="shared" si="423"/>
        <v>2.8513616816691473E-5</v>
      </c>
      <c r="S512" s="68">
        <f t="shared" si="423"/>
        <v>2.3617735151912623E-5</v>
      </c>
      <c r="T512" s="68">
        <f t="shared" si="423"/>
        <v>1.881819528080682E-5</v>
      </c>
      <c r="U512" s="68">
        <f t="shared" si="423"/>
        <v>1.4449075344548788E-5</v>
      </c>
      <c r="V512" s="68">
        <f t="shared" si="423"/>
        <v>1.0735945573372985E-5</v>
      </c>
      <c r="W512" s="68">
        <f t="shared" si="423"/>
        <v>7.7623936105269213E-6</v>
      </c>
      <c r="X512" s="68">
        <f t="shared" si="423"/>
        <v>5.4934414872212908E-6</v>
      </c>
      <c r="Y512" s="68">
        <f t="shared" si="423"/>
        <v>3.8255797063683146E-6</v>
      </c>
      <c r="Z512" s="68">
        <f t="shared" si="423"/>
        <v>2.6330826614550027E-6</v>
      </c>
      <c r="AA512" s="68">
        <f t="shared" si="423"/>
        <v>1.7973183405176063E-6</v>
      </c>
      <c r="AB512" s="68">
        <f t="shared" si="423"/>
        <v>1.2197538246600463E-6</v>
      </c>
      <c r="AC512" s="68">
        <f t="shared" si="423"/>
        <v>8.2449764531493981E-7</v>
      </c>
    </row>
    <row r="513" spans="1:29" ht="15" thickBot="1" x14ac:dyDescent="0.35">
      <c r="A513" s="31" t="s">
        <v>210</v>
      </c>
      <c r="B513" s="67">
        <f>B502+B503+B504+B505+B506+B507+B508+B509+B510+B511+B512</f>
        <v>4.2030630258148627E-2</v>
      </c>
      <c r="C513" s="67">
        <f t="shared" ref="C513:AC513" si="424">C502+C503+C504+C505+C506+C507+C508+C509+C510+C511+C512</f>
        <v>4.1923565220552385E-2</v>
      </c>
      <c r="D513" s="67">
        <f t="shared" si="424"/>
        <v>4.1771653019240483E-2</v>
      </c>
      <c r="E513" s="67">
        <f t="shared" si="424"/>
        <v>4.1557149234703494E-2</v>
      </c>
      <c r="F513" s="67">
        <f t="shared" si="424"/>
        <v>4.1256403336763475E-2</v>
      </c>
      <c r="G513" s="67">
        <f t="shared" si="424"/>
        <v>4.0839058620760336E-2</v>
      </c>
      <c r="H513" s="67">
        <f t="shared" si="424"/>
        <v>4.0268406001599713E-2</v>
      </c>
      <c r="I513" s="67">
        <f t="shared" si="424"/>
        <v>3.9504254009649659E-2</v>
      </c>
      <c r="J513" s="67">
        <f t="shared" si="424"/>
        <v>3.8510082749751887E-2</v>
      </c>
      <c r="K513" s="67">
        <f t="shared" si="424"/>
        <v>3.7265652552168439E-2</v>
      </c>
      <c r="L513" s="67">
        <f t="shared" si="424"/>
        <v>3.5783373687853524E-2</v>
      </c>
      <c r="M513" s="67">
        <f t="shared" si="424"/>
        <v>3.4121444266529397E-2</v>
      </c>
      <c r="N513" s="67">
        <f t="shared" si="424"/>
        <v>3.2382774051233076E-2</v>
      </c>
      <c r="O513" s="67">
        <f t="shared" si="424"/>
        <v>3.069317119946538E-2</v>
      </c>
      <c r="P513" s="67">
        <f t="shared" si="424"/>
        <v>2.9166454660506661E-2</v>
      </c>
      <c r="Q513" s="67">
        <f t="shared" si="424"/>
        <v>2.787556676863779E-2</v>
      </c>
      <c r="R513" s="67">
        <f t="shared" si="424"/>
        <v>2.6843974797683749E-2</v>
      </c>
      <c r="S513" s="67">
        <f t="shared" si="424"/>
        <v>2.6055980174817372E-2</v>
      </c>
      <c r="T513" s="67">
        <f t="shared" si="424"/>
        <v>2.5474504740068408E-2</v>
      </c>
      <c r="U513" s="67">
        <f t="shared" si="424"/>
        <v>2.5056366274183894E-2</v>
      </c>
      <c r="V513" s="67">
        <f t="shared" si="424"/>
        <v>2.4761398493408693E-2</v>
      </c>
      <c r="W513" s="67">
        <f t="shared" si="424"/>
        <v>2.4556266959911165E-2</v>
      </c>
      <c r="X513" s="67">
        <f t="shared" si="424"/>
        <v>2.4415112490254638E-2</v>
      </c>
      <c r="Y513" s="67">
        <f t="shared" si="424"/>
        <v>2.4318733413861593E-2</v>
      </c>
      <c r="Z513" s="67">
        <f t="shared" si="424"/>
        <v>2.4253295163132384E-2</v>
      </c>
      <c r="AA513" s="67">
        <f t="shared" si="424"/>
        <v>2.4209041769707208E-2</v>
      </c>
      <c r="AB513" s="67">
        <f t="shared" si="424"/>
        <v>2.4179198438062856E-2</v>
      </c>
      <c r="AC513" s="67">
        <f t="shared" si="424"/>
        <v>2.415911175383317E-2</v>
      </c>
    </row>
    <row r="515" spans="1:29" x14ac:dyDescent="0.3">
      <c r="B515" s="40"/>
    </row>
  </sheetData>
  <conditionalFormatting sqref="Q11:AR20 Q22:AR27"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1">
      <colorScale>
        <cfvo type="min"/>
        <cfvo type="max"/>
        <color rgb="FFFF7128"/>
        <color rgb="FFFFEF9C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9281-B124-4F00-9508-03B87CCAC1CA}">
  <sheetPr>
    <tabColor theme="5"/>
  </sheetPr>
  <dimension ref="A1:AR410"/>
  <sheetViews>
    <sheetView zoomScale="80" zoomScaleNormal="80" workbookViewId="0">
      <selection activeCell="A341" sqref="A341"/>
    </sheetView>
  </sheetViews>
  <sheetFormatPr defaultColWidth="9.109375" defaultRowHeight="14.4" x14ac:dyDescent="0.3"/>
  <cols>
    <col min="1" max="1" width="38.6640625" style="4" customWidth="1"/>
    <col min="2" max="2" width="21.44140625" style="4" bestFit="1" customWidth="1"/>
    <col min="3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32" width="13.6640625" style="4" bestFit="1" customWidth="1"/>
    <col min="33" max="33" width="41.44140625" style="4" bestFit="1" customWidth="1"/>
    <col min="34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Input'!A141</f>
        <v>Short-sea: Dry bulk</v>
      </c>
    </row>
    <row r="2" spans="1:44" s="3" customFormat="1" ht="21" x14ac:dyDescent="0.4">
      <c r="A2" s="2" t="s">
        <v>291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Input'!$L$154</f>
        <v>15000000</v>
      </c>
      <c r="C11" s="42">
        <f>'Parameter Input'!$M$154</f>
        <v>15000000</v>
      </c>
      <c r="D11" s="1" t="s">
        <v>15</v>
      </c>
      <c r="L11" s="51">
        <f>'Parameter Input'!$O$142</f>
        <v>17</v>
      </c>
      <c r="M11" s="52">
        <v>0</v>
      </c>
      <c r="N11" s="52">
        <v>1</v>
      </c>
      <c r="O11" s="52">
        <f>'Parameter Input'!$P$142</f>
        <v>0.9</v>
      </c>
      <c r="P11" s="53">
        <f>'Parameter Input'!$Q$142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3">
      <c r="A12" s="24" t="s">
        <v>28</v>
      </c>
      <c r="B12" s="60">
        <f>'Parameter Input'!$L$155</f>
        <v>-1500000</v>
      </c>
      <c r="C12" s="61">
        <f>'Parameter Input'!$M$155</f>
        <v>-750000</v>
      </c>
      <c r="D12" s="1" t="s">
        <v>15</v>
      </c>
      <c r="L12" s="54">
        <f>'Parameter Input'!$O$143</f>
        <v>17</v>
      </c>
      <c r="M12" s="37">
        <v>0</v>
      </c>
      <c r="N12" s="37">
        <v>1</v>
      </c>
      <c r="O12" s="37">
        <f>'Parameter Input'!$P$143</f>
        <v>0.9</v>
      </c>
      <c r="P12" s="55">
        <f>'Parameter Input'!$Q$143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3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3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3">
      <c r="A15" s="24" t="s">
        <v>79</v>
      </c>
      <c r="B15" s="92">
        <f>'Parameter Input'!$L$161</f>
        <v>0.06</v>
      </c>
      <c r="C15" s="91">
        <f>'Parameter Input'!$M$161</f>
        <v>0.06</v>
      </c>
      <c r="D15" s="1" t="s">
        <v>57</v>
      </c>
      <c r="L15" s="54">
        <f>'Parameter Input'!$O$149</f>
        <v>17</v>
      </c>
      <c r="M15" s="37">
        <v>0</v>
      </c>
      <c r="N15" s="37">
        <v>1</v>
      </c>
      <c r="O15" s="37">
        <f>'Parameter Input'!$P$149</f>
        <v>0.9</v>
      </c>
      <c r="P15" s="55">
        <f>'Parameter Input'!$Q$149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3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3">
      <c r="A17" s="24" t="s">
        <v>52</v>
      </c>
      <c r="B17" s="60">
        <f>'Parameter Input'!$L$157</f>
        <v>488235.29411764705</v>
      </c>
      <c r="C17" s="61">
        <f>'Parameter Input'!$M$157</f>
        <v>488235.29411764705</v>
      </c>
      <c r="D17" s="1" t="s">
        <v>38</v>
      </c>
      <c r="L17" s="54">
        <f>'Parameter Input'!$O$145</f>
        <v>17</v>
      </c>
      <c r="M17" s="37">
        <v>0</v>
      </c>
      <c r="N17" s="37">
        <v>1</v>
      </c>
      <c r="O17" s="37">
        <f>'Parameter Input'!$P$145</f>
        <v>0.9</v>
      </c>
      <c r="P17" s="55">
        <f>'Parameter Input'!$Q$145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3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3">
      <c r="A19" s="24" t="s">
        <v>59</v>
      </c>
      <c r="B19" s="60">
        <f>'Parameter Input'!$L$158</f>
        <v>647</v>
      </c>
      <c r="C19" s="61">
        <f>'Parameter Input'!$M$158</f>
        <v>600</v>
      </c>
      <c r="D19" s="1" t="s">
        <v>60</v>
      </c>
      <c r="L19" s="54">
        <f>'Parameter Input'!$O$146</f>
        <v>17</v>
      </c>
      <c r="M19" s="37">
        <v>0</v>
      </c>
      <c r="N19" s="37">
        <v>1</v>
      </c>
      <c r="O19" s="37">
        <f>'Parameter Input'!$P$146</f>
        <v>0.9</v>
      </c>
      <c r="P19" s="55">
        <f>'Parameter Input'!$Q$146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3">
      <c r="A20" s="24" t="s">
        <v>67</v>
      </c>
      <c r="B20" s="92">
        <f>'Parameter Input'!$L$159</f>
        <v>3.1399999999999997E-2</v>
      </c>
      <c r="C20" s="61">
        <f>'Parameter Input'!$M$159</f>
        <v>3.1399999999999997E-2</v>
      </c>
      <c r="D20" s="1" t="s">
        <v>68</v>
      </c>
      <c r="L20" s="54">
        <f>'Parameter Input'!$O$147</f>
        <v>17</v>
      </c>
      <c r="M20" s="37">
        <v>0</v>
      </c>
      <c r="N20" s="37">
        <v>1</v>
      </c>
      <c r="O20" s="37">
        <f>'Parameter Input'!$P$147</f>
        <v>0.9</v>
      </c>
      <c r="P20" s="55">
        <f>'Parameter Input'!$Q$147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3">
      <c r="A21" s="24" t="s">
        <v>206</v>
      </c>
      <c r="B21" s="79">
        <f>'Parameter Input'!$L$162</f>
        <v>18.177348551360843</v>
      </c>
      <c r="C21" s="61">
        <f>'Parameter Input'!$M$162</f>
        <v>58.999122036874446</v>
      </c>
      <c r="D21" s="1"/>
      <c r="L21" s="54">
        <f>'Parameter Input'!O150</f>
        <v>17</v>
      </c>
      <c r="M21" s="37">
        <v>0</v>
      </c>
      <c r="N21" s="37">
        <v>1</v>
      </c>
      <c r="O21" s="37">
        <f>'Parameter Input'!P150</f>
        <v>0.9</v>
      </c>
      <c r="P21" s="55">
        <f>'Parameter Input'!Q150</f>
        <v>0.4</v>
      </c>
      <c r="Q21" s="4">
        <f t="shared" ref="Q21:AR27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60">
        <f>'Parameter Input'!$L$156</f>
        <v>25</v>
      </c>
      <c r="C22" s="61">
        <f>'Parameter Input'!$M$156</f>
        <v>25</v>
      </c>
      <c r="D22" s="1" t="s">
        <v>42</v>
      </c>
      <c r="L22" s="54">
        <f>'Parameter Input'!$O$144</f>
        <v>17</v>
      </c>
      <c r="M22" s="37">
        <v>0</v>
      </c>
      <c r="N22" s="37">
        <v>1</v>
      </c>
      <c r="O22" s="37">
        <f>'Parameter Input'!$P$144</f>
        <v>0.9</v>
      </c>
      <c r="P22" s="55">
        <f>'Parameter Input'!$Q$144</f>
        <v>0.4</v>
      </c>
      <c r="Q22" s="4">
        <f t="shared" si="2"/>
        <v>0.99780374543478534</v>
      </c>
      <c r="R22" s="4">
        <f t="shared" si="2"/>
        <v>0.99685359315256394</v>
      </c>
      <c r="S22" s="4">
        <f t="shared" si="2"/>
        <v>0.99549347132349975</v>
      </c>
      <c r="T22" s="4">
        <f t="shared" si="2"/>
        <v>0.99354772139898062</v>
      </c>
      <c r="U22" s="4">
        <f t="shared" si="2"/>
        <v>0.99076681540580536</v>
      </c>
      <c r="V22" s="4">
        <f t="shared" si="2"/>
        <v>0.9867978615748374</v>
      </c>
      <c r="W22" s="4">
        <f t="shared" si="2"/>
        <v>0.98114509762858249</v>
      </c>
      <c r="X22" s="4">
        <f t="shared" si="2"/>
        <v>0.97311898315872036</v>
      </c>
      <c r="Y22" s="4">
        <f t="shared" si="2"/>
        <v>0.96177484161592774</v>
      </c>
      <c r="Z22" s="4">
        <f t="shared" si="2"/>
        <v>0.94584787155511363</v>
      </c>
      <c r="AA22" s="4">
        <f t="shared" si="2"/>
        <v>0.92370360150141495</v>
      </c>
      <c r="AB22" s="4">
        <f t="shared" si="2"/>
        <v>0.89334463567658451</v>
      </c>
      <c r="AC22" s="4">
        <f t="shared" si="2"/>
        <v>0.85254543874327005</v>
      </c>
      <c r="AD22" s="4">
        <f t="shared" si="2"/>
        <v>0.79921300652623883</v>
      </c>
      <c r="AE22" s="4">
        <f t="shared" si="2"/>
        <v>0.73204982249993378</v>
      </c>
      <c r="AF22" s="4">
        <f t="shared" si="2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3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2"/>
        <v>0.99780374543478534</v>
      </c>
      <c r="R23" s="4">
        <f t="shared" si="2"/>
        <v>0.99685359315256394</v>
      </c>
      <c r="S23" s="4">
        <f t="shared" si="2"/>
        <v>0.99549347132349975</v>
      </c>
      <c r="T23" s="4">
        <f t="shared" si="2"/>
        <v>0.99354772139898062</v>
      </c>
      <c r="U23" s="4">
        <f t="shared" si="2"/>
        <v>0.99076681540580536</v>
      </c>
      <c r="V23" s="4">
        <f t="shared" si="2"/>
        <v>0.9867978615748374</v>
      </c>
      <c r="W23" s="4">
        <f t="shared" si="2"/>
        <v>0.98114509762858249</v>
      </c>
      <c r="X23" s="4">
        <f t="shared" si="2"/>
        <v>0.97311898315872036</v>
      </c>
      <c r="Y23" s="4">
        <f t="shared" si="2"/>
        <v>0.96177484161592774</v>
      </c>
      <c r="Z23" s="4">
        <f t="shared" si="2"/>
        <v>0.94584787155511363</v>
      </c>
      <c r="AA23" s="4">
        <f t="shared" si="2"/>
        <v>0.92370360150141495</v>
      </c>
      <c r="AB23" s="4">
        <f t="shared" si="2"/>
        <v>0.89334463567658451</v>
      </c>
      <c r="AC23" s="4">
        <f t="shared" si="2"/>
        <v>0.85254543874327005</v>
      </c>
      <c r="AD23" s="4">
        <f t="shared" si="2"/>
        <v>0.79921300652623883</v>
      </c>
      <c r="AE23" s="4">
        <f t="shared" si="2"/>
        <v>0.73204982249993378</v>
      </c>
      <c r="AF23" s="4">
        <f t="shared" si="2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3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2"/>
        <v>0.99780374543478534</v>
      </c>
      <c r="R24" s="4">
        <f t="shared" si="2"/>
        <v>0.99685359315256394</v>
      </c>
      <c r="S24" s="4">
        <f t="shared" si="2"/>
        <v>0.99549347132349975</v>
      </c>
      <c r="T24" s="4">
        <f t="shared" si="2"/>
        <v>0.99354772139898062</v>
      </c>
      <c r="U24" s="4">
        <f t="shared" si="2"/>
        <v>0.99076681540580536</v>
      </c>
      <c r="V24" s="4">
        <f t="shared" si="2"/>
        <v>0.9867978615748374</v>
      </c>
      <c r="W24" s="4">
        <f t="shared" si="2"/>
        <v>0.98114509762858249</v>
      </c>
      <c r="X24" s="4">
        <f t="shared" si="2"/>
        <v>0.97311898315872036</v>
      </c>
      <c r="Y24" s="4">
        <f t="shared" si="2"/>
        <v>0.96177484161592774</v>
      </c>
      <c r="Z24" s="4">
        <f t="shared" si="2"/>
        <v>0.94584787155511363</v>
      </c>
      <c r="AA24" s="4">
        <f t="shared" si="2"/>
        <v>0.92370360150141495</v>
      </c>
      <c r="AB24" s="4">
        <f t="shared" si="2"/>
        <v>0.89334463567658451</v>
      </c>
      <c r="AC24" s="4">
        <f t="shared" si="2"/>
        <v>0.85254543874327005</v>
      </c>
      <c r="AD24" s="4">
        <f t="shared" si="2"/>
        <v>0.79921300652623883</v>
      </c>
      <c r="AE24" s="4">
        <f t="shared" si="2"/>
        <v>0.73204982249993378</v>
      </c>
      <c r="AF24" s="4">
        <f t="shared" si="2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3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2"/>
        <v>0.99780374543478534</v>
      </c>
      <c r="R25" s="4">
        <f t="shared" si="2"/>
        <v>0.99685359315256394</v>
      </c>
      <c r="S25" s="4">
        <f t="shared" si="2"/>
        <v>0.99549347132349975</v>
      </c>
      <c r="T25" s="4">
        <f t="shared" si="2"/>
        <v>0.99354772139898062</v>
      </c>
      <c r="U25" s="4">
        <f t="shared" si="2"/>
        <v>0.99076681540580536</v>
      </c>
      <c r="V25" s="4">
        <f t="shared" si="2"/>
        <v>0.9867978615748374</v>
      </c>
      <c r="W25" s="4">
        <f t="shared" si="2"/>
        <v>0.98114509762858249</v>
      </c>
      <c r="X25" s="4">
        <f t="shared" si="2"/>
        <v>0.97311898315872036</v>
      </c>
      <c r="Y25" s="4">
        <f t="shared" si="2"/>
        <v>0.96177484161592774</v>
      </c>
      <c r="Z25" s="4">
        <f t="shared" si="2"/>
        <v>0.94584787155511363</v>
      </c>
      <c r="AA25" s="4">
        <f t="shared" si="2"/>
        <v>0.92370360150141495</v>
      </c>
      <c r="AB25" s="4">
        <f t="shared" si="2"/>
        <v>0.89334463567658451</v>
      </c>
      <c r="AC25" s="4">
        <f t="shared" si="2"/>
        <v>0.85254543874327005</v>
      </c>
      <c r="AD25" s="4">
        <f t="shared" si="2"/>
        <v>0.79921300652623883</v>
      </c>
      <c r="AE25" s="4">
        <f t="shared" si="2"/>
        <v>0.73204982249993378</v>
      </c>
      <c r="AF25" s="4">
        <f t="shared" si="2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3">
      <c r="A26" s="24" t="s">
        <v>73</v>
      </c>
      <c r="B26" s="45">
        <f>'Parameter Input'!$L$160</f>
        <v>0</v>
      </c>
      <c r="C26" s="46">
        <f>'Parameter Input'!$M$160</f>
        <v>0</v>
      </c>
      <c r="D26" s="1" t="s">
        <v>57</v>
      </c>
      <c r="L26" s="54">
        <f>'Parameter Input'!$O$148</f>
        <v>17</v>
      </c>
      <c r="M26" s="37">
        <v>0</v>
      </c>
      <c r="N26" s="37">
        <v>1</v>
      </c>
      <c r="O26" s="37">
        <f>'Parameter Input'!$P$148</f>
        <v>0.9</v>
      </c>
      <c r="P26" s="55">
        <f>'Parameter Input'!$Q$148</f>
        <v>0.4</v>
      </c>
      <c r="Q26" s="4">
        <f t="shared" si="2"/>
        <v>0.99780374543478534</v>
      </c>
      <c r="R26" s="4">
        <f t="shared" si="2"/>
        <v>0.99685359315256394</v>
      </c>
      <c r="S26" s="4">
        <f t="shared" si="2"/>
        <v>0.99549347132349975</v>
      </c>
      <c r="T26" s="4">
        <f t="shared" si="2"/>
        <v>0.99354772139898062</v>
      </c>
      <c r="U26" s="4">
        <f t="shared" si="2"/>
        <v>0.99076681540580536</v>
      </c>
      <c r="V26" s="4">
        <f t="shared" si="2"/>
        <v>0.9867978615748374</v>
      </c>
      <c r="W26" s="4">
        <f t="shared" si="2"/>
        <v>0.98114509762858249</v>
      </c>
      <c r="X26" s="4">
        <f t="shared" si="2"/>
        <v>0.97311898315872036</v>
      </c>
      <c r="Y26" s="4">
        <f t="shared" si="2"/>
        <v>0.96177484161592774</v>
      </c>
      <c r="Z26" s="4">
        <f t="shared" si="2"/>
        <v>0.94584787155511363</v>
      </c>
      <c r="AA26" s="4">
        <f t="shared" si="2"/>
        <v>0.92370360150141495</v>
      </c>
      <c r="AB26" s="4">
        <f t="shared" si="2"/>
        <v>0.89334463567658451</v>
      </c>
      <c r="AC26" s="4">
        <f t="shared" si="2"/>
        <v>0.85254543874327005</v>
      </c>
      <c r="AD26" s="4">
        <f t="shared" si="2"/>
        <v>0.79921300652623883</v>
      </c>
      <c r="AE26" s="4">
        <f t="shared" si="2"/>
        <v>0.73204982249993378</v>
      </c>
      <c r="AF26" s="4">
        <f t="shared" si="2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" thickBot="1" x14ac:dyDescent="0.35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2"/>
        <v>0.99780374543478534</v>
      </c>
      <c r="R27" s="4">
        <f t="shared" si="2"/>
        <v>0.99685359315256394</v>
      </c>
      <c r="S27" s="4">
        <f t="shared" si="2"/>
        <v>0.99549347132349975</v>
      </c>
      <c r="T27" s="4">
        <f t="shared" si="2"/>
        <v>0.99354772139898062</v>
      </c>
      <c r="U27" s="4">
        <f t="shared" si="2"/>
        <v>0.99076681540580536</v>
      </c>
      <c r="V27" s="4">
        <f t="shared" si="2"/>
        <v>0.9867978615748374</v>
      </c>
      <c r="W27" s="4">
        <f t="shared" si="2"/>
        <v>0.98114509762858249</v>
      </c>
      <c r="X27" s="4">
        <f t="shared" si="2"/>
        <v>0.97311898315872036</v>
      </c>
      <c r="Y27" s="4">
        <f t="shared" si="2"/>
        <v>0.96177484161592774</v>
      </c>
      <c r="Z27" s="4">
        <f t="shared" si="2"/>
        <v>0.94584787155511363</v>
      </c>
      <c r="AA27" s="4">
        <f t="shared" si="2"/>
        <v>0.92370360150141495</v>
      </c>
      <c r="AB27" s="4">
        <f t="shared" si="2"/>
        <v>0.89334463567658451</v>
      </c>
      <c r="AC27" s="4">
        <f t="shared" si="2"/>
        <v>0.85254543874327005</v>
      </c>
      <c r="AD27" s="4">
        <f t="shared" si="2"/>
        <v>0.79921300652623883</v>
      </c>
      <c r="AE27" s="4">
        <f t="shared" si="2"/>
        <v>0.73204982249993378</v>
      </c>
      <c r="AF27" s="4">
        <f t="shared" si="2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5" si="3">A11</f>
        <v>Capex vehicle</v>
      </c>
      <c r="B31" s="62">
        <f t="shared" ref="B31:AC40" si="4">$B11+($C11-$B11)*(1-Q11)</f>
        <v>15000000</v>
      </c>
      <c r="C31" s="62">
        <f t="shared" si="4"/>
        <v>15000000</v>
      </c>
      <c r="D31" s="62">
        <f t="shared" si="4"/>
        <v>15000000</v>
      </c>
      <c r="E31" s="62">
        <f t="shared" si="4"/>
        <v>15000000</v>
      </c>
      <c r="F31" s="62">
        <f t="shared" si="4"/>
        <v>15000000</v>
      </c>
      <c r="G31" s="62">
        <f t="shared" si="4"/>
        <v>15000000</v>
      </c>
      <c r="H31" s="62">
        <f t="shared" si="4"/>
        <v>15000000</v>
      </c>
      <c r="I31" s="62">
        <f t="shared" si="4"/>
        <v>15000000</v>
      </c>
      <c r="J31" s="62">
        <f t="shared" si="4"/>
        <v>15000000</v>
      </c>
      <c r="K31" s="62">
        <f t="shared" si="4"/>
        <v>15000000</v>
      </c>
      <c r="L31" s="62">
        <f t="shared" si="4"/>
        <v>15000000</v>
      </c>
      <c r="M31" s="62">
        <f t="shared" si="4"/>
        <v>15000000</v>
      </c>
      <c r="N31" s="62">
        <f t="shared" si="4"/>
        <v>15000000</v>
      </c>
      <c r="O31" s="62">
        <f t="shared" si="4"/>
        <v>15000000</v>
      </c>
      <c r="P31" s="62">
        <f t="shared" si="4"/>
        <v>15000000</v>
      </c>
      <c r="Q31" s="62">
        <f t="shared" si="4"/>
        <v>15000000</v>
      </c>
      <c r="R31" s="62">
        <f t="shared" si="4"/>
        <v>15000000</v>
      </c>
      <c r="S31" s="62">
        <f t="shared" si="4"/>
        <v>15000000</v>
      </c>
      <c r="T31" s="62">
        <f t="shared" si="4"/>
        <v>15000000</v>
      </c>
      <c r="U31" s="62">
        <f t="shared" si="4"/>
        <v>15000000</v>
      </c>
      <c r="V31" s="62">
        <f t="shared" si="4"/>
        <v>15000000</v>
      </c>
      <c r="W31" s="62">
        <f t="shared" si="4"/>
        <v>15000000</v>
      </c>
      <c r="X31" s="62">
        <f t="shared" si="4"/>
        <v>15000000</v>
      </c>
      <c r="Y31" s="62">
        <f t="shared" si="4"/>
        <v>15000000</v>
      </c>
      <c r="Z31" s="62">
        <f t="shared" si="4"/>
        <v>15000000</v>
      </c>
      <c r="AA31" s="62">
        <f t="shared" si="4"/>
        <v>15000000</v>
      </c>
      <c r="AB31" s="62">
        <f t="shared" si="4"/>
        <v>15000000</v>
      </c>
      <c r="AC31" s="62">
        <f t="shared" si="4"/>
        <v>15000000</v>
      </c>
    </row>
    <row r="32" spans="1:44" x14ac:dyDescent="0.3">
      <c r="A32" s="30" t="str">
        <f t="shared" si="3"/>
        <v>Residual value (vehicle)</v>
      </c>
      <c r="B32" s="62">
        <f t="shared" si="4"/>
        <v>-1498352.8090760889</v>
      </c>
      <c r="C32" s="62">
        <f t="shared" si="4"/>
        <v>-1497640.194864423</v>
      </c>
      <c r="D32" s="62">
        <f t="shared" si="4"/>
        <v>-1496620.1034926248</v>
      </c>
      <c r="E32" s="62">
        <f t="shared" si="4"/>
        <v>-1495160.7910492355</v>
      </c>
      <c r="F32" s="62">
        <f t="shared" si="4"/>
        <v>-1493075.111554354</v>
      </c>
      <c r="G32" s="62">
        <f t="shared" si="4"/>
        <v>-1490098.396181128</v>
      </c>
      <c r="H32" s="62">
        <f t="shared" si="4"/>
        <v>-1485858.8232214369</v>
      </c>
      <c r="I32" s="62">
        <f t="shared" si="4"/>
        <v>-1479839.2373690403</v>
      </c>
      <c r="J32" s="62">
        <f t="shared" si="4"/>
        <v>-1471331.1312119458</v>
      </c>
      <c r="K32" s="62">
        <f t="shared" si="4"/>
        <v>-1459385.9036663352</v>
      </c>
      <c r="L32" s="62">
        <f t="shared" si="4"/>
        <v>-1442777.7011260611</v>
      </c>
      <c r="M32" s="62">
        <f t="shared" si="4"/>
        <v>-1420008.4767574384</v>
      </c>
      <c r="N32" s="62">
        <f t="shared" si="4"/>
        <v>-1389409.0790574525</v>
      </c>
      <c r="O32" s="62">
        <f t="shared" si="4"/>
        <v>-1349409.7548946792</v>
      </c>
      <c r="P32" s="62">
        <f t="shared" si="4"/>
        <v>-1299037.3668749502</v>
      </c>
      <c r="Q32" s="62">
        <f t="shared" si="4"/>
        <v>-1238591.9471909001</v>
      </c>
      <c r="R32" s="62">
        <f t="shared" si="4"/>
        <v>-1170241.8591063719</v>
      </c>
      <c r="S32" s="62">
        <f t="shared" si="4"/>
        <v>-1098084.9515488902</v>
      </c>
      <c r="T32" s="62">
        <f t="shared" si="4"/>
        <v>-1027347.9569664295</v>
      </c>
      <c r="U32" s="62">
        <f t="shared" si="4"/>
        <v>-962954.61477923405</v>
      </c>
      <c r="V32" s="62">
        <f t="shared" si="4"/>
        <v>-908229.44370838301</v>
      </c>
      <c r="W32" s="62">
        <f t="shared" si="4"/>
        <v>-864404.38240348652</v>
      </c>
      <c r="X32" s="62">
        <f t="shared" si="4"/>
        <v>-830963.91553282493</v>
      </c>
      <c r="Y32" s="62">
        <f t="shared" si="4"/>
        <v>-806382.49045356887</v>
      </c>
      <c r="Z32" s="62">
        <f t="shared" si="4"/>
        <v>-788807.1271331266</v>
      </c>
      <c r="AA32" s="62">
        <f t="shared" si="4"/>
        <v>-776489.39296900947</v>
      </c>
      <c r="AB32" s="62">
        <f t="shared" si="4"/>
        <v>-767977.08155449363</v>
      </c>
      <c r="AC32" s="62">
        <f t="shared" si="4"/>
        <v>-762151.68266879232</v>
      </c>
    </row>
    <row r="33" spans="1:29" x14ac:dyDescent="0.3">
      <c r="A33" s="30" t="str">
        <f t="shared" si="3"/>
        <v>Capex costumization</v>
      </c>
      <c r="B33" s="62">
        <f t="shared" si="4"/>
        <v>1000000</v>
      </c>
      <c r="C33" s="62">
        <f t="shared" si="4"/>
        <v>1000000</v>
      </c>
      <c r="D33" s="62">
        <f t="shared" si="4"/>
        <v>1000000</v>
      </c>
      <c r="E33" s="62">
        <f t="shared" si="4"/>
        <v>1000000</v>
      </c>
      <c r="F33" s="62">
        <f t="shared" si="4"/>
        <v>1000000</v>
      </c>
      <c r="G33" s="62">
        <f t="shared" si="4"/>
        <v>1000000</v>
      </c>
      <c r="H33" s="62">
        <f t="shared" si="4"/>
        <v>1000000</v>
      </c>
      <c r="I33" s="62">
        <f t="shared" si="4"/>
        <v>1000000</v>
      </c>
      <c r="J33" s="62">
        <f t="shared" si="4"/>
        <v>1000000</v>
      </c>
      <c r="K33" s="62">
        <f t="shared" si="4"/>
        <v>1000000</v>
      </c>
      <c r="L33" s="62">
        <f t="shared" si="4"/>
        <v>1000000</v>
      </c>
      <c r="M33" s="62">
        <f t="shared" si="4"/>
        <v>1000000</v>
      </c>
      <c r="N33" s="62">
        <f t="shared" si="4"/>
        <v>1000000</v>
      </c>
      <c r="O33" s="62">
        <f t="shared" si="4"/>
        <v>1000000</v>
      </c>
      <c r="P33" s="62">
        <f t="shared" si="4"/>
        <v>1000000</v>
      </c>
      <c r="Q33" s="62">
        <f t="shared" si="4"/>
        <v>1000000</v>
      </c>
      <c r="R33" s="62">
        <f t="shared" si="4"/>
        <v>1000000</v>
      </c>
      <c r="S33" s="62">
        <f t="shared" si="4"/>
        <v>1000000</v>
      </c>
      <c r="T33" s="62">
        <f t="shared" si="4"/>
        <v>1000000</v>
      </c>
      <c r="U33" s="62">
        <f t="shared" si="4"/>
        <v>1000000</v>
      </c>
      <c r="V33" s="62">
        <f t="shared" si="4"/>
        <v>1000000</v>
      </c>
      <c r="W33" s="62">
        <f t="shared" si="4"/>
        <v>1000000</v>
      </c>
      <c r="X33" s="62">
        <f t="shared" si="4"/>
        <v>1000000</v>
      </c>
      <c r="Y33" s="62">
        <f t="shared" si="4"/>
        <v>1000000</v>
      </c>
      <c r="Z33" s="62">
        <f t="shared" si="4"/>
        <v>1000000</v>
      </c>
      <c r="AA33" s="62">
        <f t="shared" si="4"/>
        <v>1000000</v>
      </c>
      <c r="AB33" s="62">
        <f t="shared" si="4"/>
        <v>1000000</v>
      </c>
      <c r="AC33" s="62">
        <f t="shared" si="4"/>
        <v>1000000</v>
      </c>
    </row>
    <row r="34" spans="1:29" x14ac:dyDescent="0.3">
      <c r="A34" s="30" t="str">
        <f t="shared" si="3"/>
        <v>Residual value (costumization)</v>
      </c>
      <c r="B34" s="62">
        <f t="shared" si="4"/>
        <v>-100000</v>
      </c>
      <c r="C34" s="62">
        <f t="shared" si="4"/>
        <v>-100000</v>
      </c>
      <c r="D34" s="62">
        <f t="shared" si="4"/>
        <v>-100000</v>
      </c>
      <c r="E34" s="62">
        <f t="shared" si="4"/>
        <v>-100000</v>
      </c>
      <c r="F34" s="62">
        <f t="shared" si="4"/>
        <v>-100000</v>
      </c>
      <c r="G34" s="62">
        <f t="shared" si="4"/>
        <v>-100000</v>
      </c>
      <c r="H34" s="62">
        <f t="shared" si="4"/>
        <v>-100000</v>
      </c>
      <c r="I34" s="62">
        <f t="shared" si="4"/>
        <v>-100000</v>
      </c>
      <c r="J34" s="62">
        <f t="shared" si="4"/>
        <v>-100000</v>
      </c>
      <c r="K34" s="62">
        <f t="shared" si="4"/>
        <v>-100000</v>
      </c>
      <c r="L34" s="62">
        <f t="shared" si="4"/>
        <v>-100000</v>
      </c>
      <c r="M34" s="62">
        <f t="shared" si="4"/>
        <v>-100000</v>
      </c>
      <c r="N34" s="62">
        <f t="shared" si="4"/>
        <v>-100000</v>
      </c>
      <c r="O34" s="62">
        <f t="shared" si="4"/>
        <v>-100000</v>
      </c>
      <c r="P34" s="62">
        <f t="shared" si="4"/>
        <v>-100000</v>
      </c>
      <c r="Q34" s="62">
        <f t="shared" si="4"/>
        <v>-100000</v>
      </c>
      <c r="R34" s="62">
        <f t="shared" si="4"/>
        <v>-100000</v>
      </c>
      <c r="S34" s="62">
        <f t="shared" si="4"/>
        <v>-100000</v>
      </c>
      <c r="T34" s="62">
        <f t="shared" si="4"/>
        <v>-100000</v>
      </c>
      <c r="U34" s="62">
        <f t="shared" si="4"/>
        <v>-100000</v>
      </c>
      <c r="V34" s="62">
        <f t="shared" si="4"/>
        <v>-100000</v>
      </c>
      <c r="W34" s="62">
        <f t="shared" si="4"/>
        <v>-100000</v>
      </c>
      <c r="X34" s="62">
        <f t="shared" si="4"/>
        <v>-100000</v>
      </c>
      <c r="Y34" s="62">
        <f t="shared" si="4"/>
        <v>-100000</v>
      </c>
      <c r="Z34" s="62">
        <f t="shared" si="4"/>
        <v>-100000</v>
      </c>
      <c r="AA34" s="62">
        <f t="shared" si="4"/>
        <v>-100000</v>
      </c>
      <c r="AB34" s="62">
        <f t="shared" si="4"/>
        <v>-100000</v>
      </c>
      <c r="AC34" s="62">
        <f t="shared" si="4"/>
        <v>-100000</v>
      </c>
    </row>
    <row r="35" spans="1:29" x14ac:dyDescent="0.3">
      <c r="A35" s="30" t="str">
        <f t="shared" si="3"/>
        <v>WACC</v>
      </c>
      <c r="B35" s="62">
        <f t="shared" si="4"/>
        <v>0.06</v>
      </c>
      <c r="C35" s="62">
        <f t="shared" si="4"/>
        <v>0.06</v>
      </c>
      <c r="D35" s="62">
        <f t="shared" si="4"/>
        <v>0.06</v>
      </c>
      <c r="E35" s="62">
        <f t="shared" si="4"/>
        <v>0.06</v>
      </c>
      <c r="F35" s="62">
        <f t="shared" si="4"/>
        <v>0.06</v>
      </c>
      <c r="G35" s="62">
        <f t="shared" si="4"/>
        <v>0.06</v>
      </c>
      <c r="H35" s="62">
        <f t="shared" si="4"/>
        <v>0.06</v>
      </c>
      <c r="I35" s="62">
        <f t="shared" si="4"/>
        <v>0.06</v>
      </c>
      <c r="J35" s="62">
        <f t="shared" si="4"/>
        <v>0.06</v>
      </c>
      <c r="K35" s="62">
        <f t="shared" si="4"/>
        <v>0.06</v>
      </c>
      <c r="L35" s="62">
        <f t="shared" si="4"/>
        <v>0.06</v>
      </c>
      <c r="M35" s="62">
        <f t="shared" si="4"/>
        <v>0.06</v>
      </c>
      <c r="N35" s="62">
        <f t="shared" si="4"/>
        <v>0.06</v>
      </c>
      <c r="O35" s="62">
        <f t="shared" si="4"/>
        <v>0.06</v>
      </c>
      <c r="P35" s="62">
        <f t="shared" si="4"/>
        <v>0.06</v>
      </c>
      <c r="Q35" s="62">
        <f t="shared" si="4"/>
        <v>0.06</v>
      </c>
      <c r="R35" s="62">
        <f t="shared" si="4"/>
        <v>0.06</v>
      </c>
      <c r="S35" s="62">
        <f t="shared" si="4"/>
        <v>0.06</v>
      </c>
      <c r="T35" s="62">
        <f t="shared" si="4"/>
        <v>0.06</v>
      </c>
      <c r="U35" s="62">
        <f t="shared" si="4"/>
        <v>0.06</v>
      </c>
      <c r="V35" s="62">
        <f t="shared" si="4"/>
        <v>0.06</v>
      </c>
      <c r="W35" s="62">
        <f t="shared" si="4"/>
        <v>0.06</v>
      </c>
      <c r="X35" s="62">
        <f t="shared" si="4"/>
        <v>0.06</v>
      </c>
      <c r="Y35" s="62">
        <f t="shared" si="4"/>
        <v>0.06</v>
      </c>
      <c r="Z35" s="62">
        <f t="shared" si="4"/>
        <v>0.06</v>
      </c>
      <c r="AA35" s="62">
        <f t="shared" si="4"/>
        <v>0.06</v>
      </c>
      <c r="AB35" s="62">
        <f t="shared" si="4"/>
        <v>0.06</v>
      </c>
      <c r="AC35" s="62">
        <f t="shared" si="4"/>
        <v>0.06</v>
      </c>
    </row>
    <row r="36" spans="1:29" x14ac:dyDescent="0.3">
      <c r="A36" s="30" t="str">
        <f t="shared" si="3"/>
        <v>Opex fix (admin, crew, insurance)</v>
      </c>
      <c r="B36" s="62">
        <f t="shared" si="4"/>
        <v>1208235.294117647</v>
      </c>
      <c r="C36" s="62">
        <f t="shared" si="4"/>
        <v>1208235.294117647</v>
      </c>
      <c r="D36" s="62">
        <f t="shared" si="4"/>
        <v>1208235.294117647</v>
      </c>
      <c r="E36" s="62">
        <f t="shared" si="4"/>
        <v>1208235.294117647</v>
      </c>
      <c r="F36" s="62">
        <f t="shared" si="4"/>
        <v>1208235.294117647</v>
      </c>
      <c r="G36" s="62">
        <f t="shared" si="4"/>
        <v>1208235.294117647</v>
      </c>
      <c r="H36" s="62">
        <f t="shared" si="4"/>
        <v>1208235.294117647</v>
      </c>
      <c r="I36" s="62">
        <f t="shared" si="4"/>
        <v>1208235.294117647</v>
      </c>
      <c r="J36" s="62">
        <f t="shared" si="4"/>
        <v>1208235.294117647</v>
      </c>
      <c r="K36" s="62">
        <f t="shared" si="4"/>
        <v>1208235.294117647</v>
      </c>
      <c r="L36" s="62">
        <f t="shared" si="4"/>
        <v>1208235.294117647</v>
      </c>
      <c r="M36" s="62">
        <f t="shared" si="4"/>
        <v>1208235.294117647</v>
      </c>
      <c r="N36" s="62">
        <f t="shared" si="4"/>
        <v>1208235.294117647</v>
      </c>
      <c r="O36" s="62">
        <f t="shared" si="4"/>
        <v>1208235.294117647</v>
      </c>
      <c r="P36" s="62">
        <f t="shared" si="4"/>
        <v>1208235.294117647</v>
      </c>
      <c r="Q36" s="62">
        <f t="shared" si="4"/>
        <v>1208235.294117647</v>
      </c>
      <c r="R36" s="62">
        <f t="shared" si="4"/>
        <v>1208235.294117647</v>
      </c>
      <c r="S36" s="62">
        <f t="shared" si="4"/>
        <v>1208235.294117647</v>
      </c>
      <c r="T36" s="62">
        <f t="shared" si="4"/>
        <v>1208235.294117647</v>
      </c>
      <c r="U36" s="62">
        <f t="shared" si="4"/>
        <v>1208235.294117647</v>
      </c>
      <c r="V36" s="62">
        <f t="shared" si="4"/>
        <v>1208235.294117647</v>
      </c>
      <c r="W36" s="62">
        <f t="shared" si="4"/>
        <v>1208235.294117647</v>
      </c>
      <c r="X36" s="62">
        <f t="shared" si="4"/>
        <v>1208235.294117647</v>
      </c>
      <c r="Y36" s="62">
        <f t="shared" si="4"/>
        <v>1208235.294117647</v>
      </c>
      <c r="Z36" s="62">
        <f t="shared" si="4"/>
        <v>1208235.294117647</v>
      </c>
      <c r="AA36" s="62">
        <f t="shared" si="4"/>
        <v>1208235.294117647</v>
      </c>
      <c r="AB36" s="62">
        <f t="shared" si="4"/>
        <v>1208235.294117647</v>
      </c>
      <c r="AC36" s="62">
        <f t="shared" si="4"/>
        <v>1208235.294117647</v>
      </c>
    </row>
    <row r="37" spans="1:29" x14ac:dyDescent="0.3">
      <c r="A37" s="30" t="str">
        <f t="shared" si="3"/>
        <v>Opex maintenance &amp; repair</v>
      </c>
      <c r="B37" s="62">
        <f t="shared" si="4"/>
        <v>488235.29411764705</v>
      </c>
      <c r="C37" s="62">
        <f t="shared" si="4"/>
        <v>488235.29411764705</v>
      </c>
      <c r="D37" s="62">
        <f t="shared" si="4"/>
        <v>488235.29411764705</v>
      </c>
      <c r="E37" s="62">
        <f t="shared" si="4"/>
        <v>488235.29411764705</v>
      </c>
      <c r="F37" s="62">
        <f t="shared" si="4"/>
        <v>488235.29411764705</v>
      </c>
      <c r="G37" s="62">
        <f t="shared" si="4"/>
        <v>488235.29411764705</v>
      </c>
      <c r="H37" s="62">
        <f t="shared" si="4"/>
        <v>488235.29411764705</v>
      </c>
      <c r="I37" s="62">
        <f t="shared" si="4"/>
        <v>488235.29411764705</v>
      </c>
      <c r="J37" s="62">
        <f t="shared" si="4"/>
        <v>488235.29411764705</v>
      </c>
      <c r="K37" s="62">
        <f t="shared" si="4"/>
        <v>488235.29411764705</v>
      </c>
      <c r="L37" s="62">
        <f t="shared" si="4"/>
        <v>488235.29411764705</v>
      </c>
      <c r="M37" s="62">
        <f t="shared" si="4"/>
        <v>488235.29411764705</v>
      </c>
      <c r="N37" s="62">
        <f t="shared" si="4"/>
        <v>488235.29411764705</v>
      </c>
      <c r="O37" s="62">
        <f t="shared" si="4"/>
        <v>488235.29411764705</v>
      </c>
      <c r="P37" s="62">
        <f t="shared" si="4"/>
        <v>488235.29411764705</v>
      </c>
      <c r="Q37" s="62">
        <f t="shared" si="4"/>
        <v>488235.29411764705</v>
      </c>
      <c r="R37" s="62">
        <f t="shared" si="4"/>
        <v>488235.29411764705</v>
      </c>
      <c r="S37" s="62">
        <f t="shared" si="4"/>
        <v>488235.29411764705</v>
      </c>
      <c r="T37" s="62">
        <f t="shared" si="4"/>
        <v>488235.29411764705</v>
      </c>
      <c r="U37" s="62">
        <f t="shared" si="4"/>
        <v>488235.29411764705</v>
      </c>
      <c r="V37" s="62">
        <f t="shared" si="4"/>
        <v>488235.29411764705</v>
      </c>
      <c r="W37" s="62">
        <f t="shared" si="4"/>
        <v>488235.29411764705</v>
      </c>
      <c r="X37" s="62">
        <f t="shared" si="4"/>
        <v>488235.29411764705</v>
      </c>
      <c r="Y37" s="62">
        <f t="shared" si="4"/>
        <v>488235.29411764705</v>
      </c>
      <c r="Z37" s="62">
        <f t="shared" si="4"/>
        <v>488235.29411764705</v>
      </c>
      <c r="AA37" s="62">
        <f t="shared" si="4"/>
        <v>488235.29411764705</v>
      </c>
      <c r="AB37" s="62">
        <f t="shared" si="4"/>
        <v>488235.29411764705</v>
      </c>
      <c r="AC37" s="62">
        <f t="shared" si="4"/>
        <v>488235.29411764705</v>
      </c>
    </row>
    <row r="38" spans="1:29" x14ac:dyDescent="0.3">
      <c r="A38" s="30" t="str">
        <f>A18</f>
        <v>Opex var (mode-fees)</v>
      </c>
      <c r="B38" s="62">
        <f t="shared" si="4"/>
        <v>0.8458018624557011</v>
      </c>
      <c r="C38" s="62">
        <f t="shared" si="4"/>
        <v>0.8458018624557011</v>
      </c>
      <c r="D38" s="62">
        <f t="shared" si="4"/>
        <v>0.8458018624557011</v>
      </c>
      <c r="E38" s="62">
        <f t="shared" si="4"/>
        <v>0.8458018624557011</v>
      </c>
      <c r="F38" s="62">
        <f t="shared" si="4"/>
        <v>0.8458018624557011</v>
      </c>
      <c r="G38" s="62">
        <f t="shared" si="4"/>
        <v>0.8458018624557011</v>
      </c>
      <c r="H38" s="62">
        <f t="shared" si="4"/>
        <v>0.8458018624557011</v>
      </c>
      <c r="I38" s="62">
        <f t="shared" si="4"/>
        <v>0.8458018624557011</v>
      </c>
      <c r="J38" s="62">
        <f t="shared" si="4"/>
        <v>0.8458018624557011</v>
      </c>
      <c r="K38" s="62">
        <f t="shared" si="4"/>
        <v>0.8458018624557011</v>
      </c>
      <c r="L38" s="62">
        <f t="shared" si="4"/>
        <v>0.8458018624557011</v>
      </c>
      <c r="M38" s="62">
        <f t="shared" si="4"/>
        <v>0.8458018624557011</v>
      </c>
      <c r="N38" s="62">
        <f t="shared" si="4"/>
        <v>0.8458018624557011</v>
      </c>
      <c r="O38" s="62">
        <f t="shared" si="4"/>
        <v>0.8458018624557011</v>
      </c>
      <c r="P38" s="62">
        <f t="shared" si="4"/>
        <v>0.8458018624557011</v>
      </c>
      <c r="Q38" s="62">
        <f t="shared" si="4"/>
        <v>0.8458018624557011</v>
      </c>
      <c r="R38" s="62">
        <f t="shared" si="4"/>
        <v>0.8458018624557011</v>
      </c>
      <c r="S38" s="62">
        <f t="shared" si="4"/>
        <v>0.8458018624557011</v>
      </c>
      <c r="T38" s="62">
        <f t="shared" si="4"/>
        <v>0.8458018624557011</v>
      </c>
      <c r="U38" s="62">
        <f t="shared" si="4"/>
        <v>0.8458018624557011</v>
      </c>
      <c r="V38" s="62">
        <f t="shared" si="4"/>
        <v>0.8458018624557011</v>
      </c>
      <c r="W38" s="62">
        <f t="shared" si="4"/>
        <v>0.8458018624557011</v>
      </c>
      <c r="X38" s="62">
        <f t="shared" si="4"/>
        <v>0.8458018624557011</v>
      </c>
      <c r="Y38" s="62">
        <f t="shared" si="4"/>
        <v>0.8458018624557011</v>
      </c>
      <c r="Z38" s="62">
        <f t="shared" si="4"/>
        <v>0.8458018624557011</v>
      </c>
      <c r="AA38" s="62">
        <f t="shared" si="4"/>
        <v>0.8458018624557011</v>
      </c>
      <c r="AB38" s="62">
        <f t="shared" si="4"/>
        <v>0.8458018624557011</v>
      </c>
      <c r="AC38" s="62">
        <f t="shared" si="4"/>
        <v>0.8458018624557011</v>
      </c>
    </row>
    <row r="39" spans="1:29" x14ac:dyDescent="0.3">
      <c r="A39" s="30" t="str">
        <f t="shared" si="3"/>
        <v>Fuel Economy</v>
      </c>
      <c r="B39" s="62">
        <f t="shared" si="4"/>
        <v>646.89677603543487</v>
      </c>
      <c r="C39" s="62">
        <f t="shared" si="4"/>
        <v>646.85211887817047</v>
      </c>
      <c r="D39" s="62">
        <f t="shared" si="4"/>
        <v>646.78819315220449</v>
      </c>
      <c r="E39" s="62">
        <f t="shared" si="4"/>
        <v>646.6967429057521</v>
      </c>
      <c r="F39" s="62">
        <f t="shared" si="4"/>
        <v>646.5660403240729</v>
      </c>
      <c r="G39" s="62">
        <f t="shared" si="4"/>
        <v>646.37949949401741</v>
      </c>
      <c r="H39" s="62">
        <f t="shared" si="4"/>
        <v>646.11381958854338</v>
      </c>
      <c r="I39" s="62">
        <f t="shared" si="4"/>
        <v>645.73659220845991</v>
      </c>
      <c r="J39" s="62">
        <f t="shared" si="4"/>
        <v>645.20341755594859</v>
      </c>
      <c r="K39" s="62">
        <f t="shared" si="4"/>
        <v>644.4548499630904</v>
      </c>
      <c r="L39" s="62">
        <f t="shared" si="4"/>
        <v>643.41406927056653</v>
      </c>
      <c r="M39" s="62">
        <f t="shared" si="4"/>
        <v>641.98719787679943</v>
      </c>
      <c r="N39" s="62">
        <f t="shared" si="4"/>
        <v>640.0696356209337</v>
      </c>
      <c r="O39" s="62">
        <f t="shared" si="4"/>
        <v>637.56301130673319</v>
      </c>
      <c r="P39" s="62">
        <f t="shared" si="4"/>
        <v>634.40634165749691</v>
      </c>
      <c r="Q39" s="62">
        <f t="shared" si="4"/>
        <v>630.6184286906298</v>
      </c>
      <c r="R39" s="62">
        <f t="shared" si="4"/>
        <v>626.33515650399931</v>
      </c>
      <c r="S39" s="62">
        <f t="shared" si="4"/>
        <v>621.81332363039712</v>
      </c>
      <c r="T39" s="62">
        <f t="shared" si="4"/>
        <v>617.38047196989623</v>
      </c>
      <c r="U39" s="62">
        <f t="shared" si="4"/>
        <v>613.34515585949862</v>
      </c>
      <c r="V39" s="62">
        <f t="shared" si="4"/>
        <v>609.91571180572532</v>
      </c>
      <c r="W39" s="62">
        <f t="shared" si="4"/>
        <v>607.1693412972852</v>
      </c>
      <c r="X39" s="62">
        <f t="shared" si="4"/>
        <v>605.0737387067237</v>
      </c>
      <c r="Y39" s="62">
        <f t="shared" si="4"/>
        <v>603.53330273509027</v>
      </c>
      <c r="Z39" s="62">
        <f t="shared" si="4"/>
        <v>602.43191330034256</v>
      </c>
      <c r="AA39" s="62">
        <f t="shared" si="4"/>
        <v>601.66000195939125</v>
      </c>
      <c r="AB39" s="62">
        <f t="shared" si="4"/>
        <v>601.12656377741496</v>
      </c>
      <c r="AC39" s="62">
        <f t="shared" si="4"/>
        <v>600.7615054472443</v>
      </c>
    </row>
    <row r="40" spans="1:29" x14ac:dyDescent="0.3">
      <c r="A40" s="30" t="str">
        <f t="shared" si="3"/>
        <v>Fuel Cost</v>
      </c>
      <c r="B40" s="62">
        <f>$B20+($C20-$B20)*(1-Q20)</f>
        <v>3.1399999999999997E-2</v>
      </c>
      <c r="C40" s="62">
        <f>$B20+($C20-$B20)*(1-R20)</f>
        <v>3.1399999999999997E-2</v>
      </c>
      <c r="D40" s="62">
        <f>$B20+($C20-$B20)*(1-S20)</f>
        <v>3.1399999999999997E-2</v>
      </c>
      <c r="E40" s="62">
        <f t="shared" si="4"/>
        <v>3.1399999999999997E-2</v>
      </c>
      <c r="F40" s="62">
        <f t="shared" si="4"/>
        <v>3.1399999999999997E-2</v>
      </c>
      <c r="G40" s="62">
        <f t="shared" si="4"/>
        <v>3.1399999999999997E-2</v>
      </c>
      <c r="H40" s="62">
        <f t="shared" ref="H40:AC40" si="5">$B20+($C20-$B20)*(1-W20)</f>
        <v>3.1399999999999997E-2</v>
      </c>
      <c r="I40" s="62">
        <f t="shared" si="5"/>
        <v>3.1399999999999997E-2</v>
      </c>
      <c r="J40" s="62">
        <f t="shared" si="5"/>
        <v>3.1399999999999997E-2</v>
      </c>
      <c r="K40" s="62">
        <f t="shared" si="5"/>
        <v>3.1399999999999997E-2</v>
      </c>
      <c r="L40" s="62">
        <f t="shared" si="5"/>
        <v>3.1399999999999997E-2</v>
      </c>
      <c r="M40" s="62">
        <f t="shared" si="5"/>
        <v>3.1399999999999997E-2</v>
      </c>
      <c r="N40" s="62">
        <f t="shared" si="5"/>
        <v>3.1399999999999997E-2</v>
      </c>
      <c r="O40" s="62">
        <f t="shared" si="5"/>
        <v>3.1399999999999997E-2</v>
      </c>
      <c r="P40" s="62">
        <f t="shared" si="5"/>
        <v>3.1399999999999997E-2</v>
      </c>
      <c r="Q40" s="62">
        <f t="shared" si="5"/>
        <v>3.1399999999999997E-2</v>
      </c>
      <c r="R40" s="62">
        <f t="shared" si="5"/>
        <v>3.1399999999999997E-2</v>
      </c>
      <c r="S40" s="62">
        <f t="shared" si="5"/>
        <v>3.1399999999999997E-2</v>
      </c>
      <c r="T40" s="62">
        <f t="shared" si="5"/>
        <v>3.1399999999999997E-2</v>
      </c>
      <c r="U40" s="62">
        <f t="shared" si="5"/>
        <v>3.1399999999999997E-2</v>
      </c>
      <c r="V40" s="62">
        <f t="shared" si="5"/>
        <v>3.1399999999999997E-2</v>
      </c>
      <c r="W40" s="62">
        <f t="shared" si="5"/>
        <v>3.1399999999999997E-2</v>
      </c>
      <c r="X40" s="62">
        <f t="shared" si="5"/>
        <v>3.1399999999999997E-2</v>
      </c>
      <c r="Y40" s="62">
        <f t="shared" si="5"/>
        <v>3.1399999999999997E-2</v>
      </c>
      <c r="Z40" s="62">
        <f t="shared" si="5"/>
        <v>3.1399999999999997E-2</v>
      </c>
      <c r="AA40" s="62">
        <f t="shared" si="5"/>
        <v>3.1399999999999997E-2</v>
      </c>
      <c r="AB40" s="62">
        <f t="shared" si="5"/>
        <v>3.1399999999999997E-2</v>
      </c>
      <c r="AC40" s="62">
        <f t="shared" si="5"/>
        <v>3.1399999999999997E-2</v>
      </c>
    </row>
    <row r="41" spans="1:29" x14ac:dyDescent="0.3">
      <c r="A41" s="30" t="str">
        <f t="shared" si="3"/>
        <v>Emission Cost</v>
      </c>
      <c r="B41" s="68">
        <f>$B21+($C21-$B21)*(1-Q21)</f>
        <v>18.267003557738562</v>
      </c>
      <c r="C41" s="62">
        <f t="shared" ref="C41:AC44" si="6">$B21+($C21-$B21)*(1-R21)</f>
        <v>18.305790458980148</v>
      </c>
      <c r="D41" s="62">
        <f t="shared" si="6"/>
        <v>18.361313044198909</v>
      </c>
      <c r="E41" s="62">
        <f t="shared" si="6"/>
        <v>18.440742006877084</v>
      </c>
      <c r="F41" s="62">
        <f t="shared" si="6"/>
        <v>18.554263521414992</v>
      </c>
      <c r="G41" s="62">
        <f t="shared" si="6"/>
        <v>18.716283255677226</v>
      </c>
      <c r="H41" s="62">
        <f t="shared" si="6"/>
        <v>18.947039105058323</v>
      </c>
      <c r="I41" s="62">
        <f t="shared" si="6"/>
        <v>19.274679331915838</v>
      </c>
      <c r="J41" s="62">
        <f t="shared" si="6"/>
        <v>19.737767308363324</v>
      </c>
      <c r="K41" s="62">
        <f t="shared" si="6"/>
        <v>20.387934472496433</v>
      </c>
      <c r="L41" s="62">
        <f t="shared" si="6"/>
        <v>21.291902848630563</v>
      </c>
      <c r="M41" s="62">
        <f t="shared" si="6"/>
        <v>22.53120967478624</v>
      </c>
      <c r="N41" s="62">
        <f t="shared" si="6"/>
        <v>24.196705250388863</v>
      </c>
      <c r="O41" s="62">
        <f t="shared" si="6"/>
        <v>26.37382971778402</v>
      </c>
      <c r="P41" s="62">
        <f t="shared" si="6"/>
        <v>29.115550002671711</v>
      </c>
      <c r="Q41" s="62">
        <f t="shared" si="6"/>
        <v>32.405535643443841</v>
      </c>
      <c r="R41" s="62">
        <f t="shared" si="6"/>
        <v>36.125764728112543</v>
      </c>
      <c r="S41" s="62">
        <f t="shared" si="6"/>
        <v>40.053195309081424</v>
      </c>
      <c r="T41" s="62">
        <f t="shared" si="6"/>
        <v>43.903341402269703</v>
      </c>
      <c r="U41" s="62">
        <f t="shared" si="6"/>
        <v>47.40820864059085</v>
      </c>
      <c r="V41" s="62">
        <f t="shared" si="6"/>
        <v>50.386846690471195</v>
      </c>
      <c r="W41" s="62">
        <f t="shared" si="6"/>
        <v>52.772202324574174</v>
      </c>
      <c r="X41" s="62">
        <f t="shared" si="6"/>
        <v>54.592334543032798</v>
      </c>
      <c r="Y41" s="62">
        <f t="shared" si="6"/>
        <v>55.93027769841482</v>
      </c>
      <c r="Z41" s="62">
        <f t="shared" si="6"/>
        <v>56.886887698938416</v>
      </c>
      <c r="AA41" s="62">
        <f t="shared" si="6"/>
        <v>57.557330037474898</v>
      </c>
      <c r="AB41" s="62">
        <f t="shared" si="6"/>
        <v>58.020646902010256</v>
      </c>
      <c r="AC41" s="62">
        <f t="shared" si="6"/>
        <v>58.337717720376737</v>
      </c>
    </row>
    <row r="42" spans="1:29" x14ac:dyDescent="0.3">
      <c r="A42" s="30" t="str">
        <f t="shared" si="3"/>
        <v>Lifetime vehicle</v>
      </c>
      <c r="B42" s="62">
        <f>$B22+($C22-$B22)*(1-Q22)</f>
        <v>25</v>
      </c>
      <c r="C42" s="62">
        <f t="shared" si="6"/>
        <v>25</v>
      </c>
      <c r="D42" s="62">
        <f t="shared" si="6"/>
        <v>25</v>
      </c>
      <c r="E42" s="62">
        <f t="shared" si="6"/>
        <v>25</v>
      </c>
      <c r="F42" s="62">
        <f t="shared" si="6"/>
        <v>25</v>
      </c>
      <c r="G42" s="62">
        <f t="shared" si="6"/>
        <v>25</v>
      </c>
      <c r="H42" s="62">
        <f t="shared" si="6"/>
        <v>25</v>
      </c>
      <c r="I42" s="62">
        <f t="shared" si="6"/>
        <v>25</v>
      </c>
      <c r="J42" s="62">
        <f t="shared" si="6"/>
        <v>25</v>
      </c>
      <c r="K42" s="62">
        <f t="shared" si="6"/>
        <v>25</v>
      </c>
      <c r="L42" s="62">
        <f t="shared" si="6"/>
        <v>25</v>
      </c>
      <c r="M42" s="62">
        <f t="shared" si="6"/>
        <v>25</v>
      </c>
      <c r="N42" s="62">
        <f t="shared" si="6"/>
        <v>25</v>
      </c>
      <c r="O42" s="62">
        <f t="shared" si="6"/>
        <v>25</v>
      </c>
      <c r="P42" s="62">
        <f t="shared" si="6"/>
        <v>25</v>
      </c>
      <c r="Q42" s="62">
        <f t="shared" si="6"/>
        <v>25</v>
      </c>
      <c r="R42" s="62">
        <f t="shared" si="6"/>
        <v>25</v>
      </c>
      <c r="S42" s="62">
        <f t="shared" si="6"/>
        <v>25</v>
      </c>
      <c r="T42" s="62">
        <f t="shared" si="6"/>
        <v>25</v>
      </c>
      <c r="U42" s="62">
        <f t="shared" si="6"/>
        <v>25</v>
      </c>
      <c r="V42" s="62">
        <f t="shared" si="6"/>
        <v>25</v>
      </c>
      <c r="W42" s="62">
        <f t="shared" si="6"/>
        <v>25</v>
      </c>
      <c r="X42" s="62">
        <f t="shared" si="6"/>
        <v>25</v>
      </c>
      <c r="Y42" s="62">
        <f t="shared" si="6"/>
        <v>25</v>
      </c>
      <c r="Z42" s="62">
        <f t="shared" si="6"/>
        <v>25</v>
      </c>
      <c r="AA42" s="62">
        <f t="shared" si="6"/>
        <v>25</v>
      </c>
      <c r="AB42" s="62">
        <f t="shared" si="6"/>
        <v>25</v>
      </c>
      <c r="AC42" s="62">
        <f t="shared" si="6"/>
        <v>25</v>
      </c>
    </row>
    <row r="43" spans="1:29" x14ac:dyDescent="0.3">
      <c r="A43" s="30" t="str">
        <f t="shared" si="3"/>
        <v>Lifetime costumization</v>
      </c>
      <c r="B43" s="62">
        <f>$B23+($C23-$B23)*(1-Q23)</f>
        <v>25</v>
      </c>
      <c r="C43" s="62">
        <f t="shared" si="6"/>
        <v>25</v>
      </c>
      <c r="D43" s="62">
        <f t="shared" si="6"/>
        <v>25</v>
      </c>
      <c r="E43" s="62">
        <f t="shared" si="6"/>
        <v>25</v>
      </c>
      <c r="F43" s="62">
        <f t="shared" si="6"/>
        <v>25</v>
      </c>
      <c r="G43" s="62">
        <f t="shared" si="6"/>
        <v>25</v>
      </c>
      <c r="H43" s="62">
        <f t="shared" si="6"/>
        <v>25</v>
      </c>
      <c r="I43" s="62">
        <f t="shared" si="6"/>
        <v>25</v>
      </c>
      <c r="J43" s="62">
        <f t="shared" si="6"/>
        <v>25</v>
      </c>
      <c r="K43" s="62">
        <f t="shared" si="6"/>
        <v>25</v>
      </c>
      <c r="L43" s="62">
        <f t="shared" si="6"/>
        <v>25</v>
      </c>
      <c r="M43" s="62">
        <f t="shared" si="6"/>
        <v>25</v>
      </c>
      <c r="N43" s="62">
        <f t="shared" si="6"/>
        <v>25</v>
      </c>
      <c r="O43" s="62">
        <f t="shared" si="6"/>
        <v>25</v>
      </c>
      <c r="P43" s="62">
        <f t="shared" si="6"/>
        <v>25</v>
      </c>
      <c r="Q43" s="62">
        <f t="shared" si="6"/>
        <v>25</v>
      </c>
      <c r="R43" s="62">
        <f t="shared" si="6"/>
        <v>25</v>
      </c>
      <c r="S43" s="62">
        <f t="shared" si="6"/>
        <v>25</v>
      </c>
      <c r="T43" s="62">
        <f t="shared" si="6"/>
        <v>25</v>
      </c>
      <c r="U43" s="62">
        <f t="shared" si="6"/>
        <v>25</v>
      </c>
      <c r="V43" s="62">
        <f t="shared" si="6"/>
        <v>25</v>
      </c>
      <c r="W43" s="62">
        <f t="shared" si="6"/>
        <v>25</v>
      </c>
      <c r="X43" s="62">
        <f t="shared" si="6"/>
        <v>25</v>
      </c>
      <c r="Y43" s="62">
        <f t="shared" si="6"/>
        <v>25</v>
      </c>
      <c r="Z43" s="62">
        <f t="shared" si="6"/>
        <v>25</v>
      </c>
      <c r="AA43" s="62">
        <f t="shared" si="6"/>
        <v>25</v>
      </c>
      <c r="AB43" s="62">
        <f t="shared" si="6"/>
        <v>25</v>
      </c>
      <c r="AC43" s="62">
        <f t="shared" si="6"/>
        <v>25</v>
      </c>
    </row>
    <row r="44" spans="1:29" x14ac:dyDescent="0.3">
      <c r="A44" s="30" t="str">
        <f t="shared" si="3"/>
        <v>Tonnage .</v>
      </c>
      <c r="B44" s="62">
        <f>$B24+($C24-$B24)*(1-Q24)</f>
        <v>9450</v>
      </c>
      <c r="C44" s="62">
        <f t="shared" si="6"/>
        <v>9450</v>
      </c>
      <c r="D44" s="62">
        <f t="shared" si="6"/>
        <v>9450</v>
      </c>
      <c r="E44" s="62">
        <f t="shared" si="6"/>
        <v>9450</v>
      </c>
      <c r="F44" s="62">
        <f t="shared" si="6"/>
        <v>9450</v>
      </c>
      <c r="G44" s="62">
        <f t="shared" si="6"/>
        <v>9450</v>
      </c>
      <c r="H44" s="62">
        <f t="shared" si="6"/>
        <v>9450</v>
      </c>
      <c r="I44" s="62">
        <f t="shared" si="6"/>
        <v>9450</v>
      </c>
      <c r="J44" s="62">
        <f t="shared" si="6"/>
        <v>9450</v>
      </c>
      <c r="K44" s="62">
        <f t="shared" si="6"/>
        <v>9450</v>
      </c>
      <c r="L44" s="62">
        <f t="shared" si="6"/>
        <v>9450</v>
      </c>
      <c r="M44" s="62">
        <f t="shared" si="6"/>
        <v>9450</v>
      </c>
      <c r="N44" s="62">
        <f t="shared" si="6"/>
        <v>9450</v>
      </c>
      <c r="O44" s="62">
        <f t="shared" si="6"/>
        <v>9450</v>
      </c>
      <c r="P44" s="62">
        <f t="shared" si="6"/>
        <v>9450</v>
      </c>
      <c r="Q44" s="62">
        <f t="shared" si="6"/>
        <v>9450</v>
      </c>
      <c r="R44" s="62">
        <f t="shared" si="6"/>
        <v>9450</v>
      </c>
      <c r="S44" s="62">
        <f t="shared" si="6"/>
        <v>9450</v>
      </c>
      <c r="T44" s="62">
        <f t="shared" si="6"/>
        <v>9450</v>
      </c>
      <c r="U44" s="62">
        <f t="shared" si="6"/>
        <v>9450</v>
      </c>
      <c r="V44" s="62">
        <f t="shared" si="6"/>
        <v>9450</v>
      </c>
      <c r="W44" s="62">
        <f t="shared" si="6"/>
        <v>9450</v>
      </c>
      <c r="X44" s="62">
        <f t="shared" si="6"/>
        <v>9450</v>
      </c>
      <c r="Y44" s="62">
        <f t="shared" si="6"/>
        <v>9450</v>
      </c>
      <c r="Z44" s="62">
        <f t="shared" si="6"/>
        <v>9450</v>
      </c>
      <c r="AA44" s="62">
        <f t="shared" si="6"/>
        <v>9450</v>
      </c>
      <c r="AB44" s="62">
        <f t="shared" si="6"/>
        <v>9450</v>
      </c>
      <c r="AC44" s="62">
        <f t="shared" si="6"/>
        <v>9450</v>
      </c>
    </row>
    <row r="45" spans="1:29" x14ac:dyDescent="0.3">
      <c r="A45" s="30" t="str">
        <f t="shared" si="3"/>
        <v>Market failure (av. utilization)</v>
      </c>
      <c r="B45" s="62">
        <f t="shared" ref="B45:AC46" si="7">($B25+($C25-$B25)*(1-Q25))*B$44</f>
        <v>4819.5</v>
      </c>
      <c r="C45" s="62">
        <f t="shared" si="7"/>
        <v>4819.5</v>
      </c>
      <c r="D45" s="62">
        <f t="shared" si="7"/>
        <v>4819.5</v>
      </c>
      <c r="E45" s="62">
        <f t="shared" si="7"/>
        <v>4819.5</v>
      </c>
      <c r="F45" s="62">
        <f t="shared" si="7"/>
        <v>4819.5</v>
      </c>
      <c r="G45" s="62">
        <f t="shared" si="7"/>
        <v>4819.5</v>
      </c>
      <c r="H45" s="62">
        <f t="shared" si="7"/>
        <v>4819.5</v>
      </c>
      <c r="I45" s="62">
        <f t="shared" si="7"/>
        <v>4819.5</v>
      </c>
      <c r="J45" s="62">
        <f t="shared" si="7"/>
        <v>4819.5</v>
      </c>
      <c r="K45" s="62">
        <f t="shared" si="7"/>
        <v>4819.5</v>
      </c>
      <c r="L45" s="62">
        <f t="shared" si="7"/>
        <v>4819.5</v>
      </c>
      <c r="M45" s="62">
        <f t="shared" si="7"/>
        <v>4819.5</v>
      </c>
      <c r="N45" s="62">
        <f t="shared" si="7"/>
        <v>4819.5</v>
      </c>
      <c r="O45" s="62">
        <f t="shared" si="7"/>
        <v>4819.5</v>
      </c>
      <c r="P45" s="62">
        <f t="shared" si="7"/>
        <v>4819.5</v>
      </c>
      <c r="Q45" s="62">
        <f t="shared" si="7"/>
        <v>4819.5</v>
      </c>
      <c r="R45" s="62">
        <f t="shared" si="7"/>
        <v>4819.5</v>
      </c>
      <c r="S45" s="62">
        <f t="shared" si="7"/>
        <v>4819.5</v>
      </c>
      <c r="T45" s="62">
        <f t="shared" si="7"/>
        <v>4819.5</v>
      </c>
      <c r="U45" s="62">
        <f t="shared" si="7"/>
        <v>4819.5</v>
      </c>
      <c r="V45" s="62">
        <f t="shared" si="7"/>
        <v>4819.5</v>
      </c>
      <c r="W45" s="62">
        <f t="shared" si="7"/>
        <v>4819.5</v>
      </c>
      <c r="X45" s="62">
        <f t="shared" si="7"/>
        <v>4819.5</v>
      </c>
      <c r="Y45" s="62">
        <f t="shared" si="7"/>
        <v>4819.5</v>
      </c>
      <c r="Z45" s="62">
        <f t="shared" si="7"/>
        <v>4819.5</v>
      </c>
      <c r="AA45" s="62">
        <f t="shared" si="7"/>
        <v>4819.5</v>
      </c>
      <c r="AB45" s="62">
        <f t="shared" si="7"/>
        <v>4819.5</v>
      </c>
      <c r="AC45" s="62">
        <f t="shared" si="7"/>
        <v>4819.5</v>
      </c>
    </row>
    <row r="46" spans="1:29" x14ac:dyDescent="0.3">
      <c r="A46" s="30" t="s">
        <v>73</v>
      </c>
      <c r="B46" s="62">
        <f t="shared" si="7"/>
        <v>0</v>
      </c>
      <c r="C46" s="62">
        <f t="shared" si="7"/>
        <v>0</v>
      </c>
      <c r="D46" s="62">
        <f t="shared" si="7"/>
        <v>0</v>
      </c>
      <c r="E46" s="62">
        <f t="shared" si="7"/>
        <v>0</v>
      </c>
      <c r="F46" s="62">
        <f t="shared" si="7"/>
        <v>0</v>
      </c>
      <c r="G46" s="62">
        <f t="shared" si="7"/>
        <v>0</v>
      </c>
      <c r="H46" s="62">
        <f t="shared" si="7"/>
        <v>0</v>
      </c>
      <c r="I46" s="62">
        <f t="shared" si="7"/>
        <v>0</v>
      </c>
      <c r="J46" s="62">
        <f t="shared" si="7"/>
        <v>0</v>
      </c>
      <c r="K46" s="62">
        <f t="shared" si="7"/>
        <v>0</v>
      </c>
      <c r="L46" s="62">
        <f t="shared" si="7"/>
        <v>0</v>
      </c>
      <c r="M46" s="62">
        <f t="shared" si="7"/>
        <v>0</v>
      </c>
      <c r="N46" s="62">
        <f t="shared" si="7"/>
        <v>0</v>
      </c>
      <c r="O46" s="62">
        <f t="shared" si="7"/>
        <v>0</v>
      </c>
      <c r="P46" s="62">
        <f t="shared" si="7"/>
        <v>0</v>
      </c>
      <c r="Q46" s="62">
        <f t="shared" si="7"/>
        <v>0</v>
      </c>
      <c r="R46" s="62">
        <f t="shared" si="7"/>
        <v>0</v>
      </c>
      <c r="S46" s="62">
        <f t="shared" si="7"/>
        <v>0</v>
      </c>
      <c r="T46" s="62">
        <f t="shared" si="7"/>
        <v>0</v>
      </c>
      <c r="U46" s="62">
        <f t="shared" si="7"/>
        <v>0</v>
      </c>
      <c r="V46" s="62">
        <f t="shared" si="7"/>
        <v>0</v>
      </c>
      <c r="W46" s="62">
        <f t="shared" si="7"/>
        <v>0</v>
      </c>
      <c r="X46" s="62">
        <f t="shared" si="7"/>
        <v>0</v>
      </c>
      <c r="Y46" s="62">
        <f t="shared" si="7"/>
        <v>0</v>
      </c>
      <c r="Z46" s="62">
        <f t="shared" si="7"/>
        <v>0</v>
      </c>
      <c r="AA46" s="62">
        <f t="shared" si="7"/>
        <v>0</v>
      </c>
      <c r="AB46" s="62">
        <f t="shared" si="7"/>
        <v>0</v>
      </c>
      <c r="AC46" s="62">
        <f t="shared" si="7"/>
        <v>0</v>
      </c>
    </row>
    <row r="47" spans="1:29" x14ac:dyDescent="0.3">
      <c r="A47" s="30" t="str">
        <f>A27</f>
        <v>Annual Mileage</v>
      </c>
      <c r="B47" s="62">
        <f t="shared" ref="B47:AC47" si="8">$B27+($C27-$B27)*(1-Q27)</f>
        <v>120000</v>
      </c>
      <c r="C47" s="62">
        <f t="shared" si="8"/>
        <v>120000</v>
      </c>
      <c r="D47" s="62">
        <f t="shared" si="8"/>
        <v>120000</v>
      </c>
      <c r="E47" s="62">
        <f t="shared" si="8"/>
        <v>120000</v>
      </c>
      <c r="F47" s="62">
        <f t="shared" si="8"/>
        <v>120000</v>
      </c>
      <c r="G47" s="62">
        <f t="shared" si="8"/>
        <v>120000</v>
      </c>
      <c r="H47" s="62">
        <f t="shared" si="8"/>
        <v>120000</v>
      </c>
      <c r="I47" s="62">
        <f t="shared" si="8"/>
        <v>120000</v>
      </c>
      <c r="J47" s="62">
        <f t="shared" si="8"/>
        <v>120000</v>
      </c>
      <c r="K47" s="62">
        <f t="shared" si="8"/>
        <v>120000</v>
      </c>
      <c r="L47" s="62">
        <f t="shared" si="8"/>
        <v>120000</v>
      </c>
      <c r="M47" s="62">
        <f t="shared" si="8"/>
        <v>120000</v>
      </c>
      <c r="N47" s="62">
        <f t="shared" si="8"/>
        <v>120000</v>
      </c>
      <c r="O47" s="62">
        <f t="shared" si="8"/>
        <v>120000</v>
      </c>
      <c r="P47" s="62">
        <f t="shared" si="8"/>
        <v>120000</v>
      </c>
      <c r="Q47" s="62">
        <f t="shared" si="8"/>
        <v>120000</v>
      </c>
      <c r="R47" s="62">
        <f t="shared" si="8"/>
        <v>120000</v>
      </c>
      <c r="S47" s="62">
        <f t="shared" si="8"/>
        <v>120000</v>
      </c>
      <c r="T47" s="62">
        <f t="shared" si="8"/>
        <v>120000</v>
      </c>
      <c r="U47" s="62">
        <f t="shared" si="8"/>
        <v>120000</v>
      </c>
      <c r="V47" s="62">
        <f t="shared" si="8"/>
        <v>120000</v>
      </c>
      <c r="W47" s="62">
        <f t="shared" si="8"/>
        <v>120000</v>
      </c>
      <c r="X47" s="62">
        <f t="shared" si="8"/>
        <v>120000</v>
      </c>
      <c r="Y47" s="62">
        <f t="shared" si="8"/>
        <v>120000</v>
      </c>
      <c r="Z47" s="62">
        <f t="shared" si="8"/>
        <v>120000</v>
      </c>
      <c r="AA47" s="62">
        <f t="shared" si="8"/>
        <v>120000</v>
      </c>
      <c r="AB47" s="62">
        <f t="shared" si="8"/>
        <v>120000</v>
      </c>
      <c r="AC47" s="62">
        <f t="shared" si="8"/>
        <v>120000</v>
      </c>
    </row>
    <row r="48" spans="1:29" ht="15" thickBot="1" x14ac:dyDescent="0.35">
      <c r="AC48" s="32"/>
    </row>
    <row r="49" spans="1:33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33" x14ac:dyDescent="0.3">
      <c r="A50" s="29" t="str">
        <f>A31</f>
        <v>Capex vehicle</v>
      </c>
      <c r="B50" s="113">
        <f>((1+B35)^B42)*B35/(((1+B35)^B42)-1)*(B31)</f>
        <v>1173400.7731841092</v>
      </c>
      <c r="C50" s="63">
        <f t="shared" ref="C50:AC50" si="9">((1+C35)^C42)*C35/(((1+C35)^C42)-1)*(C31)</f>
        <v>1173400.7731841092</v>
      </c>
      <c r="D50" s="63">
        <f t="shared" si="9"/>
        <v>1173400.7731841092</v>
      </c>
      <c r="E50" s="63">
        <f t="shared" si="9"/>
        <v>1173400.7731841092</v>
      </c>
      <c r="F50" s="63">
        <f t="shared" si="9"/>
        <v>1173400.7731841092</v>
      </c>
      <c r="G50" s="63">
        <f t="shared" si="9"/>
        <v>1173400.7731841092</v>
      </c>
      <c r="H50" s="63">
        <f t="shared" si="9"/>
        <v>1173400.7731841092</v>
      </c>
      <c r="I50" s="63">
        <f t="shared" si="9"/>
        <v>1173400.7731841092</v>
      </c>
      <c r="J50" s="63">
        <f t="shared" si="9"/>
        <v>1173400.7731841092</v>
      </c>
      <c r="K50" s="63">
        <f t="shared" si="9"/>
        <v>1173400.7731841092</v>
      </c>
      <c r="L50" s="63">
        <f t="shared" si="9"/>
        <v>1173400.7731841092</v>
      </c>
      <c r="M50" s="63">
        <f t="shared" si="9"/>
        <v>1173400.7731841092</v>
      </c>
      <c r="N50" s="63">
        <f t="shared" si="9"/>
        <v>1173400.7731841092</v>
      </c>
      <c r="O50" s="63">
        <f t="shared" si="9"/>
        <v>1173400.7731841092</v>
      </c>
      <c r="P50" s="63">
        <f t="shared" si="9"/>
        <v>1173400.7731841092</v>
      </c>
      <c r="Q50" s="63">
        <f t="shared" si="9"/>
        <v>1173400.7731841092</v>
      </c>
      <c r="R50" s="63">
        <f t="shared" si="9"/>
        <v>1173400.7731841092</v>
      </c>
      <c r="S50" s="63">
        <f t="shared" si="9"/>
        <v>1173400.7731841092</v>
      </c>
      <c r="T50" s="63">
        <f t="shared" si="9"/>
        <v>1173400.7731841092</v>
      </c>
      <c r="U50" s="63">
        <f t="shared" si="9"/>
        <v>1173400.7731841092</v>
      </c>
      <c r="V50" s="63">
        <f t="shared" si="9"/>
        <v>1173400.7731841092</v>
      </c>
      <c r="W50" s="63">
        <f t="shared" si="9"/>
        <v>1173400.7731841092</v>
      </c>
      <c r="X50" s="63">
        <f t="shared" si="9"/>
        <v>1173400.7731841092</v>
      </c>
      <c r="Y50" s="63">
        <f t="shared" si="9"/>
        <v>1173400.7731841092</v>
      </c>
      <c r="Z50" s="63">
        <f t="shared" si="9"/>
        <v>1173400.7731841092</v>
      </c>
      <c r="AA50" s="63">
        <f t="shared" si="9"/>
        <v>1173400.7731841092</v>
      </c>
      <c r="AB50" s="63">
        <f t="shared" si="9"/>
        <v>1173400.7731841092</v>
      </c>
      <c r="AC50" s="63">
        <f t="shared" si="9"/>
        <v>1173400.7731841092</v>
      </c>
    </row>
    <row r="51" spans="1:33" x14ac:dyDescent="0.3">
      <c r="A51" s="30" t="str">
        <f>A32</f>
        <v>Residual value (vehicle)</v>
      </c>
      <c r="B51" s="62">
        <f>((1+B35)^B42)*B35/(((1+B35)^B42)-1)*(B32)</f>
        <v>-117211.22297816433</v>
      </c>
      <c r="C51" s="62">
        <f t="shared" ref="C51:AC51" si="10">((1+C35)^C42)*C35/(((1+C35)^C42)-1)*(C32)</f>
        <v>-117155.47750703427</v>
      </c>
      <c r="D51" s="62">
        <f t="shared" si="10"/>
        <v>-117075.67910674184</v>
      </c>
      <c r="E51" s="62">
        <f t="shared" si="10"/>
        <v>-116961.52188344915</v>
      </c>
      <c r="F51" s="62">
        <f t="shared" si="10"/>
        <v>-116798.36602132194</v>
      </c>
      <c r="G51" s="62">
        <f t="shared" si="10"/>
        <v>-116565.50734662244</v>
      </c>
      <c r="H51" s="62">
        <f t="shared" si="10"/>
        <v>-116233.85946736432</v>
      </c>
      <c r="I51" s="62">
        <f t="shared" si="10"/>
        <v>-115762.96702113429</v>
      </c>
      <c r="J51" s="62">
        <f t="shared" si="10"/>
        <v>-115097.40579826315</v>
      </c>
      <c r="K51" s="62">
        <f t="shared" si="10"/>
        <v>-114162.96984907117</v>
      </c>
      <c r="L51" s="62">
        <f t="shared" si="10"/>
        <v>-112863.76466894078</v>
      </c>
      <c r="M51" s="62">
        <f t="shared" si="10"/>
        <v>-111082.60297034449</v>
      </c>
      <c r="N51" s="62">
        <f t="shared" si="10"/>
        <v>-108688.91250900239</v>
      </c>
      <c r="O51" s="62">
        <f t="shared" si="10"/>
        <v>-105559.89664903973</v>
      </c>
      <c r="P51" s="62">
        <f t="shared" si="10"/>
        <v>-101619.43004574107</v>
      </c>
      <c r="Q51" s="62">
        <f t="shared" si="10"/>
        <v>-96890.983232894243</v>
      </c>
      <c r="R51" s="62">
        <f t="shared" si="10"/>
        <v>-91544.180152521745</v>
      </c>
      <c r="S51" s="62">
        <f t="shared" si="10"/>
        <v>-85899.582077953528</v>
      </c>
      <c r="T51" s="62">
        <f t="shared" si="10"/>
        <v>-80366.059135568226</v>
      </c>
      <c r="U51" s="62">
        <f t="shared" si="10"/>
        <v>-75328.779301543953</v>
      </c>
      <c r="V51" s="62">
        <f t="shared" si="10"/>
        <v>-71047.808765066002</v>
      </c>
      <c r="W51" s="62">
        <f t="shared" si="10"/>
        <v>-67619.518043732241</v>
      </c>
      <c r="X51" s="62">
        <f t="shared" si="10"/>
        <v>-65003.580064954105</v>
      </c>
      <c r="Y51" s="62">
        <f t="shared" si="10"/>
        <v>-63080.655852023017</v>
      </c>
      <c r="Z51" s="62">
        <f t="shared" si="10"/>
        <v>-61705.792858076449</v>
      </c>
      <c r="AA51" s="62">
        <f t="shared" si="10"/>
        <v>-60742.216938606354</v>
      </c>
      <c r="AB51" s="62">
        <f t="shared" si="10"/>
        <v>-60076.3267522479</v>
      </c>
      <c r="AC51" s="62">
        <f t="shared" si="10"/>
        <v>-59620.624915142049</v>
      </c>
    </row>
    <row r="52" spans="1:33" x14ac:dyDescent="0.3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11">((1+C35)^C43)*C35/(((1+C35)^C43)-1)*(C33)</f>
        <v>78226.718212273947</v>
      </c>
      <c r="D52" s="62">
        <f t="shared" si="11"/>
        <v>78226.718212273947</v>
      </c>
      <c r="E52" s="62">
        <f t="shared" si="11"/>
        <v>78226.718212273947</v>
      </c>
      <c r="F52" s="62">
        <f t="shared" si="11"/>
        <v>78226.718212273947</v>
      </c>
      <c r="G52" s="62">
        <f t="shared" si="11"/>
        <v>78226.718212273947</v>
      </c>
      <c r="H52" s="62">
        <f t="shared" si="11"/>
        <v>78226.718212273947</v>
      </c>
      <c r="I52" s="62">
        <f t="shared" si="11"/>
        <v>78226.718212273947</v>
      </c>
      <c r="J52" s="62">
        <f t="shared" si="11"/>
        <v>78226.718212273947</v>
      </c>
      <c r="K52" s="62">
        <f t="shared" si="11"/>
        <v>78226.718212273947</v>
      </c>
      <c r="L52" s="62">
        <f t="shared" si="11"/>
        <v>78226.718212273947</v>
      </c>
      <c r="M52" s="62">
        <f t="shared" si="11"/>
        <v>78226.718212273947</v>
      </c>
      <c r="N52" s="62">
        <f t="shared" si="11"/>
        <v>78226.718212273947</v>
      </c>
      <c r="O52" s="62">
        <f t="shared" si="11"/>
        <v>78226.718212273947</v>
      </c>
      <c r="P52" s="62">
        <f t="shared" si="11"/>
        <v>78226.718212273947</v>
      </c>
      <c r="Q52" s="62">
        <f t="shared" si="11"/>
        <v>78226.718212273947</v>
      </c>
      <c r="R52" s="62">
        <f t="shared" si="11"/>
        <v>78226.718212273947</v>
      </c>
      <c r="S52" s="62">
        <f t="shared" si="11"/>
        <v>78226.718212273947</v>
      </c>
      <c r="T52" s="62">
        <f t="shared" si="11"/>
        <v>78226.718212273947</v>
      </c>
      <c r="U52" s="62">
        <f t="shared" si="11"/>
        <v>78226.718212273947</v>
      </c>
      <c r="V52" s="62">
        <f t="shared" si="11"/>
        <v>78226.718212273947</v>
      </c>
      <c r="W52" s="62">
        <f t="shared" si="11"/>
        <v>78226.718212273947</v>
      </c>
      <c r="X52" s="62">
        <f t="shared" si="11"/>
        <v>78226.718212273947</v>
      </c>
      <c r="Y52" s="62">
        <f t="shared" si="11"/>
        <v>78226.718212273947</v>
      </c>
      <c r="Z52" s="62">
        <f t="shared" si="11"/>
        <v>78226.718212273947</v>
      </c>
      <c r="AA52" s="62">
        <f t="shared" si="11"/>
        <v>78226.718212273947</v>
      </c>
      <c r="AB52" s="62">
        <f t="shared" si="11"/>
        <v>78226.718212273947</v>
      </c>
      <c r="AC52" s="62">
        <f t="shared" si="11"/>
        <v>78226.718212273947</v>
      </c>
    </row>
    <row r="53" spans="1:33" x14ac:dyDescent="0.3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12">((1+C35)^C43)*C35/(((1+C35)^C43)-1)*(C34)</f>
        <v>-7822.6718212273945</v>
      </c>
      <c r="D53" s="62">
        <f t="shared" si="12"/>
        <v>-7822.6718212273945</v>
      </c>
      <c r="E53" s="62">
        <f t="shared" si="12"/>
        <v>-7822.6718212273945</v>
      </c>
      <c r="F53" s="62">
        <f t="shared" si="12"/>
        <v>-7822.6718212273945</v>
      </c>
      <c r="G53" s="62">
        <f t="shared" si="12"/>
        <v>-7822.6718212273945</v>
      </c>
      <c r="H53" s="62">
        <f t="shared" si="12"/>
        <v>-7822.6718212273945</v>
      </c>
      <c r="I53" s="62">
        <f t="shared" si="12"/>
        <v>-7822.6718212273945</v>
      </c>
      <c r="J53" s="62">
        <f t="shared" si="12"/>
        <v>-7822.6718212273945</v>
      </c>
      <c r="K53" s="62">
        <f t="shared" si="12"/>
        <v>-7822.6718212273945</v>
      </c>
      <c r="L53" s="62">
        <f t="shared" si="12"/>
        <v>-7822.6718212273945</v>
      </c>
      <c r="M53" s="62">
        <f t="shared" si="12"/>
        <v>-7822.6718212273945</v>
      </c>
      <c r="N53" s="62">
        <f t="shared" si="12"/>
        <v>-7822.6718212273945</v>
      </c>
      <c r="O53" s="62">
        <f t="shared" si="12"/>
        <v>-7822.6718212273945</v>
      </c>
      <c r="P53" s="62">
        <f t="shared" si="12"/>
        <v>-7822.6718212273945</v>
      </c>
      <c r="Q53" s="62">
        <f t="shared" si="12"/>
        <v>-7822.6718212273945</v>
      </c>
      <c r="R53" s="62">
        <f t="shared" si="12"/>
        <v>-7822.6718212273945</v>
      </c>
      <c r="S53" s="62">
        <f t="shared" si="12"/>
        <v>-7822.6718212273945</v>
      </c>
      <c r="T53" s="62">
        <f t="shared" si="12"/>
        <v>-7822.6718212273945</v>
      </c>
      <c r="U53" s="62">
        <f t="shared" si="12"/>
        <v>-7822.6718212273945</v>
      </c>
      <c r="V53" s="62">
        <f t="shared" si="12"/>
        <v>-7822.6718212273945</v>
      </c>
      <c r="W53" s="62">
        <f t="shared" si="12"/>
        <v>-7822.6718212273945</v>
      </c>
      <c r="X53" s="62">
        <f t="shared" si="12"/>
        <v>-7822.6718212273945</v>
      </c>
      <c r="Y53" s="62">
        <f t="shared" si="12"/>
        <v>-7822.6718212273945</v>
      </c>
      <c r="Z53" s="62">
        <f t="shared" si="12"/>
        <v>-7822.6718212273945</v>
      </c>
      <c r="AA53" s="62">
        <f t="shared" si="12"/>
        <v>-7822.6718212273945</v>
      </c>
      <c r="AB53" s="62">
        <f t="shared" si="12"/>
        <v>-7822.6718212273945</v>
      </c>
      <c r="AC53" s="62">
        <f t="shared" si="12"/>
        <v>-7822.6718212273945</v>
      </c>
    </row>
    <row r="54" spans="1:33" x14ac:dyDescent="0.3">
      <c r="A54" s="30" t="str">
        <f t="shared" ref="A54:AC55" si="13">A36</f>
        <v>Opex fix (admin, crew, insurance)</v>
      </c>
      <c r="B54" s="62">
        <f t="shared" si="13"/>
        <v>1208235.294117647</v>
      </c>
      <c r="C54" s="62">
        <f t="shared" si="13"/>
        <v>1208235.294117647</v>
      </c>
      <c r="D54" s="62">
        <f t="shared" si="13"/>
        <v>1208235.294117647</v>
      </c>
      <c r="E54" s="62">
        <f t="shared" si="13"/>
        <v>1208235.294117647</v>
      </c>
      <c r="F54" s="62">
        <f t="shared" si="13"/>
        <v>1208235.294117647</v>
      </c>
      <c r="G54" s="62">
        <f t="shared" si="13"/>
        <v>1208235.294117647</v>
      </c>
      <c r="H54" s="62">
        <f t="shared" si="13"/>
        <v>1208235.294117647</v>
      </c>
      <c r="I54" s="62">
        <f t="shared" si="13"/>
        <v>1208235.294117647</v>
      </c>
      <c r="J54" s="62">
        <f t="shared" si="13"/>
        <v>1208235.294117647</v>
      </c>
      <c r="K54" s="62">
        <f t="shared" si="13"/>
        <v>1208235.294117647</v>
      </c>
      <c r="L54" s="62">
        <f t="shared" si="13"/>
        <v>1208235.294117647</v>
      </c>
      <c r="M54" s="62">
        <f t="shared" si="13"/>
        <v>1208235.294117647</v>
      </c>
      <c r="N54" s="62">
        <f t="shared" si="13"/>
        <v>1208235.294117647</v>
      </c>
      <c r="O54" s="62">
        <f t="shared" si="13"/>
        <v>1208235.294117647</v>
      </c>
      <c r="P54" s="62">
        <f t="shared" si="13"/>
        <v>1208235.294117647</v>
      </c>
      <c r="Q54" s="62">
        <f t="shared" si="13"/>
        <v>1208235.294117647</v>
      </c>
      <c r="R54" s="62">
        <f t="shared" si="13"/>
        <v>1208235.294117647</v>
      </c>
      <c r="S54" s="62">
        <f t="shared" si="13"/>
        <v>1208235.294117647</v>
      </c>
      <c r="T54" s="62">
        <f t="shared" si="13"/>
        <v>1208235.294117647</v>
      </c>
      <c r="U54" s="62">
        <f t="shared" si="13"/>
        <v>1208235.294117647</v>
      </c>
      <c r="V54" s="62">
        <f t="shared" si="13"/>
        <v>1208235.294117647</v>
      </c>
      <c r="W54" s="62">
        <f t="shared" si="13"/>
        <v>1208235.294117647</v>
      </c>
      <c r="X54" s="62">
        <f t="shared" si="13"/>
        <v>1208235.294117647</v>
      </c>
      <c r="Y54" s="62">
        <f t="shared" si="13"/>
        <v>1208235.294117647</v>
      </c>
      <c r="Z54" s="62">
        <f t="shared" si="13"/>
        <v>1208235.294117647</v>
      </c>
      <c r="AA54" s="62">
        <f t="shared" si="13"/>
        <v>1208235.294117647</v>
      </c>
      <c r="AB54" s="62">
        <f t="shared" si="13"/>
        <v>1208235.294117647</v>
      </c>
      <c r="AC54" s="62">
        <f t="shared" si="13"/>
        <v>1208235.294117647</v>
      </c>
    </row>
    <row r="55" spans="1:33" x14ac:dyDescent="0.3">
      <c r="A55" s="30" t="str">
        <f t="shared" si="13"/>
        <v>Opex maintenance &amp; repair</v>
      </c>
      <c r="B55" s="62">
        <f t="shared" si="13"/>
        <v>488235.29411764705</v>
      </c>
      <c r="C55" s="62">
        <f t="shared" si="13"/>
        <v>488235.29411764705</v>
      </c>
      <c r="D55" s="62">
        <f t="shared" si="13"/>
        <v>488235.29411764705</v>
      </c>
      <c r="E55" s="62">
        <f t="shared" si="13"/>
        <v>488235.29411764705</v>
      </c>
      <c r="F55" s="62">
        <f t="shared" si="13"/>
        <v>488235.29411764705</v>
      </c>
      <c r="G55" s="62">
        <f t="shared" si="13"/>
        <v>488235.29411764705</v>
      </c>
      <c r="H55" s="62">
        <f t="shared" si="13"/>
        <v>488235.29411764705</v>
      </c>
      <c r="I55" s="62">
        <f t="shared" si="13"/>
        <v>488235.29411764705</v>
      </c>
      <c r="J55" s="62">
        <f t="shared" si="13"/>
        <v>488235.29411764705</v>
      </c>
      <c r="K55" s="62">
        <f t="shared" si="13"/>
        <v>488235.29411764705</v>
      </c>
      <c r="L55" s="62">
        <f t="shared" si="13"/>
        <v>488235.29411764705</v>
      </c>
      <c r="M55" s="62">
        <f t="shared" si="13"/>
        <v>488235.29411764705</v>
      </c>
      <c r="N55" s="62">
        <f t="shared" si="13"/>
        <v>488235.29411764705</v>
      </c>
      <c r="O55" s="62">
        <f t="shared" si="13"/>
        <v>488235.29411764705</v>
      </c>
      <c r="P55" s="62">
        <f t="shared" si="13"/>
        <v>488235.29411764705</v>
      </c>
      <c r="Q55" s="62">
        <f t="shared" si="13"/>
        <v>488235.29411764705</v>
      </c>
      <c r="R55" s="62">
        <f t="shared" si="13"/>
        <v>488235.29411764705</v>
      </c>
      <c r="S55" s="62">
        <f t="shared" si="13"/>
        <v>488235.29411764705</v>
      </c>
      <c r="T55" s="62">
        <f t="shared" si="13"/>
        <v>488235.29411764705</v>
      </c>
      <c r="U55" s="62">
        <f t="shared" si="13"/>
        <v>488235.29411764705</v>
      </c>
      <c r="V55" s="62">
        <f t="shared" si="13"/>
        <v>488235.29411764705</v>
      </c>
      <c r="W55" s="62">
        <f t="shared" si="13"/>
        <v>488235.29411764705</v>
      </c>
      <c r="X55" s="62">
        <f t="shared" si="13"/>
        <v>488235.29411764705</v>
      </c>
      <c r="Y55" s="62">
        <f t="shared" si="13"/>
        <v>488235.29411764705</v>
      </c>
      <c r="Z55" s="62">
        <f t="shared" si="13"/>
        <v>488235.29411764705</v>
      </c>
      <c r="AA55" s="62">
        <f t="shared" si="13"/>
        <v>488235.29411764705</v>
      </c>
      <c r="AB55" s="62">
        <f t="shared" si="13"/>
        <v>488235.29411764705</v>
      </c>
      <c r="AC55" s="62">
        <f t="shared" si="13"/>
        <v>488235.29411764705</v>
      </c>
    </row>
    <row r="56" spans="1:33" x14ac:dyDescent="0.3">
      <c r="A56" s="30" t="str">
        <f>A38</f>
        <v>Opex var (mode-fees)</v>
      </c>
      <c r="B56" s="165">
        <f>B38*B47</f>
        <v>101496.22349468413</v>
      </c>
      <c r="C56" s="62">
        <f t="shared" ref="C56:AC56" si="14">C38*C47</f>
        <v>101496.22349468413</v>
      </c>
      <c r="D56" s="62">
        <f t="shared" si="14"/>
        <v>101496.22349468413</v>
      </c>
      <c r="E56" s="62">
        <f t="shared" si="14"/>
        <v>101496.22349468413</v>
      </c>
      <c r="F56" s="62">
        <f t="shared" si="14"/>
        <v>101496.22349468413</v>
      </c>
      <c r="G56" s="62">
        <f t="shared" si="14"/>
        <v>101496.22349468413</v>
      </c>
      <c r="H56" s="62">
        <f t="shared" si="14"/>
        <v>101496.22349468413</v>
      </c>
      <c r="I56" s="62">
        <f t="shared" si="14"/>
        <v>101496.22349468413</v>
      </c>
      <c r="J56" s="62">
        <f t="shared" si="14"/>
        <v>101496.22349468413</v>
      </c>
      <c r="K56" s="62">
        <f t="shared" si="14"/>
        <v>101496.22349468413</v>
      </c>
      <c r="L56" s="62">
        <f t="shared" si="14"/>
        <v>101496.22349468413</v>
      </c>
      <c r="M56" s="62">
        <f t="shared" si="14"/>
        <v>101496.22349468413</v>
      </c>
      <c r="N56" s="62">
        <f t="shared" si="14"/>
        <v>101496.22349468413</v>
      </c>
      <c r="O56" s="62">
        <f t="shared" si="14"/>
        <v>101496.22349468413</v>
      </c>
      <c r="P56" s="62">
        <f t="shared" si="14"/>
        <v>101496.22349468413</v>
      </c>
      <c r="Q56" s="62">
        <f t="shared" si="14"/>
        <v>101496.22349468413</v>
      </c>
      <c r="R56" s="62">
        <f t="shared" si="14"/>
        <v>101496.22349468413</v>
      </c>
      <c r="S56" s="62">
        <f t="shared" si="14"/>
        <v>101496.22349468413</v>
      </c>
      <c r="T56" s="62">
        <f t="shared" si="14"/>
        <v>101496.22349468413</v>
      </c>
      <c r="U56" s="62">
        <f t="shared" si="14"/>
        <v>101496.22349468413</v>
      </c>
      <c r="V56" s="62">
        <f t="shared" si="14"/>
        <v>101496.22349468413</v>
      </c>
      <c r="W56" s="62">
        <f t="shared" si="14"/>
        <v>101496.22349468413</v>
      </c>
      <c r="X56" s="62">
        <f t="shared" si="14"/>
        <v>101496.22349468413</v>
      </c>
      <c r="Y56" s="62">
        <f t="shared" si="14"/>
        <v>101496.22349468413</v>
      </c>
      <c r="Z56" s="62">
        <f t="shared" si="14"/>
        <v>101496.22349468413</v>
      </c>
      <c r="AA56" s="62">
        <f t="shared" si="14"/>
        <v>101496.22349468413</v>
      </c>
      <c r="AB56" s="62">
        <f t="shared" si="14"/>
        <v>101496.22349468413</v>
      </c>
      <c r="AC56" s="62">
        <f t="shared" si="14"/>
        <v>101496.22349468413</v>
      </c>
    </row>
    <row r="57" spans="1:33" x14ac:dyDescent="0.3">
      <c r="A57" s="30" t="str">
        <f>A40</f>
        <v>Fuel Cost</v>
      </c>
      <c r="B57" s="62">
        <f>B39*B40*B47</f>
        <v>2437507.052101518</v>
      </c>
      <c r="C57" s="62">
        <f t="shared" ref="C57:AC57" si="15">C39*C40*C47</f>
        <v>2437338.7839329462</v>
      </c>
      <c r="D57" s="62">
        <f t="shared" si="15"/>
        <v>2437097.9117975063</v>
      </c>
      <c r="E57" s="62">
        <f t="shared" si="15"/>
        <v>2436753.3272688738</v>
      </c>
      <c r="F57" s="62">
        <f t="shared" si="15"/>
        <v>2436260.8399411063</v>
      </c>
      <c r="G57" s="62">
        <f t="shared" si="15"/>
        <v>2435557.9540934572</v>
      </c>
      <c r="H57" s="62">
        <f t="shared" si="15"/>
        <v>2434556.8722096309</v>
      </c>
      <c r="I57" s="62">
        <f t="shared" si="15"/>
        <v>2433135.479441477</v>
      </c>
      <c r="J57" s="62">
        <f t="shared" si="15"/>
        <v>2431126.4773508143</v>
      </c>
      <c r="K57" s="62">
        <f t="shared" si="15"/>
        <v>2428305.8746609245</v>
      </c>
      <c r="L57" s="62">
        <f t="shared" si="15"/>
        <v>2424384.2130114948</v>
      </c>
      <c r="M57" s="62">
        <f t="shared" si="15"/>
        <v>2419007.7615997801</v>
      </c>
      <c r="N57" s="62">
        <f t="shared" si="15"/>
        <v>2411782.387019678</v>
      </c>
      <c r="O57" s="62">
        <f t="shared" si="15"/>
        <v>2402337.4266037703</v>
      </c>
      <c r="P57" s="62">
        <f t="shared" si="15"/>
        <v>2390443.0953654484</v>
      </c>
      <c r="Q57" s="62">
        <f t="shared" si="15"/>
        <v>2376170.2393062925</v>
      </c>
      <c r="R57" s="62">
        <f t="shared" si="15"/>
        <v>2360030.8697070694</v>
      </c>
      <c r="S57" s="62">
        <f t="shared" si="15"/>
        <v>2342992.6034393362</v>
      </c>
      <c r="T57" s="62">
        <f t="shared" si="15"/>
        <v>2326289.6183825689</v>
      </c>
      <c r="U57" s="62">
        <f t="shared" si="15"/>
        <v>2311084.5472785905</v>
      </c>
      <c r="V57" s="62">
        <f t="shared" si="15"/>
        <v>2298162.4020839729</v>
      </c>
      <c r="W57" s="62">
        <f t="shared" si="15"/>
        <v>2287814.0780081702</v>
      </c>
      <c r="X57" s="62">
        <f t="shared" si="15"/>
        <v>2279917.8474469348</v>
      </c>
      <c r="Y57" s="62">
        <f t="shared" si="15"/>
        <v>2274113.4847058197</v>
      </c>
      <c r="Z57" s="62">
        <f t="shared" si="15"/>
        <v>2269963.4493156904</v>
      </c>
      <c r="AA57" s="62">
        <f t="shared" si="15"/>
        <v>2267054.887382986</v>
      </c>
      <c r="AB57" s="62">
        <f t="shared" si="15"/>
        <v>2265044.8923132992</v>
      </c>
      <c r="AC57" s="62">
        <f t="shared" si="15"/>
        <v>2263669.3525252165</v>
      </c>
    </row>
    <row r="58" spans="1:33" ht="15" thickBot="1" x14ac:dyDescent="0.35">
      <c r="A58" s="59" t="str">
        <f>A21</f>
        <v>Emission Cost</v>
      </c>
      <c r="B58" s="62">
        <f>B41*B47</f>
        <v>2192040.4269286273</v>
      </c>
      <c r="C58" s="62">
        <f t="shared" ref="C58:AC58" si="16">C41*C47</f>
        <v>2196694.8550776178</v>
      </c>
      <c r="D58" s="62">
        <f t="shared" si="16"/>
        <v>2203357.5653038691</v>
      </c>
      <c r="E58" s="62">
        <f t="shared" si="16"/>
        <v>2212889.0408252501</v>
      </c>
      <c r="F58" s="62">
        <f t="shared" si="16"/>
        <v>2226511.622569799</v>
      </c>
      <c r="G58" s="62">
        <f t="shared" si="16"/>
        <v>2245953.9906812669</v>
      </c>
      <c r="H58" s="62">
        <f t="shared" si="16"/>
        <v>2273644.6926069986</v>
      </c>
      <c r="I58" s="62">
        <f t="shared" si="16"/>
        <v>2312961.5198299005</v>
      </c>
      <c r="J58" s="62">
        <f t="shared" si="16"/>
        <v>2368532.0770035987</v>
      </c>
      <c r="K58" s="62">
        <f t="shared" si="16"/>
        <v>2446552.1366995717</v>
      </c>
      <c r="L58" s="62">
        <f t="shared" si="16"/>
        <v>2555028.3418356678</v>
      </c>
      <c r="M58" s="62">
        <f t="shared" si="16"/>
        <v>2703745.1609743489</v>
      </c>
      <c r="N58" s="62">
        <f t="shared" si="16"/>
        <v>2903604.6300466633</v>
      </c>
      <c r="O58" s="62">
        <f t="shared" si="16"/>
        <v>3164859.5661340822</v>
      </c>
      <c r="P58" s="62">
        <f t="shared" si="16"/>
        <v>3493866.0003206055</v>
      </c>
      <c r="Q58" s="62">
        <f t="shared" si="16"/>
        <v>3888664.277213261</v>
      </c>
      <c r="R58" s="62">
        <f t="shared" si="16"/>
        <v>4335091.767373505</v>
      </c>
      <c r="S58" s="62">
        <f t="shared" si="16"/>
        <v>4806383.437089771</v>
      </c>
      <c r="T58" s="62">
        <f t="shared" si="16"/>
        <v>5268400.9682723647</v>
      </c>
      <c r="U58" s="62">
        <f t="shared" si="16"/>
        <v>5688985.0368709024</v>
      </c>
      <c r="V58" s="62">
        <f t="shared" si="16"/>
        <v>6046421.6028565438</v>
      </c>
      <c r="W58" s="62">
        <f t="shared" si="16"/>
        <v>6332664.2789489012</v>
      </c>
      <c r="X58" s="62">
        <f t="shared" si="16"/>
        <v>6551080.1451639356</v>
      </c>
      <c r="Y58" s="62">
        <f t="shared" si="16"/>
        <v>6711633.3238097783</v>
      </c>
      <c r="Z58" s="62">
        <f t="shared" si="16"/>
        <v>6826426.5238726102</v>
      </c>
      <c r="AA58" s="62">
        <f t="shared" si="16"/>
        <v>6906879.6044969875</v>
      </c>
      <c r="AB58" s="62">
        <f t="shared" si="16"/>
        <v>6962477.6282412307</v>
      </c>
      <c r="AC58" s="62">
        <f t="shared" si="16"/>
        <v>7000526.1264452087</v>
      </c>
    </row>
    <row r="59" spans="1:33" ht="15" thickBot="1" x14ac:dyDescent="0.35">
      <c r="A59" s="31" t="s">
        <v>209</v>
      </c>
      <c r="B59" s="64">
        <f>B50+B51+B52+B53+B54+B55+B56+B57+B58</f>
        <v>7554107.8873571157</v>
      </c>
      <c r="C59" s="64">
        <f t="shared" ref="C59:AC59" si="17">C50+C51+C52+C53+C54+C55+C56+C57+C58</f>
        <v>7558649.792808664</v>
      </c>
      <c r="D59" s="64">
        <f t="shared" si="17"/>
        <v>7565151.4292997681</v>
      </c>
      <c r="E59" s="64">
        <f t="shared" si="17"/>
        <v>7574452.4775158092</v>
      </c>
      <c r="F59" s="64">
        <f t="shared" si="17"/>
        <v>7587745.727794718</v>
      </c>
      <c r="G59" s="64">
        <f t="shared" si="17"/>
        <v>7606718.0687332358</v>
      </c>
      <c r="H59" s="64">
        <f t="shared" si="17"/>
        <v>7633739.3366543995</v>
      </c>
      <c r="I59" s="64">
        <f t="shared" si="17"/>
        <v>7672105.6635553781</v>
      </c>
      <c r="J59" s="64">
        <f t="shared" si="17"/>
        <v>7726332.7798612844</v>
      </c>
      <c r="K59" s="64">
        <f t="shared" si="17"/>
        <v>7802466.6728165597</v>
      </c>
      <c r="L59" s="64">
        <f t="shared" si="17"/>
        <v>7908320.4214833565</v>
      </c>
      <c r="M59" s="64">
        <f t="shared" si="17"/>
        <v>8053441.9509089189</v>
      </c>
      <c r="N59" s="64">
        <f t="shared" si="17"/>
        <v>8248469.735862473</v>
      </c>
      <c r="O59" s="64">
        <f t="shared" si="17"/>
        <v>8503408.7273939475</v>
      </c>
      <c r="P59" s="64">
        <f t="shared" si="17"/>
        <v>8824461.2969454471</v>
      </c>
      <c r="Q59" s="64">
        <f t="shared" si="17"/>
        <v>9209715.164591793</v>
      </c>
      <c r="R59" s="64">
        <f t="shared" si="17"/>
        <v>9645350.0882331878</v>
      </c>
      <c r="S59" s="64">
        <f t="shared" si="17"/>
        <v>10105248.089756288</v>
      </c>
      <c r="T59" s="64">
        <f t="shared" si="17"/>
        <v>10556096.1588245</v>
      </c>
      <c r="U59" s="64">
        <f t="shared" si="17"/>
        <v>10966512.436153084</v>
      </c>
      <c r="V59" s="64">
        <f t="shared" si="17"/>
        <v>11315307.827480584</v>
      </c>
      <c r="W59" s="64">
        <f t="shared" si="17"/>
        <v>11594630.470218474</v>
      </c>
      <c r="X59" s="64">
        <f t="shared" si="17"/>
        <v>11807766.043851051</v>
      </c>
      <c r="Y59" s="64">
        <f t="shared" si="17"/>
        <v>11964437.783968709</v>
      </c>
      <c r="Z59" s="64">
        <f t="shared" si="17"/>
        <v>12076455.811635358</v>
      </c>
      <c r="AA59" s="64">
        <f t="shared" si="17"/>
        <v>12154963.906246502</v>
      </c>
      <c r="AB59" s="64">
        <f t="shared" si="17"/>
        <v>12209217.825107418</v>
      </c>
      <c r="AC59" s="64">
        <f t="shared" si="17"/>
        <v>12246346.485360418</v>
      </c>
    </row>
    <row r="60" spans="1:33" ht="15" thickBot="1" x14ac:dyDescent="0.35">
      <c r="AC60" s="32"/>
      <c r="AG60" s="4">
        <f>2600000/1.5</f>
        <v>1733333.3333333333</v>
      </c>
    </row>
    <row r="61" spans="1:33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  <c r="AG61" s="40">
        <f>AG60+B50+B51+B52+B53+B57</f>
        <v>5297433.9820318427</v>
      </c>
    </row>
    <row r="62" spans="1:33" x14ac:dyDescent="0.3">
      <c r="A62" s="29" t="str">
        <f t="shared" ref="A62:A69" si="18">A50</f>
        <v>Capex vehicle</v>
      </c>
      <c r="B62" s="65">
        <f>((1+B35)^B42)*B35/(((1+B35)^B42)-1)*(B31)/B47</f>
        <v>9.7783397765342439</v>
      </c>
      <c r="C62" s="65">
        <f t="shared" ref="C62:AC62" si="19">((1+C35)^C42)*C35/(((1+C35)^C42)-1)*(C31)/C47</f>
        <v>9.7783397765342439</v>
      </c>
      <c r="D62" s="65">
        <f t="shared" si="19"/>
        <v>9.7783397765342439</v>
      </c>
      <c r="E62" s="65">
        <f t="shared" si="19"/>
        <v>9.7783397765342439</v>
      </c>
      <c r="F62" s="65">
        <f t="shared" si="19"/>
        <v>9.7783397765342439</v>
      </c>
      <c r="G62" s="65">
        <f t="shared" si="19"/>
        <v>9.7783397765342439</v>
      </c>
      <c r="H62" s="65">
        <f t="shared" si="19"/>
        <v>9.7783397765342439</v>
      </c>
      <c r="I62" s="65">
        <f t="shared" si="19"/>
        <v>9.7783397765342439</v>
      </c>
      <c r="J62" s="65">
        <f t="shared" si="19"/>
        <v>9.7783397765342439</v>
      </c>
      <c r="K62" s="65">
        <f t="shared" si="19"/>
        <v>9.7783397765342439</v>
      </c>
      <c r="L62" s="65">
        <f t="shared" si="19"/>
        <v>9.7783397765342439</v>
      </c>
      <c r="M62" s="65">
        <f t="shared" si="19"/>
        <v>9.7783397765342439</v>
      </c>
      <c r="N62" s="65">
        <f t="shared" si="19"/>
        <v>9.7783397765342439</v>
      </c>
      <c r="O62" s="65">
        <f t="shared" si="19"/>
        <v>9.7783397765342439</v>
      </c>
      <c r="P62" s="65">
        <f t="shared" si="19"/>
        <v>9.7783397765342439</v>
      </c>
      <c r="Q62" s="65">
        <f t="shared" si="19"/>
        <v>9.7783397765342439</v>
      </c>
      <c r="R62" s="65">
        <f t="shared" si="19"/>
        <v>9.7783397765342439</v>
      </c>
      <c r="S62" s="65">
        <f t="shared" si="19"/>
        <v>9.7783397765342439</v>
      </c>
      <c r="T62" s="65">
        <f t="shared" si="19"/>
        <v>9.7783397765342439</v>
      </c>
      <c r="U62" s="65">
        <f t="shared" si="19"/>
        <v>9.7783397765342439</v>
      </c>
      <c r="V62" s="65">
        <f t="shared" si="19"/>
        <v>9.7783397765342439</v>
      </c>
      <c r="W62" s="65">
        <f t="shared" si="19"/>
        <v>9.7783397765342439</v>
      </c>
      <c r="X62" s="65">
        <f t="shared" si="19"/>
        <v>9.7783397765342439</v>
      </c>
      <c r="Y62" s="65">
        <f t="shared" si="19"/>
        <v>9.7783397765342439</v>
      </c>
      <c r="Z62" s="65">
        <f t="shared" si="19"/>
        <v>9.7783397765342439</v>
      </c>
      <c r="AA62" s="65">
        <f t="shared" si="19"/>
        <v>9.7783397765342439</v>
      </c>
      <c r="AB62" s="65">
        <f t="shared" si="19"/>
        <v>9.7783397765342439</v>
      </c>
      <c r="AC62" s="65">
        <f t="shared" si="19"/>
        <v>9.7783397765342439</v>
      </c>
      <c r="AG62" s="4">
        <f>AG61/B27</f>
        <v>44.145283183598686</v>
      </c>
    </row>
    <row r="63" spans="1:33" x14ac:dyDescent="0.3">
      <c r="A63" s="30" t="str">
        <f t="shared" si="18"/>
        <v>Residual value (vehicle)</v>
      </c>
      <c r="B63" s="66">
        <f>((1+B35)^B42)*B35/(((1+B35)^B42)-1)*(B32)/B47</f>
        <v>-0.97676019148470272</v>
      </c>
      <c r="C63" s="66">
        <f t="shared" ref="C63:AC63" si="20">((1+C35)^C42)*C35/(((1+C35)^C42)-1)*(C32)/C47</f>
        <v>-0.97629564589195228</v>
      </c>
      <c r="D63" s="66">
        <f t="shared" si="20"/>
        <v>-0.97563065922284864</v>
      </c>
      <c r="E63" s="66">
        <f t="shared" si="20"/>
        <v>-0.97467934902874298</v>
      </c>
      <c r="F63" s="66">
        <f t="shared" si="20"/>
        <v>-0.97331971684434948</v>
      </c>
      <c r="G63" s="66">
        <f t="shared" si="20"/>
        <v>-0.97137922788852038</v>
      </c>
      <c r="H63" s="66">
        <f t="shared" si="20"/>
        <v>-0.96861549556136939</v>
      </c>
      <c r="I63" s="66">
        <f t="shared" si="20"/>
        <v>-0.96469139184278574</v>
      </c>
      <c r="J63" s="66">
        <f t="shared" si="20"/>
        <v>-0.95914504831885961</v>
      </c>
      <c r="K63" s="66">
        <f t="shared" si="20"/>
        <v>-0.95135808207559314</v>
      </c>
      <c r="L63" s="66">
        <f t="shared" si="20"/>
        <v>-0.94053137224117322</v>
      </c>
      <c r="M63" s="66">
        <f t="shared" si="20"/>
        <v>-0.92568835808620409</v>
      </c>
      <c r="N63" s="66">
        <f t="shared" si="20"/>
        <v>-0.90574093757501994</v>
      </c>
      <c r="O63" s="66">
        <f t="shared" si="20"/>
        <v>-0.87966580540866446</v>
      </c>
      <c r="P63" s="66">
        <f t="shared" si="20"/>
        <v>-0.84682858371450898</v>
      </c>
      <c r="Q63" s="66">
        <f t="shared" si="20"/>
        <v>-0.80742486027411864</v>
      </c>
      <c r="R63" s="66">
        <f t="shared" si="20"/>
        <v>-0.7628681679376812</v>
      </c>
      <c r="S63" s="66">
        <f t="shared" si="20"/>
        <v>-0.71582985064961269</v>
      </c>
      <c r="T63" s="66">
        <f t="shared" si="20"/>
        <v>-0.66971715946306853</v>
      </c>
      <c r="U63" s="66">
        <f t="shared" si="20"/>
        <v>-0.62773982751286628</v>
      </c>
      <c r="V63" s="66">
        <f t="shared" si="20"/>
        <v>-0.59206507304221667</v>
      </c>
      <c r="W63" s="66">
        <f t="shared" si="20"/>
        <v>-0.56349598369776865</v>
      </c>
      <c r="X63" s="66">
        <f t="shared" si="20"/>
        <v>-0.54169650054128426</v>
      </c>
      <c r="Y63" s="66">
        <f t="shared" si="20"/>
        <v>-0.52567213210019181</v>
      </c>
      <c r="Z63" s="66">
        <f t="shared" si="20"/>
        <v>-0.51421494048397043</v>
      </c>
      <c r="AA63" s="66">
        <f t="shared" si="20"/>
        <v>-0.50618514115505298</v>
      </c>
      <c r="AB63" s="66">
        <f t="shared" si="20"/>
        <v>-0.50063605626873253</v>
      </c>
      <c r="AC63" s="66">
        <f t="shared" si="20"/>
        <v>-0.49683854095951707</v>
      </c>
    </row>
    <row r="64" spans="1:33" x14ac:dyDescent="0.3">
      <c r="A64" s="30" t="str">
        <f t="shared" si="18"/>
        <v>Capex costumization</v>
      </c>
      <c r="B64" s="66">
        <f>((1+B35)^B43)*B35/(((1+B35)^B43)-1)*(B33)/B47</f>
        <v>0.65188931843561626</v>
      </c>
      <c r="C64" s="66">
        <f t="shared" ref="C64:AC64" si="21">((1+C35)^C43)*C35/(((1+C35)^C43)-1)*(C33)/C47</f>
        <v>0.65188931843561626</v>
      </c>
      <c r="D64" s="66">
        <f t="shared" si="21"/>
        <v>0.65188931843561626</v>
      </c>
      <c r="E64" s="66">
        <f t="shared" si="21"/>
        <v>0.65188931843561626</v>
      </c>
      <c r="F64" s="66">
        <f t="shared" si="21"/>
        <v>0.65188931843561626</v>
      </c>
      <c r="G64" s="66">
        <f t="shared" si="21"/>
        <v>0.65188931843561626</v>
      </c>
      <c r="H64" s="66">
        <f t="shared" si="21"/>
        <v>0.65188931843561626</v>
      </c>
      <c r="I64" s="66">
        <f t="shared" si="21"/>
        <v>0.65188931843561626</v>
      </c>
      <c r="J64" s="66">
        <f t="shared" si="21"/>
        <v>0.65188931843561626</v>
      </c>
      <c r="K64" s="66">
        <f t="shared" si="21"/>
        <v>0.65188931843561626</v>
      </c>
      <c r="L64" s="66">
        <f t="shared" si="21"/>
        <v>0.65188931843561626</v>
      </c>
      <c r="M64" s="66">
        <f t="shared" si="21"/>
        <v>0.65188931843561626</v>
      </c>
      <c r="N64" s="66">
        <f t="shared" si="21"/>
        <v>0.65188931843561626</v>
      </c>
      <c r="O64" s="66">
        <f t="shared" si="21"/>
        <v>0.65188931843561626</v>
      </c>
      <c r="P64" s="66">
        <f t="shared" si="21"/>
        <v>0.65188931843561626</v>
      </c>
      <c r="Q64" s="66">
        <f t="shared" si="21"/>
        <v>0.65188931843561626</v>
      </c>
      <c r="R64" s="66">
        <f t="shared" si="21"/>
        <v>0.65188931843561626</v>
      </c>
      <c r="S64" s="66">
        <f t="shared" si="21"/>
        <v>0.65188931843561626</v>
      </c>
      <c r="T64" s="66">
        <f t="shared" si="21"/>
        <v>0.65188931843561626</v>
      </c>
      <c r="U64" s="66">
        <f t="shared" si="21"/>
        <v>0.65188931843561626</v>
      </c>
      <c r="V64" s="66">
        <f t="shared" si="21"/>
        <v>0.65188931843561626</v>
      </c>
      <c r="W64" s="66">
        <f t="shared" si="21"/>
        <v>0.65188931843561626</v>
      </c>
      <c r="X64" s="66">
        <f t="shared" si="21"/>
        <v>0.65188931843561626</v>
      </c>
      <c r="Y64" s="66">
        <f t="shared" si="21"/>
        <v>0.65188931843561626</v>
      </c>
      <c r="Z64" s="66">
        <f t="shared" si="21"/>
        <v>0.65188931843561626</v>
      </c>
      <c r="AA64" s="66">
        <f t="shared" si="21"/>
        <v>0.65188931843561626</v>
      </c>
      <c r="AB64" s="66">
        <f t="shared" si="21"/>
        <v>0.65188931843561626</v>
      </c>
      <c r="AC64" s="66">
        <f t="shared" si="21"/>
        <v>0.65188931843561626</v>
      </c>
    </row>
    <row r="65" spans="1:29" x14ac:dyDescent="0.3">
      <c r="A65" s="30" t="str">
        <f t="shared" si="18"/>
        <v>Residual value (costumization)</v>
      </c>
      <c r="B65" s="66">
        <f>((1+B35)^B43)*B35/(((1+B35)^B43)-1)*(B34)/B47</f>
        <v>-6.5188931843561615E-2</v>
      </c>
      <c r="C65" s="66">
        <f t="shared" ref="C65:AC65" si="22">((1+C35)^C43)*C35/(((1+C35)^C43)-1)*(C34)/C47</f>
        <v>-6.5188931843561615E-2</v>
      </c>
      <c r="D65" s="66">
        <f t="shared" si="22"/>
        <v>-6.5188931843561615E-2</v>
      </c>
      <c r="E65" s="66">
        <f t="shared" si="22"/>
        <v>-6.5188931843561615E-2</v>
      </c>
      <c r="F65" s="66">
        <f t="shared" si="22"/>
        <v>-6.5188931843561615E-2</v>
      </c>
      <c r="G65" s="66">
        <f t="shared" si="22"/>
        <v>-6.5188931843561615E-2</v>
      </c>
      <c r="H65" s="66">
        <f t="shared" si="22"/>
        <v>-6.5188931843561615E-2</v>
      </c>
      <c r="I65" s="66">
        <f t="shared" si="22"/>
        <v>-6.5188931843561615E-2</v>
      </c>
      <c r="J65" s="66">
        <f t="shared" si="22"/>
        <v>-6.5188931843561615E-2</v>
      </c>
      <c r="K65" s="66">
        <f t="shared" si="22"/>
        <v>-6.5188931843561615E-2</v>
      </c>
      <c r="L65" s="66">
        <f t="shared" si="22"/>
        <v>-6.5188931843561615E-2</v>
      </c>
      <c r="M65" s="66">
        <f t="shared" si="22"/>
        <v>-6.5188931843561615E-2</v>
      </c>
      <c r="N65" s="66">
        <f t="shared" si="22"/>
        <v>-6.5188931843561615E-2</v>
      </c>
      <c r="O65" s="66">
        <f t="shared" si="22"/>
        <v>-6.5188931843561615E-2</v>
      </c>
      <c r="P65" s="66">
        <f t="shared" si="22"/>
        <v>-6.5188931843561615E-2</v>
      </c>
      <c r="Q65" s="66">
        <f t="shared" si="22"/>
        <v>-6.5188931843561615E-2</v>
      </c>
      <c r="R65" s="66">
        <f t="shared" si="22"/>
        <v>-6.5188931843561615E-2</v>
      </c>
      <c r="S65" s="66">
        <f t="shared" si="22"/>
        <v>-6.5188931843561615E-2</v>
      </c>
      <c r="T65" s="66">
        <f t="shared" si="22"/>
        <v>-6.5188931843561615E-2</v>
      </c>
      <c r="U65" s="66">
        <f t="shared" si="22"/>
        <v>-6.5188931843561615E-2</v>
      </c>
      <c r="V65" s="66">
        <f t="shared" si="22"/>
        <v>-6.5188931843561615E-2</v>
      </c>
      <c r="W65" s="66">
        <f t="shared" si="22"/>
        <v>-6.5188931843561615E-2</v>
      </c>
      <c r="X65" s="66">
        <f t="shared" si="22"/>
        <v>-6.5188931843561615E-2</v>
      </c>
      <c r="Y65" s="66">
        <f t="shared" si="22"/>
        <v>-6.5188931843561615E-2</v>
      </c>
      <c r="Z65" s="66">
        <f t="shared" si="22"/>
        <v>-6.5188931843561615E-2</v>
      </c>
      <c r="AA65" s="66">
        <f t="shared" si="22"/>
        <v>-6.5188931843561615E-2</v>
      </c>
      <c r="AB65" s="66">
        <f t="shared" si="22"/>
        <v>-6.5188931843561615E-2</v>
      </c>
      <c r="AC65" s="66">
        <f t="shared" si="22"/>
        <v>-6.5188931843561615E-2</v>
      </c>
    </row>
    <row r="66" spans="1:29" x14ac:dyDescent="0.3">
      <c r="A66" s="30" t="str">
        <f t="shared" si="18"/>
        <v>Opex fix (admin, crew, insurance)</v>
      </c>
      <c r="B66" s="66">
        <f>B36/B47</f>
        <v>10.068627450980392</v>
      </c>
      <c r="C66" s="66">
        <f t="shared" ref="C66:AC66" si="23">C36/C47</f>
        <v>10.068627450980392</v>
      </c>
      <c r="D66" s="66">
        <f t="shared" si="23"/>
        <v>10.068627450980392</v>
      </c>
      <c r="E66" s="66">
        <f t="shared" si="23"/>
        <v>10.068627450980392</v>
      </c>
      <c r="F66" s="66">
        <f t="shared" si="23"/>
        <v>10.068627450980392</v>
      </c>
      <c r="G66" s="66">
        <f t="shared" si="23"/>
        <v>10.068627450980392</v>
      </c>
      <c r="H66" s="66">
        <f t="shared" si="23"/>
        <v>10.068627450980392</v>
      </c>
      <c r="I66" s="66">
        <f t="shared" si="23"/>
        <v>10.068627450980392</v>
      </c>
      <c r="J66" s="66">
        <f t="shared" si="23"/>
        <v>10.068627450980392</v>
      </c>
      <c r="K66" s="66">
        <f t="shared" si="23"/>
        <v>10.068627450980392</v>
      </c>
      <c r="L66" s="66">
        <f t="shared" si="23"/>
        <v>10.068627450980392</v>
      </c>
      <c r="M66" s="66">
        <f t="shared" si="23"/>
        <v>10.068627450980392</v>
      </c>
      <c r="N66" s="66">
        <f t="shared" si="23"/>
        <v>10.068627450980392</v>
      </c>
      <c r="O66" s="66">
        <f t="shared" si="23"/>
        <v>10.068627450980392</v>
      </c>
      <c r="P66" s="66">
        <f t="shared" si="23"/>
        <v>10.068627450980392</v>
      </c>
      <c r="Q66" s="66">
        <f t="shared" si="23"/>
        <v>10.068627450980392</v>
      </c>
      <c r="R66" s="66">
        <f t="shared" si="23"/>
        <v>10.068627450980392</v>
      </c>
      <c r="S66" s="66">
        <f t="shared" si="23"/>
        <v>10.068627450980392</v>
      </c>
      <c r="T66" s="66">
        <f t="shared" si="23"/>
        <v>10.068627450980392</v>
      </c>
      <c r="U66" s="66">
        <f t="shared" si="23"/>
        <v>10.068627450980392</v>
      </c>
      <c r="V66" s="66">
        <f t="shared" si="23"/>
        <v>10.068627450980392</v>
      </c>
      <c r="W66" s="66">
        <f t="shared" si="23"/>
        <v>10.068627450980392</v>
      </c>
      <c r="X66" s="66">
        <f t="shared" si="23"/>
        <v>10.068627450980392</v>
      </c>
      <c r="Y66" s="66">
        <f t="shared" si="23"/>
        <v>10.068627450980392</v>
      </c>
      <c r="Z66" s="66">
        <f t="shared" si="23"/>
        <v>10.068627450980392</v>
      </c>
      <c r="AA66" s="66">
        <f t="shared" si="23"/>
        <v>10.068627450980392</v>
      </c>
      <c r="AB66" s="66">
        <f t="shared" si="23"/>
        <v>10.068627450980392</v>
      </c>
      <c r="AC66" s="66">
        <f t="shared" si="23"/>
        <v>10.068627450980392</v>
      </c>
    </row>
    <row r="67" spans="1:29" x14ac:dyDescent="0.3">
      <c r="A67" s="30" t="str">
        <f t="shared" si="18"/>
        <v>Opex maintenance &amp; repair</v>
      </c>
      <c r="B67" s="66">
        <f>B37/B47</f>
        <v>4.0686274509803919</v>
      </c>
      <c r="C67" s="66">
        <f t="shared" ref="C67:AC67" si="24">C37/C47</f>
        <v>4.0686274509803919</v>
      </c>
      <c r="D67" s="66">
        <f t="shared" si="24"/>
        <v>4.0686274509803919</v>
      </c>
      <c r="E67" s="66">
        <f t="shared" si="24"/>
        <v>4.0686274509803919</v>
      </c>
      <c r="F67" s="66">
        <f t="shared" si="24"/>
        <v>4.0686274509803919</v>
      </c>
      <c r="G67" s="66">
        <f t="shared" si="24"/>
        <v>4.0686274509803919</v>
      </c>
      <c r="H67" s="66">
        <f t="shared" si="24"/>
        <v>4.0686274509803919</v>
      </c>
      <c r="I67" s="66">
        <f t="shared" si="24"/>
        <v>4.0686274509803919</v>
      </c>
      <c r="J67" s="66">
        <f t="shared" si="24"/>
        <v>4.0686274509803919</v>
      </c>
      <c r="K67" s="66">
        <f t="shared" si="24"/>
        <v>4.0686274509803919</v>
      </c>
      <c r="L67" s="66">
        <f t="shared" si="24"/>
        <v>4.0686274509803919</v>
      </c>
      <c r="M67" s="66">
        <f t="shared" si="24"/>
        <v>4.0686274509803919</v>
      </c>
      <c r="N67" s="66">
        <f t="shared" si="24"/>
        <v>4.0686274509803919</v>
      </c>
      <c r="O67" s="66">
        <f t="shared" si="24"/>
        <v>4.0686274509803919</v>
      </c>
      <c r="P67" s="66">
        <f t="shared" si="24"/>
        <v>4.0686274509803919</v>
      </c>
      <c r="Q67" s="66">
        <f t="shared" si="24"/>
        <v>4.0686274509803919</v>
      </c>
      <c r="R67" s="66">
        <f t="shared" si="24"/>
        <v>4.0686274509803919</v>
      </c>
      <c r="S67" s="66">
        <f t="shared" si="24"/>
        <v>4.0686274509803919</v>
      </c>
      <c r="T67" s="66">
        <f t="shared" si="24"/>
        <v>4.0686274509803919</v>
      </c>
      <c r="U67" s="66">
        <f t="shared" si="24"/>
        <v>4.0686274509803919</v>
      </c>
      <c r="V67" s="66">
        <f t="shared" si="24"/>
        <v>4.0686274509803919</v>
      </c>
      <c r="W67" s="66">
        <f t="shared" si="24"/>
        <v>4.0686274509803919</v>
      </c>
      <c r="X67" s="66">
        <f t="shared" si="24"/>
        <v>4.0686274509803919</v>
      </c>
      <c r="Y67" s="66">
        <f t="shared" si="24"/>
        <v>4.0686274509803919</v>
      </c>
      <c r="Z67" s="66">
        <f t="shared" si="24"/>
        <v>4.0686274509803919</v>
      </c>
      <c r="AA67" s="66">
        <f t="shared" si="24"/>
        <v>4.0686274509803919</v>
      </c>
      <c r="AB67" s="66">
        <f t="shared" si="24"/>
        <v>4.0686274509803919</v>
      </c>
      <c r="AC67" s="66">
        <f t="shared" si="24"/>
        <v>4.0686274509803919</v>
      </c>
    </row>
    <row r="68" spans="1:29" x14ac:dyDescent="0.3">
      <c r="A68" s="30" t="str">
        <f t="shared" si="18"/>
        <v>Opex var (mode-fees)</v>
      </c>
      <c r="B68" s="66">
        <f>B38*B47/B47</f>
        <v>0.8458018624557011</v>
      </c>
      <c r="C68" s="66">
        <f t="shared" ref="C68:AC68" si="25">C38*C47/C47</f>
        <v>0.8458018624557011</v>
      </c>
      <c r="D68" s="66">
        <f t="shared" si="25"/>
        <v>0.8458018624557011</v>
      </c>
      <c r="E68" s="66">
        <f t="shared" si="25"/>
        <v>0.8458018624557011</v>
      </c>
      <c r="F68" s="66">
        <f t="shared" si="25"/>
        <v>0.8458018624557011</v>
      </c>
      <c r="G68" s="66">
        <f t="shared" si="25"/>
        <v>0.8458018624557011</v>
      </c>
      <c r="H68" s="66">
        <f t="shared" si="25"/>
        <v>0.8458018624557011</v>
      </c>
      <c r="I68" s="66">
        <f t="shared" si="25"/>
        <v>0.8458018624557011</v>
      </c>
      <c r="J68" s="66">
        <f t="shared" si="25"/>
        <v>0.8458018624557011</v>
      </c>
      <c r="K68" s="66">
        <f t="shared" si="25"/>
        <v>0.8458018624557011</v>
      </c>
      <c r="L68" s="66">
        <f t="shared" si="25"/>
        <v>0.8458018624557011</v>
      </c>
      <c r="M68" s="66">
        <f t="shared" si="25"/>
        <v>0.8458018624557011</v>
      </c>
      <c r="N68" s="66">
        <f t="shared" si="25"/>
        <v>0.8458018624557011</v>
      </c>
      <c r="O68" s="66">
        <f t="shared" si="25"/>
        <v>0.8458018624557011</v>
      </c>
      <c r="P68" s="66">
        <f t="shared" si="25"/>
        <v>0.8458018624557011</v>
      </c>
      <c r="Q68" s="66">
        <f t="shared" si="25"/>
        <v>0.8458018624557011</v>
      </c>
      <c r="R68" s="66">
        <f t="shared" si="25"/>
        <v>0.8458018624557011</v>
      </c>
      <c r="S68" s="66">
        <f t="shared" si="25"/>
        <v>0.8458018624557011</v>
      </c>
      <c r="T68" s="66">
        <f t="shared" si="25"/>
        <v>0.8458018624557011</v>
      </c>
      <c r="U68" s="66">
        <f t="shared" si="25"/>
        <v>0.8458018624557011</v>
      </c>
      <c r="V68" s="66">
        <f t="shared" si="25"/>
        <v>0.8458018624557011</v>
      </c>
      <c r="W68" s="66">
        <f t="shared" si="25"/>
        <v>0.8458018624557011</v>
      </c>
      <c r="X68" s="66">
        <f t="shared" si="25"/>
        <v>0.8458018624557011</v>
      </c>
      <c r="Y68" s="66">
        <f t="shared" si="25"/>
        <v>0.8458018624557011</v>
      </c>
      <c r="Z68" s="66">
        <f t="shared" si="25"/>
        <v>0.8458018624557011</v>
      </c>
      <c r="AA68" s="66">
        <f t="shared" si="25"/>
        <v>0.8458018624557011</v>
      </c>
      <c r="AB68" s="66">
        <f t="shared" si="25"/>
        <v>0.8458018624557011</v>
      </c>
      <c r="AC68" s="66">
        <f t="shared" si="25"/>
        <v>0.8458018624557011</v>
      </c>
    </row>
    <row r="69" spans="1:29" x14ac:dyDescent="0.3">
      <c r="A69" s="30" t="str">
        <f t="shared" si="18"/>
        <v>Fuel Cost</v>
      </c>
      <c r="B69" s="66">
        <f>B39*B40*B47/B47</f>
        <v>20.312558767512652</v>
      </c>
      <c r="C69" s="66">
        <f t="shared" ref="C69:AC69" si="26">C39*C40*C47/C47</f>
        <v>20.31115653277455</v>
      </c>
      <c r="D69" s="66">
        <f t="shared" si="26"/>
        <v>20.309149264979219</v>
      </c>
      <c r="E69" s="66">
        <f t="shared" si="26"/>
        <v>20.306277727240616</v>
      </c>
      <c r="F69" s="66">
        <f t="shared" si="26"/>
        <v>20.302173666175886</v>
      </c>
      <c r="G69" s="66">
        <f t="shared" si="26"/>
        <v>20.296316284112145</v>
      </c>
      <c r="H69" s="66">
        <f t="shared" si="26"/>
        <v>20.287973935080256</v>
      </c>
      <c r="I69" s="66">
        <f t="shared" si="26"/>
        <v>20.276128995345641</v>
      </c>
      <c r="J69" s="66">
        <f t="shared" si="26"/>
        <v>20.259387311256784</v>
      </c>
      <c r="K69" s="66">
        <f t="shared" si="26"/>
        <v>20.235882288841037</v>
      </c>
      <c r="L69" s="66">
        <f t="shared" si="26"/>
        <v>20.203201775095792</v>
      </c>
      <c r="M69" s="66">
        <f t="shared" si="26"/>
        <v>20.158398013331499</v>
      </c>
      <c r="N69" s="66">
        <f t="shared" si="26"/>
        <v>20.098186558497318</v>
      </c>
      <c r="O69" s="66">
        <f t="shared" si="26"/>
        <v>20.019478555031419</v>
      </c>
      <c r="P69" s="66">
        <f t="shared" si="26"/>
        <v>19.920359128045405</v>
      </c>
      <c r="Q69" s="66">
        <f t="shared" si="26"/>
        <v>19.801418660885769</v>
      </c>
      <c r="R69" s="66">
        <f t="shared" si="26"/>
        <v>19.666923914225578</v>
      </c>
      <c r="S69" s="66">
        <f t="shared" si="26"/>
        <v>19.524938361994469</v>
      </c>
      <c r="T69" s="66">
        <f t="shared" si="26"/>
        <v>19.385746819854742</v>
      </c>
      <c r="U69" s="66">
        <f t="shared" si="26"/>
        <v>19.259037893988253</v>
      </c>
      <c r="V69" s="66">
        <f t="shared" si="26"/>
        <v>19.151353350699775</v>
      </c>
      <c r="W69" s="66">
        <f t="shared" si="26"/>
        <v>19.065117316734753</v>
      </c>
      <c r="X69" s="66">
        <f t="shared" si="26"/>
        <v>18.999315395391122</v>
      </c>
      <c r="Y69" s="66">
        <f t="shared" si="26"/>
        <v>18.950945705881832</v>
      </c>
      <c r="Z69" s="66">
        <f t="shared" si="26"/>
        <v>18.916362077630755</v>
      </c>
      <c r="AA69" s="66">
        <f t="shared" si="26"/>
        <v>18.892124061524882</v>
      </c>
      <c r="AB69" s="66">
        <f t="shared" si="26"/>
        <v>18.875374102610827</v>
      </c>
      <c r="AC69" s="66">
        <f t="shared" si="26"/>
        <v>18.86391127104347</v>
      </c>
    </row>
    <row r="70" spans="1:29" ht="15" thickBot="1" x14ac:dyDescent="0.35">
      <c r="A70" s="59" t="str">
        <f>A21</f>
        <v>Emission Cost</v>
      </c>
      <c r="B70" s="66">
        <f>B41</f>
        <v>18.267003557738562</v>
      </c>
      <c r="C70" s="66">
        <f t="shared" ref="C70:AC70" si="27">C41</f>
        <v>18.305790458980148</v>
      </c>
      <c r="D70" s="66">
        <f t="shared" si="27"/>
        <v>18.361313044198909</v>
      </c>
      <c r="E70" s="66">
        <f t="shared" si="27"/>
        <v>18.440742006877084</v>
      </c>
      <c r="F70" s="66">
        <f t="shared" si="27"/>
        <v>18.554263521414992</v>
      </c>
      <c r="G70" s="66">
        <f t="shared" si="27"/>
        <v>18.716283255677226</v>
      </c>
      <c r="H70" s="66">
        <f t="shared" si="27"/>
        <v>18.947039105058323</v>
      </c>
      <c r="I70" s="66">
        <f t="shared" si="27"/>
        <v>19.274679331915838</v>
      </c>
      <c r="J70" s="66">
        <f t="shared" si="27"/>
        <v>19.737767308363324</v>
      </c>
      <c r="K70" s="66">
        <f t="shared" si="27"/>
        <v>20.387934472496433</v>
      </c>
      <c r="L70" s="66">
        <f t="shared" si="27"/>
        <v>21.291902848630563</v>
      </c>
      <c r="M70" s="66">
        <f t="shared" si="27"/>
        <v>22.53120967478624</v>
      </c>
      <c r="N70" s="66">
        <f t="shared" si="27"/>
        <v>24.196705250388863</v>
      </c>
      <c r="O70" s="66">
        <f t="shared" si="27"/>
        <v>26.37382971778402</v>
      </c>
      <c r="P70" s="66">
        <f t="shared" si="27"/>
        <v>29.115550002671711</v>
      </c>
      <c r="Q70" s="66">
        <f t="shared" si="27"/>
        <v>32.405535643443841</v>
      </c>
      <c r="R70" s="66">
        <f t="shared" si="27"/>
        <v>36.125764728112543</v>
      </c>
      <c r="S70" s="66">
        <f t="shared" si="27"/>
        <v>40.053195309081424</v>
      </c>
      <c r="T70" s="66">
        <f t="shared" si="27"/>
        <v>43.903341402269703</v>
      </c>
      <c r="U70" s="66">
        <f t="shared" si="27"/>
        <v>47.40820864059085</v>
      </c>
      <c r="V70" s="66">
        <f t="shared" si="27"/>
        <v>50.386846690471195</v>
      </c>
      <c r="W70" s="66">
        <f t="shared" si="27"/>
        <v>52.772202324574174</v>
      </c>
      <c r="X70" s="66">
        <f t="shared" si="27"/>
        <v>54.592334543032798</v>
      </c>
      <c r="Y70" s="66">
        <f t="shared" si="27"/>
        <v>55.93027769841482</v>
      </c>
      <c r="Z70" s="66">
        <f t="shared" si="27"/>
        <v>56.886887698938416</v>
      </c>
      <c r="AA70" s="66">
        <f t="shared" si="27"/>
        <v>57.557330037474898</v>
      </c>
      <c r="AB70" s="66">
        <f t="shared" si="27"/>
        <v>58.020646902010256</v>
      </c>
      <c r="AC70" s="66">
        <f t="shared" si="27"/>
        <v>58.337717720376737</v>
      </c>
    </row>
    <row r="71" spans="1:29" ht="15" thickBot="1" x14ac:dyDescent="0.35">
      <c r="A71" s="31" t="s">
        <v>63</v>
      </c>
      <c r="B71" s="76">
        <f>B62+B63+B64-B65+B66+B67+B68+B69+B70</f>
        <v>63.081276924996416</v>
      </c>
      <c r="C71" s="76">
        <f t="shared" ref="C71:AC71" si="28">C62+C63+C64-C65+C66+C67+C68+C69+C70</f>
        <v>63.119126137092657</v>
      </c>
      <c r="D71" s="76">
        <f t="shared" si="28"/>
        <v>63.173306441185183</v>
      </c>
      <c r="E71" s="76">
        <f t="shared" si="28"/>
        <v>63.250815176318866</v>
      </c>
      <c r="F71" s="76">
        <f t="shared" si="28"/>
        <v>63.36159226197644</v>
      </c>
      <c r="G71" s="76">
        <f t="shared" si="28"/>
        <v>63.519695103130758</v>
      </c>
      <c r="H71" s="76">
        <f t="shared" si="28"/>
        <v>63.744872335807116</v>
      </c>
      <c r="I71" s="76">
        <f t="shared" si="28"/>
        <v>64.064591726648601</v>
      </c>
      <c r="J71" s="76">
        <f t="shared" si="28"/>
        <v>64.516484362531145</v>
      </c>
      <c r="K71" s="76">
        <f t="shared" si="28"/>
        <v>65.150933470491793</v>
      </c>
      <c r="L71" s="76">
        <f t="shared" si="28"/>
        <v>66.03304804271508</v>
      </c>
      <c r="M71" s="76">
        <f t="shared" si="28"/>
        <v>67.242394121261441</v>
      </c>
      <c r="N71" s="76">
        <f t="shared" si="28"/>
        <v>68.867625662541073</v>
      </c>
      <c r="O71" s="76">
        <f t="shared" si="28"/>
        <v>70.992117258636682</v>
      </c>
      <c r="P71" s="76">
        <f t="shared" si="28"/>
        <v>73.667555338232518</v>
      </c>
      <c r="Q71" s="76">
        <f t="shared" si="28"/>
        <v>76.878004235285403</v>
      </c>
      <c r="R71" s="76">
        <f t="shared" si="28"/>
        <v>80.508295265630352</v>
      </c>
      <c r="S71" s="76">
        <f t="shared" si="28"/>
        <v>84.340778611656191</v>
      </c>
      <c r="T71" s="76">
        <f t="shared" si="28"/>
        <v>88.097845853891286</v>
      </c>
      <c r="U71" s="76">
        <f t="shared" si="28"/>
        <v>91.517981498296137</v>
      </c>
      <c r="V71" s="76">
        <f t="shared" si="28"/>
        <v>94.424609759358674</v>
      </c>
      <c r="W71" s="76">
        <f t="shared" si="28"/>
        <v>96.75229844884106</v>
      </c>
      <c r="X71" s="76">
        <f t="shared" si="28"/>
        <v>98.528428229112535</v>
      </c>
      <c r="Y71" s="76">
        <f t="shared" si="28"/>
        <v>99.834026063426364</v>
      </c>
      <c r="Z71" s="76">
        <f t="shared" si="28"/>
        <v>100.76750962731512</v>
      </c>
      <c r="AA71" s="76">
        <f t="shared" si="28"/>
        <v>101.42174374907464</v>
      </c>
      <c r="AB71" s="76">
        <f t="shared" si="28"/>
        <v>101.87385973958226</v>
      </c>
      <c r="AC71" s="76">
        <f t="shared" si="28"/>
        <v>102.18326524169061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29">A50</f>
        <v>Capex vehicle</v>
      </c>
      <c r="B74" s="65">
        <f>((1+B35)^B42)*B35/(((1+B35)^B42)-1)*(B31)/B47/(B44)</f>
        <v>1.0347449498978036E-3</v>
      </c>
      <c r="C74" s="65">
        <f t="shared" ref="C74:AC74" si="30">((1+C35)^C42)*C35/(((1+C35)^C42)-1)*(C31)/C47/(C44)</f>
        <v>1.0347449498978036E-3</v>
      </c>
      <c r="D74" s="65">
        <f t="shared" si="30"/>
        <v>1.0347449498978036E-3</v>
      </c>
      <c r="E74" s="65">
        <f t="shared" si="30"/>
        <v>1.0347449498978036E-3</v>
      </c>
      <c r="F74" s="65">
        <f t="shared" si="30"/>
        <v>1.0347449498978036E-3</v>
      </c>
      <c r="G74" s="65">
        <f t="shared" si="30"/>
        <v>1.0347449498978036E-3</v>
      </c>
      <c r="H74" s="65">
        <f t="shared" si="30"/>
        <v>1.0347449498978036E-3</v>
      </c>
      <c r="I74" s="65">
        <f t="shared" si="30"/>
        <v>1.0347449498978036E-3</v>
      </c>
      <c r="J74" s="65">
        <f t="shared" si="30"/>
        <v>1.0347449498978036E-3</v>
      </c>
      <c r="K74" s="65">
        <f t="shared" si="30"/>
        <v>1.0347449498978036E-3</v>
      </c>
      <c r="L74" s="65">
        <f t="shared" si="30"/>
        <v>1.0347449498978036E-3</v>
      </c>
      <c r="M74" s="65">
        <f t="shared" si="30"/>
        <v>1.0347449498978036E-3</v>
      </c>
      <c r="N74" s="65">
        <f t="shared" si="30"/>
        <v>1.0347449498978036E-3</v>
      </c>
      <c r="O74" s="65">
        <f t="shared" si="30"/>
        <v>1.0347449498978036E-3</v>
      </c>
      <c r="P74" s="65">
        <f t="shared" si="30"/>
        <v>1.0347449498978036E-3</v>
      </c>
      <c r="Q74" s="65">
        <f t="shared" si="30"/>
        <v>1.0347449498978036E-3</v>
      </c>
      <c r="R74" s="65">
        <f t="shared" si="30"/>
        <v>1.0347449498978036E-3</v>
      </c>
      <c r="S74" s="65">
        <f t="shared" si="30"/>
        <v>1.0347449498978036E-3</v>
      </c>
      <c r="T74" s="65">
        <f t="shared" si="30"/>
        <v>1.0347449498978036E-3</v>
      </c>
      <c r="U74" s="65">
        <f t="shared" si="30"/>
        <v>1.0347449498978036E-3</v>
      </c>
      <c r="V74" s="65">
        <f t="shared" si="30"/>
        <v>1.0347449498978036E-3</v>
      </c>
      <c r="W74" s="65">
        <f t="shared" si="30"/>
        <v>1.0347449498978036E-3</v>
      </c>
      <c r="X74" s="65">
        <f t="shared" si="30"/>
        <v>1.0347449498978036E-3</v>
      </c>
      <c r="Y74" s="65">
        <f t="shared" si="30"/>
        <v>1.0347449498978036E-3</v>
      </c>
      <c r="Z74" s="65">
        <f t="shared" si="30"/>
        <v>1.0347449498978036E-3</v>
      </c>
      <c r="AA74" s="65">
        <f t="shared" si="30"/>
        <v>1.0347449498978036E-3</v>
      </c>
      <c r="AB74" s="65">
        <f t="shared" si="30"/>
        <v>1.0347449498978036E-3</v>
      </c>
      <c r="AC74" s="65">
        <f t="shared" si="30"/>
        <v>1.0347449498978036E-3</v>
      </c>
    </row>
    <row r="75" spans="1:29" x14ac:dyDescent="0.3">
      <c r="A75" s="30" t="str">
        <f t="shared" si="29"/>
        <v>Residual value (vehicle)</v>
      </c>
      <c r="B75" s="68">
        <f>((1+B35)^B42)*B35/(((1+B35)^B42)-1)*(B32)/B47/(B44)</f>
        <v>-1.0336086682377807E-4</v>
      </c>
      <c r="C75" s="68">
        <f t="shared" ref="C75:AC75" si="31">((1+C35)^C42)*C35/(((1+C35)^C42)-1)*(C32)/C47/(C44)</f>
        <v>-1.0331170855999495E-4</v>
      </c>
      <c r="D75" s="68">
        <f t="shared" si="31"/>
        <v>-1.0324133960030145E-4</v>
      </c>
      <c r="E75" s="68">
        <f t="shared" si="31"/>
        <v>-1.0314067185489343E-4</v>
      </c>
      <c r="F75" s="68">
        <f t="shared" si="31"/>
        <v>-1.0299679543326449E-4</v>
      </c>
      <c r="G75" s="68">
        <f t="shared" si="31"/>
        <v>-1.0279145268661591E-4</v>
      </c>
      <c r="H75" s="68">
        <f t="shared" si="31"/>
        <v>-1.0249899423929835E-4</v>
      </c>
      <c r="I75" s="68">
        <f t="shared" si="31"/>
        <v>-1.0208374516854875E-4</v>
      </c>
      <c r="J75" s="68">
        <f t="shared" si="31"/>
        <v>-1.0149683050993223E-4</v>
      </c>
      <c r="K75" s="68">
        <f t="shared" si="31"/>
        <v>-1.0067281291805218E-4</v>
      </c>
      <c r="L75" s="68">
        <f t="shared" si="31"/>
        <v>-9.9527129337690295E-5</v>
      </c>
      <c r="M75" s="68">
        <f t="shared" si="31"/>
        <v>-9.7956440009122124E-5</v>
      </c>
      <c r="N75" s="68">
        <f t="shared" si="31"/>
        <v>-9.5845601859790468E-5</v>
      </c>
      <c r="O75" s="68">
        <f t="shared" si="31"/>
        <v>-9.3086328614673487E-5</v>
      </c>
      <c r="P75" s="68">
        <f t="shared" si="31"/>
        <v>-8.9611490340159677E-5</v>
      </c>
      <c r="Q75" s="68">
        <f t="shared" si="31"/>
        <v>-8.5441784155991385E-5</v>
      </c>
      <c r="R75" s="68">
        <f t="shared" si="31"/>
        <v>-8.0726790257955685E-5</v>
      </c>
      <c r="S75" s="68">
        <f t="shared" si="31"/>
        <v>-7.5749190544932557E-5</v>
      </c>
      <c r="T75" s="68">
        <f t="shared" si="31"/>
        <v>-7.086954068392259E-5</v>
      </c>
      <c r="U75" s="68">
        <f t="shared" si="31"/>
        <v>-6.6427494974906487E-5</v>
      </c>
      <c r="V75" s="68">
        <f t="shared" si="31"/>
        <v>-6.2652388681716054E-5</v>
      </c>
      <c r="W75" s="68">
        <f t="shared" si="31"/>
        <v>-5.9629204624102501E-5</v>
      </c>
      <c r="X75" s="68">
        <f t="shared" si="31"/>
        <v>-5.7322381009659713E-5</v>
      </c>
      <c r="Y75" s="68">
        <f t="shared" si="31"/>
        <v>-5.5626680645522941E-5</v>
      </c>
      <c r="Z75" s="68">
        <f t="shared" si="31"/>
        <v>-5.4414279416293167E-5</v>
      </c>
      <c r="AA75" s="68">
        <f t="shared" si="31"/>
        <v>-5.3564565201592909E-5</v>
      </c>
      <c r="AB75" s="68">
        <f t="shared" si="31"/>
        <v>-5.2977360451717727E-5</v>
      </c>
      <c r="AC75" s="68">
        <f t="shared" si="31"/>
        <v>-5.2575506979843073E-5</v>
      </c>
    </row>
    <row r="76" spans="1:29" x14ac:dyDescent="0.3">
      <c r="A76" s="30" t="str">
        <f t="shared" si="29"/>
        <v>Capex costumization</v>
      </c>
      <c r="B76" s="66">
        <f>((1+B35)^B43)*B35/(((1+B35)^B43)-1)*(B33)/B47/(B44)</f>
        <v>6.8982996659853576E-5</v>
      </c>
      <c r="C76" s="66">
        <f t="shared" ref="C76:AC76" si="32">((1+C35)^C43)*C35/(((1+C35)^C43)-1)*(C33)/C47/(C44)</f>
        <v>6.8982996659853576E-5</v>
      </c>
      <c r="D76" s="66">
        <f t="shared" si="32"/>
        <v>6.8982996659853576E-5</v>
      </c>
      <c r="E76" s="66">
        <f t="shared" si="32"/>
        <v>6.8982996659853576E-5</v>
      </c>
      <c r="F76" s="66">
        <f t="shared" si="32"/>
        <v>6.8982996659853576E-5</v>
      </c>
      <c r="G76" s="66">
        <f t="shared" si="32"/>
        <v>6.8982996659853576E-5</v>
      </c>
      <c r="H76" s="66">
        <f t="shared" si="32"/>
        <v>6.8982996659853576E-5</v>
      </c>
      <c r="I76" s="66">
        <f t="shared" si="32"/>
        <v>6.8982996659853576E-5</v>
      </c>
      <c r="J76" s="66">
        <f t="shared" si="32"/>
        <v>6.8982996659853576E-5</v>
      </c>
      <c r="K76" s="66">
        <f t="shared" si="32"/>
        <v>6.8982996659853576E-5</v>
      </c>
      <c r="L76" s="66">
        <f t="shared" si="32"/>
        <v>6.8982996659853576E-5</v>
      </c>
      <c r="M76" s="66">
        <f t="shared" si="32"/>
        <v>6.8982996659853576E-5</v>
      </c>
      <c r="N76" s="66">
        <f t="shared" si="32"/>
        <v>6.8982996659853576E-5</v>
      </c>
      <c r="O76" s="66">
        <f t="shared" si="32"/>
        <v>6.8982996659853576E-5</v>
      </c>
      <c r="P76" s="66">
        <f t="shared" si="32"/>
        <v>6.8982996659853576E-5</v>
      </c>
      <c r="Q76" s="66">
        <f t="shared" si="32"/>
        <v>6.8982996659853576E-5</v>
      </c>
      <c r="R76" s="66">
        <f t="shared" si="32"/>
        <v>6.8982996659853576E-5</v>
      </c>
      <c r="S76" s="66">
        <f t="shared" si="32"/>
        <v>6.8982996659853576E-5</v>
      </c>
      <c r="T76" s="66">
        <f t="shared" si="32"/>
        <v>6.8982996659853576E-5</v>
      </c>
      <c r="U76" s="66">
        <f t="shared" si="32"/>
        <v>6.8982996659853576E-5</v>
      </c>
      <c r="V76" s="66">
        <f t="shared" si="32"/>
        <v>6.8982996659853576E-5</v>
      </c>
      <c r="W76" s="66">
        <f t="shared" si="32"/>
        <v>6.8982996659853576E-5</v>
      </c>
      <c r="X76" s="66">
        <f t="shared" si="32"/>
        <v>6.8982996659853576E-5</v>
      </c>
      <c r="Y76" s="66">
        <f t="shared" si="32"/>
        <v>6.8982996659853576E-5</v>
      </c>
      <c r="Z76" s="66">
        <f t="shared" si="32"/>
        <v>6.8982996659853576E-5</v>
      </c>
      <c r="AA76" s="66">
        <f t="shared" si="32"/>
        <v>6.8982996659853576E-5</v>
      </c>
      <c r="AB76" s="66">
        <f t="shared" si="32"/>
        <v>6.8982996659853576E-5</v>
      </c>
      <c r="AC76" s="66">
        <f t="shared" si="32"/>
        <v>6.8982996659853576E-5</v>
      </c>
    </row>
    <row r="77" spans="1:29" x14ac:dyDescent="0.3">
      <c r="A77" s="30" t="str">
        <f t="shared" si="29"/>
        <v>Residual value (costumization)</v>
      </c>
      <c r="B77" s="69">
        <f>((1+B35)^B43)*B35/(((1+B35)^B43)-1)*(B34)/B47/(B44)</f>
        <v>-6.8982996659853564E-6</v>
      </c>
      <c r="C77" s="69">
        <f t="shared" ref="C77:AC77" si="33">((1+C35)^C43)*C35/(((1+C35)^C43)-1)*(C34)/C47/(C44)</f>
        <v>-6.8982996659853564E-6</v>
      </c>
      <c r="D77" s="69">
        <f t="shared" si="33"/>
        <v>-6.8982996659853564E-6</v>
      </c>
      <c r="E77" s="69">
        <f t="shared" si="33"/>
        <v>-6.8982996659853564E-6</v>
      </c>
      <c r="F77" s="69">
        <f t="shared" si="33"/>
        <v>-6.8982996659853564E-6</v>
      </c>
      <c r="G77" s="69">
        <f t="shared" si="33"/>
        <v>-6.8982996659853564E-6</v>
      </c>
      <c r="H77" s="69">
        <f t="shared" si="33"/>
        <v>-6.8982996659853564E-6</v>
      </c>
      <c r="I77" s="69">
        <f t="shared" si="33"/>
        <v>-6.8982996659853564E-6</v>
      </c>
      <c r="J77" s="69">
        <f t="shared" si="33"/>
        <v>-6.8982996659853564E-6</v>
      </c>
      <c r="K77" s="69">
        <f t="shared" si="33"/>
        <v>-6.8982996659853564E-6</v>
      </c>
      <c r="L77" s="69">
        <f t="shared" si="33"/>
        <v>-6.8982996659853564E-6</v>
      </c>
      <c r="M77" s="69">
        <f t="shared" si="33"/>
        <v>-6.8982996659853564E-6</v>
      </c>
      <c r="N77" s="69">
        <f t="shared" si="33"/>
        <v>-6.8982996659853564E-6</v>
      </c>
      <c r="O77" s="69">
        <f t="shared" si="33"/>
        <v>-6.8982996659853564E-6</v>
      </c>
      <c r="P77" s="69">
        <f t="shared" si="33"/>
        <v>-6.8982996659853564E-6</v>
      </c>
      <c r="Q77" s="69">
        <f t="shared" si="33"/>
        <v>-6.8982996659853564E-6</v>
      </c>
      <c r="R77" s="69">
        <f t="shared" si="33"/>
        <v>-6.8982996659853564E-6</v>
      </c>
      <c r="S77" s="69">
        <f t="shared" si="33"/>
        <v>-6.8982996659853564E-6</v>
      </c>
      <c r="T77" s="69">
        <f t="shared" si="33"/>
        <v>-6.8982996659853564E-6</v>
      </c>
      <c r="U77" s="69">
        <f t="shared" si="33"/>
        <v>-6.8982996659853564E-6</v>
      </c>
      <c r="V77" s="69">
        <f t="shared" si="33"/>
        <v>-6.8982996659853564E-6</v>
      </c>
      <c r="W77" s="69">
        <f t="shared" si="33"/>
        <v>-6.8982996659853564E-6</v>
      </c>
      <c r="X77" s="69">
        <f t="shared" si="33"/>
        <v>-6.8982996659853564E-6</v>
      </c>
      <c r="Y77" s="69">
        <f t="shared" si="33"/>
        <v>-6.8982996659853564E-6</v>
      </c>
      <c r="Z77" s="69">
        <f t="shared" si="33"/>
        <v>-6.8982996659853564E-6</v>
      </c>
      <c r="AA77" s="69">
        <f t="shared" si="33"/>
        <v>-6.8982996659853564E-6</v>
      </c>
      <c r="AB77" s="69">
        <f t="shared" si="33"/>
        <v>-6.8982996659853564E-6</v>
      </c>
      <c r="AC77" s="69">
        <f t="shared" si="33"/>
        <v>-6.8982996659853564E-6</v>
      </c>
    </row>
    <row r="78" spans="1:29" x14ac:dyDescent="0.3">
      <c r="A78" s="30" t="str">
        <f t="shared" si="29"/>
        <v>Opex fix (admin, crew, insurance)</v>
      </c>
      <c r="B78" s="66">
        <f>B36/B47/(B44)</f>
        <v>1.0654632223259673E-3</v>
      </c>
      <c r="C78" s="66">
        <f t="shared" ref="C78:AC78" si="34">C36/C47/(C44)</f>
        <v>1.0654632223259673E-3</v>
      </c>
      <c r="D78" s="66">
        <f t="shared" si="34"/>
        <v>1.0654632223259673E-3</v>
      </c>
      <c r="E78" s="66">
        <f t="shared" si="34"/>
        <v>1.0654632223259673E-3</v>
      </c>
      <c r="F78" s="66">
        <f t="shared" si="34"/>
        <v>1.0654632223259673E-3</v>
      </c>
      <c r="G78" s="66">
        <f t="shared" si="34"/>
        <v>1.0654632223259673E-3</v>
      </c>
      <c r="H78" s="66">
        <f t="shared" si="34"/>
        <v>1.0654632223259673E-3</v>
      </c>
      <c r="I78" s="66">
        <f t="shared" si="34"/>
        <v>1.0654632223259673E-3</v>
      </c>
      <c r="J78" s="66">
        <f t="shared" si="34"/>
        <v>1.0654632223259673E-3</v>
      </c>
      <c r="K78" s="66">
        <f t="shared" si="34"/>
        <v>1.0654632223259673E-3</v>
      </c>
      <c r="L78" s="66">
        <f t="shared" si="34"/>
        <v>1.0654632223259673E-3</v>
      </c>
      <c r="M78" s="66">
        <f t="shared" si="34"/>
        <v>1.0654632223259673E-3</v>
      </c>
      <c r="N78" s="66">
        <f t="shared" si="34"/>
        <v>1.0654632223259673E-3</v>
      </c>
      <c r="O78" s="66">
        <f t="shared" si="34"/>
        <v>1.0654632223259673E-3</v>
      </c>
      <c r="P78" s="66">
        <f t="shared" si="34"/>
        <v>1.0654632223259673E-3</v>
      </c>
      <c r="Q78" s="66">
        <f t="shared" si="34"/>
        <v>1.0654632223259673E-3</v>
      </c>
      <c r="R78" s="66">
        <f t="shared" si="34"/>
        <v>1.0654632223259673E-3</v>
      </c>
      <c r="S78" s="66">
        <f t="shared" si="34"/>
        <v>1.0654632223259673E-3</v>
      </c>
      <c r="T78" s="66">
        <f t="shared" si="34"/>
        <v>1.0654632223259673E-3</v>
      </c>
      <c r="U78" s="66">
        <f t="shared" si="34"/>
        <v>1.0654632223259673E-3</v>
      </c>
      <c r="V78" s="66">
        <f t="shared" si="34"/>
        <v>1.0654632223259673E-3</v>
      </c>
      <c r="W78" s="66">
        <f t="shared" si="34"/>
        <v>1.0654632223259673E-3</v>
      </c>
      <c r="X78" s="66">
        <f t="shared" si="34"/>
        <v>1.0654632223259673E-3</v>
      </c>
      <c r="Y78" s="66">
        <f t="shared" si="34"/>
        <v>1.0654632223259673E-3</v>
      </c>
      <c r="Z78" s="66">
        <f t="shared" si="34"/>
        <v>1.0654632223259673E-3</v>
      </c>
      <c r="AA78" s="66">
        <f t="shared" si="34"/>
        <v>1.0654632223259673E-3</v>
      </c>
      <c r="AB78" s="66">
        <f t="shared" si="34"/>
        <v>1.0654632223259673E-3</v>
      </c>
      <c r="AC78" s="66">
        <f t="shared" si="34"/>
        <v>1.0654632223259673E-3</v>
      </c>
    </row>
    <row r="79" spans="1:29" x14ac:dyDescent="0.3">
      <c r="A79" s="30" t="str">
        <f t="shared" si="29"/>
        <v>Opex maintenance &amp; repair</v>
      </c>
      <c r="B79" s="66">
        <f>B37/B47/(B44)</f>
        <v>4.305425874053325E-4</v>
      </c>
      <c r="C79" s="66">
        <f t="shared" ref="C79:AC79" si="35">C37/C47/(C44)</f>
        <v>4.305425874053325E-4</v>
      </c>
      <c r="D79" s="66">
        <f t="shared" si="35"/>
        <v>4.305425874053325E-4</v>
      </c>
      <c r="E79" s="66">
        <f t="shared" si="35"/>
        <v>4.305425874053325E-4</v>
      </c>
      <c r="F79" s="66">
        <f t="shared" si="35"/>
        <v>4.305425874053325E-4</v>
      </c>
      <c r="G79" s="66">
        <f t="shared" si="35"/>
        <v>4.305425874053325E-4</v>
      </c>
      <c r="H79" s="66">
        <f t="shared" si="35"/>
        <v>4.305425874053325E-4</v>
      </c>
      <c r="I79" s="66">
        <f t="shared" si="35"/>
        <v>4.305425874053325E-4</v>
      </c>
      <c r="J79" s="66">
        <f t="shared" si="35"/>
        <v>4.305425874053325E-4</v>
      </c>
      <c r="K79" s="66">
        <f t="shared" si="35"/>
        <v>4.305425874053325E-4</v>
      </c>
      <c r="L79" s="66">
        <f t="shared" si="35"/>
        <v>4.305425874053325E-4</v>
      </c>
      <c r="M79" s="66">
        <f t="shared" si="35"/>
        <v>4.305425874053325E-4</v>
      </c>
      <c r="N79" s="66">
        <f t="shared" si="35"/>
        <v>4.305425874053325E-4</v>
      </c>
      <c r="O79" s="66">
        <f t="shared" si="35"/>
        <v>4.305425874053325E-4</v>
      </c>
      <c r="P79" s="66">
        <f t="shared" si="35"/>
        <v>4.305425874053325E-4</v>
      </c>
      <c r="Q79" s="66">
        <f t="shared" si="35"/>
        <v>4.305425874053325E-4</v>
      </c>
      <c r="R79" s="66">
        <f t="shared" si="35"/>
        <v>4.305425874053325E-4</v>
      </c>
      <c r="S79" s="66">
        <f t="shared" si="35"/>
        <v>4.305425874053325E-4</v>
      </c>
      <c r="T79" s="66">
        <f t="shared" si="35"/>
        <v>4.305425874053325E-4</v>
      </c>
      <c r="U79" s="66">
        <f t="shared" si="35"/>
        <v>4.305425874053325E-4</v>
      </c>
      <c r="V79" s="66">
        <f t="shared" si="35"/>
        <v>4.305425874053325E-4</v>
      </c>
      <c r="W79" s="66">
        <f t="shared" si="35"/>
        <v>4.305425874053325E-4</v>
      </c>
      <c r="X79" s="66">
        <f t="shared" si="35"/>
        <v>4.305425874053325E-4</v>
      </c>
      <c r="Y79" s="66">
        <f t="shared" si="35"/>
        <v>4.305425874053325E-4</v>
      </c>
      <c r="Z79" s="66">
        <f t="shared" si="35"/>
        <v>4.305425874053325E-4</v>
      </c>
      <c r="AA79" s="66">
        <f t="shared" si="35"/>
        <v>4.305425874053325E-4</v>
      </c>
      <c r="AB79" s="66">
        <f t="shared" si="35"/>
        <v>4.305425874053325E-4</v>
      </c>
      <c r="AC79" s="66">
        <f t="shared" si="35"/>
        <v>4.305425874053325E-4</v>
      </c>
    </row>
    <row r="80" spans="1:29" x14ac:dyDescent="0.3">
      <c r="A80" s="30" t="str">
        <f t="shared" si="29"/>
        <v>Opex var (mode-fees)</v>
      </c>
      <c r="B80" s="66">
        <f>B38*B47/B47/(B44)</f>
        <v>8.9502842587904882E-5</v>
      </c>
      <c r="C80" s="66">
        <f t="shared" ref="C80:AC80" si="36">C38*C47/C47/(C44)</f>
        <v>8.9502842587904882E-5</v>
      </c>
      <c r="D80" s="66">
        <f t="shared" si="36"/>
        <v>8.9502842587904882E-5</v>
      </c>
      <c r="E80" s="66">
        <f t="shared" si="36"/>
        <v>8.9502842587904882E-5</v>
      </c>
      <c r="F80" s="66">
        <f t="shared" si="36"/>
        <v>8.9502842587904882E-5</v>
      </c>
      <c r="G80" s="66">
        <f t="shared" si="36"/>
        <v>8.9502842587904882E-5</v>
      </c>
      <c r="H80" s="66">
        <f t="shared" si="36"/>
        <v>8.9502842587904882E-5</v>
      </c>
      <c r="I80" s="66">
        <f t="shared" si="36"/>
        <v>8.9502842587904882E-5</v>
      </c>
      <c r="J80" s="66">
        <f t="shared" si="36"/>
        <v>8.9502842587904882E-5</v>
      </c>
      <c r="K80" s="66">
        <f t="shared" si="36"/>
        <v>8.9502842587904882E-5</v>
      </c>
      <c r="L80" s="66">
        <f t="shared" si="36"/>
        <v>8.9502842587904882E-5</v>
      </c>
      <c r="M80" s="66">
        <f t="shared" si="36"/>
        <v>8.9502842587904882E-5</v>
      </c>
      <c r="N80" s="66">
        <f t="shared" si="36"/>
        <v>8.9502842587904882E-5</v>
      </c>
      <c r="O80" s="66">
        <f t="shared" si="36"/>
        <v>8.9502842587904882E-5</v>
      </c>
      <c r="P80" s="66">
        <f t="shared" si="36"/>
        <v>8.9502842587904882E-5</v>
      </c>
      <c r="Q80" s="66">
        <f t="shared" si="36"/>
        <v>8.9502842587904882E-5</v>
      </c>
      <c r="R80" s="66">
        <f t="shared" si="36"/>
        <v>8.9502842587904882E-5</v>
      </c>
      <c r="S80" s="66">
        <f t="shared" si="36"/>
        <v>8.9502842587904882E-5</v>
      </c>
      <c r="T80" s="66">
        <f t="shared" si="36"/>
        <v>8.9502842587904882E-5</v>
      </c>
      <c r="U80" s="66">
        <f t="shared" si="36"/>
        <v>8.9502842587904882E-5</v>
      </c>
      <c r="V80" s="66">
        <f t="shared" si="36"/>
        <v>8.9502842587904882E-5</v>
      </c>
      <c r="W80" s="66">
        <f t="shared" si="36"/>
        <v>8.9502842587904882E-5</v>
      </c>
      <c r="X80" s="66">
        <f t="shared" si="36"/>
        <v>8.9502842587904882E-5</v>
      </c>
      <c r="Y80" s="66">
        <f t="shared" si="36"/>
        <v>8.9502842587904882E-5</v>
      </c>
      <c r="Z80" s="66">
        <f t="shared" si="36"/>
        <v>8.9502842587904882E-5</v>
      </c>
      <c r="AA80" s="66">
        <f t="shared" si="36"/>
        <v>8.9502842587904882E-5</v>
      </c>
      <c r="AB80" s="66">
        <f t="shared" si="36"/>
        <v>8.9502842587904882E-5</v>
      </c>
      <c r="AC80" s="66">
        <f t="shared" si="36"/>
        <v>8.9502842587904882E-5</v>
      </c>
    </row>
    <row r="81" spans="1:29" x14ac:dyDescent="0.3">
      <c r="A81" s="30" t="str">
        <f t="shared" si="29"/>
        <v>Fuel Cost</v>
      </c>
      <c r="B81" s="66">
        <f>B39*B40*B47/B47/(B44)</f>
        <v>2.1494771182553069E-3</v>
      </c>
      <c r="C81" s="66">
        <f t="shared" ref="C81:AC81" si="37">C39*C40*C47/C47/(C44)</f>
        <v>2.1493287336269364E-3</v>
      </c>
      <c r="D81" s="66">
        <f t="shared" si="37"/>
        <v>2.1491163243364253E-3</v>
      </c>
      <c r="E81" s="66">
        <f t="shared" si="37"/>
        <v>2.14881245790906E-3</v>
      </c>
      <c r="F81" s="66">
        <f t="shared" si="37"/>
        <v>2.1483781657328982E-3</v>
      </c>
      <c r="G81" s="66">
        <f t="shared" si="37"/>
        <v>2.1477583369430842E-3</v>
      </c>
      <c r="H81" s="66">
        <f t="shared" si="37"/>
        <v>2.1468755486857413E-3</v>
      </c>
      <c r="I81" s="66">
        <f t="shared" si="37"/>
        <v>2.1456221159095916E-3</v>
      </c>
      <c r="J81" s="66">
        <f t="shared" si="37"/>
        <v>2.1438505091277019E-3</v>
      </c>
      <c r="K81" s="66">
        <f t="shared" si="37"/>
        <v>2.1413632051683635E-3</v>
      </c>
      <c r="L81" s="66">
        <f t="shared" si="37"/>
        <v>2.1379049497455864E-3</v>
      </c>
      <c r="M81" s="66">
        <f t="shared" si="37"/>
        <v>2.1331638109345504E-3</v>
      </c>
      <c r="N81" s="66">
        <f t="shared" si="37"/>
        <v>2.1267922284124146E-3</v>
      </c>
      <c r="O81" s="66">
        <f t="shared" si="37"/>
        <v>2.118463339156764E-3</v>
      </c>
      <c r="P81" s="66">
        <f t="shared" si="37"/>
        <v>2.1079745109042758E-3</v>
      </c>
      <c r="Q81" s="66">
        <f t="shared" si="37"/>
        <v>2.0953882180831502E-3</v>
      </c>
      <c r="R81" s="66">
        <f t="shared" si="37"/>
        <v>2.0811559697593205E-3</v>
      </c>
      <c r="S81" s="66">
        <f t="shared" si="37"/>
        <v>2.0661310435972982E-3</v>
      </c>
      <c r="T81" s="66">
        <f t="shared" si="37"/>
        <v>2.0514017798788087E-3</v>
      </c>
      <c r="U81" s="66">
        <f t="shared" si="37"/>
        <v>2.037993427935265E-3</v>
      </c>
      <c r="V81" s="66">
        <f t="shared" si="37"/>
        <v>2.0265982381692882E-3</v>
      </c>
      <c r="W81" s="66">
        <f t="shared" si="37"/>
        <v>2.0174727319296035E-3</v>
      </c>
      <c r="X81" s="66">
        <f t="shared" si="37"/>
        <v>2.0105095656498539E-3</v>
      </c>
      <c r="Y81" s="66">
        <f t="shared" si="37"/>
        <v>2.0053910799874954E-3</v>
      </c>
      <c r="Z81" s="66">
        <f t="shared" si="37"/>
        <v>2.0017314367863233E-3</v>
      </c>
      <c r="AA81" s="66">
        <f t="shared" si="37"/>
        <v>1.9991665673571302E-3</v>
      </c>
      <c r="AB81" s="66">
        <f t="shared" si="37"/>
        <v>1.9973940849323628E-3</v>
      </c>
      <c r="AC81" s="66">
        <f t="shared" si="37"/>
        <v>1.9961810868829068E-3</v>
      </c>
    </row>
    <row r="82" spans="1:29" x14ac:dyDescent="0.3">
      <c r="A82" s="59" t="str">
        <f>A45</f>
        <v>Market failure (av. utilization)</v>
      </c>
      <c r="B82" s="66">
        <f t="shared" ref="B82:AC82" si="38">B71/B45-B71/B44</f>
        <v>6.4134922073344211E-3</v>
      </c>
      <c r="C82" s="66">
        <f t="shared" si="38"/>
        <v>6.4173403479978013E-3</v>
      </c>
      <c r="D82" s="66">
        <f t="shared" si="38"/>
        <v>6.4228488756470055E-3</v>
      </c>
      <c r="E82" s="66">
        <f t="shared" si="38"/>
        <v>6.4307292118261734E-3</v>
      </c>
      <c r="F82" s="66">
        <f t="shared" si="38"/>
        <v>6.4419919511087163E-3</v>
      </c>
      <c r="G82" s="66">
        <f t="shared" si="38"/>
        <v>6.4580663140437955E-3</v>
      </c>
      <c r="H82" s="66">
        <f t="shared" si="38"/>
        <v>6.4809601503362357E-3</v>
      </c>
      <c r="I82" s="66">
        <f t="shared" si="38"/>
        <v>6.5134661159991312E-3</v>
      </c>
      <c r="J82" s="66">
        <f t="shared" si="38"/>
        <v>6.5594101748397676E-3</v>
      </c>
      <c r="K82" s="66">
        <f t="shared" si="38"/>
        <v>6.6239148045525434E-3</v>
      </c>
      <c r="L82" s="66">
        <f t="shared" si="38"/>
        <v>6.7135996557589773E-3</v>
      </c>
      <c r="M82" s="66">
        <f t="shared" si="38"/>
        <v>6.8365542316460425E-3</v>
      </c>
      <c r="N82" s="66">
        <f t="shared" si="38"/>
        <v>7.0017920063585688E-3</v>
      </c>
      <c r="O82" s="66">
        <f t="shared" si="38"/>
        <v>7.2177896994982836E-3</v>
      </c>
      <c r="P82" s="66">
        <f t="shared" si="38"/>
        <v>7.48980228565908E-3</v>
      </c>
      <c r="Q82" s="66">
        <f t="shared" si="38"/>
        <v>7.816209580929526E-3</v>
      </c>
      <c r="R82" s="66">
        <f t="shared" si="38"/>
        <v>8.1853023508992387E-3</v>
      </c>
      <c r="S82" s="66">
        <f t="shared" si="38"/>
        <v>8.5749520738067284E-3</v>
      </c>
      <c r="T82" s="66">
        <f t="shared" si="38"/>
        <v>8.9569342189867694E-3</v>
      </c>
      <c r="U82" s="66">
        <f t="shared" si="38"/>
        <v>9.3046604282944513E-3</v>
      </c>
      <c r="V82" s="66">
        <f t="shared" si="38"/>
        <v>9.6001781890415489E-3</v>
      </c>
      <c r="W82" s="66">
        <f t="shared" si="38"/>
        <v>9.8368349911675725E-3</v>
      </c>
      <c r="X82" s="66">
        <f t="shared" si="38"/>
        <v>1.001741463476816E-2</v>
      </c>
      <c r="Y82" s="66">
        <f t="shared" si="38"/>
        <v>1.0150155155322941E-2</v>
      </c>
      <c r="Z82" s="66">
        <f t="shared" si="38"/>
        <v>1.0245062707207056E-2</v>
      </c>
      <c r="AA82" s="66">
        <f t="shared" si="38"/>
        <v>1.0311578885163725E-2</v>
      </c>
      <c r="AB82" s="66">
        <f t="shared" si="38"/>
        <v>1.0357545652535596E-2</v>
      </c>
      <c r="AC82" s="66">
        <f t="shared" si="38"/>
        <v>1.0389003002060049E-2</v>
      </c>
    </row>
    <row r="83" spans="1:29" x14ac:dyDescent="0.3">
      <c r="A83" s="59" t="str">
        <f>A46</f>
        <v>Payload loss (fuel)</v>
      </c>
      <c r="B83" s="66">
        <f>B71/(B44-B46)-B71/B44</f>
        <v>0</v>
      </c>
      <c r="C83" s="66">
        <f t="shared" ref="C83:AC83" si="39">C71/(C44-C46)-C71/C44</f>
        <v>0</v>
      </c>
      <c r="D83" s="66">
        <f t="shared" si="39"/>
        <v>0</v>
      </c>
      <c r="E83" s="66">
        <f t="shared" si="39"/>
        <v>0</v>
      </c>
      <c r="F83" s="66">
        <f t="shared" si="39"/>
        <v>0</v>
      </c>
      <c r="G83" s="66">
        <f t="shared" si="39"/>
        <v>0</v>
      </c>
      <c r="H83" s="66">
        <f t="shared" si="39"/>
        <v>0</v>
      </c>
      <c r="I83" s="66">
        <f t="shared" si="39"/>
        <v>0</v>
      </c>
      <c r="J83" s="66">
        <f t="shared" si="39"/>
        <v>0</v>
      </c>
      <c r="K83" s="66">
        <f t="shared" si="39"/>
        <v>0</v>
      </c>
      <c r="L83" s="66">
        <f t="shared" si="39"/>
        <v>0</v>
      </c>
      <c r="M83" s="66">
        <f t="shared" si="39"/>
        <v>0</v>
      </c>
      <c r="N83" s="66">
        <f t="shared" si="39"/>
        <v>0</v>
      </c>
      <c r="O83" s="66">
        <f t="shared" si="39"/>
        <v>0</v>
      </c>
      <c r="P83" s="66">
        <f t="shared" si="39"/>
        <v>0</v>
      </c>
      <c r="Q83" s="66">
        <f t="shared" si="39"/>
        <v>0</v>
      </c>
      <c r="R83" s="66">
        <f t="shared" si="39"/>
        <v>0</v>
      </c>
      <c r="S83" s="66">
        <f t="shared" si="39"/>
        <v>0</v>
      </c>
      <c r="T83" s="66">
        <f t="shared" si="39"/>
        <v>0</v>
      </c>
      <c r="U83" s="66">
        <f t="shared" si="39"/>
        <v>0</v>
      </c>
      <c r="V83" s="66">
        <f t="shared" si="39"/>
        <v>0</v>
      </c>
      <c r="W83" s="66">
        <f t="shared" si="39"/>
        <v>0</v>
      </c>
      <c r="X83" s="66">
        <f t="shared" si="39"/>
        <v>0</v>
      </c>
      <c r="Y83" s="66">
        <f t="shared" si="39"/>
        <v>0</v>
      </c>
      <c r="Z83" s="66">
        <f t="shared" si="39"/>
        <v>0</v>
      </c>
      <c r="AA83" s="66">
        <f t="shared" si="39"/>
        <v>0</v>
      </c>
      <c r="AB83" s="66">
        <f t="shared" si="39"/>
        <v>0</v>
      </c>
      <c r="AC83" s="66">
        <f t="shared" si="39"/>
        <v>0</v>
      </c>
    </row>
    <row r="84" spans="1:29" ht="15" thickBot="1" x14ac:dyDescent="0.35">
      <c r="A84" s="59" t="str">
        <f>A21</f>
        <v>Emission Cost</v>
      </c>
      <c r="B84" s="68">
        <f>B41*B47/B47/(B44)</f>
        <v>1.9330162494961441E-3</v>
      </c>
      <c r="C84" s="68">
        <f t="shared" ref="C84:AC84" si="40">C41*C47/C47/(C44)</f>
        <v>1.9371206834899628E-3</v>
      </c>
      <c r="D84" s="68">
        <f t="shared" si="40"/>
        <v>1.9429960893332179E-3</v>
      </c>
      <c r="E84" s="68">
        <f t="shared" si="40"/>
        <v>1.9514012705690036E-3</v>
      </c>
      <c r="F84" s="68">
        <f t="shared" si="40"/>
        <v>1.9634141292502638E-3</v>
      </c>
      <c r="G84" s="68">
        <f t="shared" si="40"/>
        <v>1.9805590746748382E-3</v>
      </c>
      <c r="H84" s="68">
        <f t="shared" si="40"/>
        <v>2.0049776830749549E-3</v>
      </c>
      <c r="I84" s="68">
        <f t="shared" si="40"/>
        <v>2.0396486065519404E-3</v>
      </c>
      <c r="J84" s="68">
        <f t="shared" si="40"/>
        <v>2.0886526252236323E-3</v>
      </c>
      <c r="K84" s="68">
        <f t="shared" si="40"/>
        <v>2.1574533833329558E-3</v>
      </c>
      <c r="L84" s="68">
        <f t="shared" si="40"/>
        <v>2.2531114125534991E-3</v>
      </c>
      <c r="M84" s="68">
        <f t="shared" si="40"/>
        <v>2.3842549920408719E-3</v>
      </c>
      <c r="N84" s="68">
        <f t="shared" si="40"/>
        <v>2.5604979100940593E-3</v>
      </c>
      <c r="O84" s="68">
        <f t="shared" si="40"/>
        <v>2.7908814516173566E-3</v>
      </c>
      <c r="P84" s="68">
        <f t="shared" si="40"/>
        <v>3.0810105822933029E-3</v>
      </c>
      <c r="Q84" s="68">
        <f t="shared" si="40"/>
        <v>3.4291572109464382E-3</v>
      </c>
      <c r="R84" s="68">
        <f t="shared" si="40"/>
        <v>3.8228322463611155E-3</v>
      </c>
      <c r="S84" s="68">
        <f t="shared" si="40"/>
        <v>4.2384333660403627E-3</v>
      </c>
      <c r="T84" s="68">
        <f t="shared" si="40"/>
        <v>4.6458562330444131E-3</v>
      </c>
      <c r="U84" s="68">
        <f t="shared" si="40"/>
        <v>5.0167416550889786E-3</v>
      </c>
      <c r="V84" s="68">
        <f t="shared" si="40"/>
        <v>5.3319414487271117E-3</v>
      </c>
      <c r="W84" s="68">
        <f t="shared" si="40"/>
        <v>5.5843600343464736E-3</v>
      </c>
      <c r="X84" s="68">
        <f t="shared" si="40"/>
        <v>5.7769666183103488E-3</v>
      </c>
      <c r="Y84" s="68">
        <f t="shared" si="40"/>
        <v>5.9185479045941606E-3</v>
      </c>
      <c r="Z84" s="68">
        <f t="shared" si="40"/>
        <v>6.0197764760781397E-3</v>
      </c>
      <c r="AA84" s="68">
        <f t="shared" si="40"/>
        <v>6.090722755288349E-3</v>
      </c>
      <c r="AB84" s="68">
        <f t="shared" si="40"/>
        <v>6.1397509949217199E-3</v>
      </c>
      <c r="AC84" s="68">
        <f t="shared" si="40"/>
        <v>6.1733034624737292E-3</v>
      </c>
    </row>
    <row r="85" spans="1:29" ht="15" thickBot="1" x14ac:dyDescent="0.35">
      <c r="A85" s="31" t="s">
        <v>210</v>
      </c>
      <c r="B85" s="77">
        <f>B74+B75+B76+B77+B78+B79+B80+B81+B82+B83+B84</f>
        <v>1.307496300747297E-2</v>
      </c>
      <c r="C85" s="77">
        <f t="shared" ref="C85:AC85" si="41">C74+C75+C76+C77+C78+C79+C80+C81+C82+C83+C84</f>
        <v>1.3082816355765583E-2</v>
      </c>
      <c r="D85" s="77">
        <f t="shared" si="41"/>
        <v>1.3094058248927225E-2</v>
      </c>
      <c r="E85" s="77">
        <f t="shared" si="41"/>
        <v>1.311014056766022E-2</v>
      </c>
      <c r="F85" s="77">
        <f t="shared" si="41"/>
        <v>1.313312574986949E-2</v>
      </c>
      <c r="G85" s="77">
        <f t="shared" si="41"/>
        <v>1.3165930572185978E-2</v>
      </c>
      <c r="H85" s="77">
        <f t="shared" si="41"/>
        <v>1.3212652687068512E-2</v>
      </c>
      <c r="I85" s="77">
        <f t="shared" si="41"/>
        <v>1.3278991392502991E-2</v>
      </c>
      <c r="J85" s="77">
        <f t="shared" si="41"/>
        <v>1.3372754777892047E-2</v>
      </c>
      <c r="K85" s="77">
        <f t="shared" si="41"/>
        <v>1.3504396879346688E-2</v>
      </c>
      <c r="L85" s="77">
        <f t="shared" si="41"/>
        <v>1.3687427187931249E-2</v>
      </c>
      <c r="M85" s="77">
        <f t="shared" si="41"/>
        <v>1.3938354893823219E-2</v>
      </c>
      <c r="N85" s="77">
        <f t="shared" si="41"/>
        <v>1.4275574842216128E-2</v>
      </c>
      <c r="O85" s="77">
        <f t="shared" si="41"/>
        <v>1.4716386460868609E-2</v>
      </c>
      <c r="P85" s="77">
        <f t="shared" si="41"/>
        <v>1.5271514187727375E-2</v>
      </c>
      <c r="Q85" s="77">
        <f t="shared" si="41"/>
        <v>1.5937651525014002E-2</v>
      </c>
      <c r="R85" s="77">
        <f t="shared" si="41"/>
        <v>1.6690902075972597E-2</v>
      </c>
      <c r="S85" s="77">
        <f t="shared" si="41"/>
        <v>1.7486105592110335E-2</v>
      </c>
      <c r="T85" s="77">
        <f t="shared" si="41"/>
        <v>1.8265660990436944E-2</v>
      </c>
      <c r="U85" s="77">
        <f t="shared" si="41"/>
        <v>1.8975306315554667E-2</v>
      </c>
      <c r="V85" s="77">
        <f t="shared" si="41"/>
        <v>1.9578403786467108E-2</v>
      </c>
      <c r="W85" s="77">
        <f t="shared" si="41"/>
        <v>2.0061376852030424E-2</v>
      </c>
      <c r="X85" s="77">
        <f t="shared" si="41"/>
        <v>2.0429906736929581E-2</v>
      </c>
      <c r="Y85" s="77">
        <f t="shared" si="41"/>
        <v>2.0700805758469949E-2</v>
      </c>
      <c r="Z85" s="77">
        <f t="shared" si="41"/>
        <v>2.0894494639866104E-2</v>
      </c>
      <c r="AA85" s="77">
        <f t="shared" si="41"/>
        <v>2.1030241941818489E-2</v>
      </c>
      <c r="AB85" s="77">
        <f t="shared" si="41"/>
        <v>2.1124051671148839E-2</v>
      </c>
      <c r="AC85" s="77">
        <f t="shared" si="41"/>
        <v>2.118825034364772E-2</v>
      </c>
    </row>
    <row r="87" spans="1:29" x14ac:dyDescent="0.3">
      <c r="B87" s="40"/>
    </row>
    <row r="107" spans="1:2" s="3" customFormat="1" ht="21" x14ac:dyDescent="0.4">
      <c r="A107" s="2" t="str">
        <f>'Parameter Input'!A153</f>
        <v>Short-sea: Container</v>
      </c>
    </row>
    <row r="108" spans="1:2" s="3" customFormat="1" ht="21" x14ac:dyDescent="0.4">
      <c r="A108" s="2" t="s">
        <v>291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Input'!$L$154</f>
        <v>15000000</v>
      </c>
      <c r="C117" s="42">
        <f>'Parameter Input'!$M$154</f>
        <v>15000000</v>
      </c>
      <c r="D117" s="1" t="s">
        <v>15</v>
      </c>
      <c r="L117" s="51">
        <f>'Parameter Input'!$O$142</f>
        <v>17</v>
      </c>
      <c r="M117" s="52">
        <v>0</v>
      </c>
      <c r="N117" s="52">
        <v>1</v>
      </c>
      <c r="O117" s="52">
        <f>'Parameter Input'!$P$142</f>
        <v>0.9</v>
      </c>
      <c r="P117" s="53">
        <f>'Parameter Input'!$Q$142</f>
        <v>0.4</v>
      </c>
      <c r="Q117" s="4">
        <f t="shared" ref="Q117:AR126" si="42">$N117+($M117-$N117)*((1/(1+EXP(-$P117*(Q$9-$L117)))^$O117))</f>
        <v>0.99780374543478534</v>
      </c>
      <c r="R117" s="4">
        <f t="shared" si="42"/>
        <v>0.99685359315256394</v>
      </c>
      <c r="S117" s="4">
        <f t="shared" si="42"/>
        <v>0.99549347132349975</v>
      </c>
      <c r="T117" s="4">
        <f t="shared" si="42"/>
        <v>0.99354772139898062</v>
      </c>
      <c r="U117" s="4">
        <f t="shared" si="42"/>
        <v>0.99076681540580536</v>
      </c>
      <c r="V117" s="4">
        <f t="shared" si="42"/>
        <v>0.9867978615748374</v>
      </c>
      <c r="W117" s="4">
        <f t="shared" si="42"/>
        <v>0.98114509762858249</v>
      </c>
      <c r="X117" s="4">
        <f t="shared" si="42"/>
        <v>0.97311898315872036</v>
      </c>
      <c r="Y117" s="4">
        <f t="shared" si="42"/>
        <v>0.96177484161592774</v>
      </c>
      <c r="Z117" s="4">
        <f t="shared" si="42"/>
        <v>0.94584787155511363</v>
      </c>
      <c r="AA117" s="4">
        <f t="shared" si="42"/>
        <v>0.92370360150141495</v>
      </c>
      <c r="AB117" s="4">
        <f t="shared" si="42"/>
        <v>0.89334463567658451</v>
      </c>
      <c r="AC117" s="4">
        <f t="shared" si="42"/>
        <v>0.85254543874327005</v>
      </c>
      <c r="AD117" s="4">
        <f t="shared" si="42"/>
        <v>0.79921300652623883</v>
      </c>
      <c r="AE117" s="4">
        <f t="shared" si="42"/>
        <v>0.73204982249993378</v>
      </c>
      <c r="AF117" s="4">
        <f t="shared" si="42"/>
        <v>0.65145592958786691</v>
      </c>
      <c r="AG117" s="4">
        <f t="shared" si="42"/>
        <v>0.56032247880849573</v>
      </c>
      <c r="AH117" s="4">
        <f t="shared" si="42"/>
        <v>0.46411326873185343</v>
      </c>
      <c r="AI117" s="4">
        <f t="shared" si="42"/>
        <v>0.36979727595523937</v>
      </c>
      <c r="AJ117" s="4">
        <f t="shared" si="42"/>
        <v>0.28393948637231203</v>
      </c>
      <c r="AK117" s="4">
        <f t="shared" si="42"/>
        <v>0.21097259161117732</v>
      </c>
      <c r="AL117" s="4">
        <f t="shared" si="42"/>
        <v>0.15253917653798199</v>
      </c>
      <c r="AM117" s="4">
        <f t="shared" si="42"/>
        <v>0.10795188737709993</v>
      </c>
      <c r="AN117" s="4">
        <f t="shared" si="42"/>
        <v>7.5176653938091809E-2</v>
      </c>
      <c r="AO117" s="4">
        <f t="shared" si="42"/>
        <v>5.1742836177502194E-2</v>
      </c>
      <c r="AP117" s="4">
        <f t="shared" si="42"/>
        <v>3.5319190625345942E-2</v>
      </c>
      <c r="AQ117" s="4">
        <f t="shared" si="42"/>
        <v>2.3969442072658165E-2</v>
      </c>
      <c r="AR117" s="4">
        <f t="shared" si="42"/>
        <v>1.6202243558389728E-2</v>
      </c>
    </row>
    <row r="118" spans="1:44" x14ac:dyDescent="0.3">
      <c r="A118" s="24" t="s">
        <v>28</v>
      </c>
      <c r="B118" s="60">
        <f>'Parameter Input'!$L$155</f>
        <v>-1500000</v>
      </c>
      <c r="C118" s="61">
        <f>'Parameter Input'!$M$155</f>
        <v>-750000</v>
      </c>
      <c r="D118" s="1" t="s">
        <v>15</v>
      </c>
      <c r="L118" s="54">
        <f>'Parameter Input'!$O$143</f>
        <v>17</v>
      </c>
      <c r="M118" s="37">
        <v>0</v>
      </c>
      <c r="N118" s="37">
        <v>1</v>
      </c>
      <c r="O118" s="37">
        <f>'Parameter Input'!$P$143</f>
        <v>0.9</v>
      </c>
      <c r="P118" s="55">
        <f>'Parameter Input'!$Q$143</f>
        <v>0.4</v>
      </c>
      <c r="Q118" s="4">
        <f t="shared" si="42"/>
        <v>0.99780374543478534</v>
      </c>
      <c r="R118" s="4">
        <f t="shared" si="42"/>
        <v>0.99685359315256394</v>
      </c>
      <c r="S118" s="4">
        <f t="shared" si="42"/>
        <v>0.99549347132349975</v>
      </c>
      <c r="T118" s="4">
        <f t="shared" si="42"/>
        <v>0.99354772139898062</v>
      </c>
      <c r="U118" s="4">
        <f t="shared" si="42"/>
        <v>0.99076681540580536</v>
      </c>
      <c r="V118" s="4">
        <f t="shared" si="42"/>
        <v>0.9867978615748374</v>
      </c>
      <c r="W118" s="4">
        <f t="shared" si="42"/>
        <v>0.98114509762858249</v>
      </c>
      <c r="X118" s="4">
        <f t="shared" si="42"/>
        <v>0.97311898315872036</v>
      </c>
      <c r="Y118" s="4">
        <f t="shared" si="42"/>
        <v>0.96177484161592774</v>
      </c>
      <c r="Z118" s="4">
        <f t="shared" si="42"/>
        <v>0.94584787155511363</v>
      </c>
      <c r="AA118" s="4">
        <f t="shared" si="42"/>
        <v>0.92370360150141495</v>
      </c>
      <c r="AB118" s="4">
        <f t="shared" si="42"/>
        <v>0.89334463567658451</v>
      </c>
      <c r="AC118" s="4">
        <f t="shared" si="42"/>
        <v>0.85254543874327005</v>
      </c>
      <c r="AD118" s="4">
        <f t="shared" si="42"/>
        <v>0.79921300652623883</v>
      </c>
      <c r="AE118" s="4">
        <f t="shared" si="42"/>
        <v>0.73204982249993378</v>
      </c>
      <c r="AF118" s="4">
        <f t="shared" si="42"/>
        <v>0.65145592958786691</v>
      </c>
      <c r="AG118" s="4">
        <f t="shared" si="42"/>
        <v>0.56032247880849573</v>
      </c>
      <c r="AH118" s="4">
        <f t="shared" si="42"/>
        <v>0.46411326873185343</v>
      </c>
      <c r="AI118" s="4">
        <f t="shared" si="42"/>
        <v>0.36979727595523937</v>
      </c>
      <c r="AJ118" s="4">
        <f t="shared" si="42"/>
        <v>0.28393948637231203</v>
      </c>
      <c r="AK118" s="4">
        <f t="shared" si="42"/>
        <v>0.21097259161117732</v>
      </c>
      <c r="AL118" s="4">
        <f t="shared" si="42"/>
        <v>0.15253917653798199</v>
      </c>
      <c r="AM118" s="4">
        <f t="shared" si="42"/>
        <v>0.10795188737709993</v>
      </c>
      <c r="AN118" s="4">
        <f t="shared" si="42"/>
        <v>7.5176653938091809E-2</v>
      </c>
      <c r="AO118" s="4">
        <f t="shared" si="42"/>
        <v>5.1742836177502194E-2</v>
      </c>
      <c r="AP118" s="4">
        <f t="shared" si="42"/>
        <v>3.5319190625345942E-2</v>
      </c>
      <c r="AQ118" s="4">
        <f t="shared" si="42"/>
        <v>2.3969442072658165E-2</v>
      </c>
      <c r="AR118" s="4">
        <f t="shared" si="42"/>
        <v>1.6202243558389728E-2</v>
      </c>
    </row>
    <row r="119" spans="1:44" x14ac:dyDescent="0.3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42"/>
        <v>0.99780374543478534</v>
      </c>
      <c r="R119" s="4">
        <f t="shared" si="42"/>
        <v>0.99685359315256394</v>
      </c>
      <c r="S119" s="4">
        <f t="shared" si="42"/>
        <v>0.99549347132349975</v>
      </c>
      <c r="T119" s="4">
        <f t="shared" si="42"/>
        <v>0.99354772139898062</v>
      </c>
      <c r="U119" s="4">
        <f t="shared" si="42"/>
        <v>0.99076681540580536</v>
      </c>
      <c r="V119" s="4">
        <f t="shared" si="42"/>
        <v>0.9867978615748374</v>
      </c>
      <c r="W119" s="4">
        <f t="shared" si="42"/>
        <v>0.98114509762858249</v>
      </c>
      <c r="X119" s="4">
        <f t="shared" si="42"/>
        <v>0.97311898315872036</v>
      </c>
      <c r="Y119" s="4">
        <f t="shared" si="42"/>
        <v>0.96177484161592774</v>
      </c>
      <c r="Z119" s="4">
        <f t="shared" si="42"/>
        <v>0.94584787155511363</v>
      </c>
      <c r="AA119" s="4">
        <f t="shared" si="42"/>
        <v>0.92370360150141495</v>
      </c>
      <c r="AB119" s="4">
        <f t="shared" si="42"/>
        <v>0.89334463567658451</v>
      </c>
      <c r="AC119" s="4">
        <f t="shared" si="42"/>
        <v>0.85254543874327005</v>
      </c>
      <c r="AD119" s="4">
        <f t="shared" si="42"/>
        <v>0.79921300652623883</v>
      </c>
      <c r="AE119" s="4">
        <f t="shared" si="42"/>
        <v>0.73204982249993378</v>
      </c>
      <c r="AF119" s="4">
        <f t="shared" si="42"/>
        <v>0.65145592958786691</v>
      </c>
      <c r="AG119" s="4">
        <f t="shared" si="42"/>
        <v>0.56032247880849573</v>
      </c>
      <c r="AH119" s="4">
        <f t="shared" si="42"/>
        <v>0.46411326873185343</v>
      </c>
      <c r="AI119" s="4">
        <f t="shared" si="42"/>
        <v>0.36979727595523937</v>
      </c>
      <c r="AJ119" s="4">
        <f t="shared" si="42"/>
        <v>0.28393948637231203</v>
      </c>
      <c r="AK119" s="4">
        <f t="shared" si="42"/>
        <v>0.21097259161117732</v>
      </c>
      <c r="AL119" s="4">
        <f t="shared" si="42"/>
        <v>0.15253917653798199</v>
      </c>
      <c r="AM119" s="4">
        <f t="shared" si="42"/>
        <v>0.10795188737709993</v>
      </c>
      <c r="AN119" s="4">
        <f t="shared" si="42"/>
        <v>7.5176653938091809E-2</v>
      </c>
      <c r="AO119" s="4">
        <f t="shared" si="42"/>
        <v>5.1742836177502194E-2</v>
      </c>
      <c r="AP119" s="4">
        <f t="shared" si="42"/>
        <v>3.5319190625345942E-2</v>
      </c>
      <c r="AQ119" s="4">
        <f t="shared" si="42"/>
        <v>2.3969442072658165E-2</v>
      </c>
      <c r="AR119" s="4">
        <f t="shared" si="42"/>
        <v>1.6202243558389728E-2</v>
      </c>
    </row>
    <row r="120" spans="1:44" x14ac:dyDescent="0.3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42"/>
        <v>0.99780374543478534</v>
      </c>
      <c r="R120" s="4">
        <f t="shared" si="42"/>
        <v>0.99685359315256394</v>
      </c>
      <c r="S120" s="4">
        <f t="shared" si="42"/>
        <v>0.99549347132349975</v>
      </c>
      <c r="T120" s="4">
        <f t="shared" si="42"/>
        <v>0.99354772139898062</v>
      </c>
      <c r="U120" s="4">
        <f t="shared" si="42"/>
        <v>0.99076681540580536</v>
      </c>
      <c r="V120" s="4">
        <f t="shared" si="42"/>
        <v>0.9867978615748374</v>
      </c>
      <c r="W120" s="4">
        <f t="shared" si="42"/>
        <v>0.98114509762858249</v>
      </c>
      <c r="X120" s="4">
        <f t="shared" si="42"/>
        <v>0.97311898315872036</v>
      </c>
      <c r="Y120" s="4">
        <f t="shared" si="42"/>
        <v>0.96177484161592774</v>
      </c>
      <c r="Z120" s="4">
        <f t="shared" si="42"/>
        <v>0.94584787155511363</v>
      </c>
      <c r="AA120" s="4">
        <f t="shared" si="42"/>
        <v>0.92370360150141495</v>
      </c>
      <c r="AB120" s="4">
        <f t="shared" si="42"/>
        <v>0.89334463567658451</v>
      </c>
      <c r="AC120" s="4">
        <f t="shared" si="42"/>
        <v>0.85254543874327005</v>
      </c>
      <c r="AD120" s="4">
        <f t="shared" si="42"/>
        <v>0.79921300652623883</v>
      </c>
      <c r="AE120" s="4">
        <f t="shared" si="42"/>
        <v>0.73204982249993378</v>
      </c>
      <c r="AF120" s="4">
        <f t="shared" si="42"/>
        <v>0.65145592958786691</v>
      </c>
      <c r="AG120" s="4">
        <f t="shared" si="42"/>
        <v>0.56032247880849573</v>
      </c>
      <c r="AH120" s="4">
        <f t="shared" si="42"/>
        <v>0.46411326873185343</v>
      </c>
      <c r="AI120" s="4">
        <f t="shared" si="42"/>
        <v>0.36979727595523937</v>
      </c>
      <c r="AJ120" s="4">
        <f t="shared" si="42"/>
        <v>0.28393948637231203</v>
      </c>
      <c r="AK120" s="4">
        <f t="shared" si="42"/>
        <v>0.21097259161117732</v>
      </c>
      <c r="AL120" s="4">
        <f t="shared" si="42"/>
        <v>0.15253917653798199</v>
      </c>
      <c r="AM120" s="4">
        <f t="shared" si="42"/>
        <v>0.10795188737709993</v>
      </c>
      <c r="AN120" s="4">
        <f t="shared" si="42"/>
        <v>7.5176653938091809E-2</v>
      </c>
      <c r="AO120" s="4">
        <f t="shared" si="42"/>
        <v>5.1742836177502194E-2</v>
      </c>
      <c r="AP120" s="4">
        <f t="shared" si="42"/>
        <v>3.5319190625345942E-2</v>
      </c>
      <c r="AQ120" s="4">
        <f t="shared" si="42"/>
        <v>2.3969442072658165E-2</v>
      </c>
      <c r="AR120" s="4">
        <f t="shared" si="42"/>
        <v>1.6202243558389728E-2</v>
      </c>
    </row>
    <row r="121" spans="1:44" x14ac:dyDescent="0.3">
      <c r="A121" s="24" t="s">
        <v>79</v>
      </c>
      <c r="B121" s="92">
        <f>'Parameter Input'!$L$161</f>
        <v>0.06</v>
      </c>
      <c r="C121" s="91">
        <f>'Parameter Input'!$M$161</f>
        <v>0.06</v>
      </c>
      <c r="D121" s="1" t="s">
        <v>57</v>
      </c>
      <c r="L121" s="54">
        <f>'Parameter Input'!$O$149</f>
        <v>17</v>
      </c>
      <c r="M121" s="37">
        <v>0</v>
      </c>
      <c r="N121" s="37">
        <v>1</v>
      </c>
      <c r="O121" s="37">
        <f>'Parameter Input'!$P$149</f>
        <v>0.9</v>
      </c>
      <c r="P121" s="55">
        <f>'Parameter Input'!$Q$149</f>
        <v>0.4</v>
      </c>
      <c r="Q121" s="4">
        <f t="shared" si="42"/>
        <v>0.99780374543478534</v>
      </c>
      <c r="R121" s="4">
        <f t="shared" si="42"/>
        <v>0.99685359315256394</v>
      </c>
      <c r="S121" s="4">
        <f t="shared" si="42"/>
        <v>0.99549347132349975</v>
      </c>
      <c r="T121" s="4">
        <f t="shared" si="42"/>
        <v>0.99354772139898062</v>
      </c>
      <c r="U121" s="4">
        <f t="shared" si="42"/>
        <v>0.99076681540580536</v>
      </c>
      <c r="V121" s="4">
        <f t="shared" si="42"/>
        <v>0.9867978615748374</v>
      </c>
      <c r="W121" s="4">
        <f t="shared" si="42"/>
        <v>0.98114509762858249</v>
      </c>
      <c r="X121" s="4">
        <f t="shared" si="42"/>
        <v>0.97311898315872036</v>
      </c>
      <c r="Y121" s="4">
        <f t="shared" si="42"/>
        <v>0.96177484161592774</v>
      </c>
      <c r="Z121" s="4">
        <f t="shared" si="42"/>
        <v>0.94584787155511363</v>
      </c>
      <c r="AA121" s="4">
        <f t="shared" si="42"/>
        <v>0.92370360150141495</v>
      </c>
      <c r="AB121" s="4">
        <f t="shared" si="42"/>
        <v>0.89334463567658451</v>
      </c>
      <c r="AC121" s="4">
        <f t="shared" si="42"/>
        <v>0.85254543874327005</v>
      </c>
      <c r="AD121" s="4">
        <f t="shared" si="42"/>
        <v>0.79921300652623883</v>
      </c>
      <c r="AE121" s="4">
        <f t="shared" si="42"/>
        <v>0.73204982249993378</v>
      </c>
      <c r="AF121" s="4">
        <f t="shared" si="42"/>
        <v>0.65145592958786691</v>
      </c>
      <c r="AG121" s="4">
        <f t="shared" si="42"/>
        <v>0.56032247880849573</v>
      </c>
      <c r="AH121" s="4">
        <f t="shared" si="42"/>
        <v>0.46411326873185343</v>
      </c>
      <c r="AI121" s="4">
        <f t="shared" si="42"/>
        <v>0.36979727595523937</v>
      </c>
      <c r="AJ121" s="4">
        <f t="shared" si="42"/>
        <v>0.28393948637231203</v>
      </c>
      <c r="AK121" s="4">
        <f t="shared" si="42"/>
        <v>0.21097259161117732</v>
      </c>
      <c r="AL121" s="4">
        <f t="shared" si="42"/>
        <v>0.15253917653798199</v>
      </c>
      <c r="AM121" s="4">
        <f t="shared" si="42"/>
        <v>0.10795188737709993</v>
      </c>
      <c r="AN121" s="4">
        <f t="shared" si="42"/>
        <v>7.5176653938091809E-2</v>
      </c>
      <c r="AO121" s="4">
        <f t="shared" si="42"/>
        <v>5.1742836177502194E-2</v>
      </c>
      <c r="AP121" s="4">
        <f t="shared" si="42"/>
        <v>3.5319190625345942E-2</v>
      </c>
      <c r="AQ121" s="4">
        <f t="shared" si="42"/>
        <v>2.3969442072658165E-2</v>
      </c>
      <c r="AR121" s="4">
        <f t="shared" si="42"/>
        <v>1.6202243558389728E-2</v>
      </c>
    </row>
    <row r="122" spans="1:44" x14ac:dyDescent="0.3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42"/>
        <v>0.99780374543478534</v>
      </c>
      <c r="R122" s="4">
        <f t="shared" si="42"/>
        <v>0.99685359315256394</v>
      </c>
      <c r="S122" s="4">
        <f t="shared" si="42"/>
        <v>0.99549347132349975</v>
      </c>
      <c r="T122" s="4">
        <f t="shared" si="42"/>
        <v>0.99354772139898062</v>
      </c>
      <c r="U122" s="4">
        <f t="shared" si="42"/>
        <v>0.99076681540580536</v>
      </c>
      <c r="V122" s="4">
        <f t="shared" si="42"/>
        <v>0.9867978615748374</v>
      </c>
      <c r="W122" s="4">
        <f t="shared" si="42"/>
        <v>0.98114509762858249</v>
      </c>
      <c r="X122" s="4">
        <f t="shared" si="42"/>
        <v>0.97311898315872036</v>
      </c>
      <c r="Y122" s="4">
        <f t="shared" si="42"/>
        <v>0.96177484161592774</v>
      </c>
      <c r="Z122" s="4">
        <f t="shared" si="42"/>
        <v>0.94584787155511363</v>
      </c>
      <c r="AA122" s="4">
        <f t="shared" si="42"/>
        <v>0.92370360150141495</v>
      </c>
      <c r="AB122" s="4">
        <f t="shared" si="42"/>
        <v>0.89334463567658451</v>
      </c>
      <c r="AC122" s="4">
        <f t="shared" si="42"/>
        <v>0.85254543874327005</v>
      </c>
      <c r="AD122" s="4">
        <f t="shared" si="42"/>
        <v>0.79921300652623883</v>
      </c>
      <c r="AE122" s="4">
        <f t="shared" si="42"/>
        <v>0.73204982249993378</v>
      </c>
      <c r="AF122" s="4">
        <f t="shared" si="42"/>
        <v>0.65145592958786691</v>
      </c>
      <c r="AG122" s="4">
        <f t="shared" si="42"/>
        <v>0.56032247880849573</v>
      </c>
      <c r="AH122" s="4">
        <f t="shared" si="42"/>
        <v>0.46411326873185343</v>
      </c>
      <c r="AI122" s="4">
        <f t="shared" si="42"/>
        <v>0.36979727595523937</v>
      </c>
      <c r="AJ122" s="4">
        <f t="shared" si="42"/>
        <v>0.28393948637231203</v>
      </c>
      <c r="AK122" s="4">
        <f t="shared" si="42"/>
        <v>0.21097259161117732</v>
      </c>
      <c r="AL122" s="4">
        <f t="shared" si="42"/>
        <v>0.15253917653798199</v>
      </c>
      <c r="AM122" s="4">
        <f t="shared" si="42"/>
        <v>0.10795188737709993</v>
      </c>
      <c r="AN122" s="4">
        <f t="shared" si="42"/>
        <v>7.5176653938091809E-2</v>
      </c>
      <c r="AO122" s="4">
        <f t="shared" si="42"/>
        <v>5.1742836177502194E-2</v>
      </c>
      <c r="AP122" s="4">
        <f t="shared" si="42"/>
        <v>3.5319190625345942E-2</v>
      </c>
      <c r="AQ122" s="4">
        <f t="shared" si="42"/>
        <v>2.3969442072658165E-2</v>
      </c>
      <c r="AR122" s="4">
        <f t="shared" si="42"/>
        <v>1.6202243558389728E-2</v>
      </c>
    </row>
    <row r="123" spans="1:44" x14ac:dyDescent="0.3">
      <c r="A123" s="24" t="s">
        <v>52</v>
      </c>
      <c r="B123" s="60">
        <f>'Parameter Input'!$L$157</f>
        <v>488235.29411764705</v>
      </c>
      <c r="C123" s="61">
        <f>'Parameter Input'!$M$157</f>
        <v>488235.29411764705</v>
      </c>
      <c r="D123" s="1" t="s">
        <v>38</v>
      </c>
      <c r="L123" s="54">
        <f>'Parameter Input'!$O$145</f>
        <v>17</v>
      </c>
      <c r="M123" s="37">
        <v>0</v>
      </c>
      <c r="N123" s="37">
        <v>1</v>
      </c>
      <c r="O123" s="37">
        <f>'Parameter Input'!$P$145</f>
        <v>0.9</v>
      </c>
      <c r="P123" s="55">
        <f>'Parameter Input'!$Q$145</f>
        <v>0.4</v>
      </c>
      <c r="Q123" s="4">
        <f t="shared" si="42"/>
        <v>0.99780374543478534</v>
      </c>
      <c r="R123" s="4">
        <f t="shared" si="42"/>
        <v>0.99685359315256394</v>
      </c>
      <c r="S123" s="4">
        <f t="shared" si="42"/>
        <v>0.99549347132349975</v>
      </c>
      <c r="T123" s="4">
        <f t="shared" si="42"/>
        <v>0.99354772139898062</v>
      </c>
      <c r="U123" s="4">
        <f t="shared" si="42"/>
        <v>0.99076681540580536</v>
      </c>
      <c r="V123" s="4">
        <f t="shared" si="42"/>
        <v>0.9867978615748374</v>
      </c>
      <c r="W123" s="4">
        <f t="shared" si="42"/>
        <v>0.98114509762858249</v>
      </c>
      <c r="X123" s="4">
        <f t="shared" si="42"/>
        <v>0.97311898315872036</v>
      </c>
      <c r="Y123" s="4">
        <f t="shared" si="42"/>
        <v>0.96177484161592774</v>
      </c>
      <c r="Z123" s="4">
        <f t="shared" si="42"/>
        <v>0.94584787155511363</v>
      </c>
      <c r="AA123" s="4">
        <f t="shared" si="42"/>
        <v>0.92370360150141495</v>
      </c>
      <c r="AB123" s="4">
        <f t="shared" si="42"/>
        <v>0.89334463567658451</v>
      </c>
      <c r="AC123" s="4">
        <f t="shared" si="42"/>
        <v>0.85254543874327005</v>
      </c>
      <c r="AD123" s="4">
        <f t="shared" si="42"/>
        <v>0.79921300652623883</v>
      </c>
      <c r="AE123" s="4">
        <f t="shared" si="42"/>
        <v>0.73204982249993378</v>
      </c>
      <c r="AF123" s="4">
        <f t="shared" si="42"/>
        <v>0.65145592958786691</v>
      </c>
      <c r="AG123" s="4">
        <f t="shared" si="42"/>
        <v>0.56032247880849573</v>
      </c>
      <c r="AH123" s="4">
        <f t="shared" si="42"/>
        <v>0.46411326873185343</v>
      </c>
      <c r="AI123" s="4">
        <f t="shared" si="42"/>
        <v>0.36979727595523937</v>
      </c>
      <c r="AJ123" s="4">
        <f t="shared" si="42"/>
        <v>0.28393948637231203</v>
      </c>
      <c r="AK123" s="4">
        <f t="shared" si="42"/>
        <v>0.21097259161117732</v>
      </c>
      <c r="AL123" s="4">
        <f t="shared" si="42"/>
        <v>0.15253917653798199</v>
      </c>
      <c r="AM123" s="4">
        <f t="shared" si="42"/>
        <v>0.10795188737709993</v>
      </c>
      <c r="AN123" s="4">
        <f t="shared" si="42"/>
        <v>7.5176653938091809E-2</v>
      </c>
      <c r="AO123" s="4">
        <f t="shared" si="42"/>
        <v>5.1742836177502194E-2</v>
      </c>
      <c r="AP123" s="4">
        <f t="shared" si="42"/>
        <v>3.5319190625345942E-2</v>
      </c>
      <c r="AQ123" s="4">
        <f t="shared" si="42"/>
        <v>2.3969442072658165E-2</v>
      </c>
      <c r="AR123" s="4">
        <f t="shared" si="42"/>
        <v>1.6202243558389728E-2</v>
      </c>
    </row>
    <row r="124" spans="1:44" x14ac:dyDescent="0.3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42"/>
        <v>0.99780374543478534</v>
      </c>
      <c r="R124" s="4">
        <f t="shared" si="42"/>
        <v>0.99685359315256394</v>
      </c>
      <c r="S124" s="4">
        <f t="shared" si="42"/>
        <v>0.99549347132349975</v>
      </c>
      <c r="T124" s="4">
        <f t="shared" si="42"/>
        <v>0.99354772139898062</v>
      </c>
      <c r="U124" s="4">
        <f t="shared" si="42"/>
        <v>0.99076681540580536</v>
      </c>
      <c r="V124" s="4">
        <f t="shared" si="42"/>
        <v>0.9867978615748374</v>
      </c>
      <c r="W124" s="4">
        <f t="shared" si="42"/>
        <v>0.98114509762858249</v>
      </c>
      <c r="X124" s="4">
        <f t="shared" si="42"/>
        <v>0.97311898315872036</v>
      </c>
      <c r="Y124" s="4">
        <f t="shared" si="42"/>
        <v>0.96177484161592774</v>
      </c>
      <c r="Z124" s="4">
        <f t="shared" si="42"/>
        <v>0.94584787155511363</v>
      </c>
      <c r="AA124" s="4">
        <f t="shared" si="42"/>
        <v>0.92370360150141495</v>
      </c>
      <c r="AB124" s="4">
        <f t="shared" si="42"/>
        <v>0.89334463567658451</v>
      </c>
      <c r="AC124" s="4">
        <f t="shared" si="42"/>
        <v>0.85254543874327005</v>
      </c>
      <c r="AD124" s="4">
        <f t="shared" si="42"/>
        <v>0.79921300652623883</v>
      </c>
      <c r="AE124" s="4">
        <f t="shared" si="42"/>
        <v>0.73204982249993378</v>
      </c>
      <c r="AF124" s="4">
        <f t="shared" si="42"/>
        <v>0.65145592958786691</v>
      </c>
      <c r="AG124" s="4">
        <f t="shared" si="42"/>
        <v>0.56032247880849573</v>
      </c>
      <c r="AH124" s="4">
        <f t="shared" si="42"/>
        <v>0.46411326873185343</v>
      </c>
      <c r="AI124" s="4">
        <f t="shared" si="42"/>
        <v>0.36979727595523937</v>
      </c>
      <c r="AJ124" s="4">
        <f t="shared" si="42"/>
        <v>0.28393948637231203</v>
      </c>
      <c r="AK124" s="4">
        <f t="shared" si="42"/>
        <v>0.21097259161117732</v>
      </c>
      <c r="AL124" s="4">
        <f t="shared" si="42"/>
        <v>0.15253917653798199</v>
      </c>
      <c r="AM124" s="4">
        <f t="shared" si="42"/>
        <v>0.10795188737709993</v>
      </c>
      <c r="AN124" s="4">
        <f t="shared" si="42"/>
        <v>7.5176653938091809E-2</v>
      </c>
      <c r="AO124" s="4">
        <f t="shared" si="42"/>
        <v>5.1742836177502194E-2</v>
      </c>
      <c r="AP124" s="4">
        <f t="shared" si="42"/>
        <v>3.5319190625345942E-2</v>
      </c>
      <c r="AQ124" s="4">
        <f t="shared" si="42"/>
        <v>2.3969442072658165E-2</v>
      </c>
      <c r="AR124" s="4">
        <f t="shared" si="42"/>
        <v>1.6202243558389728E-2</v>
      </c>
    </row>
    <row r="125" spans="1:44" x14ac:dyDescent="0.3">
      <c r="A125" s="24" t="s">
        <v>59</v>
      </c>
      <c r="B125" s="60">
        <f>'Parameter Input'!$L$158</f>
        <v>647</v>
      </c>
      <c r="C125" s="61">
        <f>'Parameter Input'!$M$158</f>
        <v>600</v>
      </c>
      <c r="D125" s="1" t="s">
        <v>60</v>
      </c>
      <c r="L125" s="54">
        <f>'Parameter Input'!$O$146</f>
        <v>17</v>
      </c>
      <c r="M125" s="37">
        <v>0</v>
      </c>
      <c r="N125" s="37">
        <v>1</v>
      </c>
      <c r="O125" s="37">
        <f>'Parameter Input'!$P$146</f>
        <v>0.9</v>
      </c>
      <c r="P125" s="55">
        <f>'Parameter Input'!$Q$146</f>
        <v>0.4</v>
      </c>
      <c r="Q125" s="4">
        <f t="shared" si="42"/>
        <v>0.99780374543478534</v>
      </c>
      <c r="R125" s="4">
        <f t="shared" si="42"/>
        <v>0.99685359315256394</v>
      </c>
      <c r="S125" s="4">
        <f t="shared" si="42"/>
        <v>0.99549347132349975</v>
      </c>
      <c r="T125" s="4">
        <f t="shared" si="42"/>
        <v>0.99354772139898062</v>
      </c>
      <c r="U125" s="4">
        <f t="shared" si="42"/>
        <v>0.99076681540580536</v>
      </c>
      <c r="V125" s="4">
        <f t="shared" si="42"/>
        <v>0.9867978615748374</v>
      </c>
      <c r="W125" s="4">
        <f t="shared" si="42"/>
        <v>0.98114509762858249</v>
      </c>
      <c r="X125" s="4">
        <f t="shared" si="42"/>
        <v>0.97311898315872036</v>
      </c>
      <c r="Y125" s="4">
        <f t="shared" si="42"/>
        <v>0.96177484161592774</v>
      </c>
      <c r="Z125" s="4">
        <f t="shared" si="42"/>
        <v>0.94584787155511363</v>
      </c>
      <c r="AA125" s="4">
        <f t="shared" si="42"/>
        <v>0.92370360150141495</v>
      </c>
      <c r="AB125" s="4">
        <f t="shared" si="42"/>
        <v>0.89334463567658451</v>
      </c>
      <c r="AC125" s="4">
        <f t="shared" si="42"/>
        <v>0.85254543874327005</v>
      </c>
      <c r="AD125" s="4">
        <f t="shared" si="42"/>
        <v>0.79921300652623883</v>
      </c>
      <c r="AE125" s="4">
        <f t="shared" si="42"/>
        <v>0.73204982249993378</v>
      </c>
      <c r="AF125" s="4">
        <f t="shared" si="42"/>
        <v>0.65145592958786691</v>
      </c>
      <c r="AG125" s="4">
        <f t="shared" si="42"/>
        <v>0.56032247880849573</v>
      </c>
      <c r="AH125" s="4">
        <f t="shared" si="42"/>
        <v>0.46411326873185343</v>
      </c>
      <c r="AI125" s="4">
        <f t="shared" si="42"/>
        <v>0.36979727595523937</v>
      </c>
      <c r="AJ125" s="4">
        <f t="shared" si="42"/>
        <v>0.28393948637231203</v>
      </c>
      <c r="AK125" s="4">
        <f t="shared" si="42"/>
        <v>0.21097259161117732</v>
      </c>
      <c r="AL125" s="4">
        <f t="shared" si="42"/>
        <v>0.15253917653798199</v>
      </c>
      <c r="AM125" s="4">
        <f t="shared" si="42"/>
        <v>0.10795188737709993</v>
      </c>
      <c r="AN125" s="4">
        <f t="shared" si="42"/>
        <v>7.5176653938091809E-2</v>
      </c>
      <c r="AO125" s="4">
        <f t="shared" si="42"/>
        <v>5.1742836177502194E-2</v>
      </c>
      <c r="AP125" s="4">
        <f t="shared" si="42"/>
        <v>3.5319190625345942E-2</v>
      </c>
      <c r="AQ125" s="4">
        <f t="shared" si="42"/>
        <v>2.3969442072658165E-2</v>
      </c>
      <c r="AR125" s="4">
        <f t="shared" si="42"/>
        <v>1.6202243558389728E-2</v>
      </c>
    </row>
    <row r="126" spans="1:44" x14ac:dyDescent="0.3">
      <c r="A126" s="24" t="s">
        <v>67</v>
      </c>
      <c r="B126" s="78">
        <f>'Parameter Input'!$L$159</f>
        <v>3.1399999999999997E-2</v>
      </c>
      <c r="C126" s="61">
        <f>'Parameter Input'!$M$159</f>
        <v>3.1399999999999997E-2</v>
      </c>
      <c r="D126" s="1" t="s">
        <v>68</v>
      </c>
      <c r="L126" s="54">
        <f>'Parameter Input'!$O$147</f>
        <v>17</v>
      </c>
      <c r="M126" s="37">
        <v>0</v>
      </c>
      <c r="N126" s="37">
        <v>1</v>
      </c>
      <c r="O126" s="37">
        <f>'Parameter Input'!$P$147</f>
        <v>0.9</v>
      </c>
      <c r="P126" s="55">
        <f>'Parameter Input'!$Q$147</f>
        <v>0.4</v>
      </c>
      <c r="Q126" s="4">
        <f t="shared" si="42"/>
        <v>0.99780374543478534</v>
      </c>
      <c r="R126" s="4">
        <f t="shared" si="42"/>
        <v>0.99685359315256394</v>
      </c>
      <c r="S126" s="4">
        <f t="shared" si="42"/>
        <v>0.99549347132349975</v>
      </c>
      <c r="T126" s="4">
        <f t="shared" ref="T126:AI133" si="43">$N126+($M126-$N126)*((1/(1+EXP(-$P126*(T$9-$L126)))^$O126))</f>
        <v>0.99354772139898062</v>
      </c>
      <c r="U126" s="4">
        <f t="shared" si="43"/>
        <v>0.99076681540580536</v>
      </c>
      <c r="V126" s="4">
        <f t="shared" si="43"/>
        <v>0.9867978615748374</v>
      </c>
      <c r="W126" s="4">
        <f t="shared" si="43"/>
        <v>0.98114509762858249</v>
      </c>
      <c r="X126" s="4">
        <f t="shared" si="43"/>
        <v>0.97311898315872036</v>
      </c>
      <c r="Y126" s="4">
        <f t="shared" si="43"/>
        <v>0.96177484161592774</v>
      </c>
      <c r="Z126" s="4">
        <f t="shared" si="43"/>
        <v>0.94584787155511363</v>
      </c>
      <c r="AA126" s="4">
        <f t="shared" si="43"/>
        <v>0.92370360150141495</v>
      </c>
      <c r="AB126" s="4">
        <f t="shared" si="43"/>
        <v>0.89334463567658451</v>
      </c>
      <c r="AC126" s="4">
        <f t="shared" si="43"/>
        <v>0.85254543874327005</v>
      </c>
      <c r="AD126" s="4">
        <f t="shared" si="43"/>
        <v>0.79921300652623883</v>
      </c>
      <c r="AE126" s="4">
        <f t="shared" si="43"/>
        <v>0.73204982249993378</v>
      </c>
      <c r="AF126" s="4">
        <f t="shared" si="43"/>
        <v>0.65145592958786691</v>
      </c>
      <c r="AG126" s="4">
        <f t="shared" si="43"/>
        <v>0.56032247880849573</v>
      </c>
      <c r="AH126" s="4">
        <f t="shared" si="43"/>
        <v>0.46411326873185343</v>
      </c>
      <c r="AI126" s="4">
        <f t="shared" si="43"/>
        <v>0.36979727595523937</v>
      </c>
      <c r="AJ126" s="4">
        <f t="shared" ref="AJ126:AR133" si="44">$N126+($M126-$N126)*((1/(1+EXP(-$P126*(AJ$9-$L126)))^$O126))</f>
        <v>0.28393948637231203</v>
      </c>
      <c r="AK126" s="4">
        <f t="shared" si="44"/>
        <v>0.21097259161117732</v>
      </c>
      <c r="AL126" s="4">
        <f t="shared" si="44"/>
        <v>0.15253917653798199</v>
      </c>
      <c r="AM126" s="4">
        <f t="shared" si="44"/>
        <v>0.10795188737709993</v>
      </c>
      <c r="AN126" s="4">
        <f t="shared" si="44"/>
        <v>7.5176653938091809E-2</v>
      </c>
      <c r="AO126" s="4">
        <f t="shared" si="44"/>
        <v>5.1742836177502194E-2</v>
      </c>
      <c r="AP126" s="4">
        <f t="shared" si="44"/>
        <v>3.5319190625345942E-2</v>
      </c>
      <c r="AQ126" s="4">
        <f t="shared" si="44"/>
        <v>2.3969442072658165E-2</v>
      </c>
      <c r="AR126" s="4">
        <f t="shared" si="44"/>
        <v>1.6202243558389728E-2</v>
      </c>
    </row>
    <row r="127" spans="1:44" x14ac:dyDescent="0.3">
      <c r="A127" s="24" t="s">
        <v>206</v>
      </c>
      <c r="B127" s="78">
        <f>'Parameter Input'!$L$162</f>
        <v>18.177348551360843</v>
      </c>
      <c r="C127" s="61">
        <f>'Parameter Input'!$M$162</f>
        <v>58.999122036874446</v>
      </c>
      <c r="D127" s="1"/>
      <c r="L127" s="54">
        <f>'Parameter Input'!O150</f>
        <v>17</v>
      </c>
      <c r="M127" s="37">
        <v>0</v>
      </c>
      <c r="N127" s="37">
        <v>1</v>
      </c>
      <c r="O127" s="37">
        <f>'Parameter Input'!P150</f>
        <v>0.9</v>
      </c>
      <c r="P127" s="55">
        <f>'Parameter Input'!Q150</f>
        <v>0.4</v>
      </c>
      <c r="Q127" s="4">
        <f t="shared" ref="Q127:AR133" si="45">$N127+($M127-$N127)*((1/(1+EXP(-$P127*(Q$9-$L127)))^$O127))</f>
        <v>0.99780374543478534</v>
      </c>
      <c r="R127" s="4">
        <f t="shared" si="45"/>
        <v>0.99685359315256394</v>
      </c>
      <c r="S127" s="4">
        <f t="shared" si="45"/>
        <v>0.99549347132349975</v>
      </c>
      <c r="T127" s="4">
        <f t="shared" si="45"/>
        <v>0.99354772139898062</v>
      </c>
      <c r="U127" s="4">
        <f t="shared" si="45"/>
        <v>0.99076681540580536</v>
      </c>
      <c r="V127" s="4">
        <f t="shared" si="45"/>
        <v>0.9867978615748374</v>
      </c>
      <c r="W127" s="4">
        <f t="shared" si="45"/>
        <v>0.98114509762858249</v>
      </c>
      <c r="X127" s="4">
        <f t="shared" si="45"/>
        <v>0.97311898315872036</v>
      </c>
      <c r="Y127" s="4">
        <f t="shared" si="45"/>
        <v>0.96177484161592774</v>
      </c>
      <c r="Z127" s="4">
        <f t="shared" si="45"/>
        <v>0.94584787155511363</v>
      </c>
      <c r="AA127" s="4">
        <f t="shared" si="45"/>
        <v>0.92370360150141495</v>
      </c>
      <c r="AB127" s="4">
        <f t="shared" si="45"/>
        <v>0.89334463567658451</v>
      </c>
      <c r="AC127" s="4">
        <f t="shared" si="45"/>
        <v>0.85254543874327005</v>
      </c>
      <c r="AD127" s="4">
        <f t="shared" si="45"/>
        <v>0.79921300652623883</v>
      </c>
      <c r="AE127" s="4">
        <f t="shared" si="45"/>
        <v>0.73204982249993378</v>
      </c>
      <c r="AF127" s="4">
        <f t="shared" si="45"/>
        <v>0.65145592958786691</v>
      </c>
      <c r="AG127" s="4">
        <f t="shared" si="45"/>
        <v>0.56032247880849573</v>
      </c>
      <c r="AH127" s="4">
        <f t="shared" si="45"/>
        <v>0.46411326873185343</v>
      </c>
      <c r="AI127" s="4">
        <f t="shared" si="45"/>
        <v>0.36979727595523937</v>
      </c>
      <c r="AJ127" s="4">
        <f t="shared" si="45"/>
        <v>0.28393948637231203</v>
      </c>
      <c r="AK127" s="4">
        <f t="shared" si="45"/>
        <v>0.21097259161117732</v>
      </c>
      <c r="AL127" s="4">
        <f t="shared" si="45"/>
        <v>0.15253917653798199</v>
      </c>
      <c r="AM127" s="4">
        <f t="shared" si="45"/>
        <v>0.10795188737709993</v>
      </c>
      <c r="AN127" s="4">
        <f t="shared" si="45"/>
        <v>7.5176653938091809E-2</v>
      </c>
      <c r="AO127" s="4">
        <f t="shared" si="45"/>
        <v>5.1742836177502194E-2</v>
      </c>
      <c r="AP127" s="4">
        <f t="shared" si="45"/>
        <v>3.5319190625345942E-2</v>
      </c>
      <c r="AQ127" s="4">
        <f t="shared" si="45"/>
        <v>2.3969442072658165E-2</v>
      </c>
      <c r="AR127" s="4">
        <f t="shared" si="45"/>
        <v>1.6202243558389728E-2</v>
      </c>
    </row>
    <row r="128" spans="1:44" x14ac:dyDescent="0.3">
      <c r="A128" s="24" t="s">
        <v>41</v>
      </c>
      <c r="B128" s="60">
        <f>'Parameter Input'!$L$156</f>
        <v>25</v>
      </c>
      <c r="C128" s="61">
        <f>'Parameter Input'!$M$156</f>
        <v>25</v>
      </c>
      <c r="D128" s="1" t="s">
        <v>42</v>
      </c>
      <c r="L128" s="54">
        <f>'Parameter Input'!$O$144</f>
        <v>17</v>
      </c>
      <c r="M128" s="37">
        <v>0</v>
      </c>
      <c r="N128" s="37">
        <v>1</v>
      </c>
      <c r="O128" s="37">
        <f>'Parameter Input'!$P$144</f>
        <v>0.9</v>
      </c>
      <c r="P128" s="55">
        <f>'Parameter Input'!$Q$144</f>
        <v>0.4</v>
      </c>
      <c r="Q128" s="4">
        <f t="shared" si="45"/>
        <v>0.99780374543478534</v>
      </c>
      <c r="R128" s="4">
        <f t="shared" si="45"/>
        <v>0.99685359315256394</v>
      </c>
      <c r="S128" s="4">
        <f t="shared" si="45"/>
        <v>0.99549347132349975</v>
      </c>
      <c r="T128" s="4">
        <f t="shared" si="45"/>
        <v>0.99354772139898062</v>
      </c>
      <c r="U128" s="4">
        <f t="shared" si="45"/>
        <v>0.99076681540580536</v>
      </c>
      <c r="V128" s="4">
        <f t="shared" si="45"/>
        <v>0.9867978615748374</v>
      </c>
      <c r="W128" s="4">
        <f t="shared" si="45"/>
        <v>0.98114509762858249</v>
      </c>
      <c r="X128" s="4">
        <f t="shared" si="45"/>
        <v>0.97311898315872036</v>
      </c>
      <c r="Y128" s="4">
        <f t="shared" si="45"/>
        <v>0.96177484161592774</v>
      </c>
      <c r="Z128" s="4">
        <f t="shared" si="45"/>
        <v>0.94584787155511363</v>
      </c>
      <c r="AA128" s="4">
        <f t="shared" si="45"/>
        <v>0.92370360150141495</v>
      </c>
      <c r="AB128" s="4">
        <f t="shared" si="45"/>
        <v>0.89334463567658451</v>
      </c>
      <c r="AC128" s="4">
        <f t="shared" si="45"/>
        <v>0.85254543874327005</v>
      </c>
      <c r="AD128" s="4">
        <f t="shared" si="45"/>
        <v>0.79921300652623883</v>
      </c>
      <c r="AE128" s="4">
        <f t="shared" si="45"/>
        <v>0.73204982249993378</v>
      </c>
      <c r="AF128" s="4">
        <f t="shared" si="45"/>
        <v>0.65145592958786691</v>
      </c>
      <c r="AG128" s="4">
        <f t="shared" si="43"/>
        <v>0.56032247880849573</v>
      </c>
      <c r="AH128" s="4">
        <f t="shared" si="43"/>
        <v>0.46411326873185343</v>
      </c>
      <c r="AI128" s="4">
        <f t="shared" si="43"/>
        <v>0.36979727595523937</v>
      </c>
      <c r="AJ128" s="4">
        <f t="shared" si="44"/>
        <v>0.28393948637231203</v>
      </c>
      <c r="AK128" s="4">
        <f t="shared" si="44"/>
        <v>0.21097259161117732</v>
      </c>
      <c r="AL128" s="4">
        <f t="shared" si="44"/>
        <v>0.15253917653798199</v>
      </c>
      <c r="AM128" s="4">
        <f t="shared" si="44"/>
        <v>0.10795188737709993</v>
      </c>
      <c r="AN128" s="4">
        <f t="shared" si="44"/>
        <v>7.5176653938091809E-2</v>
      </c>
      <c r="AO128" s="4">
        <f t="shared" si="44"/>
        <v>5.1742836177502194E-2</v>
      </c>
      <c r="AP128" s="4">
        <f t="shared" si="44"/>
        <v>3.5319190625345942E-2</v>
      </c>
      <c r="AQ128" s="4">
        <f t="shared" si="44"/>
        <v>2.3969442072658165E-2</v>
      </c>
      <c r="AR128" s="4">
        <f t="shared" si="44"/>
        <v>1.6202243558389728E-2</v>
      </c>
    </row>
    <row r="129" spans="1:44" x14ac:dyDescent="0.3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45"/>
        <v>0.99780374543478534</v>
      </c>
      <c r="R129" s="4">
        <f t="shared" si="45"/>
        <v>0.99685359315256394</v>
      </c>
      <c r="S129" s="4">
        <f t="shared" si="45"/>
        <v>0.99549347132349975</v>
      </c>
      <c r="T129" s="4">
        <f t="shared" si="45"/>
        <v>0.99354772139898062</v>
      </c>
      <c r="U129" s="4">
        <f t="shared" si="45"/>
        <v>0.99076681540580536</v>
      </c>
      <c r="V129" s="4">
        <f t="shared" si="45"/>
        <v>0.9867978615748374</v>
      </c>
      <c r="W129" s="4">
        <f t="shared" si="45"/>
        <v>0.98114509762858249</v>
      </c>
      <c r="X129" s="4">
        <f t="shared" si="45"/>
        <v>0.97311898315872036</v>
      </c>
      <c r="Y129" s="4">
        <f t="shared" si="45"/>
        <v>0.96177484161592774</v>
      </c>
      <c r="Z129" s="4">
        <f t="shared" si="45"/>
        <v>0.94584787155511363</v>
      </c>
      <c r="AA129" s="4">
        <f t="shared" si="45"/>
        <v>0.92370360150141495</v>
      </c>
      <c r="AB129" s="4">
        <f t="shared" si="45"/>
        <v>0.89334463567658451</v>
      </c>
      <c r="AC129" s="4">
        <f t="shared" si="45"/>
        <v>0.85254543874327005</v>
      </c>
      <c r="AD129" s="4">
        <f t="shared" si="45"/>
        <v>0.79921300652623883</v>
      </c>
      <c r="AE129" s="4">
        <f t="shared" si="45"/>
        <v>0.73204982249993378</v>
      </c>
      <c r="AF129" s="4">
        <f t="shared" si="45"/>
        <v>0.65145592958786691</v>
      </c>
      <c r="AG129" s="4">
        <f t="shared" si="43"/>
        <v>0.56032247880849573</v>
      </c>
      <c r="AH129" s="4">
        <f t="shared" si="43"/>
        <v>0.46411326873185343</v>
      </c>
      <c r="AI129" s="4">
        <f t="shared" si="43"/>
        <v>0.36979727595523937</v>
      </c>
      <c r="AJ129" s="4">
        <f t="shared" si="44"/>
        <v>0.28393948637231203</v>
      </c>
      <c r="AK129" s="4">
        <f t="shared" si="44"/>
        <v>0.21097259161117732</v>
      </c>
      <c r="AL129" s="4">
        <f t="shared" si="44"/>
        <v>0.15253917653798199</v>
      </c>
      <c r="AM129" s="4">
        <f t="shared" si="44"/>
        <v>0.10795188737709993</v>
      </c>
      <c r="AN129" s="4">
        <f t="shared" si="44"/>
        <v>7.5176653938091809E-2</v>
      </c>
      <c r="AO129" s="4">
        <f t="shared" si="44"/>
        <v>5.1742836177502194E-2</v>
      </c>
      <c r="AP129" s="4">
        <f t="shared" si="44"/>
        <v>3.5319190625345942E-2</v>
      </c>
      <c r="AQ129" s="4">
        <f t="shared" si="44"/>
        <v>2.3969442072658165E-2</v>
      </c>
      <c r="AR129" s="4">
        <f t="shared" si="44"/>
        <v>1.6202243558389728E-2</v>
      </c>
    </row>
    <row r="130" spans="1:44" x14ac:dyDescent="0.3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45"/>
        <v>0.99780374543478534</v>
      </c>
      <c r="R130" s="4">
        <f t="shared" si="45"/>
        <v>0.99685359315256394</v>
      </c>
      <c r="S130" s="4">
        <f t="shared" si="45"/>
        <v>0.99549347132349975</v>
      </c>
      <c r="T130" s="4">
        <f t="shared" si="45"/>
        <v>0.99354772139898062</v>
      </c>
      <c r="U130" s="4">
        <f t="shared" si="45"/>
        <v>0.99076681540580536</v>
      </c>
      <c r="V130" s="4">
        <f t="shared" si="45"/>
        <v>0.9867978615748374</v>
      </c>
      <c r="W130" s="4">
        <f t="shared" si="45"/>
        <v>0.98114509762858249</v>
      </c>
      <c r="X130" s="4">
        <f t="shared" si="45"/>
        <v>0.97311898315872036</v>
      </c>
      <c r="Y130" s="4">
        <f t="shared" si="45"/>
        <v>0.96177484161592774</v>
      </c>
      <c r="Z130" s="4">
        <f t="shared" si="45"/>
        <v>0.94584787155511363</v>
      </c>
      <c r="AA130" s="4">
        <f t="shared" si="45"/>
        <v>0.92370360150141495</v>
      </c>
      <c r="AB130" s="4">
        <f t="shared" si="45"/>
        <v>0.89334463567658451</v>
      </c>
      <c r="AC130" s="4">
        <f t="shared" si="45"/>
        <v>0.85254543874327005</v>
      </c>
      <c r="AD130" s="4">
        <f t="shared" si="45"/>
        <v>0.79921300652623883</v>
      </c>
      <c r="AE130" s="4">
        <f t="shared" si="45"/>
        <v>0.73204982249993378</v>
      </c>
      <c r="AF130" s="4">
        <f t="shared" si="45"/>
        <v>0.65145592958786691</v>
      </c>
      <c r="AG130" s="4">
        <f t="shared" si="43"/>
        <v>0.56032247880849573</v>
      </c>
      <c r="AH130" s="4">
        <f t="shared" si="43"/>
        <v>0.46411326873185343</v>
      </c>
      <c r="AI130" s="4">
        <f t="shared" si="43"/>
        <v>0.36979727595523937</v>
      </c>
      <c r="AJ130" s="4">
        <f t="shared" si="44"/>
        <v>0.28393948637231203</v>
      </c>
      <c r="AK130" s="4">
        <f t="shared" si="44"/>
        <v>0.21097259161117732</v>
      </c>
      <c r="AL130" s="4">
        <f t="shared" si="44"/>
        <v>0.15253917653798199</v>
      </c>
      <c r="AM130" s="4">
        <f t="shared" si="44"/>
        <v>0.10795188737709993</v>
      </c>
      <c r="AN130" s="4">
        <f t="shared" si="44"/>
        <v>7.5176653938091809E-2</v>
      </c>
      <c r="AO130" s="4">
        <f t="shared" si="44"/>
        <v>5.1742836177502194E-2</v>
      </c>
      <c r="AP130" s="4">
        <f t="shared" si="44"/>
        <v>3.5319190625345942E-2</v>
      </c>
      <c r="AQ130" s="4">
        <f t="shared" si="44"/>
        <v>2.3969442072658165E-2</v>
      </c>
      <c r="AR130" s="4">
        <f t="shared" si="44"/>
        <v>1.6202243558389728E-2</v>
      </c>
    </row>
    <row r="131" spans="1:44" x14ac:dyDescent="0.3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45"/>
        <v>0.99780374543478534</v>
      </c>
      <c r="R131" s="4">
        <f t="shared" si="45"/>
        <v>0.99685359315256394</v>
      </c>
      <c r="S131" s="4">
        <f t="shared" si="45"/>
        <v>0.99549347132349975</v>
      </c>
      <c r="T131" s="4">
        <f t="shared" si="45"/>
        <v>0.99354772139898062</v>
      </c>
      <c r="U131" s="4">
        <f t="shared" si="45"/>
        <v>0.99076681540580536</v>
      </c>
      <c r="V131" s="4">
        <f t="shared" si="45"/>
        <v>0.9867978615748374</v>
      </c>
      <c r="W131" s="4">
        <f t="shared" si="45"/>
        <v>0.98114509762858249</v>
      </c>
      <c r="X131" s="4">
        <f t="shared" si="45"/>
        <v>0.97311898315872036</v>
      </c>
      <c r="Y131" s="4">
        <f t="shared" si="45"/>
        <v>0.96177484161592774</v>
      </c>
      <c r="Z131" s="4">
        <f t="shared" si="45"/>
        <v>0.94584787155511363</v>
      </c>
      <c r="AA131" s="4">
        <f t="shared" si="45"/>
        <v>0.92370360150141495</v>
      </c>
      <c r="AB131" s="4">
        <f t="shared" si="45"/>
        <v>0.89334463567658451</v>
      </c>
      <c r="AC131" s="4">
        <f t="shared" si="45"/>
        <v>0.85254543874327005</v>
      </c>
      <c r="AD131" s="4">
        <f t="shared" si="45"/>
        <v>0.79921300652623883</v>
      </c>
      <c r="AE131" s="4">
        <f t="shared" si="45"/>
        <v>0.73204982249993378</v>
      </c>
      <c r="AF131" s="4">
        <f t="shared" si="45"/>
        <v>0.65145592958786691</v>
      </c>
      <c r="AG131" s="4">
        <f t="shared" si="43"/>
        <v>0.56032247880849573</v>
      </c>
      <c r="AH131" s="4">
        <f t="shared" si="43"/>
        <v>0.46411326873185343</v>
      </c>
      <c r="AI131" s="4">
        <f t="shared" si="43"/>
        <v>0.36979727595523937</v>
      </c>
      <c r="AJ131" s="4">
        <f t="shared" si="44"/>
        <v>0.28393948637231203</v>
      </c>
      <c r="AK131" s="4">
        <f t="shared" si="44"/>
        <v>0.21097259161117732</v>
      </c>
      <c r="AL131" s="4">
        <f t="shared" si="44"/>
        <v>0.15253917653798199</v>
      </c>
      <c r="AM131" s="4">
        <f t="shared" si="44"/>
        <v>0.10795188737709993</v>
      </c>
      <c r="AN131" s="4">
        <f t="shared" si="44"/>
        <v>7.5176653938091809E-2</v>
      </c>
      <c r="AO131" s="4">
        <f t="shared" si="44"/>
        <v>5.1742836177502194E-2</v>
      </c>
      <c r="AP131" s="4">
        <f t="shared" si="44"/>
        <v>3.5319190625345942E-2</v>
      </c>
      <c r="AQ131" s="4">
        <f t="shared" si="44"/>
        <v>2.3969442072658165E-2</v>
      </c>
      <c r="AR131" s="4">
        <f t="shared" si="44"/>
        <v>1.6202243558389728E-2</v>
      </c>
    </row>
    <row r="132" spans="1:44" x14ac:dyDescent="0.3">
      <c r="A132" s="24" t="s">
        <v>73</v>
      </c>
      <c r="B132" s="45">
        <f>'Parameter Input'!$L$160</f>
        <v>0</v>
      </c>
      <c r="C132" s="46">
        <f>'Parameter Input'!$M$160</f>
        <v>0</v>
      </c>
      <c r="D132" s="1" t="s">
        <v>57</v>
      </c>
      <c r="L132" s="54">
        <f>'Parameter Input'!$O$148</f>
        <v>17</v>
      </c>
      <c r="M132" s="37">
        <v>0</v>
      </c>
      <c r="N132" s="37">
        <v>1</v>
      </c>
      <c r="O132" s="37">
        <f>'Parameter Input'!$P$148</f>
        <v>0.9</v>
      </c>
      <c r="P132" s="55">
        <f>'Parameter Input'!$Q$148</f>
        <v>0.4</v>
      </c>
      <c r="Q132" s="4">
        <f t="shared" si="45"/>
        <v>0.99780374543478534</v>
      </c>
      <c r="R132" s="4">
        <f t="shared" si="45"/>
        <v>0.99685359315256394</v>
      </c>
      <c r="S132" s="4">
        <f t="shared" si="45"/>
        <v>0.99549347132349975</v>
      </c>
      <c r="T132" s="4">
        <f t="shared" si="45"/>
        <v>0.99354772139898062</v>
      </c>
      <c r="U132" s="4">
        <f t="shared" si="45"/>
        <v>0.99076681540580536</v>
      </c>
      <c r="V132" s="4">
        <f t="shared" si="45"/>
        <v>0.9867978615748374</v>
      </c>
      <c r="W132" s="4">
        <f t="shared" si="45"/>
        <v>0.98114509762858249</v>
      </c>
      <c r="X132" s="4">
        <f t="shared" si="45"/>
        <v>0.97311898315872036</v>
      </c>
      <c r="Y132" s="4">
        <f t="shared" si="45"/>
        <v>0.96177484161592774</v>
      </c>
      <c r="Z132" s="4">
        <f t="shared" si="45"/>
        <v>0.94584787155511363</v>
      </c>
      <c r="AA132" s="4">
        <f t="shared" si="45"/>
        <v>0.92370360150141495</v>
      </c>
      <c r="AB132" s="4">
        <f t="shared" si="45"/>
        <v>0.89334463567658451</v>
      </c>
      <c r="AC132" s="4">
        <f t="shared" si="45"/>
        <v>0.85254543874327005</v>
      </c>
      <c r="AD132" s="4">
        <f t="shared" si="45"/>
        <v>0.79921300652623883</v>
      </c>
      <c r="AE132" s="4">
        <f t="shared" si="45"/>
        <v>0.73204982249993378</v>
      </c>
      <c r="AF132" s="4">
        <f t="shared" si="45"/>
        <v>0.65145592958786691</v>
      </c>
      <c r="AG132" s="4">
        <f t="shared" si="43"/>
        <v>0.56032247880849573</v>
      </c>
      <c r="AH132" s="4">
        <f t="shared" si="43"/>
        <v>0.46411326873185343</v>
      </c>
      <c r="AI132" s="4">
        <f t="shared" si="43"/>
        <v>0.36979727595523937</v>
      </c>
      <c r="AJ132" s="4">
        <f t="shared" si="44"/>
        <v>0.28393948637231203</v>
      </c>
      <c r="AK132" s="4">
        <f t="shared" si="44"/>
        <v>0.21097259161117732</v>
      </c>
      <c r="AL132" s="4">
        <f t="shared" si="44"/>
        <v>0.15253917653798199</v>
      </c>
      <c r="AM132" s="4">
        <f t="shared" si="44"/>
        <v>0.10795188737709993</v>
      </c>
      <c r="AN132" s="4">
        <f t="shared" si="44"/>
        <v>7.5176653938091809E-2</v>
      </c>
      <c r="AO132" s="4">
        <f t="shared" si="44"/>
        <v>5.1742836177502194E-2</v>
      </c>
      <c r="AP132" s="4">
        <f t="shared" si="44"/>
        <v>3.5319190625345942E-2</v>
      </c>
      <c r="AQ132" s="4">
        <f t="shared" si="44"/>
        <v>2.3969442072658165E-2</v>
      </c>
      <c r="AR132" s="4">
        <f t="shared" si="44"/>
        <v>1.6202243558389728E-2</v>
      </c>
    </row>
    <row r="133" spans="1:44" ht="15" thickBot="1" x14ac:dyDescent="0.35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45"/>
        <v>0.99780374543478534</v>
      </c>
      <c r="R133" s="4">
        <f t="shared" si="45"/>
        <v>0.99685359315256394</v>
      </c>
      <c r="S133" s="4">
        <f t="shared" si="45"/>
        <v>0.99549347132349975</v>
      </c>
      <c r="T133" s="4">
        <f t="shared" si="45"/>
        <v>0.99354772139898062</v>
      </c>
      <c r="U133" s="4">
        <f t="shared" si="45"/>
        <v>0.99076681540580536</v>
      </c>
      <c r="V133" s="4">
        <f t="shared" si="45"/>
        <v>0.9867978615748374</v>
      </c>
      <c r="W133" s="4">
        <f t="shared" si="45"/>
        <v>0.98114509762858249</v>
      </c>
      <c r="X133" s="4">
        <f t="shared" si="45"/>
        <v>0.97311898315872036</v>
      </c>
      <c r="Y133" s="4">
        <f t="shared" si="45"/>
        <v>0.96177484161592774</v>
      </c>
      <c r="Z133" s="4">
        <f t="shared" si="45"/>
        <v>0.94584787155511363</v>
      </c>
      <c r="AA133" s="4">
        <f t="shared" si="45"/>
        <v>0.92370360150141495</v>
      </c>
      <c r="AB133" s="4">
        <f t="shared" si="45"/>
        <v>0.89334463567658451</v>
      </c>
      <c r="AC133" s="4">
        <f t="shared" si="45"/>
        <v>0.85254543874327005</v>
      </c>
      <c r="AD133" s="4">
        <f t="shared" si="45"/>
        <v>0.79921300652623883</v>
      </c>
      <c r="AE133" s="4">
        <f t="shared" si="45"/>
        <v>0.73204982249993378</v>
      </c>
      <c r="AF133" s="4">
        <f t="shared" si="45"/>
        <v>0.65145592958786691</v>
      </c>
      <c r="AG133" s="4">
        <f t="shared" si="43"/>
        <v>0.56032247880849573</v>
      </c>
      <c r="AH133" s="4">
        <f t="shared" si="43"/>
        <v>0.46411326873185343</v>
      </c>
      <c r="AI133" s="4">
        <f t="shared" si="43"/>
        <v>0.36979727595523937</v>
      </c>
      <c r="AJ133" s="4">
        <f t="shared" si="44"/>
        <v>0.28393948637231203</v>
      </c>
      <c r="AK133" s="4">
        <f t="shared" si="44"/>
        <v>0.21097259161117732</v>
      </c>
      <c r="AL133" s="4">
        <f t="shared" si="44"/>
        <v>0.15253917653798199</v>
      </c>
      <c r="AM133" s="4">
        <f t="shared" si="44"/>
        <v>0.10795188737709993</v>
      </c>
      <c r="AN133" s="4">
        <f t="shared" si="44"/>
        <v>7.5176653938091809E-2</v>
      </c>
      <c r="AO133" s="4">
        <f t="shared" si="44"/>
        <v>5.1742836177502194E-2</v>
      </c>
      <c r="AP133" s="4">
        <f t="shared" si="44"/>
        <v>3.5319190625345942E-2</v>
      </c>
      <c r="AQ133" s="4">
        <f t="shared" si="44"/>
        <v>2.3969442072658165E-2</v>
      </c>
      <c r="AR133" s="4">
        <f t="shared" si="44"/>
        <v>1.6202243558389728E-2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51" si="46">A117</f>
        <v>Capex vehicle</v>
      </c>
      <c r="B137" s="62">
        <f t="shared" ref="B137:AC146" si="47">$B117+($C117-$B117)*(1-Q117)</f>
        <v>15000000</v>
      </c>
      <c r="C137" s="62">
        <f t="shared" si="47"/>
        <v>15000000</v>
      </c>
      <c r="D137" s="62">
        <f t="shared" si="47"/>
        <v>15000000</v>
      </c>
      <c r="E137" s="62">
        <f t="shared" si="47"/>
        <v>15000000</v>
      </c>
      <c r="F137" s="62">
        <f t="shared" si="47"/>
        <v>15000000</v>
      </c>
      <c r="G137" s="62">
        <f t="shared" si="47"/>
        <v>15000000</v>
      </c>
      <c r="H137" s="62">
        <f t="shared" si="47"/>
        <v>15000000</v>
      </c>
      <c r="I137" s="62">
        <f t="shared" si="47"/>
        <v>15000000</v>
      </c>
      <c r="J137" s="62">
        <f t="shared" si="47"/>
        <v>15000000</v>
      </c>
      <c r="K137" s="62">
        <f t="shared" si="47"/>
        <v>15000000</v>
      </c>
      <c r="L137" s="62">
        <f t="shared" si="47"/>
        <v>15000000</v>
      </c>
      <c r="M137" s="62">
        <f t="shared" si="47"/>
        <v>15000000</v>
      </c>
      <c r="N137" s="62">
        <f t="shared" si="47"/>
        <v>15000000</v>
      </c>
      <c r="O137" s="62">
        <f t="shared" si="47"/>
        <v>15000000</v>
      </c>
      <c r="P137" s="62">
        <f t="shared" si="47"/>
        <v>15000000</v>
      </c>
      <c r="Q137" s="62">
        <f t="shared" si="47"/>
        <v>15000000</v>
      </c>
      <c r="R137" s="62">
        <f t="shared" si="47"/>
        <v>15000000</v>
      </c>
      <c r="S137" s="62">
        <f t="shared" si="47"/>
        <v>15000000</v>
      </c>
      <c r="T137" s="62">
        <f t="shared" si="47"/>
        <v>15000000</v>
      </c>
      <c r="U137" s="62">
        <f t="shared" si="47"/>
        <v>15000000</v>
      </c>
      <c r="V137" s="62">
        <f t="shared" si="47"/>
        <v>15000000</v>
      </c>
      <c r="W137" s="62">
        <f t="shared" si="47"/>
        <v>15000000</v>
      </c>
      <c r="X137" s="62">
        <f t="shared" si="47"/>
        <v>15000000</v>
      </c>
      <c r="Y137" s="62">
        <f t="shared" si="47"/>
        <v>15000000</v>
      </c>
      <c r="Z137" s="62">
        <f t="shared" si="47"/>
        <v>15000000</v>
      </c>
      <c r="AA137" s="62">
        <f t="shared" si="47"/>
        <v>15000000</v>
      </c>
      <c r="AB137" s="62">
        <f t="shared" si="47"/>
        <v>15000000</v>
      </c>
      <c r="AC137" s="62">
        <f t="shared" si="47"/>
        <v>15000000</v>
      </c>
    </row>
    <row r="138" spans="1:44" x14ac:dyDescent="0.3">
      <c r="A138" s="30" t="str">
        <f t="shared" si="46"/>
        <v>Residual value (vehicle)</v>
      </c>
      <c r="B138" s="62">
        <f t="shared" si="47"/>
        <v>-1498352.8090760889</v>
      </c>
      <c r="C138" s="62">
        <f t="shared" si="47"/>
        <v>-1497640.194864423</v>
      </c>
      <c r="D138" s="62">
        <f t="shared" si="47"/>
        <v>-1496620.1034926248</v>
      </c>
      <c r="E138" s="62">
        <f t="shared" si="47"/>
        <v>-1495160.7910492355</v>
      </c>
      <c r="F138" s="62">
        <f t="shared" si="47"/>
        <v>-1493075.111554354</v>
      </c>
      <c r="G138" s="62">
        <f t="shared" si="47"/>
        <v>-1490098.396181128</v>
      </c>
      <c r="H138" s="62">
        <f t="shared" si="47"/>
        <v>-1485858.8232214369</v>
      </c>
      <c r="I138" s="62">
        <f t="shared" si="47"/>
        <v>-1479839.2373690403</v>
      </c>
      <c r="J138" s="62">
        <f t="shared" si="47"/>
        <v>-1471331.1312119458</v>
      </c>
      <c r="K138" s="62">
        <f t="shared" si="47"/>
        <v>-1459385.9036663352</v>
      </c>
      <c r="L138" s="62">
        <f t="shared" si="47"/>
        <v>-1442777.7011260611</v>
      </c>
      <c r="M138" s="62">
        <f t="shared" si="47"/>
        <v>-1420008.4767574384</v>
      </c>
      <c r="N138" s="62">
        <f t="shared" si="47"/>
        <v>-1389409.0790574525</v>
      </c>
      <c r="O138" s="62">
        <f t="shared" si="47"/>
        <v>-1349409.7548946792</v>
      </c>
      <c r="P138" s="62">
        <f t="shared" si="47"/>
        <v>-1299037.3668749502</v>
      </c>
      <c r="Q138" s="62">
        <f t="shared" si="47"/>
        <v>-1238591.9471909001</v>
      </c>
      <c r="R138" s="62">
        <f t="shared" si="47"/>
        <v>-1170241.8591063719</v>
      </c>
      <c r="S138" s="62">
        <f t="shared" si="47"/>
        <v>-1098084.9515488902</v>
      </c>
      <c r="T138" s="62">
        <f t="shared" si="47"/>
        <v>-1027347.9569664295</v>
      </c>
      <c r="U138" s="62">
        <f t="shared" si="47"/>
        <v>-962954.61477923405</v>
      </c>
      <c r="V138" s="62">
        <f t="shared" si="47"/>
        <v>-908229.44370838301</v>
      </c>
      <c r="W138" s="62">
        <f t="shared" si="47"/>
        <v>-864404.38240348652</v>
      </c>
      <c r="X138" s="62">
        <f t="shared" si="47"/>
        <v>-830963.91553282493</v>
      </c>
      <c r="Y138" s="62">
        <f t="shared" si="47"/>
        <v>-806382.49045356887</v>
      </c>
      <c r="Z138" s="62">
        <f t="shared" si="47"/>
        <v>-788807.1271331266</v>
      </c>
      <c r="AA138" s="62">
        <f t="shared" si="47"/>
        <v>-776489.39296900947</v>
      </c>
      <c r="AB138" s="62">
        <f t="shared" si="47"/>
        <v>-767977.08155449363</v>
      </c>
      <c r="AC138" s="62">
        <f t="shared" si="47"/>
        <v>-762151.68266879232</v>
      </c>
    </row>
    <row r="139" spans="1:44" x14ac:dyDescent="0.3">
      <c r="A139" s="30" t="str">
        <f t="shared" si="46"/>
        <v>Capex costumization</v>
      </c>
      <c r="B139" s="62">
        <f t="shared" si="47"/>
        <v>5000000</v>
      </c>
      <c r="C139" s="62">
        <f t="shared" si="47"/>
        <v>5000000</v>
      </c>
      <c r="D139" s="62">
        <f t="shared" si="47"/>
        <v>5000000</v>
      </c>
      <c r="E139" s="62">
        <f t="shared" si="47"/>
        <v>5000000</v>
      </c>
      <c r="F139" s="62">
        <f t="shared" si="47"/>
        <v>5000000</v>
      </c>
      <c r="G139" s="62">
        <f t="shared" si="47"/>
        <v>5000000</v>
      </c>
      <c r="H139" s="62">
        <f t="shared" si="47"/>
        <v>5000000</v>
      </c>
      <c r="I139" s="62">
        <f t="shared" si="47"/>
        <v>5000000</v>
      </c>
      <c r="J139" s="62">
        <f t="shared" si="47"/>
        <v>5000000</v>
      </c>
      <c r="K139" s="62">
        <f t="shared" si="47"/>
        <v>5000000</v>
      </c>
      <c r="L139" s="62">
        <f t="shared" si="47"/>
        <v>5000000</v>
      </c>
      <c r="M139" s="62">
        <f t="shared" si="47"/>
        <v>5000000</v>
      </c>
      <c r="N139" s="62">
        <f t="shared" si="47"/>
        <v>5000000</v>
      </c>
      <c r="O139" s="62">
        <f t="shared" si="47"/>
        <v>5000000</v>
      </c>
      <c r="P139" s="62">
        <f t="shared" si="47"/>
        <v>5000000</v>
      </c>
      <c r="Q139" s="62">
        <f t="shared" si="47"/>
        <v>5000000</v>
      </c>
      <c r="R139" s="62">
        <f t="shared" si="47"/>
        <v>5000000</v>
      </c>
      <c r="S139" s="62">
        <f t="shared" si="47"/>
        <v>5000000</v>
      </c>
      <c r="T139" s="62">
        <f t="shared" si="47"/>
        <v>5000000</v>
      </c>
      <c r="U139" s="62">
        <f t="shared" si="47"/>
        <v>5000000</v>
      </c>
      <c r="V139" s="62">
        <f t="shared" si="47"/>
        <v>5000000</v>
      </c>
      <c r="W139" s="62">
        <f t="shared" si="47"/>
        <v>5000000</v>
      </c>
      <c r="X139" s="62">
        <f t="shared" si="47"/>
        <v>5000000</v>
      </c>
      <c r="Y139" s="62">
        <f t="shared" si="47"/>
        <v>5000000</v>
      </c>
      <c r="Z139" s="62">
        <f t="shared" si="47"/>
        <v>5000000</v>
      </c>
      <c r="AA139" s="62">
        <f t="shared" si="47"/>
        <v>5000000</v>
      </c>
      <c r="AB139" s="62">
        <f t="shared" si="47"/>
        <v>5000000</v>
      </c>
      <c r="AC139" s="62">
        <f t="shared" si="47"/>
        <v>5000000</v>
      </c>
    </row>
    <row r="140" spans="1:44" x14ac:dyDescent="0.3">
      <c r="A140" s="30" t="str">
        <f t="shared" si="46"/>
        <v>Residual value (costumization)</v>
      </c>
      <c r="B140" s="62">
        <f t="shared" si="47"/>
        <v>-500000</v>
      </c>
      <c r="C140" s="62">
        <f t="shared" si="47"/>
        <v>-500000</v>
      </c>
      <c r="D140" s="62">
        <f t="shared" si="47"/>
        <v>-500000</v>
      </c>
      <c r="E140" s="62">
        <f t="shared" si="47"/>
        <v>-500000</v>
      </c>
      <c r="F140" s="62">
        <f t="shared" si="47"/>
        <v>-500000</v>
      </c>
      <c r="G140" s="62">
        <f t="shared" si="47"/>
        <v>-500000</v>
      </c>
      <c r="H140" s="62">
        <f t="shared" si="47"/>
        <v>-500000</v>
      </c>
      <c r="I140" s="62">
        <f t="shared" si="47"/>
        <v>-500000</v>
      </c>
      <c r="J140" s="62">
        <f t="shared" si="47"/>
        <v>-500000</v>
      </c>
      <c r="K140" s="62">
        <f t="shared" si="47"/>
        <v>-500000</v>
      </c>
      <c r="L140" s="62">
        <f t="shared" si="47"/>
        <v>-500000</v>
      </c>
      <c r="M140" s="62">
        <f t="shared" si="47"/>
        <v>-500000</v>
      </c>
      <c r="N140" s="62">
        <f t="shared" si="47"/>
        <v>-500000</v>
      </c>
      <c r="O140" s="62">
        <f t="shared" si="47"/>
        <v>-500000</v>
      </c>
      <c r="P140" s="62">
        <f t="shared" si="47"/>
        <v>-500000</v>
      </c>
      <c r="Q140" s="62">
        <f t="shared" si="47"/>
        <v>-500000</v>
      </c>
      <c r="R140" s="62">
        <f t="shared" si="47"/>
        <v>-500000</v>
      </c>
      <c r="S140" s="62">
        <f t="shared" si="47"/>
        <v>-500000</v>
      </c>
      <c r="T140" s="62">
        <f t="shared" si="47"/>
        <v>-500000</v>
      </c>
      <c r="U140" s="62">
        <f t="shared" si="47"/>
        <v>-500000</v>
      </c>
      <c r="V140" s="62">
        <f t="shared" si="47"/>
        <v>-500000</v>
      </c>
      <c r="W140" s="62">
        <f t="shared" si="47"/>
        <v>-500000</v>
      </c>
      <c r="X140" s="62">
        <f t="shared" si="47"/>
        <v>-500000</v>
      </c>
      <c r="Y140" s="62">
        <f t="shared" si="47"/>
        <v>-500000</v>
      </c>
      <c r="Z140" s="62">
        <f t="shared" si="47"/>
        <v>-500000</v>
      </c>
      <c r="AA140" s="62">
        <f t="shared" si="47"/>
        <v>-500000</v>
      </c>
      <c r="AB140" s="62">
        <f t="shared" si="47"/>
        <v>-500000</v>
      </c>
      <c r="AC140" s="62">
        <f t="shared" si="47"/>
        <v>-500000</v>
      </c>
    </row>
    <row r="141" spans="1:44" x14ac:dyDescent="0.3">
      <c r="A141" s="30" t="str">
        <f t="shared" si="46"/>
        <v>WACC</v>
      </c>
      <c r="B141" s="66">
        <f>$B121+($C121-$B121)*(1-Q121)</f>
        <v>0.06</v>
      </c>
      <c r="C141" s="62">
        <f t="shared" si="47"/>
        <v>0.06</v>
      </c>
      <c r="D141" s="62">
        <f t="shared" si="47"/>
        <v>0.06</v>
      </c>
      <c r="E141" s="62">
        <f t="shared" si="47"/>
        <v>0.06</v>
      </c>
      <c r="F141" s="62">
        <f t="shared" si="47"/>
        <v>0.06</v>
      </c>
      <c r="G141" s="62">
        <f t="shared" si="47"/>
        <v>0.06</v>
      </c>
      <c r="H141" s="62">
        <f t="shared" si="47"/>
        <v>0.06</v>
      </c>
      <c r="I141" s="62">
        <f t="shared" si="47"/>
        <v>0.06</v>
      </c>
      <c r="J141" s="62">
        <f t="shared" si="47"/>
        <v>0.06</v>
      </c>
      <c r="K141" s="62">
        <f t="shared" si="47"/>
        <v>0.06</v>
      </c>
      <c r="L141" s="62">
        <f t="shared" si="47"/>
        <v>0.06</v>
      </c>
      <c r="M141" s="62">
        <f t="shared" si="47"/>
        <v>0.06</v>
      </c>
      <c r="N141" s="62">
        <f t="shared" si="47"/>
        <v>0.06</v>
      </c>
      <c r="O141" s="62">
        <f t="shared" si="47"/>
        <v>0.06</v>
      </c>
      <c r="P141" s="62">
        <f t="shared" si="47"/>
        <v>0.06</v>
      </c>
      <c r="Q141" s="62">
        <f t="shared" si="47"/>
        <v>0.06</v>
      </c>
      <c r="R141" s="62">
        <f t="shared" si="47"/>
        <v>0.06</v>
      </c>
      <c r="S141" s="62">
        <f t="shared" si="47"/>
        <v>0.06</v>
      </c>
      <c r="T141" s="62">
        <f t="shared" si="47"/>
        <v>0.06</v>
      </c>
      <c r="U141" s="62">
        <f t="shared" si="47"/>
        <v>0.06</v>
      </c>
      <c r="V141" s="62">
        <f t="shared" si="47"/>
        <v>0.06</v>
      </c>
      <c r="W141" s="62">
        <f t="shared" si="47"/>
        <v>0.06</v>
      </c>
      <c r="X141" s="62">
        <f t="shared" si="47"/>
        <v>0.06</v>
      </c>
      <c r="Y141" s="62">
        <f t="shared" si="47"/>
        <v>0.06</v>
      </c>
      <c r="Z141" s="62">
        <f t="shared" si="47"/>
        <v>0.06</v>
      </c>
      <c r="AA141" s="62">
        <f t="shared" si="47"/>
        <v>0.06</v>
      </c>
      <c r="AB141" s="62">
        <f t="shared" si="47"/>
        <v>0.06</v>
      </c>
      <c r="AC141" s="62">
        <f t="shared" si="47"/>
        <v>0.06</v>
      </c>
    </row>
    <row r="142" spans="1:44" x14ac:dyDescent="0.3">
      <c r="A142" s="30" t="str">
        <f t="shared" si="46"/>
        <v>Opex fix (admin, crew, insurance)</v>
      </c>
      <c r="B142" s="62">
        <f t="shared" si="47"/>
        <v>1208235.294117647</v>
      </c>
      <c r="C142" s="62">
        <f t="shared" si="47"/>
        <v>1208235.294117647</v>
      </c>
      <c r="D142" s="62">
        <f t="shared" si="47"/>
        <v>1208235.294117647</v>
      </c>
      <c r="E142" s="62">
        <f t="shared" si="47"/>
        <v>1208235.294117647</v>
      </c>
      <c r="F142" s="62">
        <f t="shared" si="47"/>
        <v>1208235.294117647</v>
      </c>
      <c r="G142" s="62">
        <f t="shared" si="47"/>
        <v>1208235.294117647</v>
      </c>
      <c r="H142" s="62">
        <f t="shared" si="47"/>
        <v>1208235.294117647</v>
      </c>
      <c r="I142" s="62">
        <f t="shared" si="47"/>
        <v>1208235.294117647</v>
      </c>
      <c r="J142" s="62">
        <f t="shared" si="47"/>
        <v>1208235.294117647</v>
      </c>
      <c r="K142" s="62">
        <f t="shared" si="47"/>
        <v>1208235.294117647</v>
      </c>
      <c r="L142" s="62">
        <f t="shared" si="47"/>
        <v>1208235.294117647</v>
      </c>
      <c r="M142" s="62">
        <f t="shared" si="47"/>
        <v>1208235.294117647</v>
      </c>
      <c r="N142" s="62">
        <f t="shared" si="47"/>
        <v>1208235.294117647</v>
      </c>
      <c r="O142" s="62">
        <f t="shared" si="47"/>
        <v>1208235.294117647</v>
      </c>
      <c r="P142" s="62">
        <f t="shared" si="47"/>
        <v>1208235.294117647</v>
      </c>
      <c r="Q142" s="62">
        <f t="shared" si="47"/>
        <v>1208235.294117647</v>
      </c>
      <c r="R142" s="62">
        <f t="shared" si="47"/>
        <v>1208235.294117647</v>
      </c>
      <c r="S142" s="62">
        <f t="shared" si="47"/>
        <v>1208235.294117647</v>
      </c>
      <c r="T142" s="62">
        <f t="shared" si="47"/>
        <v>1208235.294117647</v>
      </c>
      <c r="U142" s="62">
        <f t="shared" si="47"/>
        <v>1208235.294117647</v>
      </c>
      <c r="V142" s="62">
        <f t="shared" si="47"/>
        <v>1208235.294117647</v>
      </c>
      <c r="W142" s="62">
        <f t="shared" si="47"/>
        <v>1208235.294117647</v>
      </c>
      <c r="X142" s="62">
        <f t="shared" si="47"/>
        <v>1208235.294117647</v>
      </c>
      <c r="Y142" s="62">
        <f t="shared" si="47"/>
        <v>1208235.294117647</v>
      </c>
      <c r="Z142" s="62">
        <f t="shared" si="47"/>
        <v>1208235.294117647</v>
      </c>
      <c r="AA142" s="62">
        <f t="shared" si="47"/>
        <v>1208235.294117647</v>
      </c>
      <c r="AB142" s="62">
        <f t="shared" si="47"/>
        <v>1208235.294117647</v>
      </c>
      <c r="AC142" s="62">
        <f t="shared" si="47"/>
        <v>1208235.294117647</v>
      </c>
    </row>
    <row r="143" spans="1:44" x14ac:dyDescent="0.3">
      <c r="A143" s="30" t="str">
        <f t="shared" si="46"/>
        <v>Opex maintenance &amp; repair</v>
      </c>
      <c r="B143" s="62">
        <f t="shared" si="47"/>
        <v>488235.29411764705</v>
      </c>
      <c r="C143" s="62">
        <f t="shared" si="47"/>
        <v>488235.29411764705</v>
      </c>
      <c r="D143" s="62">
        <f t="shared" si="47"/>
        <v>488235.29411764705</v>
      </c>
      <c r="E143" s="62">
        <f t="shared" si="47"/>
        <v>488235.29411764705</v>
      </c>
      <c r="F143" s="62">
        <f t="shared" si="47"/>
        <v>488235.29411764705</v>
      </c>
      <c r="G143" s="62">
        <f t="shared" si="47"/>
        <v>488235.29411764705</v>
      </c>
      <c r="H143" s="62">
        <f t="shared" si="47"/>
        <v>488235.29411764705</v>
      </c>
      <c r="I143" s="62">
        <f t="shared" si="47"/>
        <v>488235.29411764705</v>
      </c>
      <c r="J143" s="62">
        <f t="shared" si="47"/>
        <v>488235.29411764705</v>
      </c>
      <c r="K143" s="62">
        <f t="shared" si="47"/>
        <v>488235.29411764705</v>
      </c>
      <c r="L143" s="62">
        <f t="shared" si="47"/>
        <v>488235.29411764705</v>
      </c>
      <c r="M143" s="62">
        <f t="shared" si="47"/>
        <v>488235.29411764705</v>
      </c>
      <c r="N143" s="62">
        <f t="shared" si="47"/>
        <v>488235.29411764705</v>
      </c>
      <c r="O143" s="62">
        <f t="shared" si="47"/>
        <v>488235.29411764705</v>
      </c>
      <c r="P143" s="62">
        <f t="shared" si="47"/>
        <v>488235.29411764705</v>
      </c>
      <c r="Q143" s="62">
        <f t="shared" si="47"/>
        <v>488235.29411764705</v>
      </c>
      <c r="R143" s="62">
        <f t="shared" si="47"/>
        <v>488235.29411764705</v>
      </c>
      <c r="S143" s="62">
        <f t="shared" si="47"/>
        <v>488235.29411764705</v>
      </c>
      <c r="T143" s="62">
        <f t="shared" si="47"/>
        <v>488235.29411764705</v>
      </c>
      <c r="U143" s="62">
        <f t="shared" si="47"/>
        <v>488235.29411764705</v>
      </c>
      <c r="V143" s="62">
        <f t="shared" si="47"/>
        <v>488235.29411764705</v>
      </c>
      <c r="W143" s="62">
        <f t="shared" si="47"/>
        <v>488235.29411764705</v>
      </c>
      <c r="X143" s="62">
        <f t="shared" si="47"/>
        <v>488235.29411764705</v>
      </c>
      <c r="Y143" s="62">
        <f t="shared" si="47"/>
        <v>488235.29411764705</v>
      </c>
      <c r="Z143" s="62">
        <f t="shared" si="47"/>
        <v>488235.29411764705</v>
      </c>
      <c r="AA143" s="62">
        <f t="shared" si="47"/>
        <v>488235.29411764705</v>
      </c>
      <c r="AB143" s="62">
        <f t="shared" si="47"/>
        <v>488235.29411764705</v>
      </c>
      <c r="AC143" s="62">
        <f t="shared" si="47"/>
        <v>488235.29411764705</v>
      </c>
    </row>
    <row r="144" spans="1:44" x14ac:dyDescent="0.3">
      <c r="A144" s="30" t="str">
        <f t="shared" si="46"/>
        <v>Opex var (mode-fees)</v>
      </c>
      <c r="B144" s="62">
        <f t="shared" si="47"/>
        <v>1.6886890630966982</v>
      </c>
      <c r="C144" s="62">
        <f t="shared" si="47"/>
        <v>1.6886890630966982</v>
      </c>
      <c r="D144" s="62">
        <f t="shared" si="47"/>
        <v>1.6886890630966982</v>
      </c>
      <c r="E144" s="62">
        <f t="shared" si="47"/>
        <v>1.6886890630966982</v>
      </c>
      <c r="F144" s="62">
        <f t="shared" si="47"/>
        <v>1.6886890630966982</v>
      </c>
      <c r="G144" s="62">
        <f t="shared" si="47"/>
        <v>1.6886890630966982</v>
      </c>
      <c r="H144" s="62">
        <f t="shared" si="47"/>
        <v>1.6886890630966982</v>
      </c>
      <c r="I144" s="62">
        <f t="shared" si="47"/>
        <v>1.6886890630966982</v>
      </c>
      <c r="J144" s="62">
        <f t="shared" si="47"/>
        <v>1.6886890630966982</v>
      </c>
      <c r="K144" s="62">
        <f t="shared" si="47"/>
        <v>1.6886890630966982</v>
      </c>
      <c r="L144" s="62">
        <f t="shared" si="47"/>
        <v>1.6886890630966982</v>
      </c>
      <c r="M144" s="62">
        <f t="shared" si="47"/>
        <v>1.6886890630966982</v>
      </c>
      <c r="N144" s="62">
        <f t="shared" si="47"/>
        <v>1.6886890630966982</v>
      </c>
      <c r="O144" s="62">
        <f t="shared" si="47"/>
        <v>1.6886890630966982</v>
      </c>
      <c r="P144" s="62">
        <f t="shared" si="47"/>
        <v>1.6886890630966982</v>
      </c>
      <c r="Q144" s="62">
        <f t="shared" si="47"/>
        <v>1.6886890630966982</v>
      </c>
      <c r="R144" s="62">
        <f t="shared" si="47"/>
        <v>1.6886890630966982</v>
      </c>
      <c r="S144" s="62">
        <f t="shared" si="47"/>
        <v>1.6886890630966982</v>
      </c>
      <c r="T144" s="62">
        <f t="shared" si="47"/>
        <v>1.6886890630966982</v>
      </c>
      <c r="U144" s="62">
        <f t="shared" si="47"/>
        <v>1.6886890630966982</v>
      </c>
      <c r="V144" s="62">
        <f t="shared" si="47"/>
        <v>1.6886890630966982</v>
      </c>
      <c r="W144" s="62">
        <f t="shared" si="47"/>
        <v>1.6886890630966982</v>
      </c>
      <c r="X144" s="62">
        <f t="shared" si="47"/>
        <v>1.6886890630966982</v>
      </c>
      <c r="Y144" s="62">
        <f t="shared" si="47"/>
        <v>1.6886890630966982</v>
      </c>
      <c r="Z144" s="62">
        <f t="shared" si="47"/>
        <v>1.6886890630966982</v>
      </c>
      <c r="AA144" s="62">
        <f t="shared" si="47"/>
        <v>1.6886890630966982</v>
      </c>
      <c r="AB144" s="62">
        <f t="shared" si="47"/>
        <v>1.6886890630966982</v>
      </c>
      <c r="AC144" s="62">
        <f t="shared" si="47"/>
        <v>1.6886890630966982</v>
      </c>
    </row>
    <row r="145" spans="1:29" x14ac:dyDescent="0.3">
      <c r="A145" s="30" t="str">
        <f t="shared" si="46"/>
        <v>Fuel Economy</v>
      </c>
      <c r="B145" s="62">
        <f t="shared" si="47"/>
        <v>646.89677603543487</v>
      </c>
      <c r="C145" s="62">
        <f t="shared" si="47"/>
        <v>646.85211887817047</v>
      </c>
      <c r="D145" s="62">
        <f t="shared" si="47"/>
        <v>646.78819315220449</v>
      </c>
      <c r="E145" s="62">
        <f t="shared" si="47"/>
        <v>646.6967429057521</v>
      </c>
      <c r="F145" s="62">
        <f t="shared" si="47"/>
        <v>646.5660403240729</v>
      </c>
      <c r="G145" s="62">
        <f t="shared" si="47"/>
        <v>646.37949949401741</v>
      </c>
      <c r="H145" s="62">
        <f t="shared" si="47"/>
        <v>646.11381958854338</v>
      </c>
      <c r="I145" s="62">
        <f t="shared" si="47"/>
        <v>645.73659220845991</v>
      </c>
      <c r="J145" s="62">
        <f t="shared" si="47"/>
        <v>645.20341755594859</v>
      </c>
      <c r="K145" s="62">
        <f t="shared" si="47"/>
        <v>644.4548499630904</v>
      </c>
      <c r="L145" s="62">
        <f t="shared" si="47"/>
        <v>643.41406927056653</v>
      </c>
      <c r="M145" s="62">
        <f t="shared" si="47"/>
        <v>641.98719787679943</v>
      </c>
      <c r="N145" s="62">
        <f t="shared" si="47"/>
        <v>640.0696356209337</v>
      </c>
      <c r="O145" s="62">
        <f t="shared" si="47"/>
        <v>637.56301130673319</v>
      </c>
      <c r="P145" s="62">
        <f t="shared" si="47"/>
        <v>634.40634165749691</v>
      </c>
      <c r="Q145" s="62">
        <f t="shared" si="47"/>
        <v>630.6184286906298</v>
      </c>
      <c r="R145" s="62">
        <f t="shared" si="47"/>
        <v>626.33515650399931</v>
      </c>
      <c r="S145" s="62">
        <f t="shared" si="47"/>
        <v>621.81332363039712</v>
      </c>
      <c r="T145" s="62">
        <f t="shared" si="47"/>
        <v>617.38047196989623</v>
      </c>
      <c r="U145" s="62">
        <f t="shared" si="47"/>
        <v>613.34515585949862</v>
      </c>
      <c r="V145" s="62">
        <f t="shared" si="47"/>
        <v>609.91571180572532</v>
      </c>
      <c r="W145" s="62">
        <f t="shared" si="47"/>
        <v>607.1693412972852</v>
      </c>
      <c r="X145" s="62">
        <f t="shared" si="47"/>
        <v>605.0737387067237</v>
      </c>
      <c r="Y145" s="62">
        <f t="shared" si="47"/>
        <v>603.53330273509027</v>
      </c>
      <c r="Z145" s="62">
        <f t="shared" si="47"/>
        <v>602.43191330034256</v>
      </c>
      <c r="AA145" s="62">
        <f t="shared" si="47"/>
        <v>601.66000195939125</v>
      </c>
      <c r="AB145" s="62">
        <f t="shared" si="47"/>
        <v>601.12656377741496</v>
      </c>
      <c r="AC145" s="62">
        <f t="shared" si="47"/>
        <v>600.7615054472443</v>
      </c>
    </row>
    <row r="146" spans="1:29" x14ac:dyDescent="0.3">
      <c r="A146" s="30" t="str">
        <f t="shared" si="46"/>
        <v>Fuel Cost</v>
      </c>
      <c r="B146" s="62">
        <f t="shared" si="47"/>
        <v>3.1399999999999997E-2</v>
      </c>
      <c r="C146" s="62">
        <f t="shared" si="47"/>
        <v>3.1399999999999997E-2</v>
      </c>
      <c r="D146" s="62">
        <f t="shared" si="47"/>
        <v>3.1399999999999997E-2</v>
      </c>
      <c r="E146" s="62">
        <f t="shared" ref="E146:AC146" si="48">$B126+($C126-$B126)*(1-T126)</f>
        <v>3.1399999999999997E-2</v>
      </c>
      <c r="F146" s="62">
        <f t="shared" si="48"/>
        <v>3.1399999999999997E-2</v>
      </c>
      <c r="G146" s="62">
        <f t="shared" si="48"/>
        <v>3.1399999999999997E-2</v>
      </c>
      <c r="H146" s="62">
        <f t="shared" si="48"/>
        <v>3.1399999999999997E-2</v>
      </c>
      <c r="I146" s="62">
        <f t="shared" si="48"/>
        <v>3.1399999999999997E-2</v>
      </c>
      <c r="J146" s="62">
        <f t="shared" si="48"/>
        <v>3.1399999999999997E-2</v>
      </c>
      <c r="K146" s="62">
        <f t="shared" si="48"/>
        <v>3.1399999999999997E-2</v>
      </c>
      <c r="L146" s="62">
        <f t="shared" si="48"/>
        <v>3.1399999999999997E-2</v>
      </c>
      <c r="M146" s="62">
        <f t="shared" si="48"/>
        <v>3.1399999999999997E-2</v>
      </c>
      <c r="N146" s="62">
        <f t="shared" si="48"/>
        <v>3.1399999999999997E-2</v>
      </c>
      <c r="O146" s="62">
        <f t="shared" si="48"/>
        <v>3.1399999999999997E-2</v>
      </c>
      <c r="P146" s="62">
        <f t="shared" si="48"/>
        <v>3.1399999999999997E-2</v>
      </c>
      <c r="Q146" s="62">
        <f t="shared" si="48"/>
        <v>3.1399999999999997E-2</v>
      </c>
      <c r="R146" s="62">
        <f t="shared" si="48"/>
        <v>3.1399999999999997E-2</v>
      </c>
      <c r="S146" s="62">
        <f t="shared" si="48"/>
        <v>3.1399999999999997E-2</v>
      </c>
      <c r="T146" s="62">
        <f t="shared" si="48"/>
        <v>3.1399999999999997E-2</v>
      </c>
      <c r="U146" s="62">
        <f t="shared" si="48"/>
        <v>3.1399999999999997E-2</v>
      </c>
      <c r="V146" s="62">
        <f t="shared" si="48"/>
        <v>3.1399999999999997E-2</v>
      </c>
      <c r="W146" s="62">
        <f t="shared" si="48"/>
        <v>3.1399999999999997E-2</v>
      </c>
      <c r="X146" s="62">
        <f t="shared" si="48"/>
        <v>3.1399999999999997E-2</v>
      </c>
      <c r="Y146" s="62">
        <f t="shared" si="48"/>
        <v>3.1399999999999997E-2</v>
      </c>
      <c r="Z146" s="62">
        <f t="shared" si="48"/>
        <v>3.1399999999999997E-2</v>
      </c>
      <c r="AA146" s="62">
        <f t="shared" si="48"/>
        <v>3.1399999999999997E-2</v>
      </c>
      <c r="AB146" s="62">
        <f t="shared" si="48"/>
        <v>3.1399999999999997E-2</v>
      </c>
      <c r="AC146" s="62">
        <f t="shared" si="48"/>
        <v>3.1399999999999997E-2</v>
      </c>
    </row>
    <row r="147" spans="1:29" x14ac:dyDescent="0.3">
      <c r="A147" s="30" t="str">
        <f t="shared" si="46"/>
        <v>Emission Cost</v>
      </c>
      <c r="B147" s="98">
        <f>$B127+($C127-$B127)*(1-Q127)</f>
        <v>18.267003557738562</v>
      </c>
      <c r="C147" s="98">
        <f t="shared" ref="C147:AC150" si="49">$B127+($C127-$B127)*(1-R127)</f>
        <v>18.305790458980148</v>
      </c>
      <c r="D147" s="98">
        <f t="shared" si="49"/>
        <v>18.361313044198909</v>
      </c>
      <c r="E147" s="98">
        <f t="shared" si="49"/>
        <v>18.440742006877084</v>
      </c>
      <c r="F147" s="98">
        <f t="shared" si="49"/>
        <v>18.554263521414992</v>
      </c>
      <c r="G147" s="98">
        <f t="shared" si="49"/>
        <v>18.716283255677226</v>
      </c>
      <c r="H147" s="98">
        <f t="shared" si="49"/>
        <v>18.947039105058323</v>
      </c>
      <c r="I147" s="98">
        <f t="shared" si="49"/>
        <v>19.274679331915838</v>
      </c>
      <c r="J147" s="98">
        <f t="shared" si="49"/>
        <v>19.737767308363324</v>
      </c>
      <c r="K147" s="98">
        <f t="shared" si="49"/>
        <v>20.387934472496433</v>
      </c>
      <c r="L147" s="98">
        <f t="shared" si="49"/>
        <v>21.291902848630563</v>
      </c>
      <c r="M147" s="98">
        <f t="shared" si="49"/>
        <v>22.53120967478624</v>
      </c>
      <c r="N147" s="98">
        <f t="shared" si="49"/>
        <v>24.196705250388863</v>
      </c>
      <c r="O147" s="98">
        <f t="shared" si="49"/>
        <v>26.37382971778402</v>
      </c>
      <c r="P147" s="98">
        <f t="shared" si="49"/>
        <v>29.115550002671711</v>
      </c>
      <c r="Q147" s="98">
        <f t="shared" si="49"/>
        <v>32.405535643443841</v>
      </c>
      <c r="R147" s="98">
        <f t="shared" si="49"/>
        <v>36.125764728112543</v>
      </c>
      <c r="S147" s="98">
        <f t="shared" si="49"/>
        <v>40.053195309081424</v>
      </c>
      <c r="T147" s="98">
        <f t="shared" si="49"/>
        <v>43.903341402269703</v>
      </c>
      <c r="U147" s="98">
        <f t="shared" si="49"/>
        <v>47.40820864059085</v>
      </c>
      <c r="V147" s="98">
        <f t="shared" si="49"/>
        <v>50.386846690471195</v>
      </c>
      <c r="W147" s="98">
        <f t="shared" si="49"/>
        <v>52.772202324574174</v>
      </c>
      <c r="X147" s="98">
        <f t="shared" si="49"/>
        <v>54.592334543032798</v>
      </c>
      <c r="Y147" s="98">
        <f t="shared" si="49"/>
        <v>55.93027769841482</v>
      </c>
      <c r="Z147" s="98">
        <f t="shared" si="49"/>
        <v>56.886887698938416</v>
      </c>
      <c r="AA147" s="98">
        <f t="shared" si="49"/>
        <v>57.557330037474898</v>
      </c>
      <c r="AB147" s="98">
        <f t="shared" si="49"/>
        <v>58.020646902010256</v>
      </c>
      <c r="AC147" s="98">
        <f t="shared" si="49"/>
        <v>58.337717720376737</v>
      </c>
    </row>
    <row r="148" spans="1:29" x14ac:dyDescent="0.3">
      <c r="A148" s="30" t="str">
        <f t="shared" si="46"/>
        <v>Lifetime vehicle</v>
      </c>
      <c r="B148" s="62">
        <f>$B128+($C128-$B128)*(1-Q128)</f>
        <v>25</v>
      </c>
      <c r="C148" s="62">
        <f t="shared" si="49"/>
        <v>25</v>
      </c>
      <c r="D148" s="62">
        <f t="shared" si="49"/>
        <v>25</v>
      </c>
      <c r="E148" s="62">
        <f t="shared" si="49"/>
        <v>25</v>
      </c>
      <c r="F148" s="62">
        <f t="shared" si="49"/>
        <v>25</v>
      </c>
      <c r="G148" s="62">
        <f t="shared" si="49"/>
        <v>25</v>
      </c>
      <c r="H148" s="62">
        <f t="shared" si="49"/>
        <v>25</v>
      </c>
      <c r="I148" s="62">
        <f t="shared" si="49"/>
        <v>25</v>
      </c>
      <c r="J148" s="62">
        <f t="shared" si="49"/>
        <v>25</v>
      </c>
      <c r="K148" s="62">
        <f t="shared" si="49"/>
        <v>25</v>
      </c>
      <c r="L148" s="62">
        <f t="shared" si="49"/>
        <v>25</v>
      </c>
      <c r="M148" s="62">
        <f t="shared" si="49"/>
        <v>25</v>
      </c>
      <c r="N148" s="62">
        <f t="shared" si="49"/>
        <v>25</v>
      </c>
      <c r="O148" s="62">
        <f t="shared" si="49"/>
        <v>25</v>
      </c>
      <c r="P148" s="62">
        <f t="shared" si="49"/>
        <v>25</v>
      </c>
      <c r="Q148" s="62">
        <f t="shared" si="49"/>
        <v>25</v>
      </c>
      <c r="R148" s="62">
        <f t="shared" si="49"/>
        <v>25</v>
      </c>
      <c r="S148" s="62">
        <f t="shared" si="49"/>
        <v>25</v>
      </c>
      <c r="T148" s="62">
        <f t="shared" si="49"/>
        <v>25</v>
      </c>
      <c r="U148" s="62">
        <f t="shared" si="49"/>
        <v>25</v>
      </c>
      <c r="V148" s="62">
        <f t="shared" si="49"/>
        <v>25</v>
      </c>
      <c r="W148" s="62">
        <f t="shared" si="49"/>
        <v>25</v>
      </c>
      <c r="X148" s="62">
        <f t="shared" si="49"/>
        <v>25</v>
      </c>
      <c r="Y148" s="62">
        <f t="shared" si="49"/>
        <v>25</v>
      </c>
      <c r="Z148" s="62">
        <f t="shared" si="49"/>
        <v>25</v>
      </c>
      <c r="AA148" s="62">
        <f t="shared" si="49"/>
        <v>25</v>
      </c>
      <c r="AB148" s="62">
        <f t="shared" si="49"/>
        <v>25</v>
      </c>
      <c r="AC148" s="62">
        <f t="shared" si="49"/>
        <v>25</v>
      </c>
    </row>
    <row r="149" spans="1:29" x14ac:dyDescent="0.3">
      <c r="A149" s="30" t="str">
        <f t="shared" si="46"/>
        <v>Lifetime costumization</v>
      </c>
      <c r="B149" s="62">
        <f>$B129+($C129-$B129)*(1-Q129)</f>
        <v>25</v>
      </c>
      <c r="C149" s="62">
        <f t="shared" si="49"/>
        <v>25</v>
      </c>
      <c r="D149" s="62">
        <f t="shared" si="49"/>
        <v>25</v>
      </c>
      <c r="E149" s="62">
        <f t="shared" si="49"/>
        <v>25</v>
      </c>
      <c r="F149" s="62">
        <f t="shared" si="49"/>
        <v>25</v>
      </c>
      <c r="G149" s="62">
        <f t="shared" si="49"/>
        <v>25</v>
      </c>
      <c r="H149" s="62">
        <f t="shared" si="49"/>
        <v>25</v>
      </c>
      <c r="I149" s="62">
        <f t="shared" si="49"/>
        <v>25</v>
      </c>
      <c r="J149" s="62">
        <f t="shared" si="49"/>
        <v>25</v>
      </c>
      <c r="K149" s="62">
        <f t="shared" si="49"/>
        <v>25</v>
      </c>
      <c r="L149" s="62">
        <f t="shared" si="49"/>
        <v>25</v>
      </c>
      <c r="M149" s="62">
        <f t="shared" si="49"/>
        <v>25</v>
      </c>
      <c r="N149" s="62">
        <f t="shared" si="49"/>
        <v>25</v>
      </c>
      <c r="O149" s="62">
        <f t="shared" si="49"/>
        <v>25</v>
      </c>
      <c r="P149" s="62">
        <f t="shared" si="49"/>
        <v>25</v>
      </c>
      <c r="Q149" s="62">
        <f t="shared" si="49"/>
        <v>25</v>
      </c>
      <c r="R149" s="62">
        <f t="shared" si="49"/>
        <v>25</v>
      </c>
      <c r="S149" s="62">
        <f t="shared" si="49"/>
        <v>25</v>
      </c>
      <c r="T149" s="62">
        <f t="shared" si="49"/>
        <v>25</v>
      </c>
      <c r="U149" s="62">
        <f t="shared" si="49"/>
        <v>25</v>
      </c>
      <c r="V149" s="62">
        <f t="shared" si="49"/>
        <v>25</v>
      </c>
      <c r="W149" s="62">
        <f t="shared" si="49"/>
        <v>25</v>
      </c>
      <c r="X149" s="62">
        <f t="shared" si="49"/>
        <v>25</v>
      </c>
      <c r="Y149" s="62">
        <f t="shared" si="49"/>
        <v>25</v>
      </c>
      <c r="Z149" s="62">
        <f t="shared" si="49"/>
        <v>25</v>
      </c>
      <c r="AA149" s="62">
        <f t="shared" si="49"/>
        <v>25</v>
      </c>
      <c r="AB149" s="62">
        <f t="shared" si="49"/>
        <v>25</v>
      </c>
      <c r="AC149" s="62">
        <f t="shared" si="49"/>
        <v>25</v>
      </c>
    </row>
    <row r="150" spans="1:29" x14ac:dyDescent="0.3">
      <c r="A150" s="30" t="str">
        <f t="shared" si="46"/>
        <v>Tonnage .</v>
      </c>
      <c r="B150" s="62">
        <f>$B130+($C130-$B130)*(1-Q130)</f>
        <v>9450</v>
      </c>
      <c r="C150" s="62">
        <f t="shared" si="49"/>
        <v>9450</v>
      </c>
      <c r="D150" s="62">
        <f t="shared" si="49"/>
        <v>9450</v>
      </c>
      <c r="E150" s="62">
        <f t="shared" si="49"/>
        <v>9450</v>
      </c>
      <c r="F150" s="62">
        <f t="shared" si="49"/>
        <v>9450</v>
      </c>
      <c r="G150" s="62">
        <f t="shared" si="49"/>
        <v>9450</v>
      </c>
      <c r="H150" s="62">
        <f t="shared" si="49"/>
        <v>9450</v>
      </c>
      <c r="I150" s="62">
        <f t="shared" si="49"/>
        <v>9450</v>
      </c>
      <c r="J150" s="62">
        <f t="shared" si="49"/>
        <v>9450</v>
      </c>
      <c r="K150" s="62">
        <f t="shared" si="49"/>
        <v>9450</v>
      </c>
      <c r="L150" s="62">
        <f t="shared" si="49"/>
        <v>9450</v>
      </c>
      <c r="M150" s="62">
        <f t="shared" si="49"/>
        <v>9450</v>
      </c>
      <c r="N150" s="62">
        <f t="shared" si="49"/>
        <v>9450</v>
      </c>
      <c r="O150" s="62">
        <f t="shared" si="49"/>
        <v>9450</v>
      </c>
      <c r="P150" s="62">
        <f t="shared" si="49"/>
        <v>9450</v>
      </c>
      <c r="Q150" s="62">
        <f t="shared" si="49"/>
        <v>9450</v>
      </c>
      <c r="R150" s="62">
        <f t="shared" si="49"/>
        <v>9450</v>
      </c>
      <c r="S150" s="62">
        <f t="shared" si="49"/>
        <v>9450</v>
      </c>
      <c r="T150" s="62">
        <f t="shared" si="49"/>
        <v>9450</v>
      </c>
      <c r="U150" s="62">
        <f t="shared" si="49"/>
        <v>9450</v>
      </c>
      <c r="V150" s="62">
        <f t="shared" si="49"/>
        <v>9450</v>
      </c>
      <c r="W150" s="62">
        <f t="shared" si="49"/>
        <v>9450</v>
      </c>
      <c r="X150" s="62">
        <f t="shared" si="49"/>
        <v>9450</v>
      </c>
      <c r="Y150" s="62">
        <f t="shared" si="49"/>
        <v>9450</v>
      </c>
      <c r="Z150" s="62">
        <f t="shared" si="49"/>
        <v>9450</v>
      </c>
      <c r="AA150" s="62">
        <f t="shared" si="49"/>
        <v>9450</v>
      </c>
      <c r="AB150" s="62">
        <f t="shared" si="49"/>
        <v>9450</v>
      </c>
      <c r="AC150" s="62">
        <f t="shared" si="49"/>
        <v>9450</v>
      </c>
    </row>
    <row r="151" spans="1:29" x14ac:dyDescent="0.3">
      <c r="A151" s="30" t="str">
        <f t="shared" si="46"/>
        <v>Market failure (av. utilization)</v>
      </c>
      <c r="B151" s="62">
        <f t="shared" ref="B151:AC152" si="50">($B131+($C131-$B131)*(1-Q131))*B$44</f>
        <v>4063.5</v>
      </c>
      <c r="C151" s="62">
        <f t="shared" si="50"/>
        <v>4063.5</v>
      </c>
      <c r="D151" s="62">
        <f t="shared" si="50"/>
        <v>4063.5</v>
      </c>
      <c r="E151" s="62">
        <f t="shared" si="50"/>
        <v>4063.5</v>
      </c>
      <c r="F151" s="62">
        <f t="shared" si="50"/>
        <v>4063.5</v>
      </c>
      <c r="G151" s="62">
        <f t="shared" si="50"/>
        <v>4063.5</v>
      </c>
      <c r="H151" s="62">
        <f t="shared" si="50"/>
        <v>4063.5</v>
      </c>
      <c r="I151" s="62">
        <f t="shared" si="50"/>
        <v>4063.5</v>
      </c>
      <c r="J151" s="62">
        <f t="shared" si="50"/>
        <v>4063.5</v>
      </c>
      <c r="K151" s="62">
        <f t="shared" si="50"/>
        <v>4063.5</v>
      </c>
      <c r="L151" s="62">
        <f t="shared" si="50"/>
        <v>4063.5</v>
      </c>
      <c r="M151" s="62">
        <f t="shared" si="50"/>
        <v>4063.5</v>
      </c>
      <c r="N151" s="62">
        <f t="shared" si="50"/>
        <v>4063.5</v>
      </c>
      <c r="O151" s="62">
        <f t="shared" si="50"/>
        <v>4063.5</v>
      </c>
      <c r="P151" s="62">
        <f t="shared" si="50"/>
        <v>4063.5</v>
      </c>
      <c r="Q151" s="62">
        <f t="shared" si="50"/>
        <v>4063.5</v>
      </c>
      <c r="R151" s="62">
        <f t="shared" si="50"/>
        <v>4063.5</v>
      </c>
      <c r="S151" s="62">
        <f t="shared" si="50"/>
        <v>4063.5</v>
      </c>
      <c r="T151" s="62">
        <f t="shared" si="50"/>
        <v>4063.5</v>
      </c>
      <c r="U151" s="62">
        <f t="shared" si="50"/>
        <v>4063.5</v>
      </c>
      <c r="V151" s="62">
        <f t="shared" si="50"/>
        <v>4063.5</v>
      </c>
      <c r="W151" s="62">
        <f t="shared" si="50"/>
        <v>4063.5</v>
      </c>
      <c r="X151" s="62">
        <f t="shared" si="50"/>
        <v>4063.5</v>
      </c>
      <c r="Y151" s="62">
        <f t="shared" si="50"/>
        <v>4063.5</v>
      </c>
      <c r="Z151" s="62">
        <f t="shared" si="50"/>
        <v>4063.5</v>
      </c>
      <c r="AA151" s="62">
        <f t="shared" si="50"/>
        <v>4063.5</v>
      </c>
      <c r="AB151" s="62">
        <f t="shared" si="50"/>
        <v>4063.5</v>
      </c>
      <c r="AC151" s="62">
        <f t="shared" si="50"/>
        <v>4063.5</v>
      </c>
    </row>
    <row r="152" spans="1:29" x14ac:dyDescent="0.3">
      <c r="A152" s="30" t="s">
        <v>73</v>
      </c>
      <c r="B152" s="62">
        <f t="shared" si="50"/>
        <v>0</v>
      </c>
      <c r="C152" s="62">
        <f t="shared" si="50"/>
        <v>0</v>
      </c>
      <c r="D152" s="62">
        <f t="shared" si="50"/>
        <v>0</v>
      </c>
      <c r="E152" s="62">
        <f t="shared" si="50"/>
        <v>0</v>
      </c>
      <c r="F152" s="62">
        <f t="shared" si="50"/>
        <v>0</v>
      </c>
      <c r="G152" s="62">
        <f t="shared" si="50"/>
        <v>0</v>
      </c>
      <c r="H152" s="62">
        <f t="shared" si="50"/>
        <v>0</v>
      </c>
      <c r="I152" s="62">
        <f t="shared" si="50"/>
        <v>0</v>
      </c>
      <c r="J152" s="62">
        <f t="shared" si="50"/>
        <v>0</v>
      </c>
      <c r="K152" s="62">
        <f t="shared" si="50"/>
        <v>0</v>
      </c>
      <c r="L152" s="62">
        <f t="shared" si="50"/>
        <v>0</v>
      </c>
      <c r="M152" s="62">
        <f t="shared" si="50"/>
        <v>0</v>
      </c>
      <c r="N152" s="62">
        <f t="shared" si="50"/>
        <v>0</v>
      </c>
      <c r="O152" s="62">
        <f t="shared" si="50"/>
        <v>0</v>
      </c>
      <c r="P152" s="62">
        <f t="shared" si="50"/>
        <v>0</v>
      </c>
      <c r="Q152" s="62">
        <f t="shared" si="50"/>
        <v>0</v>
      </c>
      <c r="R152" s="62">
        <f t="shared" si="50"/>
        <v>0</v>
      </c>
      <c r="S152" s="62">
        <f t="shared" si="50"/>
        <v>0</v>
      </c>
      <c r="T152" s="62">
        <f t="shared" si="50"/>
        <v>0</v>
      </c>
      <c r="U152" s="62">
        <f t="shared" si="50"/>
        <v>0</v>
      </c>
      <c r="V152" s="62">
        <f t="shared" si="50"/>
        <v>0</v>
      </c>
      <c r="W152" s="62">
        <f t="shared" si="50"/>
        <v>0</v>
      </c>
      <c r="X152" s="62">
        <f t="shared" si="50"/>
        <v>0</v>
      </c>
      <c r="Y152" s="62">
        <f t="shared" si="50"/>
        <v>0</v>
      </c>
      <c r="Z152" s="62">
        <f t="shared" si="50"/>
        <v>0</v>
      </c>
      <c r="AA152" s="62">
        <f t="shared" si="50"/>
        <v>0</v>
      </c>
      <c r="AB152" s="62">
        <f t="shared" si="50"/>
        <v>0</v>
      </c>
      <c r="AC152" s="62">
        <f t="shared" si="50"/>
        <v>0</v>
      </c>
    </row>
    <row r="153" spans="1:29" x14ac:dyDescent="0.3">
      <c r="A153" s="30" t="str">
        <f>A133</f>
        <v>Annual Mileage</v>
      </c>
      <c r="B153" s="62">
        <f t="shared" ref="B153:AC153" si="51">$B133+($C133-$B133)*(1-Q133)</f>
        <v>120000</v>
      </c>
      <c r="C153" s="62">
        <f t="shared" si="51"/>
        <v>120000</v>
      </c>
      <c r="D153" s="62">
        <f t="shared" si="51"/>
        <v>120000</v>
      </c>
      <c r="E153" s="62">
        <f t="shared" si="51"/>
        <v>120000</v>
      </c>
      <c r="F153" s="62">
        <f t="shared" si="51"/>
        <v>120000</v>
      </c>
      <c r="G153" s="62">
        <f t="shared" si="51"/>
        <v>120000</v>
      </c>
      <c r="H153" s="62">
        <f t="shared" si="51"/>
        <v>120000</v>
      </c>
      <c r="I153" s="62">
        <f t="shared" si="51"/>
        <v>120000</v>
      </c>
      <c r="J153" s="62">
        <f t="shared" si="51"/>
        <v>120000</v>
      </c>
      <c r="K153" s="62">
        <f t="shared" si="51"/>
        <v>120000</v>
      </c>
      <c r="L153" s="62">
        <f t="shared" si="51"/>
        <v>120000</v>
      </c>
      <c r="M153" s="62">
        <f t="shared" si="51"/>
        <v>120000</v>
      </c>
      <c r="N153" s="62">
        <f t="shared" si="51"/>
        <v>120000</v>
      </c>
      <c r="O153" s="62">
        <f t="shared" si="51"/>
        <v>120000</v>
      </c>
      <c r="P153" s="62">
        <f t="shared" si="51"/>
        <v>120000</v>
      </c>
      <c r="Q153" s="62">
        <f t="shared" si="51"/>
        <v>120000</v>
      </c>
      <c r="R153" s="62">
        <f t="shared" si="51"/>
        <v>120000</v>
      </c>
      <c r="S153" s="62">
        <f t="shared" si="51"/>
        <v>120000</v>
      </c>
      <c r="T153" s="62">
        <f t="shared" si="51"/>
        <v>120000</v>
      </c>
      <c r="U153" s="62">
        <f t="shared" si="51"/>
        <v>120000</v>
      </c>
      <c r="V153" s="62">
        <f t="shared" si="51"/>
        <v>120000</v>
      </c>
      <c r="W153" s="62">
        <f t="shared" si="51"/>
        <v>120000</v>
      </c>
      <c r="X153" s="62">
        <f t="shared" si="51"/>
        <v>120000</v>
      </c>
      <c r="Y153" s="62">
        <f t="shared" si="51"/>
        <v>120000</v>
      </c>
      <c r="Z153" s="62">
        <f t="shared" si="51"/>
        <v>120000</v>
      </c>
      <c r="AA153" s="62">
        <f t="shared" si="51"/>
        <v>120000</v>
      </c>
      <c r="AB153" s="62">
        <f t="shared" si="51"/>
        <v>120000</v>
      </c>
      <c r="AC153" s="62">
        <f t="shared" si="51"/>
        <v>120000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1173400.7731841092</v>
      </c>
      <c r="C156" s="63">
        <f t="shared" ref="C156:AC156" si="52">((1+C141)^C148)*C141/(((1+C141)^C148)-1)*(C137)</f>
        <v>1173400.7731841092</v>
      </c>
      <c r="D156" s="63">
        <f t="shared" si="52"/>
        <v>1173400.7731841092</v>
      </c>
      <c r="E156" s="63">
        <f t="shared" si="52"/>
        <v>1173400.7731841092</v>
      </c>
      <c r="F156" s="63">
        <f t="shared" si="52"/>
        <v>1173400.7731841092</v>
      </c>
      <c r="G156" s="63">
        <f t="shared" si="52"/>
        <v>1173400.7731841092</v>
      </c>
      <c r="H156" s="63">
        <f t="shared" si="52"/>
        <v>1173400.7731841092</v>
      </c>
      <c r="I156" s="63">
        <f t="shared" si="52"/>
        <v>1173400.7731841092</v>
      </c>
      <c r="J156" s="63">
        <f t="shared" si="52"/>
        <v>1173400.7731841092</v>
      </c>
      <c r="K156" s="63">
        <f t="shared" si="52"/>
        <v>1173400.7731841092</v>
      </c>
      <c r="L156" s="63">
        <f t="shared" si="52"/>
        <v>1173400.7731841092</v>
      </c>
      <c r="M156" s="63">
        <f t="shared" si="52"/>
        <v>1173400.7731841092</v>
      </c>
      <c r="N156" s="63">
        <f t="shared" si="52"/>
        <v>1173400.7731841092</v>
      </c>
      <c r="O156" s="63">
        <f t="shared" si="52"/>
        <v>1173400.7731841092</v>
      </c>
      <c r="P156" s="63">
        <f t="shared" si="52"/>
        <v>1173400.7731841092</v>
      </c>
      <c r="Q156" s="63">
        <f t="shared" si="52"/>
        <v>1173400.7731841092</v>
      </c>
      <c r="R156" s="63">
        <f t="shared" si="52"/>
        <v>1173400.7731841092</v>
      </c>
      <c r="S156" s="63">
        <f t="shared" si="52"/>
        <v>1173400.7731841092</v>
      </c>
      <c r="T156" s="63">
        <f t="shared" si="52"/>
        <v>1173400.7731841092</v>
      </c>
      <c r="U156" s="63">
        <f t="shared" si="52"/>
        <v>1173400.7731841092</v>
      </c>
      <c r="V156" s="63">
        <f t="shared" si="52"/>
        <v>1173400.7731841092</v>
      </c>
      <c r="W156" s="63">
        <f t="shared" si="52"/>
        <v>1173400.7731841092</v>
      </c>
      <c r="X156" s="63">
        <f t="shared" si="52"/>
        <v>1173400.7731841092</v>
      </c>
      <c r="Y156" s="63">
        <f t="shared" si="52"/>
        <v>1173400.7731841092</v>
      </c>
      <c r="Z156" s="63">
        <f t="shared" si="52"/>
        <v>1173400.7731841092</v>
      </c>
      <c r="AA156" s="63">
        <f t="shared" si="52"/>
        <v>1173400.7731841092</v>
      </c>
      <c r="AB156" s="63">
        <f t="shared" si="52"/>
        <v>1173400.7731841092</v>
      </c>
      <c r="AC156" s="63">
        <f t="shared" si="52"/>
        <v>1173400.7731841092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-117211.22297816433</v>
      </c>
      <c r="C157" s="62">
        <f t="shared" ref="C157:AC157" si="53">((1+C141)^C148)*C141/(((1+C141)^C148)-1)*(C138)</f>
        <v>-117155.47750703427</v>
      </c>
      <c r="D157" s="62">
        <f t="shared" si="53"/>
        <v>-117075.67910674184</v>
      </c>
      <c r="E157" s="62">
        <f t="shared" si="53"/>
        <v>-116961.52188344915</v>
      </c>
      <c r="F157" s="62">
        <f t="shared" si="53"/>
        <v>-116798.36602132194</v>
      </c>
      <c r="G157" s="62">
        <f t="shared" si="53"/>
        <v>-116565.50734662244</v>
      </c>
      <c r="H157" s="62">
        <f t="shared" si="53"/>
        <v>-116233.85946736432</v>
      </c>
      <c r="I157" s="62">
        <f t="shared" si="53"/>
        <v>-115762.96702113429</v>
      </c>
      <c r="J157" s="62">
        <f t="shared" si="53"/>
        <v>-115097.40579826315</v>
      </c>
      <c r="K157" s="62">
        <f t="shared" si="53"/>
        <v>-114162.96984907117</v>
      </c>
      <c r="L157" s="62">
        <f t="shared" si="53"/>
        <v>-112863.76466894078</v>
      </c>
      <c r="M157" s="62">
        <f t="shared" si="53"/>
        <v>-111082.60297034449</v>
      </c>
      <c r="N157" s="62">
        <f t="shared" si="53"/>
        <v>-108688.91250900239</v>
      </c>
      <c r="O157" s="62">
        <f t="shared" si="53"/>
        <v>-105559.89664903973</v>
      </c>
      <c r="P157" s="62">
        <f t="shared" si="53"/>
        <v>-101619.43004574107</v>
      </c>
      <c r="Q157" s="62">
        <f t="shared" si="53"/>
        <v>-96890.983232894243</v>
      </c>
      <c r="R157" s="62">
        <f t="shared" si="53"/>
        <v>-91544.180152521745</v>
      </c>
      <c r="S157" s="62">
        <f t="shared" si="53"/>
        <v>-85899.582077953528</v>
      </c>
      <c r="T157" s="62">
        <f t="shared" si="53"/>
        <v>-80366.059135568226</v>
      </c>
      <c r="U157" s="62">
        <f t="shared" si="53"/>
        <v>-75328.779301543953</v>
      </c>
      <c r="V157" s="62">
        <f t="shared" si="53"/>
        <v>-71047.808765066002</v>
      </c>
      <c r="W157" s="62">
        <f t="shared" si="53"/>
        <v>-67619.518043732241</v>
      </c>
      <c r="X157" s="62">
        <f t="shared" si="53"/>
        <v>-65003.580064954105</v>
      </c>
      <c r="Y157" s="62">
        <f t="shared" si="53"/>
        <v>-63080.655852023017</v>
      </c>
      <c r="Z157" s="62">
        <f t="shared" si="53"/>
        <v>-61705.792858076449</v>
      </c>
      <c r="AA157" s="62">
        <f t="shared" si="53"/>
        <v>-60742.216938606354</v>
      </c>
      <c r="AB157" s="62">
        <f t="shared" si="53"/>
        <v>-60076.3267522479</v>
      </c>
      <c r="AC157" s="62">
        <f t="shared" si="53"/>
        <v>-59620.624915142049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54">((1+C141)^C149)*C141/(((1+C141)^C149)-1)*(C139)</f>
        <v>391133.59106136975</v>
      </c>
      <c r="D158" s="62">
        <f t="shared" si="54"/>
        <v>391133.59106136975</v>
      </c>
      <c r="E158" s="62">
        <f t="shared" si="54"/>
        <v>391133.59106136975</v>
      </c>
      <c r="F158" s="62">
        <f t="shared" si="54"/>
        <v>391133.59106136975</v>
      </c>
      <c r="G158" s="62">
        <f t="shared" si="54"/>
        <v>391133.59106136975</v>
      </c>
      <c r="H158" s="62">
        <f t="shared" si="54"/>
        <v>391133.59106136975</v>
      </c>
      <c r="I158" s="62">
        <f t="shared" si="54"/>
        <v>391133.59106136975</v>
      </c>
      <c r="J158" s="62">
        <f t="shared" si="54"/>
        <v>391133.59106136975</v>
      </c>
      <c r="K158" s="62">
        <f t="shared" si="54"/>
        <v>391133.59106136975</v>
      </c>
      <c r="L158" s="62">
        <f t="shared" si="54"/>
        <v>391133.59106136975</v>
      </c>
      <c r="M158" s="62">
        <f t="shared" si="54"/>
        <v>391133.59106136975</v>
      </c>
      <c r="N158" s="62">
        <f t="shared" si="54"/>
        <v>391133.59106136975</v>
      </c>
      <c r="O158" s="62">
        <f t="shared" si="54"/>
        <v>391133.59106136975</v>
      </c>
      <c r="P158" s="62">
        <f t="shared" si="54"/>
        <v>391133.59106136975</v>
      </c>
      <c r="Q158" s="62">
        <f t="shared" si="54"/>
        <v>391133.59106136975</v>
      </c>
      <c r="R158" s="62">
        <f t="shared" si="54"/>
        <v>391133.59106136975</v>
      </c>
      <c r="S158" s="62">
        <f t="shared" si="54"/>
        <v>391133.59106136975</v>
      </c>
      <c r="T158" s="62">
        <f t="shared" si="54"/>
        <v>391133.59106136975</v>
      </c>
      <c r="U158" s="62">
        <f t="shared" si="54"/>
        <v>391133.59106136975</v>
      </c>
      <c r="V158" s="62">
        <f t="shared" si="54"/>
        <v>391133.59106136975</v>
      </c>
      <c r="W158" s="62">
        <f t="shared" si="54"/>
        <v>391133.59106136975</v>
      </c>
      <c r="X158" s="62">
        <f t="shared" si="54"/>
        <v>391133.59106136975</v>
      </c>
      <c r="Y158" s="62">
        <f t="shared" si="54"/>
        <v>391133.59106136975</v>
      </c>
      <c r="Z158" s="62">
        <f t="shared" si="54"/>
        <v>391133.59106136975</v>
      </c>
      <c r="AA158" s="62">
        <f t="shared" si="54"/>
        <v>391133.59106136975</v>
      </c>
      <c r="AB158" s="62">
        <f t="shared" si="54"/>
        <v>391133.59106136975</v>
      </c>
      <c r="AC158" s="62">
        <f t="shared" si="54"/>
        <v>391133.59106136975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55">((1+C141)^C149)*C141/(((1+C141)^C149)-1)*(C140)</f>
        <v>-39113.359106136973</v>
      </c>
      <c r="D159" s="62">
        <f t="shared" si="55"/>
        <v>-39113.359106136973</v>
      </c>
      <c r="E159" s="62">
        <f t="shared" si="55"/>
        <v>-39113.359106136973</v>
      </c>
      <c r="F159" s="62">
        <f t="shared" si="55"/>
        <v>-39113.359106136973</v>
      </c>
      <c r="G159" s="62">
        <f t="shared" si="55"/>
        <v>-39113.359106136973</v>
      </c>
      <c r="H159" s="62">
        <f t="shared" si="55"/>
        <v>-39113.359106136973</v>
      </c>
      <c r="I159" s="62">
        <f t="shared" si="55"/>
        <v>-39113.359106136973</v>
      </c>
      <c r="J159" s="62">
        <f t="shared" si="55"/>
        <v>-39113.359106136973</v>
      </c>
      <c r="K159" s="62">
        <f t="shared" si="55"/>
        <v>-39113.359106136973</v>
      </c>
      <c r="L159" s="62">
        <f t="shared" si="55"/>
        <v>-39113.359106136973</v>
      </c>
      <c r="M159" s="62">
        <f t="shared" si="55"/>
        <v>-39113.359106136973</v>
      </c>
      <c r="N159" s="62">
        <f t="shared" si="55"/>
        <v>-39113.359106136973</v>
      </c>
      <c r="O159" s="62">
        <f t="shared" si="55"/>
        <v>-39113.359106136973</v>
      </c>
      <c r="P159" s="62">
        <f t="shared" si="55"/>
        <v>-39113.359106136973</v>
      </c>
      <c r="Q159" s="62">
        <f t="shared" si="55"/>
        <v>-39113.359106136973</v>
      </c>
      <c r="R159" s="62">
        <f t="shared" si="55"/>
        <v>-39113.359106136973</v>
      </c>
      <c r="S159" s="62">
        <f t="shared" si="55"/>
        <v>-39113.359106136973</v>
      </c>
      <c r="T159" s="62">
        <f t="shared" si="55"/>
        <v>-39113.359106136973</v>
      </c>
      <c r="U159" s="62">
        <f t="shared" si="55"/>
        <v>-39113.359106136973</v>
      </c>
      <c r="V159" s="62">
        <f t="shared" si="55"/>
        <v>-39113.359106136973</v>
      </c>
      <c r="W159" s="62">
        <f t="shared" si="55"/>
        <v>-39113.359106136973</v>
      </c>
      <c r="X159" s="62">
        <f t="shared" si="55"/>
        <v>-39113.359106136973</v>
      </c>
      <c r="Y159" s="62">
        <f t="shared" si="55"/>
        <v>-39113.359106136973</v>
      </c>
      <c r="Z159" s="62">
        <f t="shared" si="55"/>
        <v>-39113.359106136973</v>
      </c>
      <c r="AA159" s="62">
        <f t="shared" si="55"/>
        <v>-39113.359106136973</v>
      </c>
      <c r="AB159" s="62">
        <f t="shared" si="55"/>
        <v>-39113.359106136973</v>
      </c>
      <c r="AC159" s="62">
        <f t="shared" si="55"/>
        <v>-39113.359106136973</v>
      </c>
    </row>
    <row r="160" spans="1:29" x14ac:dyDescent="0.3">
      <c r="A160" s="30" t="str">
        <f t="shared" ref="A160:AC161" si="56">A142</f>
        <v>Opex fix (admin, crew, insurance)</v>
      </c>
      <c r="B160" s="62">
        <f t="shared" si="56"/>
        <v>1208235.294117647</v>
      </c>
      <c r="C160" s="62">
        <f t="shared" si="56"/>
        <v>1208235.294117647</v>
      </c>
      <c r="D160" s="62">
        <f t="shared" si="56"/>
        <v>1208235.294117647</v>
      </c>
      <c r="E160" s="62">
        <f t="shared" si="56"/>
        <v>1208235.294117647</v>
      </c>
      <c r="F160" s="62">
        <f t="shared" si="56"/>
        <v>1208235.294117647</v>
      </c>
      <c r="G160" s="62">
        <f t="shared" si="56"/>
        <v>1208235.294117647</v>
      </c>
      <c r="H160" s="62">
        <f t="shared" si="56"/>
        <v>1208235.294117647</v>
      </c>
      <c r="I160" s="62">
        <f t="shared" si="56"/>
        <v>1208235.294117647</v>
      </c>
      <c r="J160" s="62">
        <f t="shared" si="56"/>
        <v>1208235.294117647</v>
      </c>
      <c r="K160" s="62">
        <f t="shared" si="56"/>
        <v>1208235.294117647</v>
      </c>
      <c r="L160" s="62">
        <f t="shared" si="56"/>
        <v>1208235.294117647</v>
      </c>
      <c r="M160" s="62">
        <f t="shared" si="56"/>
        <v>1208235.294117647</v>
      </c>
      <c r="N160" s="62">
        <f t="shared" si="56"/>
        <v>1208235.294117647</v>
      </c>
      <c r="O160" s="62">
        <f t="shared" si="56"/>
        <v>1208235.294117647</v>
      </c>
      <c r="P160" s="62">
        <f t="shared" si="56"/>
        <v>1208235.294117647</v>
      </c>
      <c r="Q160" s="62">
        <f t="shared" si="56"/>
        <v>1208235.294117647</v>
      </c>
      <c r="R160" s="62">
        <f t="shared" si="56"/>
        <v>1208235.294117647</v>
      </c>
      <c r="S160" s="62">
        <f t="shared" si="56"/>
        <v>1208235.294117647</v>
      </c>
      <c r="T160" s="62">
        <f t="shared" si="56"/>
        <v>1208235.294117647</v>
      </c>
      <c r="U160" s="62">
        <f t="shared" si="56"/>
        <v>1208235.294117647</v>
      </c>
      <c r="V160" s="62">
        <f t="shared" si="56"/>
        <v>1208235.294117647</v>
      </c>
      <c r="W160" s="62">
        <f t="shared" si="56"/>
        <v>1208235.294117647</v>
      </c>
      <c r="X160" s="62">
        <f t="shared" si="56"/>
        <v>1208235.294117647</v>
      </c>
      <c r="Y160" s="62">
        <f t="shared" si="56"/>
        <v>1208235.294117647</v>
      </c>
      <c r="Z160" s="62">
        <f t="shared" si="56"/>
        <v>1208235.294117647</v>
      </c>
      <c r="AA160" s="62">
        <f t="shared" si="56"/>
        <v>1208235.294117647</v>
      </c>
      <c r="AB160" s="62">
        <f t="shared" si="56"/>
        <v>1208235.294117647</v>
      </c>
      <c r="AC160" s="62">
        <f t="shared" si="56"/>
        <v>1208235.294117647</v>
      </c>
    </row>
    <row r="161" spans="1:29" x14ac:dyDescent="0.3">
      <c r="A161" s="30" t="str">
        <f t="shared" si="56"/>
        <v>Opex maintenance &amp; repair</v>
      </c>
      <c r="B161" s="62">
        <f t="shared" si="56"/>
        <v>488235.29411764705</v>
      </c>
      <c r="C161" s="62">
        <f t="shared" si="56"/>
        <v>488235.29411764705</v>
      </c>
      <c r="D161" s="62">
        <f t="shared" si="56"/>
        <v>488235.29411764705</v>
      </c>
      <c r="E161" s="62">
        <f t="shared" si="56"/>
        <v>488235.29411764705</v>
      </c>
      <c r="F161" s="62">
        <f t="shared" si="56"/>
        <v>488235.29411764705</v>
      </c>
      <c r="G161" s="62">
        <f t="shared" si="56"/>
        <v>488235.29411764705</v>
      </c>
      <c r="H161" s="62">
        <f t="shared" si="56"/>
        <v>488235.29411764705</v>
      </c>
      <c r="I161" s="62">
        <f t="shared" si="56"/>
        <v>488235.29411764705</v>
      </c>
      <c r="J161" s="62">
        <f t="shared" si="56"/>
        <v>488235.29411764705</v>
      </c>
      <c r="K161" s="62">
        <f t="shared" si="56"/>
        <v>488235.29411764705</v>
      </c>
      <c r="L161" s="62">
        <f t="shared" si="56"/>
        <v>488235.29411764705</v>
      </c>
      <c r="M161" s="62">
        <f t="shared" si="56"/>
        <v>488235.29411764705</v>
      </c>
      <c r="N161" s="62">
        <f t="shared" si="56"/>
        <v>488235.29411764705</v>
      </c>
      <c r="O161" s="62">
        <f t="shared" si="56"/>
        <v>488235.29411764705</v>
      </c>
      <c r="P161" s="62">
        <f t="shared" si="56"/>
        <v>488235.29411764705</v>
      </c>
      <c r="Q161" s="62">
        <f t="shared" si="56"/>
        <v>488235.29411764705</v>
      </c>
      <c r="R161" s="62">
        <f t="shared" si="56"/>
        <v>488235.29411764705</v>
      </c>
      <c r="S161" s="62">
        <f t="shared" si="56"/>
        <v>488235.29411764705</v>
      </c>
      <c r="T161" s="62">
        <f t="shared" si="56"/>
        <v>488235.29411764705</v>
      </c>
      <c r="U161" s="62">
        <f t="shared" si="56"/>
        <v>488235.29411764705</v>
      </c>
      <c r="V161" s="62">
        <f t="shared" si="56"/>
        <v>488235.29411764705</v>
      </c>
      <c r="W161" s="62">
        <f t="shared" si="56"/>
        <v>488235.29411764705</v>
      </c>
      <c r="X161" s="62">
        <f t="shared" si="56"/>
        <v>488235.29411764705</v>
      </c>
      <c r="Y161" s="62">
        <f t="shared" si="56"/>
        <v>488235.29411764705</v>
      </c>
      <c r="Z161" s="62">
        <f t="shared" si="56"/>
        <v>488235.29411764705</v>
      </c>
      <c r="AA161" s="62">
        <f t="shared" si="56"/>
        <v>488235.29411764705</v>
      </c>
      <c r="AB161" s="62">
        <f t="shared" si="56"/>
        <v>488235.29411764705</v>
      </c>
      <c r="AC161" s="62">
        <f t="shared" si="56"/>
        <v>488235.29411764705</v>
      </c>
    </row>
    <row r="162" spans="1:29" x14ac:dyDescent="0.3">
      <c r="A162" s="30" t="str">
        <f>A144</f>
        <v>Opex var (mode-fees)</v>
      </c>
      <c r="B162" s="62">
        <f>B144*B153</f>
        <v>202642.68757160378</v>
      </c>
      <c r="C162" s="62">
        <f t="shared" ref="C162:AC162" si="57">C144*C153</f>
        <v>202642.68757160378</v>
      </c>
      <c r="D162" s="62">
        <f t="shared" si="57"/>
        <v>202642.68757160378</v>
      </c>
      <c r="E162" s="62">
        <f t="shared" si="57"/>
        <v>202642.68757160378</v>
      </c>
      <c r="F162" s="62">
        <f t="shared" si="57"/>
        <v>202642.68757160378</v>
      </c>
      <c r="G162" s="62">
        <f t="shared" si="57"/>
        <v>202642.68757160378</v>
      </c>
      <c r="H162" s="62">
        <f t="shared" si="57"/>
        <v>202642.68757160378</v>
      </c>
      <c r="I162" s="62">
        <f t="shared" si="57"/>
        <v>202642.68757160378</v>
      </c>
      <c r="J162" s="62">
        <f t="shared" si="57"/>
        <v>202642.68757160378</v>
      </c>
      <c r="K162" s="62">
        <f t="shared" si="57"/>
        <v>202642.68757160378</v>
      </c>
      <c r="L162" s="62">
        <f t="shared" si="57"/>
        <v>202642.68757160378</v>
      </c>
      <c r="M162" s="62">
        <f t="shared" si="57"/>
        <v>202642.68757160378</v>
      </c>
      <c r="N162" s="62">
        <f t="shared" si="57"/>
        <v>202642.68757160378</v>
      </c>
      <c r="O162" s="62">
        <f t="shared" si="57"/>
        <v>202642.68757160378</v>
      </c>
      <c r="P162" s="62">
        <f t="shared" si="57"/>
        <v>202642.68757160378</v>
      </c>
      <c r="Q162" s="62">
        <f t="shared" si="57"/>
        <v>202642.68757160378</v>
      </c>
      <c r="R162" s="62">
        <f t="shared" si="57"/>
        <v>202642.68757160378</v>
      </c>
      <c r="S162" s="62">
        <f t="shared" si="57"/>
        <v>202642.68757160378</v>
      </c>
      <c r="T162" s="62">
        <f t="shared" si="57"/>
        <v>202642.68757160378</v>
      </c>
      <c r="U162" s="62">
        <f t="shared" si="57"/>
        <v>202642.68757160378</v>
      </c>
      <c r="V162" s="62">
        <f t="shared" si="57"/>
        <v>202642.68757160378</v>
      </c>
      <c r="W162" s="62">
        <f t="shared" si="57"/>
        <v>202642.68757160378</v>
      </c>
      <c r="X162" s="62">
        <f t="shared" si="57"/>
        <v>202642.68757160378</v>
      </c>
      <c r="Y162" s="62">
        <f t="shared" si="57"/>
        <v>202642.68757160378</v>
      </c>
      <c r="Z162" s="62">
        <f t="shared" si="57"/>
        <v>202642.68757160378</v>
      </c>
      <c r="AA162" s="62">
        <f t="shared" si="57"/>
        <v>202642.68757160378</v>
      </c>
      <c r="AB162" s="62">
        <f t="shared" si="57"/>
        <v>202642.68757160378</v>
      </c>
      <c r="AC162" s="62">
        <f t="shared" si="57"/>
        <v>202642.68757160378</v>
      </c>
    </row>
    <row r="163" spans="1:29" x14ac:dyDescent="0.3">
      <c r="A163" s="30" t="str">
        <f>A146</f>
        <v>Fuel Cost</v>
      </c>
      <c r="B163" s="62">
        <f>B145*B146*B153</f>
        <v>2437507.052101518</v>
      </c>
      <c r="C163" s="62">
        <f t="shared" ref="C163:AC163" si="58">C145*C146*C153</f>
        <v>2437338.7839329462</v>
      </c>
      <c r="D163" s="62">
        <f t="shared" si="58"/>
        <v>2437097.9117975063</v>
      </c>
      <c r="E163" s="62">
        <f t="shared" si="58"/>
        <v>2436753.3272688738</v>
      </c>
      <c r="F163" s="62">
        <f t="shared" si="58"/>
        <v>2436260.8399411063</v>
      </c>
      <c r="G163" s="62">
        <f t="shared" si="58"/>
        <v>2435557.9540934572</v>
      </c>
      <c r="H163" s="62">
        <f t="shared" si="58"/>
        <v>2434556.8722096309</v>
      </c>
      <c r="I163" s="62">
        <f t="shared" si="58"/>
        <v>2433135.479441477</v>
      </c>
      <c r="J163" s="62">
        <f t="shared" si="58"/>
        <v>2431126.4773508143</v>
      </c>
      <c r="K163" s="62">
        <f t="shared" si="58"/>
        <v>2428305.8746609245</v>
      </c>
      <c r="L163" s="62">
        <f t="shared" si="58"/>
        <v>2424384.2130114948</v>
      </c>
      <c r="M163" s="62">
        <f t="shared" si="58"/>
        <v>2419007.7615997801</v>
      </c>
      <c r="N163" s="62">
        <f t="shared" si="58"/>
        <v>2411782.387019678</v>
      </c>
      <c r="O163" s="62">
        <f t="shared" si="58"/>
        <v>2402337.4266037703</v>
      </c>
      <c r="P163" s="62">
        <f t="shared" si="58"/>
        <v>2390443.0953654484</v>
      </c>
      <c r="Q163" s="62">
        <f t="shared" si="58"/>
        <v>2376170.2393062925</v>
      </c>
      <c r="R163" s="62">
        <f t="shared" si="58"/>
        <v>2360030.8697070694</v>
      </c>
      <c r="S163" s="62">
        <f t="shared" si="58"/>
        <v>2342992.6034393362</v>
      </c>
      <c r="T163" s="62">
        <f t="shared" si="58"/>
        <v>2326289.6183825689</v>
      </c>
      <c r="U163" s="62">
        <f t="shared" si="58"/>
        <v>2311084.5472785905</v>
      </c>
      <c r="V163" s="62">
        <f t="shared" si="58"/>
        <v>2298162.4020839729</v>
      </c>
      <c r="W163" s="62">
        <f t="shared" si="58"/>
        <v>2287814.0780081702</v>
      </c>
      <c r="X163" s="62">
        <f t="shared" si="58"/>
        <v>2279917.8474469348</v>
      </c>
      <c r="Y163" s="62">
        <f t="shared" si="58"/>
        <v>2274113.4847058197</v>
      </c>
      <c r="Z163" s="62">
        <f t="shared" si="58"/>
        <v>2269963.4493156904</v>
      </c>
      <c r="AA163" s="62">
        <f t="shared" si="58"/>
        <v>2267054.887382986</v>
      </c>
      <c r="AB163" s="62">
        <f t="shared" si="58"/>
        <v>2265044.8923132992</v>
      </c>
      <c r="AC163" s="62">
        <f t="shared" si="58"/>
        <v>2263669.3525252165</v>
      </c>
    </row>
    <row r="164" spans="1:29" ht="15" thickBot="1" x14ac:dyDescent="0.35">
      <c r="A164" s="59" t="str">
        <f>A127</f>
        <v>Emission Cost</v>
      </c>
      <c r="B164" s="62">
        <f>B147*B153</f>
        <v>2192040.4269286273</v>
      </c>
      <c r="C164" s="62">
        <f t="shared" ref="C164:AC164" si="59">C147*C153</f>
        <v>2196694.8550776178</v>
      </c>
      <c r="D164" s="62">
        <f t="shared" si="59"/>
        <v>2203357.5653038691</v>
      </c>
      <c r="E164" s="62">
        <f t="shared" si="59"/>
        <v>2212889.0408252501</v>
      </c>
      <c r="F164" s="62">
        <f t="shared" si="59"/>
        <v>2226511.622569799</v>
      </c>
      <c r="G164" s="62">
        <f t="shared" si="59"/>
        <v>2245953.9906812669</v>
      </c>
      <c r="H164" s="62">
        <f t="shared" si="59"/>
        <v>2273644.6926069986</v>
      </c>
      <c r="I164" s="62">
        <f t="shared" si="59"/>
        <v>2312961.5198299005</v>
      </c>
      <c r="J164" s="62">
        <f t="shared" si="59"/>
        <v>2368532.0770035987</v>
      </c>
      <c r="K164" s="62">
        <f t="shared" si="59"/>
        <v>2446552.1366995717</v>
      </c>
      <c r="L164" s="62">
        <f t="shared" si="59"/>
        <v>2555028.3418356678</v>
      </c>
      <c r="M164" s="62">
        <f t="shared" si="59"/>
        <v>2703745.1609743489</v>
      </c>
      <c r="N164" s="62">
        <f t="shared" si="59"/>
        <v>2903604.6300466633</v>
      </c>
      <c r="O164" s="62">
        <f t="shared" si="59"/>
        <v>3164859.5661340822</v>
      </c>
      <c r="P164" s="62">
        <f t="shared" si="59"/>
        <v>3493866.0003206055</v>
      </c>
      <c r="Q164" s="62">
        <f t="shared" si="59"/>
        <v>3888664.277213261</v>
      </c>
      <c r="R164" s="62">
        <f t="shared" si="59"/>
        <v>4335091.767373505</v>
      </c>
      <c r="S164" s="62">
        <f t="shared" si="59"/>
        <v>4806383.437089771</v>
      </c>
      <c r="T164" s="62">
        <f t="shared" si="59"/>
        <v>5268400.9682723647</v>
      </c>
      <c r="U164" s="62">
        <f t="shared" si="59"/>
        <v>5688985.0368709024</v>
      </c>
      <c r="V164" s="62">
        <f t="shared" si="59"/>
        <v>6046421.6028565438</v>
      </c>
      <c r="W164" s="62">
        <f t="shared" si="59"/>
        <v>6332664.2789489012</v>
      </c>
      <c r="X164" s="62">
        <f t="shared" si="59"/>
        <v>6551080.1451639356</v>
      </c>
      <c r="Y164" s="62">
        <f t="shared" si="59"/>
        <v>6711633.3238097783</v>
      </c>
      <c r="Z164" s="62">
        <f t="shared" si="59"/>
        <v>6826426.5238726102</v>
      </c>
      <c r="AA164" s="62">
        <f t="shared" si="59"/>
        <v>6906879.6044969875</v>
      </c>
      <c r="AB164" s="62">
        <f t="shared" si="59"/>
        <v>6962477.6282412307</v>
      </c>
      <c r="AC164" s="62">
        <f t="shared" si="59"/>
        <v>7000526.1264452087</v>
      </c>
    </row>
    <row r="165" spans="1:29" ht="15" thickBot="1" x14ac:dyDescent="0.35">
      <c r="A165" s="31" t="s">
        <v>209</v>
      </c>
      <c r="B165" s="64">
        <f>B156+B157+B158+B159+B160+B161+B162+B163+B164</f>
        <v>7936870.5369982207</v>
      </c>
      <c r="C165" s="64">
        <f t="shared" ref="C165:AC165" si="60">C156+C157+C158+C159+C160+C161+C162+C163+C164</f>
        <v>7941412.4424497699</v>
      </c>
      <c r="D165" s="64">
        <f t="shared" si="60"/>
        <v>7947914.078940874</v>
      </c>
      <c r="E165" s="64">
        <f t="shared" si="60"/>
        <v>7957215.1271569151</v>
      </c>
      <c r="F165" s="64">
        <f t="shared" si="60"/>
        <v>7970508.3774358239</v>
      </c>
      <c r="G165" s="64">
        <f t="shared" si="60"/>
        <v>7989480.7183743417</v>
      </c>
      <c r="H165" s="64">
        <f t="shared" si="60"/>
        <v>8016501.9862955054</v>
      </c>
      <c r="I165" s="64">
        <f t="shared" si="60"/>
        <v>8054868.313196484</v>
      </c>
      <c r="J165" s="64">
        <f t="shared" si="60"/>
        <v>8109095.4295023903</v>
      </c>
      <c r="K165" s="64">
        <f t="shared" si="60"/>
        <v>8185229.3224576656</v>
      </c>
      <c r="L165" s="64">
        <f t="shared" si="60"/>
        <v>8291083.0711244624</v>
      </c>
      <c r="M165" s="64">
        <f t="shared" si="60"/>
        <v>8436204.6005500257</v>
      </c>
      <c r="N165" s="64">
        <f t="shared" si="60"/>
        <v>8631232.3855035789</v>
      </c>
      <c r="O165" s="64">
        <f t="shared" si="60"/>
        <v>8886171.3770350534</v>
      </c>
      <c r="P165" s="64">
        <f t="shared" si="60"/>
        <v>9207223.946586553</v>
      </c>
      <c r="Q165" s="64">
        <f t="shared" si="60"/>
        <v>9592477.8142328989</v>
      </c>
      <c r="R165" s="64">
        <f t="shared" si="60"/>
        <v>10028112.737874292</v>
      </c>
      <c r="S165" s="64">
        <f t="shared" si="60"/>
        <v>10488010.739397394</v>
      </c>
      <c r="T165" s="64">
        <f t="shared" si="60"/>
        <v>10938858.808465604</v>
      </c>
      <c r="U165" s="64">
        <f t="shared" si="60"/>
        <v>11349275.085794188</v>
      </c>
      <c r="V165" s="64">
        <f t="shared" si="60"/>
        <v>11698070.477121692</v>
      </c>
      <c r="W165" s="64">
        <f t="shared" si="60"/>
        <v>11977393.11985958</v>
      </c>
      <c r="X165" s="64">
        <f t="shared" si="60"/>
        <v>12190528.693492156</v>
      </c>
      <c r="Y165" s="64">
        <f t="shared" si="60"/>
        <v>12347200.433609815</v>
      </c>
      <c r="Z165" s="64">
        <f t="shared" si="60"/>
        <v>12459218.461276464</v>
      </c>
      <c r="AA165" s="64">
        <f t="shared" si="60"/>
        <v>12537726.555887606</v>
      </c>
      <c r="AB165" s="64">
        <f t="shared" si="60"/>
        <v>12591980.474748522</v>
      </c>
      <c r="AC165" s="64">
        <f t="shared" si="60"/>
        <v>12629109.135001523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61">A156</f>
        <v>Capex vehicle</v>
      </c>
      <c r="B168" s="65">
        <f>((1+B141)^B148)*B141/(((1+B141)^B148)-1)*(B137)/B153</f>
        <v>9.7783397765342439</v>
      </c>
      <c r="C168" s="65">
        <f t="shared" ref="C168:AC168" si="62">((1+C141)^C148)*C141/(((1+C141)^C148)-1)*(C137)/C153</f>
        <v>9.7783397765342439</v>
      </c>
      <c r="D168" s="65">
        <f t="shared" si="62"/>
        <v>9.7783397765342439</v>
      </c>
      <c r="E168" s="65">
        <f t="shared" si="62"/>
        <v>9.7783397765342439</v>
      </c>
      <c r="F168" s="65">
        <f t="shared" si="62"/>
        <v>9.7783397765342439</v>
      </c>
      <c r="G168" s="65">
        <f t="shared" si="62"/>
        <v>9.7783397765342439</v>
      </c>
      <c r="H168" s="65">
        <f t="shared" si="62"/>
        <v>9.7783397765342439</v>
      </c>
      <c r="I168" s="65">
        <f t="shared" si="62"/>
        <v>9.7783397765342439</v>
      </c>
      <c r="J168" s="65">
        <f t="shared" si="62"/>
        <v>9.7783397765342439</v>
      </c>
      <c r="K168" s="65">
        <f t="shared" si="62"/>
        <v>9.7783397765342439</v>
      </c>
      <c r="L168" s="65">
        <f t="shared" si="62"/>
        <v>9.7783397765342439</v>
      </c>
      <c r="M168" s="65">
        <f t="shared" si="62"/>
        <v>9.7783397765342439</v>
      </c>
      <c r="N168" s="65">
        <f t="shared" si="62"/>
        <v>9.7783397765342439</v>
      </c>
      <c r="O168" s="65">
        <f t="shared" si="62"/>
        <v>9.7783397765342439</v>
      </c>
      <c r="P168" s="65">
        <f t="shared" si="62"/>
        <v>9.7783397765342439</v>
      </c>
      <c r="Q168" s="65">
        <f t="shared" si="62"/>
        <v>9.7783397765342439</v>
      </c>
      <c r="R168" s="65">
        <f t="shared" si="62"/>
        <v>9.7783397765342439</v>
      </c>
      <c r="S168" s="65">
        <f t="shared" si="62"/>
        <v>9.7783397765342439</v>
      </c>
      <c r="T168" s="65">
        <f t="shared" si="62"/>
        <v>9.7783397765342439</v>
      </c>
      <c r="U168" s="65">
        <f t="shared" si="62"/>
        <v>9.7783397765342439</v>
      </c>
      <c r="V168" s="65">
        <f t="shared" si="62"/>
        <v>9.7783397765342439</v>
      </c>
      <c r="W168" s="65">
        <f t="shared" si="62"/>
        <v>9.7783397765342439</v>
      </c>
      <c r="X168" s="65">
        <f t="shared" si="62"/>
        <v>9.7783397765342439</v>
      </c>
      <c r="Y168" s="65">
        <f t="shared" si="62"/>
        <v>9.7783397765342439</v>
      </c>
      <c r="Z168" s="65">
        <f t="shared" si="62"/>
        <v>9.7783397765342439</v>
      </c>
      <c r="AA168" s="65">
        <f t="shared" si="62"/>
        <v>9.7783397765342439</v>
      </c>
      <c r="AB168" s="65">
        <f t="shared" si="62"/>
        <v>9.7783397765342439</v>
      </c>
      <c r="AC168" s="65">
        <f t="shared" si="62"/>
        <v>9.7783397765342439</v>
      </c>
    </row>
    <row r="169" spans="1:29" x14ac:dyDescent="0.3">
      <c r="A169" s="30" t="str">
        <f t="shared" si="61"/>
        <v>Residual value (vehicle)</v>
      </c>
      <c r="B169" s="66">
        <f>((1+B141)^B148)*B141/(((1+B141)^B148)-1)*(B138)/B153</f>
        <v>-0.97676019148470272</v>
      </c>
      <c r="C169" s="66">
        <f t="shared" ref="C169:AC169" si="63">((1+C141)^C148)*C141/(((1+C141)^C148)-1)*(C138)/C153</f>
        <v>-0.97629564589195228</v>
      </c>
      <c r="D169" s="66">
        <f t="shared" si="63"/>
        <v>-0.97563065922284864</v>
      </c>
      <c r="E169" s="66">
        <f t="shared" si="63"/>
        <v>-0.97467934902874298</v>
      </c>
      <c r="F169" s="66">
        <f t="shared" si="63"/>
        <v>-0.97331971684434948</v>
      </c>
      <c r="G169" s="66">
        <f t="shared" si="63"/>
        <v>-0.97137922788852038</v>
      </c>
      <c r="H169" s="66">
        <f t="shared" si="63"/>
        <v>-0.96861549556136939</v>
      </c>
      <c r="I169" s="66">
        <f t="shared" si="63"/>
        <v>-0.96469139184278574</v>
      </c>
      <c r="J169" s="66">
        <f t="shared" si="63"/>
        <v>-0.95914504831885961</v>
      </c>
      <c r="K169" s="66">
        <f t="shared" si="63"/>
        <v>-0.95135808207559314</v>
      </c>
      <c r="L169" s="66">
        <f t="shared" si="63"/>
        <v>-0.94053137224117322</v>
      </c>
      <c r="M169" s="66">
        <f t="shared" si="63"/>
        <v>-0.92568835808620409</v>
      </c>
      <c r="N169" s="66">
        <f t="shared" si="63"/>
        <v>-0.90574093757501994</v>
      </c>
      <c r="O169" s="66">
        <f t="shared" si="63"/>
        <v>-0.87966580540866446</v>
      </c>
      <c r="P169" s="66">
        <f t="shared" si="63"/>
        <v>-0.84682858371450898</v>
      </c>
      <c r="Q169" s="66">
        <f t="shared" si="63"/>
        <v>-0.80742486027411864</v>
      </c>
      <c r="R169" s="66">
        <f t="shared" si="63"/>
        <v>-0.7628681679376812</v>
      </c>
      <c r="S169" s="66">
        <f t="shared" si="63"/>
        <v>-0.71582985064961269</v>
      </c>
      <c r="T169" s="66">
        <f t="shared" si="63"/>
        <v>-0.66971715946306853</v>
      </c>
      <c r="U169" s="66">
        <f t="shared" si="63"/>
        <v>-0.62773982751286628</v>
      </c>
      <c r="V169" s="66">
        <f t="shared" si="63"/>
        <v>-0.59206507304221667</v>
      </c>
      <c r="W169" s="66">
        <f t="shared" si="63"/>
        <v>-0.56349598369776865</v>
      </c>
      <c r="X169" s="66">
        <f t="shared" si="63"/>
        <v>-0.54169650054128426</v>
      </c>
      <c r="Y169" s="66">
        <f t="shared" si="63"/>
        <v>-0.52567213210019181</v>
      </c>
      <c r="Z169" s="66">
        <f t="shared" si="63"/>
        <v>-0.51421494048397043</v>
      </c>
      <c r="AA169" s="66">
        <f t="shared" si="63"/>
        <v>-0.50618514115505298</v>
      </c>
      <c r="AB169" s="66">
        <f t="shared" si="63"/>
        <v>-0.50063605626873253</v>
      </c>
      <c r="AC169" s="66">
        <f t="shared" si="63"/>
        <v>-0.49683854095951707</v>
      </c>
    </row>
    <row r="170" spans="1:29" x14ac:dyDescent="0.3">
      <c r="A170" s="30" t="str">
        <f t="shared" si="61"/>
        <v>Capex costumization</v>
      </c>
      <c r="B170" s="66">
        <f>((1+B141)^B149)*B141/(((1+B141)^B149)-1)*(B139)/B153</f>
        <v>3.2594465921780813</v>
      </c>
      <c r="C170" s="66">
        <f t="shared" ref="C170:AC170" si="64">((1+C141)^C149)*C141/(((1+C141)^C149)-1)*(C139)/C153</f>
        <v>3.2594465921780813</v>
      </c>
      <c r="D170" s="66">
        <f t="shared" si="64"/>
        <v>3.2594465921780813</v>
      </c>
      <c r="E170" s="66">
        <f t="shared" si="64"/>
        <v>3.2594465921780813</v>
      </c>
      <c r="F170" s="66">
        <f t="shared" si="64"/>
        <v>3.2594465921780813</v>
      </c>
      <c r="G170" s="66">
        <f t="shared" si="64"/>
        <v>3.2594465921780813</v>
      </c>
      <c r="H170" s="66">
        <f t="shared" si="64"/>
        <v>3.2594465921780813</v>
      </c>
      <c r="I170" s="66">
        <f t="shared" si="64"/>
        <v>3.2594465921780813</v>
      </c>
      <c r="J170" s="66">
        <f t="shared" si="64"/>
        <v>3.2594465921780813</v>
      </c>
      <c r="K170" s="66">
        <f t="shared" si="64"/>
        <v>3.2594465921780813</v>
      </c>
      <c r="L170" s="66">
        <f t="shared" si="64"/>
        <v>3.2594465921780813</v>
      </c>
      <c r="M170" s="66">
        <f t="shared" si="64"/>
        <v>3.2594465921780813</v>
      </c>
      <c r="N170" s="66">
        <f t="shared" si="64"/>
        <v>3.2594465921780813</v>
      </c>
      <c r="O170" s="66">
        <f t="shared" si="64"/>
        <v>3.2594465921780813</v>
      </c>
      <c r="P170" s="66">
        <f t="shared" si="64"/>
        <v>3.2594465921780813</v>
      </c>
      <c r="Q170" s="66">
        <f t="shared" si="64"/>
        <v>3.2594465921780813</v>
      </c>
      <c r="R170" s="66">
        <f t="shared" si="64"/>
        <v>3.2594465921780813</v>
      </c>
      <c r="S170" s="66">
        <f t="shared" si="64"/>
        <v>3.2594465921780813</v>
      </c>
      <c r="T170" s="66">
        <f t="shared" si="64"/>
        <v>3.2594465921780813</v>
      </c>
      <c r="U170" s="66">
        <f t="shared" si="64"/>
        <v>3.2594465921780813</v>
      </c>
      <c r="V170" s="66">
        <f t="shared" si="64"/>
        <v>3.2594465921780813</v>
      </c>
      <c r="W170" s="66">
        <f t="shared" si="64"/>
        <v>3.2594465921780813</v>
      </c>
      <c r="X170" s="66">
        <f t="shared" si="64"/>
        <v>3.2594465921780813</v>
      </c>
      <c r="Y170" s="66">
        <f t="shared" si="64"/>
        <v>3.2594465921780813</v>
      </c>
      <c r="Z170" s="66">
        <f t="shared" si="64"/>
        <v>3.2594465921780813</v>
      </c>
      <c r="AA170" s="66">
        <f t="shared" si="64"/>
        <v>3.2594465921780813</v>
      </c>
      <c r="AB170" s="66">
        <f t="shared" si="64"/>
        <v>3.2594465921780813</v>
      </c>
      <c r="AC170" s="66">
        <f t="shared" si="64"/>
        <v>3.2594465921780813</v>
      </c>
    </row>
    <row r="171" spans="1:29" x14ac:dyDescent="0.3">
      <c r="A171" s="30" t="str">
        <f t="shared" si="61"/>
        <v>Residual value (costumization)</v>
      </c>
      <c r="B171" s="66">
        <f>((1+B141)^B149)*B141/(((1+B141)^B149)-1)*(B140)/B153</f>
        <v>-0.32594465921780813</v>
      </c>
      <c r="C171" s="66">
        <f t="shared" ref="C171:AC171" si="65">((1+C141)^C149)*C141/(((1+C141)^C149)-1)*(C140)/C153</f>
        <v>-0.32594465921780813</v>
      </c>
      <c r="D171" s="66">
        <f t="shared" si="65"/>
        <v>-0.32594465921780813</v>
      </c>
      <c r="E171" s="66">
        <f t="shared" si="65"/>
        <v>-0.32594465921780813</v>
      </c>
      <c r="F171" s="66">
        <f t="shared" si="65"/>
        <v>-0.32594465921780813</v>
      </c>
      <c r="G171" s="66">
        <f t="shared" si="65"/>
        <v>-0.32594465921780813</v>
      </c>
      <c r="H171" s="66">
        <f t="shared" si="65"/>
        <v>-0.32594465921780813</v>
      </c>
      <c r="I171" s="66">
        <f t="shared" si="65"/>
        <v>-0.32594465921780813</v>
      </c>
      <c r="J171" s="66">
        <f t="shared" si="65"/>
        <v>-0.32594465921780813</v>
      </c>
      <c r="K171" s="66">
        <f t="shared" si="65"/>
        <v>-0.32594465921780813</v>
      </c>
      <c r="L171" s="66">
        <f t="shared" si="65"/>
        <v>-0.32594465921780813</v>
      </c>
      <c r="M171" s="66">
        <f t="shared" si="65"/>
        <v>-0.32594465921780813</v>
      </c>
      <c r="N171" s="66">
        <f t="shared" si="65"/>
        <v>-0.32594465921780813</v>
      </c>
      <c r="O171" s="66">
        <f t="shared" si="65"/>
        <v>-0.32594465921780813</v>
      </c>
      <c r="P171" s="66">
        <f t="shared" si="65"/>
        <v>-0.32594465921780813</v>
      </c>
      <c r="Q171" s="66">
        <f t="shared" si="65"/>
        <v>-0.32594465921780813</v>
      </c>
      <c r="R171" s="66">
        <f t="shared" si="65"/>
        <v>-0.32594465921780813</v>
      </c>
      <c r="S171" s="66">
        <f t="shared" si="65"/>
        <v>-0.32594465921780813</v>
      </c>
      <c r="T171" s="66">
        <f t="shared" si="65"/>
        <v>-0.32594465921780813</v>
      </c>
      <c r="U171" s="66">
        <f t="shared" si="65"/>
        <v>-0.32594465921780813</v>
      </c>
      <c r="V171" s="66">
        <f t="shared" si="65"/>
        <v>-0.32594465921780813</v>
      </c>
      <c r="W171" s="66">
        <f t="shared" si="65"/>
        <v>-0.32594465921780813</v>
      </c>
      <c r="X171" s="66">
        <f t="shared" si="65"/>
        <v>-0.32594465921780813</v>
      </c>
      <c r="Y171" s="66">
        <f t="shared" si="65"/>
        <v>-0.32594465921780813</v>
      </c>
      <c r="Z171" s="66">
        <f t="shared" si="65"/>
        <v>-0.32594465921780813</v>
      </c>
      <c r="AA171" s="66">
        <f t="shared" si="65"/>
        <v>-0.32594465921780813</v>
      </c>
      <c r="AB171" s="66">
        <f t="shared" si="65"/>
        <v>-0.32594465921780813</v>
      </c>
      <c r="AC171" s="66">
        <f t="shared" si="65"/>
        <v>-0.32594465921780813</v>
      </c>
    </row>
    <row r="172" spans="1:29" x14ac:dyDescent="0.3">
      <c r="A172" s="30" t="str">
        <f t="shared" si="61"/>
        <v>Opex fix (admin, crew, insurance)</v>
      </c>
      <c r="B172" s="66">
        <f>B142/B153</f>
        <v>10.068627450980392</v>
      </c>
      <c r="C172" s="66">
        <f t="shared" ref="C172:AC172" si="66">C142/C153</f>
        <v>10.068627450980392</v>
      </c>
      <c r="D172" s="66">
        <f t="shared" si="66"/>
        <v>10.068627450980392</v>
      </c>
      <c r="E172" s="66">
        <f t="shared" si="66"/>
        <v>10.068627450980392</v>
      </c>
      <c r="F172" s="66">
        <f t="shared" si="66"/>
        <v>10.068627450980392</v>
      </c>
      <c r="G172" s="66">
        <f t="shared" si="66"/>
        <v>10.068627450980392</v>
      </c>
      <c r="H172" s="66">
        <f t="shared" si="66"/>
        <v>10.068627450980392</v>
      </c>
      <c r="I172" s="66">
        <f t="shared" si="66"/>
        <v>10.068627450980392</v>
      </c>
      <c r="J172" s="66">
        <f t="shared" si="66"/>
        <v>10.068627450980392</v>
      </c>
      <c r="K172" s="66">
        <f t="shared" si="66"/>
        <v>10.068627450980392</v>
      </c>
      <c r="L172" s="66">
        <f t="shared" si="66"/>
        <v>10.068627450980392</v>
      </c>
      <c r="M172" s="66">
        <f t="shared" si="66"/>
        <v>10.068627450980392</v>
      </c>
      <c r="N172" s="66">
        <f t="shared" si="66"/>
        <v>10.068627450980392</v>
      </c>
      <c r="O172" s="66">
        <f t="shared" si="66"/>
        <v>10.068627450980392</v>
      </c>
      <c r="P172" s="66">
        <f t="shared" si="66"/>
        <v>10.068627450980392</v>
      </c>
      <c r="Q172" s="66">
        <f t="shared" si="66"/>
        <v>10.068627450980392</v>
      </c>
      <c r="R172" s="66">
        <f t="shared" si="66"/>
        <v>10.068627450980392</v>
      </c>
      <c r="S172" s="66">
        <f t="shared" si="66"/>
        <v>10.068627450980392</v>
      </c>
      <c r="T172" s="66">
        <f t="shared" si="66"/>
        <v>10.068627450980392</v>
      </c>
      <c r="U172" s="66">
        <f t="shared" si="66"/>
        <v>10.068627450980392</v>
      </c>
      <c r="V172" s="66">
        <f t="shared" si="66"/>
        <v>10.068627450980392</v>
      </c>
      <c r="W172" s="66">
        <f t="shared" si="66"/>
        <v>10.068627450980392</v>
      </c>
      <c r="X172" s="66">
        <f t="shared" si="66"/>
        <v>10.068627450980392</v>
      </c>
      <c r="Y172" s="66">
        <f t="shared" si="66"/>
        <v>10.068627450980392</v>
      </c>
      <c r="Z172" s="66">
        <f t="shared" si="66"/>
        <v>10.068627450980392</v>
      </c>
      <c r="AA172" s="66">
        <f t="shared" si="66"/>
        <v>10.068627450980392</v>
      </c>
      <c r="AB172" s="66">
        <f t="shared" si="66"/>
        <v>10.068627450980392</v>
      </c>
      <c r="AC172" s="66">
        <f t="shared" si="66"/>
        <v>10.068627450980392</v>
      </c>
    </row>
    <row r="173" spans="1:29" x14ac:dyDescent="0.3">
      <c r="A173" s="30" t="str">
        <f t="shared" si="61"/>
        <v>Opex maintenance &amp; repair</v>
      </c>
      <c r="B173" s="66">
        <f>B143/B153</f>
        <v>4.0686274509803919</v>
      </c>
      <c r="C173" s="66">
        <f t="shared" ref="C173:AC173" si="67">C143/C153</f>
        <v>4.0686274509803919</v>
      </c>
      <c r="D173" s="66">
        <f t="shared" si="67"/>
        <v>4.0686274509803919</v>
      </c>
      <c r="E173" s="66">
        <f t="shared" si="67"/>
        <v>4.0686274509803919</v>
      </c>
      <c r="F173" s="66">
        <f t="shared" si="67"/>
        <v>4.0686274509803919</v>
      </c>
      <c r="G173" s="66">
        <f t="shared" si="67"/>
        <v>4.0686274509803919</v>
      </c>
      <c r="H173" s="66">
        <f t="shared" si="67"/>
        <v>4.0686274509803919</v>
      </c>
      <c r="I173" s="66">
        <f t="shared" si="67"/>
        <v>4.0686274509803919</v>
      </c>
      <c r="J173" s="66">
        <f t="shared" si="67"/>
        <v>4.0686274509803919</v>
      </c>
      <c r="K173" s="66">
        <f t="shared" si="67"/>
        <v>4.0686274509803919</v>
      </c>
      <c r="L173" s="66">
        <f t="shared" si="67"/>
        <v>4.0686274509803919</v>
      </c>
      <c r="M173" s="66">
        <f t="shared" si="67"/>
        <v>4.0686274509803919</v>
      </c>
      <c r="N173" s="66">
        <f t="shared" si="67"/>
        <v>4.0686274509803919</v>
      </c>
      <c r="O173" s="66">
        <f t="shared" si="67"/>
        <v>4.0686274509803919</v>
      </c>
      <c r="P173" s="66">
        <f t="shared" si="67"/>
        <v>4.0686274509803919</v>
      </c>
      <c r="Q173" s="66">
        <f t="shared" si="67"/>
        <v>4.0686274509803919</v>
      </c>
      <c r="R173" s="66">
        <f t="shared" si="67"/>
        <v>4.0686274509803919</v>
      </c>
      <c r="S173" s="66">
        <f t="shared" si="67"/>
        <v>4.0686274509803919</v>
      </c>
      <c r="T173" s="66">
        <f t="shared" si="67"/>
        <v>4.0686274509803919</v>
      </c>
      <c r="U173" s="66">
        <f t="shared" si="67"/>
        <v>4.0686274509803919</v>
      </c>
      <c r="V173" s="66">
        <f t="shared" si="67"/>
        <v>4.0686274509803919</v>
      </c>
      <c r="W173" s="66">
        <f t="shared" si="67"/>
        <v>4.0686274509803919</v>
      </c>
      <c r="X173" s="66">
        <f t="shared" si="67"/>
        <v>4.0686274509803919</v>
      </c>
      <c r="Y173" s="66">
        <f t="shared" si="67"/>
        <v>4.0686274509803919</v>
      </c>
      <c r="Z173" s="66">
        <f t="shared" si="67"/>
        <v>4.0686274509803919</v>
      </c>
      <c r="AA173" s="66">
        <f t="shared" si="67"/>
        <v>4.0686274509803919</v>
      </c>
      <c r="AB173" s="66">
        <f t="shared" si="67"/>
        <v>4.0686274509803919</v>
      </c>
      <c r="AC173" s="66">
        <f t="shared" si="67"/>
        <v>4.0686274509803919</v>
      </c>
    </row>
    <row r="174" spans="1:29" x14ac:dyDescent="0.3">
      <c r="A174" s="30" t="str">
        <f t="shared" si="61"/>
        <v>Opex var (mode-fees)</v>
      </c>
      <c r="B174" s="66">
        <f>B144*B153/B153</f>
        <v>1.6886890630966982</v>
      </c>
      <c r="C174" s="66">
        <f t="shared" ref="C174:AC174" si="68">C144*C153/C153</f>
        <v>1.6886890630966982</v>
      </c>
      <c r="D174" s="66">
        <f t="shared" si="68"/>
        <v>1.6886890630966982</v>
      </c>
      <c r="E174" s="66">
        <f t="shared" si="68"/>
        <v>1.6886890630966982</v>
      </c>
      <c r="F174" s="66">
        <f t="shared" si="68"/>
        <v>1.6886890630966982</v>
      </c>
      <c r="G174" s="66">
        <f t="shared" si="68"/>
        <v>1.6886890630966982</v>
      </c>
      <c r="H174" s="66">
        <f t="shared" si="68"/>
        <v>1.6886890630966982</v>
      </c>
      <c r="I174" s="66">
        <f t="shared" si="68"/>
        <v>1.6886890630966982</v>
      </c>
      <c r="J174" s="66">
        <f t="shared" si="68"/>
        <v>1.6886890630966982</v>
      </c>
      <c r="K174" s="66">
        <f t="shared" si="68"/>
        <v>1.6886890630966982</v>
      </c>
      <c r="L174" s="66">
        <f t="shared" si="68"/>
        <v>1.6886890630966982</v>
      </c>
      <c r="M174" s="66">
        <f t="shared" si="68"/>
        <v>1.6886890630966982</v>
      </c>
      <c r="N174" s="66">
        <f t="shared" si="68"/>
        <v>1.6886890630966982</v>
      </c>
      <c r="O174" s="66">
        <f t="shared" si="68"/>
        <v>1.6886890630966982</v>
      </c>
      <c r="P174" s="66">
        <f t="shared" si="68"/>
        <v>1.6886890630966982</v>
      </c>
      <c r="Q174" s="66">
        <f t="shared" si="68"/>
        <v>1.6886890630966982</v>
      </c>
      <c r="R174" s="66">
        <f t="shared" si="68"/>
        <v>1.6886890630966982</v>
      </c>
      <c r="S174" s="66">
        <f t="shared" si="68"/>
        <v>1.6886890630966982</v>
      </c>
      <c r="T174" s="66">
        <f t="shared" si="68"/>
        <v>1.6886890630966982</v>
      </c>
      <c r="U174" s="66">
        <f t="shared" si="68"/>
        <v>1.6886890630966982</v>
      </c>
      <c r="V174" s="66">
        <f t="shared" si="68"/>
        <v>1.6886890630966982</v>
      </c>
      <c r="W174" s="66">
        <f t="shared" si="68"/>
        <v>1.6886890630966982</v>
      </c>
      <c r="X174" s="66">
        <f t="shared" si="68"/>
        <v>1.6886890630966982</v>
      </c>
      <c r="Y174" s="66">
        <f t="shared" si="68"/>
        <v>1.6886890630966982</v>
      </c>
      <c r="Z174" s="66">
        <f t="shared" si="68"/>
        <v>1.6886890630966982</v>
      </c>
      <c r="AA174" s="66">
        <f t="shared" si="68"/>
        <v>1.6886890630966982</v>
      </c>
      <c r="AB174" s="66">
        <f t="shared" si="68"/>
        <v>1.6886890630966982</v>
      </c>
      <c r="AC174" s="66">
        <f t="shared" si="68"/>
        <v>1.6886890630966982</v>
      </c>
    </row>
    <row r="175" spans="1:29" x14ac:dyDescent="0.3">
      <c r="A175" s="30" t="str">
        <f t="shared" si="61"/>
        <v>Fuel Cost</v>
      </c>
      <c r="B175" s="66">
        <f>B145*B146*B153/B153</f>
        <v>20.312558767512652</v>
      </c>
      <c r="C175" s="66">
        <f t="shared" ref="C175:AC175" si="69">C145*C146*C153/C153</f>
        <v>20.31115653277455</v>
      </c>
      <c r="D175" s="66">
        <f t="shared" si="69"/>
        <v>20.309149264979219</v>
      </c>
      <c r="E175" s="66">
        <f t="shared" si="69"/>
        <v>20.306277727240616</v>
      </c>
      <c r="F175" s="66">
        <f t="shared" si="69"/>
        <v>20.302173666175886</v>
      </c>
      <c r="G175" s="66">
        <f t="shared" si="69"/>
        <v>20.296316284112145</v>
      </c>
      <c r="H175" s="66">
        <f t="shared" si="69"/>
        <v>20.287973935080256</v>
      </c>
      <c r="I175" s="66">
        <f t="shared" si="69"/>
        <v>20.276128995345641</v>
      </c>
      <c r="J175" s="66">
        <f t="shared" si="69"/>
        <v>20.259387311256784</v>
      </c>
      <c r="K175" s="66">
        <f t="shared" si="69"/>
        <v>20.235882288841037</v>
      </c>
      <c r="L175" s="66">
        <f t="shared" si="69"/>
        <v>20.203201775095792</v>
      </c>
      <c r="M175" s="66">
        <f t="shared" si="69"/>
        <v>20.158398013331499</v>
      </c>
      <c r="N175" s="66">
        <f t="shared" si="69"/>
        <v>20.098186558497318</v>
      </c>
      <c r="O175" s="66">
        <f t="shared" si="69"/>
        <v>20.019478555031419</v>
      </c>
      <c r="P175" s="66">
        <f t="shared" si="69"/>
        <v>19.920359128045405</v>
      </c>
      <c r="Q175" s="66">
        <f t="shared" si="69"/>
        <v>19.801418660885769</v>
      </c>
      <c r="R175" s="66">
        <f t="shared" si="69"/>
        <v>19.666923914225578</v>
      </c>
      <c r="S175" s="66">
        <f t="shared" si="69"/>
        <v>19.524938361994469</v>
      </c>
      <c r="T175" s="66">
        <f t="shared" si="69"/>
        <v>19.385746819854742</v>
      </c>
      <c r="U175" s="66">
        <f t="shared" si="69"/>
        <v>19.259037893988253</v>
      </c>
      <c r="V175" s="66">
        <f t="shared" si="69"/>
        <v>19.151353350699775</v>
      </c>
      <c r="W175" s="66">
        <f t="shared" si="69"/>
        <v>19.065117316734753</v>
      </c>
      <c r="X175" s="66">
        <f t="shared" si="69"/>
        <v>18.999315395391122</v>
      </c>
      <c r="Y175" s="66">
        <f t="shared" si="69"/>
        <v>18.950945705881832</v>
      </c>
      <c r="Z175" s="66">
        <f t="shared" si="69"/>
        <v>18.916362077630755</v>
      </c>
      <c r="AA175" s="66">
        <f t="shared" si="69"/>
        <v>18.892124061524882</v>
      </c>
      <c r="AB175" s="66">
        <f t="shared" si="69"/>
        <v>18.875374102610827</v>
      </c>
      <c r="AC175" s="66">
        <f t="shared" si="69"/>
        <v>18.86391127104347</v>
      </c>
    </row>
    <row r="176" spans="1:29" ht="15" thickBot="1" x14ac:dyDescent="0.35">
      <c r="A176" s="59" t="str">
        <f>A127</f>
        <v>Emission Cost</v>
      </c>
      <c r="B176" s="66">
        <f>B147</f>
        <v>18.267003557738562</v>
      </c>
      <c r="C176" s="66">
        <f t="shared" ref="C176:AC176" si="70">C147</f>
        <v>18.305790458980148</v>
      </c>
      <c r="D176" s="66">
        <f t="shared" si="70"/>
        <v>18.361313044198909</v>
      </c>
      <c r="E176" s="66">
        <f t="shared" si="70"/>
        <v>18.440742006877084</v>
      </c>
      <c r="F176" s="66">
        <f t="shared" si="70"/>
        <v>18.554263521414992</v>
      </c>
      <c r="G176" s="66">
        <f t="shared" si="70"/>
        <v>18.716283255677226</v>
      </c>
      <c r="H176" s="66">
        <f t="shared" si="70"/>
        <v>18.947039105058323</v>
      </c>
      <c r="I176" s="66">
        <f t="shared" si="70"/>
        <v>19.274679331915838</v>
      </c>
      <c r="J176" s="66">
        <f t="shared" si="70"/>
        <v>19.737767308363324</v>
      </c>
      <c r="K176" s="66">
        <f t="shared" si="70"/>
        <v>20.387934472496433</v>
      </c>
      <c r="L176" s="66">
        <f t="shared" si="70"/>
        <v>21.291902848630563</v>
      </c>
      <c r="M176" s="66">
        <f t="shared" si="70"/>
        <v>22.53120967478624</v>
      </c>
      <c r="N176" s="66">
        <f t="shared" si="70"/>
        <v>24.196705250388863</v>
      </c>
      <c r="O176" s="66">
        <f t="shared" si="70"/>
        <v>26.37382971778402</v>
      </c>
      <c r="P176" s="66">
        <f t="shared" si="70"/>
        <v>29.115550002671711</v>
      </c>
      <c r="Q176" s="66">
        <f t="shared" si="70"/>
        <v>32.405535643443841</v>
      </c>
      <c r="R176" s="66">
        <f t="shared" si="70"/>
        <v>36.125764728112543</v>
      </c>
      <c r="S176" s="66">
        <f t="shared" si="70"/>
        <v>40.053195309081424</v>
      </c>
      <c r="T176" s="66">
        <f t="shared" si="70"/>
        <v>43.903341402269703</v>
      </c>
      <c r="U176" s="66">
        <f t="shared" si="70"/>
        <v>47.40820864059085</v>
      </c>
      <c r="V176" s="66">
        <f t="shared" si="70"/>
        <v>50.386846690471195</v>
      </c>
      <c r="W176" s="66">
        <f t="shared" si="70"/>
        <v>52.772202324574174</v>
      </c>
      <c r="X176" s="66">
        <f t="shared" si="70"/>
        <v>54.592334543032798</v>
      </c>
      <c r="Y176" s="66">
        <f t="shared" si="70"/>
        <v>55.93027769841482</v>
      </c>
      <c r="Z176" s="66">
        <f t="shared" si="70"/>
        <v>56.886887698938416</v>
      </c>
      <c r="AA176" s="66">
        <f t="shared" si="70"/>
        <v>57.557330037474898</v>
      </c>
      <c r="AB176" s="66">
        <f t="shared" si="70"/>
        <v>58.020646902010256</v>
      </c>
      <c r="AC176" s="66">
        <f t="shared" si="70"/>
        <v>58.337717720376737</v>
      </c>
    </row>
    <row r="177" spans="1:29" ht="15" thickBot="1" x14ac:dyDescent="0.35">
      <c r="A177" s="31" t="s">
        <v>63</v>
      </c>
      <c r="B177" s="76">
        <f>B168+B169+B170-B171+B172+B173+B174+B175+B176</f>
        <v>66.792477126754136</v>
      </c>
      <c r="C177" s="76">
        <f t="shared" ref="C177:AC177" si="71">C168+C169+C170-C171+C172+C173+C174+C175+C176</f>
        <v>66.830326338850369</v>
      </c>
      <c r="D177" s="76">
        <f t="shared" si="71"/>
        <v>66.884506642942895</v>
      </c>
      <c r="E177" s="76">
        <f t="shared" si="71"/>
        <v>66.962015378076572</v>
      </c>
      <c r="F177" s="76">
        <f t="shared" si="71"/>
        <v>67.072792463734146</v>
      </c>
      <c r="G177" s="76">
        <f t="shared" si="71"/>
        <v>67.230895304888463</v>
      </c>
      <c r="H177" s="76">
        <f t="shared" si="71"/>
        <v>67.456072537564836</v>
      </c>
      <c r="I177" s="76">
        <f t="shared" si="71"/>
        <v>67.775791928406306</v>
      </c>
      <c r="J177" s="76">
        <f t="shared" si="71"/>
        <v>68.227684564288865</v>
      </c>
      <c r="K177" s="76">
        <f t="shared" si="71"/>
        <v>68.862133672249485</v>
      </c>
      <c r="L177" s="76">
        <f t="shared" si="71"/>
        <v>69.7442482444728</v>
      </c>
      <c r="M177" s="76">
        <f t="shared" si="71"/>
        <v>70.953594323019161</v>
      </c>
      <c r="N177" s="76">
        <f t="shared" si="71"/>
        <v>72.578825864298778</v>
      </c>
      <c r="O177" s="76">
        <f t="shared" si="71"/>
        <v>74.703317460394388</v>
      </c>
      <c r="P177" s="76">
        <f t="shared" si="71"/>
        <v>77.378755539990223</v>
      </c>
      <c r="Q177" s="76">
        <f t="shared" si="71"/>
        <v>80.589204437043108</v>
      </c>
      <c r="R177" s="76">
        <f t="shared" si="71"/>
        <v>84.219495467388057</v>
      </c>
      <c r="S177" s="76">
        <f t="shared" si="71"/>
        <v>88.051978813413896</v>
      </c>
      <c r="T177" s="76">
        <f t="shared" si="71"/>
        <v>91.809046055648992</v>
      </c>
      <c r="U177" s="76">
        <f t="shared" si="71"/>
        <v>95.229181700053857</v>
      </c>
      <c r="V177" s="76">
        <f t="shared" si="71"/>
        <v>98.135809961116365</v>
      </c>
      <c r="W177" s="76">
        <f t="shared" si="71"/>
        <v>100.46349865059878</v>
      </c>
      <c r="X177" s="76">
        <f t="shared" si="71"/>
        <v>102.23962843087025</v>
      </c>
      <c r="Y177" s="76">
        <f t="shared" si="71"/>
        <v>103.54522626518408</v>
      </c>
      <c r="Z177" s="76">
        <f t="shared" si="71"/>
        <v>104.47870982907281</v>
      </c>
      <c r="AA177" s="76">
        <f t="shared" si="71"/>
        <v>105.13294395083234</v>
      </c>
      <c r="AB177" s="76">
        <f t="shared" si="71"/>
        <v>105.58505994133996</v>
      </c>
      <c r="AC177" s="76">
        <f t="shared" si="71"/>
        <v>105.8944654434483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72">A156</f>
        <v>Capex vehicle</v>
      </c>
      <c r="B180" s="159">
        <f>((1+B141)^B148)*B141/(((1+B141)^B148)-1)*(B137)/B153/(B150)</f>
        <v>1.0347449498978036E-3</v>
      </c>
      <c r="C180" s="65">
        <f t="shared" ref="C180:AC180" si="73">((1+C141)^C148)*C141/(((1+C141)^C148)-1)*(C137)/C153/(C150)</f>
        <v>1.0347449498978036E-3</v>
      </c>
      <c r="D180" s="65">
        <f t="shared" si="73"/>
        <v>1.0347449498978036E-3</v>
      </c>
      <c r="E180" s="65">
        <f t="shared" si="73"/>
        <v>1.0347449498978036E-3</v>
      </c>
      <c r="F180" s="65">
        <f t="shared" si="73"/>
        <v>1.0347449498978036E-3</v>
      </c>
      <c r="G180" s="65">
        <f t="shared" si="73"/>
        <v>1.0347449498978036E-3</v>
      </c>
      <c r="H180" s="65">
        <f t="shared" si="73"/>
        <v>1.0347449498978036E-3</v>
      </c>
      <c r="I180" s="65">
        <f t="shared" si="73"/>
        <v>1.0347449498978036E-3</v>
      </c>
      <c r="J180" s="65">
        <f t="shared" si="73"/>
        <v>1.0347449498978036E-3</v>
      </c>
      <c r="K180" s="65">
        <f t="shared" si="73"/>
        <v>1.0347449498978036E-3</v>
      </c>
      <c r="L180" s="65">
        <f t="shared" si="73"/>
        <v>1.0347449498978036E-3</v>
      </c>
      <c r="M180" s="65">
        <f t="shared" si="73"/>
        <v>1.0347449498978036E-3</v>
      </c>
      <c r="N180" s="65">
        <f t="shared" si="73"/>
        <v>1.0347449498978036E-3</v>
      </c>
      <c r="O180" s="65">
        <f t="shared" si="73"/>
        <v>1.0347449498978036E-3</v>
      </c>
      <c r="P180" s="65">
        <f t="shared" si="73"/>
        <v>1.0347449498978036E-3</v>
      </c>
      <c r="Q180" s="65">
        <f t="shared" si="73"/>
        <v>1.0347449498978036E-3</v>
      </c>
      <c r="R180" s="65">
        <f t="shared" si="73"/>
        <v>1.0347449498978036E-3</v>
      </c>
      <c r="S180" s="65">
        <f t="shared" si="73"/>
        <v>1.0347449498978036E-3</v>
      </c>
      <c r="T180" s="65">
        <f t="shared" si="73"/>
        <v>1.0347449498978036E-3</v>
      </c>
      <c r="U180" s="65">
        <f t="shared" si="73"/>
        <v>1.0347449498978036E-3</v>
      </c>
      <c r="V180" s="65">
        <f t="shared" si="73"/>
        <v>1.0347449498978036E-3</v>
      </c>
      <c r="W180" s="65">
        <f t="shared" si="73"/>
        <v>1.0347449498978036E-3</v>
      </c>
      <c r="X180" s="65">
        <f t="shared" si="73"/>
        <v>1.0347449498978036E-3</v>
      </c>
      <c r="Y180" s="65">
        <f t="shared" si="73"/>
        <v>1.0347449498978036E-3</v>
      </c>
      <c r="Z180" s="65">
        <f t="shared" si="73"/>
        <v>1.0347449498978036E-3</v>
      </c>
      <c r="AA180" s="65">
        <f t="shared" si="73"/>
        <v>1.0347449498978036E-3</v>
      </c>
      <c r="AB180" s="65">
        <f t="shared" si="73"/>
        <v>1.0347449498978036E-3</v>
      </c>
      <c r="AC180" s="65">
        <f t="shared" si="73"/>
        <v>1.0347449498978036E-3</v>
      </c>
    </row>
    <row r="181" spans="1:29" x14ac:dyDescent="0.3">
      <c r="A181" s="30" t="str">
        <f t="shared" si="72"/>
        <v>Residual value (vehicle)</v>
      </c>
      <c r="B181" s="69">
        <f>((1+B141)^B148)*B141/(((1+B141)^B148)-1)*(B138)/B153/(B150)</f>
        <v>-1.0336086682377807E-4</v>
      </c>
      <c r="C181" s="68">
        <f t="shared" ref="C181:AC181" si="74">((1+C141)^C148)*C141/(((1+C141)^C148)-1)*(C138)/C153/(C150)</f>
        <v>-1.0331170855999495E-4</v>
      </c>
      <c r="D181" s="68">
        <f t="shared" si="74"/>
        <v>-1.0324133960030145E-4</v>
      </c>
      <c r="E181" s="68">
        <f t="shared" si="74"/>
        <v>-1.0314067185489343E-4</v>
      </c>
      <c r="F181" s="68">
        <f t="shared" si="74"/>
        <v>-1.0299679543326449E-4</v>
      </c>
      <c r="G181" s="68">
        <f t="shared" si="74"/>
        <v>-1.0279145268661591E-4</v>
      </c>
      <c r="H181" s="68">
        <f t="shared" si="74"/>
        <v>-1.0249899423929835E-4</v>
      </c>
      <c r="I181" s="68">
        <f t="shared" si="74"/>
        <v>-1.0208374516854875E-4</v>
      </c>
      <c r="J181" s="68">
        <f t="shared" si="74"/>
        <v>-1.0149683050993223E-4</v>
      </c>
      <c r="K181" s="68">
        <f t="shared" si="74"/>
        <v>-1.0067281291805218E-4</v>
      </c>
      <c r="L181" s="68">
        <f t="shared" si="74"/>
        <v>-9.9527129337690295E-5</v>
      </c>
      <c r="M181" s="68">
        <f t="shared" si="74"/>
        <v>-9.7956440009122124E-5</v>
      </c>
      <c r="N181" s="68">
        <f t="shared" si="74"/>
        <v>-9.5845601859790468E-5</v>
      </c>
      <c r="O181" s="68">
        <f t="shared" si="74"/>
        <v>-9.3086328614673487E-5</v>
      </c>
      <c r="P181" s="68">
        <f t="shared" si="74"/>
        <v>-8.9611490340159677E-5</v>
      </c>
      <c r="Q181" s="68">
        <f t="shared" si="74"/>
        <v>-8.5441784155991385E-5</v>
      </c>
      <c r="R181" s="68">
        <f t="shared" si="74"/>
        <v>-8.0726790257955685E-5</v>
      </c>
      <c r="S181" s="68">
        <f t="shared" si="74"/>
        <v>-7.5749190544932557E-5</v>
      </c>
      <c r="T181" s="68">
        <f t="shared" si="74"/>
        <v>-7.086954068392259E-5</v>
      </c>
      <c r="U181" s="68">
        <f t="shared" si="74"/>
        <v>-6.6427494974906487E-5</v>
      </c>
      <c r="V181" s="68">
        <f t="shared" si="74"/>
        <v>-6.2652388681716054E-5</v>
      </c>
      <c r="W181" s="68">
        <f t="shared" si="74"/>
        <v>-5.9629204624102501E-5</v>
      </c>
      <c r="X181" s="68">
        <f t="shared" si="74"/>
        <v>-5.7322381009659713E-5</v>
      </c>
      <c r="Y181" s="68">
        <f t="shared" si="74"/>
        <v>-5.5626680645522941E-5</v>
      </c>
      <c r="Z181" s="68">
        <f t="shared" si="74"/>
        <v>-5.4414279416293167E-5</v>
      </c>
      <c r="AA181" s="68">
        <f t="shared" si="74"/>
        <v>-5.3564565201592909E-5</v>
      </c>
      <c r="AB181" s="68">
        <f t="shared" si="74"/>
        <v>-5.2977360451717727E-5</v>
      </c>
      <c r="AC181" s="68">
        <f t="shared" si="74"/>
        <v>-5.2575506979843073E-5</v>
      </c>
    </row>
    <row r="182" spans="1:29" x14ac:dyDescent="0.3">
      <c r="A182" s="30" t="str">
        <f t="shared" si="72"/>
        <v>Capex costumization</v>
      </c>
      <c r="B182" s="69">
        <f>((1+B141)^B149)*B141/(((1+B141)^B149)-1)*(B139)/B153/(B150)</f>
        <v>3.4491498329926784E-4</v>
      </c>
      <c r="C182" s="66">
        <f t="shared" ref="C182:AC182" si="75">((1+C141)^C149)*C141/(((1+C141)^C149)-1)*(C139)/C153/(C150)</f>
        <v>3.4491498329926784E-4</v>
      </c>
      <c r="D182" s="66">
        <f t="shared" si="75"/>
        <v>3.4491498329926784E-4</v>
      </c>
      <c r="E182" s="66">
        <f t="shared" si="75"/>
        <v>3.4491498329926784E-4</v>
      </c>
      <c r="F182" s="66">
        <f t="shared" si="75"/>
        <v>3.4491498329926784E-4</v>
      </c>
      <c r="G182" s="66">
        <f t="shared" si="75"/>
        <v>3.4491498329926784E-4</v>
      </c>
      <c r="H182" s="66">
        <f t="shared" si="75"/>
        <v>3.4491498329926784E-4</v>
      </c>
      <c r="I182" s="66">
        <f t="shared" si="75"/>
        <v>3.4491498329926784E-4</v>
      </c>
      <c r="J182" s="66">
        <f t="shared" si="75"/>
        <v>3.4491498329926784E-4</v>
      </c>
      <c r="K182" s="66">
        <f t="shared" si="75"/>
        <v>3.4491498329926784E-4</v>
      </c>
      <c r="L182" s="66">
        <f t="shared" si="75"/>
        <v>3.4491498329926784E-4</v>
      </c>
      <c r="M182" s="66">
        <f t="shared" si="75"/>
        <v>3.4491498329926784E-4</v>
      </c>
      <c r="N182" s="66">
        <f t="shared" si="75"/>
        <v>3.4491498329926784E-4</v>
      </c>
      <c r="O182" s="66">
        <f t="shared" si="75"/>
        <v>3.4491498329926784E-4</v>
      </c>
      <c r="P182" s="66">
        <f t="shared" si="75"/>
        <v>3.4491498329926784E-4</v>
      </c>
      <c r="Q182" s="66">
        <f t="shared" si="75"/>
        <v>3.4491498329926784E-4</v>
      </c>
      <c r="R182" s="66">
        <f t="shared" si="75"/>
        <v>3.4491498329926784E-4</v>
      </c>
      <c r="S182" s="66">
        <f t="shared" si="75"/>
        <v>3.4491498329926784E-4</v>
      </c>
      <c r="T182" s="66">
        <f t="shared" si="75"/>
        <v>3.4491498329926784E-4</v>
      </c>
      <c r="U182" s="66">
        <f t="shared" si="75"/>
        <v>3.4491498329926784E-4</v>
      </c>
      <c r="V182" s="66">
        <f t="shared" si="75"/>
        <v>3.4491498329926784E-4</v>
      </c>
      <c r="W182" s="66">
        <f t="shared" si="75"/>
        <v>3.4491498329926784E-4</v>
      </c>
      <c r="X182" s="66">
        <f t="shared" si="75"/>
        <v>3.4491498329926784E-4</v>
      </c>
      <c r="Y182" s="66">
        <f t="shared" si="75"/>
        <v>3.4491498329926784E-4</v>
      </c>
      <c r="Z182" s="66">
        <f t="shared" si="75"/>
        <v>3.4491498329926784E-4</v>
      </c>
      <c r="AA182" s="66">
        <f t="shared" si="75"/>
        <v>3.4491498329926784E-4</v>
      </c>
      <c r="AB182" s="66">
        <f t="shared" si="75"/>
        <v>3.4491498329926784E-4</v>
      </c>
      <c r="AC182" s="66">
        <f t="shared" si="75"/>
        <v>3.4491498329926784E-4</v>
      </c>
    </row>
    <row r="183" spans="1:29" x14ac:dyDescent="0.3">
      <c r="A183" s="30" t="str">
        <f t="shared" si="72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76">((1+C141)^C149)*C141/(((1+C141)^C149)-1)*(C140)/C153/(C150)</f>
        <v>-3.4491498329926788E-5</v>
      </c>
      <c r="D183" s="69">
        <f t="shared" si="76"/>
        <v>-3.4491498329926788E-5</v>
      </c>
      <c r="E183" s="69">
        <f t="shared" si="76"/>
        <v>-3.4491498329926788E-5</v>
      </c>
      <c r="F183" s="69">
        <f t="shared" si="76"/>
        <v>-3.4491498329926788E-5</v>
      </c>
      <c r="G183" s="69">
        <f t="shared" si="76"/>
        <v>-3.4491498329926788E-5</v>
      </c>
      <c r="H183" s="69">
        <f t="shared" si="76"/>
        <v>-3.4491498329926788E-5</v>
      </c>
      <c r="I183" s="69">
        <f t="shared" si="76"/>
        <v>-3.4491498329926788E-5</v>
      </c>
      <c r="J183" s="69">
        <f t="shared" si="76"/>
        <v>-3.4491498329926788E-5</v>
      </c>
      <c r="K183" s="69">
        <f t="shared" si="76"/>
        <v>-3.4491498329926788E-5</v>
      </c>
      <c r="L183" s="69">
        <f t="shared" si="76"/>
        <v>-3.4491498329926788E-5</v>
      </c>
      <c r="M183" s="69">
        <f t="shared" si="76"/>
        <v>-3.4491498329926788E-5</v>
      </c>
      <c r="N183" s="69">
        <f t="shared" si="76"/>
        <v>-3.4491498329926788E-5</v>
      </c>
      <c r="O183" s="69">
        <f t="shared" si="76"/>
        <v>-3.4491498329926788E-5</v>
      </c>
      <c r="P183" s="69">
        <f t="shared" si="76"/>
        <v>-3.4491498329926788E-5</v>
      </c>
      <c r="Q183" s="69">
        <f t="shared" si="76"/>
        <v>-3.4491498329926788E-5</v>
      </c>
      <c r="R183" s="69">
        <f t="shared" si="76"/>
        <v>-3.4491498329926788E-5</v>
      </c>
      <c r="S183" s="69">
        <f t="shared" si="76"/>
        <v>-3.4491498329926788E-5</v>
      </c>
      <c r="T183" s="69">
        <f t="shared" si="76"/>
        <v>-3.4491498329926788E-5</v>
      </c>
      <c r="U183" s="69">
        <f t="shared" si="76"/>
        <v>-3.4491498329926788E-5</v>
      </c>
      <c r="V183" s="69">
        <f t="shared" si="76"/>
        <v>-3.4491498329926788E-5</v>
      </c>
      <c r="W183" s="69">
        <f t="shared" si="76"/>
        <v>-3.4491498329926788E-5</v>
      </c>
      <c r="X183" s="69">
        <f t="shared" si="76"/>
        <v>-3.4491498329926788E-5</v>
      </c>
      <c r="Y183" s="69">
        <f t="shared" si="76"/>
        <v>-3.4491498329926788E-5</v>
      </c>
      <c r="Z183" s="69">
        <f t="shared" si="76"/>
        <v>-3.4491498329926788E-5</v>
      </c>
      <c r="AA183" s="69">
        <f t="shared" si="76"/>
        <v>-3.4491498329926788E-5</v>
      </c>
      <c r="AB183" s="69">
        <f t="shared" si="76"/>
        <v>-3.4491498329926788E-5</v>
      </c>
      <c r="AC183" s="69">
        <f t="shared" si="76"/>
        <v>-3.4491498329926788E-5</v>
      </c>
    </row>
    <row r="184" spans="1:29" x14ac:dyDescent="0.3">
      <c r="A184" s="30" t="str">
        <f t="shared" si="72"/>
        <v>Opex fix (admin, crew, insurance)</v>
      </c>
      <c r="B184" s="69">
        <f>B142/B153/(B150)</f>
        <v>1.0654632223259673E-3</v>
      </c>
      <c r="C184" s="66">
        <f t="shared" ref="C184:AC184" si="77">C142/C153/(C150)</f>
        <v>1.0654632223259673E-3</v>
      </c>
      <c r="D184" s="66">
        <f t="shared" si="77"/>
        <v>1.0654632223259673E-3</v>
      </c>
      <c r="E184" s="66">
        <f t="shared" si="77"/>
        <v>1.0654632223259673E-3</v>
      </c>
      <c r="F184" s="66">
        <f t="shared" si="77"/>
        <v>1.0654632223259673E-3</v>
      </c>
      <c r="G184" s="66">
        <f t="shared" si="77"/>
        <v>1.0654632223259673E-3</v>
      </c>
      <c r="H184" s="66">
        <f t="shared" si="77"/>
        <v>1.0654632223259673E-3</v>
      </c>
      <c r="I184" s="66">
        <f t="shared" si="77"/>
        <v>1.0654632223259673E-3</v>
      </c>
      <c r="J184" s="66">
        <f t="shared" si="77"/>
        <v>1.0654632223259673E-3</v>
      </c>
      <c r="K184" s="66">
        <f t="shared" si="77"/>
        <v>1.0654632223259673E-3</v>
      </c>
      <c r="L184" s="66">
        <f t="shared" si="77"/>
        <v>1.0654632223259673E-3</v>
      </c>
      <c r="M184" s="66">
        <f t="shared" si="77"/>
        <v>1.0654632223259673E-3</v>
      </c>
      <c r="N184" s="66">
        <f t="shared" si="77"/>
        <v>1.0654632223259673E-3</v>
      </c>
      <c r="O184" s="66">
        <f t="shared" si="77"/>
        <v>1.0654632223259673E-3</v>
      </c>
      <c r="P184" s="66">
        <f t="shared" si="77"/>
        <v>1.0654632223259673E-3</v>
      </c>
      <c r="Q184" s="66">
        <f t="shared" si="77"/>
        <v>1.0654632223259673E-3</v>
      </c>
      <c r="R184" s="66">
        <f t="shared" si="77"/>
        <v>1.0654632223259673E-3</v>
      </c>
      <c r="S184" s="66">
        <f t="shared" si="77"/>
        <v>1.0654632223259673E-3</v>
      </c>
      <c r="T184" s="66">
        <f t="shared" si="77"/>
        <v>1.0654632223259673E-3</v>
      </c>
      <c r="U184" s="66">
        <f t="shared" si="77"/>
        <v>1.0654632223259673E-3</v>
      </c>
      <c r="V184" s="66">
        <f t="shared" si="77"/>
        <v>1.0654632223259673E-3</v>
      </c>
      <c r="W184" s="66">
        <f t="shared" si="77"/>
        <v>1.0654632223259673E-3</v>
      </c>
      <c r="X184" s="66">
        <f t="shared" si="77"/>
        <v>1.0654632223259673E-3</v>
      </c>
      <c r="Y184" s="66">
        <f t="shared" si="77"/>
        <v>1.0654632223259673E-3</v>
      </c>
      <c r="Z184" s="66">
        <f t="shared" si="77"/>
        <v>1.0654632223259673E-3</v>
      </c>
      <c r="AA184" s="66">
        <f t="shared" si="77"/>
        <v>1.0654632223259673E-3</v>
      </c>
      <c r="AB184" s="66">
        <f t="shared" si="77"/>
        <v>1.0654632223259673E-3</v>
      </c>
      <c r="AC184" s="66">
        <f t="shared" si="77"/>
        <v>1.0654632223259673E-3</v>
      </c>
    </row>
    <row r="185" spans="1:29" x14ac:dyDescent="0.3">
      <c r="A185" s="30" t="str">
        <f t="shared" si="72"/>
        <v>Opex maintenance &amp; repair</v>
      </c>
      <c r="B185" s="69">
        <f>B143/B153/(B150)</f>
        <v>4.305425874053325E-4</v>
      </c>
      <c r="C185" s="66">
        <f t="shared" ref="C185:AC185" si="78">C143/C153/(C150)</f>
        <v>4.305425874053325E-4</v>
      </c>
      <c r="D185" s="66">
        <f t="shared" si="78"/>
        <v>4.305425874053325E-4</v>
      </c>
      <c r="E185" s="66">
        <f t="shared" si="78"/>
        <v>4.305425874053325E-4</v>
      </c>
      <c r="F185" s="66">
        <f t="shared" si="78"/>
        <v>4.305425874053325E-4</v>
      </c>
      <c r="G185" s="66">
        <f t="shared" si="78"/>
        <v>4.305425874053325E-4</v>
      </c>
      <c r="H185" s="66">
        <f t="shared" si="78"/>
        <v>4.305425874053325E-4</v>
      </c>
      <c r="I185" s="66">
        <f t="shared" si="78"/>
        <v>4.305425874053325E-4</v>
      </c>
      <c r="J185" s="66">
        <f t="shared" si="78"/>
        <v>4.305425874053325E-4</v>
      </c>
      <c r="K185" s="66">
        <f t="shared" si="78"/>
        <v>4.305425874053325E-4</v>
      </c>
      <c r="L185" s="66">
        <f t="shared" si="78"/>
        <v>4.305425874053325E-4</v>
      </c>
      <c r="M185" s="66">
        <f t="shared" si="78"/>
        <v>4.305425874053325E-4</v>
      </c>
      <c r="N185" s="66">
        <f t="shared" si="78"/>
        <v>4.305425874053325E-4</v>
      </c>
      <c r="O185" s="66">
        <f t="shared" si="78"/>
        <v>4.305425874053325E-4</v>
      </c>
      <c r="P185" s="66">
        <f t="shared" si="78"/>
        <v>4.305425874053325E-4</v>
      </c>
      <c r="Q185" s="66">
        <f t="shared" si="78"/>
        <v>4.305425874053325E-4</v>
      </c>
      <c r="R185" s="66">
        <f t="shared" si="78"/>
        <v>4.305425874053325E-4</v>
      </c>
      <c r="S185" s="66">
        <f t="shared" si="78"/>
        <v>4.305425874053325E-4</v>
      </c>
      <c r="T185" s="66">
        <f t="shared" si="78"/>
        <v>4.305425874053325E-4</v>
      </c>
      <c r="U185" s="66">
        <f t="shared" si="78"/>
        <v>4.305425874053325E-4</v>
      </c>
      <c r="V185" s="66">
        <f t="shared" si="78"/>
        <v>4.305425874053325E-4</v>
      </c>
      <c r="W185" s="66">
        <f t="shared" si="78"/>
        <v>4.305425874053325E-4</v>
      </c>
      <c r="X185" s="66">
        <f t="shared" si="78"/>
        <v>4.305425874053325E-4</v>
      </c>
      <c r="Y185" s="66">
        <f t="shared" si="78"/>
        <v>4.305425874053325E-4</v>
      </c>
      <c r="Z185" s="66">
        <f t="shared" si="78"/>
        <v>4.305425874053325E-4</v>
      </c>
      <c r="AA185" s="66">
        <f t="shared" si="78"/>
        <v>4.305425874053325E-4</v>
      </c>
      <c r="AB185" s="66">
        <f t="shared" si="78"/>
        <v>4.305425874053325E-4</v>
      </c>
      <c r="AC185" s="66">
        <f t="shared" si="78"/>
        <v>4.305425874053325E-4</v>
      </c>
    </row>
    <row r="186" spans="1:29" x14ac:dyDescent="0.3">
      <c r="A186" s="30" t="str">
        <f t="shared" si="72"/>
        <v>Opex var (mode-fees)</v>
      </c>
      <c r="B186" s="69">
        <f>B144*B153/B153/(B150)</f>
        <v>1.7869725535414797E-4</v>
      </c>
      <c r="C186" s="66">
        <f t="shared" ref="C186:AC186" si="79">C144*C153/C153/(C150)</f>
        <v>1.7869725535414797E-4</v>
      </c>
      <c r="D186" s="66">
        <f t="shared" si="79"/>
        <v>1.7869725535414797E-4</v>
      </c>
      <c r="E186" s="66">
        <f t="shared" si="79"/>
        <v>1.7869725535414797E-4</v>
      </c>
      <c r="F186" s="66">
        <f t="shared" si="79"/>
        <v>1.7869725535414797E-4</v>
      </c>
      <c r="G186" s="66">
        <f t="shared" si="79"/>
        <v>1.7869725535414797E-4</v>
      </c>
      <c r="H186" s="66">
        <f t="shared" si="79"/>
        <v>1.7869725535414797E-4</v>
      </c>
      <c r="I186" s="66">
        <f t="shared" si="79"/>
        <v>1.7869725535414797E-4</v>
      </c>
      <c r="J186" s="66">
        <f t="shared" si="79"/>
        <v>1.7869725535414797E-4</v>
      </c>
      <c r="K186" s="66">
        <f t="shared" si="79"/>
        <v>1.7869725535414797E-4</v>
      </c>
      <c r="L186" s="66">
        <f t="shared" si="79"/>
        <v>1.7869725535414797E-4</v>
      </c>
      <c r="M186" s="66">
        <f t="shared" si="79"/>
        <v>1.7869725535414797E-4</v>
      </c>
      <c r="N186" s="66">
        <f t="shared" si="79"/>
        <v>1.7869725535414797E-4</v>
      </c>
      <c r="O186" s="66">
        <f t="shared" si="79"/>
        <v>1.7869725535414797E-4</v>
      </c>
      <c r="P186" s="66">
        <f t="shared" si="79"/>
        <v>1.7869725535414797E-4</v>
      </c>
      <c r="Q186" s="66">
        <f t="shared" si="79"/>
        <v>1.7869725535414797E-4</v>
      </c>
      <c r="R186" s="66">
        <f t="shared" si="79"/>
        <v>1.7869725535414797E-4</v>
      </c>
      <c r="S186" s="66">
        <f t="shared" si="79"/>
        <v>1.7869725535414797E-4</v>
      </c>
      <c r="T186" s="66">
        <f t="shared" si="79"/>
        <v>1.7869725535414797E-4</v>
      </c>
      <c r="U186" s="66">
        <f t="shared" si="79"/>
        <v>1.7869725535414797E-4</v>
      </c>
      <c r="V186" s="66">
        <f t="shared" si="79"/>
        <v>1.7869725535414797E-4</v>
      </c>
      <c r="W186" s="66">
        <f t="shared" si="79"/>
        <v>1.7869725535414797E-4</v>
      </c>
      <c r="X186" s="66">
        <f t="shared" si="79"/>
        <v>1.7869725535414797E-4</v>
      </c>
      <c r="Y186" s="66">
        <f t="shared" si="79"/>
        <v>1.7869725535414797E-4</v>
      </c>
      <c r="Z186" s="66">
        <f t="shared" si="79"/>
        <v>1.7869725535414797E-4</v>
      </c>
      <c r="AA186" s="66">
        <f t="shared" si="79"/>
        <v>1.7869725535414797E-4</v>
      </c>
      <c r="AB186" s="66">
        <f t="shared" si="79"/>
        <v>1.7869725535414797E-4</v>
      </c>
      <c r="AC186" s="66">
        <f t="shared" si="79"/>
        <v>1.7869725535414797E-4</v>
      </c>
    </row>
    <row r="187" spans="1:29" x14ac:dyDescent="0.3">
      <c r="A187" s="30" t="str">
        <f t="shared" si="72"/>
        <v>Fuel Cost</v>
      </c>
      <c r="B187" s="69">
        <f>B145*B146*B153/B153/(B150)</f>
        <v>2.1494771182553069E-3</v>
      </c>
      <c r="C187" s="66">
        <f t="shared" ref="C187:AC187" si="80">C145*C146*C153/C153/(C150)</f>
        <v>2.1493287336269364E-3</v>
      </c>
      <c r="D187" s="66">
        <f t="shared" si="80"/>
        <v>2.1491163243364253E-3</v>
      </c>
      <c r="E187" s="66">
        <f t="shared" si="80"/>
        <v>2.14881245790906E-3</v>
      </c>
      <c r="F187" s="66">
        <f t="shared" si="80"/>
        <v>2.1483781657328982E-3</v>
      </c>
      <c r="G187" s="66">
        <f t="shared" si="80"/>
        <v>2.1477583369430842E-3</v>
      </c>
      <c r="H187" s="66">
        <f t="shared" si="80"/>
        <v>2.1468755486857413E-3</v>
      </c>
      <c r="I187" s="66">
        <f t="shared" si="80"/>
        <v>2.1456221159095916E-3</v>
      </c>
      <c r="J187" s="66">
        <f t="shared" si="80"/>
        <v>2.1438505091277019E-3</v>
      </c>
      <c r="K187" s="66">
        <f t="shared" si="80"/>
        <v>2.1413632051683635E-3</v>
      </c>
      <c r="L187" s="66">
        <f t="shared" si="80"/>
        <v>2.1379049497455864E-3</v>
      </c>
      <c r="M187" s="66">
        <f t="shared" si="80"/>
        <v>2.1331638109345504E-3</v>
      </c>
      <c r="N187" s="66">
        <f t="shared" si="80"/>
        <v>2.1267922284124146E-3</v>
      </c>
      <c r="O187" s="66">
        <f t="shared" si="80"/>
        <v>2.118463339156764E-3</v>
      </c>
      <c r="P187" s="66">
        <f t="shared" si="80"/>
        <v>2.1079745109042758E-3</v>
      </c>
      <c r="Q187" s="66">
        <f t="shared" si="80"/>
        <v>2.0953882180831502E-3</v>
      </c>
      <c r="R187" s="66">
        <f t="shared" si="80"/>
        <v>2.0811559697593205E-3</v>
      </c>
      <c r="S187" s="66">
        <f t="shared" si="80"/>
        <v>2.0661310435972982E-3</v>
      </c>
      <c r="T187" s="66">
        <f t="shared" si="80"/>
        <v>2.0514017798788087E-3</v>
      </c>
      <c r="U187" s="66">
        <f t="shared" si="80"/>
        <v>2.037993427935265E-3</v>
      </c>
      <c r="V187" s="66">
        <f t="shared" si="80"/>
        <v>2.0265982381692882E-3</v>
      </c>
      <c r="W187" s="66">
        <f t="shared" si="80"/>
        <v>2.0174727319296035E-3</v>
      </c>
      <c r="X187" s="66">
        <f t="shared" si="80"/>
        <v>2.0105095656498539E-3</v>
      </c>
      <c r="Y187" s="66">
        <f t="shared" si="80"/>
        <v>2.0053910799874954E-3</v>
      </c>
      <c r="Z187" s="66">
        <f t="shared" si="80"/>
        <v>2.0017314367863233E-3</v>
      </c>
      <c r="AA187" s="66">
        <f t="shared" si="80"/>
        <v>1.9991665673571302E-3</v>
      </c>
      <c r="AB187" s="66">
        <f t="shared" si="80"/>
        <v>1.9973940849323628E-3</v>
      </c>
      <c r="AC187" s="66">
        <f t="shared" si="80"/>
        <v>1.9961810868829068E-3</v>
      </c>
    </row>
    <row r="188" spans="1:29" x14ac:dyDescent="0.3">
      <c r="A188" s="59" t="str">
        <f>A151</f>
        <v>Market failure (av. utilization)</v>
      </c>
      <c r="B188" s="69">
        <f t="shared" ref="B188:AC188" si="81">B177/B151-B177/B150</f>
        <v>9.3691920665066718E-3</v>
      </c>
      <c r="C188" s="66">
        <f t="shared" si="81"/>
        <v>9.3745012952244893E-3</v>
      </c>
      <c r="D188" s="66">
        <f t="shared" si="81"/>
        <v>9.3821013378805104E-3</v>
      </c>
      <c r="E188" s="66">
        <f t="shared" si="81"/>
        <v>9.3929737333588413E-3</v>
      </c>
      <c r="F188" s="66">
        <f t="shared" si="81"/>
        <v>9.4085127856105462E-3</v>
      </c>
      <c r="G188" s="66">
        <f t="shared" si="81"/>
        <v>9.4306903713021854E-3</v>
      </c>
      <c r="H188" s="66">
        <f t="shared" si="81"/>
        <v>9.4622766940843997E-3</v>
      </c>
      <c r="I188" s="66">
        <f t="shared" si="81"/>
        <v>9.5071247444792895E-3</v>
      </c>
      <c r="J188" s="66">
        <f t="shared" si="81"/>
        <v>9.5705131540899865E-3</v>
      </c>
      <c r="K188" s="66">
        <f t="shared" si="81"/>
        <v>9.6595093375617565E-3</v>
      </c>
      <c r="L188" s="66">
        <f t="shared" si="81"/>
        <v>9.7832463392025348E-3</v>
      </c>
      <c r="M188" s="66">
        <f t="shared" si="81"/>
        <v>9.9528851394415953E-3</v>
      </c>
      <c r="N188" s="66">
        <f t="shared" si="81"/>
        <v>1.0180861509203963E-2</v>
      </c>
      <c r="O188" s="66">
        <f t="shared" si="81"/>
        <v>1.0478870666279021E-2</v>
      </c>
      <c r="P188" s="66">
        <f t="shared" si="81"/>
        <v>1.085416282952982E-2</v>
      </c>
      <c r="Q188" s="66">
        <f t="shared" si="81"/>
        <v>1.1304502652667546E-2</v>
      </c>
      <c r="R188" s="66">
        <f t="shared" si="81"/>
        <v>1.1813735060024902E-2</v>
      </c>
      <c r="S188" s="66">
        <f t="shared" si="81"/>
        <v>1.2351329623144067E-2</v>
      </c>
      <c r="T188" s="66">
        <f t="shared" si="81"/>
        <v>1.2878345330803478E-2</v>
      </c>
      <c r="U188" s="66">
        <f t="shared" si="81"/>
        <v>1.3358098577342365E-2</v>
      </c>
      <c r="V188" s="66">
        <f t="shared" si="81"/>
        <v>1.3765820518724334E-2</v>
      </c>
      <c r="W188" s="66">
        <f t="shared" si="81"/>
        <v>1.4092332774908652E-2</v>
      </c>
      <c r="X188" s="66">
        <f t="shared" si="81"/>
        <v>1.4341476118025359E-2</v>
      </c>
      <c r="Y188" s="66">
        <f t="shared" si="81"/>
        <v>1.4524616456541142E-2</v>
      </c>
      <c r="Z188" s="66">
        <f t="shared" si="81"/>
        <v>1.4655559149150118E-2</v>
      </c>
      <c r="AA188" s="66">
        <f t="shared" si="81"/>
        <v>1.4747330639097929E-2</v>
      </c>
      <c r="AB188" s="66">
        <f t="shared" si="81"/>
        <v>1.4810750379368468E-2</v>
      </c>
      <c r="AC188" s="66">
        <f t="shared" si="81"/>
        <v>1.4854151667962478E-2</v>
      </c>
    </row>
    <row r="189" spans="1:29" x14ac:dyDescent="0.3">
      <c r="A189" s="59" t="str">
        <f>A152</f>
        <v>Payload loss (fuel)</v>
      </c>
      <c r="B189" s="69">
        <f>B177/(B150-B152)-B177/B150</f>
        <v>0</v>
      </c>
      <c r="C189" s="66">
        <f t="shared" ref="C189:AC189" si="82">C177/(C150-C152)-C177/C150</f>
        <v>0</v>
      </c>
      <c r="D189" s="66">
        <f t="shared" si="82"/>
        <v>0</v>
      </c>
      <c r="E189" s="66">
        <f t="shared" si="82"/>
        <v>0</v>
      </c>
      <c r="F189" s="66">
        <f t="shared" si="82"/>
        <v>0</v>
      </c>
      <c r="G189" s="66">
        <f t="shared" si="82"/>
        <v>0</v>
      </c>
      <c r="H189" s="66">
        <f t="shared" si="82"/>
        <v>0</v>
      </c>
      <c r="I189" s="66">
        <f t="shared" si="82"/>
        <v>0</v>
      </c>
      <c r="J189" s="66">
        <f t="shared" si="82"/>
        <v>0</v>
      </c>
      <c r="K189" s="66">
        <f t="shared" si="82"/>
        <v>0</v>
      </c>
      <c r="L189" s="66">
        <f t="shared" si="82"/>
        <v>0</v>
      </c>
      <c r="M189" s="66">
        <f t="shared" si="82"/>
        <v>0</v>
      </c>
      <c r="N189" s="66">
        <f t="shared" si="82"/>
        <v>0</v>
      </c>
      <c r="O189" s="66">
        <f t="shared" si="82"/>
        <v>0</v>
      </c>
      <c r="P189" s="66">
        <f t="shared" si="82"/>
        <v>0</v>
      </c>
      <c r="Q189" s="66">
        <f t="shared" si="82"/>
        <v>0</v>
      </c>
      <c r="R189" s="66">
        <f t="shared" si="82"/>
        <v>0</v>
      </c>
      <c r="S189" s="66">
        <f t="shared" si="82"/>
        <v>0</v>
      </c>
      <c r="T189" s="66">
        <f t="shared" si="82"/>
        <v>0</v>
      </c>
      <c r="U189" s="66">
        <f t="shared" si="82"/>
        <v>0</v>
      </c>
      <c r="V189" s="66">
        <f t="shared" si="82"/>
        <v>0</v>
      </c>
      <c r="W189" s="66">
        <f t="shared" si="82"/>
        <v>0</v>
      </c>
      <c r="X189" s="66">
        <f t="shared" si="82"/>
        <v>0</v>
      </c>
      <c r="Y189" s="66">
        <f t="shared" si="82"/>
        <v>0</v>
      </c>
      <c r="Z189" s="66">
        <f t="shared" si="82"/>
        <v>0</v>
      </c>
      <c r="AA189" s="66">
        <f t="shared" si="82"/>
        <v>0</v>
      </c>
      <c r="AB189" s="66">
        <f t="shared" si="82"/>
        <v>0</v>
      </c>
      <c r="AC189" s="66">
        <f t="shared" si="82"/>
        <v>0</v>
      </c>
    </row>
    <row r="190" spans="1:29" ht="15" thickBot="1" x14ac:dyDescent="0.35">
      <c r="A190" s="59" t="str">
        <f>A127</f>
        <v>Emission Cost</v>
      </c>
      <c r="B190" s="69">
        <f>B147*B153/B153/(B150)</f>
        <v>1.9330162494961441E-3</v>
      </c>
      <c r="C190" s="68">
        <f t="shared" ref="C190:AC190" si="83">C147*C153/C153/(C150)</f>
        <v>1.9371206834899628E-3</v>
      </c>
      <c r="D190" s="68">
        <f t="shared" si="83"/>
        <v>1.9429960893332179E-3</v>
      </c>
      <c r="E190" s="68">
        <f t="shared" si="83"/>
        <v>1.9514012705690036E-3</v>
      </c>
      <c r="F190" s="68">
        <f t="shared" si="83"/>
        <v>1.9634141292502638E-3</v>
      </c>
      <c r="G190" s="68">
        <f t="shared" si="83"/>
        <v>1.9805590746748382E-3</v>
      </c>
      <c r="H190" s="68">
        <f t="shared" si="83"/>
        <v>2.0049776830749549E-3</v>
      </c>
      <c r="I190" s="68">
        <f t="shared" si="83"/>
        <v>2.0396486065519404E-3</v>
      </c>
      <c r="J190" s="68">
        <f t="shared" si="83"/>
        <v>2.0886526252236323E-3</v>
      </c>
      <c r="K190" s="68">
        <f t="shared" si="83"/>
        <v>2.1574533833329558E-3</v>
      </c>
      <c r="L190" s="68">
        <f t="shared" si="83"/>
        <v>2.2531114125534991E-3</v>
      </c>
      <c r="M190" s="68">
        <f t="shared" si="83"/>
        <v>2.3842549920408719E-3</v>
      </c>
      <c r="N190" s="68">
        <f t="shared" si="83"/>
        <v>2.5604979100940593E-3</v>
      </c>
      <c r="O190" s="68">
        <f t="shared" si="83"/>
        <v>2.7908814516173566E-3</v>
      </c>
      <c r="P190" s="68">
        <f t="shared" si="83"/>
        <v>3.0810105822933029E-3</v>
      </c>
      <c r="Q190" s="68">
        <f t="shared" si="83"/>
        <v>3.4291572109464382E-3</v>
      </c>
      <c r="R190" s="68">
        <f t="shared" si="83"/>
        <v>3.8228322463611155E-3</v>
      </c>
      <c r="S190" s="68">
        <f t="shared" si="83"/>
        <v>4.2384333660403627E-3</v>
      </c>
      <c r="T190" s="68">
        <f t="shared" si="83"/>
        <v>4.6458562330444131E-3</v>
      </c>
      <c r="U190" s="68">
        <f t="shared" si="83"/>
        <v>5.0167416550889786E-3</v>
      </c>
      <c r="V190" s="68">
        <f t="shared" si="83"/>
        <v>5.3319414487271117E-3</v>
      </c>
      <c r="W190" s="68">
        <f t="shared" si="83"/>
        <v>5.5843600343464736E-3</v>
      </c>
      <c r="X190" s="68">
        <f t="shared" si="83"/>
        <v>5.7769666183103488E-3</v>
      </c>
      <c r="Y190" s="68">
        <f t="shared" si="83"/>
        <v>5.9185479045941606E-3</v>
      </c>
      <c r="Z190" s="68">
        <f t="shared" si="83"/>
        <v>6.0197764760781397E-3</v>
      </c>
      <c r="AA190" s="68">
        <f t="shared" si="83"/>
        <v>6.090722755288349E-3</v>
      </c>
      <c r="AB190" s="68">
        <f t="shared" si="83"/>
        <v>6.1397509949217199E-3</v>
      </c>
      <c r="AC190" s="68">
        <f t="shared" si="83"/>
        <v>6.1733034624737292E-3</v>
      </c>
    </row>
    <row r="191" spans="1:29" ht="15" thickBot="1" x14ac:dyDescent="0.35">
      <c r="A191" s="31" t="s">
        <v>210</v>
      </c>
      <c r="B191" s="76">
        <f>B180+B181+B182+B183+B184+B185+B186+B187+B188+B189+B190</f>
        <v>1.6368196067386938E-2</v>
      </c>
      <c r="C191" s="67">
        <f t="shared" ref="C191:AC191" si="84">C180+C181+C182+C183+C184+C185+C186+C187+C188+C189+C190</f>
        <v>1.6377510503733986E-2</v>
      </c>
      <c r="D191" s="67">
        <f t="shared" si="84"/>
        <v>1.6390843911902445E-2</v>
      </c>
      <c r="E191" s="67">
        <f t="shared" si="84"/>
        <v>1.6409918289934603E-2</v>
      </c>
      <c r="F191" s="67">
        <f t="shared" si="84"/>
        <v>1.6437179785113037E-2</v>
      </c>
      <c r="G191" s="67">
        <f t="shared" si="84"/>
        <v>1.6476087830186083E-2</v>
      </c>
      <c r="H191" s="67">
        <f t="shared" si="84"/>
        <v>1.653150243155839E-2</v>
      </c>
      <c r="I191" s="67">
        <f t="shared" si="84"/>
        <v>1.6610183221724865E-2</v>
      </c>
      <c r="J191" s="67">
        <f t="shared" si="84"/>
        <v>1.672139095788398E-2</v>
      </c>
      <c r="K191" s="67">
        <f t="shared" si="84"/>
        <v>1.6877524613097616E-2</v>
      </c>
      <c r="L191" s="67">
        <f t="shared" si="84"/>
        <v>1.7094607072116522E-2</v>
      </c>
      <c r="M191" s="67">
        <f t="shared" si="84"/>
        <v>1.7392219002360487E-2</v>
      </c>
      <c r="N191" s="67">
        <f t="shared" si="84"/>
        <v>1.7792177545803239E-2</v>
      </c>
      <c r="O191" s="67">
        <f t="shared" si="84"/>
        <v>1.8315000628391059E-2</v>
      </c>
      <c r="P191" s="67">
        <f t="shared" si="84"/>
        <v>1.8973407932339831E-2</v>
      </c>
      <c r="Q191" s="67">
        <f t="shared" si="84"/>
        <v>1.9763477797493736E-2</v>
      </c>
      <c r="R191" s="67">
        <f t="shared" si="84"/>
        <v>2.0656867985839975E-2</v>
      </c>
      <c r="S191" s="67">
        <f t="shared" si="84"/>
        <v>2.1600016342189388E-2</v>
      </c>
      <c r="T191" s="67">
        <f t="shared" si="84"/>
        <v>2.2524605302995368E-2</v>
      </c>
      <c r="U191" s="67">
        <f t="shared" si="84"/>
        <v>2.3366277665344295E-2</v>
      </c>
      <c r="V191" s="67">
        <f t="shared" si="84"/>
        <v>2.4081579316891609E-2</v>
      </c>
      <c r="W191" s="67">
        <f t="shared" si="84"/>
        <v>2.465440783651322E-2</v>
      </c>
      <c r="X191" s="67">
        <f t="shared" si="84"/>
        <v>2.5091501420928496E-2</v>
      </c>
      <c r="Y191" s="67">
        <f t="shared" si="84"/>
        <v>2.5412800260429864E-2</v>
      </c>
      <c r="Z191" s="67">
        <f t="shared" si="84"/>
        <v>2.5642524282550878E-2</v>
      </c>
      <c r="AA191" s="67">
        <f t="shared" si="84"/>
        <v>2.5803526896494407E-2</v>
      </c>
      <c r="AB191" s="67">
        <f t="shared" si="84"/>
        <v>2.5914789598723426E-2</v>
      </c>
      <c r="AC191" s="67">
        <f t="shared" si="84"/>
        <v>2.5990932210291862E-2</v>
      </c>
    </row>
    <row r="193" spans="2:2" x14ac:dyDescent="0.3">
      <c r="B193" s="40"/>
    </row>
    <row r="215" spans="1:44" s="3" customFormat="1" ht="21" x14ac:dyDescent="0.4">
      <c r="A215" s="2" t="str">
        <f>'Parameter Input'!A165</f>
        <v>Short-sea: Break bulk</v>
      </c>
    </row>
    <row r="216" spans="1:44" s="3" customFormat="1" ht="21" x14ac:dyDescent="0.4">
      <c r="A216" s="2" t="s">
        <v>291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Input'!$L$154</f>
        <v>15000000</v>
      </c>
      <c r="C225" s="42">
        <f>'Parameter Input'!$M$154</f>
        <v>15000000</v>
      </c>
      <c r="D225" s="1" t="s">
        <v>15</v>
      </c>
      <c r="L225" s="51">
        <f>'Parameter Input'!$O$142</f>
        <v>17</v>
      </c>
      <c r="M225" s="52">
        <v>0</v>
      </c>
      <c r="N225" s="52">
        <v>1</v>
      </c>
      <c r="O225" s="52">
        <f>'Parameter Input'!$P$142</f>
        <v>0.9</v>
      </c>
      <c r="P225" s="53">
        <f>'Parameter Input'!$Q$142</f>
        <v>0.4</v>
      </c>
      <c r="Q225" s="4">
        <f t="shared" ref="Q225:AR234" si="85">$N225+($M225-$N225)*((1/(1+EXP(-$P225*(Q$9-$L225)))^$O225))</f>
        <v>0.99780374543478534</v>
      </c>
      <c r="R225" s="4">
        <f t="shared" si="85"/>
        <v>0.99685359315256394</v>
      </c>
      <c r="S225" s="4">
        <f t="shared" si="85"/>
        <v>0.99549347132349975</v>
      </c>
      <c r="T225" s="4">
        <f t="shared" si="85"/>
        <v>0.99354772139898062</v>
      </c>
      <c r="U225" s="4">
        <f t="shared" si="85"/>
        <v>0.99076681540580536</v>
      </c>
      <c r="V225" s="4">
        <f t="shared" si="85"/>
        <v>0.9867978615748374</v>
      </c>
      <c r="W225" s="4">
        <f t="shared" si="85"/>
        <v>0.98114509762858249</v>
      </c>
      <c r="X225" s="4">
        <f t="shared" si="85"/>
        <v>0.97311898315872036</v>
      </c>
      <c r="Y225" s="4">
        <f t="shared" si="85"/>
        <v>0.96177484161592774</v>
      </c>
      <c r="Z225" s="4">
        <f t="shared" si="85"/>
        <v>0.94584787155511363</v>
      </c>
      <c r="AA225" s="4">
        <f t="shared" si="85"/>
        <v>0.92370360150141495</v>
      </c>
      <c r="AB225" s="4">
        <f t="shared" si="85"/>
        <v>0.89334463567658451</v>
      </c>
      <c r="AC225" s="4">
        <f t="shared" si="85"/>
        <v>0.85254543874327005</v>
      </c>
      <c r="AD225" s="4">
        <f t="shared" si="85"/>
        <v>0.79921300652623883</v>
      </c>
      <c r="AE225" s="4">
        <f t="shared" si="85"/>
        <v>0.73204982249993378</v>
      </c>
      <c r="AF225" s="4">
        <f t="shared" si="85"/>
        <v>0.65145592958786691</v>
      </c>
      <c r="AG225" s="4">
        <f t="shared" si="85"/>
        <v>0.56032247880849573</v>
      </c>
      <c r="AH225" s="4">
        <f t="shared" si="85"/>
        <v>0.46411326873185343</v>
      </c>
      <c r="AI225" s="4">
        <f t="shared" si="85"/>
        <v>0.36979727595523937</v>
      </c>
      <c r="AJ225" s="4">
        <f t="shared" si="85"/>
        <v>0.28393948637231203</v>
      </c>
      <c r="AK225" s="4">
        <f t="shared" si="85"/>
        <v>0.21097259161117732</v>
      </c>
      <c r="AL225" s="4">
        <f t="shared" si="85"/>
        <v>0.15253917653798199</v>
      </c>
      <c r="AM225" s="4">
        <f t="shared" si="85"/>
        <v>0.10795188737709993</v>
      </c>
      <c r="AN225" s="4">
        <f t="shared" si="85"/>
        <v>7.5176653938091809E-2</v>
      </c>
      <c r="AO225" s="4">
        <f t="shared" si="85"/>
        <v>5.1742836177502194E-2</v>
      </c>
      <c r="AP225" s="4">
        <f t="shared" si="85"/>
        <v>3.5319190625345942E-2</v>
      </c>
      <c r="AQ225" s="4">
        <f t="shared" si="85"/>
        <v>2.3969442072658165E-2</v>
      </c>
      <c r="AR225" s="4">
        <f t="shared" si="85"/>
        <v>1.6202243558389728E-2</v>
      </c>
    </row>
    <row r="226" spans="1:44" x14ac:dyDescent="0.3">
      <c r="A226" s="24" t="s">
        <v>28</v>
      </c>
      <c r="B226" s="60">
        <f>'Parameter Input'!$L$155</f>
        <v>-1500000</v>
      </c>
      <c r="C226" s="61">
        <f>'Parameter Input'!$M$155</f>
        <v>-750000</v>
      </c>
      <c r="D226" s="1" t="s">
        <v>15</v>
      </c>
      <c r="L226" s="54">
        <f>'Parameter Input'!$O$143</f>
        <v>17</v>
      </c>
      <c r="M226" s="37">
        <v>0</v>
      </c>
      <c r="N226" s="37">
        <v>1</v>
      </c>
      <c r="O226" s="37">
        <f>'Parameter Input'!$P$143</f>
        <v>0.9</v>
      </c>
      <c r="P226" s="55">
        <f>'Parameter Input'!$Q$143</f>
        <v>0.4</v>
      </c>
      <c r="Q226" s="4">
        <f t="shared" si="85"/>
        <v>0.99780374543478534</v>
      </c>
      <c r="R226" s="4">
        <f t="shared" si="85"/>
        <v>0.99685359315256394</v>
      </c>
      <c r="S226" s="4">
        <f t="shared" si="85"/>
        <v>0.99549347132349975</v>
      </c>
      <c r="T226" s="4">
        <f t="shared" si="85"/>
        <v>0.99354772139898062</v>
      </c>
      <c r="U226" s="4">
        <f t="shared" si="85"/>
        <v>0.99076681540580536</v>
      </c>
      <c r="V226" s="4">
        <f t="shared" si="85"/>
        <v>0.9867978615748374</v>
      </c>
      <c r="W226" s="4">
        <f t="shared" si="85"/>
        <v>0.98114509762858249</v>
      </c>
      <c r="X226" s="4">
        <f t="shared" si="85"/>
        <v>0.97311898315872036</v>
      </c>
      <c r="Y226" s="4">
        <f t="shared" si="85"/>
        <v>0.96177484161592774</v>
      </c>
      <c r="Z226" s="4">
        <f t="shared" si="85"/>
        <v>0.94584787155511363</v>
      </c>
      <c r="AA226" s="4">
        <f t="shared" si="85"/>
        <v>0.92370360150141495</v>
      </c>
      <c r="AB226" s="4">
        <f t="shared" si="85"/>
        <v>0.89334463567658451</v>
      </c>
      <c r="AC226" s="4">
        <f t="shared" si="85"/>
        <v>0.85254543874327005</v>
      </c>
      <c r="AD226" s="4">
        <f t="shared" si="85"/>
        <v>0.79921300652623883</v>
      </c>
      <c r="AE226" s="4">
        <f t="shared" si="85"/>
        <v>0.73204982249993378</v>
      </c>
      <c r="AF226" s="4">
        <f t="shared" si="85"/>
        <v>0.65145592958786691</v>
      </c>
      <c r="AG226" s="4">
        <f t="shared" si="85"/>
        <v>0.56032247880849573</v>
      </c>
      <c r="AH226" s="4">
        <f t="shared" si="85"/>
        <v>0.46411326873185343</v>
      </c>
      <c r="AI226" s="4">
        <f t="shared" si="85"/>
        <v>0.36979727595523937</v>
      </c>
      <c r="AJ226" s="4">
        <f t="shared" si="85"/>
        <v>0.28393948637231203</v>
      </c>
      <c r="AK226" s="4">
        <f t="shared" si="85"/>
        <v>0.21097259161117732</v>
      </c>
      <c r="AL226" s="4">
        <f t="shared" si="85"/>
        <v>0.15253917653798199</v>
      </c>
      <c r="AM226" s="4">
        <f t="shared" si="85"/>
        <v>0.10795188737709993</v>
      </c>
      <c r="AN226" s="4">
        <f t="shared" si="85"/>
        <v>7.5176653938091809E-2</v>
      </c>
      <c r="AO226" s="4">
        <f t="shared" si="85"/>
        <v>5.1742836177502194E-2</v>
      </c>
      <c r="AP226" s="4">
        <f t="shared" si="85"/>
        <v>3.5319190625345942E-2</v>
      </c>
      <c r="AQ226" s="4">
        <f t="shared" si="85"/>
        <v>2.3969442072658165E-2</v>
      </c>
      <c r="AR226" s="4">
        <f t="shared" si="85"/>
        <v>1.6202243558389728E-2</v>
      </c>
    </row>
    <row r="227" spans="1:44" x14ac:dyDescent="0.3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85"/>
        <v>0.99780374543478534</v>
      </c>
      <c r="R227" s="4">
        <f t="shared" si="85"/>
        <v>0.99685359315256394</v>
      </c>
      <c r="S227" s="4">
        <f t="shared" si="85"/>
        <v>0.99549347132349975</v>
      </c>
      <c r="T227" s="4">
        <f t="shared" si="85"/>
        <v>0.99354772139898062</v>
      </c>
      <c r="U227" s="4">
        <f t="shared" si="85"/>
        <v>0.99076681540580536</v>
      </c>
      <c r="V227" s="4">
        <f t="shared" si="85"/>
        <v>0.9867978615748374</v>
      </c>
      <c r="W227" s="4">
        <f t="shared" si="85"/>
        <v>0.98114509762858249</v>
      </c>
      <c r="X227" s="4">
        <f t="shared" si="85"/>
        <v>0.97311898315872036</v>
      </c>
      <c r="Y227" s="4">
        <f t="shared" si="85"/>
        <v>0.96177484161592774</v>
      </c>
      <c r="Z227" s="4">
        <f t="shared" si="85"/>
        <v>0.94584787155511363</v>
      </c>
      <c r="AA227" s="4">
        <f t="shared" si="85"/>
        <v>0.92370360150141495</v>
      </c>
      <c r="AB227" s="4">
        <f t="shared" si="85"/>
        <v>0.89334463567658451</v>
      </c>
      <c r="AC227" s="4">
        <f t="shared" si="85"/>
        <v>0.85254543874327005</v>
      </c>
      <c r="AD227" s="4">
        <f t="shared" si="85"/>
        <v>0.79921300652623883</v>
      </c>
      <c r="AE227" s="4">
        <f t="shared" si="85"/>
        <v>0.73204982249993378</v>
      </c>
      <c r="AF227" s="4">
        <f t="shared" si="85"/>
        <v>0.65145592958786691</v>
      </c>
      <c r="AG227" s="4">
        <f t="shared" si="85"/>
        <v>0.56032247880849573</v>
      </c>
      <c r="AH227" s="4">
        <f t="shared" si="85"/>
        <v>0.46411326873185343</v>
      </c>
      <c r="AI227" s="4">
        <f t="shared" si="85"/>
        <v>0.36979727595523937</v>
      </c>
      <c r="AJ227" s="4">
        <f t="shared" si="85"/>
        <v>0.28393948637231203</v>
      </c>
      <c r="AK227" s="4">
        <f t="shared" si="85"/>
        <v>0.21097259161117732</v>
      </c>
      <c r="AL227" s="4">
        <f t="shared" si="85"/>
        <v>0.15253917653798199</v>
      </c>
      <c r="AM227" s="4">
        <f t="shared" si="85"/>
        <v>0.10795188737709993</v>
      </c>
      <c r="AN227" s="4">
        <f t="shared" si="85"/>
        <v>7.5176653938091809E-2</v>
      </c>
      <c r="AO227" s="4">
        <f t="shared" si="85"/>
        <v>5.1742836177502194E-2</v>
      </c>
      <c r="AP227" s="4">
        <f t="shared" si="85"/>
        <v>3.5319190625345942E-2</v>
      </c>
      <c r="AQ227" s="4">
        <f t="shared" si="85"/>
        <v>2.3969442072658165E-2</v>
      </c>
      <c r="AR227" s="4">
        <f t="shared" si="85"/>
        <v>1.6202243558389728E-2</v>
      </c>
    </row>
    <row r="228" spans="1:44" x14ac:dyDescent="0.3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85"/>
        <v>0.99780374543478534</v>
      </c>
      <c r="R228" s="4">
        <f t="shared" si="85"/>
        <v>0.99685359315256394</v>
      </c>
      <c r="S228" s="4">
        <f t="shared" si="85"/>
        <v>0.99549347132349975</v>
      </c>
      <c r="T228" s="4">
        <f t="shared" si="85"/>
        <v>0.99354772139898062</v>
      </c>
      <c r="U228" s="4">
        <f t="shared" si="85"/>
        <v>0.99076681540580536</v>
      </c>
      <c r="V228" s="4">
        <f t="shared" si="85"/>
        <v>0.9867978615748374</v>
      </c>
      <c r="W228" s="4">
        <f t="shared" si="85"/>
        <v>0.98114509762858249</v>
      </c>
      <c r="X228" s="4">
        <f t="shared" si="85"/>
        <v>0.97311898315872036</v>
      </c>
      <c r="Y228" s="4">
        <f t="shared" si="85"/>
        <v>0.96177484161592774</v>
      </c>
      <c r="Z228" s="4">
        <f t="shared" si="85"/>
        <v>0.94584787155511363</v>
      </c>
      <c r="AA228" s="4">
        <f t="shared" si="85"/>
        <v>0.92370360150141495</v>
      </c>
      <c r="AB228" s="4">
        <f t="shared" si="85"/>
        <v>0.89334463567658451</v>
      </c>
      <c r="AC228" s="4">
        <f t="shared" si="85"/>
        <v>0.85254543874327005</v>
      </c>
      <c r="AD228" s="4">
        <f t="shared" si="85"/>
        <v>0.79921300652623883</v>
      </c>
      <c r="AE228" s="4">
        <f t="shared" si="85"/>
        <v>0.73204982249993378</v>
      </c>
      <c r="AF228" s="4">
        <f t="shared" si="85"/>
        <v>0.65145592958786691</v>
      </c>
      <c r="AG228" s="4">
        <f t="shared" si="85"/>
        <v>0.56032247880849573</v>
      </c>
      <c r="AH228" s="4">
        <f t="shared" si="85"/>
        <v>0.46411326873185343</v>
      </c>
      <c r="AI228" s="4">
        <f t="shared" si="85"/>
        <v>0.36979727595523937</v>
      </c>
      <c r="AJ228" s="4">
        <f t="shared" si="85"/>
        <v>0.28393948637231203</v>
      </c>
      <c r="AK228" s="4">
        <f t="shared" si="85"/>
        <v>0.21097259161117732</v>
      </c>
      <c r="AL228" s="4">
        <f t="shared" si="85"/>
        <v>0.15253917653798199</v>
      </c>
      <c r="AM228" s="4">
        <f t="shared" si="85"/>
        <v>0.10795188737709993</v>
      </c>
      <c r="AN228" s="4">
        <f t="shared" si="85"/>
        <v>7.5176653938091809E-2</v>
      </c>
      <c r="AO228" s="4">
        <f t="shared" si="85"/>
        <v>5.1742836177502194E-2</v>
      </c>
      <c r="AP228" s="4">
        <f t="shared" si="85"/>
        <v>3.5319190625345942E-2</v>
      </c>
      <c r="AQ228" s="4">
        <f t="shared" si="85"/>
        <v>2.3969442072658165E-2</v>
      </c>
      <c r="AR228" s="4">
        <f t="shared" si="85"/>
        <v>1.6202243558389728E-2</v>
      </c>
    </row>
    <row r="229" spans="1:44" x14ac:dyDescent="0.3">
      <c r="A229" s="24" t="s">
        <v>79</v>
      </c>
      <c r="B229" s="92">
        <f>'Parameter Input'!$L$161</f>
        <v>0.06</v>
      </c>
      <c r="C229" s="91">
        <f>'Parameter Input'!$M$161</f>
        <v>0.06</v>
      </c>
      <c r="D229" s="1" t="s">
        <v>57</v>
      </c>
      <c r="L229" s="54">
        <f>'Parameter Input'!$O$149</f>
        <v>17</v>
      </c>
      <c r="M229" s="37">
        <v>0</v>
      </c>
      <c r="N229" s="37">
        <v>1</v>
      </c>
      <c r="O229" s="37">
        <f>'Parameter Input'!$P$149</f>
        <v>0.9</v>
      </c>
      <c r="P229" s="55">
        <f>'Parameter Input'!$Q$149</f>
        <v>0.4</v>
      </c>
      <c r="Q229" s="4">
        <f t="shared" si="85"/>
        <v>0.99780374543478534</v>
      </c>
      <c r="R229" s="4">
        <f t="shared" si="85"/>
        <v>0.99685359315256394</v>
      </c>
      <c r="S229" s="4">
        <f t="shared" si="85"/>
        <v>0.99549347132349975</v>
      </c>
      <c r="T229" s="4">
        <f t="shared" si="85"/>
        <v>0.99354772139898062</v>
      </c>
      <c r="U229" s="4">
        <f t="shared" si="85"/>
        <v>0.99076681540580536</v>
      </c>
      <c r="V229" s="4">
        <f t="shared" si="85"/>
        <v>0.9867978615748374</v>
      </c>
      <c r="W229" s="4">
        <f t="shared" si="85"/>
        <v>0.98114509762858249</v>
      </c>
      <c r="X229" s="4">
        <f t="shared" si="85"/>
        <v>0.97311898315872036</v>
      </c>
      <c r="Y229" s="4">
        <f t="shared" si="85"/>
        <v>0.96177484161592774</v>
      </c>
      <c r="Z229" s="4">
        <f t="shared" si="85"/>
        <v>0.94584787155511363</v>
      </c>
      <c r="AA229" s="4">
        <f t="shared" si="85"/>
        <v>0.92370360150141495</v>
      </c>
      <c r="AB229" s="4">
        <f t="shared" si="85"/>
        <v>0.89334463567658451</v>
      </c>
      <c r="AC229" s="4">
        <f t="shared" si="85"/>
        <v>0.85254543874327005</v>
      </c>
      <c r="AD229" s="4">
        <f t="shared" si="85"/>
        <v>0.79921300652623883</v>
      </c>
      <c r="AE229" s="4">
        <f t="shared" si="85"/>
        <v>0.73204982249993378</v>
      </c>
      <c r="AF229" s="4">
        <f t="shared" si="85"/>
        <v>0.65145592958786691</v>
      </c>
      <c r="AG229" s="4">
        <f t="shared" si="85"/>
        <v>0.56032247880849573</v>
      </c>
      <c r="AH229" s="4">
        <f t="shared" si="85"/>
        <v>0.46411326873185343</v>
      </c>
      <c r="AI229" s="4">
        <f t="shared" si="85"/>
        <v>0.36979727595523937</v>
      </c>
      <c r="AJ229" s="4">
        <f t="shared" si="85"/>
        <v>0.28393948637231203</v>
      </c>
      <c r="AK229" s="4">
        <f t="shared" si="85"/>
        <v>0.21097259161117732</v>
      </c>
      <c r="AL229" s="4">
        <f t="shared" si="85"/>
        <v>0.15253917653798199</v>
      </c>
      <c r="AM229" s="4">
        <f t="shared" si="85"/>
        <v>0.10795188737709993</v>
      </c>
      <c r="AN229" s="4">
        <f t="shared" si="85"/>
        <v>7.5176653938091809E-2</v>
      </c>
      <c r="AO229" s="4">
        <f t="shared" si="85"/>
        <v>5.1742836177502194E-2</v>
      </c>
      <c r="AP229" s="4">
        <f t="shared" si="85"/>
        <v>3.5319190625345942E-2</v>
      </c>
      <c r="AQ229" s="4">
        <f t="shared" si="85"/>
        <v>2.3969442072658165E-2</v>
      </c>
      <c r="AR229" s="4">
        <f t="shared" si="85"/>
        <v>1.6202243558389728E-2</v>
      </c>
    </row>
    <row r="230" spans="1:44" x14ac:dyDescent="0.3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85"/>
        <v>0.99780374543478534</v>
      </c>
      <c r="R230" s="4">
        <f t="shared" si="85"/>
        <v>0.99685359315256394</v>
      </c>
      <c r="S230" s="4">
        <f t="shared" si="85"/>
        <v>0.99549347132349975</v>
      </c>
      <c r="T230" s="4">
        <f t="shared" si="85"/>
        <v>0.99354772139898062</v>
      </c>
      <c r="U230" s="4">
        <f t="shared" si="85"/>
        <v>0.99076681540580536</v>
      </c>
      <c r="V230" s="4">
        <f t="shared" si="85"/>
        <v>0.9867978615748374</v>
      </c>
      <c r="W230" s="4">
        <f t="shared" si="85"/>
        <v>0.98114509762858249</v>
      </c>
      <c r="X230" s="4">
        <f t="shared" si="85"/>
        <v>0.97311898315872036</v>
      </c>
      <c r="Y230" s="4">
        <f t="shared" si="85"/>
        <v>0.96177484161592774</v>
      </c>
      <c r="Z230" s="4">
        <f t="shared" si="85"/>
        <v>0.94584787155511363</v>
      </c>
      <c r="AA230" s="4">
        <f t="shared" si="85"/>
        <v>0.92370360150141495</v>
      </c>
      <c r="AB230" s="4">
        <f t="shared" si="85"/>
        <v>0.89334463567658451</v>
      </c>
      <c r="AC230" s="4">
        <f t="shared" si="85"/>
        <v>0.85254543874327005</v>
      </c>
      <c r="AD230" s="4">
        <f t="shared" si="85"/>
        <v>0.79921300652623883</v>
      </c>
      <c r="AE230" s="4">
        <f t="shared" si="85"/>
        <v>0.73204982249993378</v>
      </c>
      <c r="AF230" s="4">
        <f t="shared" si="85"/>
        <v>0.65145592958786691</v>
      </c>
      <c r="AG230" s="4">
        <f t="shared" si="85"/>
        <v>0.56032247880849573</v>
      </c>
      <c r="AH230" s="4">
        <f t="shared" si="85"/>
        <v>0.46411326873185343</v>
      </c>
      <c r="AI230" s="4">
        <f t="shared" si="85"/>
        <v>0.36979727595523937</v>
      </c>
      <c r="AJ230" s="4">
        <f t="shared" si="85"/>
        <v>0.28393948637231203</v>
      </c>
      <c r="AK230" s="4">
        <f t="shared" si="85"/>
        <v>0.21097259161117732</v>
      </c>
      <c r="AL230" s="4">
        <f t="shared" si="85"/>
        <v>0.15253917653798199</v>
      </c>
      <c r="AM230" s="4">
        <f t="shared" si="85"/>
        <v>0.10795188737709993</v>
      </c>
      <c r="AN230" s="4">
        <f t="shared" si="85"/>
        <v>7.5176653938091809E-2</v>
      </c>
      <c r="AO230" s="4">
        <f t="shared" si="85"/>
        <v>5.1742836177502194E-2</v>
      </c>
      <c r="AP230" s="4">
        <f t="shared" si="85"/>
        <v>3.5319190625345942E-2</v>
      </c>
      <c r="AQ230" s="4">
        <f t="shared" si="85"/>
        <v>2.3969442072658165E-2</v>
      </c>
      <c r="AR230" s="4">
        <f t="shared" si="85"/>
        <v>1.6202243558389728E-2</v>
      </c>
    </row>
    <row r="231" spans="1:44" x14ac:dyDescent="0.3">
      <c r="A231" s="24" t="s">
        <v>52</v>
      </c>
      <c r="B231" s="60">
        <f>'Parameter Input'!$L$157</f>
        <v>488235.29411764705</v>
      </c>
      <c r="C231" s="61">
        <f>'Parameter Input'!$M$157</f>
        <v>488235.29411764705</v>
      </c>
      <c r="D231" s="1" t="s">
        <v>38</v>
      </c>
      <c r="L231" s="54">
        <f>'Parameter Input'!$O$145</f>
        <v>17</v>
      </c>
      <c r="M231" s="37">
        <v>0</v>
      </c>
      <c r="N231" s="37">
        <v>1</v>
      </c>
      <c r="O231" s="37">
        <f>'Parameter Input'!$P$145</f>
        <v>0.9</v>
      </c>
      <c r="P231" s="55">
        <f>'Parameter Input'!$Q$145</f>
        <v>0.4</v>
      </c>
      <c r="Q231" s="4">
        <f t="shared" si="85"/>
        <v>0.99780374543478534</v>
      </c>
      <c r="R231" s="4">
        <f t="shared" si="85"/>
        <v>0.99685359315256394</v>
      </c>
      <c r="S231" s="4">
        <f t="shared" si="85"/>
        <v>0.99549347132349975</v>
      </c>
      <c r="T231" s="4">
        <f t="shared" si="85"/>
        <v>0.99354772139898062</v>
      </c>
      <c r="U231" s="4">
        <f t="shared" si="85"/>
        <v>0.99076681540580536</v>
      </c>
      <c r="V231" s="4">
        <f t="shared" si="85"/>
        <v>0.9867978615748374</v>
      </c>
      <c r="W231" s="4">
        <f t="shared" si="85"/>
        <v>0.98114509762858249</v>
      </c>
      <c r="X231" s="4">
        <f t="shared" si="85"/>
        <v>0.97311898315872036</v>
      </c>
      <c r="Y231" s="4">
        <f t="shared" si="85"/>
        <v>0.96177484161592774</v>
      </c>
      <c r="Z231" s="4">
        <f t="shared" si="85"/>
        <v>0.94584787155511363</v>
      </c>
      <c r="AA231" s="4">
        <f t="shared" si="85"/>
        <v>0.92370360150141495</v>
      </c>
      <c r="AB231" s="4">
        <f t="shared" si="85"/>
        <v>0.89334463567658451</v>
      </c>
      <c r="AC231" s="4">
        <f t="shared" si="85"/>
        <v>0.85254543874327005</v>
      </c>
      <c r="AD231" s="4">
        <f t="shared" si="85"/>
        <v>0.79921300652623883</v>
      </c>
      <c r="AE231" s="4">
        <f t="shared" si="85"/>
        <v>0.73204982249993378</v>
      </c>
      <c r="AF231" s="4">
        <f t="shared" si="85"/>
        <v>0.65145592958786691</v>
      </c>
      <c r="AG231" s="4">
        <f t="shared" si="85"/>
        <v>0.56032247880849573</v>
      </c>
      <c r="AH231" s="4">
        <f t="shared" si="85"/>
        <v>0.46411326873185343</v>
      </c>
      <c r="AI231" s="4">
        <f t="shared" si="85"/>
        <v>0.36979727595523937</v>
      </c>
      <c r="AJ231" s="4">
        <f t="shared" si="85"/>
        <v>0.28393948637231203</v>
      </c>
      <c r="AK231" s="4">
        <f t="shared" si="85"/>
        <v>0.21097259161117732</v>
      </c>
      <c r="AL231" s="4">
        <f t="shared" si="85"/>
        <v>0.15253917653798199</v>
      </c>
      <c r="AM231" s="4">
        <f t="shared" si="85"/>
        <v>0.10795188737709993</v>
      </c>
      <c r="AN231" s="4">
        <f t="shared" si="85"/>
        <v>7.5176653938091809E-2</v>
      </c>
      <c r="AO231" s="4">
        <f t="shared" si="85"/>
        <v>5.1742836177502194E-2</v>
      </c>
      <c r="AP231" s="4">
        <f t="shared" si="85"/>
        <v>3.5319190625345942E-2</v>
      </c>
      <c r="AQ231" s="4">
        <f t="shared" si="85"/>
        <v>2.3969442072658165E-2</v>
      </c>
      <c r="AR231" s="4">
        <f t="shared" si="85"/>
        <v>1.6202243558389728E-2</v>
      </c>
    </row>
    <row r="232" spans="1:44" x14ac:dyDescent="0.3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85"/>
        <v>0.99780374543478534</v>
      </c>
      <c r="R232" s="4">
        <f t="shared" si="85"/>
        <v>0.99685359315256394</v>
      </c>
      <c r="S232" s="4">
        <f t="shared" si="85"/>
        <v>0.99549347132349975</v>
      </c>
      <c r="T232" s="4">
        <f t="shared" si="85"/>
        <v>0.99354772139898062</v>
      </c>
      <c r="U232" s="4">
        <f t="shared" si="85"/>
        <v>0.99076681540580536</v>
      </c>
      <c r="V232" s="4">
        <f t="shared" si="85"/>
        <v>0.9867978615748374</v>
      </c>
      <c r="W232" s="4">
        <f t="shared" si="85"/>
        <v>0.98114509762858249</v>
      </c>
      <c r="X232" s="4">
        <f t="shared" si="85"/>
        <v>0.97311898315872036</v>
      </c>
      <c r="Y232" s="4">
        <f t="shared" si="85"/>
        <v>0.96177484161592774</v>
      </c>
      <c r="Z232" s="4">
        <f t="shared" si="85"/>
        <v>0.94584787155511363</v>
      </c>
      <c r="AA232" s="4">
        <f t="shared" si="85"/>
        <v>0.92370360150141495</v>
      </c>
      <c r="AB232" s="4">
        <f t="shared" si="85"/>
        <v>0.89334463567658451</v>
      </c>
      <c r="AC232" s="4">
        <f t="shared" si="85"/>
        <v>0.85254543874327005</v>
      </c>
      <c r="AD232" s="4">
        <f t="shared" si="85"/>
        <v>0.79921300652623883</v>
      </c>
      <c r="AE232" s="4">
        <f t="shared" si="85"/>
        <v>0.73204982249993378</v>
      </c>
      <c r="AF232" s="4">
        <f t="shared" si="85"/>
        <v>0.65145592958786691</v>
      </c>
      <c r="AG232" s="4">
        <f t="shared" si="85"/>
        <v>0.56032247880849573</v>
      </c>
      <c r="AH232" s="4">
        <f t="shared" si="85"/>
        <v>0.46411326873185343</v>
      </c>
      <c r="AI232" s="4">
        <f t="shared" si="85"/>
        <v>0.36979727595523937</v>
      </c>
      <c r="AJ232" s="4">
        <f t="shared" si="85"/>
        <v>0.28393948637231203</v>
      </c>
      <c r="AK232" s="4">
        <f t="shared" si="85"/>
        <v>0.21097259161117732</v>
      </c>
      <c r="AL232" s="4">
        <f t="shared" si="85"/>
        <v>0.15253917653798199</v>
      </c>
      <c r="AM232" s="4">
        <f t="shared" si="85"/>
        <v>0.10795188737709993</v>
      </c>
      <c r="AN232" s="4">
        <f t="shared" si="85"/>
        <v>7.5176653938091809E-2</v>
      </c>
      <c r="AO232" s="4">
        <f t="shared" si="85"/>
        <v>5.1742836177502194E-2</v>
      </c>
      <c r="AP232" s="4">
        <f t="shared" si="85"/>
        <v>3.5319190625345942E-2</v>
      </c>
      <c r="AQ232" s="4">
        <f t="shared" si="85"/>
        <v>2.3969442072658165E-2</v>
      </c>
      <c r="AR232" s="4">
        <f t="shared" si="85"/>
        <v>1.6202243558389728E-2</v>
      </c>
    </row>
    <row r="233" spans="1:44" x14ac:dyDescent="0.3">
      <c r="A233" s="24" t="s">
        <v>59</v>
      </c>
      <c r="B233" s="60">
        <f>'Parameter Input'!$L$158</f>
        <v>647</v>
      </c>
      <c r="C233" s="61">
        <f>'Parameter Input'!$M$158</f>
        <v>600</v>
      </c>
      <c r="D233" s="1" t="s">
        <v>60</v>
      </c>
      <c r="L233" s="54">
        <f>'Parameter Input'!$O$146</f>
        <v>17</v>
      </c>
      <c r="M233" s="37">
        <v>0</v>
      </c>
      <c r="N233" s="37">
        <v>1</v>
      </c>
      <c r="O233" s="37">
        <f>'Parameter Input'!$P$146</f>
        <v>0.9</v>
      </c>
      <c r="P233" s="55">
        <f>'Parameter Input'!$Q$146</f>
        <v>0.4</v>
      </c>
      <c r="Q233" s="4">
        <f t="shared" si="85"/>
        <v>0.99780374543478534</v>
      </c>
      <c r="R233" s="4">
        <f t="shared" si="85"/>
        <v>0.99685359315256394</v>
      </c>
      <c r="S233" s="4">
        <f t="shared" si="85"/>
        <v>0.99549347132349975</v>
      </c>
      <c r="T233" s="4">
        <f t="shared" si="85"/>
        <v>0.99354772139898062</v>
      </c>
      <c r="U233" s="4">
        <f t="shared" si="85"/>
        <v>0.99076681540580536</v>
      </c>
      <c r="V233" s="4">
        <f t="shared" si="85"/>
        <v>0.9867978615748374</v>
      </c>
      <c r="W233" s="4">
        <f t="shared" si="85"/>
        <v>0.98114509762858249</v>
      </c>
      <c r="X233" s="4">
        <f t="shared" si="85"/>
        <v>0.97311898315872036</v>
      </c>
      <c r="Y233" s="4">
        <f t="shared" si="85"/>
        <v>0.96177484161592774</v>
      </c>
      <c r="Z233" s="4">
        <f t="shared" si="85"/>
        <v>0.94584787155511363</v>
      </c>
      <c r="AA233" s="4">
        <f t="shared" si="85"/>
        <v>0.92370360150141495</v>
      </c>
      <c r="AB233" s="4">
        <f t="shared" si="85"/>
        <v>0.89334463567658451</v>
      </c>
      <c r="AC233" s="4">
        <f t="shared" si="85"/>
        <v>0.85254543874327005</v>
      </c>
      <c r="AD233" s="4">
        <f t="shared" si="85"/>
        <v>0.79921300652623883</v>
      </c>
      <c r="AE233" s="4">
        <f t="shared" si="85"/>
        <v>0.73204982249993378</v>
      </c>
      <c r="AF233" s="4">
        <f t="shared" si="85"/>
        <v>0.65145592958786691</v>
      </c>
      <c r="AG233" s="4">
        <f t="shared" si="85"/>
        <v>0.56032247880849573</v>
      </c>
      <c r="AH233" s="4">
        <f t="shared" si="85"/>
        <v>0.46411326873185343</v>
      </c>
      <c r="AI233" s="4">
        <f t="shared" si="85"/>
        <v>0.36979727595523937</v>
      </c>
      <c r="AJ233" s="4">
        <f t="shared" si="85"/>
        <v>0.28393948637231203</v>
      </c>
      <c r="AK233" s="4">
        <f t="shared" si="85"/>
        <v>0.21097259161117732</v>
      </c>
      <c r="AL233" s="4">
        <f t="shared" si="85"/>
        <v>0.15253917653798199</v>
      </c>
      <c r="AM233" s="4">
        <f t="shared" si="85"/>
        <v>0.10795188737709993</v>
      </c>
      <c r="AN233" s="4">
        <f t="shared" si="85"/>
        <v>7.5176653938091809E-2</v>
      </c>
      <c r="AO233" s="4">
        <f t="shared" si="85"/>
        <v>5.1742836177502194E-2</v>
      </c>
      <c r="AP233" s="4">
        <f t="shared" si="85"/>
        <v>3.5319190625345942E-2</v>
      </c>
      <c r="AQ233" s="4">
        <f t="shared" si="85"/>
        <v>2.3969442072658165E-2</v>
      </c>
      <c r="AR233" s="4">
        <f t="shared" si="85"/>
        <v>1.6202243558389728E-2</v>
      </c>
    </row>
    <row r="234" spans="1:44" x14ac:dyDescent="0.3">
      <c r="A234" s="24" t="s">
        <v>67</v>
      </c>
      <c r="B234" s="78">
        <f>'Parameter Input'!$L$159</f>
        <v>3.1399999999999997E-2</v>
      </c>
      <c r="C234" s="61">
        <f>'Parameter Input'!$M$159</f>
        <v>3.1399999999999997E-2</v>
      </c>
      <c r="D234" s="1" t="s">
        <v>68</v>
      </c>
      <c r="L234" s="54">
        <f>'Parameter Input'!$O$147</f>
        <v>17</v>
      </c>
      <c r="M234" s="37">
        <v>0</v>
      </c>
      <c r="N234" s="37">
        <v>1</v>
      </c>
      <c r="O234" s="37">
        <f>'Parameter Input'!$P$147</f>
        <v>0.9</v>
      </c>
      <c r="P234" s="55">
        <f>'Parameter Input'!$Q$147</f>
        <v>0.4</v>
      </c>
      <c r="Q234" s="4">
        <f t="shared" si="85"/>
        <v>0.99780374543478534</v>
      </c>
      <c r="R234" s="4">
        <f t="shared" si="85"/>
        <v>0.99685359315256394</v>
      </c>
      <c r="S234" s="4">
        <f t="shared" si="85"/>
        <v>0.99549347132349975</v>
      </c>
      <c r="T234" s="4">
        <f t="shared" ref="T234:AI241" si="86">$N234+($M234-$N234)*((1/(1+EXP(-$P234*(T$9-$L234)))^$O234))</f>
        <v>0.99354772139898062</v>
      </c>
      <c r="U234" s="4">
        <f t="shared" si="86"/>
        <v>0.99076681540580536</v>
      </c>
      <c r="V234" s="4">
        <f t="shared" si="86"/>
        <v>0.9867978615748374</v>
      </c>
      <c r="W234" s="4">
        <f t="shared" si="86"/>
        <v>0.98114509762858249</v>
      </c>
      <c r="X234" s="4">
        <f t="shared" si="86"/>
        <v>0.97311898315872036</v>
      </c>
      <c r="Y234" s="4">
        <f t="shared" si="86"/>
        <v>0.96177484161592774</v>
      </c>
      <c r="Z234" s="4">
        <f t="shared" si="86"/>
        <v>0.94584787155511363</v>
      </c>
      <c r="AA234" s="4">
        <f t="shared" si="86"/>
        <v>0.92370360150141495</v>
      </c>
      <c r="AB234" s="4">
        <f t="shared" si="86"/>
        <v>0.89334463567658451</v>
      </c>
      <c r="AC234" s="4">
        <f t="shared" si="86"/>
        <v>0.85254543874327005</v>
      </c>
      <c r="AD234" s="4">
        <f t="shared" si="86"/>
        <v>0.79921300652623883</v>
      </c>
      <c r="AE234" s="4">
        <f t="shared" si="86"/>
        <v>0.73204982249993378</v>
      </c>
      <c r="AF234" s="4">
        <f t="shared" si="86"/>
        <v>0.65145592958786691</v>
      </c>
      <c r="AG234" s="4">
        <f t="shared" si="86"/>
        <v>0.56032247880849573</v>
      </c>
      <c r="AH234" s="4">
        <f t="shared" si="86"/>
        <v>0.46411326873185343</v>
      </c>
      <c r="AI234" s="4">
        <f t="shared" si="86"/>
        <v>0.36979727595523937</v>
      </c>
      <c r="AJ234" s="4">
        <f t="shared" ref="AJ234:AR241" si="87">$N234+($M234-$N234)*((1/(1+EXP(-$P234*(AJ$9-$L234)))^$O234))</f>
        <v>0.28393948637231203</v>
      </c>
      <c r="AK234" s="4">
        <f t="shared" si="87"/>
        <v>0.21097259161117732</v>
      </c>
      <c r="AL234" s="4">
        <f t="shared" si="87"/>
        <v>0.15253917653798199</v>
      </c>
      <c r="AM234" s="4">
        <f t="shared" si="87"/>
        <v>0.10795188737709993</v>
      </c>
      <c r="AN234" s="4">
        <f t="shared" si="87"/>
        <v>7.5176653938091809E-2</v>
      </c>
      <c r="AO234" s="4">
        <f t="shared" si="87"/>
        <v>5.1742836177502194E-2</v>
      </c>
      <c r="AP234" s="4">
        <f t="shared" si="87"/>
        <v>3.5319190625345942E-2</v>
      </c>
      <c r="AQ234" s="4">
        <f t="shared" si="87"/>
        <v>2.3969442072658165E-2</v>
      </c>
      <c r="AR234" s="4">
        <f t="shared" si="87"/>
        <v>1.6202243558389728E-2</v>
      </c>
    </row>
    <row r="235" spans="1:44" x14ac:dyDescent="0.3">
      <c r="A235" s="24" t="s">
        <v>206</v>
      </c>
      <c r="B235" s="78">
        <f>'Parameter Input'!$L$162</f>
        <v>18.177348551360843</v>
      </c>
      <c r="C235" s="61">
        <f>'Parameter Input'!$M$162</f>
        <v>58.999122036874446</v>
      </c>
      <c r="D235" s="1"/>
      <c r="L235" s="54">
        <f>'Parameter Input'!O150</f>
        <v>17</v>
      </c>
      <c r="M235" s="37">
        <v>0</v>
      </c>
      <c r="N235" s="37">
        <v>1</v>
      </c>
      <c r="O235" s="37">
        <f>'Parameter Input'!P150</f>
        <v>0.9</v>
      </c>
      <c r="P235" s="55">
        <f>'Parameter Input'!Q150</f>
        <v>0.4</v>
      </c>
      <c r="Q235" s="4">
        <f t="shared" ref="Q235:AR241" si="88">$N235+($M235-$N235)*((1/(1+EXP(-$P235*(Q$9-$L235)))^$O235))</f>
        <v>0.99780374543478534</v>
      </c>
      <c r="R235" s="4">
        <f t="shared" si="88"/>
        <v>0.99685359315256394</v>
      </c>
      <c r="S235" s="4">
        <f t="shared" si="88"/>
        <v>0.99549347132349975</v>
      </c>
      <c r="T235" s="4">
        <f t="shared" si="88"/>
        <v>0.99354772139898062</v>
      </c>
      <c r="U235" s="4">
        <f t="shared" si="88"/>
        <v>0.99076681540580536</v>
      </c>
      <c r="V235" s="4">
        <f t="shared" si="88"/>
        <v>0.9867978615748374</v>
      </c>
      <c r="W235" s="4">
        <f t="shared" si="88"/>
        <v>0.98114509762858249</v>
      </c>
      <c r="X235" s="4">
        <f t="shared" si="88"/>
        <v>0.97311898315872036</v>
      </c>
      <c r="Y235" s="4">
        <f t="shared" si="88"/>
        <v>0.96177484161592774</v>
      </c>
      <c r="Z235" s="4">
        <f t="shared" si="88"/>
        <v>0.94584787155511363</v>
      </c>
      <c r="AA235" s="4">
        <f t="shared" si="88"/>
        <v>0.92370360150141495</v>
      </c>
      <c r="AB235" s="4">
        <f t="shared" si="88"/>
        <v>0.89334463567658451</v>
      </c>
      <c r="AC235" s="4">
        <f t="shared" si="88"/>
        <v>0.85254543874327005</v>
      </c>
      <c r="AD235" s="4">
        <f t="shared" si="88"/>
        <v>0.79921300652623883</v>
      </c>
      <c r="AE235" s="4">
        <f t="shared" si="88"/>
        <v>0.73204982249993378</v>
      </c>
      <c r="AF235" s="4">
        <f t="shared" si="88"/>
        <v>0.65145592958786691</v>
      </c>
      <c r="AG235" s="4">
        <f t="shared" si="88"/>
        <v>0.56032247880849573</v>
      </c>
      <c r="AH235" s="4">
        <f t="shared" si="88"/>
        <v>0.46411326873185343</v>
      </c>
      <c r="AI235" s="4">
        <f t="shared" si="88"/>
        <v>0.36979727595523937</v>
      </c>
      <c r="AJ235" s="4">
        <f t="shared" si="88"/>
        <v>0.28393948637231203</v>
      </c>
      <c r="AK235" s="4">
        <f t="shared" si="88"/>
        <v>0.21097259161117732</v>
      </c>
      <c r="AL235" s="4">
        <f t="shared" si="88"/>
        <v>0.15253917653798199</v>
      </c>
      <c r="AM235" s="4">
        <f t="shared" si="88"/>
        <v>0.10795188737709993</v>
      </c>
      <c r="AN235" s="4">
        <f t="shared" si="88"/>
        <v>7.5176653938091809E-2</v>
      </c>
      <c r="AO235" s="4">
        <f t="shared" si="88"/>
        <v>5.1742836177502194E-2</v>
      </c>
      <c r="AP235" s="4">
        <f t="shared" si="88"/>
        <v>3.5319190625345942E-2</v>
      </c>
      <c r="AQ235" s="4">
        <f t="shared" si="88"/>
        <v>2.3969442072658165E-2</v>
      </c>
      <c r="AR235" s="4">
        <f t="shared" si="88"/>
        <v>1.6202243558389728E-2</v>
      </c>
    </row>
    <row r="236" spans="1:44" x14ac:dyDescent="0.3">
      <c r="A236" s="24" t="s">
        <v>41</v>
      </c>
      <c r="B236" s="60">
        <f>'Parameter Input'!$L$156</f>
        <v>25</v>
      </c>
      <c r="C236" s="61">
        <f>'Parameter Input'!$M$156</f>
        <v>25</v>
      </c>
      <c r="D236" s="1" t="s">
        <v>42</v>
      </c>
      <c r="L236" s="54">
        <f>'Parameter Input'!$O$144</f>
        <v>17</v>
      </c>
      <c r="M236" s="37">
        <v>0</v>
      </c>
      <c r="N236" s="37">
        <v>1</v>
      </c>
      <c r="O236" s="37">
        <f>'Parameter Input'!$P$144</f>
        <v>0.9</v>
      </c>
      <c r="P236" s="55">
        <f>'Parameter Input'!$Q$144</f>
        <v>0.4</v>
      </c>
      <c r="Q236" s="4">
        <f t="shared" si="88"/>
        <v>0.99780374543478534</v>
      </c>
      <c r="R236" s="4">
        <f t="shared" si="88"/>
        <v>0.99685359315256394</v>
      </c>
      <c r="S236" s="4">
        <f t="shared" si="88"/>
        <v>0.99549347132349975</v>
      </c>
      <c r="T236" s="4">
        <f t="shared" si="88"/>
        <v>0.99354772139898062</v>
      </c>
      <c r="U236" s="4">
        <f t="shared" si="88"/>
        <v>0.99076681540580536</v>
      </c>
      <c r="V236" s="4">
        <f t="shared" si="88"/>
        <v>0.9867978615748374</v>
      </c>
      <c r="W236" s="4">
        <f t="shared" si="88"/>
        <v>0.98114509762858249</v>
      </c>
      <c r="X236" s="4">
        <f t="shared" si="88"/>
        <v>0.97311898315872036</v>
      </c>
      <c r="Y236" s="4">
        <f t="shared" si="88"/>
        <v>0.96177484161592774</v>
      </c>
      <c r="Z236" s="4">
        <f t="shared" si="88"/>
        <v>0.94584787155511363</v>
      </c>
      <c r="AA236" s="4">
        <f t="shared" si="88"/>
        <v>0.92370360150141495</v>
      </c>
      <c r="AB236" s="4">
        <f t="shared" si="88"/>
        <v>0.89334463567658451</v>
      </c>
      <c r="AC236" s="4">
        <f t="shared" si="88"/>
        <v>0.85254543874327005</v>
      </c>
      <c r="AD236" s="4">
        <f t="shared" si="88"/>
        <v>0.79921300652623883</v>
      </c>
      <c r="AE236" s="4">
        <f t="shared" si="88"/>
        <v>0.73204982249993378</v>
      </c>
      <c r="AF236" s="4">
        <f t="shared" si="88"/>
        <v>0.65145592958786691</v>
      </c>
      <c r="AG236" s="4">
        <f t="shared" si="86"/>
        <v>0.56032247880849573</v>
      </c>
      <c r="AH236" s="4">
        <f t="shared" si="86"/>
        <v>0.46411326873185343</v>
      </c>
      <c r="AI236" s="4">
        <f t="shared" si="86"/>
        <v>0.36979727595523937</v>
      </c>
      <c r="AJ236" s="4">
        <f t="shared" si="87"/>
        <v>0.28393948637231203</v>
      </c>
      <c r="AK236" s="4">
        <f t="shared" si="87"/>
        <v>0.21097259161117732</v>
      </c>
      <c r="AL236" s="4">
        <f t="shared" si="87"/>
        <v>0.15253917653798199</v>
      </c>
      <c r="AM236" s="4">
        <f t="shared" si="87"/>
        <v>0.10795188737709993</v>
      </c>
      <c r="AN236" s="4">
        <f t="shared" si="87"/>
        <v>7.5176653938091809E-2</v>
      </c>
      <c r="AO236" s="4">
        <f t="shared" si="87"/>
        <v>5.1742836177502194E-2</v>
      </c>
      <c r="AP236" s="4">
        <f t="shared" si="87"/>
        <v>3.5319190625345942E-2</v>
      </c>
      <c r="AQ236" s="4">
        <f t="shared" si="87"/>
        <v>2.3969442072658165E-2</v>
      </c>
      <c r="AR236" s="4">
        <f t="shared" si="87"/>
        <v>1.6202243558389728E-2</v>
      </c>
    </row>
    <row r="237" spans="1:44" x14ac:dyDescent="0.3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88"/>
        <v>0.99780374543478534</v>
      </c>
      <c r="R237" s="4">
        <f t="shared" si="88"/>
        <v>0.99685359315256394</v>
      </c>
      <c r="S237" s="4">
        <f t="shared" si="88"/>
        <v>0.99549347132349975</v>
      </c>
      <c r="T237" s="4">
        <f t="shared" si="88"/>
        <v>0.99354772139898062</v>
      </c>
      <c r="U237" s="4">
        <f t="shared" si="88"/>
        <v>0.99076681540580536</v>
      </c>
      <c r="V237" s="4">
        <f t="shared" si="88"/>
        <v>0.9867978615748374</v>
      </c>
      <c r="W237" s="4">
        <f t="shared" si="88"/>
        <v>0.98114509762858249</v>
      </c>
      <c r="X237" s="4">
        <f t="shared" si="88"/>
        <v>0.97311898315872036</v>
      </c>
      <c r="Y237" s="4">
        <f t="shared" si="88"/>
        <v>0.96177484161592774</v>
      </c>
      <c r="Z237" s="4">
        <f t="shared" si="88"/>
        <v>0.94584787155511363</v>
      </c>
      <c r="AA237" s="4">
        <f t="shared" si="88"/>
        <v>0.92370360150141495</v>
      </c>
      <c r="AB237" s="4">
        <f t="shared" si="88"/>
        <v>0.89334463567658451</v>
      </c>
      <c r="AC237" s="4">
        <f t="shared" si="88"/>
        <v>0.85254543874327005</v>
      </c>
      <c r="AD237" s="4">
        <f t="shared" si="88"/>
        <v>0.79921300652623883</v>
      </c>
      <c r="AE237" s="4">
        <f t="shared" si="88"/>
        <v>0.73204982249993378</v>
      </c>
      <c r="AF237" s="4">
        <f t="shared" si="88"/>
        <v>0.65145592958786691</v>
      </c>
      <c r="AG237" s="4">
        <f t="shared" si="86"/>
        <v>0.56032247880849573</v>
      </c>
      <c r="AH237" s="4">
        <f t="shared" si="86"/>
        <v>0.46411326873185343</v>
      </c>
      <c r="AI237" s="4">
        <f t="shared" si="86"/>
        <v>0.36979727595523937</v>
      </c>
      <c r="AJ237" s="4">
        <f t="shared" si="87"/>
        <v>0.28393948637231203</v>
      </c>
      <c r="AK237" s="4">
        <f t="shared" si="87"/>
        <v>0.21097259161117732</v>
      </c>
      <c r="AL237" s="4">
        <f t="shared" si="87"/>
        <v>0.15253917653798199</v>
      </c>
      <c r="AM237" s="4">
        <f t="shared" si="87"/>
        <v>0.10795188737709993</v>
      </c>
      <c r="AN237" s="4">
        <f t="shared" si="87"/>
        <v>7.5176653938091809E-2</v>
      </c>
      <c r="AO237" s="4">
        <f t="shared" si="87"/>
        <v>5.1742836177502194E-2</v>
      </c>
      <c r="AP237" s="4">
        <f t="shared" si="87"/>
        <v>3.5319190625345942E-2</v>
      </c>
      <c r="AQ237" s="4">
        <f t="shared" si="87"/>
        <v>2.3969442072658165E-2</v>
      </c>
      <c r="AR237" s="4">
        <f t="shared" si="87"/>
        <v>1.6202243558389728E-2</v>
      </c>
    </row>
    <row r="238" spans="1:44" x14ac:dyDescent="0.3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88"/>
        <v>0.99780374543478534</v>
      </c>
      <c r="R238" s="4">
        <f t="shared" si="88"/>
        <v>0.99685359315256394</v>
      </c>
      <c r="S238" s="4">
        <f t="shared" si="88"/>
        <v>0.99549347132349975</v>
      </c>
      <c r="T238" s="4">
        <f t="shared" si="88"/>
        <v>0.99354772139898062</v>
      </c>
      <c r="U238" s="4">
        <f t="shared" si="88"/>
        <v>0.99076681540580536</v>
      </c>
      <c r="V238" s="4">
        <f t="shared" si="88"/>
        <v>0.9867978615748374</v>
      </c>
      <c r="W238" s="4">
        <f t="shared" si="88"/>
        <v>0.98114509762858249</v>
      </c>
      <c r="X238" s="4">
        <f t="shared" si="88"/>
        <v>0.97311898315872036</v>
      </c>
      <c r="Y238" s="4">
        <f t="shared" si="88"/>
        <v>0.96177484161592774</v>
      </c>
      <c r="Z238" s="4">
        <f t="shared" si="88"/>
        <v>0.94584787155511363</v>
      </c>
      <c r="AA238" s="4">
        <f t="shared" si="88"/>
        <v>0.92370360150141495</v>
      </c>
      <c r="AB238" s="4">
        <f t="shared" si="88"/>
        <v>0.89334463567658451</v>
      </c>
      <c r="AC238" s="4">
        <f t="shared" si="88"/>
        <v>0.85254543874327005</v>
      </c>
      <c r="AD238" s="4">
        <f t="shared" si="88"/>
        <v>0.79921300652623883</v>
      </c>
      <c r="AE238" s="4">
        <f t="shared" si="88"/>
        <v>0.73204982249993378</v>
      </c>
      <c r="AF238" s="4">
        <f t="shared" si="88"/>
        <v>0.65145592958786691</v>
      </c>
      <c r="AG238" s="4">
        <f t="shared" si="86"/>
        <v>0.56032247880849573</v>
      </c>
      <c r="AH238" s="4">
        <f t="shared" si="86"/>
        <v>0.46411326873185343</v>
      </c>
      <c r="AI238" s="4">
        <f t="shared" si="86"/>
        <v>0.36979727595523937</v>
      </c>
      <c r="AJ238" s="4">
        <f t="shared" si="87"/>
        <v>0.28393948637231203</v>
      </c>
      <c r="AK238" s="4">
        <f t="shared" si="87"/>
        <v>0.21097259161117732</v>
      </c>
      <c r="AL238" s="4">
        <f t="shared" si="87"/>
        <v>0.15253917653798199</v>
      </c>
      <c r="AM238" s="4">
        <f t="shared" si="87"/>
        <v>0.10795188737709993</v>
      </c>
      <c r="AN238" s="4">
        <f t="shared" si="87"/>
        <v>7.5176653938091809E-2</v>
      </c>
      <c r="AO238" s="4">
        <f t="shared" si="87"/>
        <v>5.1742836177502194E-2</v>
      </c>
      <c r="AP238" s="4">
        <f t="shared" si="87"/>
        <v>3.5319190625345942E-2</v>
      </c>
      <c r="AQ238" s="4">
        <f t="shared" si="87"/>
        <v>2.3969442072658165E-2</v>
      </c>
      <c r="AR238" s="4">
        <f t="shared" si="87"/>
        <v>1.6202243558389728E-2</v>
      </c>
    </row>
    <row r="239" spans="1:44" x14ac:dyDescent="0.3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88"/>
        <v>0.99780374543478534</v>
      </c>
      <c r="R239" s="4">
        <f t="shared" si="88"/>
        <v>0.99685359315256394</v>
      </c>
      <c r="S239" s="4">
        <f t="shared" si="88"/>
        <v>0.99549347132349975</v>
      </c>
      <c r="T239" s="4">
        <f t="shared" si="88"/>
        <v>0.99354772139898062</v>
      </c>
      <c r="U239" s="4">
        <f t="shared" si="88"/>
        <v>0.99076681540580536</v>
      </c>
      <c r="V239" s="4">
        <f t="shared" si="88"/>
        <v>0.9867978615748374</v>
      </c>
      <c r="W239" s="4">
        <f t="shared" si="88"/>
        <v>0.98114509762858249</v>
      </c>
      <c r="X239" s="4">
        <f t="shared" si="88"/>
        <v>0.97311898315872036</v>
      </c>
      <c r="Y239" s="4">
        <f t="shared" si="88"/>
        <v>0.96177484161592774</v>
      </c>
      <c r="Z239" s="4">
        <f t="shared" si="88"/>
        <v>0.94584787155511363</v>
      </c>
      <c r="AA239" s="4">
        <f t="shared" si="88"/>
        <v>0.92370360150141495</v>
      </c>
      <c r="AB239" s="4">
        <f t="shared" si="88"/>
        <v>0.89334463567658451</v>
      </c>
      <c r="AC239" s="4">
        <f t="shared" si="88"/>
        <v>0.85254543874327005</v>
      </c>
      <c r="AD239" s="4">
        <f t="shared" si="88"/>
        <v>0.79921300652623883</v>
      </c>
      <c r="AE239" s="4">
        <f t="shared" si="88"/>
        <v>0.73204982249993378</v>
      </c>
      <c r="AF239" s="4">
        <f t="shared" si="88"/>
        <v>0.65145592958786691</v>
      </c>
      <c r="AG239" s="4">
        <f t="shared" si="86"/>
        <v>0.56032247880849573</v>
      </c>
      <c r="AH239" s="4">
        <f t="shared" si="86"/>
        <v>0.46411326873185343</v>
      </c>
      <c r="AI239" s="4">
        <f t="shared" si="86"/>
        <v>0.36979727595523937</v>
      </c>
      <c r="AJ239" s="4">
        <f t="shared" si="87"/>
        <v>0.28393948637231203</v>
      </c>
      <c r="AK239" s="4">
        <f t="shared" si="87"/>
        <v>0.21097259161117732</v>
      </c>
      <c r="AL239" s="4">
        <f t="shared" si="87"/>
        <v>0.15253917653798199</v>
      </c>
      <c r="AM239" s="4">
        <f t="shared" si="87"/>
        <v>0.10795188737709993</v>
      </c>
      <c r="AN239" s="4">
        <f t="shared" si="87"/>
        <v>7.5176653938091809E-2</v>
      </c>
      <c r="AO239" s="4">
        <f t="shared" si="87"/>
        <v>5.1742836177502194E-2</v>
      </c>
      <c r="AP239" s="4">
        <f t="shared" si="87"/>
        <v>3.5319190625345942E-2</v>
      </c>
      <c r="AQ239" s="4">
        <f t="shared" si="87"/>
        <v>2.3969442072658165E-2</v>
      </c>
      <c r="AR239" s="4">
        <f t="shared" si="87"/>
        <v>1.6202243558389728E-2</v>
      </c>
    </row>
    <row r="240" spans="1:44" x14ac:dyDescent="0.3">
      <c r="A240" s="24" t="s">
        <v>73</v>
      </c>
      <c r="B240" s="45">
        <f>'Parameter Input'!$L$160</f>
        <v>0</v>
      </c>
      <c r="C240" s="46">
        <f>'Parameter Input'!$M$160</f>
        <v>0</v>
      </c>
      <c r="D240" s="1" t="s">
        <v>57</v>
      </c>
      <c r="L240" s="54">
        <f>'Parameter Input'!$O$148</f>
        <v>17</v>
      </c>
      <c r="M240" s="37">
        <v>0</v>
      </c>
      <c r="N240" s="37">
        <v>1</v>
      </c>
      <c r="O240" s="37">
        <f>'Parameter Input'!$P$148</f>
        <v>0.9</v>
      </c>
      <c r="P240" s="55">
        <f>'Parameter Input'!$Q$148</f>
        <v>0.4</v>
      </c>
      <c r="Q240" s="4">
        <f t="shared" si="88"/>
        <v>0.99780374543478534</v>
      </c>
      <c r="R240" s="4">
        <f t="shared" si="88"/>
        <v>0.99685359315256394</v>
      </c>
      <c r="S240" s="4">
        <f t="shared" si="88"/>
        <v>0.99549347132349975</v>
      </c>
      <c r="T240" s="4">
        <f t="shared" si="88"/>
        <v>0.99354772139898062</v>
      </c>
      <c r="U240" s="4">
        <f t="shared" si="88"/>
        <v>0.99076681540580536</v>
      </c>
      <c r="V240" s="4">
        <f t="shared" si="88"/>
        <v>0.9867978615748374</v>
      </c>
      <c r="W240" s="4">
        <f t="shared" si="88"/>
        <v>0.98114509762858249</v>
      </c>
      <c r="X240" s="4">
        <f t="shared" si="88"/>
        <v>0.97311898315872036</v>
      </c>
      <c r="Y240" s="4">
        <f t="shared" si="88"/>
        <v>0.96177484161592774</v>
      </c>
      <c r="Z240" s="4">
        <f t="shared" si="88"/>
        <v>0.94584787155511363</v>
      </c>
      <c r="AA240" s="4">
        <f t="shared" si="88"/>
        <v>0.92370360150141495</v>
      </c>
      <c r="AB240" s="4">
        <f t="shared" si="88"/>
        <v>0.89334463567658451</v>
      </c>
      <c r="AC240" s="4">
        <f t="shared" si="88"/>
        <v>0.85254543874327005</v>
      </c>
      <c r="AD240" s="4">
        <f t="shared" si="88"/>
        <v>0.79921300652623883</v>
      </c>
      <c r="AE240" s="4">
        <f t="shared" si="88"/>
        <v>0.73204982249993378</v>
      </c>
      <c r="AF240" s="4">
        <f t="shared" si="88"/>
        <v>0.65145592958786691</v>
      </c>
      <c r="AG240" s="4">
        <f t="shared" si="86"/>
        <v>0.56032247880849573</v>
      </c>
      <c r="AH240" s="4">
        <f t="shared" si="86"/>
        <v>0.46411326873185343</v>
      </c>
      <c r="AI240" s="4">
        <f t="shared" si="86"/>
        <v>0.36979727595523937</v>
      </c>
      <c r="AJ240" s="4">
        <f t="shared" si="87"/>
        <v>0.28393948637231203</v>
      </c>
      <c r="AK240" s="4">
        <f t="shared" si="87"/>
        <v>0.21097259161117732</v>
      </c>
      <c r="AL240" s="4">
        <f t="shared" si="87"/>
        <v>0.15253917653798199</v>
      </c>
      <c r="AM240" s="4">
        <f t="shared" si="87"/>
        <v>0.10795188737709993</v>
      </c>
      <c r="AN240" s="4">
        <f t="shared" si="87"/>
        <v>7.5176653938091809E-2</v>
      </c>
      <c r="AO240" s="4">
        <f t="shared" si="87"/>
        <v>5.1742836177502194E-2</v>
      </c>
      <c r="AP240" s="4">
        <f t="shared" si="87"/>
        <v>3.5319190625345942E-2</v>
      </c>
      <c r="AQ240" s="4">
        <f t="shared" si="87"/>
        <v>2.3969442072658165E-2</v>
      </c>
      <c r="AR240" s="4">
        <f t="shared" si="87"/>
        <v>1.6202243558389728E-2</v>
      </c>
    </row>
    <row r="241" spans="1:44" ht="15" thickBot="1" x14ac:dyDescent="0.35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88"/>
        <v>0.99780374543478534</v>
      </c>
      <c r="R241" s="4">
        <f t="shared" si="88"/>
        <v>0.99685359315256394</v>
      </c>
      <c r="S241" s="4">
        <f t="shared" si="88"/>
        <v>0.99549347132349975</v>
      </c>
      <c r="T241" s="4">
        <f t="shared" si="88"/>
        <v>0.99354772139898062</v>
      </c>
      <c r="U241" s="4">
        <f t="shared" si="88"/>
        <v>0.99076681540580536</v>
      </c>
      <c r="V241" s="4">
        <f t="shared" si="88"/>
        <v>0.9867978615748374</v>
      </c>
      <c r="W241" s="4">
        <f t="shared" si="88"/>
        <v>0.98114509762858249</v>
      </c>
      <c r="X241" s="4">
        <f t="shared" si="88"/>
        <v>0.97311898315872036</v>
      </c>
      <c r="Y241" s="4">
        <f t="shared" si="88"/>
        <v>0.96177484161592774</v>
      </c>
      <c r="Z241" s="4">
        <f t="shared" si="88"/>
        <v>0.94584787155511363</v>
      </c>
      <c r="AA241" s="4">
        <f t="shared" si="88"/>
        <v>0.92370360150141495</v>
      </c>
      <c r="AB241" s="4">
        <f t="shared" si="88"/>
        <v>0.89334463567658451</v>
      </c>
      <c r="AC241" s="4">
        <f t="shared" si="88"/>
        <v>0.85254543874327005</v>
      </c>
      <c r="AD241" s="4">
        <f t="shared" si="88"/>
        <v>0.79921300652623883</v>
      </c>
      <c r="AE241" s="4">
        <f t="shared" si="88"/>
        <v>0.73204982249993378</v>
      </c>
      <c r="AF241" s="4">
        <f t="shared" si="88"/>
        <v>0.65145592958786691</v>
      </c>
      <c r="AG241" s="4">
        <f t="shared" si="86"/>
        <v>0.56032247880849573</v>
      </c>
      <c r="AH241" s="4">
        <f t="shared" si="86"/>
        <v>0.46411326873185343</v>
      </c>
      <c r="AI241" s="4">
        <f t="shared" si="86"/>
        <v>0.36979727595523937</v>
      </c>
      <c r="AJ241" s="4">
        <f t="shared" si="87"/>
        <v>0.28393948637231203</v>
      </c>
      <c r="AK241" s="4">
        <f t="shared" si="87"/>
        <v>0.21097259161117732</v>
      </c>
      <c r="AL241" s="4">
        <f t="shared" si="87"/>
        <v>0.15253917653798199</v>
      </c>
      <c r="AM241" s="4">
        <f t="shared" si="87"/>
        <v>0.10795188737709993</v>
      </c>
      <c r="AN241" s="4">
        <f t="shared" si="87"/>
        <v>7.5176653938091809E-2</v>
      </c>
      <c r="AO241" s="4">
        <f t="shared" si="87"/>
        <v>5.1742836177502194E-2</v>
      </c>
      <c r="AP241" s="4">
        <f t="shared" si="87"/>
        <v>3.5319190625345942E-2</v>
      </c>
      <c r="AQ241" s="4">
        <f t="shared" si="87"/>
        <v>2.3969442072658165E-2</v>
      </c>
      <c r="AR241" s="4">
        <f t="shared" si="87"/>
        <v>1.6202243558389728E-2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9" si="89">A225</f>
        <v>Capex vehicle</v>
      </c>
      <c r="B245" s="62">
        <f t="shared" ref="B245:AC254" si="90">$B225+($C225-$B225)*(1-Q225)</f>
        <v>15000000</v>
      </c>
      <c r="C245" s="62">
        <f t="shared" si="90"/>
        <v>15000000</v>
      </c>
      <c r="D245" s="62">
        <f t="shared" si="90"/>
        <v>15000000</v>
      </c>
      <c r="E245" s="62">
        <f t="shared" si="90"/>
        <v>15000000</v>
      </c>
      <c r="F245" s="62">
        <f t="shared" si="90"/>
        <v>15000000</v>
      </c>
      <c r="G245" s="62">
        <f t="shared" si="90"/>
        <v>15000000</v>
      </c>
      <c r="H245" s="62">
        <f t="shared" si="90"/>
        <v>15000000</v>
      </c>
      <c r="I245" s="62">
        <f t="shared" si="90"/>
        <v>15000000</v>
      </c>
      <c r="J245" s="62">
        <f t="shared" si="90"/>
        <v>15000000</v>
      </c>
      <c r="K245" s="62">
        <f t="shared" si="90"/>
        <v>15000000</v>
      </c>
      <c r="L245" s="62">
        <f t="shared" si="90"/>
        <v>15000000</v>
      </c>
      <c r="M245" s="62">
        <f t="shared" si="90"/>
        <v>15000000</v>
      </c>
      <c r="N245" s="62">
        <f t="shared" si="90"/>
        <v>15000000</v>
      </c>
      <c r="O245" s="62">
        <f t="shared" si="90"/>
        <v>15000000</v>
      </c>
      <c r="P245" s="62">
        <f t="shared" si="90"/>
        <v>15000000</v>
      </c>
      <c r="Q245" s="62">
        <f t="shared" si="90"/>
        <v>15000000</v>
      </c>
      <c r="R245" s="62">
        <f t="shared" si="90"/>
        <v>15000000</v>
      </c>
      <c r="S245" s="62">
        <f t="shared" si="90"/>
        <v>15000000</v>
      </c>
      <c r="T245" s="62">
        <f t="shared" si="90"/>
        <v>15000000</v>
      </c>
      <c r="U245" s="62">
        <f t="shared" si="90"/>
        <v>15000000</v>
      </c>
      <c r="V245" s="62">
        <f t="shared" si="90"/>
        <v>15000000</v>
      </c>
      <c r="W245" s="62">
        <f t="shared" si="90"/>
        <v>15000000</v>
      </c>
      <c r="X245" s="62">
        <f t="shared" si="90"/>
        <v>15000000</v>
      </c>
      <c r="Y245" s="62">
        <f t="shared" si="90"/>
        <v>15000000</v>
      </c>
      <c r="Z245" s="62">
        <f t="shared" si="90"/>
        <v>15000000</v>
      </c>
      <c r="AA245" s="62">
        <f t="shared" si="90"/>
        <v>15000000</v>
      </c>
      <c r="AB245" s="62">
        <f t="shared" si="90"/>
        <v>15000000</v>
      </c>
      <c r="AC245" s="62">
        <f t="shared" si="90"/>
        <v>15000000</v>
      </c>
    </row>
    <row r="246" spans="1:44" x14ac:dyDescent="0.3">
      <c r="A246" s="30" t="str">
        <f t="shared" si="89"/>
        <v>Residual value (vehicle)</v>
      </c>
      <c r="B246" s="62">
        <f t="shared" si="90"/>
        <v>-1498352.8090760889</v>
      </c>
      <c r="C246" s="62">
        <f t="shared" si="90"/>
        <v>-1497640.194864423</v>
      </c>
      <c r="D246" s="62">
        <f t="shared" si="90"/>
        <v>-1496620.1034926248</v>
      </c>
      <c r="E246" s="62">
        <f t="shared" si="90"/>
        <v>-1495160.7910492355</v>
      </c>
      <c r="F246" s="62">
        <f t="shared" si="90"/>
        <v>-1493075.111554354</v>
      </c>
      <c r="G246" s="62">
        <f t="shared" si="90"/>
        <v>-1490098.396181128</v>
      </c>
      <c r="H246" s="62">
        <f t="shared" si="90"/>
        <v>-1485858.8232214369</v>
      </c>
      <c r="I246" s="62">
        <f t="shared" si="90"/>
        <v>-1479839.2373690403</v>
      </c>
      <c r="J246" s="62">
        <f t="shared" si="90"/>
        <v>-1471331.1312119458</v>
      </c>
      <c r="K246" s="62">
        <f t="shared" si="90"/>
        <v>-1459385.9036663352</v>
      </c>
      <c r="L246" s="62">
        <f t="shared" si="90"/>
        <v>-1442777.7011260611</v>
      </c>
      <c r="M246" s="62">
        <f t="shared" si="90"/>
        <v>-1420008.4767574384</v>
      </c>
      <c r="N246" s="62">
        <f t="shared" si="90"/>
        <v>-1389409.0790574525</v>
      </c>
      <c r="O246" s="62">
        <f t="shared" si="90"/>
        <v>-1349409.7548946792</v>
      </c>
      <c r="P246" s="62">
        <f t="shared" si="90"/>
        <v>-1299037.3668749502</v>
      </c>
      <c r="Q246" s="62">
        <f t="shared" si="90"/>
        <v>-1238591.9471909001</v>
      </c>
      <c r="R246" s="62">
        <f t="shared" si="90"/>
        <v>-1170241.8591063719</v>
      </c>
      <c r="S246" s="62">
        <f t="shared" si="90"/>
        <v>-1098084.9515488902</v>
      </c>
      <c r="T246" s="62">
        <f t="shared" si="90"/>
        <v>-1027347.9569664295</v>
      </c>
      <c r="U246" s="62">
        <f t="shared" si="90"/>
        <v>-962954.61477923405</v>
      </c>
      <c r="V246" s="62">
        <f t="shared" si="90"/>
        <v>-908229.44370838301</v>
      </c>
      <c r="W246" s="62">
        <f t="shared" si="90"/>
        <v>-864404.38240348652</v>
      </c>
      <c r="X246" s="62">
        <f t="shared" si="90"/>
        <v>-830963.91553282493</v>
      </c>
      <c r="Y246" s="62">
        <f t="shared" si="90"/>
        <v>-806382.49045356887</v>
      </c>
      <c r="Z246" s="62">
        <f t="shared" si="90"/>
        <v>-788807.1271331266</v>
      </c>
      <c r="AA246" s="62">
        <f t="shared" si="90"/>
        <v>-776489.39296900947</v>
      </c>
      <c r="AB246" s="62">
        <f t="shared" si="90"/>
        <v>-767977.08155449363</v>
      </c>
      <c r="AC246" s="62">
        <f t="shared" si="90"/>
        <v>-762151.68266879232</v>
      </c>
    </row>
    <row r="247" spans="1:44" x14ac:dyDescent="0.3">
      <c r="A247" s="30" t="str">
        <f t="shared" si="89"/>
        <v>Capex costumization</v>
      </c>
      <c r="B247" s="62">
        <f t="shared" si="90"/>
        <v>1000000</v>
      </c>
      <c r="C247" s="62">
        <f t="shared" si="90"/>
        <v>1000000</v>
      </c>
      <c r="D247" s="62">
        <f t="shared" si="90"/>
        <v>1000000</v>
      </c>
      <c r="E247" s="62">
        <f t="shared" si="90"/>
        <v>1000000</v>
      </c>
      <c r="F247" s="62">
        <f t="shared" si="90"/>
        <v>1000000</v>
      </c>
      <c r="G247" s="62">
        <f t="shared" si="90"/>
        <v>1000000</v>
      </c>
      <c r="H247" s="62">
        <f t="shared" si="90"/>
        <v>1000000</v>
      </c>
      <c r="I247" s="62">
        <f t="shared" si="90"/>
        <v>1000000</v>
      </c>
      <c r="J247" s="62">
        <f t="shared" si="90"/>
        <v>1000000</v>
      </c>
      <c r="K247" s="62">
        <f t="shared" si="90"/>
        <v>1000000</v>
      </c>
      <c r="L247" s="62">
        <f t="shared" si="90"/>
        <v>1000000</v>
      </c>
      <c r="M247" s="62">
        <f t="shared" si="90"/>
        <v>1000000</v>
      </c>
      <c r="N247" s="62">
        <f t="shared" si="90"/>
        <v>1000000</v>
      </c>
      <c r="O247" s="62">
        <f t="shared" si="90"/>
        <v>1000000</v>
      </c>
      <c r="P247" s="62">
        <f t="shared" si="90"/>
        <v>1000000</v>
      </c>
      <c r="Q247" s="62">
        <f t="shared" si="90"/>
        <v>1000000</v>
      </c>
      <c r="R247" s="62">
        <f t="shared" si="90"/>
        <v>1000000</v>
      </c>
      <c r="S247" s="62">
        <f t="shared" si="90"/>
        <v>1000000</v>
      </c>
      <c r="T247" s="62">
        <f t="shared" si="90"/>
        <v>1000000</v>
      </c>
      <c r="U247" s="62">
        <f t="shared" si="90"/>
        <v>1000000</v>
      </c>
      <c r="V247" s="62">
        <f t="shared" si="90"/>
        <v>1000000</v>
      </c>
      <c r="W247" s="62">
        <f t="shared" si="90"/>
        <v>1000000</v>
      </c>
      <c r="X247" s="62">
        <f t="shared" si="90"/>
        <v>1000000</v>
      </c>
      <c r="Y247" s="62">
        <f t="shared" si="90"/>
        <v>1000000</v>
      </c>
      <c r="Z247" s="62">
        <f t="shared" si="90"/>
        <v>1000000</v>
      </c>
      <c r="AA247" s="62">
        <f t="shared" si="90"/>
        <v>1000000</v>
      </c>
      <c r="AB247" s="62">
        <f t="shared" si="90"/>
        <v>1000000</v>
      </c>
      <c r="AC247" s="62">
        <f t="shared" si="90"/>
        <v>1000000</v>
      </c>
    </row>
    <row r="248" spans="1:44" x14ac:dyDescent="0.3">
      <c r="A248" s="30" t="str">
        <f t="shared" si="89"/>
        <v>Residual value (costumization)</v>
      </c>
      <c r="B248" s="62">
        <f t="shared" si="90"/>
        <v>-100000</v>
      </c>
      <c r="C248" s="62">
        <f t="shared" si="90"/>
        <v>-100000</v>
      </c>
      <c r="D248" s="62">
        <f t="shared" si="90"/>
        <v>-100000</v>
      </c>
      <c r="E248" s="62">
        <f t="shared" si="90"/>
        <v>-100000</v>
      </c>
      <c r="F248" s="62">
        <f t="shared" si="90"/>
        <v>-100000</v>
      </c>
      <c r="G248" s="62">
        <f t="shared" si="90"/>
        <v>-100000</v>
      </c>
      <c r="H248" s="62">
        <f t="shared" si="90"/>
        <v>-100000</v>
      </c>
      <c r="I248" s="62">
        <f t="shared" si="90"/>
        <v>-100000</v>
      </c>
      <c r="J248" s="62">
        <f t="shared" si="90"/>
        <v>-100000</v>
      </c>
      <c r="K248" s="62">
        <f t="shared" si="90"/>
        <v>-100000</v>
      </c>
      <c r="L248" s="62">
        <f t="shared" si="90"/>
        <v>-100000</v>
      </c>
      <c r="M248" s="62">
        <f t="shared" si="90"/>
        <v>-100000</v>
      </c>
      <c r="N248" s="62">
        <f t="shared" si="90"/>
        <v>-100000</v>
      </c>
      <c r="O248" s="62">
        <f t="shared" si="90"/>
        <v>-100000</v>
      </c>
      <c r="P248" s="62">
        <f t="shared" si="90"/>
        <v>-100000</v>
      </c>
      <c r="Q248" s="62">
        <f t="shared" si="90"/>
        <v>-100000</v>
      </c>
      <c r="R248" s="62">
        <f t="shared" si="90"/>
        <v>-100000</v>
      </c>
      <c r="S248" s="62">
        <f t="shared" si="90"/>
        <v>-100000</v>
      </c>
      <c r="T248" s="62">
        <f t="shared" si="90"/>
        <v>-100000</v>
      </c>
      <c r="U248" s="62">
        <f t="shared" si="90"/>
        <v>-100000</v>
      </c>
      <c r="V248" s="62">
        <f t="shared" si="90"/>
        <v>-100000</v>
      </c>
      <c r="W248" s="62">
        <f t="shared" si="90"/>
        <v>-100000</v>
      </c>
      <c r="X248" s="62">
        <f t="shared" si="90"/>
        <v>-100000</v>
      </c>
      <c r="Y248" s="62">
        <f t="shared" si="90"/>
        <v>-100000</v>
      </c>
      <c r="Z248" s="62">
        <f t="shared" si="90"/>
        <v>-100000</v>
      </c>
      <c r="AA248" s="62">
        <f t="shared" si="90"/>
        <v>-100000</v>
      </c>
      <c r="AB248" s="62">
        <f t="shared" si="90"/>
        <v>-100000</v>
      </c>
      <c r="AC248" s="62">
        <f t="shared" si="90"/>
        <v>-100000</v>
      </c>
    </row>
    <row r="249" spans="1:44" x14ac:dyDescent="0.3">
      <c r="A249" s="30" t="str">
        <f t="shared" si="89"/>
        <v>WACC</v>
      </c>
      <c r="B249" s="62">
        <f t="shared" si="90"/>
        <v>0.06</v>
      </c>
      <c r="C249" s="62">
        <f t="shared" si="90"/>
        <v>0.06</v>
      </c>
      <c r="D249" s="62">
        <f t="shared" si="90"/>
        <v>0.06</v>
      </c>
      <c r="E249" s="62">
        <f t="shared" si="90"/>
        <v>0.06</v>
      </c>
      <c r="F249" s="62">
        <f t="shared" si="90"/>
        <v>0.06</v>
      </c>
      <c r="G249" s="62">
        <f t="shared" si="90"/>
        <v>0.06</v>
      </c>
      <c r="H249" s="62">
        <f t="shared" si="90"/>
        <v>0.06</v>
      </c>
      <c r="I249" s="62">
        <f t="shared" si="90"/>
        <v>0.06</v>
      </c>
      <c r="J249" s="62">
        <f t="shared" si="90"/>
        <v>0.06</v>
      </c>
      <c r="K249" s="62">
        <f t="shared" si="90"/>
        <v>0.06</v>
      </c>
      <c r="L249" s="62">
        <f t="shared" si="90"/>
        <v>0.06</v>
      </c>
      <c r="M249" s="62">
        <f t="shared" si="90"/>
        <v>0.06</v>
      </c>
      <c r="N249" s="62">
        <f t="shared" si="90"/>
        <v>0.06</v>
      </c>
      <c r="O249" s="62">
        <f t="shared" si="90"/>
        <v>0.06</v>
      </c>
      <c r="P249" s="62">
        <f t="shared" si="90"/>
        <v>0.06</v>
      </c>
      <c r="Q249" s="62">
        <f t="shared" si="90"/>
        <v>0.06</v>
      </c>
      <c r="R249" s="62">
        <f t="shared" si="90"/>
        <v>0.06</v>
      </c>
      <c r="S249" s="62">
        <f t="shared" si="90"/>
        <v>0.06</v>
      </c>
      <c r="T249" s="62">
        <f t="shared" si="90"/>
        <v>0.06</v>
      </c>
      <c r="U249" s="62">
        <f t="shared" si="90"/>
        <v>0.06</v>
      </c>
      <c r="V249" s="62">
        <f t="shared" si="90"/>
        <v>0.06</v>
      </c>
      <c r="W249" s="62">
        <f t="shared" si="90"/>
        <v>0.06</v>
      </c>
      <c r="X249" s="62">
        <f t="shared" si="90"/>
        <v>0.06</v>
      </c>
      <c r="Y249" s="62">
        <f t="shared" si="90"/>
        <v>0.06</v>
      </c>
      <c r="Z249" s="62">
        <f t="shared" si="90"/>
        <v>0.06</v>
      </c>
      <c r="AA249" s="62">
        <f t="shared" si="90"/>
        <v>0.06</v>
      </c>
      <c r="AB249" s="62">
        <f t="shared" si="90"/>
        <v>0.06</v>
      </c>
      <c r="AC249" s="62">
        <f t="shared" si="90"/>
        <v>0.06</v>
      </c>
    </row>
    <row r="250" spans="1:44" x14ac:dyDescent="0.3">
      <c r="A250" s="30" t="str">
        <f t="shared" si="89"/>
        <v>Opex fix (admin, crew, insurance)</v>
      </c>
      <c r="B250" s="62">
        <f t="shared" si="90"/>
        <v>1208235.294117647</v>
      </c>
      <c r="C250" s="62">
        <f t="shared" si="90"/>
        <v>1208235.294117647</v>
      </c>
      <c r="D250" s="62">
        <f t="shared" si="90"/>
        <v>1208235.294117647</v>
      </c>
      <c r="E250" s="62">
        <f t="shared" si="90"/>
        <v>1208235.294117647</v>
      </c>
      <c r="F250" s="62">
        <f t="shared" si="90"/>
        <v>1208235.294117647</v>
      </c>
      <c r="G250" s="62">
        <f t="shared" si="90"/>
        <v>1208235.294117647</v>
      </c>
      <c r="H250" s="62">
        <f t="shared" si="90"/>
        <v>1208235.294117647</v>
      </c>
      <c r="I250" s="62">
        <f t="shared" si="90"/>
        <v>1208235.294117647</v>
      </c>
      <c r="J250" s="62">
        <f t="shared" si="90"/>
        <v>1208235.294117647</v>
      </c>
      <c r="K250" s="62">
        <f t="shared" si="90"/>
        <v>1208235.294117647</v>
      </c>
      <c r="L250" s="62">
        <f t="shared" si="90"/>
        <v>1208235.294117647</v>
      </c>
      <c r="M250" s="62">
        <f t="shared" si="90"/>
        <v>1208235.294117647</v>
      </c>
      <c r="N250" s="62">
        <f t="shared" si="90"/>
        <v>1208235.294117647</v>
      </c>
      <c r="O250" s="62">
        <f t="shared" si="90"/>
        <v>1208235.294117647</v>
      </c>
      <c r="P250" s="62">
        <f t="shared" si="90"/>
        <v>1208235.294117647</v>
      </c>
      <c r="Q250" s="62">
        <f t="shared" si="90"/>
        <v>1208235.294117647</v>
      </c>
      <c r="R250" s="62">
        <f t="shared" si="90"/>
        <v>1208235.294117647</v>
      </c>
      <c r="S250" s="62">
        <f t="shared" si="90"/>
        <v>1208235.294117647</v>
      </c>
      <c r="T250" s="62">
        <f t="shared" si="90"/>
        <v>1208235.294117647</v>
      </c>
      <c r="U250" s="62">
        <f t="shared" si="90"/>
        <v>1208235.294117647</v>
      </c>
      <c r="V250" s="62">
        <f t="shared" si="90"/>
        <v>1208235.294117647</v>
      </c>
      <c r="W250" s="62">
        <f t="shared" si="90"/>
        <v>1208235.294117647</v>
      </c>
      <c r="X250" s="62">
        <f t="shared" si="90"/>
        <v>1208235.294117647</v>
      </c>
      <c r="Y250" s="62">
        <f t="shared" si="90"/>
        <v>1208235.294117647</v>
      </c>
      <c r="Z250" s="62">
        <f t="shared" si="90"/>
        <v>1208235.294117647</v>
      </c>
      <c r="AA250" s="62">
        <f t="shared" si="90"/>
        <v>1208235.294117647</v>
      </c>
      <c r="AB250" s="62">
        <f t="shared" si="90"/>
        <v>1208235.294117647</v>
      </c>
      <c r="AC250" s="62">
        <f t="shared" si="90"/>
        <v>1208235.294117647</v>
      </c>
    </row>
    <row r="251" spans="1:44" x14ac:dyDescent="0.3">
      <c r="A251" s="30" t="str">
        <f t="shared" si="89"/>
        <v>Opex maintenance &amp; repair</v>
      </c>
      <c r="B251" s="62">
        <f t="shared" si="90"/>
        <v>488235.29411764705</v>
      </c>
      <c r="C251" s="62">
        <f t="shared" si="90"/>
        <v>488235.29411764705</v>
      </c>
      <c r="D251" s="62">
        <f t="shared" si="90"/>
        <v>488235.29411764705</v>
      </c>
      <c r="E251" s="62">
        <f t="shared" si="90"/>
        <v>488235.29411764705</v>
      </c>
      <c r="F251" s="62">
        <f t="shared" si="90"/>
        <v>488235.29411764705</v>
      </c>
      <c r="G251" s="62">
        <f t="shared" si="90"/>
        <v>488235.29411764705</v>
      </c>
      <c r="H251" s="62">
        <f t="shared" si="90"/>
        <v>488235.29411764705</v>
      </c>
      <c r="I251" s="62">
        <f t="shared" si="90"/>
        <v>488235.29411764705</v>
      </c>
      <c r="J251" s="62">
        <f t="shared" si="90"/>
        <v>488235.29411764705</v>
      </c>
      <c r="K251" s="62">
        <f t="shared" si="90"/>
        <v>488235.29411764705</v>
      </c>
      <c r="L251" s="62">
        <f t="shared" si="90"/>
        <v>488235.29411764705</v>
      </c>
      <c r="M251" s="62">
        <f t="shared" si="90"/>
        <v>488235.29411764705</v>
      </c>
      <c r="N251" s="62">
        <f t="shared" si="90"/>
        <v>488235.29411764705</v>
      </c>
      <c r="O251" s="62">
        <f t="shared" si="90"/>
        <v>488235.29411764705</v>
      </c>
      <c r="P251" s="62">
        <f t="shared" si="90"/>
        <v>488235.29411764705</v>
      </c>
      <c r="Q251" s="62">
        <f t="shared" si="90"/>
        <v>488235.29411764705</v>
      </c>
      <c r="R251" s="62">
        <f t="shared" si="90"/>
        <v>488235.29411764705</v>
      </c>
      <c r="S251" s="62">
        <f t="shared" si="90"/>
        <v>488235.29411764705</v>
      </c>
      <c r="T251" s="62">
        <f t="shared" si="90"/>
        <v>488235.29411764705</v>
      </c>
      <c r="U251" s="62">
        <f t="shared" si="90"/>
        <v>488235.29411764705</v>
      </c>
      <c r="V251" s="62">
        <f t="shared" si="90"/>
        <v>488235.29411764705</v>
      </c>
      <c r="W251" s="62">
        <f t="shared" si="90"/>
        <v>488235.29411764705</v>
      </c>
      <c r="X251" s="62">
        <f t="shared" si="90"/>
        <v>488235.29411764705</v>
      </c>
      <c r="Y251" s="62">
        <f t="shared" si="90"/>
        <v>488235.29411764705</v>
      </c>
      <c r="Z251" s="62">
        <f t="shared" si="90"/>
        <v>488235.29411764705</v>
      </c>
      <c r="AA251" s="62">
        <f t="shared" si="90"/>
        <v>488235.29411764705</v>
      </c>
      <c r="AB251" s="62">
        <f t="shared" si="90"/>
        <v>488235.29411764705</v>
      </c>
      <c r="AC251" s="62">
        <f t="shared" si="90"/>
        <v>488235.29411764705</v>
      </c>
    </row>
    <row r="252" spans="1:44" x14ac:dyDescent="0.3">
      <c r="A252" s="30" t="str">
        <f t="shared" si="89"/>
        <v>Opex var (mode-fees)</v>
      </c>
      <c r="B252" s="62">
        <f t="shared" si="90"/>
        <v>0.81280569096848254</v>
      </c>
      <c r="C252" s="62">
        <f t="shared" si="90"/>
        <v>0.81280569096848254</v>
      </c>
      <c r="D252" s="62">
        <f t="shared" si="90"/>
        <v>0.81280569096848254</v>
      </c>
      <c r="E252" s="62">
        <f t="shared" si="90"/>
        <v>0.81280569096848254</v>
      </c>
      <c r="F252" s="62">
        <f t="shared" si="90"/>
        <v>0.81280569096848254</v>
      </c>
      <c r="G252" s="62">
        <f t="shared" si="90"/>
        <v>0.81280569096848254</v>
      </c>
      <c r="H252" s="62">
        <f t="shared" si="90"/>
        <v>0.81280569096848254</v>
      </c>
      <c r="I252" s="62">
        <f t="shared" si="90"/>
        <v>0.81280569096848254</v>
      </c>
      <c r="J252" s="62">
        <f t="shared" si="90"/>
        <v>0.81280569096848254</v>
      </c>
      <c r="K252" s="62">
        <f t="shared" si="90"/>
        <v>0.81280569096848254</v>
      </c>
      <c r="L252" s="62">
        <f t="shared" si="90"/>
        <v>0.81280569096848254</v>
      </c>
      <c r="M252" s="62">
        <f t="shared" si="90"/>
        <v>0.81280569096848254</v>
      </c>
      <c r="N252" s="62">
        <f t="shared" si="90"/>
        <v>0.81280569096848254</v>
      </c>
      <c r="O252" s="62">
        <f t="shared" si="90"/>
        <v>0.81280569096848254</v>
      </c>
      <c r="P252" s="62">
        <f t="shared" si="90"/>
        <v>0.81280569096848254</v>
      </c>
      <c r="Q252" s="62">
        <f t="shared" si="90"/>
        <v>0.81280569096848254</v>
      </c>
      <c r="R252" s="62">
        <f t="shared" si="90"/>
        <v>0.81280569096848254</v>
      </c>
      <c r="S252" s="62">
        <f t="shared" si="90"/>
        <v>0.81280569096848254</v>
      </c>
      <c r="T252" s="62">
        <f t="shared" si="90"/>
        <v>0.81280569096848254</v>
      </c>
      <c r="U252" s="62">
        <f t="shared" si="90"/>
        <v>0.81280569096848254</v>
      </c>
      <c r="V252" s="62">
        <f t="shared" si="90"/>
        <v>0.81280569096848254</v>
      </c>
      <c r="W252" s="62">
        <f t="shared" si="90"/>
        <v>0.81280569096848254</v>
      </c>
      <c r="X252" s="62">
        <f t="shared" si="90"/>
        <v>0.81280569096848254</v>
      </c>
      <c r="Y252" s="62">
        <f t="shared" si="90"/>
        <v>0.81280569096848254</v>
      </c>
      <c r="Z252" s="62">
        <f t="shared" si="90"/>
        <v>0.81280569096848254</v>
      </c>
      <c r="AA252" s="62">
        <f t="shared" si="90"/>
        <v>0.81280569096848254</v>
      </c>
      <c r="AB252" s="62">
        <f t="shared" si="90"/>
        <v>0.81280569096848254</v>
      </c>
      <c r="AC252" s="62">
        <f t="shared" si="90"/>
        <v>0.81280569096848254</v>
      </c>
    </row>
    <row r="253" spans="1:44" x14ac:dyDescent="0.3">
      <c r="A253" s="30" t="str">
        <f t="shared" si="89"/>
        <v>Fuel Economy</v>
      </c>
      <c r="B253" s="62">
        <f t="shared" si="90"/>
        <v>646.89677603543487</v>
      </c>
      <c r="C253" s="62">
        <f t="shared" si="90"/>
        <v>646.85211887817047</v>
      </c>
      <c r="D253" s="62">
        <f t="shared" si="90"/>
        <v>646.78819315220449</v>
      </c>
      <c r="E253" s="62">
        <f t="shared" si="90"/>
        <v>646.6967429057521</v>
      </c>
      <c r="F253" s="62">
        <f t="shared" si="90"/>
        <v>646.5660403240729</v>
      </c>
      <c r="G253" s="62">
        <f t="shared" si="90"/>
        <v>646.37949949401741</v>
      </c>
      <c r="H253" s="62">
        <f t="shared" si="90"/>
        <v>646.11381958854338</v>
      </c>
      <c r="I253" s="62">
        <f t="shared" si="90"/>
        <v>645.73659220845991</v>
      </c>
      <c r="J253" s="62">
        <f t="shared" si="90"/>
        <v>645.20341755594859</v>
      </c>
      <c r="K253" s="62">
        <f t="shared" si="90"/>
        <v>644.4548499630904</v>
      </c>
      <c r="L253" s="62">
        <f t="shared" si="90"/>
        <v>643.41406927056653</v>
      </c>
      <c r="M253" s="62">
        <f t="shared" si="90"/>
        <v>641.98719787679943</v>
      </c>
      <c r="N253" s="62">
        <f t="shared" si="90"/>
        <v>640.0696356209337</v>
      </c>
      <c r="O253" s="62">
        <f t="shared" si="90"/>
        <v>637.56301130673319</v>
      </c>
      <c r="P253" s="62">
        <f t="shared" si="90"/>
        <v>634.40634165749691</v>
      </c>
      <c r="Q253" s="62">
        <f t="shared" si="90"/>
        <v>630.6184286906298</v>
      </c>
      <c r="R253" s="62">
        <f t="shared" si="90"/>
        <v>626.33515650399931</v>
      </c>
      <c r="S253" s="62">
        <f t="shared" si="90"/>
        <v>621.81332363039712</v>
      </c>
      <c r="T253" s="62">
        <f t="shared" si="90"/>
        <v>617.38047196989623</v>
      </c>
      <c r="U253" s="62">
        <f t="shared" si="90"/>
        <v>613.34515585949862</v>
      </c>
      <c r="V253" s="62">
        <f t="shared" si="90"/>
        <v>609.91571180572532</v>
      </c>
      <c r="W253" s="62">
        <f t="shared" si="90"/>
        <v>607.1693412972852</v>
      </c>
      <c r="X253" s="62">
        <f t="shared" si="90"/>
        <v>605.0737387067237</v>
      </c>
      <c r="Y253" s="62">
        <f t="shared" si="90"/>
        <v>603.53330273509027</v>
      </c>
      <c r="Z253" s="62">
        <f t="shared" si="90"/>
        <v>602.43191330034256</v>
      </c>
      <c r="AA253" s="62">
        <f t="shared" si="90"/>
        <v>601.66000195939125</v>
      </c>
      <c r="AB253" s="62">
        <f t="shared" si="90"/>
        <v>601.12656377741496</v>
      </c>
      <c r="AC253" s="62">
        <f t="shared" si="90"/>
        <v>600.7615054472443</v>
      </c>
    </row>
    <row r="254" spans="1:44" x14ac:dyDescent="0.3">
      <c r="A254" s="30" t="str">
        <f t="shared" si="89"/>
        <v>Fuel Cost</v>
      </c>
      <c r="B254" s="62">
        <f t="shared" si="90"/>
        <v>3.1399999999999997E-2</v>
      </c>
      <c r="C254" s="62">
        <f t="shared" si="90"/>
        <v>3.1399999999999997E-2</v>
      </c>
      <c r="D254" s="62">
        <f t="shared" si="90"/>
        <v>3.1399999999999997E-2</v>
      </c>
      <c r="E254" s="62">
        <f t="shared" ref="E254:AC254" si="91">$B234+($C234-$B234)*(1-T234)</f>
        <v>3.1399999999999997E-2</v>
      </c>
      <c r="F254" s="62">
        <f t="shared" si="91"/>
        <v>3.1399999999999997E-2</v>
      </c>
      <c r="G254" s="62">
        <f t="shared" si="91"/>
        <v>3.1399999999999997E-2</v>
      </c>
      <c r="H254" s="62">
        <f t="shared" si="91"/>
        <v>3.1399999999999997E-2</v>
      </c>
      <c r="I254" s="62">
        <f t="shared" si="91"/>
        <v>3.1399999999999997E-2</v>
      </c>
      <c r="J254" s="62">
        <f t="shared" si="91"/>
        <v>3.1399999999999997E-2</v>
      </c>
      <c r="K254" s="62">
        <f t="shared" si="91"/>
        <v>3.1399999999999997E-2</v>
      </c>
      <c r="L254" s="62">
        <f t="shared" si="91"/>
        <v>3.1399999999999997E-2</v>
      </c>
      <c r="M254" s="62">
        <f t="shared" si="91"/>
        <v>3.1399999999999997E-2</v>
      </c>
      <c r="N254" s="62">
        <f t="shared" si="91"/>
        <v>3.1399999999999997E-2</v>
      </c>
      <c r="O254" s="62">
        <f t="shared" si="91"/>
        <v>3.1399999999999997E-2</v>
      </c>
      <c r="P254" s="62">
        <f t="shared" si="91"/>
        <v>3.1399999999999997E-2</v>
      </c>
      <c r="Q254" s="62">
        <f t="shared" si="91"/>
        <v>3.1399999999999997E-2</v>
      </c>
      <c r="R254" s="62">
        <f t="shared" si="91"/>
        <v>3.1399999999999997E-2</v>
      </c>
      <c r="S254" s="62">
        <f t="shared" si="91"/>
        <v>3.1399999999999997E-2</v>
      </c>
      <c r="T254" s="62">
        <f t="shared" si="91"/>
        <v>3.1399999999999997E-2</v>
      </c>
      <c r="U254" s="62">
        <f t="shared" si="91"/>
        <v>3.1399999999999997E-2</v>
      </c>
      <c r="V254" s="62">
        <f t="shared" si="91"/>
        <v>3.1399999999999997E-2</v>
      </c>
      <c r="W254" s="62">
        <f t="shared" si="91"/>
        <v>3.1399999999999997E-2</v>
      </c>
      <c r="X254" s="62">
        <f t="shared" si="91"/>
        <v>3.1399999999999997E-2</v>
      </c>
      <c r="Y254" s="62">
        <f t="shared" si="91"/>
        <v>3.1399999999999997E-2</v>
      </c>
      <c r="Z254" s="62">
        <f t="shared" si="91"/>
        <v>3.1399999999999997E-2</v>
      </c>
      <c r="AA254" s="62">
        <f t="shared" si="91"/>
        <v>3.1399999999999997E-2</v>
      </c>
      <c r="AB254" s="62">
        <f t="shared" si="91"/>
        <v>3.1399999999999997E-2</v>
      </c>
      <c r="AC254" s="62">
        <f t="shared" si="91"/>
        <v>3.1399999999999997E-2</v>
      </c>
    </row>
    <row r="255" spans="1:44" x14ac:dyDescent="0.3">
      <c r="A255" s="30" t="str">
        <f t="shared" si="89"/>
        <v>Emission Cost</v>
      </c>
      <c r="B255" s="62">
        <f>$B235+($C235-$B235)*(1-Q235)</f>
        <v>18.267003557738562</v>
      </c>
      <c r="C255" s="62">
        <f t="shared" ref="C255:AC258" si="92">$B235+($C235-$B235)*(1-R235)</f>
        <v>18.305790458980148</v>
      </c>
      <c r="D255" s="62">
        <f t="shared" si="92"/>
        <v>18.361313044198909</v>
      </c>
      <c r="E255" s="62">
        <f t="shared" si="92"/>
        <v>18.440742006877084</v>
      </c>
      <c r="F255" s="62">
        <f t="shared" si="92"/>
        <v>18.554263521414992</v>
      </c>
      <c r="G255" s="62">
        <f t="shared" si="92"/>
        <v>18.716283255677226</v>
      </c>
      <c r="H255" s="62">
        <f t="shared" si="92"/>
        <v>18.947039105058323</v>
      </c>
      <c r="I255" s="62">
        <f t="shared" si="92"/>
        <v>19.274679331915838</v>
      </c>
      <c r="J255" s="62">
        <f t="shared" si="92"/>
        <v>19.737767308363324</v>
      </c>
      <c r="K255" s="62">
        <f t="shared" si="92"/>
        <v>20.387934472496433</v>
      </c>
      <c r="L255" s="62">
        <f t="shared" si="92"/>
        <v>21.291902848630563</v>
      </c>
      <c r="M255" s="62">
        <f t="shared" si="92"/>
        <v>22.53120967478624</v>
      </c>
      <c r="N255" s="62">
        <f t="shared" si="92"/>
        <v>24.196705250388863</v>
      </c>
      <c r="O255" s="62">
        <f t="shared" si="92"/>
        <v>26.37382971778402</v>
      </c>
      <c r="P255" s="62">
        <f t="shared" si="92"/>
        <v>29.115550002671711</v>
      </c>
      <c r="Q255" s="62">
        <f t="shared" si="92"/>
        <v>32.405535643443841</v>
      </c>
      <c r="R255" s="62">
        <f t="shared" si="92"/>
        <v>36.125764728112543</v>
      </c>
      <c r="S255" s="62">
        <f t="shared" si="92"/>
        <v>40.053195309081424</v>
      </c>
      <c r="T255" s="62">
        <f t="shared" si="92"/>
        <v>43.903341402269703</v>
      </c>
      <c r="U255" s="62">
        <f t="shared" si="92"/>
        <v>47.40820864059085</v>
      </c>
      <c r="V255" s="62">
        <f t="shared" si="92"/>
        <v>50.386846690471195</v>
      </c>
      <c r="W255" s="62">
        <f t="shared" si="92"/>
        <v>52.772202324574174</v>
      </c>
      <c r="X255" s="62">
        <f t="shared" si="92"/>
        <v>54.592334543032798</v>
      </c>
      <c r="Y255" s="62">
        <f t="shared" si="92"/>
        <v>55.93027769841482</v>
      </c>
      <c r="Z255" s="62">
        <f t="shared" si="92"/>
        <v>56.886887698938416</v>
      </c>
      <c r="AA255" s="62">
        <f t="shared" si="92"/>
        <v>57.557330037474898</v>
      </c>
      <c r="AB255" s="62">
        <f t="shared" si="92"/>
        <v>58.020646902010256</v>
      </c>
      <c r="AC255" s="62">
        <f t="shared" si="92"/>
        <v>58.337717720376737</v>
      </c>
    </row>
    <row r="256" spans="1:44" x14ac:dyDescent="0.3">
      <c r="A256" s="30" t="str">
        <f t="shared" si="89"/>
        <v>Lifetime vehicle</v>
      </c>
      <c r="B256" s="62">
        <f>$B236+($C236-$B236)*(1-Q236)</f>
        <v>25</v>
      </c>
      <c r="C256" s="62">
        <f t="shared" si="92"/>
        <v>25</v>
      </c>
      <c r="D256" s="62">
        <f t="shared" si="92"/>
        <v>25</v>
      </c>
      <c r="E256" s="62">
        <f t="shared" si="92"/>
        <v>25</v>
      </c>
      <c r="F256" s="62">
        <f t="shared" si="92"/>
        <v>25</v>
      </c>
      <c r="G256" s="62">
        <f t="shared" si="92"/>
        <v>25</v>
      </c>
      <c r="H256" s="62">
        <f t="shared" si="92"/>
        <v>25</v>
      </c>
      <c r="I256" s="62">
        <f t="shared" si="92"/>
        <v>25</v>
      </c>
      <c r="J256" s="62">
        <f t="shared" si="92"/>
        <v>25</v>
      </c>
      <c r="K256" s="62">
        <f t="shared" si="92"/>
        <v>25</v>
      </c>
      <c r="L256" s="62">
        <f t="shared" si="92"/>
        <v>25</v>
      </c>
      <c r="M256" s="62">
        <f t="shared" si="92"/>
        <v>25</v>
      </c>
      <c r="N256" s="62">
        <f t="shared" si="92"/>
        <v>25</v>
      </c>
      <c r="O256" s="62">
        <f t="shared" si="92"/>
        <v>25</v>
      </c>
      <c r="P256" s="62">
        <f t="shared" si="92"/>
        <v>25</v>
      </c>
      <c r="Q256" s="62">
        <f t="shared" si="92"/>
        <v>25</v>
      </c>
      <c r="R256" s="62">
        <f t="shared" si="92"/>
        <v>25</v>
      </c>
      <c r="S256" s="62">
        <f t="shared" si="92"/>
        <v>25</v>
      </c>
      <c r="T256" s="62">
        <f t="shared" si="92"/>
        <v>25</v>
      </c>
      <c r="U256" s="62">
        <f t="shared" si="92"/>
        <v>25</v>
      </c>
      <c r="V256" s="62">
        <f t="shared" si="92"/>
        <v>25</v>
      </c>
      <c r="W256" s="62">
        <f t="shared" si="92"/>
        <v>25</v>
      </c>
      <c r="X256" s="62">
        <f t="shared" si="92"/>
        <v>25</v>
      </c>
      <c r="Y256" s="62">
        <f t="shared" si="92"/>
        <v>25</v>
      </c>
      <c r="Z256" s="62">
        <f t="shared" si="92"/>
        <v>25</v>
      </c>
      <c r="AA256" s="62">
        <f t="shared" si="92"/>
        <v>25</v>
      </c>
      <c r="AB256" s="62">
        <f t="shared" si="92"/>
        <v>25</v>
      </c>
      <c r="AC256" s="62">
        <f t="shared" si="92"/>
        <v>25</v>
      </c>
    </row>
    <row r="257" spans="1:29" x14ac:dyDescent="0.3">
      <c r="A257" s="30" t="str">
        <f t="shared" si="89"/>
        <v>Lifetime costumization</v>
      </c>
      <c r="B257" s="62">
        <f>$B237+($C237-$B237)*(1-Q237)</f>
        <v>25</v>
      </c>
      <c r="C257" s="62">
        <f t="shared" si="92"/>
        <v>25</v>
      </c>
      <c r="D257" s="62">
        <f t="shared" si="92"/>
        <v>25</v>
      </c>
      <c r="E257" s="62">
        <f t="shared" si="92"/>
        <v>25</v>
      </c>
      <c r="F257" s="62">
        <f t="shared" si="92"/>
        <v>25</v>
      </c>
      <c r="G257" s="62">
        <f t="shared" si="92"/>
        <v>25</v>
      </c>
      <c r="H257" s="62">
        <f t="shared" si="92"/>
        <v>25</v>
      </c>
      <c r="I257" s="62">
        <f t="shared" si="92"/>
        <v>25</v>
      </c>
      <c r="J257" s="62">
        <f t="shared" si="92"/>
        <v>25</v>
      </c>
      <c r="K257" s="62">
        <f t="shared" si="92"/>
        <v>25</v>
      </c>
      <c r="L257" s="62">
        <f t="shared" si="92"/>
        <v>25</v>
      </c>
      <c r="M257" s="62">
        <f t="shared" si="92"/>
        <v>25</v>
      </c>
      <c r="N257" s="62">
        <f t="shared" si="92"/>
        <v>25</v>
      </c>
      <c r="O257" s="62">
        <f t="shared" si="92"/>
        <v>25</v>
      </c>
      <c r="P257" s="62">
        <f t="shared" si="92"/>
        <v>25</v>
      </c>
      <c r="Q257" s="62">
        <f t="shared" si="92"/>
        <v>25</v>
      </c>
      <c r="R257" s="62">
        <f t="shared" si="92"/>
        <v>25</v>
      </c>
      <c r="S257" s="62">
        <f t="shared" si="92"/>
        <v>25</v>
      </c>
      <c r="T257" s="62">
        <f t="shared" si="92"/>
        <v>25</v>
      </c>
      <c r="U257" s="62">
        <f t="shared" si="92"/>
        <v>25</v>
      </c>
      <c r="V257" s="62">
        <f t="shared" si="92"/>
        <v>25</v>
      </c>
      <c r="W257" s="62">
        <f t="shared" si="92"/>
        <v>25</v>
      </c>
      <c r="X257" s="62">
        <f t="shared" si="92"/>
        <v>25</v>
      </c>
      <c r="Y257" s="62">
        <f t="shared" si="92"/>
        <v>25</v>
      </c>
      <c r="Z257" s="62">
        <f t="shared" si="92"/>
        <v>25</v>
      </c>
      <c r="AA257" s="62">
        <f t="shared" si="92"/>
        <v>25</v>
      </c>
      <c r="AB257" s="62">
        <f t="shared" si="92"/>
        <v>25</v>
      </c>
      <c r="AC257" s="62">
        <f t="shared" si="92"/>
        <v>25</v>
      </c>
    </row>
    <row r="258" spans="1:29" x14ac:dyDescent="0.3">
      <c r="A258" s="30" t="str">
        <f t="shared" si="89"/>
        <v>Tonnage .</v>
      </c>
      <c r="B258" s="62">
        <f>$B238+($C238-$B238)*(1-Q238)</f>
        <v>9450</v>
      </c>
      <c r="C258" s="62">
        <f t="shared" si="92"/>
        <v>9450</v>
      </c>
      <c r="D258" s="62">
        <f t="shared" si="92"/>
        <v>9450</v>
      </c>
      <c r="E258" s="62">
        <f t="shared" si="92"/>
        <v>9450</v>
      </c>
      <c r="F258" s="62">
        <f t="shared" si="92"/>
        <v>9450</v>
      </c>
      <c r="G258" s="62">
        <f t="shared" si="92"/>
        <v>9450</v>
      </c>
      <c r="H258" s="62">
        <f t="shared" si="92"/>
        <v>9450</v>
      </c>
      <c r="I258" s="62">
        <f t="shared" si="92"/>
        <v>9450</v>
      </c>
      <c r="J258" s="62">
        <f t="shared" si="92"/>
        <v>9450</v>
      </c>
      <c r="K258" s="62">
        <f t="shared" si="92"/>
        <v>9450</v>
      </c>
      <c r="L258" s="62">
        <f t="shared" si="92"/>
        <v>9450</v>
      </c>
      <c r="M258" s="62">
        <f t="shared" si="92"/>
        <v>9450</v>
      </c>
      <c r="N258" s="62">
        <f t="shared" si="92"/>
        <v>9450</v>
      </c>
      <c r="O258" s="62">
        <f t="shared" si="92"/>
        <v>9450</v>
      </c>
      <c r="P258" s="62">
        <f t="shared" si="92"/>
        <v>9450</v>
      </c>
      <c r="Q258" s="62">
        <f t="shared" si="92"/>
        <v>9450</v>
      </c>
      <c r="R258" s="62">
        <f t="shared" si="92"/>
        <v>9450</v>
      </c>
      <c r="S258" s="62">
        <f t="shared" si="92"/>
        <v>9450</v>
      </c>
      <c r="T258" s="62">
        <f t="shared" si="92"/>
        <v>9450</v>
      </c>
      <c r="U258" s="62">
        <f t="shared" si="92"/>
        <v>9450</v>
      </c>
      <c r="V258" s="62">
        <f t="shared" si="92"/>
        <v>9450</v>
      </c>
      <c r="W258" s="62">
        <f t="shared" si="92"/>
        <v>9450</v>
      </c>
      <c r="X258" s="62">
        <f t="shared" si="92"/>
        <v>9450</v>
      </c>
      <c r="Y258" s="62">
        <f t="shared" si="92"/>
        <v>9450</v>
      </c>
      <c r="Z258" s="62">
        <f t="shared" si="92"/>
        <v>9450</v>
      </c>
      <c r="AA258" s="62">
        <f t="shared" si="92"/>
        <v>9450</v>
      </c>
      <c r="AB258" s="62">
        <f t="shared" si="92"/>
        <v>9450</v>
      </c>
      <c r="AC258" s="62">
        <f t="shared" si="92"/>
        <v>9450</v>
      </c>
    </row>
    <row r="259" spans="1:29" x14ac:dyDescent="0.3">
      <c r="A259" s="30" t="str">
        <f t="shared" si="89"/>
        <v>Market failure (av. utilization)</v>
      </c>
      <c r="B259" s="62">
        <f t="shared" ref="B259:AC260" si="93">($B239+($C239-$B239)*(1-Q239))*B$44</f>
        <v>3685.5</v>
      </c>
      <c r="C259" s="62">
        <f t="shared" si="93"/>
        <v>3685.5</v>
      </c>
      <c r="D259" s="62">
        <f t="shared" si="93"/>
        <v>3685.5</v>
      </c>
      <c r="E259" s="62">
        <f t="shared" si="93"/>
        <v>3685.5</v>
      </c>
      <c r="F259" s="62">
        <f t="shared" si="93"/>
        <v>3685.5</v>
      </c>
      <c r="G259" s="62">
        <f t="shared" si="93"/>
        <v>3685.5</v>
      </c>
      <c r="H259" s="62">
        <f t="shared" si="93"/>
        <v>3685.5</v>
      </c>
      <c r="I259" s="62">
        <f t="shared" si="93"/>
        <v>3685.5</v>
      </c>
      <c r="J259" s="62">
        <f t="shared" si="93"/>
        <v>3685.5</v>
      </c>
      <c r="K259" s="62">
        <f t="shared" si="93"/>
        <v>3685.5</v>
      </c>
      <c r="L259" s="62">
        <f t="shared" si="93"/>
        <v>3685.5</v>
      </c>
      <c r="M259" s="62">
        <f t="shared" si="93"/>
        <v>3685.5</v>
      </c>
      <c r="N259" s="62">
        <f t="shared" si="93"/>
        <v>3685.5</v>
      </c>
      <c r="O259" s="62">
        <f t="shared" si="93"/>
        <v>3685.5</v>
      </c>
      <c r="P259" s="62">
        <f t="shared" si="93"/>
        <v>3685.5</v>
      </c>
      <c r="Q259" s="62">
        <f t="shared" si="93"/>
        <v>3685.5</v>
      </c>
      <c r="R259" s="62">
        <f t="shared" si="93"/>
        <v>3685.5</v>
      </c>
      <c r="S259" s="62">
        <f t="shared" si="93"/>
        <v>3685.5</v>
      </c>
      <c r="T259" s="62">
        <f t="shared" si="93"/>
        <v>3685.5</v>
      </c>
      <c r="U259" s="62">
        <f t="shared" si="93"/>
        <v>3685.5</v>
      </c>
      <c r="V259" s="62">
        <f t="shared" si="93"/>
        <v>3685.5</v>
      </c>
      <c r="W259" s="62">
        <f t="shared" si="93"/>
        <v>3685.5</v>
      </c>
      <c r="X259" s="62">
        <f t="shared" si="93"/>
        <v>3685.5</v>
      </c>
      <c r="Y259" s="62">
        <f t="shared" si="93"/>
        <v>3685.5</v>
      </c>
      <c r="Z259" s="62">
        <f t="shared" si="93"/>
        <v>3685.5</v>
      </c>
      <c r="AA259" s="62">
        <f t="shared" si="93"/>
        <v>3685.5</v>
      </c>
      <c r="AB259" s="62">
        <f t="shared" si="93"/>
        <v>3685.5</v>
      </c>
      <c r="AC259" s="62">
        <f t="shared" si="93"/>
        <v>3685.5</v>
      </c>
    </row>
    <row r="260" spans="1:29" x14ac:dyDescent="0.3">
      <c r="A260" s="30" t="s">
        <v>73</v>
      </c>
      <c r="B260" s="62">
        <f t="shared" si="93"/>
        <v>0</v>
      </c>
      <c r="C260" s="62">
        <f t="shared" si="93"/>
        <v>0</v>
      </c>
      <c r="D260" s="62">
        <f t="shared" si="93"/>
        <v>0</v>
      </c>
      <c r="E260" s="62">
        <f t="shared" si="93"/>
        <v>0</v>
      </c>
      <c r="F260" s="62">
        <f t="shared" si="93"/>
        <v>0</v>
      </c>
      <c r="G260" s="62">
        <f t="shared" si="93"/>
        <v>0</v>
      </c>
      <c r="H260" s="62">
        <f t="shared" si="93"/>
        <v>0</v>
      </c>
      <c r="I260" s="62">
        <f t="shared" si="93"/>
        <v>0</v>
      </c>
      <c r="J260" s="62">
        <f t="shared" si="93"/>
        <v>0</v>
      </c>
      <c r="K260" s="62">
        <f t="shared" si="93"/>
        <v>0</v>
      </c>
      <c r="L260" s="62">
        <f t="shared" si="93"/>
        <v>0</v>
      </c>
      <c r="M260" s="62">
        <f t="shared" si="93"/>
        <v>0</v>
      </c>
      <c r="N260" s="62">
        <f t="shared" si="93"/>
        <v>0</v>
      </c>
      <c r="O260" s="62">
        <f t="shared" si="93"/>
        <v>0</v>
      </c>
      <c r="P260" s="62">
        <f t="shared" si="93"/>
        <v>0</v>
      </c>
      <c r="Q260" s="62">
        <f t="shared" si="93"/>
        <v>0</v>
      </c>
      <c r="R260" s="62">
        <f t="shared" si="93"/>
        <v>0</v>
      </c>
      <c r="S260" s="62">
        <f t="shared" si="93"/>
        <v>0</v>
      </c>
      <c r="T260" s="62">
        <f t="shared" si="93"/>
        <v>0</v>
      </c>
      <c r="U260" s="62">
        <f t="shared" si="93"/>
        <v>0</v>
      </c>
      <c r="V260" s="62">
        <f t="shared" si="93"/>
        <v>0</v>
      </c>
      <c r="W260" s="62">
        <f t="shared" si="93"/>
        <v>0</v>
      </c>
      <c r="X260" s="62">
        <f t="shared" si="93"/>
        <v>0</v>
      </c>
      <c r="Y260" s="62">
        <f t="shared" si="93"/>
        <v>0</v>
      </c>
      <c r="Z260" s="62">
        <f t="shared" si="93"/>
        <v>0</v>
      </c>
      <c r="AA260" s="62">
        <f t="shared" si="93"/>
        <v>0</v>
      </c>
      <c r="AB260" s="62">
        <f t="shared" si="93"/>
        <v>0</v>
      </c>
      <c r="AC260" s="62">
        <f t="shared" si="93"/>
        <v>0</v>
      </c>
    </row>
    <row r="261" spans="1:29" x14ac:dyDescent="0.3">
      <c r="A261" s="30" t="str">
        <f>A241</f>
        <v>Annual Mileage</v>
      </c>
      <c r="B261" s="62">
        <f t="shared" ref="B261:AC261" si="94">$B241+($C241-$B241)*(1-Q241)</f>
        <v>120000</v>
      </c>
      <c r="C261" s="62">
        <f t="shared" si="94"/>
        <v>120000</v>
      </c>
      <c r="D261" s="62">
        <f t="shared" si="94"/>
        <v>120000</v>
      </c>
      <c r="E261" s="62">
        <f t="shared" si="94"/>
        <v>120000</v>
      </c>
      <c r="F261" s="62">
        <f t="shared" si="94"/>
        <v>120000</v>
      </c>
      <c r="G261" s="62">
        <f t="shared" si="94"/>
        <v>120000</v>
      </c>
      <c r="H261" s="62">
        <f t="shared" si="94"/>
        <v>120000</v>
      </c>
      <c r="I261" s="62">
        <f t="shared" si="94"/>
        <v>120000</v>
      </c>
      <c r="J261" s="62">
        <f t="shared" si="94"/>
        <v>120000</v>
      </c>
      <c r="K261" s="62">
        <f t="shared" si="94"/>
        <v>120000</v>
      </c>
      <c r="L261" s="62">
        <f t="shared" si="94"/>
        <v>120000</v>
      </c>
      <c r="M261" s="62">
        <f t="shared" si="94"/>
        <v>120000</v>
      </c>
      <c r="N261" s="62">
        <f t="shared" si="94"/>
        <v>120000</v>
      </c>
      <c r="O261" s="62">
        <f t="shared" si="94"/>
        <v>120000</v>
      </c>
      <c r="P261" s="62">
        <f t="shared" si="94"/>
        <v>120000</v>
      </c>
      <c r="Q261" s="62">
        <f t="shared" si="94"/>
        <v>120000</v>
      </c>
      <c r="R261" s="62">
        <f t="shared" si="94"/>
        <v>120000</v>
      </c>
      <c r="S261" s="62">
        <f t="shared" si="94"/>
        <v>120000</v>
      </c>
      <c r="T261" s="62">
        <f t="shared" si="94"/>
        <v>120000</v>
      </c>
      <c r="U261" s="62">
        <f t="shared" si="94"/>
        <v>120000</v>
      </c>
      <c r="V261" s="62">
        <f t="shared" si="94"/>
        <v>120000</v>
      </c>
      <c r="W261" s="62">
        <f t="shared" si="94"/>
        <v>120000</v>
      </c>
      <c r="X261" s="62">
        <f t="shared" si="94"/>
        <v>120000</v>
      </c>
      <c r="Y261" s="62">
        <f t="shared" si="94"/>
        <v>120000</v>
      </c>
      <c r="Z261" s="62">
        <f t="shared" si="94"/>
        <v>120000</v>
      </c>
      <c r="AA261" s="62">
        <f t="shared" si="94"/>
        <v>120000</v>
      </c>
      <c r="AB261" s="62">
        <f t="shared" si="94"/>
        <v>120000</v>
      </c>
      <c r="AC261" s="62">
        <f t="shared" si="94"/>
        <v>120000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1173400.7731841092</v>
      </c>
      <c r="C264" s="63">
        <f t="shared" ref="C264:AC264" si="95">((1+C249)^C256)*C249/(((1+C249)^C256)-1)*(C245)</f>
        <v>1173400.7731841092</v>
      </c>
      <c r="D264" s="63">
        <f t="shared" si="95"/>
        <v>1173400.7731841092</v>
      </c>
      <c r="E264" s="63">
        <f t="shared" si="95"/>
        <v>1173400.7731841092</v>
      </c>
      <c r="F264" s="63">
        <f t="shared" si="95"/>
        <v>1173400.7731841092</v>
      </c>
      <c r="G264" s="63">
        <f t="shared" si="95"/>
        <v>1173400.7731841092</v>
      </c>
      <c r="H264" s="63">
        <f t="shared" si="95"/>
        <v>1173400.7731841092</v>
      </c>
      <c r="I264" s="63">
        <f t="shared" si="95"/>
        <v>1173400.7731841092</v>
      </c>
      <c r="J264" s="63">
        <f t="shared" si="95"/>
        <v>1173400.7731841092</v>
      </c>
      <c r="K264" s="63">
        <f t="shared" si="95"/>
        <v>1173400.7731841092</v>
      </c>
      <c r="L264" s="63">
        <f t="shared" si="95"/>
        <v>1173400.7731841092</v>
      </c>
      <c r="M264" s="63">
        <f t="shared" si="95"/>
        <v>1173400.7731841092</v>
      </c>
      <c r="N264" s="63">
        <f t="shared" si="95"/>
        <v>1173400.7731841092</v>
      </c>
      <c r="O264" s="63">
        <f t="shared" si="95"/>
        <v>1173400.7731841092</v>
      </c>
      <c r="P264" s="63">
        <f t="shared" si="95"/>
        <v>1173400.7731841092</v>
      </c>
      <c r="Q264" s="63">
        <f t="shared" si="95"/>
        <v>1173400.7731841092</v>
      </c>
      <c r="R264" s="63">
        <f t="shared" si="95"/>
        <v>1173400.7731841092</v>
      </c>
      <c r="S264" s="63">
        <f t="shared" si="95"/>
        <v>1173400.7731841092</v>
      </c>
      <c r="T264" s="63">
        <f t="shared" si="95"/>
        <v>1173400.7731841092</v>
      </c>
      <c r="U264" s="63">
        <f t="shared" si="95"/>
        <v>1173400.7731841092</v>
      </c>
      <c r="V264" s="63">
        <f t="shared" si="95"/>
        <v>1173400.7731841092</v>
      </c>
      <c r="W264" s="63">
        <f t="shared" si="95"/>
        <v>1173400.7731841092</v>
      </c>
      <c r="X264" s="63">
        <f t="shared" si="95"/>
        <v>1173400.7731841092</v>
      </c>
      <c r="Y264" s="63">
        <f t="shared" si="95"/>
        <v>1173400.7731841092</v>
      </c>
      <c r="Z264" s="63">
        <f t="shared" si="95"/>
        <v>1173400.7731841092</v>
      </c>
      <c r="AA264" s="63">
        <f t="shared" si="95"/>
        <v>1173400.7731841092</v>
      </c>
      <c r="AB264" s="63">
        <f t="shared" si="95"/>
        <v>1173400.7731841092</v>
      </c>
      <c r="AC264" s="63">
        <f t="shared" si="95"/>
        <v>1173400.7731841092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-117211.22297816433</v>
      </c>
      <c r="C265" s="62">
        <f t="shared" ref="C265:AC265" si="96">((1+C249)^C256)*C249/(((1+C249)^C256)-1)*(C246)</f>
        <v>-117155.47750703427</v>
      </c>
      <c r="D265" s="62">
        <f t="shared" si="96"/>
        <v>-117075.67910674184</v>
      </c>
      <c r="E265" s="62">
        <f t="shared" si="96"/>
        <v>-116961.52188344915</v>
      </c>
      <c r="F265" s="62">
        <f t="shared" si="96"/>
        <v>-116798.36602132194</v>
      </c>
      <c r="G265" s="62">
        <f t="shared" si="96"/>
        <v>-116565.50734662244</v>
      </c>
      <c r="H265" s="62">
        <f t="shared" si="96"/>
        <v>-116233.85946736432</v>
      </c>
      <c r="I265" s="62">
        <f t="shared" si="96"/>
        <v>-115762.96702113429</v>
      </c>
      <c r="J265" s="62">
        <f t="shared" si="96"/>
        <v>-115097.40579826315</v>
      </c>
      <c r="K265" s="62">
        <f t="shared" si="96"/>
        <v>-114162.96984907117</v>
      </c>
      <c r="L265" s="62">
        <f t="shared" si="96"/>
        <v>-112863.76466894078</v>
      </c>
      <c r="M265" s="62">
        <f t="shared" si="96"/>
        <v>-111082.60297034449</v>
      </c>
      <c r="N265" s="62">
        <f t="shared" si="96"/>
        <v>-108688.91250900239</v>
      </c>
      <c r="O265" s="62">
        <f t="shared" si="96"/>
        <v>-105559.89664903973</v>
      </c>
      <c r="P265" s="62">
        <f t="shared" si="96"/>
        <v>-101619.43004574107</v>
      </c>
      <c r="Q265" s="62">
        <f t="shared" si="96"/>
        <v>-96890.983232894243</v>
      </c>
      <c r="R265" s="62">
        <f t="shared" si="96"/>
        <v>-91544.180152521745</v>
      </c>
      <c r="S265" s="62">
        <f t="shared" si="96"/>
        <v>-85899.582077953528</v>
      </c>
      <c r="T265" s="62">
        <f t="shared" si="96"/>
        <v>-80366.059135568226</v>
      </c>
      <c r="U265" s="62">
        <f t="shared" si="96"/>
        <v>-75328.779301543953</v>
      </c>
      <c r="V265" s="62">
        <f t="shared" si="96"/>
        <v>-71047.808765066002</v>
      </c>
      <c r="W265" s="62">
        <f t="shared" si="96"/>
        <v>-67619.518043732241</v>
      </c>
      <c r="X265" s="62">
        <f t="shared" si="96"/>
        <v>-65003.580064954105</v>
      </c>
      <c r="Y265" s="62">
        <f t="shared" si="96"/>
        <v>-63080.655852023017</v>
      </c>
      <c r="Z265" s="62">
        <f t="shared" si="96"/>
        <v>-61705.792858076449</v>
      </c>
      <c r="AA265" s="62">
        <f t="shared" si="96"/>
        <v>-60742.216938606354</v>
      </c>
      <c r="AB265" s="62">
        <f t="shared" si="96"/>
        <v>-60076.3267522479</v>
      </c>
      <c r="AC265" s="62">
        <f t="shared" si="96"/>
        <v>-59620.624915142049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97">((1+C249)^C257)*C249/(((1+C249)^C257)-1)*(C247)</f>
        <v>78226.718212273947</v>
      </c>
      <c r="D266" s="62">
        <f t="shared" si="97"/>
        <v>78226.718212273947</v>
      </c>
      <c r="E266" s="62">
        <f t="shared" si="97"/>
        <v>78226.718212273947</v>
      </c>
      <c r="F266" s="62">
        <f t="shared" si="97"/>
        <v>78226.718212273947</v>
      </c>
      <c r="G266" s="62">
        <f t="shared" si="97"/>
        <v>78226.718212273947</v>
      </c>
      <c r="H266" s="62">
        <f t="shared" si="97"/>
        <v>78226.718212273947</v>
      </c>
      <c r="I266" s="62">
        <f t="shared" si="97"/>
        <v>78226.718212273947</v>
      </c>
      <c r="J266" s="62">
        <f t="shared" si="97"/>
        <v>78226.718212273947</v>
      </c>
      <c r="K266" s="62">
        <f t="shared" si="97"/>
        <v>78226.718212273947</v>
      </c>
      <c r="L266" s="62">
        <f t="shared" si="97"/>
        <v>78226.718212273947</v>
      </c>
      <c r="M266" s="62">
        <f t="shared" si="97"/>
        <v>78226.718212273947</v>
      </c>
      <c r="N266" s="62">
        <f t="shared" si="97"/>
        <v>78226.718212273947</v>
      </c>
      <c r="O266" s="62">
        <f t="shared" si="97"/>
        <v>78226.718212273947</v>
      </c>
      <c r="P266" s="62">
        <f t="shared" si="97"/>
        <v>78226.718212273947</v>
      </c>
      <c r="Q266" s="62">
        <f t="shared" si="97"/>
        <v>78226.718212273947</v>
      </c>
      <c r="R266" s="62">
        <f t="shared" si="97"/>
        <v>78226.718212273947</v>
      </c>
      <c r="S266" s="62">
        <f t="shared" si="97"/>
        <v>78226.718212273947</v>
      </c>
      <c r="T266" s="62">
        <f t="shared" si="97"/>
        <v>78226.718212273947</v>
      </c>
      <c r="U266" s="62">
        <f t="shared" si="97"/>
        <v>78226.718212273947</v>
      </c>
      <c r="V266" s="62">
        <f t="shared" si="97"/>
        <v>78226.718212273947</v>
      </c>
      <c r="W266" s="62">
        <f t="shared" si="97"/>
        <v>78226.718212273947</v>
      </c>
      <c r="X266" s="62">
        <f t="shared" si="97"/>
        <v>78226.718212273947</v>
      </c>
      <c r="Y266" s="62">
        <f t="shared" si="97"/>
        <v>78226.718212273947</v>
      </c>
      <c r="Z266" s="62">
        <f t="shared" si="97"/>
        <v>78226.718212273947</v>
      </c>
      <c r="AA266" s="62">
        <f t="shared" si="97"/>
        <v>78226.718212273947</v>
      </c>
      <c r="AB266" s="62">
        <f t="shared" si="97"/>
        <v>78226.718212273947</v>
      </c>
      <c r="AC266" s="62">
        <f t="shared" si="97"/>
        <v>78226.718212273947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98">((1+C249)^C257)*C249/(((1+C249)^C257)-1)*(C248)</f>
        <v>-7822.6718212273945</v>
      </c>
      <c r="D267" s="62">
        <f t="shared" si="98"/>
        <v>-7822.6718212273945</v>
      </c>
      <c r="E267" s="62">
        <f t="shared" si="98"/>
        <v>-7822.6718212273945</v>
      </c>
      <c r="F267" s="62">
        <f t="shared" si="98"/>
        <v>-7822.6718212273945</v>
      </c>
      <c r="G267" s="62">
        <f t="shared" si="98"/>
        <v>-7822.6718212273945</v>
      </c>
      <c r="H267" s="62">
        <f t="shared" si="98"/>
        <v>-7822.6718212273945</v>
      </c>
      <c r="I267" s="62">
        <f t="shared" si="98"/>
        <v>-7822.6718212273945</v>
      </c>
      <c r="J267" s="62">
        <f t="shared" si="98"/>
        <v>-7822.6718212273945</v>
      </c>
      <c r="K267" s="62">
        <f t="shared" si="98"/>
        <v>-7822.6718212273945</v>
      </c>
      <c r="L267" s="62">
        <f t="shared" si="98"/>
        <v>-7822.6718212273945</v>
      </c>
      <c r="M267" s="62">
        <f t="shared" si="98"/>
        <v>-7822.6718212273945</v>
      </c>
      <c r="N267" s="62">
        <f t="shared" si="98"/>
        <v>-7822.6718212273945</v>
      </c>
      <c r="O267" s="62">
        <f t="shared" si="98"/>
        <v>-7822.6718212273945</v>
      </c>
      <c r="P267" s="62">
        <f t="shared" si="98"/>
        <v>-7822.6718212273945</v>
      </c>
      <c r="Q267" s="62">
        <f t="shared" si="98"/>
        <v>-7822.6718212273945</v>
      </c>
      <c r="R267" s="62">
        <f t="shared" si="98"/>
        <v>-7822.6718212273945</v>
      </c>
      <c r="S267" s="62">
        <f t="shared" si="98"/>
        <v>-7822.6718212273945</v>
      </c>
      <c r="T267" s="62">
        <f t="shared" si="98"/>
        <v>-7822.6718212273945</v>
      </c>
      <c r="U267" s="62">
        <f t="shared" si="98"/>
        <v>-7822.6718212273945</v>
      </c>
      <c r="V267" s="62">
        <f t="shared" si="98"/>
        <v>-7822.6718212273945</v>
      </c>
      <c r="W267" s="62">
        <f t="shared" si="98"/>
        <v>-7822.6718212273945</v>
      </c>
      <c r="X267" s="62">
        <f t="shared" si="98"/>
        <v>-7822.6718212273945</v>
      </c>
      <c r="Y267" s="62">
        <f t="shared" si="98"/>
        <v>-7822.6718212273945</v>
      </c>
      <c r="Z267" s="62">
        <f t="shared" si="98"/>
        <v>-7822.6718212273945</v>
      </c>
      <c r="AA267" s="62">
        <f t="shared" si="98"/>
        <v>-7822.6718212273945</v>
      </c>
      <c r="AB267" s="62">
        <f t="shared" si="98"/>
        <v>-7822.6718212273945</v>
      </c>
      <c r="AC267" s="62">
        <f t="shared" si="98"/>
        <v>-7822.6718212273945</v>
      </c>
    </row>
    <row r="268" spans="1:29" x14ac:dyDescent="0.3">
      <c r="A268" s="30" t="str">
        <f t="shared" ref="A268:AC269" si="99">A250</f>
        <v>Opex fix (admin, crew, insurance)</v>
      </c>
      <c r="B268" s="62">
        <f t="shared" si="99"/>
        <v>1208235.294117647</v>
      </c>
      <c r="C268" s="62">
        <f t="shared" si="99"/>
        <v>1208235.294117647</v>
      </c>
      <c r="D268" s="62">
        <f t="shared" si="99"/>
        <v>1208235.294117647</v>
      </c>
      <c r="E268" s="62">
        <f t="shared" si="99"/>
        <v>1208235.294117647</v>
      </c>
      <c r="F268" s="62">
        <f t="shared" si="99"/>
        <v>1208235.294117647</v>
      </c>
      <c r="G268" s="62">
        <f t="shared" si="99"/>
        <v>1208235.294117647</v>
      </c>
      <c r="H268" s="62">
        <f t="shared" si="99"/>
        <v>1208235.294117647</v>
      </c>
      <c r="I268" s="62">
        <f t="shared" si="99"/>
        <v>1208235.294117647</v>
      </c>
      <c r="J268" s="62">
        <f t="shared" si="99"/>
        <v>1208235.294117647</v>
      </c>
      <c r="K268" s="62">
        <f t="shared" si="99"/>
        <v>1208235.294117647</v>
      </c>
      <c r="L268" s="62">
        <f t="shared" si="99"/>
        <v>1208235.294117647</v>
      </c>
      <c r="M268" s="62">
        <f t="shared" si="99"/>
        <v>1208235.294117647</v>
      </c>
      <c r="N268" s="62">
        <f t="shared" si="99"/>
        <v>1208235.294117647</v>
      </c>
      <c r="O268" s="62">
        <f t="shared" si="99"/>
        <v>1208235.294117647</v>
      </c>
      <c r="P268" s="62">
        <f t="shared" si="99"/>
        <v>1208235.294117647</v>
      </c>
      <c r="Q268" s="62">
        <f t="shared" si="99"/>
        <v>1208235.294117647</v>
      </c>
      <c r="R268" s="62">
        <f t="shared" si="99"/>
        <v>1208235.294117647</v>
      </c>
      <c r="S268" s="62">
        <f t="shared" si="99"/>
        <v>1208235.294117647</v>
      </c>
      <c r="T268" s="62">
        <f t="shared" si="99"/>
        <v>1208235.294117647</v>
      </c>
      <c r="U268" s="62">
        <f t="shared" si="99"/>
        <v>1208235.294117647</v>
      </c>
      <c r="V268" s="62">
        <f t="shared" si="99"/>
        <v>1208235.294117647</v>
      </c>
      <c r="W268" s="62">
        <f t="shared" si="99"/>
        <v>1208235.294117647</v>
      </c>
      <c r="X268" s="62">
        <f t="shared" si="99"/>
        <v>1208235.294117647</v>
      </c>
      <c r="Y268" s="62">
        <f t="shared" si="99"/>
        <v>1208235.294117647</v>
      </c>
      <c r="Z268" s="62">
        <f t="shared" si="99"/>
        <v>1208235.294117647</v>
      </c>
      <c r="AA268" s="62">
        <f t="shared" si="99"/>
        <v>1208235.294117647</v>
      </c>
      <c r="AB268" s="62">
        <f t="shared" si="99"/>
        <v>1208235.294117647</v>
      </c>
      <c r="AC268" s="62">
        <f t="shared" si="99"/>
        <v>1208235.294117647</v>
      </c>
    </row>
    <row r="269" spans="1:29" x14ac:dyDescent="0.3">
      <c r="A269" s="30" t="str">
        <f t="shared" si="99"/>
        <v>Opex maintenance &amp; repair</v>
      </c>
      <c r="B269" s="62">
        <f t="shared" si="99"/>
        <v>488235.29411764705</v>
      </c>
      <c r="C269" s="62">
        <f t="shared" si="99"/>
        <v>488235.29411764705</v>
      </c>
      <c r="D269" s="62">
        <f t="shared" si="99"/>
        <v>488235.29411764705</v>
      </c>
      <c r="E269" s="62">
        <f t="shared" si="99"/>
        <v>488235.29411764705</v>
      </c>
      <c r="F269" s="62">
        <f t="shared" si="99"/>
        <v>488235.29411764705</v>
      </c>
      <c r="G269" s="62">
        <f t="shared" si="99"/>
        <v>488235.29411764705</v>
      </c>
      <c r="H269" s="62">
        <f t="shared" si="99"/>
        <v>488235.29411764705</v>
      </c>
      <c r="I269" s="62">
        <f t="shared" si="99"/>
        <v>488235.29411764705</v>
      </c>
      <c r="J269" s="62">
        <f t="shared" si="99"/>
        <v>488235.29411764705</v>
      </c>
      <c r="K269" s="62">
        <f t="shared" si="99"/>
        <v>488235.29411764705</v>
      </c>
      <c r="L269" s="62">
        <f t="shared" si="99"/>
        <v>488235.29411764705</v>
      </c>
      <c r="M269" s="62">
        <f t="shared" si="99"/>
        <v>488235.29411764705</v>
      </c>
      <c r="N269" s="62">
        <f t="shared" si="99"/>
        <v>488235.29411764705</v>
      </c>
      <c r="O269" s="62">
        <f t="shared" si="99"/>
        <v>488235.29411764705</v>
      </c>
      <c r="P269" s="62">
        <f t="shared" si="99"/>
        <v>488235.29411764705</v>
      </c>
      <c r="Q269" s="62">
        <f t="shared" si="99"/>
        <v>488235.29411764705</v>
      </c>
      <c r="R269" s="62">
        <f t="shared" si="99"/>
        <v>488235.29411764705</v>
      </c>
      <c r="S269" s="62">
        <f t="shared" si="99"/>
        <v>488235.29411764705</v>
      </c>
      <c r="T269" s="62">
        <f t="shared" si="99"/>
        <v>488235.29411764705</v>
      </c>
      <c r="U269" s="62">
        <f t="shared" si="99"/>
        <v>488235.29411764705</v>
      </c>
      <c r="V269" s="62">
        <f t="shared" si="99"/>
        <v>488235.29411764705</v>
      </c>
      <c r="W269" s="62">
        <f t="shared" si="99"/>
        <v>488235.29411764705</v>
      </c>
      <c r="X269" s="62">
        <f t="shared" si="99"/>
        <v>488235.29411764705</v>
      </c>
      <c r="Y269" s="62">
        <f t="shared" si="99"/>
        <v>488235.29411764705</v>
      </c>
      <c r="Z269" s="62">
        <f t="shared" si="99"/>
        <v>488235.29411764705</v>
      </c>
      <c r="AA269" s="62">
        <f t="shared" si="99"/>
        <v>488235.29411764705</v>
      </c>
      <c r="AB269" s="62">
        <f t="shared" si="99"/>
        <v>488235.29411764705</v>
      </c>
      <c r="AC269" s="62">
        <f t="shared" si="99"/>
        <v>488235.29411764705</v>
      </c>
    </row>
    <row r="270" spans="1:29" x14ac:dyDescent="0.3">
      <c r="A270" s="30" t="str">
        <f>A252</f>
        <v>Opex var (mode-fees)</v>
      </c>
      <c r="B270" s="62">
        <f>B252*B261</f>
        <v>97536.682916217906</v>
      </c>
      <c r="C270" s="62">
        <f t="shared" ref="C270:AC270" si="100">C252*C261</f>
        <v>97536.682916217906</v>
      </c>
      <c r="D270" s="62">
        <f t="shared" si="100"/>
        <v>97536.682916217906</v>
      </c>
      <c r="E270" s="62">
        <f t="shared" si="100"/>
        <v>97536.682916217906</v>
      </c>
      <c r="F270" s="62">
        <f t="shared" si="100"/>
        <v>97536.682916217906</v>
      </c>
      <c r="G270" s="62">
        <f t="shared" si="100"/>
        <v>97536.682916217906</v>
      </c>
      <c r="H270" s="62">
        <f t="shared" si="100"/>
        <v>97536.682916217906</v>
      </c>
      <c r="I270" s="62">
        <f t="shared" si="100"/>
        <v>97536.682916217906</v>
      </c>
      <c r="J270" s="62">
        <f t="shared" si="100"/>
        <v>97536.682916217906</v>
      </c>
      <c r="K270" s="62">
        <f t="shared" si="100"/>
        <v>97536.682916217906</v>
      </c>
      <c r="L270" s="62">
        <f t="shared" si="100"/>
        <v>97536.682916217906</v>
      </c>
      <c r="M270" s="62">
        <f t="shared" si="100"/>
        <v>97536.682916217906</v>
      </c>
      <c r="N270" s="62">
        <f t="shared" si="100"/>
        <v>97536.682916217906</v>
      </c>
      <c r="O270" s="62">
        <f t="shared" si="100"/>
        <v>97536.682916217906</v>
      </c>
      <c r="P270" s="62">
        <f t="shared" si="100"/>
        <v>97536.682916217906</v>
      </c>
      <c r="Q270" s="62">
        <f t="shared" si="100"/>
        <v>97536.682916217906</v>
      </c>
      <c r="R270" s="62">
        <f t="shared" si="100"/>
        <v>97536.682916217906</v>
      </c>
      <c r="S270" s="62">
        <f t="shared" si="100"/>
        <v>97536.682916217906</v>
      </c>
      <c r="T270" s="62">
        <f t="shared" si="100"/>
        <v>97536.682916217906</v>
      </c>
      <c r="U270" s="62">
        <f t="shared" si="100"/>
        <v>97536.682916217906</v>
      </c>
      <c r="V270" s="62">
        <f t="shared" si="100"/>
        <v>97536.682916217906</v>
      </c>
      <c r="W270" s="62">
        <f t="shared" si="100"/>
        <v>97536.682916217906</v>
      </c>
      <c r="X270" s="62">
        <f t="shared" si="100"/>
        <v>97536.682916217906</v>
      </c>
      <c r="Y270" s="62">
        <f t="shared" si="100"/>
        <v>97536.682916217906</v>
      </c>
      <c r="Z270" s="62">
        <f t="shared" si="100"/>
        <v>97536.682916217906</v>
      </c>
      <c r="AA270" s="62">
        <f t="shared" si="100"/>
        <v>97536.682916217906</v>
      </c>
      <c r="AB270" s="62">
        <f t="shared" si="100"/>
        <v>97536.682916217906</v>
      </c>
      <c r="AC270" s="62">
        <f t="shared" si="100"/>
        <v>97536.682916217906</v>
      </c>
    </row>
    <row r="271" spans="1:29" x14ac:dyDescent="0.3">
      <c r="A271" s="30" t="str">
        <f>A254</f>
        <v>Fuel Cost</v>
      </c>
      <c r="B271" s="62">
        <f>B253*B254*B261</f>
        <v>2437507.052101518</v>
      </c>
      <c r="C271" s="62">
        <f t="shared" ref="C271:AC271" si="101">C253*C254*C261</f>
        <v>2437338.7839329462</v>
      </c>
      <c r="D271" s="62">
        <f t="shared" si="101"/>
        <v>2437097.9117975063</v>
      </c>
      <c r="E271" s="62">
        <f t="shared" si="101"/>
        <v>2436753.3272688738</v>
      </c>
      <c r="F271" s="62">
        <f t="shared" si="101"/>
        <v>2436260.8399411063</v>
      </c>
      <c r="G271" s="62">
        <f t="shared" si="101"/>
        <v>2435557.9540934572</v>
      </c>
      <c r="H271" s="62">
        <f t="shared" si="101"/>
        <v>2434556.8722096309</v>
      </c>
      <c r="I271" s="62">
        <f t="shared" si="101"/>
        <v>2433135.479441477</v>
      </c>
      <c r="J271" s="62">
        <f t="shared" si="101"/>
        <v>2431126.4773508143</v>
      </c>
      <c r="K271" s="62">
        <f t="shared" si="101"/>
        <v>2428305.8746609245</v>
      </c>
      <c r="L271" s="62">
        <f t="shared" si="101"/>
        <v>2424384.2130114948</v>
      </c>
      <c r="M271" s="62">
        <f t="shared" si="101"/>
        <v>2419007.7615997801</v>
      </c>
      <c r="N271" s="62">
        <f t="shared" si="101"/>
        <v>2411782.387019678</v>
      </c>
      <c r="O271" s="62">
        <f t="shared" si="101"/>
        <v>2402337.4266037703</v>
      </c>
      <c r="P271" s="62">
        <f t="shared" si="101"/>
        <v>2390443.0953654484</v>
      </c>
      <c r="Q271" s="62">
        <f t="shared" si="101"/>
        <v>2376170.2393062925</v>
      </c>
      <c r="R271" s="62">
        <f t="shared" si="101"/>
        <v>2360030.8697070694</v>
      </c>
      <c r="S271" s="62">
        <f t="shared" si="101"/>
        <v>2342992.6034393362</v>
      </c>
      <c r="T271" s="62">
        <f t="shared" si="101"/>
        <v>2326289.6183825689</v>
      </c>
      <c r="U271" s="62">
        <f t="shared" si="101"/>
        <v>2311084.5472785905</v>
      </c>
      <c r="V271" s="62">
        <f t="shared" si="101"/>
        <v>2298162.4020839729</v>
      </c>
      <c r="W271" s="62">
        <f t="shared" si="101"/>
        <v>2287814.0780081702</v>
      </c>
      <c r="X271" s="62">
        <f t="shared" si="101"/>
        <v>2279917.8474469348</v>
      </c>
      <c r="Y271" s="62">
        <f t="shared" si="101"/>
        <v>2274113.4847058197</v>
      </c>
      <c r="Z271" s="62">
        <f t="shared" si="101"/>
        <v>2269963.4493156904</v>
      </c>
      <c r="AA271" s="62">
        <f t="shared" si="101"/>
        <v>2267054.887382986</v>
      </c>
      <c r="AB271" s="62">
        <f t="shared" si="101"/>
        <v>2265044.8923132992</v>
      </c>
      <c r="AC271" s="62">
        <f t="shared" si="101"/>
        <v>2263669.3525252165</v>
      </c>
    </row>
    <row r="272" spans="1:29" ht="15" thickBot="1" x14ac:dyDescent="0.35">
      <c r="A272" s="59" t="str">
        <f>A235</f>
        <v>Emission Cost</v>
      </c>
      <c r="B272" s="62">
        <f>B255*B261</f>
        <v>2192040.4269286273</v>
      </c>
      <c r="C272" s="62">
        <f t="shared" ref="C272:AC272" si="102">C255*C261</f>
        <v>2196694.8550776178</v>
      </c>
      <c r="D272" s="62">
        <f t="shared" si="102"/>
        <v>2203357.5653038691</v>
      </c>
      <c r="E272" s="62">
        <f t="shared" si="102"/>
        <v>2212889.0408252501</v>
      </c>
      <c r="F272" s="62">
        <f t="shared" si="102"/>
        <v>2226511.622569799</v>
      </c>
      <c r="G272" s="62">
        <f t="shared" si="102"/>
        <v>2245953.9906812669</v>
      </c>
      <c r="H272" s="62">
        <f t="shared" si="102"/>
        <v>2273644.6926069986</v>
      </c>
      <c r="I272" s="62">
        <f t="shared" si="102"/>
        <v>2312961.5198299005</v>
      </c>
      <c r="J272" s="62">
        <f t="shared" si="102"/>
        <v>2368532.0770035987</v>
      </c>
      <c r="K272" s="62">
        <f t="shared" si="102"/>
        <v>2446552.1366995717</v>
      </c>
      <c r="L272" s="62">
        <f t="shared" si="102"/>
        <v>2555028.3418356678</v>
      </c>
      <c r="M272" s="62">
        <f t="shared" si="102"/>
        <v>2703745.1609743489</v>
      </c>
      <c r="N272" s="62">
        <f t="shared" si="102"/>
        <v>2903604.6300466633</v>
      </c>
      <c r="O272" s="62">
        <f t="shared" si="102"/>
        <v>3164859.5661340822</v>
      </c>
      <c r="P272" s="62">
        <f t="shared" si="102"/>
        <v>3493866.0003206055</v>
      </c>
      <c r="Q272" s="62">
        <f t="shared" si="102"/>
        <v>3888664.277213261</v>
      </c>
      <c r="R272" s="62">
        <f t="shared" si="102"/>
        <v>4335091.767373505</v>
      </c>
      <c r="S272" s="62">
        <f t="shared" si="102"/>
        <v>4806383.437089771</v>
      </c>
      <c r="T272" s="62">
        <f t="shared" si="102"/>
        <v>5268400.9682723647</v>
      </c>
      <c r="U272" s="62">
        <f t="shared" si="102"/>
        <v>5688985.0368709024</v>
      </c>
      <c r="V272" s="62">
        <f t="shared" si="102"/>
        <v>6046421.6028565438</v>
      </c>
      <c r="W272" s="62">
        <f t="shared" si="102"/>
        <v>6332664.2789489012</v>
      </c>
      <c r="X272" s="62">
        <f t="shared" si="102"/>
        <v>6551080.1451639356</v>
      </c>
      <c r="Y272" s="62">
        <f t="shared" si="102"/>
        <v>6711633.3238097783</v>
      </c>
      <c r="Z272" s="62">
        <f t="shared" si="102"/>
        <v>6826426.5238726102</v>
      </c>
      <c r="AA272" s="62">
        <f t="shared" si="102"/>
        <v>6906879.6044969875</v>
      </c>
      <c r="AB272" s="62">
        <f t="shared" si="102"/>
        <v>6962477.6282412307</v>
      </c>
      <c r="AC272" s="62">
        <f t="shared" si="102"/>
        <v>7000526.1264452087</v>
      </c>
    </row>
    <row r="273" spans="1:29" ht="15" thickBot="1" x14ac:dyDescent="0.35">
      <c r="A273" s="31" t="s">
        <v>209</v>
      </c>
      <c r="B273" s="64">
        <f>B264+B265+B266+B267+B268+B269+B270+B271+B272</f>
        <v>7550148.3467786489</v>
      </c>
      <c r="C273" s="64">
        <f t="shared" ref="C273:AC273" si="103">C264+C265+C266+C267+C268+C269+C270+C271+C272</f>
        <v>7554690.2522301981</v>
      </c>
      <c r="D273" s="64">
        <f t="shared" si="103"/>
        <v>7561191.8887213022</v>
      </c>
      <c r="E273" s="64">
        <f t="shared" si="103"/>
        <v>7570492.9369373433</v>
      </c>
      <c r="F273" s="64">
        <f t="shared" si="103"/>
        <v>7583786.1872162521</v>
      </c>
      <c r="G273" s="64">
        <f t="shared" si="103"/>
        <v>7602758.5281547699</v>
      </c>
      <c r="H273" s="64">
        <f t="shared" si="103"/>
        <v>7629779.7960759327</v>
      </c>
      <c r="I273" s="64">
        <f t="shared" si="103"/>
        <v>7668146.1229769122</v>
      </c>
      <c r="J273" s="64">
        <f t="shared" si="103"/>
        <v>7722373.2392828166</v>
      </c>
      <c r="K273" s="64">
        <f t="shared" si="103"/>
        <v>7798507.1322380938</v>
      </c>
      <c r="L273" s="64">
        <f t="shared" si="103"/>
        <v>7904360.8809048906</v>
      </c>
      <c r="M273" s="64">
        <f t="shared" si="103"/>
        <v>8049482.410330453</v>
      </c>
      <c r="N273" s="64">
        <f t="shared" si="103"/>
        <v>8244510.1952840071</v>
      </c>
      <c r="O273" s="64">
        <f t="shared" si="103"/>
        <v>8499449.1868154816</v>
      </c>
      <c r="P273" s="64">
        <f t="shared" si="103"/>
        <v>8820501.7563669812</v>
      </c>
      <c r="Q273" s="64">
        <f t="shared" si="103"/>
        <v>9205755.6240133271</v>
      </c>
      <c r="R273" s="64">
        <f t="shared" si="103"/>
        <v>9641390.5476547219</v>
      </c>
      <c r="S273" s="64">
        <f t="shared" si="103"/>
        <v>10101288.549177822</v>
      </c>
      <c r="T273" s="64">
        <f t="shared" si="103"/>
        <v>10552136.618246034</v>
      </c>
      <c r="U273" s="64">
        <f t="shared" si="103"/>
        <v>10962552.895574616</v>
      </c>
      <c r="V273" s="64">
        <f t="shared" si="103"/>
        <v>11311348.286902118</v>
      </c>
      <c r="W273" s="64">
        <f t="shared" si="103"/>
        <v>11590670.929640006</v>
      </c>
      <c r="X273" s="64">
        <f t="shared" si="103"/>
        <v>11803806.503272586</v>
      </c>
      <c r="Y273" s="64">
        <f t="shared" si="103"/>
        <v>11960478.243390244</v>
      </c>
      <c r="Z273" s="64">
        <f t="shared" si="103"/>
        <v>12072496.271056892</v>
      </c>
      <c r="AA273" s="64">
        <f t="shared" si="103"/>
        <v>12151004.365668036</v>
      </c>
      <c r="AB273" s="64">
        <f t="shared" si="103"/>
        <v>12205258.28452895</v>
      </c>
      <c r="AC273" s="64">
        <f t="shared" si="103"/>
        <v>12242386.944781952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104">A264</f>
        <v>Capex vehicle</v>
      </c>
      <c r="B276" s="65">
        <f>((1+B249)^B256)*B249/(((1+B249)^B256)-1)*(B245)/B261</f>
        <v>9.7783397765342439</v>
      </c>
      <c r="C276" s="65">
        <f t="shared" ref="C276:AC276" si="105">((1+C249)^C256)*C249/(((1+C249)^C256)-1)*(C245)/C261</f>
        <v>9.7783397765342439</v>
      </c>
      <c r="D276" s="65">
        <f t="shared" si="105"/>
        <v>9.7783397765342439</v>
      </c>
      <c r="E276" s="65">
        <f t="shared" si="105"/>
        <v>9.7783397765342439</v>
      </c>
      <c r="F276" s="65">
        <f t="shared" si="105"/>
        <v>9.7783397765342439</v>
      </c>
      <c r="G276" s="65">
        <f t="shared" si="105"/>
        <v>9.7783397765342439</v>
      </c>
      <c r="H276" s="65">
        <f t="shared" si="105"/>
        <v>9.7783397765342439</v>
      </c>
      <c r="I276" s="65">
        <f t="shared" si="105"/>
        <v>9.7783397765342439</v>
      </c>
      <c r="J276" s="65">
        <f t="shared" si="105"/>
        <v>9.7783397765342439</v>
      </c>
      <c r="K276" s="65">
        <f t="shared" si="105"/>
        <v>9.7783397765342439</v>
      </c>
      <c r="L276" s="65">
        <f t="shared" si="105"/>
        <v>9.7783397765342439</v>
      </c>
      <c r="M276" s="65">
        <f t="shared" si="105"/>
        <v>9.7783397765342439</v>
      </c>
      <c r="N276" s="65">
        <f t="shared" si="105"/>
        <v>9.7783397765342439</v>
      </c>
      <c r="O276" s="65">
        <f t="shared" si="105"/>
        <v>9.7783397765342439</v>
      </c>
      <c r="P276" s="65">
        <f t="shared" si="105"/>
        <v>9.7783397765342439</v>
      </c>
      <c r="Q276" s="65">
        <f t="shared" si="105"/>
        <v>9.7783397765342439</v>
      </c>
      <c r="R276" s="65">
        <f t="shared" si="105"/>
        <v>9.7783397765342439</v>
      </c>
      <c r="S276" s="65">
        <f t="shared" si="105"/>
        <v>9.7783397765342439</v>
      </c>
      <c r="T276" s="65">
        <f t="shared" si="105"/>
        <v>9.7783397765342439</v>
      </c>
      <c r="U276" s="65">
        <f t="shared" si="105"/>
        <v>9.7783397765342439</v>
      </c>
      <c r="V276" s="65">
        <f t="shared" si="105"/>
        <v>9.7783397765342439</v>
      </c>
      <c r="W276" s="65">
        <f t="shared" si="105"/>
        <v>9.7783397765342439</v>
      </c>
      <c r="X276" s="65">
        <f t="shared" si="105"/>
        <v>9.7783397765342439</v>
      </c>
      <c r="Y276" s="65">
        <f t="shared" si="105"/>
        <v>9.7783397765342439</v>
      </c>
      <c r="Z276" s="65">
        <f t="shared" si="105"/>
        <v>9.7783397765342439</v>
      </c>
      <c r="AA276" s="65">
        <f t="shared" si="105"/>
        <v>9.7783397765342439</v>
      </c>
      <c r="AB276" s="65">
        <f t="shared" si="105"/>
        <v>9.7783397765342439</v>
      </c>
      <c r="AC276" s="65">
        <f t="shared" si="105"/>
        <v>9.7783397765342439</v>
      </c>
    </row>
    <row r="277" spans="1:29" x14ac:dyDescent="0.3">
      <c r="A277" s="30" t="str">
        <f t="shared" si="104"/>
        <v>Residual value (vehicle)</v>
      </c>
      <c r="B277" s="66">
        <f>((1+B249)^B256)*B249/(((1+B249)^B256)-1)*(B246)/B261</f>
        <v>-0.97676019148470272</v>
      </c>
      <c r="C277" s="66">
        <f t="shared" ref="C277:AC277" si="106">((1+C249)^C256)*C249/(((1+C249)^C256)-1)*(C246)/C261</f>
        <v>-0.97629564589195228</v>
      </c>
      <c r="D277" s="66">
        <f t="shared" si="106"/>
        <v>-0.97563065922284864</v>
      </c>
      <c r="E277" s="66">
        <f t="shared" si="106"/>
        <v>-0.97467934902874298</v>
      </c>
      <c r="F277" s="66">
        <f t="shared" si="106"/>
        <v>-0.97331971684434948</v>
      </c>
      <c r="G277" s="66">
        <f t="shared" si="106"/>
        <v>-0.97137922788852038</v>
      </c>
      <c r="H277" s="66">
        <f t="shared" si="106"/>
        <v>-0.96861549556136939</v>
      </c>
      <c r="I277" s="66">
        <f t="shared" si="106"/>
        <v>-0.96469139184278574</v>
      </c>
      <c r="J277" s="66">
        <f t="shared" si="106"/>
        <v>-0.95914504831885961</v>
      </c>
      <c r="K277" s="66">
        <f t="shared" si="106"/>
        <v>-0.95135808207559314</v>
      </c>
      <c r="L277" s="66">
        <f t="shared" si="106"/>
        <v>-0.94053137224117322</v>
      </c>
      <c r="M277" s="66">
        <f t="shared" si="106"/>
        <v>-0.92568835808620409</v>
      </c>
      <c r="N277" s="66">
        <f t="shared" si="106"/>
        <v>-0.90574093757501994</v>
      </c>
      <c r="O277" s="66">
        <f t="shared" si="106"/>
        <v>-0.87966580540866446</v>
      </c>
      <c r="P277" s="66">
        <f t="shared" si="106"/>
        <v>-0.84682858371450898</v>
      </c>
      <c r="Q277" s="66">
        <f t="shared" si="106"/>
        <v>-0.80742486027411864</v>
      </c>
      <c r="R277" s="66">
        <f t="shared" si="106"/>
        <v>-0.7628681679376812</v>
      </c>
      <c r="S277" s="66">
        <f t="shared" si="106"/>
        <v>-0.71582985064961269</v>
      </c>
      <c r="T277" s="66">
        <f t="shared" si="106"/>
        <v>-0.66971715946306853</v>
      </c>
      <c r="U277" s="66">
        <f t="shared" si="106"/>
        <v>-0.62773982751286628</v>
      </c>
      <c r="V277" s="66">
        <f t="shared" si="106"/>
        <v>-0.59206507304221667</v>
      </c>
      <c r="W277" s="66">
        <f t="shared" si="106"/>
        <v>-0.56349598369776865</v>
      </c>
      <c r="X277" s="66">
        <f t="shared" si="106"/>
        <v>-0.54169650054128426</v>
      </c>
      <c r="Y277" s="66">
        <f t="shared" si="106"/>
        <v>-0.52567213210019181</v>
      </c>
      <c r="Z277" s="66">
        <f t="shared" si="106"/>
        <v>-0.51421494048397043</v>
      </c>
      <c r="AA277" s="66">
        <f t="shared" si="106"/>
        <v>-0.50618514115505298</v>
      </c>
      <c r="AB277" s="66">
        <f t="shared" si="106"/>
        <v>-0.50063605626873253</v>
      </c>
      <c r="AC277" s="66">
        <f t="shared" si="106"/>
        <v>-0.49683854095951707</v>
      </c>
    </row>
    <row r="278" spans="1:29" x14ac:dyDescent="0.3">
      <c r="A278" s="30" t="str">
        <f t="shared" si="104"/>
        <v>Capex costumization</v>
      </c>
      <c r="B278" s="66">
        <f>((1+B249)^B257)*B249/(((1+B249)^B257)-1)*(B247)/B261</f>
        <v>0.65188931843561626</v>
      </c>
      <c r="C278" s="66">
        <f t="shared" ref="C278:AC278" si="107">((1+C249)^C257)*C249/(((1+C249)^C257)-1)*(C247)/C261</f>
        <v>0.65188931843561626</v>
      </c>
      <c r="D278" s="66">
        <f t="shared" si="107"/>
        <v>0.65188931843561626</v>
      </c>
      <c r="E278" s="66">
        <f t="shared" si="107"/>
        <v>0.65188931843561626</v>
      </c>
      <c r="F278" s="66">
        <f t="shared" si="107"/>
        <v>0.65188931843561626</v>
      </c>
      <c r="G278" s="66">
        <f t="shared" si="107"/>
        <v>0.65188931843561626</v>
      </c>
      <c r="H278" s="66">
        <f t="shared" si="107"/>
        <v>0.65188931843561626</v>
      </c>
      <c r="I278" s="66">
        <f t="shared" si="107"/>
        <v>0.65188931843561626</v>
      </c>
      <c r="J278" s="66">
        <f t="shared" si="107"/>
        <v>0.65188931843561626</v>
      </c>
      <c r="K278" s="66">
        <f t="shared" si="107"/>
        <v>0.65188931843561626</v>
      </c>
      <c r="L278" s="66">
        <f t="shared" si="107"/>
        <v>0.65188931843561626</v>
      </c>
      <c r="M278" s="66">
        <f t="shared" si="107"/>
        <v>0.65188931843561626</v>
      </c>
      <c r="N278" s="66">
        <f t="shared" si="107"/>
        <v>0.65188931843561626</v>
      </c>
      <c r="O278" s="66">
        <f t="shared" si="107"/>
        <v>0.65188931843561626</v>
      </c>
      <c r="P278" s="66">
        <f t="shared" si="107"/>
        <v>0.65188931843561626</v>
      </c>
      <c r="Q278" s="66">
        <f t="shared" si="107"/>
        <v>0.65188931843561626</v>
      </c>
      <c r="R278" s="66">
        <f t="shared" si="107"/>
        <v>0.65188931843561626</v>
      </c>
      <c r="S278" s="66">
        <f t="shared" si="107"/>
        <v>0.65188931843561626</v>
      </c>
      <c r="T278" s="66">
        <f t="shared" si="107"/>
        <v>0.65188931843561626</v>
      </c>
      <c r="U278" s="66">
        <f t="shared" si="107"/>
        <v>0.65188931843561626</v>
      </c>
      <c r="V278" s="66">
        <f t="shared" si="107"/>
        <v>0.65188931843561626</v>
      </c>
      <c r="W278" s="66">
        <f t="shared" si="107"/>
        <v>0.65188931843561626</v>
      </c>
      <c r="X278" s="66">
        <f t="shared" si="107"/>
        <v>0.65188931843561626</v>
      </c>
      <c r="Y278" s="66">
        <f t="shared" si="107"/>
        <v>0.65188931843561626</v>
      </c>
      <c r="Z278" s="66">
        <f t="shared" si="107"/>
        <v>0.65188931843561626</v>
      </c>
      <c r="AA278" s="66">
        <f t="shared" si="107"/>
        <v>0.65188931843561626</v>
      </c>
      <c r="AB278" s="66">
        <f t="shared" si="107"/>
        <v>0.65188931843561626</v>
      </c>
      <c r="AC278" s="66">
        <f t="shared" si="107"/>
        <v>0.65188931843561626</v>
      </c>
    </row>
    <row r="279" spans="1:29" x14ac:dyDescent="0.3">
      <c r="A279" s="30" t="str">
        <f t="shared" si="104"/>
        <v>Residual value (costumization)</v>
      </c>
      <c r="B279" s="66">
        <f>((1+B249)^B257)*B249/(((1+B249)^B257)-1)*(B248)/B261</f>
        <v>-6.5188931843561615E-2</v>
      </c>
      <c r="C279" s="66">
        <f t="shared" ref="C279:AC279" si="108">((1+C249)^C257)*C249/(((1+C249)^C257)-1)*(C248)/C261</f>
        <v>-6.5188931843561615E-2</v>
      </c>
      <c r="D279" s="66">
        <f t="shared" si="108"/>
        <v>-6.5188931843561615E-2</v>
      </c>
      <c r="E279" s="66">
        <f t="shared" si="108"/>
        <v>-6.5188931843561615E-2</v>
      </c>
      <c r="F279" s="66">
        <f t="shared" si="108"/>
        <v>-6.5188931843561615E-2</v>
      </c>
      <c r="G279" s="66">
        <f t="shared" si="108"/>
        <v>-6.5188931843561615E-2</v>
      </c>
      <c r="H279" s="66">
        <f t="shared" si="108"/>
        <v>-6.5188931843561615E-2</v>
      </c>
      <c r="I279" s="66">
        <f t="shared" si="108"/>
        <v>-6.5188931843561615E-2</v>
      </c>
      <c r="J279" s="66">
        <f t="shared" si="108"/>
        <v>-6.5188931843561615E-2</v>
      </c>
      <c r="K279" s="66">
        <f t="shared" si="108"/>
        <v>-6.5188931843561615E-2</v>
      </c>
      <c r="L279" s="66">
        <f t="shared" si="108"/>
        <v>-6.5188931843561615E-2</v>
      </c>
      <c r="M279" s="66">
        <f t="shared" si="108"/>
        <v>-6.5188931843561615E-2</v>
      </c>
      <c r="N279" s="66">
        <f t="shared" si="108"/>
        <v>-6.5188931843561615E-2</v>
      </c>
      <c r="O279" s="66">
        <f t="shared" si="108"/>
        <v>-6.5188931843561615E-2</v>
      </c>
      <c r="P279" s="66">
        <f t="shared" si="108"/>
        <v>-6.5188931843561615E-2</v>
      </c>
      <c r="Q279" s="66">
        <f t="shared" si="108"/>
        <v>-6.5188931843561615E-2</v>
      </c>
      <c r="R279" s="66">
        <f t="shared" si="108"/>
        <v>-6.5188931843561615E-2</v>
      </c>
      <c r="S279" s="66">
        <f t="shared" si="108"/>
        <v>-6.5188931843561615E-2</v>
      </c>
      <c r="T279" s="66">
        <f t="shared" si="108"/>
        <v>-6.5188931843561615E-2</v>
      </c>
      <c r="U279" s="66">
        <f t="shared" si="108"/>
        <v>-6.5188931843561615E-2</v>
      </c>
      <c r="V279" s="66">
        <f t="shared" si="108"/>
        <v>-6.5188931843561615E-2</v>
      </c>
      <c r="W279" s="66">
        <f t="shared" si="108"/>
        <v>-6.5188931843561615E-2</v>
      </c>
      <c r="X279" s="66">
        <f t="shared" si="108"/>
        <v>-6.5188931843561615E-2</v>
      </c>
      <c r="Y279" s="66">
        <f t="shared" si="108"/>
        <v>-6.5188931843561615E-2</v>
      </c>
      <c r="Z279" s="66">
        <f t="shared" si="108"/>
        <v>-6.5188931843561615E-2</v>
      </c>
      <c r="AA279" s="66">
        <f t="shared" si="108"/>
        <v>-6.5188931843561615E-2</v>
      </c>
      <c r="AB279" s="66">
        <f t="shared" si="108"/>
        <v>-6.5188931843561615E-2</v>
      </c>
      <c r="AC279" s="66">
        <f t="shared" si="108"/>
        <v>-6.5188931843561615E-2</v>
      </c>
    </row>
    <row r="280" spans="1:29" x14ac:dyDescent="0.3">
      <c r="A280" s="30" t="str">
        <f t="shared" si="104"/>
        <v>Opex fix (admin, crew, insurance)</v>
      </c>
      <c r="B280" s="66">
        <f>B250/B261</f>
        <v>10.068627450980392</v>
      </c>
      <c r="C280" s="66">
        <f t="shared" ref="C280:AC280" si="109">C250/C261</f>
        <v>10.068627450980392</v>
      </c>
      <c r="D280" s="66">
        <f t="shared" si="109"/>
        <v>10.068627450980392</v>
      </c>
      <c r="E280" s="66">
        <f t="shared" si="109"/>
        <v>10.068627450980392</v>
      </c>
      <c r="F280" s="66">
        <f t="shared" si="109"/>
        <v>10.068627450980392</v>
      </c>
      <c r="G280" s="66">
        <f t="shared" si="109"/>
        <v>10.068627450980392</v>
      </c>
      <c r="H280" s="66">
        <f t="shared" si="109"/>
        <v>10.068627450980392</v>
      </c>
      <c r="I280" s="66">
        <f t="shared" si="109"/>
        <v>10.068627450980392</v>
      </c>
      <c r="J280" s="66">
        <f t="shared" si="109"/>
        <v>10.068627450980392</v>
      </c>
      <c r="K280" s="66">
        <f t="shared" si="109"/>
        <v>10.068627450980392</v>
      </c>
      <c r="L280" s="66">
        <f t="shared" si="109"/>
        <v>10.068627450980392</v>
      </c>
      <c r="M280" s="66">
        <f t="shared" si="109"/>
        <v>10.068627450980392</v>
      </c>
      <c r="N280" s="66">
        <f t="shared" si="109"/>
        <v>10.068627450980392</v>
      </c>
      <c r="O280" s="66">
        <f t="shared" si="109"/>
        <v>10.068627450980392</v>
      </c>
      <c r="P280" s="66">
        <f t="shared" si="109"/>
        <v>10.068627450980392</v>
      </c>
      <c r="Q280" s="66">
        <f t="shared" si="109"/>
        <v>10.068627450980392</v>
      </c>
      <c r="R280" s="66">
        <f t="shared" si="109"/>
        <v>10.068627450980392</v>
      </c>
      <c r="S280" s="66">
        <f t="shared" si="109"/>
        <v>10.068627450980392</v>
      </c>
      <c r="T280" s="66">
        <f t="shared" si="109"/>
        <v>10.068627450980392</v>
      </c>
      <c r="U280" s="66">
        <f t="shared" si="109"/>
        <v>10.068627450980392</v>
      </c>
      <c r="V280" s="66">
        <f t="shared" si="109"/>
        <v>10.068627450980392</v>
      </c>
      <c r="W280" s="66">
        <f t="shared" si="109"/>
        <v>10.068627450980392</v>
      </c>
      <c r="X280" s="66">
        <f t="shared" si="109"/>
        <v>10.068627450980392</v>
      </c>
      <c r="Y280" s="66">
        <f t="shared" si="109"/>
        <v>10.068627450980392</v>
      </c>
      <c r="Z280" s="66">
        <f t="shared" si="109"/>
        <v>10.068627450980392</v>
      </c>
      <c r="AA280" s="66">
        <f t="shared" si="109"/>
        <v>10.068627450980392</v>
      </c>
      <c r="AB280" s="66">
        <f t="shared" si="109"/>
        <v>10.068627450980392</v>
      </c>
      <c r="AC280" s="66">
        <f t="shared" si="109"/>
        <v>10.068627450980392</v>
      </c>
    </row>
    <row r="281" spans="1:29" x14ac:dyDescent="0.3">
      <c r="A281" s="30" t="str">
        <f t="shared" si="104"/>
        <v>Opex maintenance &amp; repair</v>
      </c>
      <c r="B281" s="66">
        <f>B251/B261</f>
        <v>4.0686274509803919</v>
      </c>
      <c r="C281" s="66">
        <f t="shared" ref="C281:AC281" si="110">C251/C261</f>
        <v>4.0686274509803919</v>
      </c>
      <c r="D281" s="66">
        <f t="shared" si="110"/>
        <v>4.0686274509803919</v>
      </c>
      <c r="E281" s="66">
        <f t="shared" si="110"/>
        <v>4.0686274509803919</v>
      </c>
      <c r="F281" s="66">
        <f t="shared" si="110"/>
        <v>4.0686274509803919</v>
      </c>
      <c r="G281" s="66">
        <f t="shared" si="110"/>
        <v>4.0686274509803919</v>
      </c>
      <c r="H281" s="66">
        <f t="shared" si="110"/>
        <v>4.0686274509803919</v>
      </c>
      <c r="I281" s="66">
        <f t="shared" si="110"/>
        <v>4.0686274509803919</v>
      </c>
      <c r="J281" s="66">
        <f t="shared" si="110"/>
        <v>4.0686274509803919</v>
      </c>
      <c r="K281" s="66">
        <f t="shared" si="110"/>
        <v>4.0686274509803919</v>
      </c>
      <c r="L281" s="66">
        <f t="shared" si="110"/>
        <v>4.0686274509803919</v>
      </c>
      <c r="M281" s="66">
        <f t="shared" si="110"/>
        <v>4.0686274509803919</v>
      </c>
      <c r="N281" s="66">
        <f t="shared" si="110"/>
        <v>4.0686274509803919</v>
      </c>
      <c r="O281" s="66">
        <f t="shared" si="110"/>
        <v>4.0686274509803919</v>
      </c>
      <c r="P281" s="66">
        <f t="shared" si="110"/>
        <v>4.0686274509803919</v>
      </c>
      <c r="Q281" s="66">
        <f t="shared" si="110"/>
        <v>4.0686274509803919</v>
      </c>
      <c r="R281" s="66">
        <f t="shared" si="110"/>
        <v>4.0686274509803919</v>
      </c>
      <c r="S281" s="66">
        <f t="shared" si="110"/>
        <v>4.0686274509803919</v>
      </c>
      <c r="T281" s="66">
        <f t="shared" si="110"/>
        <v>4.0686274509803919</v>
      </c>
      <c r="U281" s="66">
        <f t="shared" si="110"/>
        <v>4.0686274509803919</v>
      </c>
      <c r="V281" s="66">
        <f t="shared" si="110"/>
        <v>4.0686274509803919</v>
      </c>
      <c r="W281" s="66">
        <f t="shared" si="110"/>
        <v>4.0686274509803919</v>
      </c>
      <c r="X281" s="66">
        <f t="shared" si="110"/>
        <v>4.0686274509803919</v>
      </c>
      <c r="Y281" s="66">
        <f t="shared" si="110"/>
        <v>4.0686274509803919</v>
      </c>
      <c r="Z281" s="66">
        <f t="shared" si="110"/>
        <v>4.0686274509803919</v>
      </c>
      <c r="AA281" s="66">
        <f t="shared" si="110"/>
        <v>4.0686274509803919</v>
      </c>
      <c r="AB281" s="66">
        <f t="shared" si="110"/>
        <v>4.0686274509803919</v>
      </c>
      <c r="AC281" s="66">
        <f t="shared" si="110"/>
        <v>4.0686274509803919</v>
      </c>
    </row>
    <row r="282" spans="1:29" x14ac:dyDescent="0.3">
      <c r="A282" s="30" t="str">
        <f t="shared" si="104"/>
        <v>Opex var (mode-fees)</v>
      </c>
      <c r="B282" s="66">
        <f>B252*B261/B261</f>
        <v>0.81280569096848254</v>
      </c>
      <c r="C282" s="66">
        <f t="shared" ref="C282:AC282" si="111">C252*C261/C261</f>
        <v>0.81280569096848254</v>
      </c>
      <c r="D282" s="66">
        <f t="shared" si="111"/>
        <v>0.81280569096848254</v>
      </c>
      <c r="E282" s="66">
        <f t="shared" si="111"/>
        <v>0.81280569096848254</v>
      </c>
      <c r="F282" s="66">
        <f t="shared" si="111"/>
        <v>0.81280569096848254</v>
      </c>
      <c r="G282" s="66">
        <f t="shared" si="111"/>
        <v>0.81280569096848254</v>
      </c>
      <c r="H282" s="66">
        <f t="shared" si="111"/>
        <v>0.81280569096848254</v>
      </c>
      <c r="I282" s="66">
        <f t="shared" si="111"/>
        <v>0.81280569096848254</v>
      </c>
      <c r="J282" s="66">
        <f t="shared" si="111"/>
        <v>0.81280569096848254</v>
      </c>
      <c r="K282" s="66">
        <f t="shared" si="111"/>
        <v>0.81280569096848254</v>
      </c>
      <c r="L282" s="66">
        <f t="shared" si="111"/>
        <v>0.81280569096848254</v>
      </c>
      <c r="M282" s="66">
        <f t="shared" si="111"/>
        <v>0.81280569096848254</v>
      </c>
      <c r="N282" s="66">
        <f t="shared" si="111"/>
        <v>0.81280569096848254</v>
      </c>
      <c r="O282" s="66">
        <f t="shared" si="111"/>
        <v>0.81280569096848254</v>
      </c>
      <c r="P282" s="66">
        <f t="shared" si="111"/>
        <v>0.81280569096848254</v>
      </c>
      <c r="Q282" s="66">
        <f t="shared" si="111"/>
        <v>0.81280569096848254</v>
      </c>
      <c r="R282" s="66">
        <f t="shared" si="111"/>
        <v>0.81280569096848254</v>
      </c>
      <c r="S282" s="66">
        <f t="shared" si="111"/>
        <v>0.81280569096848254</v>
      </c>
      <c r="T282" s="66">
        <f t="shared" si="111"/>
        <v>0.81280569096848254</v>
      </c>
      <c r="U282" s="66">
        <f t="shared" si="111"/>
        <v>0.81280569096848254</v>
      </c>
      <c r="V282" s="66">
        <f t="shared" si="111"/>
        <v>0.81280569096848254</v>
      </c>
      <c r="W282" s="66">
        <f t="shared" si="111"/>
        <v>0.81280569096848254</v>
      </c>
      <c r="X282" s="66">
        <f t="shared" si="111"/>
        <v>0.81280569096848254</v>
      </c>
      <c r="Y282" s="66">
        <f t="shared" si="111"/>
        <v>0.81280569096848254</v>
      </c>
      <c r="Z282" s="66">
        <f t="shared" si="111"/>
        <v>0.81280569096848254</v>
      </c>
      <c r="AA282" s="66">
        <f t="shared" si="111"/>
        <v>0.81280569096848254</v>
      </c>
      <c r="AB282" s="66">
        <f t="shared" si="111"/>
        <v>0.81280569096848254</v>
      </c>
      <c r="AC282" s="66">
        <f t="shared" si="111"/>
        <v>0.81280569096848254</v>
      </c>
    </row>
    <row r="283" spans="1:29" x14ac:dyDescent="0.3">
      <c r="A283" s="30" t="str">
        <f t="shared" si="104"/>
        <v>Fuel Cost</v>
      </c>
      <c r="B283" s="66">
        <f>B253*B254*B261/B261</f>
        <v>20.312558767512652</v>
      </c>
      <c r="C283" s="66">
        <f t="shared" ref="C283:AC283" si="112">C253*C254*C261/C261</f>
        <v>20.31115653277455</v>
      </c>
      <c r="D283" s="66">
        <f t="shared" si="112"/>
        <v>20.309149264979219</v>
      </c>
      <c r="E283" s="66">
        <f t="shared" si="112"/>
        <v>20.306277727240616</v>
      </c>
      <c r="F283" s="66">
        <f t="shared" si="112"/>
        <v>20.302173666175886</v>
      </c>
      <c r="G283" s="66">
        <f t="shared" si="112"/>
        <v>20.296316284112145</v>
      </c>
      <c r="H283" s="66">
        <f t="shared" si="112"/>
        <v>20.287973935080256</v>
      </c>
      <c r="I283" s="66">
        <f t="shared" si="112"/>
        <v>20.276128995345641</v>
      </c>
      <c r="J283" s="66">
        <f t="shared" si="112"/>
        <v>20.259387311256784</v>
      </c>
      <c r="K283" s="66">
        <f t="shared" si="112"/>
        <v>20.235882288841037</v>
      </c>
      <c r="L283" s="66">
        <f t="shared" si="112"/>
        <v>20.203201775095792</v>
      </c>
      <c r="M283" s="66">
        <f t="shared" si="112"/>
        <v>20.158398013331499</v>
      </c>
      <c r="N283" s="66">
        <f t="shared" si="112"/>
        <v>20.098186558497318</v>
      </c>
      <c r="O283" s="66">
        <f t="shared" si="112"/>
        <v>20.019478555031419</v>
      </c>
      <c r="P283" s="66">
        <f t="shared" si="112"/>
        <v>19.920359128045405</v>
      </c>
      <c r="Q283" s="66">
        <f t="shared" si="112"/>
        <v>19.801418660885769</v>
      </c>
      <c r="R283" s="66">
        <f t="shared" si="112"/>
        <v>19.666923914225578</v>
      </c>
      <c r="S283" s="66">
        <f t="shared" si="112"/>
        <v>19.524938361994469</v>
      </c>
      <c r="T283" s="66">
        <f t="shared" si="112"/>
        <v>19.385746819854742</v>
      </c>
      <c r="U283" s="66">
        <f t="shared" si="112"/>
        <v>19.259037893988253</v>
      </c>
      <c r="V283" s="66">
        <f t="shared" si="112"/>
        <v>19.151353350699775</v>
      </c>
      <c r="W283" s="66">
        <f t="shared" si="112"/>
        <v>19.065117316734753</v>
      </c>
      <c r="X283" s="66">
        <f t="shared" si="112"/>
        <v>18.999315395391122</v>
      </c>
      <c r="Y283" s="66">
        <f t="shared" si="112"/>
        <v>18.950945705881832</v>
      </c>
      <c r="Z283" s="66">
        <f t="shared" si="112"/>
        <v>18.916362077630755</v>
      </c>
      <c r="AA283" s="66">
        <f t="shared" si="112"/>
        <v>18.892124061524882</v>
      </c>
      <c r="AB283" s="66">
        <f t="shared" si="112"/>
        <v>18.875374102610827</v>
      </c>
      <c r="AC283" s="66">
        <f t="shared" si="112"/>
        <v>18.86391127104347</v>
      </c>
    </row>
    <row r="284" spans="1:29" ht="15" thickBot="1" x14ac:dyDescent="0.35">
      <c r="A284" s="59" t="str">
        <f>A235</f>
        <v>Emission Cost</v>
      </c>
      <c r="B284" s="66">
        <f>B255</f>
        <v>18.267003557738562</v>
      </c>
      <c r="C284" s="66">
        <f t="shared" ref="C284:AC284" si="113">C255</f>
        <v>18.305790458980148</v>
      </c>
      <c r="D284" s="66">
        <f t="shared" si="113"/>
        <v>18.361313044198909</v>
      </c>
      <c r="E284" s="66">
        <f t="shared" si="113"/>
        <v>18.440742006877084</v>
      </c>
      <c r="F284" s="66">
        <f t="shared" si="113"/>
        <v>18.554263521414992</v>
      </c>
      <c r="G284" s="66">
        <f t="shared" si="113"/>
        <v>18.716283255677226</v>
      </c>
      <c r="H284" s="66">
        <f t="shared" si="113"/>
        <v>18.947039105058323</v>
      </c>
      <c r="I284" s="66">
        <f t="shared" si="113"/>
        <v>19.274679331915838</v>
      </c>
      <c r="J284" s="66">
        <f t="shared" si="113"/>
        <v>19.737767308363324</v>
      </c>
      <c r="K284" s="66">
        <f t="shared" si="113"/>
        <v>20.387934472496433</v>
      </c>
      <c r="L284" s="66">
        <f t="shared" si="113"/>
        <v>21.291902848630563</v>
      </c>
      <c r="M284" s="66">
        <f t="shared" si="113"/>
        <v>22.53120967478624</v>
      </c>
      <c r="N284" s="66">
        <f t="shared" si="113"/>
        <v>24.196705250388863</v>
      </c>
      <c r="O284" s="66">
        <f t="shared" si="113"/>
        <v>26.37382971778402</v>
      </c>
      <c r="P284" s="66">
        <f t="shared" si="113"/>
        <v>29.115550002671711</v>
      </c>
      <c r="Q284" s="66">
        <f t="shared" si="113"/>
        <v>32.405535643443841</v>
      </c>
      <c r="R284" s="66">
        <f t="shared" si="113"/>
        <v>36.125764728112543</v>
      </c>
      <c r="S284" s="66">
        <f t="shared" si="113"/>
        <v>40.053195309081424</v>
      </c>
      <c r="T284" s="66">
        <f t="shared" si="113"/>
        <v>43.903341402269703</v>
      </c>
      <c r="U284" s="66">
        <f t="shared" si="113"/>
        <v>47.40820864059085</v>
      </c>
      <c r="V284" s="66">
        <f t="shared" si="113"/>
        <v>50.386846690471195</v>
      </c>
      <c r="W284" s="66">
        <f t="shared" si="113"/>
        <v>52.772202324574174</v>
      </c>
      <c r="X284" s="66">
        <f t="shared" si="113"/>
        <v>54.592334543032798</v>
      </c>
      <c r="Y284" s="66">
        <f t="shared" si="113"/>
        <v>55.93027769841482</v>
      </c>
      <c r="Z284" s="66">
        <f t="shared" si="113"/>
        <v>56.886887698938416</v>
      </c>
      <c r="AA284" s="66">
        <f t="shared" si="113"/>
        <v>57.557330037474898</v>
      </c>
      <c r="AB284" s="66">
        <f t="shared" si="113"/>
        <v>58.020646902010256</v>
      </c>
      <c r="AC284" s="66">
        <f t="shared" si="113"/>
        <v>58.337717720376737</v>
      </c>
    </row>
    <row r="285" spans="1:29" ht="15" thickBot="1" x14ac:dyDescent="0.35">
      <c r="A285" s="31" t="s">
        <v>63</v>
      </c>
      <c r="B285" s="76">
        <f>B276+B277+B278-B279+B280+B281+B282+B283+B284</f>
        <v>63.048280753509204</v>
      </c>
      <c r="C285" s="76">
        <f t="shared" ref="C285:AC285" si="114">C276+C277+C278-C279+C280+C281+C282+C283+C284</f>
        <v>63.08612996560543</v>
      </c>
      <c r="D285" s="76">
        <f t="shared" si="114"/>
        <v>63.140310269697963</v>
      </c>
      <c r="E285" s="76">
        <f t="shared" si="114"/>
        <v>63.217819004831654</v>
      </c>
      <c r="F285" s="76">
        <f t="shared" si="114"/>
        <v>63.328596090489214</v>
      </c>
      <c r="G285" s="76">
        <f t="shared" si="114"/>
        <v>63.486698931643538</v>
      </c>
      <c r="H285" s="76">
        <f t="shared" si="114"/>
        <v>63.711876164319904</v>
      </c>
      <c r="I285" s="76">
        <f t="shared" si="114"/>
        <v>64.031595555161374</v>
      </c>
      <c r="J285" s="76">
        <f t="shared" si="114"/>
        <v>64.483488191043932</v>
      </c>
      <c r="K285" s="76">
        <f t="shared" si="114"/>
        <v>65.117937299004552</v>
      </c>
      <c r="L285" s="76">
        <f t="shared" si="114"/>
        <v>66.000051871227868</v>
      </c>
      <c r="M285" s="76">
        <f t="shared" si="114"/>
        <v>67.209397949774228</v>
      </c>
      <c r="N285" s="76">
        <f t="shared" si="114"/>
        <v>68.834629491053846</v>
      </c>
      <c r="O285" s="76">
        <f t="shared" si="114"/>
        <v>70.95912108714947</v>
      </c>
      <c r="P285" s="76">
        <f t="shared" si="114"/>
        <v>73.634559166745305</v>
      </c>
      <c r="Q285" s="76">
        <f t="shared" si="114"/>
        <v>76.845008063798176</v>
      </c>
      <c r="R285" s="76">
        <f t="shared" si="114"/>
        <v>80.475299094143125</v>
      </c>
      <c r="S285" s="76">
        <f t="shared" si="114"/>
        <v>84.307782440168978</v>
      </c>
      <c r="T285" s="76">
        <f t="shared" si="114"/>
        <v>88.064849682404059</v>
      </c>
      <c r="U285" s="76">
        <f t="shared" si="114"/>
        <v>91.484985326808925</v>
      </c>
      <c r="V285" s="76">
        <f t="shared" si="114"/>
        <v>94.391613587871433</v>
      </c>
      <c r="W285" s="76">
        <f t="shared" si="114"/>
        <v>96.719302277353847</v>
      </c>
      <c r="X285" s="76">
        <f t="shared" si="114"/>
        <v>98.495432057625322</v>
      </c>
      <c r="Y285" s="76">
        <f t="shared" si="114"/>
        <v>99.801029891939152</v>
      </c>
      <c r="Z285" s="76">
        <f t="shared" si="114"/>
        <v>100.73451345582788</v>
      </c>
      <c r="AA285" s="76">
        <f t="shared" si="114"/>
        <v>101.38874757758742</v>
      </c>
      <c r="AB285" s="76">
        <f t="shared" si="114"/>
        <v>101.84086356809505</v>
      </c>
      <c r="AC285" s="76">
        <f t="shared" si="114"/>
        <v>102.15026907020338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115">A264</f>
        <v>Capex vehicle</v>
      </c>
      <c r="B288" s="65">
        <f>((1+B249)^B256)*B249/(((1+B249)^B256)-1)*(B245)/B261/(B258)</f>
        <v>1.0347449498978036E-3</v>
      </c>
      <c r="C288" s="65">
        <f t="shared" ref="C288:AC288" si="116">((1+C249)^C256)*C249/(((1+C249)^C256)-1)*(C245)/C261/(C258)</f>
        <v>1.0347449498978036E-3</v>
      </c>
      <c r="D288" s="65">
        <f t="shared" si="116"/>
        <v>1.0347449498978036E-3</v>
      </c>
      <c r="E288" s="65">
        <f t="shared" si="116"/>
        <v>1.0347449498978036E-3</v>
      </c>
      <c r="F288" s="65">
        <f t="shared" si="116"/>
        <v>1.0347449498978036E-3</v>
      </c>
      <c r="G288" s="65">
        <f t="shared" si="116"/>
        <v>1.0347449498978036E-3</v>
      </c>
      <c r="H288" s="65">
        <f t="shared" si="116"/>
        <v>1.0347449498978036E-3</v>
      </c>
      <c r="I288" s="65">
        <f t="shared" si="116"/>
        <v>1.0347449498978036E-3</v>
      </c>
      <c r="J288" s="65">
        <f t="shared" si="116"/>
        <v>1.0347449498978036E-3</v>
      </c>
      <c r="K288" s="65">
        <f t="shared" si="116"/>
        <v>1.0347449498978036E-3</v>
      </c>
      <c r="L288" s="65">
        <f t="shared" si="116"/>
        <v>1.0347449498978036E-3</v>
      </c>
      <c r="M288" s="65">
        <f t="shared" si="116"/>
        <v>1.0347449498978036E-3</v>
      </c>
      <c r="N288" s="65">
        <f t="shared" si="116"/>
        <v>1.0347449498978036E-3</v>
      </c>
      <c r="O288" s="65">
        <f t="shared" si="116"/>
        <v>1.0347449498978036E-3</v>
      </c>
      <c r="P288" s="65">
        <f t="shared" si="116"/>
        <v>1.0347449498978036E-3</v>
      </c>
      <c r="Q288" s="65">
        <f t="shared" si="116"/>
        <v>1.0347449498978036E-3</v>
      </c>
      <c r="R288" s="65">
        <f t="shared" si="116"/>
        <v>1.0347449498978036E-3</v>
      </c>
      <c r="S288" s="65">
        <f t="shared" si="116"/>
        <v>1.0347449498978036E-3</v>
      </c>
      <c r="T288" s="65">
        <f t="shared" si="116"/>
        <v>1.0347449498978036E-3</v>
      </c>
      <c r="U288" s="65">
        <f t="shared" si="116"/>
        <v>1.0347449498978036E-3</v>
      </c>
      <c r="V288" s="65">
        <f t="shared" si="116"/>
        <v>1.0347449498978036E-3</v>
      </c>
      <c r="W288" s="65">
        <f t="shared" si="116"/>
        <v>1.0347449498978036E-3</v>
      </c>
      <c r="X288" s="65">
        <f t="shared" si="116"/>
        <v>1.0347449498978036E-3</v>
      </c>
      <c r="Y288" s="65">
        <f t="shared" si="116"/>
        <v>1.0347449498978036E-3</v>
      </c>
      <c r="Z288" s="65">
        <f t="shared" si="116"/>
        <v>1.0347449498978036E-3</v>
      </c>
      <c r="AA288" s="65">
        <f t="shared" si="116"/>
        <v>1.0347449498978036E-3</v>
      </c>
      <c r="AB288" s="65">
        <f t="shared" si="116"/>
        <v>1.0347449498978036E-3</v>
      </c>
      <c r="AC288" s="65">
        <f t="shared" si="116"/>
        <v>1.0347449498978036E-3</v>
      </c>
    </row>
    <row r="289" spans="1:29" x14ac:dyDescent="0.3">
      <c r="A289" s="30" t="str">
        <f t="shared" si="115"/>
        <v>Residual value (vehicle)</v>
      </c>
      <c r="B289" s="68">
        <f>((1+B249)^B256)*B249/(((1+B249)^B256)-1)*(B246)/B261/(B258)</f>
        <v>-1.0336086682377807E-4</v>
      </c>
      <c r="C289" s="68">
        <f t="shared" ref="C289:AC289" si="117">((1+C249)^C256)*C249/(((1+C249)^C256)-1)*(C246)/C261/(C258)</f>
        <v>-1.0331170855999495E-4</v>
      </c>
      <c r="D289" s="68">
        <f t="shared" si="117"/>
        <v>-1.0324133960030145E-4</v>
      </c>
      <c r="E289" s="68">
        <f t="shared" si="117"/>
        <v>-1.0314067185489343E-4</v>
      </c>
      <c r="F289" s="68">
        <f t="shared" si="117"/>
        <v>-1.0299679543326449E-4</v>
      </c>
      <c r="G289" s="68">
        <f t="shared" si="117"/>
        <v>-1.0279145268661591E-4</v>
      </c>
      <c r="H289" s="68">
        <f t="shared" si="117"/>
        <v>-1.0249899423929835E-4</v>
      </c>
      <c r="I289" s="68">
        <f t="shared" si="117"/>
        <v>-1.0208374516854875E-4</v>
      </c>
      <c r="J289" s="68">
        <f t="shared" si="117"/>
        <v>-1.0149683050993223E-4</v>
      </c>
      <c r="K289" s="68">
        <f t="shared" si="117"/>
        <v>-1.0067281291805218E-4</v>
      </c>
      <c r="L289" s="68">
        <f t="shared" si="117"/>
        <v>-9.9527129337690295E-5</v>
      </c>
      <c r="M289" s="68">
        <f t="shared" si="117"/>
        <v>-9.7956440009122124E-5</v>
      </c>
      <c r="N289" s="68">
        <f t="shared" si="117"/>
        <v>-9.5845601859790468E-5</v>
      </c>
      <c r="O289" s="68">
        <f t="shared" si="117"/>
        <v>-9.3086328614673487E-5</v>
      </c>
      <c r="P289" s="68">
        <f t="shared" si="117"/>
        <v>-8.9611490340159677E-5</v>
      </c>
      <c r="Q289" s="68">
        <f t="shared" si="117"/>
        <v>-8.5441784155991385E-5</v>
      </c>
      <c r="R289" s="68">
        <f t="shared" si="117"/>
        <v>-8.0726790257955685E-5</v>
      </c>
      <c r="S289" s="68">
        <f t="shared" si="117"/>
        <v>-7.5749190544932557E-5</v>
      </c>
      <c r="T289" s="68">
        <f t="shared" si="117"/>
        <v>-7.086954068392259E-5</v>
      </c>
      <c r="U289" s="68">
        <f t="shared" si="117"/>
        <v>-6.6427494974906487E-5</v>
      </c>
      <c r="V289" s="68">
        <f t="shared" si="117"/>
        <v>-6.2652388681716054E-5</v>
      </c>
      <c r="W289" s="68">
        <f t="shared" si="117"/>
        <v>-5.9629204624102501E-5</v>
      </c>
      <c r="X289" s="68">
        <f t="shared" si="117"/>
        <v>-5.7322381009659713E-5</v>
      </c>
      <c r="Y289" s="68">
        <f t="shared" si="117"/>
        <v>-5.5626680645522941E-5</v>
      </c>
      <c r="Z289" s="68">
        <f t="shared" si="117"/>
        <v>-5.4414279416293167E-5</v>
      </c>
      <c r="AA289" s="68">
        <f t="shared" si="117"/>
        <v>-5.3564565201592909E-5</v>
      </c>
      <c r="AB289" s="68">
        <f t="shared" si="117"/>
        <v>-5.2977360451717727E-5</v>
      </c>
      <c r="AC289" s="68">
        <f t="shared" si="117"/>
        <v>-5.2575506979843073E-5</v>
      </c>
    </row>
    <row r="290" spans="1:29" x14ac:dyDescent="0.3">
      <c r="A290" s="30" t="str">
        <f t="shared" si="115"/>
        <v>Capex costumization</v>
      </c>
      <c r="B290" s="66">
        <f>((1+B249)^B257)*B249/(((1+B249)^B257)-1)*(B247)/B261/(B258)</f>
        <v>6.8982996659853576E-5</v>
      </c>
      <c r="C290" s="66">
        <f t="shared" ref="C290:AC290" si="118">((1+C249)^C257)*C249/(((1+C249)^C257)-1)*(C247)/C261/(C258)</f>
        <v>6.8982996659853576E-5</v>
      </c>
      <c r="D290" s="66">
        <f t="shared" si="118"/>
        <v>6.8982996659853576E-5</v>
      </c>
      <c r="E290" s="66">
        <f t="shared" si="118"/>
        <v>6.8982996659853576E-5</v>
      </c>
      <c r="F290" s="66">
        <f t="shared" si="118"/>
        <v>6.8982996659853576E-5</v>
      </c>
      <c r="G290" s="66">
        <f t="shared" si="118"/>
        <v>6.8982996659853576E-5</v>
      </c>
      <c r="H290" s="66">
        <f t="shared" si="118"/>
        <v>6.8982996659853576E-5</v>
      </c>
      <c r="I290" s="66">
        <f t="shared" si="118"/>
        <v>6.8982996659853576E-5</v>
      </c>
      <c r="J290" s="66">
        <f t="shared" si="118"/>
        <v>6.8982996659853576E-5</v>
      </c>
      <c r="K290" s="66">
        <f t="shared" si="118"/>
        <v>6.8982996659853576E-5</v>
      </c>
      <c r="L290" s="66">
        <f t="shared" si="118"/>
        <v>6.8982996659853576E-5</v>
      </c>
      <c r="M290" s="66">
        <f t="shared" si="118"/>
        <v>6.8982996659853576E-5</v>
      </c>
      <c r="N290" s="66">
        <f t="shared" si="118"/>
        <v>6.8982996659853576E-5</v>
      </c>
      <c r="O290" s="66">
        <f t="shared" si="118"/>
        <v>6.8982996659853576E-5</v>
      </c>
      <c r="P290" s="66">
        <f t="shared" si="118"/>
        <v>6.8982996659853576E-5</v>
      </c>
      <c r="Q290" s="66">
        <f t="shared" si="118"/>
        <v>6.8982996659853576E-5</v>
      </c>
      <c r="R290" s="66">
        <f t="shared" si="118"/>
        <v>6.8982996659853576E-5</v>
      </c>
      <c r="S290" s="66">
        <f t="shared" si="118"/>
        <v>6.8982996659853576E-5</v>
      </c>
      <c r="T290" s="66">
        <f t="shared" si="118"/>
        <v>6.8982996659853576E-5</v>
      </c>
      <c r="U290" s="66">
        <f t="shared" si="118"/>
        <v>6.8982996659853576E-5</v>
      </c>
      <c r="V290" s="66">
        <f t="shared" si="118"/>
        <v>6.8982996659853576E-5</v>
      </c>
      <c r="W290" s="66">
        <f t="shared" si="118"/>
        <v>6.8982996659853576E-5</v>
      </c>
      <c r="X290" s="66">
        <f t="shared" si="118"/>
        <v>6.8982996659853576E-5</v>
      </c>
      <c r="Y290" s="66">
        <f t="shared" si="118"/>
        <v>6.8982996659853576E-5</v>
      </c>
      <c r="Z290" s="66">
        <f t="shared" si="118"/>
        <v>6.8982996659853576E-5</v>
      </c>
      <c r="AA290" s="66">
        <f t="shared" si="118"/>
        <v>6.8982996659853576E-5</v>
      </c>
      <c r="AB290" s="66">
        <f t="shared" si="118"/>
        <v>6.8982996659853576E-5</v>
      </c>
      <c r="AC290" s="66">
        <f t="shared" si="118"/>
        <v>6.8982996659853576E-5</v>
      </c>
    </row>
    <row r="291" spans="1:29" x14ac:dyDescent="0.3">
      <c r="A291" s="30" t="str">
        <f t="shared" si="115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119">((1+C249)^C257)*C249/(((1+C249)^C257)-1)*(C248)/C261/(C258)</f>
        <v>-6.8982996659853564E-6</v>
      </c>
      <c r="D291" s="69">
        <f t="shared" si="119"/>
        <v>-6.8982996659853564E-6</v>
      </c>
      <c r="E291" s="69">
        <f t="shared" si="119"/>
        <v>-6.8982996659853564E-6</v>
      </c>
      <c r="F291" s="69">
        <f t="shared" si="119"/>
        <v>-6.8982996659853564E-6</v>
      </c>
      <c r="G291" s="69">
        <f t="shared" si="119"/>
        <v>-6.8982996659853564E-6</v>
      </c>
      <c r="H291" s="69">
        <f t="shared" si="119"/>
        <v>-6.8982996659853564E-6</v>
      </c>
      <c r="I291" s="69">
        <f t="shared" si="119"/>
        <v>-6.8982996659853564E-6</v>
      </c>
      <c r="J291" s="69">
        <f t="shared" si="119"/>
        <v>-6.8982996659853564E-6</v>
      </c>
      <c r="K291" s="69">
        <f t="shared" si="119"/>
        <v>-6.8982996659853564E-6</v>
      </c>
      <c r="L291" s="69">
        <f t="shared" si="119"/>
        <v>-6.8982996659853564E-6</v>
      </c>
      <c r="M291" s="69">
        <f t="shared" si="119"/>
        <v>-6.8982996659853564E-6</v>
      </c>
      <c r="N291" s="69">
        <f t="shared" si="119"/>
        <v>-6.8982996659853564E-6</v>
      </c>
      <c r="O291" s="69">
        <f t="shared" si="119"/>
        <v>-6.8982996659853564E-6</v>
      </c>
      <c r="P291" s="69">
        <f t="shared" si="119"/>
        <v>-6.8982996659853564E-6</v>
      </c>
      <c r="Q291" s="69">
        <f t="shared" si="119"/>
        <v>-6.8982996659853564E-6</v>
      </c>
      <c r="R291" s="69">
        <f t="shared" si="119"/>
        <v>-6.8982996659853564E-6</v>
      </c>
      <c r="S291" s="69">
        <f t="shared" si="119"/>
        <v>-6.8982996659853564E-6</v>
      </c>
      <c r="T291" s="69">
        <f t="shared" si="119"/>
        <v>-6.8982996659853564E-6</v>
      </c>
      <c r="U291" s="69">
        <f t="shared" si="119"/>
        <v>-6.8982996659853564E-6</v>
      </c>
      <c r="V291" s="69">
        <f t="shared" si="119"/>
        <v>-6.8982996659853564E-6</v>
      </c>
      <c r="W291" s="69">
        <f t="shared" si="119"/>
        <v>-6.8982996659853564E-6</v>
      </c>
      <c r="X291" s="69">
        <f t="shared" si="119"/>
        <v>-6.8982996659853564E-6</v>
      </c>
      <c r="Y291" s="69">
        <f t="shared" si="119"/>
        <v>-6.8982996659853564E-6</v>
      </c>
      <c r="Z291" s="69">
        <f t="shared" si="119"/>
        <v>-6.8982996659853564E-6</v>
      </c>
      <c r="AA291" s="69">
        <f t="shared" si="119"/>
        <v>-6.8982996659853564E-6</v>
      </c>
      <c r="AB291" s="69">
        <f t="shared" si="119"/>
        <v>-6.8982996659853564E-6</v>
      </c>
      <c r="AC291" s="69">
        <f t="shared" si="119"/>
        <v>-6.8982996659853564E-6</v>
      </c>
    </row>
    <row r="292" spans="1:29" x14ac:dyDescent="0.3">
      <c r="A292" s="30" t="str">
        <f t="shared" si="115"/>
        <v>Opex fix (admin, crew, insurance)</v>
      </c>
      <c r="B292" s="66">
        <f>B250/B261/(B258)</f>
        <v>1.0654632223259673E-3</v>
      </c>
      <c r="C292" s="66">
        <f t="shared" ref="C292:AC292" si="120">C250/C261/(C258)</f>
        <v>1.0654632223259673E-3</v>
      </c>
      <c r="D292" s="66">
        <f t="shared" si="120"/>
        <v>1.0654632223259673E-3</v>
      </c>
      <c r="E292" s="66">
        <f t="shared" si="120"/>
        <v>1.0654632223259673E-3</v>
      </c>
      <c r="F292" s="66">
        <f t="shared" si="120"/>
        <v>1.0654632223259673E-3</v>
      </c>
      <c r="G292" s="66">
        <f t="shared" si="120"/>
        <v>1.0654632223259673E-3</v>
      </c>
      <c r="H292" s="66">
        <f t="shared" si="120"/>
        <v>1.0654632223259673E-3</v>
      </c>
      <c r="I292" s="66">
        <f t="shared" si="120"/>
        <v>1.0654632223259673E-3</v>
      </c>
      <c r="J292" s="66">
        <f t="shared" si="120"/>
        <v>1.0654632223259673E-3</v>
      </c>
      <c r="K292" s="66">
        <f t="shared" si="120"/>
        <v>1.0654632223259673E-3</v>
      </c>
      <c r="L292" s="66">
        <f t="shared" si="120"/>
        <v>1.0654632223259673E-3</v>
      </c>
      <c r="M292" s="66">
        <f t="shared" si="120"/>
        <v>1.0654632223259673E-3</v>
      </c>
      <c r="N292" s="66">
        <f t="shared" si="120"/>
        <v>1.0654632223259673E-3</v>
      </c>
      <c r="O292" s="66">
        <f t="shared" si="120"/>
        <v>1.0654632223259673E-3</v>
      </c>
      <c r="P292" s="66">
        <f t="shared" si="120"/>
        <v>1.0654632223259673E-3</v>
      </c>
      <c r="Q292" s="66">
        <f t="shared" si="120"/>
        <v>1.0654632223259673E-3</v>
      </c>
      <c r="R292" s="66">
        <f t="shared" si="120"/>
        <v>1.0654632223259673E-3</v>
      </c>
      <c r="S292" s="66">
        <f t="shared" si="120"/>
        <v>1.0654632223259673E-3</v>
      </c>
      <c r="T292" s="66">
        <f t="shared" si="120"/>
        <v>1.0654632223259673E-3</v>
      </c>
      <c r="U292" s="66">
        <f t="shared" si="120"/>
        <v>1.0654632223259673E-3</v>
      </c>
      <c r="V292" s="66">
        <f t="shared" si="120"/>
        <v>1.0654632223259673E-3</v>
      </c>
      <c r="W292" s="66">
        <f t="shared" si="120"/>
        <v>1.0654632223259673E-3</v>
      </c>
      <c r="X292" s="66">
        <f t="shared" si="120"/>
        <v>1.0654632223259673E-3</v>
      </c>
      <c r="Y292" s="66">
        <f t="shared" si="120"/>
        <v>1.0654632223259673E-3</v>
      </c>
      <c r="Z292" s="66">
        <f t="shared" si="120"/>
        <v>1.0654632223259673E-3</v>
      </c>
      <c r="AA292" s="66">
        <f t="shared" si="120"/>
        <v>1.0654632223259673E-3</v>
      </c>
      <c r="AB292" s="66">
        <f t="shared" si="120"/>
        <v>1.0654632223259673E-3</v>
      </c>
      <c r="AC292" s="66">
        <f t="shared" si="120"/>
        <v>1.0654632223259673E-3</v>
      </c>
    </row>
    <row r="293" spans="1:29" x14ac:dyDescent="0.3">
      <c r="A293" s="30" t="str">
        <f t="shared" si="115"/>
        <v>Opex maintenance &amp; repair</v>
      </c>
      <c r="B293" s="66">
        <f>B251/B261/(B258)</f>
        <v>4.305425874053325E-4</v>
      </c>
      <c r="C293" s="66">
        <f t="shared" ref="C293:AC293" si="121">C251/C261/(C258)</f>
        <v>4.305425874053325E-4</v>
      </c>
      <c r="D293" s="66">
        <f t="shared" si="121"/>
        <v>4.305425874053325E-4</v>
      </c>
      <c r="E293" s="66">
        <f t="shared" si="121"/>
        <v>4.305425874053325E-4</v>
      </c>
      <c r="F293" s="66">
        <f t="shared" si="121"/>
        <v>4.305425874053325E-4</v>
      </c>
      <c r="G293" s="66">
        <f t="shared" si="121"/>
        <v>4.305425874053325E-4</v>
      </c>
      <c r="H293" s="66">
        <f t="shared" si="121"/>
        <v>4.305425874053325E-4</v>
      </c>
      <c r="I293" s="66">
        <f t="shared" si="121"/>
        <v>4.305425874053325E-4</v>
      </c>
      <c r="J293" s="66">
        <f t="shared" si="121"/>
        <v>4.305425874053325E-4</v>
      </c>
      <c r="K293" s="66">
        <f t="shared" si="121"/>
        <v>4.305425874053325E-4</v>
      </c>
      <c r="L293" s="66">
        <f t="shared" si="121"/>
        <v>4.305425874053325E-4</v>
      </c>
      <c r="M293" s="66">
        <f t="shared" si="121"/>
        <v>4.305425874053325E-4</v>
      </c>
      <c r="N293" s="66">
        <f t="shared" si="121"/>
        <v>4.305425874053325E-4</v>
      </c>
      <c r="O293" s="66">
        <f t="shared" si="121"/>
        <v>4.305425874053325E-4</v>
      </c>
      <c r="P293" s="66">
        <f t="shared" si="121"/>
        <v>4.305425874053325E-4</v>
      </c>
      <c r="Q293" s="66">
        <f t="shared" si="121"/>
        <v>4.305425874053325E-4</v>
      </c>
      <c r="R293" s="66">
        <f t="shared" si="121"/>
        <v>4.305425874053325E-4</v>
      </c>
      <c r="S293" s="66">
        <f t="shared" si="121"/>
        <v>4.305425874053325E-4</v>
      </c>
      <c r="T293" s="66">
        <f t="shared" si="121"/>
        <v>4.305425874053325E-4</v>
      </c>
      <c r="U293" s="66">
        <f t="shared" si="121"/>
        <v>4.305425874053325E-4</v>
      </c>
      <c r="V293" s="66">
        <f t="shared" si="121"/>
        <v>4.305425874053325E-4</v>
      </c>
      <c r="W293" s="66">
        <f t="shared" si="121"/>
        <v>4.305425874053325E-4</v>
      </c>
      <c r="X293" s="66">
        <f t="shared" si="121"/>
        <v>4.305425874053325E-4</v>
      </c>
      <c r="Y293" s="66">
        <f t="shared" si="121"/>
        <v>4.305425874053325E-4</v>
      </c>
      <c r="Z293" s="66">
        <f t="shared" si="121"/>
        <v>4.305425874053325E-4</v>
      </c>
      <c r="AA293" s="66">
        <f t="shared" si="121"/>
        <v>4.305425874053325E-4</v>
      </c>
      <c r="AB293" s="66">
        <f t="shared" si="121"/>
        <v>4.305425874053325E-4</v>
      </c>
      <c r="AC293" s="66">
        <f t="shared" si="121"/>
        <v>4.305425874053325E-4</v>
      </c>
    </row>
    <row r="294" spans="1:29" x14ac:dyDescent="0.3">
      <c r="A294" s="30" t="str">
        <f t="shared" si="115"/>
        <v>Opex var (mode-fees)</v>
      </c>
      <c r="B294" s="66">
        <f>B252*B261/B261/(B258)</f>
        <v>8.6011184229469056E-5</v>
      </c>
      <c r="C294" s="66">
        <f t="shared" ref="C294:AC294" si="122">C252*C261/C261/(C258)</f>
        <v>8.6011184229469056E-5</v>
      </c>
      <c r="D294" s="66">
        <f t="shared" si="122"/>
        <v>8.6011184229469056E-5</v>
      </c>
      <c r="E294" s="66">
        <f t="shared" si="122"/>
        <v>8.6011184229469056E-5</v>
      </c>
      <c r="F294" s="66">
        <f t="shared" si="122"/>
        <v>8.6011184229469056E-5</v>
      </c>
      <c r="G294" s="66">
        <f t="shared" si="122"/>
        <v>8.6011184229469056E-5</v>
      </c>
      <c r="H294" s="66">
        <f t="shared" si="122"/>
        <v>8.6011184229469056E-5</v>
      </c>
      <c r="I294" s="66">
        <f t="shared" si="122"/>
        <v>8.6011184229469056E-5</v>
      </c>
      <c r="J294" s="66">
        <f t="shared" si="122"/>
        <v>8.6011184229469056E-5</v>
      </c>
      <c r="K294" s="66">
        <f t="shared" si="122"/>
        <v>8.6011184229469056E-5</v>
      </c>
      <c r="L294" s="66">
        <f t="shared" si="122"/>
        <v>8.6011184229469056E-5</v>
      </c>
      <c r="M294" s="66">
        <f t="shared" si="122"/>
        <v>8.6011184229469056E-5</v>
      </c>
      <c r="N294" s="66">
        <f t="shared" si="122"/>
        <v>8.6011184229469056E-5</v>
      </c>
      <c r="O294" s="66">
        <f t="shared" si="122"/>
        <v>8.6011184229469056E-5</v>
      </c>
      <c r="P294" s="66">
        <f t="shared" si="122"/>
        <v>8.6011184229469056E-5</v>
      </c>
      <c r="Q294" s="66">
        <f t="shared" si="122"/>
        <v>8.6011184229469056E-5</v>
      </c>
      <c r="R294" s="66">
        <f t="shared" si="122"/>
        <v>8.6011184229469056E-5</v>
      </c>
      <c r="S294" s="66">
        <f t="shared" si="122"/>
        <v>8.6011184229469056E-5</v>
      </c>
      <c r="T294" s="66">
        <f t="shared" si="122"/>
        <v>8.6011184229469056E-5</v>
      </c>
      <c r="U294" s="66">
        <f t="shared" si="122"/>
        <v>8.6011184229469056E-5</v>
      </c>
      <c r="V294" s="66">
        <f t="shared" si="122"/>
        <v>8.6011184229469056E-5</v>
      </c>
      <c r="W294" s="66">
        <f t="shared" si="122"/>
        <v>8.6011184229469056E-5</v>
      </c>
      <c r="X294" s="66">
        <f t="shared" si="122"/>
        <v>8.6011184229469056E-5</v>
      </c>
      <c r="Y294" s="66">
        <f t="shared" si="122"/>
        <v>8.6011184229469056E-5</v>
      </c>
      <c r="Z294" s="66">
        <f t="shared" si="122"/>
        <v>8.6011184229469056E-5</v>
      </c>
      <c r="AA294" s="66">
        <f t="shared" si="122"/>
        <v>8.6011184229469056E-5</v>
      </c>
      <c r="AB294" s="66">
        <f t="shared" si="122"/>
        <v>8.6011184229469056E-5</v>
      </c>
      <c r="AC294" s="66">
        <f t="shared" si="122"/>
        <v>8.6011184229469056E-5</v>
      </c>
    </row>
    <row r="295" spans="1:29" x14ac:dyDescent="0.3">
      <c r="A295" s="30" t="str">
        <f t="shared" si="115"/>
        <v>Fuel Cost</v>
      </c>
      <c r="B295" s="66">
        <f>B253*B254*B261/B261/(B258)</f>
        <v>2.1494771182553069E-3</v>
      </c>
      <c r="C295" s="66">
        <f t="shared" ref="C295:AC295" si="123">C253*C254*C261/C261/(C258)</f>
        <v>2.1493287336269364E-3</v>
      </c>
      <c r="D295" s="66">
        <f t="shared" si="123"/>
        <v>2.1491163243364253E-3</v>
      </c>
      <c r="E295" s="66">
        <f t="shared" si="123"/>
        <v>2.14881245790906E-3</v>
      </c>
      <c r="F295" s="66">
        <f t="shared" si="123"/>
        <v>2.1483781657328982E-3</v>
      </c>
      <c r="G295" s="66">
        <f t="shared" si="123"/>
        <v>2.1477583369430842E-3</v>
      </c>
      <c r="H295" s="66">
        <f t="shared" si="123"/>
        <v>2.1468755486857413E-3</v>
      </c>
      <c r="I295" s="66">
        <f t="shared" si="123"/>
        <v>2.1456221159095916E-3</v>
      </c>
      <c r="J295" s="66">
        <f t="shared" si="123"/>
        <v>2.1438505091277019E-3</v>
      </c>
      <c r="K295" s="66">
        <f t="shared" si="123"/>
        <v>2.1413632051683635E-3</v>
      </c>
      <c r="L295" s="66">
        <f t="shared" si="123"/>
        <v>2.1379049497455864E-3</v>
      </c>
      <c r="M295" s="66">
        <f t="shared" si="123"/>
        <v>2.1331638109345504E-3</v>
      </c>
      <c r="N295" s="66">
        <f t="shared" si="123"/>
        <v>2.1267922284124146E-3</v>
      </c>
      <c r="O295" s="66">
        <f t="shared" si="123"/>
        <v>2.118463339156764E-3</v>
      </c>
      <c r="P295" s="66">
        <f t="shared" si="123"/>
        <v>2.1079745109042758E-3</v>
      </c>
      <c r="Q295" s="66">
        <f t="shared" si="123"/>
        <v>2.0953882180831502E-3</v>
      </c>
      <c r="R295" s="66">
        <f t="shared" si="123"/>
        <v>2.0811559697593205E-3</v>
      </c>
      <c r="S295" s="66">
        <f t="shared" si="123"/>
        <v>2.0661310435972982E-3</v>
      </c>
      <c r="T295" s="66">
        <f t="shared" si="123"/>
        <v>2.0514017798788087E-3</v>
      </c>
      <c r="U295" s="66">
        <f t="shared" si="123"/>
        <v>2.037993427935265E-3</v>
      </c>
      <c r="V295" s="66">
        <f t="shared" si="123"/>
        <v>2.0265982381692882E-3</v>
      </c>
      <c r="W295" s="66">
        <f t="shared" si="123"/>
        <v>2.0174727319296035E-3</v>
      </c>
      <c r="X295" s="66">
        <f t="shared" si="123"/>
        <v>2.0105095656498539E-3</v>
      </c>
      <c r="Y295" s="66">
        <f t="shared" si="123"/>
        <v>2.0053910799874954E-3</v>
      </c>
      <c r="Z295" s="66">
        <f t="shared" si="123"/>
        <v>2.0017314367863233E-3</v>
      </c>
      <c r="AA295" s="66">
        <f t="shared" si="123"/>
        <v>1.9991665673571302E-3</v>
      </c>
      <c r="AB295" s="66">
        <f t="shared" si="123"/>
        <v>1.9973940849323628E-3</v>
      </c>
      <c r="AC295" s="66">
        <f t="shared" si="123"/>
        <v>1.9961810868829068E-3</v>
      </c>
    </row>
    <row r="296" spans="1:29" x14ac:dyDescent="0.3">
      <c r="A296" s="59" t="str">
        <f>A259</f>
        <v>Market failure (av. utilization)</v>
      </c>
      <c r="B296" s="66">
        <f t="shared" ref="B296:AC296" si="124">B285/B259-B285/B258</f>
        <v>1.0435341543790697E-2</v>
      </c>
      <c r="C296" s="66">
        <f t="shared" si="124"/>
        <v>1.044160609931334E-2</v>
      </c>
      <c r="D296" s="66">
        <f t="shared" si="124"/>
        <v>1.045057367101228E-2</v>
      </c>
      <c r="E296" s="66">
        <f t="shared" si="124"/>
        <v>1.0463402412955449E-2</v>
      </c>
      <c r="F296" s="66">
        <f t="shared" si="124"/>
        <v>1.0481737515994686E-2</v>
      </c>
      <c r="G296" s="66">
        <f t="shared" si="124"/>
        <v>1.0507905670411764E-2</v>
      </c>
      <c r="H296" s="66">
        <f t="shared" si="124"/>
        <v>1.0545175542052676E-2</v>
      </c>
      <c r="I296" s="66">
        <f t="shared" si="124"/>
        <v>1.0598093417080026E-2</v>
      </c>
      <c r="J296" s="66">
        <f t="shared" si="124"/>
        <v>1.0672887748348065E-2</v>
      </c>
      <c r="K296" s="66">
        <f t="shared" si="124"/>
        <v>1.0777897640046878E-2</v>
      </c>
      <c r="L296" s="66">
        <f t="shared" si="124"/>
        <v>1.0923899509279337E-2</v>
      </c>
      <c r="M296" s="66">
        <f t="shared" si="124"/>
        <v>1.112406261005624E-2</v>
      </c>
      <c r="N296" s="66">
        <f t="shared" si="124"/>
        <v>1.1393060368889662E-2</v>
      </c>
      <c r="O296" s="66">
        <f t="shared" si="124"/>
        <v>1.1744692406230141E-2</v>
      </c>
      <c r="P296" s="66">
        <f t="shared" si="124"/>
        <v>1.2187513523732095E-2</v>
      </c>
      <c r="Q296" s="66">
        <f t="shared" si="124"/>
        <v>1.271888615355227E-2</v>
      </c>
      <c r="R296" s="66">
        <f t="shared" si="124"/>
        <v>1.3319748323816933E-2</v>
      </c>
      <c r="S296" s="66">
        <f t="shared" si="124"/>
        <v>1.3954076051689888E-2</v>
      </c>
      <c r="T296" s="66">
        <f t="shared" si="124"/>
        <v>1.4575921396355032E-2</v>
      </c>
      <c r="U296" s="66">
        <f t="shared" si="124"/>
        <v>1.5142000013391247E-2</v>
      </c>
      <c r="V296" s="66">
        <f t="shared" si="124"/>
        <v>1.5623086226726786E-2</v>
      </c>
      <c r="W296" s="66">
        <f t="shared" si="124"/>
        <v>1.6008350125949221E-2</v>
      </c>
      <c r="X296" s="66">
        <f t="shared" si="124"/>
        <v>1.6302323580288006E-2</v>
      </c>
      <c r="Y296" s="66">
        <f t="shared" si="124"/>
        <v>1.6518417645932135E-2</v>
      </c>
      <c r="Z296" s="66">
        <f t="shared" si="124"/>
        <v>1.6672921776707365E-2</v>
      </c>
      <c r="AA296" s="66">
        <f t="shared" si="124"/>
        <v>1.6781206355264776E-2</v>
      </c>
      <c r="AB296" s="66">
        <f t="shared" si="124"/>
        <v>1.6856037654738296E-2</v>
      </c>
      <c r="AC296" s="66">
        <f t="shared" si="124"/>
        <v>1.6907248441954705E-2</v>
      </c>
    </row>
    <row r="297" spans="1:29" x14ac:dyDescent="0.3">
      <c r="A297" s="59" t="str">
        <f>A260</f>
        <v>Payload loss (fuel)</v>
      </c>
      <c r="B297" s="66">
        <f>B285/(B258-B260)-B285/B258</f>
        <v>0</v>
      </c>
      <c r="C297" s="66">
        <f t="shared" ref="C297:AC297" si="125">C285/(C258-C260)-C285/C258</f>
        <v>0</v>
      </c>
      <c r="D297" s="66">
        <f t="shared" si="125"/>
        <v>0</v>
      </c>
      <c r="E297" s="66">
        <f t="shared" si="125"/>
        <v>0</v>
      </c>
      <c r="F297" s="66">
        <f t="shared" si="125"/>
        <v>0</v>
      </c>
      <c r="G297" s="66">
        <f t="shared" si="125"/>
        <v>0</v>
      </c>
      <c r="H297" s="66">
        <f t="shared" si="125"/>
        <v>0</v>
      </c>
      <c r="I297" s="66">
        <f t="shared" si="125"/>
        <v>0</v>
      </c>
      <c r="J297" s="66">
        <f t="shared" si="125"/>
        <v>0</v>
      </c>
      <c r="K297" s="66">
        <f t="shared" si="125"/>
        <v>0</v>
      </c>
      <c r="L297" s="66">
        <f t="shared" si="125"/>
        <v>0</v>
      </c>
      <c r="M297" s="66">
        <f t="shared" si="125"/>
        <v>0</v>
      </c>
      <c r="N297" s="66">
        <f t="shared" si="125"/>
        <v>0</v>
      </c>
      <c r="O297" s="66">
        <f t="shared" si="125"/>
        <v>0</v>
      </c>
      <c r="P297" s="66">
        <f t="shared" si="125"/>
        <v>0</v>
      </c>
      <c r="Q297" s="66">
        <f t="shared" si="125"/>
        <v>0</v>
      </c>
      <c r="R297" s="66">
        <f t="shared" si="125"/>
        <v>0</v>
      </c>
      <c r="S297" s="66">
        <f t="shared" si="125"/>
        <v>0</v>
      </c>
      <c r="T297" s="66">
        <f t="shared" si="125"/>
        <v>0</v>
      </c>
      <c r="U297" s="66">
        <f t="shared" si="125"/>
        <v>0</v>
      </c>
      <c r="V297" s="66">
        <f t="shared" si="125"/>
        <v>0</v>
      </c>
      <c r="W297" s="66">
        <f t="shared" si="125"/>
        <v>0</v>
      </c>
      <c r="X297" s="66">
        <f t="shared" si="125"/>
        <v>0</v>
      </c>
      <c r="Y297" s="66">
        <f t="shared" si="125"/>
        <v>0</v>
      </c>
      <c r="Z297" s="66">
        <f t="shared" si="125"/>
        <v>0</v>
      </c>
      <c r="AA297" s="66">
        <f t="shared" si="125"/>
        <v>0</v>
      </c>
      <c r="AB297" s="66">
        <f t="shared" si="125"/>
        <v>0</v>
      </c>
      <c r="AC297" s="66">
        <f t="shared" si="125"/>
        <v>0</v>
      </c>
    </row>
    <row r="298" spans="1:29" ht="15" thickBot="1" x14ac:dyDescent="0.35">
      <c r="A298" s="59" t="str">
        <f>A235</f>
        <v>Emission Cost</v>
      </c>
      <c r="B298" s="68">
        <f>B255*B261/B261/(B258)</f>
        <v>1.9330162494961441E-3</v>
      </c>
      <c r="C298" s="68">
        <f t="shared" ref="C298:AC298" si="126">C255*C261/C261/(C258)</f>
        <v>1.9371206834899628E-3</v>
      </c>
      <c r="D298" s="68">
        <f t="shared" si="126"/>
        <v>1.9429960893332179E-3</v>
      </c>
      <c r="E298" s="68">
        <f t="shared" si="126"/>
        <v>1.9514012705690036E-3</v>
      </c>
      <c r="F298" s="68">
        <f t="shared" si="126"/>
        <v>1.9634141292502638E-3</v>
      </c>
      <c r="G298" s="68">
        <f t="shared" si="126"/>
        <v>1.9805590746748382E-3</v>
      </c>
      <c r="H298" s="68">
        <f t="shared" si="126"/>
        <v>2.0049776830749549E-3</v>
      </c>
      <c r="I298" s="68">
        <f t="shared" si="126"/>
        <v>2.0396486065519404E-3</v>
      </c>
      <c r="J298" s="68">
        <f t="shared" si="126"/>
        <v>2.0886526252236323E-3</v>
      </c>
      <c r="K298" s="68">
        <f t="shared" si="126"/>
        <v>2.1574533833329558E-3</v>
      </c>
      <c r="L298" s="68">
        <f t="shared" si="126"/>
        <v>2.2531114125534991E-3</v>
      </c>
      <c r="M298" s="68">
        <f t="shared" si="126"/>
        <v>2.3842549920408719E-3</v>
      </c>
      <c r="N298" s="68">
        <f t="shared" si="126"/>
        <v>2.5604979100940593E-3</v>
      </c>
      <c r="O298" s="68">
        <f t="shared" si="126"/>
        <v>2.7908814516173566E-3</v>
      </c>
      <c r="P298" s="68">
        <f t="shared" si="126"/>
        <v>3.0810105822933029E-3</v>
      </c>
      <c r="Q298" s="68">
        <f t="shared" si="126"/>
        <v>3.4291572109464382E-3</v>
      </c>
      <c r="R298" s="68">
        <f t="shared" si="126"/>
        <v>3.8228322463611155E-3</v>
      </c>
      <c r="S298" s="68">
        <f t="shared" si="126"/>
        <v>4.2384333660403627E-3</v>
      </c>
      <c r="T298" s="68">
        <f t="shared" si="126"/>
        <v>4.6458562330444131E-3</v>
      </c>
      <c r="U298" s="68">
        <f t="shared" si="126"/>
        <v>5.0167416550889786E-3</v>
      </c>
      <c r="V298" s="68">
        <f t="shared" si="126"/>
        <v>5.3319414487271117E-3</v>
      </c>
      <c r="W298" s="68">
        <f t="shared" si="126"/>
        <v>5.5843600343464736E-3</v>
      </c>
      <c r="X298" s="68">
        <f t="shared" si="126"/>
        <v>5.7769666183103488E-3</v>
      </c>
      <c r="Y298" s="68">
        <f t="shared" si="126"/>
        <v>5.9185479045941606E-3</v>
      </c>
      <c r="Z298" s="68">
        <f t="shared" si="126"/>
        <v>6.0197764760781397E-3</v>
      </c>
      <c r="AA298" s="68">
        <f t="shared" si="126"/>
        <v>6.090722755288349E-3</v>
      </c>
      <c r="AB298" s="68">
        <f t="shared" si="126"/>
        <v>6.1397509949217199E-3</v>
      </c>
      <c r="AC298" s="68">
        <f t="shared" si="126"/>
        <v>6.1733034624737292E-3</v>
      </c>
    </row>
    <row r="299" spans="1:29" ht="15" thickBot="1" x14ac:dyDescent="0.35">
      <c r="A299" s="31" t="s">
        <v>210</v>
      </c>
      <c r="B299" s="77">
        <f>B288+B289+B290+B291+B292+B293+B294+B295+B296+B297+B298</f>
        <v>1.7093320685570811E-2</v>
      </c>
      <c r="C299" s="67">
        <f t="shared" ref="C299:AC299" si="127">C288+C289+C290+C291+C292+C293+C294+C295+C296+C297+C298</f>
        <v>1.7103590448722682E-2</v>
      </c>
      <c r="D299" s="67">
        <f t="shared" si="127"/>
        <v>1.7118291385934063E-2</v>
      </c>
      <c r="E299" s="67">
        <f t="shared" si="127"/>
        <v>1.7139322110431062E-2</v>
      </c>
      <c r="F299" s="67">
        <f t="shared" si="127"/>
        <v>1.7169379656397026E-2</v>
      </c>
      <c r="G299" s="67">
        <f t="shared" si="127"/>
        <v>1.7212278270195513E-2</v>
      </c>
      <c r="H299" s="67">
        <f t="shared" si="127"/>
        <v>1.7273376420426513E-2</v>
      </c>
      <c r="I299" s="67">
        <f t="shared" si="127"/>
        <v>1.7360127035225451E-2</v>
      </c>
      <c r="J299" s="67">
        <f t="shared" si="127"/>
        <v>1.7482740693041909E-2</v>
      </c>
      <c r="K299" s="67">
        <f t="shared" si="127"/>
        <v>1.7654888056482586E-2</v>
      </c>
      <c r="L299" s="67">
        <f t="shared" si="127"/>
        <v>1.7894235383093173E-2</v>
      </c>
      <c r="M299" s="67">
        <f t="shared" si="127"/>
        <v>1.8222371613874983E-2</v>
      </c>
      <c r="N299" s="67">
        <f t="shared" si="127"/>
        <v>1.8663351546388783E-2</v>
      </c>
      <c r="O299" s="67">
        <f t="shared" si="127"/>
        <v>1.9239797509242026E-2</v>
      </c>
      <c r="P299" s="67">
        <f t="shared" si="127"/>
        <v>1.9965733767441953E-2</v>
      </c>
      <c r="Q299" s="67">
        <f t="shared" si="127"/>
        <v>2.0836836439278309E-2</v>
      </c>
      <c r="R299" s="67">
        <f t="shared" si="127"/>
        <v>2.1821856390531857E-2</v>
      </c>
      <c r="S299" s="67">
        <f t="shared" si="127"/>
        <v>2.2861737911635059E-2</v>
      </c>
      <c r="T299" s="67">
        <f t="shared" si="127"/>
        <v>2.3881156509446774E-2</v>
      </c>
      <c r="U299" s="67">
        <f t="shared" si="127"/>
        <v>2.4809154242293022E-2</v>
      </c>
      <c r="V299" s="67">
        <f t="shared" si="127"/>
        <v>2.559782016579391E-2</v>
      </c>
      <c r="W299" s="67">
        <f t="shared" si="127"/>
        <v>2.6229400328453636E-2</v>
      </c>
      <c r="X299" s="67">
        <f t="shared" si="127"/>
        <v>2.6711324024090988E-2</v>
      </c>
      <c r="Y299" s="67">
        <f t="shared" si="127"/>
        <v>2.7065576590720709E-2</v>
      </c>
      <c r="Z299" s="67">
        <f t="shared" si="127"/>
        <v>2.7318862051007975E-2</v>
      </c>
      <c r="AA299" s="67">
        <f t="shared" si="127"/>
        <v>2.7496377753561101E-2</v>
      </c>
      <c r="AB299" s="67">
        <f t="shared" si="127"/>
        <v>2.7619052014993102E-2</v>
      </c>
      <c r="AC299" s="67">
        <f t="shared" si="127"/>
        <v>2.7703004125183936E-2</v>
      </c>
    </row>
    <row r="301" spans="1:29" x14ac:dyDescent="0.3">
      <c r="B301" s="40"/>
    </row>
    <row r="324" spans="1:44" s="3" customFormat="1" ht="21" x14ac:dyDescent="0.4">
      <c r="A324" s="2" t="str">
        <f>'Parameter Input'!A178</f>
        <v>Short-sea:  Neo bulk</v>
      </c>
    </row>
    <row r="325" spans="1:44" s="3" customFormat="1" ht="21" x14ac:dyDescent="0.4">
      <c r="A325" s="2" t="s">
        <v>291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Input'!$L$154</f>
        <v>15000000</v>
      </c>
      <c r="C334" s="42">
        <f>'Parameter Input'!$M$154</f>
        <v>15000000</v>
      </c>
      <c r="D334" s="1" t="s">
        <v>15</v>
      </c>
      <c r="L334" s="51">
        <f>'Parameter Input'!$O$142</f>
        <v>17</v>
      </c>
      <c r="M334" s="52">
        <v>0</v>
      </c>
      <c r="N334" s="52">
        <v>1</v>
      </c>
      <c r="O334" s="52">
        <f>'Parameter Input'!$P$142</f>
        <v>0.9</v>
      </c>
      <c r="P334" s="53">
        <f>'Parameter Input'!$Q$142</f>
        <v>0.4</v>
      </c>
      <c r="Q334" s="4">
        <f t="shared" ref="Q334:AR343" si="128">$N334+($M334-$N334)*((1/(1+EXP(-$P334*(Q$9-$L334)))^$O334))</f>
        <v>0.99780374543478534</v>
      </c>
      <c r="R334" s="4">
        <f t="shared" si="128"/>
        <v>0.99685359315256394</v>
      </c>
      <c r="S334" s="4">
        <f t="shared" si="128"/>
        <v>0.99549347132349975</v>
      </c>
      <c r="T334" s="4">
        <f t="shared" si="128"/>
        <v>0.99354772139898062</v>
      </c>
      <c r="U334" s="4">
        <f t="shared" si="128"/>
        <v>0.99076681540580536</v>
      </c>
      <c r="V334" s="4">
        <f t="shared" si="128"/>
        <v>0.9867978615748374</v>
      </c>
      <c r="W334" s="4">
        <f t="shared" si="128"/>
        <v>0.98114509762858249</v>
      </c>
      <c r="X334" s="4">
        <f t="shared" si="128"/>
        <v>0.97311898315872036</v>
      </c>
      <c r="Y334" s="4">
        <f t="shared" si="128"/>
        <v>0.96177484161592774</v>
      </c>
      <c r="Z334" s="4">
        <f t="shared" si="128"/>
        <v>0.94584787155511363</v>
      </c>
      <c r="AA334" s="4">
        <f t="shared" si="128"/>
        <v>0.92370360150141495</v>
      </c>
      <c r="AB334" s="4">
        <f t="shared" si="128"/>
        <v>0.89334463567658451</v>
      </c>
      <c r="AC334" s="4">
        <f t="shared" si="128"/>
        <v>0.85254543874327005</v>
      </c>
      <c r="AD334" s="4">
        <f t="shared" si="128"/>
        <v>0.79921300652623883</v>
      </c>
      <c r="AE334" s="4">
        <f t="shared" si="128"/>
        <v>0.73204982249993378</v>
      </c>
      <c r="AF334" s="4">
        <f t="shared" si="128"/>
        <v>0.65145592958786691</v>
      </c>
      <c r="AG334" s="4">
        <f t="shared" si="128"/>
        <v>0.56032247880849573</v>
      </c>
      <c r="AH334" s="4">
        <f t="shared" si="128"/>
        <v>0.46411326873185343</v>
      </c>
      <c r="AI334" s="4">
        <f t="shared" si="128"/>
        <v>0.36979727595523937</v>
      </c>
      <c r="AJ334" s="4">
        <f t="shared" si="128"/>
        <v>0.28393948637231203</v>
      </c>
      <c r="AK334" s="4">
        <f t="shared" si="128"/>
        <v>0.21097259161117732</v>
      </c>
      <c r="AL334" s="4">
        <f t="shared" si="128"/>
        <v>0.15253917653798199</v>
      </c>
      <c r="AM334" s="4">
        <f t="shared" si="128"/>
        <v>0.10795188737709993</v>
      </c>
      <c r="AN334" s="4">
        <f t="shared" si="128"/>
        <v>7.5176653938091809E-2</v>
      </c>
      <c r="AO334" s="4">
        <f t="shared" si="128"/>
        <v>5.1742836177502194E-2</v>
      </c>
      <c r="AP334" s="4">
        <f t="shared" si="128"/>
        <v>3.5319190625345942E-2</v>
      </c>
      <c r="AQ334" s="4">
        <f t="shared" si="128"/>
        <v>2.3969442072658165E-2</v>
      </c>
      <c r="AR334" s="4">
        <f t="shared" si="128"/>
        <v>1.6202243558389728E-2</v>
      </c>
    </row>
    <row r="335" spans="1:44" x14ac:dyDescent="0.3">
      <c r="A335" s="24" t="s">
        <v>28</v>
      </c>
      <c r="B335" s="60">
        <f>'Parameter Input'!$L$155</f>
        <v>-1500000</v>
      </c>
      <c r="C335" s="61">
        <f>'Parameter Input'!$M$155</f>
        <v>-750000</v>
      </c>
      <c r="D335" s="1" t="s">
        <v>15</v>
      </c>
      <c r="L335" s="54">
        <f>'Parameter Input'!$O$143</f>
        <v>17</v>
      </c>
      <c r="M335" s="37">
        <v>0</v>
      </c>
      <c r="N335" s="37">
        <v>1</v>
      </c>
      <c r="O335" s="37">
        <f>'Parameter Input'!$P$143</f>
        <v>0.9</v>
      </c>
      <c r="P335" s="55">
        <f>'Parameter Input'!$Q$143</f>
        <v>0.4</v>
      </c>
      <c r="Q335" s="4">
        <f t="shared" si="128"/>
        <v>0.99780374543478534</v>
      </c>
      <c r="R335" s="4">
        <f t="shared" si="128"/>
        <v>0.99685359315256394</v>
      </c>
      <c r="S335" s="4">
        <f t="shared" si="128"/>
        <v>0.99549347132349975</v>
      </c>
      <c r="T335" s="4">
        <f t="shared" si="128"/>
        <v>0.99354772139898062</v>
      </c>
      <c r="U335" s="4">
        <f t="shared" si="128"/>
        <v>0.99076681540580536</v>
      </c>
      <c r="V335" s="4">
        <f t="shared" si="128"/>
        <v>0.9867978615748374</v>
      </c>
      <c r="W335" s="4">
        <f t="shared" si="128"/>
        <v>0.98114509762858249</v>
      </c>
      <c r="X335" s="4">
        <f t="shared" si="128"/>
        <v>0.97311898315872036</v>
      </c>
      <c r="Y335" s="4">
        <f t="shared" si="128"/>
        <v>0.96177484161592774</v>
      </c>
      <c r="Z335" s="4">
        <f t="shared" si="128"/>
        <v>0.94584787155511363</v>
      </c>
      <c r="AA335" s="4">
        <f t="shared" si="128"/>
        <v>0.92370360150141495</v>
      </c>
      <c r="AB335" s="4">
        <f t="shared" si="128"/>
        <v>0.89334463567658451</v>
      </c>
      <c r="AC335" s="4">
        <f t="shared" si="128"/>
        <v>0.85254543874327005</v>
      </c>
      <c r="AD335" s="4">
        <f t="shared" si="128"/>
        <v>0.79921300652623883</v>
      </c>
      <c r="AE335" s="4">
        <f t="shared" si="128"/>
        <v>0.73204982249993378</v>
      </c>
      <c r="AF335" s="4">
        <f t="shared" si="128"/>
        <v>0.65145592958786691</v>
      </c>
      <c r="AG335" s="4">
        <f t="shared" si="128"/>
        <v>0.56032247880849573</v>
      </c>
      <c r="AH335" s="4">
        <f t="shared" si="128"/>
        <v>0.46411326873185343</v>
      </c>
      <c r="AI335" s="4">
        <f t="shared" si="128"/>
        <v>0.36979727595523937</v>
      </c>
      <c r="AJ335" s="4">
        <f t="shared" si="128"/>
        <v>0.28393948637231203</v>
      </c>
      <c r="AK335" s="4">
        <f t="shared" si="128"/>
        <v>0.21097259161117732</v>
      </c>
      <c r="AL335" s="4">
        <f t="shared" si="128"/>
        <v>0.15253917653798199</v>
      </c>
      <c r="AM335" s="4">
        <f t="shared" si="128"/>
        <v>0.10795188737709993</v>
      </c>
      <c r="AN335" s="4">
        <f t="shared" si="128"/>
        <v>7.5176653938091809E-2</v>
      </c>
      <c r="AO335" s="4">
        <f t="shared" si="128"/>
        <v>5.1742836177502194E-2</v>
      </c>
      <c r="AP335" s="4">
        <f t="shared" si="128"/>
        <v>3.5319190625345942E-2</v>
      </c>
      <c r="AQ335" s="4">
        <f t="shared" si="128"/>
        <v>2.3969442072658165E-2</v>
      </c>
      <c r="AR335" s="4">
        <f t="shared" si="128"/>
        <v>1.6202243558389728E-2</v>
      </c>
    </row>
    <row r="336" spans="1:44" x14ac:dyDescent="0.3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128"/>
        <v>0.99780374543478534</v>
      </c>
      <c r="R336" s="4">
        <f t="shared" si="128"/>
        <v>0.99685359315256394</v>
      </c>
      <c r="S336" s="4">
        <f t="shared" si="128"/>
        <v>0.99549347132349975</v>
      </c>
      <c r="T336" s="4">
        <f t="shared" si="128"/>
        <v>0.99354772139898062</v>
      </c>
      <c r="U336" s="4">
        <f t="shared" si="128"/>
        <v>0.99076681540580536</v>
      </c>
      <c r="V336" s="4">
        <f t="shared" si="128"/>
        <v>0.9867978615748374</v>
      </c>
      <c r="W336" s="4">
        <f t="shared" si="128"/>
        <v>0.98114509762858249</v>
      </c>
      <c r="X336" s="4">
        <f t="shared" si="128"/>
        <v>0.97311898315872036</v>
      </c>
      <c r="Y336" s="4">
        <f t="shared" si="128"/>
        <v>0.96177484161592774</v>
      </c>
      <c r="Z336" s="4">
        <f t="shared" si="128"/>
        <v>0.94584787155511363</v>
      </c>
      <c r="AA336" s="4">
        <f t="shared" si="128"/>
        <v>0.92370360150141495</v>
      </c>
      <c r="AB336" s="4">
        <f t="shared" si="128"/>
        <v>0.89334463567658451</v>
      </c>
      <c r="AC336" s="4">
        <f t="shared" si="128"/>
        <v>0.85254543874327005</v>
      </c>
      <c r="AD336" s="4">
        <f t="shared" si="128"/>
        <v>0.79921300652623883</v>
      </c>
      <c r="AE336" s="4">
        <f t="shared" si="128"/>
        <v>0.73204982249993378</v>
      </c>
      <c r="AF336" s="4">
        <f t="shared" si="128"/>
        <v>0.65145592958786691</v>
      </c>
      <c r="AG336" s="4">
        <f t="shared" si="128"/>
        <v>0.56032247880849573</v>
      </c>
      <c r="AH336" s="4">
        <f t="shared" si="128"/>
        <v>0.46411326873185343</v>
      </c>
      <c r="AI336" s="4">
        <f t="shared" si="128"/>
        <v>0.36979727595523937</v>
      </c>
      <c r="AJ336" s="4">
        <f t="shared" si="128"/>
        <v>0.28393948637231203</v>
      </c>
      <c r="AK336" s="4">
        <f t="shared" si="128"/>
        <v>0.21097259161117732</v>
      </c>
      <c r="AL336" s="4">
        <f t="shared" si="128"/>
        <v>0.15253917653798199</v>
      </c>
      <c r="AM336" s="4">
        <f t="shared" si="128"/>
        <v>0.10795188737709993</v>
      </c>
      <c r="AN336" s="4">
        <f t="shared" si="128"/>
        <v>7.5176653938091809E-2</v>
      </c>
      <c r="AO336" s="4">
        <f t="shared" si="128"/>
        <v>5.1742836177502194E-2</v>
      </c>
      <c r="AP336" s="4">
        <f t="shared" si="128"/>
        <v>3.5319190625345942E-2</v>
      </c>
      <c r="AQ336" s="4">
        <f t="shared" si="128"/>
        <v>2.3969442072658165E-2</v>
      </c>
      <c r="AR336" s="4">
        <f t="shared" si="128"/>
        <v>1.6202243558389728E-2</v>
      </c>
    </row>
    <row r="337" spans="1:44" x14ac:dyDescent="0.3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128"/>
        <v>0.99780374543478534</v>
      </c>
      <c r="R337" s="4">
        <f t="shared" si="128"/>
        <v>0.99685359315256394</v>
      </c>
      <c r="S337" s="4">
        <f t="shared" si="128"/>
        <v>0.99549347132349975</v>
      </c>
      <c r="T337" s="4">
        <f t="shared" si="128"/>
        <v>0.99354772139898062</v>
      </c>
      <c r="U337" s="4">
        <f t="shared" si="128"/>
        <v>0.99076681540580536</v>
      </c>
      <c r="V337" s="4">
        <f t="shared" si="128"/>
        <v>0.9867978615748374</v>
      </c>
      <c r="W337" s="4">
        <f t="shared" si="128"/>
        <v>0.98114509762858249</v>
      </c>
      <c r="X337" s="4">
        <f t="shared" si="128"/>
        <v>0.97311898315872036</v>
      </c>
      <c r="Y337" s="4">
        <f t="shared" si="128"/>
        <v>0.96177484161592774</v>
      </c>
      <c r="Z337" s="4">
        <f t="shared" si="128"/>
        <v>0.94584787155511363</v>
      </c>
      <c r="AA337" s="4">
        <f t="shared" si="128"/>
        <v>0.92370360150141495</v>
      </c>
      <c r="AB337" s="4">
        <f t="shared" si="128"/>
        <v>0.89334463567658451</v>
      </c>
      <c r="AC337" s="4">
        <f t="shared" si="128"/>
        <v>0.85254543874327005</v>
      </c>
      <c r="AD337" s="4">
        <f t="shared" si="128"/>
        <v>0.79921300652623883</v>
      </c>
      <c r="AE337" s="4">
        <f t="shared" si="128"/>
        <v>0.73204982249993378</v>
      </c>
      <c r="AF337" s="4">
        <f t="shared" si="128"/>
        <v>0.65145592958786691</v>
      </c>
      <c r="AG337" s="4">
        <f t="shared" si="128"/>
        <v>0.56032247880849573</v>
      </c>
      <c r="AH337" s="4">
        <f t="shared" si="128"/>
        <v>0.46411326873185343</v>
      </c>
      <c r="AI337" s="4">
        <f t="shared" si="128"/>
        <v>0.36979727595523937</v>
      </c>
      <c r="AJ337" s="4">
        <f t="shared" si="128"/>
        <v>0.28393948637231203</v>
      </c>
      <c r="AK337" s="4">
        <f t="shared" si="128"/>
        <v>0.21097259161117732</v>
      </c>
      <c r="AL337" s="4">
        <f t="shared" si="128"/>
        <v>0.15253917653798199</v>
      </c>
      <c r="AM337" s="4">
        <f t="shared" si="128"/>
        <v>0.10795188737709993</v>
      </c>
      <c r="AN337" s="4">
        <f t="shared" si="128"/>
        <v>7.5176653938091809E-2</v>
      </c>
      <c r="AO337" s="4">
        <f t="shared" si="128"/>
        <v>5.1742836177502194E-2</v>
      </c>
      <c r="AP337" s="4">
        <f t="shared" si="128"/>
        <v>3.5319190625345942E-2</v>
      </c>
      <c r="AQ337" s="4">
        <f t="shared" si="128"/>
        <v>2.3969442072658165E-2</v>
      </c>
      <c r="AR337" s="4">
        <f t="shared" si="128"/>
        <v>1.6202243558389728E-2</v>
      </c>
    </row>
    <row r="338" spans="1:44" x14ac:dyDescent="0.3">
      <c r="A338" s="24" t="s">
        <v>79</v>
      </c>
      <c r="B338" s="92">
        <f>'Parameter Input'!$L$161</f>
        <v>0.06</v>
      </c>
      <c r="C338" s="91">
        <f>'Parameter Input'!$M$161</f>
        <v>0.06</v>
      </c>
      <c r="D338" s="1" t="s">
        <v>57</v>
      </c>
      <c r="L338" s="54">
        <f>'Parameter Input'!$O$149</f>
        <v>17</v>
      </c>
      <c r="M338" s="37">
        <v>0</v>
      </c>
      <c r="N338" s="37">
        <v>1</v>
      </c>
      <c r="O338" s="37">
        <f>'Parameter Input'!$P$149</f>
        <v>0.9</v>
      </c>
      <c r="P338" s="55">
        <f>'Parameter Input'!$Q$149</f>
        <v>0.4</v>
      </c>
      <c r="Q338" s="4">
        <f t="shared" si="128"/>
        <v>0.99780374543478534</v>
      </c>
      <c r="R338" s="4">
        <f t="shared" si="128"/>
        <v>0.99685359315256394</v>
      </c>
      <c r="S338" s="4">
        <f t="shared" si="128"/>
        <v>0.99549347132349975</v>
      </c>
      <c r="T338" s="4">
        <f t="shared" si="128"/>
        <v>0.99354772139898062</v>
      </c>
      <c r="U338" s="4">
        <f t="shared" si="128"/>
        <v>0.99076681540580536</v>
      </c>
      <c r="V338" s="4">
        <f t="shared" si="128"/>
        <v>0.9867978615748374</v>
      </c>
      <c r="W338" s="4">
        <f t="shared" si="128"/>
        <v>0.98114509762858249</v>
      </c>
      <c r="X338" s="4">
        <f t="shared" si="128"/>
        <v>0.97311898315872036</v>
      </c>
      <c r="Y338" s="4">
        <f t="shared" si="128"/>
        <v>0.96177484161592774</v>
      </c>
      <c r="Z338" s="4">
        <f t="shared" si="128"/>
        <v>0.94584787155511363</v>
      </c>
      <c r="AA338" s="4">
        <f t="shared" si="128"/>
        <v>0.92370360150141495</v>
      </c>
      <c r="AB338" s="4">
        <f t="shared" si="128"/>
        <v>0.89334463567658451</v>
      </c>
      <c r="AC338" s="4">
        <f t="shared" si="128"/>
        <v>0.85254543874327005</v>
      </c>
      <c r="AD338" s="4">
        <f t="shared" si="128"/>
        <v>0.79921300652623883</v>
      </c>
      <c r="AE338" s="4">
        <f t="shared" si="128"/>
        <v>0.73204982249993378</v>
      </c>
      <c r="AF338" s="4">
        <f t="shared" si="128"/>
        <v>0.65145592958786691</v>
      </c>
      <c r="AG338" s="4">
        <f t="shared" si="128"/>
        <v>0.56032247880849573</v>
      </c>
      <c r="AH338" s="4">
        <f t="shared" si="128"/>
        <v>0.46411326873185343</v>
      </c>
      <c r="AI338" s="4">
        <f t="shared" si="128"/>
        <v>0.36979727595523937</v>
      </c>
      <c r="AJ338" s="4">
        <f t="shared" si="128"/>
        <v>0.28393948637231203</v>
      </c>
      <c r="AK338" s="4">
        <f t="shared" si="128"/>
        <v>0.21097259161117732</v>
      </c>
      <c r="AL338" s="4">
        <f t="shared" si="128"/>
        <v>0.15253917653798199</v>
      </c>
      <c r="AM338" s="4">
        <f t="shared" si="128"/>
        <v>0.10795188737709993</v>
      </c>
      <c r="AN338" s="4">
        <f t="shared" si="128"/>
        <v>7.5176653938091809E-2</v>
      </c>
      <c r="AO338" s="4">
        <f t="shared" si="128"/>
        <v>5.1742836177502194E-2</v>
      </c>
      <c r="AP338" s="4">
        <f t="shared" si="128"/>
        <v>3.5319190625345942E-2</v>
      </c>
      <c r="AQ338" s="4">
        <f t="shared" si="128"/>
        <v>2.3969442072658165E-2</v>
      </c>
      <c r="AR338" s="4">
        <f t="shared" si="128"/>
        <v>1.6202243558389728E-2</v>
      </c>
    </row>
    <row r="339" spans="1:44" x14ac:dyDescent="0.3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128"/>
        <v>0.99780374543478534</v>
      </c>
      <c r="R339" s="4">
        <f t="shared" si="128"/>
        <v>0.99685359315256394</v>
      </c>
      <c r="S339" s="4">
        <f t="shared" si="128"/>
        <v>0.99549347132349975</v>
      </c>
      <c r="T339" s="4">
        <f t="shared" si="128"/>
        <v>0.99354772139898062</v>
      </c>
      <c r="U339" s="4">
        <f t="shared" si="128"/>
        <v>0.99076681540580536</v>
      </c>
      <c r="V339" s="4">
        <f t="shared" si="128"/>
        <v>0.9867978615748374</v>
      </c>
      <c r="W339" s="4">
        <f t="shared" si="128"/>
        <v>0.98114509762858249</v>
      </c>
      <c r="X339" s="4">
        <f t="shared" si="128"/>
        <v>0.97311898315872036</v>
      </c>
      <c r="Y339" s="4">
        <f t="shared" si="128"/>
        <v>0.96177484161592774</v>
      </c>
      <c r="Z339" s="4">
        <f t="shared" si="128"/>
        <v>0.94584787155511363</v>
      </c>
      <c r="AA339" s="4">
        <f t="shared" si="128"/>
        <v>0.92370360150141495</v>
      </c>
      <c r="AB339" s="4">
        <f t="shared" si="128"/>
        <v>0.89334463567658451</v>
      </c>
      <c r="AC339" s="4">
        <f t="shared" si="128"/>
        <v>0.85254543874327005</v>
      </c>
      <c r="AD339" s="4">
        <f t="shared" si="128"/>
        <v>0.79921300652623883</v>
      </c>
      <c r="AE339" s="4">
        <f t="shared" si="128"/>
        <v>0.73204982249993378</v>
      </c>
      <c r="AF339" s="4">
        <f t="shared" si="128"/>
        <v>0.65145592958786691</v>
      </c>
      <c r="AG339" s="4">
        <f t="shared" si="128"/>
        <v>0.56032247880849573</v>
      </c>
      <c r="AH339" s="4">
        <f t="shared" si="128"/>
        <v>0.46411326873185343</v>
      </c>
      <c r="AI339" s="4">
        <f t="shared" si="128"/>
        <v>0.36979727595523937</v>
      </c>
      <c r="AJ339" s="4">
        <f t="shared" si="128"/>
        <v>0.28393948637231203</v>
      </c>
      <c r="AK339" s="4">
        <f t="shared" si="128"/>
        <v>0.21097259161117732</v>
      </c>
      <c r="AL339" s="4">
        <f t="shared" si="128"/>
        <v>0.15253917653798199</v>
      </c>
      <c r="AM339" s="4">
        <f t="shared" si="128"/>
        <v>0.10795188737709993</v>
      </c>
      <c r="AN339" s="4">
        <f t="shared" si="128"/>
        <v>7.5176653938091809E-2</v>
      </c>
      <c r="AO339" s="4">
        <f t="shared" si="128"/>
        <v>5.1742836177502194E-2</v>
      </c>
      <c r="AP339" s="4">
        <f t="shared" si="128"/>
        <v>3.5319190625345942E-2</v>
      </c>
      <c r="AQ339" s="4">
        <f t="shared" si="128"/>
        <v>2.3969442072658165E-2</v>
      </c>
      <c r="AR339" s="4">
        <f t="shared" si="128"/>
        <v>1.6202243558389728E-2</v>
      </c>
    </row>
    <row r="340" spans="1:44" x14ac:dyDescent="0.3">
      <c r="A340" s="24" t="s">
        <v>52</v>
      </c>
      <c r="B340" s="60">
        <f>'Parameter Input'!$L$157</f>
        <v>488235.29411764705</v>
      </c>
      <c r="C340" s="61">
        <f>'Parameter Input'!$M$157</f>
        <v>488235.29411764705</v>
      </c>
      <c r="D340" s="1" t="s">
        <v>38</v>
      </c>
      <c r="L340" s="54">
        <f>'Parameter Input'!$O$145</f>
        <v>17</v>
      </c>
      <c r="M340" s="37">
        <v>0</v>
      </c>
      <c r="N340" s="37">
        <v>1</v>
      </c>
      <c r="O340" s="37">
        <f>'Parameter Input'!$P$145</f>
        <v>0.9</v>
      </c>
      <c r="P340" s="55">
        <f>'Parameter Input'!$Q$145</f>
        <v>0.4</v>
      </c>
      <c r="Q340" s="4">
        <f t="shared" si="128"/>
        <v>0.99780374543478534</v>
      </c>
      <c r="R340" s="4">
        <f t="shared" si="128"/>
        <v>0.99685359315256394</v>
      </c>
      <c r="S340" s="4">
        <f t="shared" si="128"/>
        <v>0.99549347132349975</v>
      </c>
      <c r="T340" s="4">
        <f t="shared" si="128"/>
        <v>0.99354772139898062</v>
      </c>
      <c r="U340" s="4">
        <f t="shared" si="128"/>
        <v>0.99076681540580536</v>
      </c>
      <c r="V340" s="4">
        <f t="shared" si="128"/>
        <v>0.9867978615748374</v>
      </c>
      <c r="W340" s="4">
        <f t="shared" si="128"/>
        <v>0.98114509762858249</v>
      </c>
      <c r="X340" s="4">
        <f t="shared" si="128"/>
        <v>0.97311898315872036</v>
      </c>
      <c r="Y340" s="4">
        <f t="shared" si="128"/>
        <v>0.96177484161592774</v>
      </c>
      <c r="Z340" s="4">
        <f t="shared" si="128"/>
        <v>0.94584787155511363</v>
      </c>
      <c r="AA340" s="4">
        <f t="shared" si="128"/>
        <v>0.92370360150141495</v>
      </c>
      <c r="AB340" s="4">
        <f t="shared" si="128"/>
        <v>0.89334463567658451</v>
      </c>
      <c r="AC340" s="4">
        <f t="shared" si="128"/>
        <v>0.85254543874327005</v>
      </c>
      <c r="AD340" s="4">
        <f t="shared" si="128"/>
        <v>0.79921300652623883</v>
      </c>
      <c r="AE340" s="4">
        <f t="shared" si="128"/>
        <v>0.73204982249993378</v>
      </c>
      <c r="AF340" s="4">
        <f t="shared" si="128"/>
        <v>0.65145592958786691</v>
      </c>
      <c r="AG340" s="4">
        <f t="shared" si="128"/>
        <v>0.56032247880849573</v>
      </c>
      <c r="AH340" s="4">
        <f t="shared" si="128"/>
        <v>0.46411326873185343</v>
      </c>
      <c r="AI340" s="4">
        <f t="shared" si="128"/>
        <v>0.36979727595523937</v>
      </c>
      <c r="AJ340" s="4">
        <f t="shared" si="128"/>
        <v>0.28393948637231203</v>
      </c>
      <c r="AK340" s="4">
        <f t="shared" si="128"/>
        <v>0.21097259161117732</v>
      </c>
      <c r="AL340" s="4">
        <f t="shared" si="128"/>
        <v>0.15253917653798199</v>
      </c>
      <c r="AM340" s="4">
        <f t="shared" si="128"/>
        <v>0.10795188737709993</v>
      </c>
      <c r="AN340" s="4">
        <f t="shared" si="128"/>
        <v>7.5176653938091809E-2</v>
      </c>
      <c r="AO340" s="4">
        <f t="shared" si="128"/>
        <v>5.1742836177502194E-2</v>
      </c>
      <c r="AP340" s="4">
        <f t="shared" si="128"/>
        <v>3.5319190625345942E-2</v>
      </c>
      <c r="AQ340" s="4">
        <f t="shared" si="128"/>
        <v>2.3969442072658165E-2</v>
      </c>
      <c r="AR340" s="4">
        <f t="shared" si="128"/>
        <v>1.6202243558389728E-2</v>
      </c>
    </row>
    <row r="341" spans="1:44" x14ac:dyDescent="0.3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128"/>
        <v>0.99780374543478534</v>
      </c>
      <c r="R341" s="4">
        <f t="shared" si="128"/>
        <v>0.99685359315256394</v>
      </c>
      <c r="S341" s="4">
        <f t="shared" si="128"/>
        <v>0.99549347132349975</v>
      </c>
      <c r="T341" s="4">
        <f t="shared" si="128"/>
        <v>0.99354772139898062</v>
      </c>
      <c r="U341" s="4">
        <f t="shared" si="128"/>
        <v>0.99076681540580536</v>
      </c>
      <c r="V341" s="4">
        <f t="shared" si="128"/>
        <v>0.9867978615748374</v>
      </c>
      <c r="W341" s="4">
        <f t="shared" si="128"/>
        <v>0.98114509762858249</v>
      </c>
      <c r="X341" s="4">
        <f t="shared" si="128"/>
        <v>0.97311898315872036</v>
      </c>
      <c r="Y341" s="4">
        <f t="shared" si="128"/>
        <v>0.96177484161592774</v>
      </c>
      <c r="Z341" s="4">
        <f t="shared" si="128"/>
        <v>0.94584787155511363</v>
      </c>
      <c r="AA341" s="4">
        <f t="shared" si="128"/>
        <v>0.92370360150141495</v>
      </c>
      <c r="AB341" s="4">
        <f t="shared" si="128"/>
        <v>0.89334463567658451</v>
      </c>
      <c r="AC341" s="4">
        <f t="shared" si="128"/>
        <v>0.85254543874327005</v>
      </c>
      <c r="AD341" s="4">
        <f t="shared" si="128"/>
        <v>0.79921300652623883</v>
      </c>
      <c r="AE341" s="4">
        <f t="shared" si="128"/>
        <v>0.73204982249993378</v>
      </c>
      <c r="AF341" s="4">
        <f t="shared" si="128"/>
        <v>0.65145592958786691</v>
      </c>
      <c r="AG341" s="4">
        <f t="shared" si="128"/>
        <v>0.56032247880849573</v>
      </c>
      <c r="AH341" s="4">
        <f t="shared" si="128"/>
        <v>0.46411326873185343</v>
      </c>
      <c r="AI341" s="4">
        <f t="shared" si="128"/>
        <v>0.36979727595523937</v>
      </c>
      <c r="AJ341" s="4">
        <f t="shared" si="128"/>
        <v>0.28393948637231203</v>
      </c>
      <c r="AK341" s="4">
        <f t="shared" si="128"/>
        <v>0.21097259161117732</v>
      </c>
      <c r="AL341" s="4">
        <f t="shared" si="128"/>
        <v>0.15253917653798199</v>
      </c>
      <c r="AM341" s="4">
        <f t="shared" si="128"/>
        <v>0.10795188737709993</v>
      </c>
      <c r="AN341" s="4">
        <f t="shared" si="128"/>
        <v>7.5176653938091809E-2</v>
      </c>
      <c r="AO341" s="4">
        <f t="shared" si="128"/>
        <v>5.1742836177502194E-2</v>
      </c>
      <c r="AP341" s="4">
        <f t="shared" si="128"/>
        <v>3.5319190625345942E-2</v>
      </c>
      <c r="AQ341" s="4">
        <f t="shared" si="128"/>
        <v>2.3969442072658165E-2</v>
      </c>
      <c r="AR341" s="4">
        <f t="shared" si="128"/>
        <v>1.6202243558389728E-2</v>
      </c>
    </row>
    <row r="342" spans="1:44" x14ac:dyDescent="0.3">
      <c r="A342" s="24" t="s">
        <v>59</v>
      </c>
      <c r="B342" s="60">
        <f>'Parameter Input'!$L$158</f>
        <v>647</v>
      </c>
      <c r="C342" s="61">
        <f>'Parameter Input'!$M$158</f>
        <v>600</v>
      </c>
      <c r="D342" s="1" t="s">
        <v>60</v>
      </c>
      <c r="L342" s="54">
        <f>'Parameter Input'!$O$146</f>
        <v>17</v>
      </c>
      <c r="M342" s="37">
        <v>0</v>
      </c>
      <c r="N342" s="37">
        <v>1</v>
      </c>
      <c r="O342" s="37">
        <f>'Parameter Input'!$P$146</f>
        <v>0.9</v>
      </c>
      <c r="P342" s="55">
        <f>'Parameter Input'!$Q$146</f>
        <v>0.4</v>
      </c>
      <c r="Q342" s="4">
        <f t="shared" si="128"/>
        <v>0.99780374543478534</v>
      </c>
      <c r="R342" s="4">
        <f t="shared" si="128"/>
        <v>0.99685359315256394</v>
      </c>
      <c r="S342" s="4">
        <f t="shared" si="128"/>
        <v>0.99549347132349975</v>
      </c>
      <c r="T342" s="4">
        <f t="shared" si="128"/>
        <v>0.99354772139898062</v>
      </c>
      <c r="U342" s="4">
        <f t="shared" si="128"/>
        <v>0.99076681540580536</v>
      </c>
      <c r="V342" s="4">
        <f t="shared" si="128"/>
        <v>0.9867978615748374</v>
      </c>
      <c r="W342" s="4">
        <f t="shared" si="128"/>
        <v>0.98114509762858249</v>
      </c>
      <c r="X342" s="4">
        <f t="shared" si="128"/>
        <v>0.97311898315872036</v>
      </c>
      <c r="Y342" s="4">
        <f t="shared" si="128"/>
        <v>0.96177484161592774</v>
      </c>
      <c r="Z342" s="4">
        <f t="shared" si="128"/>
        <v>0.94584787155511363</v>
      </c>
      <c r="AA342" s="4">
        <f t="shared" si="128"/>
        <v>0.92370360150141495</v>
      </c>
      <c r="AB342" s="4">
        <f t="shared" si="128"/>
        <v>0.89334463567658451</v>
      </c>
      <c r="AC342" s="4">
        <f t="shared" si="128"/>
        <v>0.85254543874327005</v>
      </c>
      <c r="AD342" s="4">
        <f t="shared" si="128"/>
        <v>0.79921300652623883</v>
      </c>
      <c r="AE342" s="4">
        <f t="shared" si="128"/>
        <v>0.73204982249993378</v>
      </c>
      <c r="AF342" s="4">
        <f t="shared" si="128"/>
        <v>0.65145592958786691</v>
      </c>
      <c r="AG342" s="4">
        <f t="shared" si="128"/>
        <v>0.56032247880849573</v>
      </c>
      <c r="AH342" s="4">
        <f t="shared" si="128"/>
        <v>0.46411326873185343</v>
      </c>
      <c r="AI342" s="4">
        <f t="shared" si="128"/>
        <v>0.36979727595523937</v>
      </c>
      <c r="AJ342" s="4">
        <f t="shared" si="128"/>
        <v>0.28393948637231203</v>
      </c>
      <c r="AK342" s="4">
        <f t="shared" si="128"/>
        <v>0.21097259161117732</v>
      </c>
      <c r="AL342" s="4">
        <f t="shared" si="128"/>
        <v>0.15253917653798199</v>
      </c>
      <c r="AM342" s="4">
        <f t="shared" si="128"/>
        <v>0.10795188737709993</v>
      </c>
      <c r="AN342" s="4">
        <f t="shared" si="128"/>
        <v>7.5176653938091809E-2</v>
      </c>
      <c r="AO342" s="4">
        <f t="shared" si="128"/>
        <v>5.1742836177502194E-2</v>
      </c>
      <c r="AP342" s="4">
        <f t="shared" si="128"/>
        <v>3.5319190625345942E-2</v>
      </c>
      <c r="AQ342" s="4">
        <f t="shared" si="128"/>
        <v>2.3969442072658165E-2</v>
      </c>
      <c r="AR342" s="4">
        <f t="shared" si="128"/>
        <v>1.6202243558389728E-2</v>
      </c>
    </row>
    <row r="343" spans="1:44" x14ac:dyDescent="0.3">
      <c r="A343" s="24" t="s">
        <v>67</v>
      </c>
      <c r="B343" s="78">
        <f>'Parameter Input'!$L$159</f>
        <v>3.1399999999999997E-2</v>
      </c>
      <c r="C343" s="61">
        <f>'Parameter Input'!$M$159</f>
        <v>3.1399999999999997E-2</v>
      </c>
      <c r="D343" s="1" t="s">
        <v>68</v>
      </c>
      <c r="L343" s="54">
        <f>'Parameter Input'!$O$147</f>
        <v>17</v>
      </c>
      <c r="M343" s="37">
        <v>0</v>
      </c>
      <c r="N343" s="37">
        <v>1</v>
      </c>
      <c r="O343" s="37">
        <f>'Parameter Input'!$P$147</f>
        <v>0.9</v>
      </c>
      <c r="P343" s="55">
        <f>'Parameter Input'!$Q$147</f>
        <v>0.4</v>
      </c>
      <c r="Q343" s="4">
        <f t="shared" si="128"/>
        <v>0.99780374543478534</v>
      </c>
      <c r="R343" s="4">
        <f t="shared" si="128"/>
        <v>0.99685359315256394</v>
      </c>
      <c r="S343" s="4">
        <f t="shared" si="128"/>
        <v>0.99549347132349975</v>
      </c>
      <c r="T343" s="4">
        <f t="shared" ref="T343:AI350" si="129">$N343+($M343-$N343)*((1/(1+EXP(-$P343*(T$9-$L343)))^$O343))</f>
        <v>0.99354772139898062</v>
      </c>
      <c r="U343" s="4">
        <f t="shared" si="129"/>
        <v>0.99076681540580536</v>
      </c>
      <c r="V343" s="4">
        <f t="shared" si="129"/>
        <v>0.9867978615748374</v>
      </c>
      <c r="W343" s="4">
        <f t="shared" si="129"/>
        <v>0.98114509762858249</v>
      </c>
      <c r="X343" s="4">
        <f t="shared" si="129"/>
        <v>0.97311898315872036</v>
      </c>
      <c r="Y343" s="4">
        <f t="shared" si="129"/>
        <v>0.96177484161592774</v>
      </c>
      <c r="Z343" s="4">
        <f t="shared" si="129"/>
        <v>0.94584787155511363</v>
      </c>
      <c r="AA343" s="4">
        <f t="shared" si="129"/>
        <v>0.92370360150141495</v>
      </c>
      <c r="AB343" s="4">
        <f t="shared" si="129"/>
        <v>0.89334463567658451</v>
      </c>
      <c r="AC343" s="4">
        <f t="shared" si="129"/>
        <v>0.85254543874327005</v>
      </c>
      <c r="AD343" s="4">
        <f t="shared" si="129"/>
        <v>0.79921300652623883</v>
      </c>
      <c r="AE343" s="4">
        <f t="shared" si="129"/>
        <v>0.73204982249993378</v>
      </c>
      <c r="AF343" s="4">
        <f t="shared" si="129"/>
        <v>0.65145592958786691</v>
      </c>
      <c r="AG343" s="4">
        <f t="shared" si="129"/>
        <v>0.56032247880849573</v>
      </c>
      <c r="AH343" s="4">
        <f t="shared" si="129"/>
        <v>0.46411326873185343</v>
      </c>
      <c r="AI343" s="4">
        <f t="shared" si="129"/>
        <v>0.36979727595523937</v>
      </c>
      <c r="AJ343" s="4">
        <f t="shared" ref="AJ343:AR350" si="130">$N343+($M343-$N343)*((1/(1+EXP(-$P343*(AJ$9-$L343)))^$O343))</f>
        <v>0.28393948637231203</v>
      </c>
      <c r="AK343" s="4">
        <f t="shared" si="130"/>
        <v>0.21097259161117732</v>
      </c>
      <c r="AL343" s="4">
        <f t="shared" si="130"/>
        <v>0.15253917653798199</v>
      </c>
      <c r="AM343" s="4">
        <f t="shared" si="130"/>
        <v>0.10795188737709993</v>
      </c>
      <c r="AN343" s="4">
        <f t="shared" si="130"/>
        <v>7.5176653938091809E-2</v>
      </c>
      <c r="AO343" s="4">
        <f t="shared" si="130"/>
        <v>5.1742836177502194E-2</v>
      </c>
      <c r="AP343" s="4">
        <f t="shared" si="130"/>
        <v>3.5319190625345942E-2</v>
      </c>
      <c r="AQ343" s="4">
        <f t="shared" si="130"/>
        <v>2.3969442072658165E-2</v>
      </c>
      <c r="AR343" s="4">
        <f t="shared" si="130"/>
        <v>1.6202243558389728E-2</v>
      </c>
    </row>
    <row r="344" spans="1:44" x14ac:dyDescent="0.3">
      <c r="A344" s="24" t="s">
        <v>206</v>
      </c>
      <c r="B344" s="78">
        <f>'Parameter Input'!$L$162</f>
        <v>18.177348551360843</v>
      </c>
      <c r="C344" s="61">
        <f>'Parameter Input'!$M$162</f>
        <v>58.999122036874446</v>
      </c>
      <c r="D344" s="1"/>
      <c r="L344" s="54">
        <f>'Parameter Input'!O150</f>
        <v>17</v>
      </c>
      <c r="M344" s="37">
        <v>0</v>
      </c>
      <c r="N344" s="37">
        <v>1</v>
      </c>
      <c r="O344" s="37">
        <f>'Parameter Input'!P150</f>
        <v>0.9</v>
      </c>
      <c r="P344" s="55">
        <f>'Parameter Input'!Q150</f>
        <v>0.4</v>
      </c>
      <c r="Q344" s="4">
        <f t="shared" ref="Q344:AR350" si="131">$N344+($M344-$N344)*((1/(1+EXP(-$P344*(Q$9-$L344)))^$O344))</f>
        <v>0.99780374543478534</v>
      </c>
      <c r="R344" s="4">
        <f t="shared" si="131"/>
        <v>0.99685359315256394</v>
      </c>
      <c r="S344" s="4">
        <f t="shared" si="131"/>
        <v>0.99549347132349975</v>
      </c>
      <c r="T344" s="4">
        <f t="shared" si="131"/>
        <v>0.99354772139898062</v>
      </c>
      <c r="U344" s="4">
        <f t="shared" si="131"/>
        <v>0.99076681540580536</v>
      </c>
      <c r="V344" s="4">
        <f t="shared" si="131"/>
        <v>0.9867978615748374</v>
      </c>
      <c r="W344" s="4">
        <f t="shared" si="131"/>
        <v>0.98114509762858249</v>
      </c>
      <c r="X344" s="4">
        <f t="shared" si="131"/>
        <v>0.97311898315872036</v>
      </c>
      <c r="Y344" s="4">
        <f t="shared" si="131"/>
        <v>0.96177484161592774</v>
      </c>
      <c r="Z344" s="4">
        <f t="shared" si="131"/>
        <v>0.94584787155511363</v>
      </c>
      <c r="AA344" s="4">
        <f t="shared" si="131"/>
        <v>0.92370360150141495</v>
      </c>
      <c r="AB344" s="4">
        <f t="shared" si="131"/>
        <v>0.89334463567658451</v>
      </c>
      <c r="AC344" s="4">
        <f t="shared" si="131"/>
        <v>0.85254543874327005</v>
      </c>
      <c r="AD344" s="4">
        <f t="shared" si="131"/>
        <v>0.79921300652623883</v>
      </c>
      <c r="AE344" s="4">
        <f t="shared" si="131"/>
        <v>0.73204982249993378</v>
      </c>
      <c r="AF344" s="4">
        <f t="shared" si="131"/>
        <v>0.65145592958786691</v>
      </c>
      <c r="AG344" s="4">
        <f t="shared" si="131"/>
        <v>0.56032247880849573</v>
      </c>
      <c r="AH344" s="4">
        <f t="shared" si="131"/>
        <v>0.46411326873185343</v>
      </c>
      <c r="AI344" s="4">
        <f t="shared" si="131"/>
        <v>0.36979727595523937</v>
      </c>
      <c r="AJ344" s="4">
        <f t="shared" si="131"/>
        <v>0.28393948637231203</v>
      </c>
      <c r="AK344" s="4">
        <f t="shared" si="131"/>
        <v>0.21097259161117732</v>
      </c>
      <c r="AL344" s="4">
        <f t="shared" si="131"/>
        <v>0.15253917653798199</v>
      </c>
      <c r="AM344" s="4">
        <f t="shared" si="131"/>
        <v>0.10795188737709993</v>
      </c>
      <c r="AN344" s="4">
        <f t="shared" si="131"/>
        <v>7.5176653938091809E-2</v>
      </c>
      <c r="AO344" s="4">
        <f t="shared" si="131"/>
        <v>5.1742836177502194E-2</v>
      </c>
      <c r="AP344" s="4">
        <f t="shared" si="131"/>
        <v>3.5319190625345942E-2</v>
      </c>
      <c r="AQ344" s="4">
        <f t="shared" si="131"/>
        <v>2.3969442072658165E-2</v>
      </c>
      <c r="AR344" s="4">
        <f t="shared" si="131"/>
        <v>1.6202243558389728E-2</v>
      </c>
    </row>
    <row r="345" spans="1:44" x14ac:dyDescent="0.3">
      <c r="A345" s="24" t="s">
        <v>41</v>
      </c>
      <c r="B345" s="60">
        <f>'Parameter Input'!$L$156</f>
        <v>25</v>
      </c>
      <c r="C345" s="61">
        <f>'Parameter Input'!$M$156</f>
        <v>25</v>
      </c>
      <c r="D345" s="1" t="s">
        <v>42</v>
      </c>
      <c r="L345" s="54">
        <f>'Parameter Input'!$O$144</f>
        <v>17</v>
      </c>
      <c r="M345" s="37">
        <v>0</v>
      </c>
      <c r="N345" s="37">
        <v>1</v>
      </c>
      <c r="O345" s="37">
        <f>'Parameter Input'!$P$144</f>
        <v>0.9</v>
      </c>
      <c r="P345" s="55">
        <f>'Parameter Input'!$Q$144</f>
        <v>0.4</v>
      </c>
      <c r="Q345" s="4">
        <f t="shared" si="131"/>
        <v>0.99780374543478534</v>
      </c>
      <c r="R345" s="4">
        <f t="shared" si="131"/>
        <v>0.99685359315256394</v>
      </c>
      <c r="S345" s="4">
        <f t="shared" si="131"/>
        <v>0.99549347132349975</v>
      </c>
      <c r="T345" s="4">
        <f t="shared" si="131"/>
        <v>0.99354772139898062</v>
      </c>
      <c r="U345" s="4">
        <f t="shared" si="131"/>
        <v>0.99076681540580536</v>
      </c>
      <c r="V345" s="4">
        <f t="shared" si="131"/>
        <v>0.9867978615748374</v>
      </c>
      <c r="W345" s="4">
        <f t="shared" si="131"/>
        <v>0.98114509762858249</v>
      </c>
      <c r="X345" s="4">
        <f t="shared" si="131"/>
        <v>0.97311898315872036</v>
      </c>
      <c r="Y345" s="4">
        <f t="shared" si="131"/>
        <v>0.96177484161592774</v>
      </c>
      <c r="Z345" s="4">
        <f t="shared" si="131"/>
        <v>0.94584787155511363</v>
      </c>
      <c r="AA345" s="4">
        <f t="shared" si="131"/>
        <v>0.92370360150141495</v>
      </c>
      <c r="AB345" s="4">
        <f t="shared" si="131"/>
        <v>0.89334463567658451</v>
      </c>
      <c r="AC345" s="4">
        <f t="shared" si="131"/>
        <v>0.85254543874327005</v>
      </c>
      <c r="AD345" s="4">
        <f t="shared" si="131"/>
        <v>0.79921300652623883</v>
      </c>
      <c r="AE345" s="4">
        <f t="shared" si="131"/>
        <v>0.73204982249993378</v>
      </c>
      <c r="AF345" s="4">
        <f t="shared" si="131"/>
        <v>0.65145592958786691</v>
      </c>
      <c r="AG345" s="4">
        <f t="shared" si="129"/>
        <v>0.56032247880849573</v>
      </c>
      <c r="AH345" s="4">
        <f t="shared" si="129"/>
        <v>0.46411326873185343</v>
      </c>
      <c r="AI345" s="4">
        <f t="shared" si="129"/>
        <v>0.36979727595523937</v>
      </c>
      <c r="AJ345" s="4">
        <f t="shared" si="130"/>
        <v>0.28393948637231203</v>
      </c>
      <c r="AK345" s="4">
        <f t="shared" si="130"/>
        <v>0.21097259161117732</v>
      </c>
      <c r="AL345" s="4">
        <f t="shared" si="130"/>
        <v>0.15253917653798199</v>
      </c>
      <c r="AM345" s="4">
        <f t="shared" si="130"/>
        <v>0.10795188737709993</v>
      </c>
      <c r="AN345" s="4">
        <f t="shared" si="130"/>
        <v>7.5176653938091809E-2</v>
      </c>
      <c r="AO345" s="4">
        <f t="shared" si="130"/>
        <v>5.1742836177502194E-2</v>
      </c>
      <c r="AP345" s="4">
        <f t="shared" si="130"/>
        <v>3.5319190625345942E-2</v>
      </c>
      <c r="AQ345" s="4">
        <f t="shared" si="130"/>
        <v>2.3969442072658165E-2</v>
      </c>
      <c r="AR345" s="4">
        <f t="shared" si="130"/>
        <v>1.6202243558389728E-2</v>
      </c>
    </row>
    <row r="346" spans="1:44" x14ac:dyDescent="0.3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131"/>
        <v>0.99780374543478534</v>
      </c>
      <c r="R346" s="4">
        <f t="shared" si="131"/>
        <v>0.99685359315256394</v>
      </c>
      <c r="S346" s="4">
        <f t="shared" si="131"/>
        <v>0.99549347132349975</v>
      </c>
      <c r="T346" s="4">
        <f t="shared" si="131"/>
        <v>0.99354772139898062</v>
      </c>
      <c r="U346" s="4">
        <f t="shared" si="131"/>
        <v>0.99076681540580536</v>
      </c>
      <c r="V346" s="4">
        <f t="shared" si="131"/>
        <v>0.9867978615748374</v>
      </c>
      <c r="W346" s="4">
        <f t="shared" si="131"/>
        <v>0.98114509762858249</v>
      </c>
      <c r="X346" s="4">
        <f t="shared" si="131"/>
        <v>0.97311898315872036</v>
      </c>
      <c r="Y346" s="4">
        <f t="shared" si="131"/>
        <v>0.96177484161592774</v>
      </c>
      <c r="Z346" s="4">
        <f t="shared" si="131"/>
        <v>0.94584787155511363</v>
      </c>
      <c r="AA346" s="4">
        <f t="shared" si="131"/>
        <v>0.92370360150141495</v>
      </c>
      <c r="AB346" s="4">
        <f t="shared" si="131"/>
        <v>0.89334463567658451</v>
      </c>
      <c r="AC346" s="4">
        <f t="shared" si="131"/>
        <v>0.85254543874327005</v>
      </c>
      <c r="AD346" s="4">
        <f t="shared" si="131"/>
        <v>0.79921300652623883</v>
      </c>
      <c r="AE346" s="4">
        <f t="shared" si="131"/>
        <v>0.73204982249993378</v>
      </c>
      <c r="AF346" s="4">
        <f t="shared" si="131"/>
        <v>0.65145592958786691</v>
      </c>
      <c r="AG346" s="4">
        <f t="shared" si="129"/>
        <v>0.56032247880849573</v>
      </c>
      <c r="AH346" s="4">
        <f t="shared" si="129"/>
        <v>0.46411326873185343</v>
      </c>
      <c r="AI346" s="4">
        <f t="shared" si="129"/>
        <v>0.36979727595523937</v>
      </c>
      <c r="AJ346" s="4">
        <f t="shared" si="130"/>
        <v>0.28393948637231203</v>
      </c>
      <c r="AK346" s="4">
        <f t="shared" si="130"/>
        <v>0.21097259161117732</v>
      </c>
      <c r="AL346" s="4">
        <f t="shared" si="130"/>
        <v>0.15253917653798199</v>
      </c>
      <c r="AM346" s="4">
        <f t="shared" si="130"/>
        <v>0.10795188737709993</v>
      </c>
      <c r="AN346" s="4">
        <f t="shared" si="130"/>
        <v>7.5176653938091809E-2</v>
      </c>
      <c r="AO346" s="4">
        <f t="shared" si="130"/>
        <v>5.1742836177502194E-2</v>
      </c>
      <c r="AP346" s="4">
        <f t="shared" si="130"/>
        <v>3.5319190625345942E-2</v>
      </c>
      <c r="AQ346" s="4">
        <f t="shared" si="130"/>
        <v>2.3969442072658165E-2</v>
      </c>
      <c r="AR346" s="4">
        <f t="shared" si="130"/>
        <v>1.6202243558389728E-2</v>
      </c>
    </row>
    <row r="347" spans="1:44" x14ac:dyDescent="0.3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131"/>
        <v>0.99780374543478534</v>
      </c>
      <c r="R347" s="4">
        <f t="shared" si="131"/>
        <v>0.99685359315256394</v>
      </c>
      <c r="S347" s="4">
        <f t="shared" si="131"/>
        <v>0.99549347132349975</v>
      </c>
      <c r="T347" s="4">
        <f t="shared" si="131"/>
        <v>0.99354772139898062</v>
      </c>
      <c r="U347" s="4">
        <f t="shared" si="131"/>
        <v>0.99076681540580536</v>
      </c>
      <c r="V347" s="4">
        <f t="shared" si="131"/>
        <v>0.9867978615748374</v>
      </c>
      <c r="W347" s="4">
        <f t="shared" si="131"/>
        <v>0.98114509762858249</v>
      </c>
      <c r="X347" s="4">
        <f t="shared" si="131"/>
        <v>0.97311898315872036</v>
      </c>
      <c r="Y347" s="4">
        <f t="shared" si="131"/>
        <v>0.96177484161592774</v>
      </c>
      <c r="Z347" s="4">
        <f t="shared" si="131"/>
        <v>0.94584787155511363</v>
      </c>
      <c r="AA347" s="4">
        <f t="shared" si="131"/>
        <v>0.92370360150141495</v>
      </c>
      <c r="AB347" s="4">
        <f t="shared" si="131"/>
        <v>0.89334463567658451</v>
      </c>
      <c r="AC347" s="4">
        <f t="shared" si="131"/>
        <v>0.85254543874327005</v>
      </c>
      <c r="AD347" s="4">
        <f t="shared" si="131"/>
        <v>0.79921300652623883</v>
      </c>
      <c r="AE347" s="4">
        <f t="shared" si="131"/>
        <v>0.73204982249993378</v>
      </c>
      <c r="AF347" s="4">
        <f t="shared" si="131"/>
        <v>0.65145592958786691</v>
      </c>
      <c r="AG347" s="4">
        <f t="shared" si="129"/>
        <v>0.56032247880849573</v>
      </c>
      <c r="AH347" s="4">
        <f t="shared" si="129"/>
        <v>0.46411326873185343</v>
      </c>
      <c r="AI347" s="4">
        <f t="shared" si="129"/>
        <v>0.36979727595523937</v>
      </c>
      <c r="AJ347" s="4">
        <f t="shared" si="130"/>
        <v>0.28393948637231203</v>
      </c>
      <c r="AK347" s="4">
        <f t="shared" si="130"/>
        <v>0.21097259161117732</v>
      </c>
      <c r="AL347" s="4">
        <f t="shared" si="130"/>
        <v>0.15253917653798199</v>
      </c>
      <c r="AM347" s="4">
        <f t="shared" si="130"/>
        <v>0.10795188737709993</v>
      </c>
      <c r="AN347" s="4">
        <f t="shared" si="130"/>
        <v>7.5176653938091809E-2</v>
      </c>
      <c r="AO347" s="4">
        <f t="shared" si="130"/>
        <v>5.1742836177502194E-2</v>
      </c>
      <c r="AP347" s="4">
        <f t="shared" si="130"/>
        <v>3.5319190625345942E-2</v>
      </c>
      <c r="AQ347" s="4">
        <f t="shared" si="130"/>
        <v>2.3969442072658165E-2</v>
      </c>
      <c r="AR347" s="4">
        <f t="shared" si="130"/>
        <v>1.6202243558389728E-2</v>
      </c>
    </row>
    <row r="348" spans="1:44" x14ac:dyDescent="0.3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131"/>
        <v>0.99780374543478534</v>
      </c>
      <c r="R348" s="4">
        <f t="shared" si="131"/>
        <v>0.99685359315256394</v>
      </c>
      <c r="S348" s="4">
        <f t="shared" si="131"/>
        <v>0.99549347132349975</v>
      </c>
      <c r="T348" s="4">
        <f t="shared" si="131"/>
        <v>0.99354772139898062</v>
      </c>
      <c r="U348" s="4">
        <f t="shared" si="131"/>
        <v>0.99076681540580536</v>
      </c>
      <c r="V348" s="4">
        <f t="shared" si="131"/>
        <v>0.9867978615748374</v>
      </c>
      <c r="W348" s="4">
        <f t="shared" si="131"/>
        <v>0.98114509762858249</v>
      </c>
      <c r="X348" s="4">
        <f t="shared" si="131"/>
        <v>0.97311898315872036</v>
      </c>
      <c r="Y348" s="4">
        <f t="shared" si="131"/>
        <v>0.96177484161592774</v>
      </c>
      <c r="Z348" s="4">
        <f t="shared" si="131"/>
        <v>0.94584787155511363</v>
      </c>
      <c r="AA348" s="4">
        <f t="shared" si="131"/>
        <v>0.92370360150141495</v>
      </c>
      <c r="AB348" s="4">
        <f t="shared" si="131"/>
        <v>0.89334463567658451</v>
      </c>
      <c r="AC348" s="4">
        <f t="shared" si="131"/>
        <v>0.85254543874327005</v>
      </c>
      <c r="AD348" s="4">
        <f t="shared" si="131"/>
        <v>0.79921300652623883</v>
      </c>
      <c r="AE348" s="4">
        <f t="shared" si="131"/>
        <v>0.73204982249993378</v>
      </c>
      <c r="AF348" s="4">
        <f t="shared" si="131"/>
        <v>0.65145592958786691</v>
      </c>
      <c r="AG348" s="4">
        <f t="shared" si="129"/>
        <v>0.56032247880849573</v>
      </c>
      <c r="AH348" s="4">
        <f t="shared" si="129"/>
        <v>0.46411326873185343</v>
      </c>
      <c r="AI348" s="4">
        <f t="shared" si="129"/>
        <v>0.36979727595523937</v>
      </c>
      <c r="AJ348" s="4">
        <f t="shared" si="130"/>
        <v>0.28393948637231203</v>
      </c>
      <c r="AK348" s="4">
        <f t="shared" si="130"/>
        <v>0.21097259161117732</v>
      </c>
      <c r="AL348" s="4">
        <f t="shared" si="130"/>
        <v>0.15253917653798199</v>
      </c>
      <c r="AM348" s="4">
        <f t="shared" si="130"/>
        <v>0.10795188737709993</v>
      </c>
      <c r="AN348" s="4">
        <f t="shared" si="130"/>
        <v>7.5176653938091809E-2</v>
      </c>
      <c r="AO348" s="4">
        <f t="shared" si="130"/>
        <v>5.1742836177502194E-2</v>
      </c>
      <c r="AP348" s="4">
        <f t="shared" si="130"/>
        <v>3.5319190625345942E-2</v>
      </c>
      <c r="AQ348" s="4">
        <f t="shared" si="130"/>
        <v>2.3969442072658165E-2</v>
      </c>
      <c r="AR348" s="4">
        <f t="shared" si="130"/>
        <v>1.6202243558389728E-2</v>
      </c>
    </row>
    <row r="349" spans="1:44" x14ac:dyDescent="0.3">
      <c r="A349" s="24" t="s">
        <v>73</v>
      </c>
      <c r="B349" s="45">
        <f>'Parameter Input'!$L$160</f>
        <v>0</v>
      </c>
      <c r="C349" s="46">
        <f>'Parameter Input'!$M$160</f>
        <v>0</v>
      </c>
      <c r="D349" s="1" t="s">
        <v>57</v>
      </c>
      <c r="L349" s="54">
        <f>'Parameter Input'!$O$148</f>
        <v>17</v>
      </c>
      <c r="M349" s="37">
        <v>0</v>
      </c>
      <c r="N349" s="37">
        <v>1</v>
      </c>
      <c r="O349" s="37">
        <f>'Parameter Input'!$P$148</f>
        <v>0.9</v>
      </c>
      <c r="P349" s="55">
        <f>'Parameter Input'!$Q$148</f>
        <v>0.4</v>
      </c>
      <c r="Q349" s="4">
        <f t="shared" si="131"/>
        <v>0.99780374543478534</v>
      </c>
      <c r="R349" s="4">
        <f t="shared" si="131"/>
        <v>0.99685359315256394</v>
      </c>
      <c r="S349" s="4">
        <f t="shared" si="131"/>
        <v>0.99549347132349975</v>
      </c>
      <c r="T349" s="4">
        <f t="shared" si="131"/>
        <v>0.99354772139898062</v>
      </c>
      <c r="U349" s="4">
        <f t="shared" si="131"/>
        <v>0.99076681540580536</v>
      </c>
      <c r="V349" s="4">
        <f t="shared" si="131"/>
        <v>0.9867978615748374</v>
      </c>
      <c r="W349" s="4">
        <f t="shared" si="131"/>
        <v>0.98114509762858249</v>
      </c>
      <c r="X349" s="4">
        <f t="shared" si="131"/>
        <v>0.97311898315872036</v>
      </c>
      <c r="Y349" s="4">
        <f t="shared" si="131"/>
        <v>0.96177484161592774</v>
      </c>
      <c r="Z349" s="4">
        <f t="shared" si="131"/>
        <v>0.94584787155511363</v>
      </c>
      <c r="AA349" s="4">
        <f t="shared" si="131"/>
        <v>0.92370360150141495</v>
      </c>
      <c r="AB349" s="4">
        <f t="shared" si="131"/>
        <v>0.89334463567658451</v>
      </c>
      <c r="AC349" s="4">
        <f t="shared" si="131"/>
        <v>0.85254543874327005</v>
      </c>
      <c r="AD349" s="4">
        <f t="shared" si="131"/>
        <v>0.79921300652623883</v>
      </c>
      <c r="AE349" s="4">
        <f t="shared" si="131"/>
        <v>0.73204982249993378</v>
      </c>
      <c r="AF349" s="4">
        <f t="shared" si="131"/>
        <v>0.65145592958786691</v>
      </c>
      <c r="AG349" s="4">
        <f t="shared" si="129"/>
        <v>0.56032247880849573</v>
      </c>
      <c r="AH349" s="4">
        <f t="shared" si="129"/>
        <v>0.46411326873185343</v>
      </c>
      <c r="AI349" s="4">
        <f t="shared" si="129"/>
        <v>0.36979727595523937</v>
      </c>
      <c r="AJ349" s="4">
        <f t="shared" si="130"/>
        <v>0.28393948637231203</v>
      </c>
      <c r="AK349" s="4">
        <f t="shared" si="130"/>
        <v>0.21097259161117732</v>
      </c>
      <c r="AL349" s="4">
        <f t="shared" si="130"/>
        <v>0.15253917653798199</v>
      </c>
      <c r="AM349" s="4">
        <f t="shared" si="130"/>
        <v>0.10795188737709993</v>
      </c>
      <c r="AN349" s="4">
        <f t="shared" si="130"/>
        <v>7.5176653938091809E-2</v>
      </c>
      <c r="AO349" s="4">
        <f t="shared" si="130"/>
        <v>5.1742836177502194E-2</v>
      </c>
      <c r="AP349" s="4">
        <f t="shared" si="130"/>
        <v>3.5319190625345942E-2</v>
      </c>
      <c r="AQ349" s="4">
        <f t="shared" si="130"/>
        <v>2.3969442072658165E-2</v>
      </c>
      <c r="AR349" s="4">
        <f t="shared" si="130"/>
        <v>1.6202243558389728E-2</v>
      </c>
    </row>
    <row r="350" spans="1:44" ht="15" thickBot="1" x14ac:dyDescent="0.35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131"/>
        <v>0.99780374543478534</v>
      </c>
      <c r="R350" s="4">
        <f t="shared" si="131"/>
        <v>0.99685359315256394</v>
      </c>
      <c r="S350" s="4">
        <f t="shared" si="131"/>
        <v>0.99549347132349975</v>
      </c>
      <c r="T350" s="4">
        <f t="shared" si="131"/>
        <v>0.99354772139898062</v>
      </c>
      <c r="U350" s="4">
        <f t="shared" si="131"/>
        <v>0.99076681540580536</v>
      </c>
      <c r="V350" s="4">
        <f t="shared" si="131"/>
        <v>0.9867978615748374</v>
      </c>
      <c r="W350" s="4">
        <f t="shared" si="131"/>
        <v>0.98114509762858249</v>
      </c>
      <c r="X350" s="4">
        <f t="shared" si="131"/>
        <v>0.97311898315872036</v>
      </c>
      <c r="Y350" s="4">
        <f t="shared" si="131"/>
        <v>0.96177484161592774</v>
      </c>
      <c r="Z350" s="4">
        <f t="shared" si="131"/>
        <v>0.94584787155511363</v>
      </c>
      <c r="AA350" s="4">
        <f t="shared" si="131"/>
        <v>0.92370360150141495</v>
      </c>
      <c r="AB350" s="4">
        <f t="shared" si="131"/>
        <v>0.89334463567658451</v>
      </c>
      <c r="AC350" s="4">
        <f t="shared" si="131"/>
        <v>0.85254543874327005</v>
      </c>
      <c r="AD350" s="4">
        <f t="shared" si="131"/>
        <v>0.79921300652623883</v>
      </c>
      <c r="AE350" s="4">
        <f t="shared" si="131"/>
        <v>0.73204982249993378</v>
      </c>
      <c r="AF350" s="4">
        <f t="shared" si="131"/>
        <v>0.65145592958786691</v>
      </c>
      <c r="AG350" s="4">
        <f t="shared" si="129"/>
        <v>0.56032247880849573</v>
      </c>
      <c r="AH350" s="4">
        <f t="shared" si="129"/>
        <v>0.46411326873185343</v>
      </c>
      <c r="AI350" s="4">
        <f t="shared" si="129"/>
        <v>0.36979727595523937</v>
      </c>
      <c r="AJ350" s="4">
        <f t="shared" si="130"/>
        <v>0.28393948637231203</v>
      </c>
      <c r="AK350" s="4">
        <f t="shared" si="130"/>
        <v>0.21097259161117732</v>
      </c>
      <c r="AL350" s="4">
        <f t="shared" si="130"/>
        <v>0.15253917653798199</v>
      </c>
      <c r="AM350" s="4">
        <f t="shared" si="130"/>
        <v>0.10795188737709993</v>
      </c>
      <c r="AN350" s="4">
        <f t="shared" si="130"/>
        <v>7.5176653938091809E-2</v>
      </c>
      <c r="AO350" s="4">
        <f t="shared" si="130"/>
        <v>5.1742836177502194E-2</v>
      </c>
      <c r="AP350" s="4">
        <f t="shared" si="130"/>
        <v>3.5319190625345942E-2</v>
      </c>
      <c r="AQ350" s="4">
        <f t="shared" si="130"/>
        <v>2.3969442072658165E-2</v>
      </c>
      <c r="AR350" s="4">
        <f t="shared" si="130"/>
        <v>1.6202243558389728E-2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8" si="132">A334</f>
        <v>Capex vehicle</v>
      </c>
      <c r="B354" s="62">
        <f t="shared" ref="B354:AC363" si="133">$B334+($C334-$B334)*(1-Q334)</f>
        <v>15000000</v>
      </c>
      <c r="C354" s="62">
        <f t="shared" si="133"/>
        <v>15000000</v>
      </c>
      <c r="D354" s="62">
        <f t="shared" si="133"/>
        <v>15000000</v>
      </c>
      <c r="E354" s="62">
        <f t="shared" si="133"/>
        <v>15000000</v>
      </c>
      <c r="F354" s="62">
        <f t="shared" si="133"/>
        <v>15000000</v>
      </c>
      <c r="G354" s="62">
        <f t="shared" si="133"/>
        <v>15000000</v>
      </c>
      <c r="H354" s="62">
        <f t="shared" si="133"/>
        <v>15000000</v>
      </c>
      <c r="I354" s="62">
        <f t="shared" si="133"/>
        <v>15000000</v>
      </c>
      <c r="J354" s="62">
        <f t="shared" si="133"/>
        <v>15000000</v>
      </c>
      <c r="K354" s="62">
        <f t="shared" si="133"/>
        <v>15000000</v>
      </c>
      <c r="L354" s="62">
        <f t="shared" si="133"/>
        <v>15000000</v>
      </c>
      <c r="M354" s="62">
        <f t="shared" si="133"/>
        <v>15000000</v>
      </c>
      <c r="N354" s="62">
        <f t="shared" si="133"/>
        <v>15000000</v>
      </c>
      <c r="O354" s="62">
        <f t="shared" si="133"/>
        <v>15000000</v>
      </c>
      <c r="P354" s="62">
        <f t="shared" si="133"/>
        <v>15000000</v>
      </c>
      <c r="Q354" s="62">
        <f t="shared" si="133"/>
        <v>15000000</v>
      </c>
      <c r="R354" s="62">
        <f t="shared" si="133"/>
        <v>15000000</v>
      </c>
      <c r="S354" s="62">
        <f t="shared" si="133"/>
        <v>15000000</v>
      </c>
      <c r="T354" s="62">
        <f t="shared" si="133"/>
        <v>15000000</v>
      </c>
      <c r="U354" s="62">
        <f t="shared" si="133"/>
        <v>15000000</v>
      </c>
      <c r="V354" s="62">
        <f t="shared" si="133"/>
        <v>15000000</v>
      </c>
      <c r="W354" s="62">
        <f t="shared" si="133"/>
        <v>15000000</v>
      </c>
      <c r="X354" s="62">
        <f t="shared" si="133"/>
        <v>15000000</v>
      </c>
      <c r="Y354" s="62">
        <f t="shared" si="133"/>
        <v>15000000</v>
      </c>
      <c r="Z354" s="62">
        <f t="shared" si="133"/>
        <v>15000000</v>
      </c>
      <c r="AA354" s="62">
        <f t="shared" si="133"/>
        <v>15000000</v>
      </c>
      <c r="AB354" s="62">
        <f t="shared" si="133"/>
        <v>15000000</v>
      </c>
      <c r="AC354" s="62">
        <f t="shared" si="133"/>
        <v>15000000</v>
      </c>
    </row>
    <row r="355" spans="1:29" x14ac:dyDescent="0.3">
      <c r="A355" s="30" t="str">
        <f t="shared" si="132"/>
        <v>Residual value (vehicle)</v>
      </c>
      <c r="B355" s="62">
        <f t="shared" si="133"/>
        <v>-1498352.8090760889</v>
      </c>
      <c r="C355" s="62">
        <f t="shared" si="133"/>
        <v>-1497640.194864423</v>
      </c>
      <c r="D355" s="62">
        <f t="shared" si="133"/>
        <v>-1496620.1034926248</v>
      </c>
      <c r="E355" s="62">
        <f t="shared" si="133"/>
        <v>-1495160.7910492355</v>
      </c>
      <c r="F355" s="62">
        <f t="shared" si="133"/>
        <v>-1493075.111554354</v>
      </c>
      <c r="G355" s="62">
        <f t="shared" si="133"/>
        <v>-1490098.396181128</v>
      </c>
      <c r="H355" s="62">
        <f t="shared" si="133"/>
        <v>-1485858.8232214369</v>
      </c>
      <c r="I355" s="62">
        <f t="shared" si="133"/>
        <v>-1479839.2373690403</v>
      </c>
      <c r="J355" s="62">
        <f t="shared" si="133"/>
        <v>-1471331.1312119458</v>
      </c>
      <c r="K355" s="62">
        <f t="shared" si="133"/>
        <v>-1459385.9036663352</v>
      </c>
      <c r="L355" s="62">
        <f t="shared" si="133"/>
        <v>-1442777.7011260611</v>
      </c>
      <c r="M355" s="62">
        <f t="shared" si="133"/>
        <v>-1420008.4767574384</v>
      </c>
      <c r="N355" s="62">
        <f t="shared" si="133"/>
        <v>-1389409.0790574525</v>
      </c>
      <c r="O355" s="62">
        <f t="shared" si="133"/>
        <v>-1349409.7548946792</v>
      </c>
      <c r="P355" s="62">
        <f t="shared" si="133"/>
        <v>-1299037.3668749502</v>
      </c>
      <c r="Q355" s="62">
        <f t="shared" si="133"/>
        <v>-1238591.9471909001</v>
      </c>
      <c r="R355" s="62">
        <f t="shared" si="133"/>
        <v>-1170241.8591063719</v>
      </c>
      <c r="S355" s="62">
        <f t="shared" si="133"/>
        <v>-1098084.9515488902</v>
      </c>
      <c r="T355" s="62">
        <f t="shared" si="133"/>
        <v>-1027347.9569664295</v>
      </c>
      <c r="U355" s="62">
        <f t="shared" si="133"/>
        <v>-962954.61477923405</v>
      </c>
      <c r="V355" s="62">
        <f t="shared" si="133"/>
        <v>-908229.44370838301</v>
      </c>
      <c r="W355" s="62">
        <f t="shared" si="133"/>
        <v>-864404.38240348652</v>
      </c>
      <c r="X355" s="62">
        <f t="shared" si="133"/>
        <v>-830963.91553282493</v>
      </c>
      <c r="Y355" s="62">
        <f t="shared" si="133"/>
        <v>-806382.49045356887</v>
      </c>
      <c r="Z355" s="62">
        <f t="shared" si="133"/>
        <v>-788807.1271331266</v>
      </c>
      <c r="AA355" s="62">
        <f t="shared" si="133"/>
        <v>-776489.39296900947</v>
      </c>
      <c r="AB355" s="62">
        <f t="shared" si="133"/>
        <v>-767977.08155449363</v>
      </c>
      <c r="AC355" s="62">
        <f t="shared" si="133"/>
        <v>-762151.68266879232</v>
      </c>
    </row>
    <row r="356" spans="1:29" x14ac:dyDescent="0.3">
      <c r="A356" s="30" t="str">
        <f t="shared" si="132"/>
        <v>Capex costumization</v>
      </c>
      <c r="B356" s="62">
        <f t="shared" si="133"/>
        <v>1000000</v>
      </c>
      <c r="C356" s="62">
        <f t="shared" si="133"/>
        <v>1000000</v>
      </c>
      <c r="D356" s="62">
        <f t="shared" si="133"/>
        <v>1000000</v>
      </c>
      <c r="E356" s="62">
        <f t="shared" si="133"/>
        <v>1000000</v>
      </c>
      <c r="F356" s="62">
        <f t="shared" si="133"/>
        <v>1000000</v>
      </c>
      <c r="G356" s="62">
        <f t="shared" si="133"/>
        <v>1000000</v>
      </c>
      <c r="H356" s="62">
        <f t="shared" si="133"/>
        <v>1000000</v>
      </c>
      <c r="I356" s="62">
        <f t="shared" si="133"/>
        <v>1000000</v>
      </c>
      <c r="J356" s="62">
        <f t="shared" si="133"/>
        <v>1000000</v>
      </c>
      <c r="K356" s="62">
        <f t="shared" si="133"/>
        <v>1000000</v>
      </c>
      <c r="L356" s="62">
        <f t="shared" si="133"/>
        <v>1000000</v>
      </c>
      <c r="M356" s="62">
        <f t="shared" si="133"/>
        <v>1000000</v>
      </c>
      <c r="N356" s="62">
        <f t="shared" si="133"/>
        <v>1000000</v>
      </c>
      <c r="O356" s="62">
        <f t="shared" si="133"/>
        <v>1000000</v>
      </c>
      <c r="P356" s="62">
        <f t="shared" si="133"/>
        <v>1000000</v>
      </c>
      <c r="Q356" s="62">
        <f t="shared" si="133"/>
        <v>1000000</v>
      </c>
      <c r="R356" s="62">
        <f t="shared" si="133"/>
        <v>1000000</v>
      </c>
      <c r="S356" s="62">
        <f t="shared" si="133"/>
        <v>1000000</v>
      </c>
      <c r="T356" s="62">
        <f t="shared" si="133"/>
        <v>1000000</v>
      </c>
      <c r="U356" s="62">
        <f t="shared" si="133"/>
        <v>1000000</v>
      </c>
      <c r="V356" s="62">
        <f t="shared" si="133"/>
        <v>1000000</v>
      </c>
      <c r="W356" s="62">
        <f t="shared" si="133"/>
        <v>1000000</v>
      </c>
      <c r="X356" s="62">
        <f t="shared" si="133"/>
        <v>1000000</v>
      </c>
      <c r="Y356" s="62">
        <f t="shared" si="133"/>
        <v>1000000</v>
      </c>
      <c r="Z356" s="62">
        <f t="shared" si="133"/>
        <v>1000000</v>
      </c>
      <c r="AA356" s="62">
        <f t="shared" si="133"/>
        <v>1000000</v>
      </c>
      <c r="AB356" s="62">
        <f t="shared" si="133"/>
        <v>1000000</v>
      </c>
      <c r="AC356" s="62">
        <f t="shared" si="133"/>
        <v>1000000</v>
      </c>
    </row>
    <row r="357" spans="1:29" x14ac:dyDescent="0.3">
      <c r="A357" s="30" t="str">
        <f t="shared" si="132"/>
        <v>Residual value (costumization)</v>
      </c>
      <c r="B357" s="62">
        <f t="shared" si="133"/>
        <v>-100000</v>
      </c>
      <c r="C357" s="62">
        <f t="shared" si="133"/>
        <v>-100000</v>
      </c>
      <c r="D357" s="62">
        <f t="shared" si="133"/>
        <v>-100000</v>
      </c>
      <c r="E357" s="62">
        <f t="shared" si="133"/>
        <v>-100000</v>
      </c>
      <c r="F357" s="62">
        <f t="shared" si="133"/>
        <v>-100000</v>
      </c>
      <c r="G357" s="62">
        <f t="shared" si="133"/>
        <v>-100000</v>
      </c>
      <c r="H357" s="62">
        <f t="shared" si="133"/>
        <v>-100000</v>
      </c>
      <c r="I357" s="62">
        <f t="shared" si="133"/>
        <v>-100000</v>
      </c>
      <c r="J357" s="62">
        <f t="shared" si="133"/>
        <v>-100000</v>
      </c>
      <c r="K357" s="62">
        <f t="shared" si="133"/>
        <v>-100000</v>
      </c>
      <c r="L357" s="62">
        <f t="shared" si="133"/>
        <v>-100000</v>
      </c>
      <c r="M357" s="62">
        <f t="shared" si="133"/>
        <v>-100000</v>
      </c>
      <c r="N357" s="62">
        <f t="shared" si="133"/>
        <v>-100000</v>
      </c>
      <c r="O357" s="62">
        <f t="shared" si="133"/>
        <v>-100000</v>
      </c>
      <c r="P357" s="62">
        <f t="shared" si="133"/>
        <v>-100000</v>
      </c>
      <c r="Q357" s="62">
        <f t="shared" si="133"/>
        <v>-100000</v>
      </c>
      <c r="R357" s="62">
        <f t="shared" si="133"/>
        <v>-100000</v>
      </c>
      <c r="S357" s="62">
        <f t="shared" si="133"/>
        <v>-100000</v>
      </c>
      <c r="T357" s="62">
        <f t="shared" si="133"/>
        <v>-100000</v>
      </c>
      <c r="U357" s="62">
        <f t="shared" si="133"/>
        <v>-100000</v>
      </c>
      <c r="V357" s="62">
        <f t="shared" si="133"/>
        <v>-100000</v>
      </c>
      <c r="W357" s="62">
        <f t="shared" si="133"/>
        <v>-100000</v>
      </c>
      <c r="X357" s="62">
        <f t="shared" si="133"/>
        <v>-100000</v>
      </c>
      <c r="Y357" s="62">
        <f t="shared" si="133"/>
        <v>-100000</v>
      </c>
      <c r="Z357" s="62">
        <f t="shared" si="133"/>
        <v>-100000</v>
      </c>
      <c r="AA357" s="62">
        <f t="shared" si="133"/>
        <v>-100000</v>
      </c>
      <c r="AB357" s="62">
        <f t="shared" si="133"/>
        <v>-100000</v>
      </c>
      <c r="AC357" s="62">
        <f t="shared" si="133"/>
        <v>-100000</v>
      </c>
    </row>
    <row r="358" spans="1:29" x14ac:dyDescent="0.3">
      <c r="A358" s="30" t="str">
        <f t="shared" si="132"/>
        <v>WACC</v>
      </c>
      <c r="B358" s="62">
        <f t="shared" si="133"/>
        <v>0.06</v>
      </c>
      <c r="C358" s="62">
        <f t="shared" si="133"/>
        <v>0.06</v>
      </c>
      <c r="D358" s="62">
        <f t="shared" si="133"/>
        <v>0.06</v>
      </c>
      <c r="E358" s="62">
        <f t="shared" si="133"/>
        <v>0.06</v>
      </c>
      <c r="F358" s="62">
        <f t="shared" si="133"/>
        <v>0.06</v>
      </c>
      <c r="G358" s="62">
        <f t="shared" si="133"/>
        <v>0.06</v>
      </c>
      <c r="H358" s="62">
        <f t="shared" si="133"/>
        <v>0.06</v>
      </c>
      <c r="I358" s="62">
        <f t="shared" si="133"/>
        <v>0.06</v>
      </c>
      <c r="J358" s="62">
        <f t="shared" si="133"/>
        <v>0.06</v>
      </c>
      <c r="K358" s="62">
        <f t="shared" si="133"/>
        <v>0.06</v>
      </c>
      <c r="L358" s="62">
        <f t="shared" si="133"/>
        <v>0.06</v>
      </c>
      <c r="M358" s="62">
        <f t="shared" si="133"/>
        <v>0.06</v>
      </c>
      <c r="N358" s="62">
        <f t="shared" si="133"/>
        <v>0.06</v>
      </c>
      <c r="O358" s="62">
        <f t="shared" si="133"/>
        <v>0.06</v>
      </c>
      <c r="P358" s="62">
        <f t="shared" si="133"/>
        <v>0.06</v>
      </c>
      <c r="Q358" s="62">
        <f t="shared" si="133"/>
        <v>0.06</v>
      </c>
      <c r="R358" s="62">
        <f t="shared" si="133"/>
        <v>0.06</v>
      </c>
      <c r="S358" s="62">
        <f t="shared" si="133"/>
        <v>0.06</v>
      </c>
      <c r="T358" s="62">
        <f t="shared" si="133"/>
        <v>0.06</v>
      </c>
      <c r="U358" s="62">
        <f t="shared" si="133"/>
        <v>0.06</v>
      </c>
      <c r="V358" s="62">
        <f t="shared" si="133"/>
        <v>0.06</v>
      </c>
      <c r="W358" s="62">
        <f t="shared" si="133"/>
        <v>0.06</v>
      </c>
      <c r="X358" s="62">
        <f t="shared" si="133"/>
        <v>0.06</v>
      </c>
      <c r="Y358" s="62">
        <f t="shared" si="133"/>
        <v>0.06</v>
      </c>
      <c r="Z358" s="62">
        <f t="shared" si="133"/>
        <v>0.06</v>
      </c>
      <c r="AA358" s="62">
        <f t="shared" si="133"/>
        <v>0.06</v>
      </c>
      <c r="AB358" s="62">
        <f t="shared" si="133"/>
        <v>0.06</v>
      </c>
      <c r="AC358" s="62">
        <f t="shared" si="133"/>
        <v>0.06</v>
      </c>
    </row>
    <row r="359" spans="1:29" x14ac:dyDescent="0.3">
      <c r="A359" s="30" t="str">
        <f t="shared" si="132"/>
        <v>Opex fix (admin, crew, insurance)</v>
      </c>
      <c r="B359" s="62">
        <f t="shared" si="133"/>
        <v>1208235.294117647</v>
      </c>
      <c r="C359" s="62">
        <f t="shared" si="133"/>
        <v>1208235.294117647</v>
      </c>
      <c r="D359" s="62">
        <f t="shared" si="133"/>
        <v>1208235.294117647</v>
      </c>
      <c r="E359" s="62">
        <f t="shared" si="133"/>
        <v>1208235.294117647</v>
      </c>
      <c r="F359" s="62">
        <f t="shared" si="133"/>
        <v>1208235.294117647</v>
      </c>
      <c r="G359" s="62">
        <f t="shared" si="133"/>
        <v>1208235.294117647</v>
      </c>
      <c r="H359" s="62">
        <f t="shared" si="133"/>
        <v>1208235.294117647</v>
      </c>
      <c r="I359" s="62">
        <f t="shared" si="133"/>
        <v>1208235.294117647</v>
      </c>
      <c r="J359" s="62">
        <f t="shared" si="133"/>
        <v>1208235.294117647</v>
      </c>
      <c r="K359" s="62">
        <f t="shared" si="133"/>
        <v>1208235.294117647</v>
      </c>
      <c r="L359" s="62">
        <f t="shared" si="133"/>
        <v>1208235.294117647</v>
      </c>
      <c r="M359" s="62">
        <f t="shared" si="133"/>
        <v>1208235.294117647</v>
      </c>
      <c r="N359" s="62">
        <f t="shared" si="133"/>
        <v>1208235.294117647</v>
      </c>
      <c r="O359" s="62">
        <f t="shared" si="133"/>
        <v>1208235.294117647</v>
      </c>
      <c r="P359" s="62">
        <f t="shared" si="133"/>
        <v>1208235.294117647</v>
      </c>
      <c r="Q359" s="62">
        <f t="shared" si="133"/>
        <v>1208235.294117647</v>
      </c>
      <c r="R359" s="62">
        <f t="shared" si="133"/>
        <v>1208235.294117647</v>
      </c>
      <c r="S359" s="62">
        <f t="shared" si="133"/>
        <v>1208235.294117647</v>
      </c>
      <c r="T359" s="62">
        <f t="shared" si="133"/>
        <v>1208235.294117647</v>
      </c>
      <c r="U359" s="62">
        <f t="shared" si="133"/>
        <v>1208235.294117647</v>
      </c>
      <c r="V359" s="62">
        <f t="shared" si="133"/>
        <v>1208235.294117647</v>
      </c>
      <c r="W359" s="62">
        <f t="shared" si="133"/>
        <v>1208235.294117647</v>
      </c>
      <c r="X359" s="62">
        <f t="shared" si="133"/>
        <v>1208235.294117647</v>
      </c>
      <c r="Y359" s="62">
        <f t="shared" si="133"/>
        <v>1208235.294117647</v>
      </c>
      <c r="Z359" s="62">
        <f t="shared" si="133"/>
        <v>1208235.294117647</v>
      </c>
      <c r="AA359" s="62">
        <f t="shared" si="133"/>
        <v>1208235.294117647</v>
      </c>
      <c r="AB359" s="62">
        <f t="shared" si="133"/>
        <v>1208235.294117647</v>
      </c>
      <c r="AC359" s="62">
        <f t="shared" si="133"/>
        <v>1208235.294117647</v>
      </c>
    </row>
    <row r="360" spans="1:29" x14ac:dyDescent="0.3">
      <c r="A360" s="30" t="str">
        <f t="shared" si="132"/>
        <v>Opex maintenance &amp; repair</v>
      </c>
      <c r="B360" s="62">
        <f t="shared" si="133"/>
        <v>488235.29411764705</v>
      </c>
      <c r="C360" s="62">
        <f t="shared" si="133"/>
        <v>488235.29411764705</v>
      </c>
      <c r="D360" s="62">
        <f t="shared" si="133"/>
        <v>488235.29411764705</v>
      </c>
      <c r="E360" s="62">
        <f t="shared" si="133"/>
        <v>488235.29411764705</v>
      </c>
      <c r="F360" s="62">
        <f t="shared" si="133"/>
        <v>488235.29411764705</v>
      </c>
      <c r="G360" s="62">
        <f t="shared" si="133"/>
        <v>488235.29411764705</v>
      </c>
      <c r="H360" s="62">
        <f t="shared" si="133"/>
        <v>488235.29411764705</v>
      </c>
      <c r="I360" s="62">
        <f t="shared" si="133"/>
        <v>488235.29411764705</v>
      </c>
      <c r="J360" s="62">
        <f t="shared" si="133"/>
        <v>488235.29411764705</v>
      </c>
      <c r="K360" s="62">
        <f t="shared" si="133"/>
        <v>488235.29411764705</v>
      </c>
      <c r="L360" s="62">
        <f t="shared" si="133"/>
        <v>488235.29411764705</v>
      </c>
      <c r="M360" s="62">
        <f t="shared" si="133"/>
        <v>488235.29411764705</v>
      </c>
      <c r="N360" s="62">
        <f t="shared" si="133"/>
        <v>488235.29411764705</v>
      </c>
      <c r="O360" s="62">
        <f t="shared" si="133"/>
        <v>488235.29411764705</v>
      </c>
      <c r="P360" s="62">
        <f t="shared" si="133"/>
        <v>488235.29411764705</v>
      </c>
      <c r="Q360" s="62">
        <f t="shared" si="133"/>
        <v>488235.29411764705</v>
      </c>
      <c r="R360" s="62">
        <f t="shared" si="133"/>
        <v>488235.29411764705</v>
      </c>
      <c r="S360" s="62">
        <f t="shared" si="133"/>
        <v>488235.29411764705</v>
      </c>
      <c r="T360" s="62">
        <f t="shared" si="133"/>
        <v>488235.29411764705</v>
      </c>
      <c r="U360" s="62">
        <f t="shared" si="133"/>
        <v>488235.29411764705</v>
      </c>
      <c r="V360" s="62">
        <f t="shared" si="133"/>
        <v>488235.29411764705</v>
      </c>
      <c r="W360" s="62">
        <f t="shared" si="133"/>
        <v>488235.29411764705</v>
      </c>
      <c r="X360" s="62">
        <f t="shared" si="133"/>
        <v>488235.29411764705</v>
      </c>
      <c r="Y360" s="62">
        <f t="shared" si="133"/>
        <v>488235.29411764705</v>
      </c>
      <c r="Z360" s="62">
        <f t="shared" si="133"/>
        <v>488235.29411764705</v>
      </c>
      <c r="AA360" s="62">
        <f t="shared" si="133"/>
        <v>488235.29411764705</v>
      </c>
      <c r="AB360" s="62">
        <f t="shared" si="133"/>
        <v>488235.29411764705</v>
      </c>
      <c r="AC360" s="62">
        <f t="shared" si="133"/>
        <v>488235.29411764705</v>
      </c>
    </row>
    <row r="361" spans="1:29" x14ac:dyDescent="0.3">
      <c r="A361" s="30" t="str">
        <f t="shared" si="132"/>
        <v>Opex var (mode-fees)</v>
      </c>
      <c r="B361" s="62">
        <f t="shared" si="133"/>
        <v>0.81280569096848254</v>
      </c>
      <c r="C361" s="62">
        <f t="shared" si="133"/>
        <v>0.81280569096848254</v>
      </c>
      <c r="D361" s="62">
        <f t="shared" si="133"/>
        <v>0.81280569096848254</v>
      </c>
      <c r="E361" s="62">
        <f t="shared" si="133"/>
        <v>0.81280569096848254</v>
      </c>
      <c r="F361" s="62">
        <f t="shared" si="133"/>
        <v>0.81280569096848254</v>
      </c>
      <c r="G361" s="62">
        <f t="shared" si="133"/>
        <v>0.81280569096848254</v>
      </c>
      <c r="H361" s="62">
        <f t="shared" si="133"/>
        <v>0.81280569096848254</v>
      </c>
      <c r="I361" s="62">
        <f t="shared" si="133"/>
        <v>0.81280569096848254</v>
      </c>
      <c r="J361" s="62">
        <f t="shared" si="133"/>
        <v>0.81280569096848254</v>
      </c>
      <c r="K361" s="62">
        <f t="shared" si="133"/>
        <v>0.81280569096848254</v>
      </c>
      <c r="L361" s="62">
        <f t="shared" si="133"/>
        <v>0.81280569096848254</v>
      </c>
      <c r="M361" s="62">
        <f t="shared" si="133"/>
        <v>0.81280569096848254</v>
      </c>
      <c r="N361" s="62">
        <f t="shared" si="133"/>
        <v>0.81280569096848254</v>
      </c>
      <c r="O361" s="62">
        <f t="shared" si="133"/>
        <v>0.81280569096848254</v>
      </c>
      <c r="P361" s="62">
        <f t="shared" si="133"/>
        <v>0.81280569096848254</v>
      </c>
      <c r="Q361" s="62">
        <f t="shared" si="133"/>
        <v>0.81280569096848254</v>
      </c>
      <c r="R361" s="62">
        <f t="shared" si="133"/>
        <v>0.81280569096848254</v>
      </c>
      <c r="S361" s="62">
        <f t="shared" si="133"/>
        <v>0.81280569096848254</v>
      </c>
      <c r="T361" s="62">
        <f t="shared" si="133"/>
        <v>0.81280569096848254</v>
      </c>
      <c r="U361" s="62">
        <f t="shared" si="133"/>
        <v>0.81280569096848254</v>
      </c>
      <c r="V361" s="62">
        <f t="shared" si="133"/>
        <v>0.81280569096848254</v>
      </c>
      <c r="W361" s="62">
        <f t="shared" si="133"/>
        <v>0.81280569096848254</v>
      </c>
      <c r="X361" s="62">
        <f t="shared" si="133"/>
        <v>0.81280569096848254</v>
      </c>
      <c r="Y361" s="62">
        <f t="shared" si="133"/>
        <v>0.81280569096848254</v>
      </c>
      <c r="Z361" s="62">
        <f t="shared" si="133"/>
        <v>0.81280569096848254</v>
      </c>
      <c r="AA361" s="62">
        <f t="shared" si="133"/>
        <v>0.81280569096848254</v>
      </c>
      <c r="AB361" s="62">
        <f t="shared" si="133"/>
        <v>0.81280569096848254</v>
      </c>
      <c r="AC361" s="62">
        <f t="shared" si="133"/>
        <v>0.81280569096848254</v>
      </c>
    </row>
    <row r="362" spans="1:29" x14ac:dyDescent="0.3">
      <c r="A362" s="30" t="str">
        <f t="shared" si="132"/>
        <v>Fuel Economy</v>
      </c>
      <c r="B362" s="62">
        <f t="shared" si="133"/>
        <v>646.89677603543487</v>
      </c>
      <c r="C362" s="62">
        <f t="shared" si="133"/>
        <v>646.85211887817047</v>
      </c>
      <c r="D362" s="62">
        <f t="shared" si="133"/>
        <v>646.78819315220449</v>
      </c>
      <c r="E362" s="62">
        <f t="shared" si="133"/>
        <v>646.6967429057521</v>
      </c>
      <c r="F362" s="62">
        <f t="shared" si="133"/>
        <v>646.5660403240729</v>
      </c>
      <c r="G362" s="62">
        <f t="shared" si="133"/>
        <v>646.37949949401741</v>
      </c>
      <c r="H362" s="62">
        <f t="shared" si="133"/>
        <v>646.11381958854338</v>
      </c>
      <c r="I362" s="62">
        <f t="shared" si="133"/>
        <v>645.73659220845991</v>
      </c>
      <c r="J362" s="62">
        <f t="shared" si="133"/>
        <v>645.20341755594859</v>
      </c>
      <c r="K362" s="62">
        <f t="shared" si="133"/>
        <v>644.4548499630904</v>
      </c>
      <c r="L362" s="62">
        <f t="shared" si="133"/>
        <v>643.41406927056653</v>
      </c>
      <c r="M362" s="62">
        <f t="shared" si="133"/>
        <v>641.98719787679943</v>
      </c>
      <c r="N362" s="62">
        <f t="shared" si="133"/>
        <v>640.0696356209337</v>
      </c>
      <c r="O362" s="62">
        <f t="shared" si="133"/>
        <v>637.56301130673319</v>
      </c>
      <c r="P362" s="62">
        <f t="shared" si="133"/>
        <v>634.40634165749691</v>
      </c>
      <c r="Q362" s="62">
        <f t="shared" si="133"/>
        <v>630.6184286906298</v>
      </c>
      <c r="R362" s="62">
        <f t="shared" si="133"/>
        <v>626.33515650399931</v>
      </c>
      <c r="S362" s="62">
        <f t="shared" si="133"/>
        <v>621.81332363039712</v>
      </c>
      <c r="T362" s="62">
        <f t="shared" si="133"/>
        <v>617.38047196989623</v>
      </c>
      <c r="U362" s="62">
        <f t="shared" si="133"/>
        <v>613.34515585949862</v>
      </c>
      <c r="V362" s="62">
        <f t="shared" si="133"/>
        <v>609.91571180572532</v>
      </c>
      <c r="W362" s="62">
        <f t="shared" si="133"/>
        <v>607.1693412972852</v>
      </c>
      <c r="X362" s="62">
        <f t="shared" si="133"/>
        <v>605.0737387067237</v>
      </c>
      <c r="Y362" s="62">
        <f t="shared" si="133"/>
        <v>603.53330273509027</v>
      </c>
      <c r="Z362" s="62">
        <f t="shared" si="133"/>
        <v>602.43191330034256</v>
      </c>
      <c r="AA362" s="62">
        <f t="shared" si="133"/>
        <v>601.66000195939125</v>
      </c>
      <c r="AB362" s="62">
        <f t="shared" si="133"/>
        <v>601.12656377741496</v>
      </c>
      <c r="AC362" s="62">
        <f t="shared" si="133"/>
        <v>600.7615054472443</v>
      </c>
    </row>
    <row r="363" spans="1:29" x14ac:dyDescent="0.3">
      <c r="A363" s="30" t="str">
        <f t="shared" si="132"/>
        <v>Fuel Cost</v>
      </c>
      <c r="B363" s="62">
        <f t="shared" si="133"/>
        <v>3.1399999999999997E-2</v>
      </c>
      <c r="C363" s="62">
        <f t="shared" si="133"/>
        <v>3.1399999999999997E-2</v>
      </c>
      <c r="D363" s="62">
        <f t="shared" si="133"/>
        <v>3.1399999999999997E-2</v>
      </c>
      <c r="E363" s="62">
        <f t="shared" ref="E363:AC363" si="134">$B343+($C343-$B343)*(1-T343)</f>
        <v>3.1399999999999997E-2</v>
      </c>
      <c r="F363" s="62">
        <f t="shared" si="134"/>
        <v>3.1399999999999997E-2</v>
      </c>
      <c r="G363" s="62">
        <f t="shared" si="134"/>
        <v>3.1399999999999997E-2</v>
      </c>
      <c r="H363" s="62">
        <f t="shared" si="134"/>
        <v>3.1399999999999997E-2</v>
      </c>
      <c r="I363" s="62">
        <f t="shared" si="134"/>
        <v>3.1399999999999997E-2</v>
      </c>
      <c r="J363" s="62">
        <f t="shared" si="134"/>
        <v>3.1399999999999997E-2</v>
      </c>
      <c r="K363" s="62">
        <f t="shared" si="134"/>
        <v>3.1399999999999997E-2</v>
      </c>
      <c r="L363" s="62">
        <f t="shared" si="134"/>
        <v>3.1399999999999997E-2</v>
      </c>
      <c r="M363" s="62">
        <f t="shared" si="134"/>
        <v>3.1399999999999997E-2</v>
      </c>
      <c r="N363" s="62">
        <f t="shared" si="134"/>
        <v>3.1399999999999997E-2</v>
      </c>
      <c r="O363" s="62">
        <f t="shared" si="134"/>
        <v>3.1399999999999997E-2</v>
      </c>
      <c r="P363" s="62">
        <f t="shared" si="134"/>
        <v>3.1399999999999997E-2</v>
      </c>
      <c r="Q363" s="62">
        <f t="shared" si="134"/>
        <v>3.1399999999999997E-2</v>
      </c>
      <c r="R363" s="62">
        <f t="shared" si="134"/>
        <v>3.1399999999999997E-2</v>
      </c>
      <c r="S363" s="62">
        <f t="shared" si="134"/>
        <v>3.1399999999999997E-2</v>
      </c>
      <c r="T363" s="62">
        <f t="shared" si="134"/>
        <v>3.1399999999999997E-2</v>
      </c>
      <c r="U363" s="62">
        <f t="shared" si="134"/>
        <v>3.1399999999999997E-2</v>
      </c>
      <c r="V363" s="62">
        <f t="shared" si="134"/>
        <v>3.1399999999999997E-2</v>
      </c>
      <c r="W363" s="62">
        <f t="shared" si="134"/>
        <v>3.1399999999999997E-2</v>
      </c>
      <c r="X363" s="62">
        <f t="shared" si="134"/>
        <v>3.1399999999999997E-2</v>
      </c>
      <c r="Y363" s="62">
        <f t="shared" si="134"/>
        <v>3.1399999999999997E-2</v>
      </c>
      <c r="Z363" s="62">
        <f t="shared" si="134"/>
        <v>3.1399999999999997E-2</v>
      </c>
      <c r="AA363" s="62">
        <f t="shared" si="134"/>
        <v>3.1399999999999997E-2</v>
      </c>
      <c r="AB363" s="62">
        <f t="shared" si="134"/>
        <v>3.1399999999999997E-2</v>
      </c>
      <c r="AC363" s="62">
        <f t="shared" si="134"/>
        <v>3.1399999999999997E-2</v>
      </c>
    </row>
    <row r="364" spans="1:29" x14ac:dyDescent="0.3">
      <c r="A364" s="30" t="str">
        <f t="shared" si="132"/>
        <v>Emission Cost</v>
      </c>
      <c r="B364" s="62">
        <f>$B344+($C344-$B344)*(1-Q344)</f>
        <v>18.267003557738562</v>
      </c>
      <c r="C364" s="62">
        <f t="shared" ref="C364:AC367" si="135">$B344+($C344-$B344)*(1-R344)</f>
        <v>18.305790458980148</v>
      </c>
      <c r="D364" s="62">
        <f t="shared" si="135"/>
        <v>18.361313044198909</v>
      </c>
      <c r="E364" s="62">
        <f t="shared" si="135"/>
        <v>18.440742006877084</v>
      </c>
      <c r="F364" s="62">
        <f t="shared" si="135"/>
        <v>18.554263521414992</v>
      </c>
      <c r="G364" s="62">
        <f t="shared" si="135"/>
        <v>18.716283255677226</v>
      </c>
      <c r="H364" s="62">
        <f t="shared" si="135"/>
        <v>18.947039105058323</v>
      </c>
      <c r="I364" s="62">
        <f t="shared" si="135"/>
        <v>19.274679331915838</v>
      </c>
      <c r="J364" s="62">
        <f t="shared" si="135"/>
        <v>19.737767308363324</v>
      </c>
      <c r="K364" s="62">
        <f t="shared" si="135"/>
        <v>20.387934472496433</v>
      </c>
      <c r="L364" s="62">
        <f t="shared" si="135"/>
        <v>21.291902848630563</v>
      </c>
      <c r="M364" s="62">
        <f t="shared" si="135"/>
        <v>22.53120967478624</v>
      </c>
      <c r="N364" s="62">
        <f t="shared" si="135"/>
        <v>24.196705250388863</v>
      </c>
      <c r="O364" s="62">
        <f t="shared" si="135"/>
        <v>26.37382971778402</v>
      </c>
      <c r="P364" s="62">
        <f t="shared" si="135"/>
        <v>29.115550002671711</v>
      </c>
      <c r="Q364" s="62">
        <f t="shared" si="135"/>
        <v>32.405535643443841</v>
      </c>
      <c r="R364" s="62">
        <f t="shared" si="135"/>
        <v>36.125764728112543</v>
      </c>
      <c r="S364" s="62">
        <f t="shared" si="135"/>
        <v>40.053195309081424</v>
      </c>
      <c r="T364" s="62">
        <f t="shared" si="135"/>
        <v>43.903341402269703</v>
      </c>
      <c r="U364" s="62">
        <f t="shared" si="135"/>
        <v>47.40820864059085</v>
      </c>
      <c r="V364" s="62">
        <f t="shared" si="135"/>
        <v>50.386846690471195</v>
      </c>
      <c r="W364" s="62">
        <f t="shared" si="135"/>
        <v>52.772202324574174</v>
      </c>
      <c r="X364" s="62">
        <f t="shared" si="135"/>
        <v>54.592334543032798</v>
      </c>
      <c r="Y364" s="62">
        <f t="shared" si="135"/>
        <v>55.93027769841482</v>
      </c>
      <c r="Z364" s="62">
        <f t="shared" si="135"/>
        <v>56.886887698938416</v>
      </c>
      <c r="AA364" s="62">
        <f t="shared" si="135"/>
        <v>57.557330037474898</v>
      </c>
      <c r="AB364" s="62">
        <f t="shared" si="135"/>
        <v>58.020646902010256</v>
      </c>
      <c r="AC364" s="62">
        <f t="shared" si="135"/>
        <v>58.337717720376737</v>
      </c>
    </row>
    <row r="365" spans="1:29" x14ac:dyDescent="0.3">
      <c r="A365" s="30" t="str">
        <f t="shared" si="132"/>
        <v>Lifetime vehicle</v>
      </c>
      <c r="B365" s="62">
        <f>$B345+($C345-$B345)*(1-Q345)</f>
        <v>25</v>
      </c>
      <c r="C365" s="62">
        <f t="shared" si="135"/>
        <v>25</v>
      </c>
      <c r="D365" s="62">
        <f t="shared" si="135"/>
        <v>25</v>
      </c>
      <c r="E365" s="62">
        <f t="shared" si="135"/>
        <v>25</v>
      </c>
      <c r="F365" s="62">
        <f t="shared" si="135"/>
        <v>25</v>
      </c>
      <c r="G365" s="62">
        <f t="shared" si="135"/>
        <v>25</v>
      </c>
      <c r="H365" s="62">
        <f t="shared" si="135"/>
        <v>25</v>
      </c>
      <c r="I365" s="62">
        <f t="shared" si="135"/>
        <v>25</v>
      </c>
      <c r="J365" s="62">
        <f t="shared" si="135"/>
        <v>25</v>
      </c>
      <c r="K365" s="62">
        <f t="shared" si="135"/>
        <v>25</v>
      </c>
      <c r="L365" s="62">
        <f t="shared" si="135"/>
        <v>25</v>
      </c>
      <c r="M365" s="62">
        <f t="shared" si="135"/>
        <v>25</v>
      </c>
      <c r="N365" s="62">
        <f t="shared" si="135"/>
        <v>25</v>
      </c>
      <c r="O365" s="62">
        <f t="shared" si="135"/>
        <v>25</v>
      </c>
      <c r="P365" s="62">
        <f t="shared" si="135"/>
        <v>25</v>
      </c>
      <c r="Q365" s="62">
        <f t="shared" si="135"/>
        <v>25</v>
      </c>
      <c r="R365" s="62">
        <f t="shared" si="135"/>
        <v>25</v>
      </c>
      <c r="S365" s="62">
        <f t="shared" si="135"/>
        <v>25</v>
      </c>
      <c r="T365" s="62">
        <f t="shared" si="135"/>
        <v>25</v>
      </c>
      <c r="U365" s="62">
        <f t="shared" si="135"/>
        <v>25</v>
      </c>
      <c r="V365" s="62">
        <f t="shared" si="135"/>
        <v>25</v>
      </c>
      <c r="W365" s="62">
        <f t="shared" si="135"/>
        <v>25</v>
      </c>
      <c r="X365" s="62">
        <f t="shared" si="135"/>
        <v>25</v>
      </c>
      <c r="Y365" s="62">
        <f t="shared" si="135"/>
        <v>25</v>
      </c>
      <c r="Z365" s="62">
        <f t="shared" si="135"/>
        <v>25</v>
      </c>
      <c r="AA365" s="62">
        <f t="shared" si="135"/>
        <v>25</v>
      </c>
      <c r="AB365" s="62">
        <f t="shared" si="135"/>
        <v>25</v>
      </c>
      <c r="AC365" s="62">
        <f t="shared" si="135"/>
        <v>25</v>
      </c>
    </row>
    <row r="366" spans="1:29" x14ac:dyDescent="0.3">
      <c r="A366" s="30" t="str">
        <f t="shared" si="132"/>
        <v>Lifetime costumization</v>
      </c>
      <c r="B366" s="62">
        <f>$B346+($C346-$B346)*(1-Q346)</f>
        <v>25</v>
      </c>
      <c r="C366" s="62">
        <f t="shared" si="135"/>
        <v>25</v>
      </c>
      <c r="D366" s="62">
        <f t="shared" si="135"/>
        <v>25</v>
      </c>
      <c r="E366" s="62">
        <f t="shared" si="135"/>
        <v>25</v>
      </c>
      <c r="F366" s="62">
        <f t="shared" si="135"/>
        <v>25</v>
      </c>
      <c r="G366" s="62">
        <f t="shared" si="135"/>
        <v>25</v>
      </c>
      <c r="H366" s="62">
        <f t="shared" si="135"/>
        <v>25</v>
      </c>
      <c r="I366" s="62">
        <f t="shared" si="135"/>
        <v>25</v>
      </c>
      <c r="J366" s="62">
        <f t="shared" si="135"/>
        <v>25</v>
      </c>
      <c r="K366" s="62">
        <f t="shared" si="135"/>
        <v>25</v>
      </c>
      <c r="L366" s="62">
        <f t="shared" si="135"/>
        <v>25</v>
      </c>
      <c r="M366" s="62">
        <f t="shared" si="135"/>
        <v>25</v>
      </c>
      <c r="N366" s="62">
        <f t="shared" si="135"/>
        <v>25</v>
      </c>
      <c r="O366" s="62">
        <f t="shared" si="135"/>
        <v>25</v>
      </c>
      <c r="P366" s="62">
        <f t="shared" si="135"/>
        <v>25</v>
      </c>
      <c r="Q366" s="62">
        <f t="shared" si="135"/>
        <v>25</v>
      </c>
      <c r="R366" s="62">
        <f t="shared" si="135"/>
        <v>25</v>
      </c>
      <c r="S366" s="62">
        <f t="shared" si="135"/>
        <v>25</v>
      </c>
      <c r="T366" s="62">
        <f t="shared" si="135"/>
        <v>25</v>
      </c>
      <c r="U366" s="62">
        <f t="shared" si="135"/>
        <v>25</v>
      </c>
      <c r="V366" s="62">
        <f t="shared" si="135"/>
        <v>25</v>
      </c>
      <c r="W366" s="62">
        <f t="shared" si="135"/>
        <v>25</v>
      </c>
      <c r="X366" s="62">
        <f t="shared" si="135"/>
        <v>25</v>
      </c>
      <c r="Y366" s="62">
        <f t="shared" si="135"/>
        <v>25</v>
      </c>
      <c r="Z366" s="62">
        <f t="shared" si="135"/>
        <v>25</v>
      </c>
      <c r="AA366" s="62">
        <f t="shared" si="135"/>
        <v>25</v>
      </c>
      <c r="AB366" s="62">
        <f t="shared" si="135"/>
        <v>25</v>
      </c>
      <c r="AC366" s="62">
        <f t="shared" si="135"/>
        <v>25</v>
      </c>
    </row>
    <row r="367" spans="1:29" x14ac:dyDescent="0.3">
      <c r="A367" s="30" t="str">
        <f t="shared" si="132"/>
        <v>Tonnage .</v>
      </c>
      <c r="B367" s="62">
        <f>$B347+($C347-$B347)*(1-Q347)</f>
        <v>9450</v>
      </c>
      <c r="C367" s="62">
        <f t="shared" si="135"/>
        <v>9450</v>
      </c>
      <c r="D367" s="62">
        <f t="shared" si="135"/>
        <v>9450</v>
      </c>
      <c r="E367" s="62">
        <f t="shared" si="135"/>
        <v>9450</v>
      </c>
      <c r="F367" s="62">
        <f t="shared" si="135"/>
        <v>9450</v>
      </c>
      <c r="G367" s="62">
        <f t="shared" si="135"/>
        <v>9450</v>
      </c>
      <c r="H367" s="62">
        <f t="shared" si="135"/>
        <v>9450</v>
      </c>
      <c r="I367" s="62">
        <f t="shared" si="135"/>
        <v>9450</v>
      </c>
      <c r="J367" s="62">
        <f t="shared" si="135"/>
        <v>9450</v>
      </c>
      <c r="K367" s="62">
        <f t="shared" si="135"/>
        <v>9450</v>
      </c>
      <c r="L367" s="62">
        <f t="shared" si="135"/>
        <v>9450</v>
      </c>
      <c r="M367" s="62">
        <f t="shared" si="135"/>
        <v>9450</v>
      </c>
      <c r="N367" s="62">
        <f t="shared" si="135"/>
        <v>9450</v>
      </c>
      <c r="O367" s="62">
        <f t="shared" si="135"/>
        <v>9450</v>
      </c>
      <c r="P367" s="62">
        <f t="shared" si="135"/>
        <v>9450</v>
      </c>
      <c r="Q367" s="62">
        <f t="shared" si="135"/>
        <v>9450</v>
      </c>
      <c r="R367" s="62">
        <f t="shared" si="135"/>
        <v>9450</v>
      </c>
      <c r="S367" s="62">
        <f t="shared" si="135"/>
        <v>9450</v>
      </c>
      <c r="T367" s="62">
        <f t="shared" si="135"/>
        <v>9450</v>
      </c>
      <c r="U367" s="62">
        <f t="shared" si="135"/>
        <v>9450</v>
      </c>
      <c r="V367" s="62">
        <f t="shared" si="135"/>
        <v>9450</v>
      </c>
      <c r="W367" s="62">
        <f t="shared" si="135"/>
        <v>9450</v>
      </c>
      <c r="X367" s="62">
        <f t="shared" si="135"/>
        <v>9450</v>
      </c>
      <c r="Y367" s="62">
        <f t="shared" si="135"/>
        <v>9450</v>
      </c>
      <c r="Z367" s="62">
        <f t="shared" si="135"/>
        <v>9450</v>
      </c>
      <c r="AA367" s="62">
        <f t="shared" si="135"/>
        <v>9450</v>
      </c>
      <c r="AB367" s="62">
        <f t="shared" si="135"/>
        <v>9450</v>
      </c>
      <c r="AC367" s="62">
        <f t="shared" si="135"/>
        <v>9450</v>
      </c>
    </row>
    <row r="368" spans="1:29" x14ac:dyDescent="0.3">
      <c r="A368" s="30" t="str">
        <f t="shared" si="132"/>
        <v>Market failure (av. utilization)</v>
      </c>
      <c r="B368" s="62">
        <f t="shared" ref="B368:AC369" si="136">($B348+($C348-$B348)*(1-Q348))*B$44</f>
        <v>4819.5</v>
      </c>
      <c r="C368" s="62">
        <f t="shared" si="136"/>
        <v>4819.5</v>
      </c>
      <c r="D368" s="62">
        <f t="shared" si="136"/>
        <v>4819.5</v>
      </c>
      <c r="E368" s="62">
        <f t="shared" si="136"/>
        <v>4819.5</v>
      </c>
      <c r="F368" s="62">
        <f t="shared" si="136"/>
        <v>4819.5</v>
      </c>
      <c r="G368" s="62">
        <f t="shared" si="136"/>
        <v>4819.5</v>
      </c>
      <c r="H368" s="62">
        <f t="shared" si="136"/>
        <v>4819.5</v>
      </c>
      <c r="I368" s="62">
        <f t="shared" si="136"/>
        <v>4819.5</v>
      </c>
      <c r="J368" s="62">
        <f t="shared" si="136"/>
        <v>4819.5</v>
      </c>
      <c r="K368" s="62">
        <f t="shared" si="136"/>
        <v>4819.5</v>
      </c>
      <c r="L368" s="62">
        <f t="shared" si="136"/>
        <v>4819.5</v>
      </c>
      <c r="M368" s="62">
        <f t="shared" si="136"/>
        <v>4819.5</v>
      </c>
      <c r="N368" s="62">
        <f t="shared" si="136"/>
        <v>4819.5</v>
      </c>
      <c r="O368" s="62">
        <f t="shared" si="136"/>
        <v>4819.5</v>
      </c>
      <c r="P368" s="62">
        <f t="shared" si="136"/>
        <v>4819.5</v>
      </c>
      <c r="Q368" s="62">
        <f t="shared" si="136"/>
        <v>4819.5</v>
      </c>
      <c r="R368" s="62">
        <f t="shared" si="136"/>
        <v>4819.5</v>
      </c>
      <c r="S368" s="62">
        <f t="shared" si="136"/>
        <v>4819.5</v>
      </c>
      <c r="T368" s="62">
        <f t="shared" si="136"/>
        <v>4819.5</v>
      </c>
      <c r="U368" s="62">
        <f t="shared" si="136"/>
        <v>4819.5</v>
      </c>
      <c r="V368" s="62">
        <f t="shared" si="136"/>
        <v>4819.5</v>
      </c>
      <c r="W368" s="62">
        <f t="shared" si="136"/>
        <v>4819.5</v>
      </c>
      <c r="X368" s="62">
        <f t="shared" si="136"/>
        <v>4819.5</v>
      </c>
      <c r="Y368" s="62">
        <f t="shared" si="136"/>
        <v>4819.5</v>
      </c>
      <c r="Z368" s="62">
        <f t="shared" si="136"/>
        <v>4819.5</v>
      </c>
      <c r="AA368" s="62">
        <f t="shared" si="136"/>
        <v>4819.5</v>
      </c>
      <c r="AB368" s="62">
        <f t="shared" si="136"/>
        <v>4819.5</v>
      </c>
      <c r="AC368" s="62">
        <f t="shared" si="136"/>
        <v>4819.5</v>
      </c>
    </row>
    <row r="369" spans="1:29" x14ac:dyDescent="0.3">
      <c r="A369" s="30" t="s">
        <v>73</v>
      </c>
      <c r="B369" s="62">
        <f t="shared" si="136"/>
        <v>0</v>
      </c>
      <c r="C369" s="62">
        <f t="shared" si="136"/>
        <v>0</v>
      </c>
      <c r="D369" s="62">
        <f t="shared" si="136"/>
        <v>0</v>
      </c>
      <c r="E369" s="62">
        <f t="shared" si="136"/>
        <v>0</v>
      </c>
      <c r="F369" s="62">
        <f t="shared" si="136"/>
        <v>0</v>
      </c>
      <c r="G369" s="62">
        <f t="shared" si="136"/>
        <v>0</v>
      </c>
      <c r="H369" s="62">
        <f t="shared" si="136"/>
        <v>0</v>
      </c>
      <c r="I369" s="62">
        <f t="shared" si="136"/>
        <v>0</v>
      </c>
      <c r="J369" s="62">
        <f t="shared" si="136"/>
        <v>0</v>
      </c>
      <c r="K369" s="62">
        <f t="shared" si="136"/>
        <v>0</v>
      </c>
      <c r="L369" s="62">
        <f t="shared" si="136"/>
        <v>0</v>
      </c>
      <c r="M369" s="62">
        <f t="shared" si="136"/>
        <v>0</v>
      </c>
      <c r="N369" s="62">
        <f t="shared" si="136"/>
        <v>0</v>
      </c>
      <c r="O369" s="62">
        <f t="shared" si="136"/>
        <v>0</v>
      </c>
      <c r="P369" s="62">
        <f t="shared" si="136"/>
        <v>0</v>
      </c>
      <c r="Q369" s="62">
        <f t="shared" si="136"/>
        <v>0</v>
      </c>
      <c r="R369" s="62">
        <f t="shared" si="136"/>
        <v>0</v>
      </c>
      <c r="S369" s="62">
        <f t="shared" si="136"/>
        <v>0</v>
      </c>
      <c r="T369" s="62">
        <f t="shared" si="136"/>
        <v>0</v>
      </c>
      <c r="U369" s="62">
        <f t="shared" si="136"/>
        <v>0</v>
      </c>
      <c r="V369" s="62">
        <f t="shared" si="136"/>
        <v>0</v>
      </c>
      <c r="W369" s="62">
        <f t="shared" si="136"/>
        <v>0</v>
      </c>
      <c r="X369" s="62">
        <f t="shared" si="136"/>
        <v>0</v>
      </c>
      <c r="Y369" s="62">
        <f t="shared" si="136"/>
        <v>0</v>
      </c>
      <c r="Z369" s="62">
        <f t="shared" si="136"/>
        <v>0</v>
      </c>
      <c r="AA369" s="62">
        <f t="shared" si="136"/>
        <v>0</v>
      </c>
      <c r="AB369" s="62">
        <f t="shared" si="136"/>
        <v>0</v>
      </c>
      <c r="AC369" s="62">
        <f t="shared" si="136"/>
        <v>0</v>
      </c>
    </row>
    <row r="370" spans="1:29" x14ac:dyDescent="0.3">
      <c r="A370" s="30" t="str">
        <f>A350</f>
        <v>Annual Mileage</v>
      </c>
      <c r="B370" s="62">
        <f t="shared" ref="B370:AC370" si="137">$B350+($C350-$B350)*(1-Q350)</f>
        <v>120000</v>
      </c>
      <c r="C370" s="62">
        <f t="shared" si="137"/>
        <v>120000</v>
      </c>
      <c r="D370" s="62">
        <f t="shared" si="137"/>
        <v>120000</v>
      </c>
      <c r="E370" s="62">
        <f t="shared" si="137"/>
        <v>120000</v>
      </c>
      <c r="F370" s="62">
        <f t="shared" si="137"/>
        <v>120000</v>
      </c>
      <c r="G370" s="62">
        <f t="shared" si="137"/>
        <v>120000</v>
      </c>
      <c r="H370" s="62">
        <f t="shared" si="137"/>
        <v>120000</v>
      </c>
      <c r="I370" s="62">
        <f t="shared" si="137"/>
        <v>120000</v>
      </c>
      <c r="J370" s="62">
        <f t="shared" si="137"/>
        <v>120000</v>
      </c>
      <c r="K370" s="62">
        <f t="shared" si="137"/>
        <v>120000</v>
      </c>
      <c r="L370" s="62">
        <f t="shared" si="137"/>
        <v>120000</v>
      </c>
      <c r="M370" s="62">
        <f t="shared" si="137"/>
        <v>120000</v>
      </c>
      <c r="N370" s="62">
        <f t="shared" si="137"/>
        <v>120000</v>
      </c>
      <c r="O370" s="62">
        <f t="shared" si="137"/>
        <v>120000</v>
      </c>
      <c r="P370" s="62">
        <f t="shared" si="137"/>
        <v>120000</v>
      </c>
      <c r="Q370" s="62">
        <f t="shared" si="137"/>
        <v>120000</v>
      </c>
      <c r="R370" s="62">
        <f t="shared" si="137"/>
        <v>120000</v>
      </c>
      <c r="S370" s="62">
        <f t="shared" si="137"/>
        <v>120000</v>
      </c>
      <c r="T370" s="62">
        <f t="shared" si="137"/>
        <v>120000</v>
      </c>
      <c r="U370" s="62">
        <f t="shared" si="137"/>
        <v>120000</v>
      </c>
      <c r="V370" s="62">
        <f t="shared" si="137"/>
        <v>120000</v>
      </c>
      <c r="W370" s="62">
        <f t="shared" si="137"/>
        <v>120000</v>
      </c>
      <c r="X370" s="62">
        <f t="shared" si="137"/>
        <v>120000</v>
      </c>
      <c r="Y370" s="62">
        <f t="shared" si="137"/>
        <v>120000</v>
      </c>
      <c r="Z370" s="62">
        <f t="shared" si="137"/>
        <v>120000</v>
      </c>
      <c r="AA370" s="62">
        <f t="shared" si="137"/>
        <v>120000</v>
      </c>
      <c r="AB370" s="62">
        <f t="shared" si="137"/>
        <v>120000</v>
      </c>
      <c r="AC370" s="62">
        <f t="shared" si="137"/>
        <v>120000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1173400.7731841092</v>
      </c>
      <c r="C373" s="63">
        <f t="shared" ref="C373:AC373" si="138">((1+C358)^C365)*C358/(((1+C358)^C365)-1)*(C354)</f>
        <v>1173400.7731841092</v>
      </c>
      <c r="D373" s="63">
        <f t="shared" si="138"/>
        <v>1173400.7731841092</v>
      </c>
      <c r="E373" s="63">
        <f t="shared" si="138"/>
        <v>1173400.7731841092</v>
      </c>
      <c r="F373" s="63">
        <f t="shared" si="138"/>
        <v>1173400.7731841092</v>
      </c>
      <c r="G373" s="63">
        <f t="shared" si="138"/>
        <v>1173400.7731841092</v>
      </c>
      <c r="H373" s="63">
        <f t="shared" si="138"/>
        <v>1173400.7731841092</v>
      </c>
      <c r="I373" s="63">
        <f t="shared" si="138"/>
        <v>1173400.7731841092</v>
      </c>
      <c r="J373" s="63">
        <f t="shared" si="138"/>
        <v>1173400.7731841092</v>
      </c>
      <c r="K373" s="63">
        <f t="shared" si="138"/>
        <v>1173400.7731841092</v>
      </c>
      <c r="L373" s="63">
        <f t="shared" si="138"/>
        <v>1173400.7731841092</v>
      </c>
      <c r="M373" s="63">
        <f t="shared" si="138"/>
        <v>1173400.7731841092</v>
      </c>
      <c r="N373" s="63">
        <f t="shared" si="138"/>
        <v>1173400.7731841092</v>
      </c>
      <c r="O373" s="63">
        <f t="shared" si="138"/>
        <v>1173400.7731841092</v>
      </c>
      <c r="P373" s="63">
        <f t="shared" si="138"/>
        <v>1173400.7731841092</v>
      </c>
      <c r="Q373" s="63">
        <f t="shared" si="138"/>
        <v>1173400.7731841092</v>
      </c>
      <c r="R373" s="63">
        <f t="shared" si="138"/>
        <v>1173400.7731841092</v>
      </c>
      <c r="S373" s="63">
        <f t="shared" si="138"/>
        <v>1173400.7731841092</v>
      </c>
      <c r="T373" s="63">
        <f t="shared" si="138"/>
        <v>1173400.7731841092</v>
      </c>
      <c r="U373" s="63">
        <f t="shared" si="138"/>
        <v>1173400.7731841092</v>
      </c>
      <c r="V373" s="63">
        <f t="shared" si="138"/>
        <v>1173400.7731841092</v>
      </c>
      <c r="W373" s="63">
        <f t="shared" si="138"/>
        <v>1173400.7731841092</v>
      </c>
      <c r="X373" s="63">
        <f t="shared" si="138"/>
        <v>1173400.7731841092</v>
      </c>
      <c r="Y373" s="63">
        <f t="shared" si="138"/>
        <v>1173400.7731841092</v>
      </c>
      <c r="Z373" s="63">
        <f t="shared" si="138"/>
        <v>1173400.7731841092</v>
      </c>
      <c r="AA373" s="63">
        <f t="shared" si="138"/>
        <v>1173400.7731841092</v>
      </c>
      <c r="AB373" s="63">
        <f t="shared" si="138"/>
        <v>1173400.7731841092</v>
      </c>
      <c r="AC373" s="63">
        <f t="shared" si="138"/>
        <v>1173400.7731841092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-117211.22297816433</v>
      </c>
      <c r="C374" s="62">
        <f t="shared" ref="C374:AC374" si="139">((1+C358)^C365)*C358/(((1+C358)^C365)-1)*(C355)</f>
        <v>-117155.47750703427</v>
      </c>
      <c r="D374" s="62">
        <f t="shared" si="139"/>
        <v>-117075.67910674184</v>
      </c>
      <c r="E374" s="62">
        <f t="shared" si="139"/>
        <v>-116961.52188344915</v>
      </c>
      <c r="F374" s="62">
        <f t="shared" si="139"/>
        <v>-116798.36602132194</v>
      </c>
      <c r="G374" s="62">
        <f t="shared" si="139"/>
        <v>-116565.50734662244</v>
      </c>
      <c r="H374" s="62">
        <f t="shared" si="139"/>
        <v>-116233.85946736432</v>
      </c>
      <c r="I374" s="62">
        <f t="shared" si="139"/>
        <v>-115762.96702113429</v>
      </c>
      <c r="J374" s="62">
        <f t="shared" si="139"/>
        <v>-115097.40579826315</v>
      </c>
      <c r="K374" s="62">
        <f t="shared" si="139"/>
        <v>-114162.96984907117</v>
      </c>
      <c r="L374" s="62">
        <f t="shared" si="139"/>
        <v>-112863.76466894078</v>
      </c>
      <c r="M374" s="62">
        <f t="shared" si="139"/>
        <v>-111082.60297034449</v>
      </c>
      <c r="N374" s="62">
        <f t="shared" si="139"/>
        <v>-108688.91250900239</v>
      </c>
      <c r="O374" s="62">
        <f t="shared" si="139"/>
        <v>-105559.89664903973</v>
      </c>
      <c r="P374" s="62">
        <f t="shared" si="139"/>
        <v>-101619.43004574107</v>
      </c>
      <c r="Q374" s="62">
        <f t="shared" si="139"/>
        <v>-96890.983232894243</v>
      </c>
      <c r="R374" s="62">
        <f t="shared" si="139"/>
        <v>-91544.180152521745</v>
      </c>
      <c r="S374" s="62">
        <f t="shared" si="139"/>
        <v>-85899.582077953528</v>
      </c>
      <c r="T374" s="62">
        <f t="shared" si="139"/>
        <v>-80366.059135568226</v>
      </c>
      <c r="U374" s="62">
        <f t="shared" si="139"/>
        <v>-75328.779301543953</v>
      </c>
      <c r="V374" s="62">
        <f t="shared" si="139"/>
        <v>-71047.808765066002</v>
      </c>
      <c r="W374" s="62">
        <f t="shared" si="139"/>
        <v>-67619.518043732241</v>
      </c>
      <c r="X374" s="62">
        <f t="shared" si="139"/>
        <v>-65003.580064954105</v>
      </c>
      <c r="Y374" s="62">
        <f t="shared" si="139"/>
        <v>-63080.655852023017</v>
      </c>
      <c r="Z374" s="62">
        <f t="shared" si="139"/>
        <v>-61705.792858076449</v>
      </c>
      <c r="AA374" s="62">
        <f t="shared" si="139"/>
        <v>-60742.216938606354</v>
      </c>
      <c r="AB374" s="62">
        <f t="shared" si="139"/>
        <v>-60076.3267522479</v>
      </c>
      <c r="AC374" s="62">
        <f t="shared" si="139"/>
        <v>-59620.624915142049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140">((1+C358)^C366)*C358/(((1+C358)^C366)-1)*(C356)</f>
        <v>78226.718212273947</v>
      </c>
      <c r="D375" s="62">
        <f t="shared" si="140"/>
        <v>78226.718212273947</v>
      </c>
      <c r="E375" s="62">
        <f t="shared" si="140"/>
        <v>78226.718212273947</v>
      </c>
      <c r="F375" s="62">
        <f t="shared" si="140"/>
        <v>78226.718212273947</v>
      </c>
      <c r="G375" s="62">
        <f t="shared" si="140"/>
        <v>78226.718212273947</v>
      </c>
      <c r="H375" s="62">
        <f t="shared" si="140"/>
        <v>78226.718212273947</v>
      </c>
      <c r="I375" s="62">
        <f t="shared" si="140"/>
        <v>78226.718212273947</v>
      </c>
      <c r="J375" s="62">
        <f t="shared" si="140"/>
        <v>78226.718212273947</v>
      </c>
      <c r="K375" s="62">
        <f t="shared" si="140"/>
        <v>78226.718212273947</v>
      </c>
      <c r="L375" s="62">
        <f t="shared" si="140"/>
        <v>78226.718212273947</v>
      </c>
      <c r="M375" s="62">
        <f t="shared" si="140"/>
        <v>78226.718212273947</v>
      </c>
      <c r="N375" s="62">
        <f t="shared" si="140"/>
        <v>78226.718212273947</v>
      </c>
      <c r="O375" s="62">
        <f t="shared" si="140"/>
        <v>78226.718212273947</v>
      </c>
      <c r="P375" s="62">
        <f t="shared" si="140"/>
        <v>78226.718212273947</v>
      </c>
      <c r="Q375" s="62">
        <f t="shared" si="140"/>
        <v>78226.718212273947</v>
      </c>
      <c r="R375" s="62">
        <f t="shared" si="140"/>
        <v>78226.718212273947</v>
      </c>
      <c r="S375" s="62">
        <f t="shared" si="140"/>
        <v>78226.718212273947</v>
      </c>
      <c r="T375" s="62">
        <f t="shared" si="140"/>
        <v>78226.718212273947</v>
      </c>
      <c r="U375" s="62">
        <f t="shared" si="140"/>
        <v>78226.718212273947</v>
      </c>
      <c r="V375" s="62">
        <f t="shared" si="140"/>
        <v>78226.718212273947</v>
      </c>
      <c r="W375" s="62">
        <f t="shared" si="140"/>
        <v>78226.718212273947</v>
      </c>
      <c r="X375" s="62">
        <f t="shared" si="140"/>
        <v>78226.718212273947</v>
      </c>
      <c r="Y375" s="62">
        <f t="shared" si="140"/>
        <v>78226.718212273947</v>
      </c>
      <c r="Z375" s="62">
        <f t="shared" si="140"/>
        <v>78226.718212273947</v>
      </c>
      <c r="AA375" s="62">
        <f t="shared" si="140"/>
        <v>78226.718212273947</v>
      </c>
      <c r="AB375" s="62">
        <f t="shared" si="140"/>
        <v>78226.718212273947</v>
      </c>
      <c r="AC375" s="62">
        <f t="shared" si="140"/>
        <v>78226.718212273947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141">((1+C358)^C366)*C358/(((1+C358)^C366)-1)*(C357)</f>
        <v>-7822.6718212273945</v>
      </c>
      <c r="D376" s="62">
        <f t="shared" si="141"/>
        <v>-7822.6718212273945</v>
      </c>
      <c r="E376" s="62">
        <f t="shared" si="141"/>
        <v>-7822.6718212273945</v>
      </c>
      <c r="F376" s="62">
        <f t="shared" si="141"/>
        <v>-7822.6718212273945</v>
      </c>
      <c r="G376" s="62">
        <f t="shared" si="141"/>
        <v>-7822.6718212273945</v>
      </c>
      <c r="H376" s="62">
        <f t="shared" si="141"/>
        <v>-7822.6718212273945</v>
      </c>
      <c r="I376" s="62">
        <f t="shared" si="141"/>
        <v>-7822.6718212273945</v>
      </c>
      <c r="J376" s="62">
        <f t="shared" si="141"/>
        <v>-7822.6718212273945</v>
      </c>
      <c r="K376" s="62">
        <f t="shared" si="141"/>
        <v>-7822.6718212273945</v>
      </c>
      <c r="L376" s="62">
        <f t="shared" si="141"/>
        <v>-7822.6718212273945</v>
      </c>
      <c r="M376" s="62">
        <f t="shared" si="141"/>
        <v>-7822.6718212273945</v>
      </c>
      <c r="N376" s="62">
        <f t="shared" si="141"/>
        <v>-7822.6718212273945</v>
      </c>
      <c r="O376" s="62">
        <f t="shared" si="141"/>
        <v>-7822.6718212273945</v>
      </c>
      <c r="P376" s="62">
        <f t="shared" si="141"/>
        <v>-7822.6718212273945</v>
      </c>
      <c r="Q376" s="62">
        <f t="shared" si="141"/>
        <v>-7822.6718212273945</v>
      </c>
      <c r="R376" s="62">
        <f t="shared" si="141"/>
        <v>-7822.6718212273945</v>
      </c>
      <c r="S376" s="62">
        <f t="shared" si="141"/>
        <v>-7822.6718212273945</v>
      </c>
      <c r="T376" s="62">
        <f t="shared" si="141"/>
        <v>-7822.6718212273945</v>
      </c>
      <c r="U376" s="62">
        <f t="shared" si="141"/>
        <v>-7822.6718212273945</v>
      </c>
      <c r="V376" s="62">
        <f t="shared" si="141"/>
        <v>-7822.6718212273945</v>
      </c>
      <c r="W376" s="62">
        <f t="shared" si="141"/>
        <v>-7822.6718212273945</v>
      </c>
      <c r="X376" s="62">
        <f t="shared" si="141"/>
        <v>-7822.6718212273945</v>
      </c>
      <c r="Y376" s="62">
        <f t="shared" si="141"/>
        <v>-7822.6718212273945</v>
      </c>
      <c r="Z376" s="62">
        <f t="shared" si="141"/>
        <v>-7822.6718212273945</v>
      </c>
      <c r="AA376" s="62">
        <f t="shared" si="141"/>
        <v>-7822.6718212273945</v>
      </c>
      <c r="AB376" s="62">
        <f t="shared" si="141"/>
        <v>-7822.6718212273945</v>
      </c>
      <c r="AC376" s="62">
        <f t="shared" si="141"/>
        <v>-7822.6718212273945</v>
      </c>
    </row>
    <row r="377" spans="1:29" x14ac:dyDescent="0.3">
      <c r="A377" s="30" t="str">
        <f t="shared" ref="A377:AC378" si="142">A359</f>
        <v>Opex fix (admin, crew, insurance)</v>
      </c>
      <c r="B377" s="62">
        <f t="shared" si="142"/>
        <v>1208235.294117647</v>
      </c>
      <c r="C377" s="62">
        <f t="shared" si="142"/>
        <v>1208235.294117647</v>
      </c>
      <c r="D377" s="62">
        <f t="shared" si="142"/>
        <v>1208235.294117647</v>
      </c>
      <c r="E377" s="62">
        <f t="shared" si="142"/>
        <v>1208235.294117647</v>
      </c>
      <c r="F377" s="62">
        <f t="shared" si="142"/>
        <v>1208235.294117647</v>
      </c>
      <c r="G377" s="62">
        <f t="shared" si="142"/>
        <v>1208235.294117647</v>
      </c>
      <c r="H377" s="62">
        <f t="shared" si="142"/>
        <v>1208235.294117647</v>
      </c>
      <c r="I377" s="62">
        <f t="shared" si="142"/>
        <v>1208235.294117647</v>
      </c>
      <c r="J377" s="62">
        <f t="shared" si="142"/>
        <v>1208235.294117647</v>
      </c>
      <c r="K377" s="62">
        <f t="shared" si="142"/>
        <v>1208235.294117647</v>
      </c>
      <c r="L377" s="62">
        <f t="shared" si="142"/>
        <v>1208235.294117647</v>
      </c>
      <c r="M377" s="62">
        <f t="shared" si="142"/>
        <v>1208235.294117647</v>
      </c>
      <c r="N377" s="62">
        <f t="shared" si="142"/>
        <v>1208235.294117647</v>
      </c>
      <c r="O377" s="62">
        <f t="shared" si="142"/>
        <v>1208235.294117647</v>
      </c>
      <c r="P377" s="62">
        <f t="shared" si="142"/>
        <v>1208235.294117647</v>
      </c>
      <c r="Q377" s="62">
        <f t="shared" si="142"/>
        <v>1208235.294117647</v>
      </c>
      <c r="R377" s="62">
        <f t="shared" si="142"/>
        <v>1208235.294117647</v>
      </c>
      <c r="S377" s="62">
        <f t="shared" si="142"/>
        <v>1208235.294117647</v>
      </c>
      <c r="T377" s="62">
        <f t="shared" si="142"/>
        <v>1208235.294117647</v>
      </c>
      <c r="U377" s="62">
        <f t="shared" si="142"/>
        <v>1208235.294117647</v>
      </c>
      <c r="V377" s="62">
        <f t="shared" si="142"/>
        <v>1208235.294117647</v>
      </c>
      <c r="W377" s="62">
        <f t="shared" si="142"/>
        <v>1208235.294117647</v>
      </c>
      <c r="X377" s="62">
        <f t="shared" si="142"/>
        <v>1208235.294117647</v>
      </c>
      <c r="Y377" s="62">
        <f t="shared" si="142"/>
        <v>1208235.294117647</v>
      </c>
      <c r="Z377" s="62">
        <f t="shared" si="142"/>
        <v>1208235.294117647</v>
      </c>
      <c r="AA377" s="62">
        <f t="shared" si="142"/>
        <v>1208235.294117647</v>
      </c>
      <c r="AB377" s="62">
        <f t="shared" si="142"/>
        <v>1208235.294117647</v>
      </c>
      <c r="AC377" s="62">
        <f t="shared" si="142"/>
        <v>1208235.294117647</v>
      </c>
    </row>
    <row r="378" spans="1:29" x14ac:dyDescent="0.3">
      <c r="A378" s="30" t="str">
        <f t="shared" si="142"/>
        <v>Opex maintenance &amp; repair</v>
      </c>
      <c r="B378" s="62">
        <f t="shared" si="142"/>
        <v>488235.29411764705</v>
      </c>
      <c r="C378" s="62">
        <f t="shared" si="142"/>
        <v>488235.29411764705</v>
      </c>
      <c r="D378" s="62">
        <f t="shared" si="142"/>
        <v>488235.29411764705</v>
      </c>
      <c r="E378" s="62">
        <f t="shared" si="142"/>
        <v>488235.29411764705</v>
      </c>
      <c r="F378" s="62">
        <f t="shared" si="142"/>
        <v>488235.29411764705</v>
      </c>
      <c r="G378" s="62">
        <f t="shared" si="142"/>
        <v>488235.29411764705</v>
      </c>
      <c r="H378" s="62">
        <f t="shared" si="142"/>
        <v>488235.29411764705</v>
      </c>
      <c r="I378" s="62">
        <f t="shared" si="142"/>
        <v>488235.29411764705</v>
      </c>
      <c r="J378" s="62">
        <f t="shared" si="142"/>
        <v>488235.29411764705</v>
      </c>
      <c r="K378" s="62">
        <f t="shared" si="142"/>
        <v>488235.29411764705</v>
      </c>
      <c r="L378" s="62">
        <f t="shared" si="142"/>
        <v>488235.29411764705</v>
      </c>
      <c r="M378" s="62">
        <f t="shared" si="142"/>
        <v>488235.29411764705</v>
      </c>
      <c r="N378" s="62">
        <f t="shared" si="142"/>
        <v>488235.29411764705</v>
      </c>
      <c r="O378" s="62">
        <f t="shared" si="142"/>
        <v>488235.29411764705</v>
      </c>
      <c r="P378" s="62">
        <f t="shared" si="142"/>
        <v>488235.29411764705</v>
      </c>
      <c r="Q378" s="62">
        <f t="shared" si="142"/>
        <v>488235.29411764705</v>
      </c>
      <c r="R378" s="62">
        <f t="shared" si="142"/>
        <v>488235.29411764705</v>
      </c>
      <c r="S378" s="62">
        <f t="shared" si="142"/>
        <v>488235.29411764705</v>
      </c>
      <c r="T378" s="62">
        <f t="shared" si="142"/>
        <v>488235.29411764705</v>
      </c>
      <c r="U378" s="62">
        <f t="shared" si="142"/>
        <v>488235.29411764705</v>
      </c>
      <c r="V378" s="62">
        <f t="shared" si="142"/>
        <v>488235.29411764705</v>
      </c>
      <c r="W378" s="62">
        <f t="shared" si="142"/>
        <v>488235.29411764705</v>
      </c>
      <c r="X378" s="62">
        <f t="shared" si="142"/>
        <v>488235.29411764705</v>
      </c>
      <c r="Y378" s="62">
        <f t="shared" si="142"/>
        <v>488235.29411764705</v>
      </c>
      <c r="Z378" s="62">
        <f t="shared" si="142"/>
        <v>488235.29411764705</v>
      </c>
      <c r="AA378" s="62">
        <f t="shared" si="142"/>
        <v>488235.29411764705</v>
      </c>
      <c r="AB378" s="62">
        <f t="shared" si="142"/>
        <v>488235.29411764705</v>
      </c>
      <c r="AC378" s="62">
        <f t="shared" si="142"/>
        <v>488235.29411764705</v>
      </c>
    </row>
    <row r="379" spans="1:29" x14ac:dyDescent="0.3">
      <c r="A379" s="30" t="str">
        <f>A361</f>
        <v>Opex var (mode-fees)</v>
      </c>
      <c r="B379" s="62">
        <f>B361*B370</f>
        <v>97536.682916217906</v>
      </c>
      <c r="C379" s="62">
        <f t="shared" ref="C379:AC379" si="143">C361*C370</f>
        <v>97536.682916217906</v>
      </c>
      <c r="D379" s="62">
        <f t="shared" si="143"/>
        <v>97536.682916217906</v>
      </c>
      <c r="E379" s="62">
        <f t="shared" si="143"/>
        <v>97536.682916217906</v>
      </c>
      <c r="F379" s="62">
        <f t="shared" si="143"/>
        <v>97536.682916217906</v>
      </c>
      <c r="G379" s="62">
        <f t="shared" si="143"/>
        <v>97536.682916217906</v>
      </c>
      <c r="H379" s="62">
        <f t="shared" si="143"/>
        <v>97536.682916217906</v>
      </c>
      <c r="I379" s="62">
        <f t="shared" si="143"/>
        <v>97536.682916217906</v>
      </c>
      <c r="J379" s="62">
        <f t="shared" si="143"/>
        <v>97536.682916217906</v>
      </c>
      <c r="K379" s="62">
        <f t="shared" si="143"/>
        <v>97536.682916217906</v>
      </c>
      <c r="L379" s="62">
        <f t="shared" si="143"/>
        <v>97536.682916217906</v>
      </c>
      <c r="M379" s="62">
        <f t="shared" si="143"/>
        <v>97536.682916217906</v>
      </c>
      <c r="N379" s="62">
        <f t="shared" si="143"/>
        <v>97536.682916217906</v>
      </c>
      <c r="O379" s="62">
        <f t="shared" si="143"/>
        <v>97536.682916217906</v>
      </c>
      <c r="P379" s="62">
        <f t="shared" si="143"/>
        <v>97536.682916217906</v>
      </c>
      <c r="Q379" s="62">
        <f t="shared" si="143"/>
        <v>97536.682916217906</v>
      </c>
      <c r="R379" s="62">
        <f t="shared" si="143"/>
        <v>97536.682916217906</v>
      </c>
      <c r="S379" s="62">
        <f t="shared" si="143"/>
        <v>97536.682916217906</v>
      </c>
      <c r="T379" s="62">
        <f t="shared" si="143"/>
        <v>97536.682916217906</v>
      </c>
      <c r="U379" s="62">
        <f t="shared" si="143"/>
        <v>97536.682916217906</v>
      </c>
      <c r="V379" s="62">
        <f t="shared" si="143"/>
        <v>97536.682916217906</v>
      </c>
      <c r="W379" s="62">
        <f t="shared" si="143"/>
        <v>97536.682916217906</v>
      </c>
      <c r="X379" s="62">
        <f t="shared" si="143"/>
        <v>97536.682916217906</v>
      </c>
      <c r="Y379" s="62">
        <f t="shared" si="143"/>
        <v>97536.682916217906</v>
      </c>
      <c r="Z379" s="62">
        <f t="shared" si="143"/>
        <v>97536.682916217906</v>
      </c>
      <c r="AA379" s="62">
        <f t="shared" si="143"/>
        <v>97536.682916217906</v>
      </c>
      <c r="AB379" s="62">
        <f t="shared" si="143"/>
        <v>97536.682916217906</v>
      </c>
      <c r="AC379" s="62">
        <f t="shared" si="143"/>
        <v>97536.682916217906</v>
      </c>
    </row>
    <row r="380" spans="1:29" x14ac:dyDescent="0.3">
      <c r="A380" s="30" t="str">
        <f>A363</f>
        <v>Fuel Cost</v>
      </c>
      <c r="B380" s="62">
        <f>B362*B363*B370</f>
        <v>2437507.052101518</v>
      </c>
      <c r="C380" s="62">
        <f t="shared" ref="C380:AC380" si="144">C362*C363*C370</f>
        <v>2437338.7839329462</v>
      </c>
      <c r="D380" s="62">
        <f t="shared" si="144"/>
        <v>2437097.9117975063</v>
      </c>
      <c r="E380" s="62">
        <f t="shared" si="144"/>
        <v>2436753.3272688738</v>
      </c>
      <c r="F380" s="62">
        <f t="shared" si="144"/>
        <v>2436260.8399411063</v>
      </c>
      <c r="G380" s="62">
        <f t="shared" si="144"/>
        <v>2435557.9540934572</v>
      </c>
      <c r="H380" s="62">
        <f t="shared" si="144"/>
        <v>2434556.8722096309</v>
      </c>
      <c r="I380" s="62">
        <f t="shared" si="144"/>
        <v>2433135.479441477</v>
      </c>
      <c r="J380" s="62">
        <f t="shared" si="144"/>
        <v>2431126.4773508143</v>
      </c>
      <c r="K380" s="62">
        <f t="shared" si="144"/>
        <v>2428305.8746609245</v>
      </c>
      <c r="L380" s="62">
        <f t="shared" si="144"/>
        <v>2424384.2130114948</v>
      </c>
      <c r="M380" s="62">
        <f t="shared" si="144"/>
        <v>2419007.7615997801</v>
      </c>
      <c r="N380" s="62">
        <f t="shared" si="144"/>
        <v>2411782.387019678</v>
      </c>
      <c r="O380" s="62">
        <f t="shared" si="144"/>
        <v>2402337.4266037703</v>
      </c>
      <c r="P380" s="62">
        <f t="shared" si="144"/>
        <v>2390443.0953654484</v>
      </c>
      <c r="Q380" s="62">
        <f t="shared" si="144"/>
        <v>2376170.2393062925</v>
      </c>
      <c r="R380" s="62">
        <f t="shared" si="144"/>
        <v>2360030.8697070694</v>
      </c>
      <c r="S380" s="62">
        <f t="shared" si="144"/>
        <v>2342992.6034393362</v>
      </c>
      <c r="T380" s="62">
        <f t="shared" si="144"/>
        <v>2326289.6183825689</v>
      </c>
      <c r="U380" s="62">
        <f t="shared" si="144"/>
        <v>2311084.5472785905</v>
      </c>
      <c r="V380" s="62">
        <f t="shared" si="144"/>
        <v>2298162.4020839729</v>
      </c>
      <c r="W380" s="62">
        <f t="shared" si="144"/>
        <v>2287814.0780081702</v>
      </c>
      <c r="X380" s="62">
        <f t="shared" si="144"/>
        <v>2279917.8474469348</v>
      </c>
      <c r="Y380" s="62">
        <f t="shared" si="144"/>
        <v>2274113.4847058197</v>
      </c>
      <c r="Z380" s="62">
        <f t="shared" si="144"/>
        <v>2269963.4493156904</v>
      </c>
      <c r="AA380" s="62">
        <f t="shared" si="144"/>
        <v>2267054.887382986</v>
      </c>
      <c r="AB380" s="62">
        <f t="shared" si="144"/>
        <v>2265044.8923132992</v>
      </c>
      <c r="AC380" s="62">
        <f t="shared" si="144"/>
        <v>2263669.3525252165</v>
      </c>
    </row>
    <row r="381" spans="1:29" ht="15" thickBot="1" x14ac:dyDescent="0.35">
      <c r="A381" s="59" t="str">
        <f>A344</f>
        <v>Emission Cost</v>
      </c>
      <c r="B381" s="62">
        <f>B364*B370</f>
        <v>2192040.4269286273</v>
      </c>
      <c r="C381" s="62">
        <f t="shared" ref="C381:AC381" si="145">C364*C370</f>
        <v>2196694.8550776178</v>
      </c>
      <c r="D381" s="62">
        <f t="shared" si="145"/>
        <v>2203357.5653038691</v>
      </c>
      <c r="E381" s="62">
        <f t="shared" si="145"/>
        <v>2212889.0408252501</v>
      </c>
      <c r="F381" s="62">
        <f t="shared" si="145"/>
        <v>2226511.622569799</v>
      </c>
      <c r="G381" s="62">
        <f t="shared" si="145"/>
        <v>2245953.9906812669</v>
      </c>
      <c r="H381" s="62">
        <f t="shared" si="145"/>
        <v>2273644.6926069986</v>
      </c>
      <c r="I381" s="62">
        <f t="shared" si="145"/>
        <v>2312961.5198299005</v>
      </c>
      <c r="J381" s="62">
        <f t="shared" si="145"/>
        <v>2368532.0770035987</v>
      </c>
      <c r="K381" s="62">
        <f t="shared" si="145"/>
        <v>2446552.1366995717</v>
      </c>
      <c r="L381" s="62">
        <f t="shared" si="145"/>
        <v>2555028.3418356678</v>
      </c>
      <c r="M381" s="62">
        <f t="shared" si="145"/>
        <v>2703745.1609743489</v>
      </c>
      <c r="N381" s="62">
        <f t="shared" si="145"/>
        <v>2903604.6300466633</v>
      </c>
      <c r="O381" s="62">
        <f t="shared" si="145"/>
        <v>3164859.5661340822</v>
      </c>
      <c r="P381" s="62">
        <f t="shared" si="145"/>
        <v>3493866.0003206055</v>
      </c>
      <c r="Q381" s="62">
        <f t="shared" si="145"/>
        <v>3888664.277213261</v>
      </c>
      <c r="R381" s="62">
        <f t="shared" si="145"/>
        <v>4335091.767373505</v>
      </c>
      <c r="S381" s="62">
        <f t="shared" si="145"/>
        <v>4806383.437089771</v>
      </c>
      <c r="T381" s="62">
        <f t="shared" si="145"/>
        <v>5268400.9682723647</v>
      </c>
      <c r="U381" s="62">
        <f t="shared" si="145"/>
        <v>5688985.0368709024</v>
      </c>
      <c r="V381" s="62">
        <f t="shared" si="145"/>
        <v>6046421.6028565438</v>
      </c>
      <c r="W381" s="62">
        <f t="shared" si="145"/>
        <v>6332664.2789489012</v>
      </c>
      <c r="X381" s="62">
        <f t="shared" si="145"/>
        <v>6551080.1451639356</v>
      </c>
      <c r="Y381" s="62">
        <f t="shared" si="145"/>
        <v>6711633.3238097783</v>
      </c>
      <c r="Z381" s="62">
        <f t="shared" si="145"/>
        <v>6826426.5238726102</v>
      </c>
      <c r="AA381" s="62">
        <f t="shared" si="145"/>
        <v>6906879.6044969875</v>
      </c>
      <c r="AB381" s="62">
        <f t="shared" si="145"/>
        <v>6962477.6282412307</v>
      </c>
      <c r="AC381" s="62">
        <f t="shared" si="145"/>
        <v>7000526.1264452087</v>
      </c>
    </row>
    <row r="382" spans="1:29" ht="15" thickBot="1" x14ac:dyDescent="0.35">
      <c r="A382" s="31" t="s">
        <v>209</v>
      </c>
      <c r="B382" s="64">
        <f>B373+B374+B375+B376+B377+B378+B379+B380+B381</f>
        <v>7550148.3467786489</v>
      </c>
      <c r="C382" s="64">
        <f t="shared" ref="C382:AC382" si="146">C373+C374+C375+C376+C377+C378+C379+C380+C381</f>
        <v>7554690.2522301981</v>
      </c>
      <c r="D382" s="64">
        <f t="shared" si="146"/>
        <v>7561191.8887213022</v>
      </c>
      <c r="E382" s="64">
        <f t="shared" si="146"/>
        <v>7570492.9369373433</v>
      </c>
      <c r="F382" s="64">
        <f t="shared" si="146"/>
        <v>7583786.1872162521</v>
      </c>
      <c r="G382" s="64">
        <f t="shared" si="146"/>
        <v>7602758.5281547699</v>
      </c>
      <c r="H382" s="64">
        <f t="shared" si="146"/>
        <v>7629779.7960759327</v>
      </c>
      <c r="I382" s="64">
        <f t="shared" si="146"/>
        <v>7668146.1229769122</v>
      </c>
      <c r="J382" s="64">
        <f t="shared" si="146"/>
        <v>7722373.2392828166</v>
      </c>
      <c r="K382" s="64">
        <f t="shared" si="146"/>
        <v>7798507.1322380938</v>
      </c>
      <c r="L382" s="64">
        <f t="shared" si="146"/>
        <v>7904360.8809048906</v>
      </c>
      <c r="M382" s="64">
        <f t="shared" si="146"/>
        <v>8049482.410330453</v>
      </c>
      <c r="N382" s="64">
        <f t="shared" si="146"/>
        <v>8244510.1952840071</v>
      </c>
      <c r="O382" s="64">
        <f t="shared" si="146"/>
        <v>8499449.1868154816</v>
      </c>
      <c r="P382" s="64">
        <f t="shared" si="146"/>
        <v>8820501.7563669812</v>
      </c>
      <c r="Q382" s="64">
        <f t="shared" si="146"/>
        <v>9205755.6240133271</v>
      </c>
      <c r="R382" s="64">
        <f t="shared" si="146"/>
        <v>9641390.5476547219</v>
      </c>
      <c r="S382" s="64">
        <f t="shared" si="146"/>
        <v>10101288.549177822</v>
      </c>
      <c r="T382" s="64">
        <f t="shared" si="146"/>
        <v>10552136.618246034</v>
      </c>
      <c r="U382" s="64">
        <f t="shared" si="146"/>
        <v>10962552.895574616</v>
      </c>
      <c r="V382" s="64">
        <f t="shared" si="146"/>
        <v>11311348.286902118</v>
      </c>
      <c r="W382" s="64">
        <f t="shared" si="146"/>
        <v>11590670.929640006</v>
      </c>
      <c r="X382" s="64">
        <f t="shared" si="146"/>
        <v>11803806.503272586</v>
      </c>
      <c r="Y382" s="64">
        <f t="shared" si="146"/>
        <v>11960478.243390244</v>
      </c>
      <c r="Z382" s="64">
        <f t="shared" si="146"/>
        <v>12072496.271056892</v>
      </c>
      <c r="AA382" s="64">
        <f t="shared" si="146"/>
        <v>12151004.365668036</v>
      </c>
      <c r="AB382" s="64">
        <f t="shared" si="146"/>
        <v>12205258.28452895</v>
      </c>
      <c r="AC382" s="64">
        <f t="shared" si="146"/>
        <v>12242386.944781952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147">A373</f>
        <v>Capex vehicle</v>
      </c>
      <c r="B385" s="65">
        <f>((1+B358)^B365)*B358/(((1+B358)^B365)-1)*(B354)/B370</f>
        <v>9.7783397765342439</v>
      </c>
      <c r="C385" s="65">
        <f t="shared" ref="C385:AC385" si="148">((1+C358)^C365)*C358/(((1+C358)^C365)-1)*(C354)/C370</f>
        <v>9.7783397765342439</v>
      </c>
      <c r="D385" s="65">
        <f t="shared" si="148"/>
        <v>9.7783397765342439</v>
      </c>
      <c r="E385" s="65">
        <f t="shared" si="148"/>
        <v>9.7783397765342439</v>
      </c>
      <c r="F385" s="65">
        <f t="shared" si="148"/>
        <v>9.7783397765342439</v>
      </c>
      <c r="G385" s="65">
        <f t="shared" si="148"/>
        <v>9.7783397765342439</v>
      </c>
      <c r="H385" s="65">
        <f t="shared" si="148"/>
        <v>9.7783397765342439</v>
      </c>
      <c r="I385" s="65">
        <f t="shared" si="148"/>
        <v>9.7783397765342439</v>
      </c>
      <c r="J385" s="65">
        <f t="shared" si="148"/>
        <v>9.7783397765342439</v>
      </c>
      <c r="K385" s="65">
        <f t="shared" si="148"/>
        <v>9.7783397765342439</v>
      </c>
      <c r="L385" s="65">
        <f t="shared" si="148"/>
        <v>9.7783397765342439</v>
      </c>
      <c r="M385" s="65">
        <f t="shared" si="148"/>
        <v>9.7783397765342439</v>
      </c>
      <c r="N385" s="65">
        <f t="shared" si="148"/>
        <v>9.7783397765342439</v>
      </c>
      <c r="O385" s="65">
        <f t="shared" si="148"/>
        <v>9.7783397765342439</v>
      </c>
      <c r="P385" s="65">
        <f t="shared" si="148"/>
        <v>9.7783397765342439</v>
      </c>
      <c r="Q385" s="65">
        <f t="shared" si="148"/>
        <v>9.7783397765342439</v>
      </c>
      <c r="R385" s="65">
        <f t="shared" si="148"/>
        <v>9.7783397765342439</v>
      </c>
      <c r="S385" s="65">
        <f t="shared" si="148"/>
        <v>9.7783397765342439</v>
      </c>
      <c r="T385" s="65">
        <f t="shared" si="148"/>
        <v>9.7783397765342439</v>
      </c>
      <c r="U385" s="65">
        <f t="shared" si="148"/>
        <v>9.7783397765342439</v>
      </c>
      <c r="V385" s="65">
        <f t="shared" si="148"/>
        <v>9.7783397765342439</v>
      </c>
      <c r="W385" s="65">
        <f t="shared" si="148"/>
        <v>9.7783397765342439</v>
      </c>
      <c r="X385" s="65">
        <f t="shared" si="148"/>
        <v>9.7783397765342439</v>
      </c>
      <c r="Y385" s="65">
        <f t="shared" si="148"/>
        <v>9.7783397765342439</v>
      </c>
      <c r="Z385" s="65">
        <f t="shared" si="148"/>
        <v>9.7783397765342439</v>
      </c>
      <c r="AA385" s="65">
        <f t="shared" si="148"/>
        <v>9.7783397765342439</v>
      </c>
      <c r="AB385" s="65">
        <f t="shared" si="148"/>
        <v>9.7783397765342439</v>
      </c>
      <c r="AC385" s="65">
        <f t="shared" si="148"/>
        <v>9.7783397765342439</v>
      </c>
    </row>
    <row r="386" spans="1:29" x14ac:dyDescent="0.3">
      <c r="A386" s="30" t="str">
        <f t="shared" si="147"/>
        <v>Residual value (vehicle)</v>
      </c>
      <c r="B386" s="66">
        <f>((1+B358)^B365)*B358/(((1+B358)^B365)-1)*(B355)/B370</f>
        <v>-0.97676019148470272</v>
      </c>
      <c r="C386" s="66">
        <f t="shared" ref="C386:AC386" si="149">((1+C358)^C365)*C358/(((1+C358)^C365)-1)*(C355)/C370</f>
        <v>-0.97629564589195228</v>
      </c>
      <c r="D386" s="66">
        <f t="shared" si="149"/>
        <v>-0.97563065922284864</v>
      </c>
      <c r="E386" s="66">
        <f t="shared" si="149"/>
        <v>-0.97467934902874298</v>
      </c>
      <c r="F386" s="66">
        <f t="shared" si="149"/>
        <v>-0.97331971684434948</v>
      </c>
      <c r="G386" s="66">
        <f t="shared" si="149"/>
        <v>-0.97137922788852038</v>
      </c>
      <c r="H386" s="66">
        <f t="shared" si="149"/>
        <v>-0.96861549556136939</v>
      </c>
      <c r="I386" s="66">
        <f t="shared" si="149"/>
        <v>-0.96469139184278574</v>
      </c>
      <c r="J386" s="66">
        <f t="shared" si="149"/>
        <v>-0.95914504831885961</v>
      </c>
      <c r="K386" s="66">
        <f t="shared" si="149"/>
        <v>-0.95135808207559314</v>
      </c>
      <c r="L386" s="66">
        <f t="shared" si="149"/>
        <v>-0.94053137224117322</v>
      </c>
      <c r="M386" s="66">
        <f t="shared" si="149"/>
        <v>-0.92568835808620409</v>
      </c>
      <c r="N386" s="66">
        <f t="shared" si="149"/>
        <v>-0.90574093757501994</v>
      </c>
      <c r="O386" s="66">
        <f t="shared" si="149"/>
        <v>-0.87966580540866446</v>
      </c>
      <c r="P386" s="66">
        <f t="shared" si="149"/>
        <v>-0.84682858371450898</v>
      </c>
      <c r="Q386" s="66">
        <f t="shared" si="149"/>
        <v>-0.80742486027411864</v>
      </c>
      <c r="R386" s="66">
        <f t="shared" si="149"/>
        <v>-0.7628681679376812</v>
      </c>
      <c r="S386" s="66">
        <f t="shared" si="149"/>
        <v>-0.71582985064961269</v>
      </c>
      <c r="T386" s="66">
        <f t="shared" si="149"/>
        <v>-0.66971715946306853</v>
      </c>
      <c r="U386" s="66">
        <f t="shared" si="149"/>
        <v>-0.62773982751286628</v>
      </c>
      <c r="V386" s="66">
        <f t="shared" si="149"/>
        <v>-0.59206507304221667</v>
      </c>
      <c r="W386" s="66">
        <f t="shared" si="149"/>
        <v>-0.56349598369776865</v>
      </c>
      <c r="X386" s="66">
        <f t="shared" si="149"/>
        <v>-0.54169650054128426</v>
      </c>
      <c r="Y386" s="66">
        <f t="shared" si="149"/>
        <v>-0.52567213210019181</v>
      </c>
      <c r="Z386" s="66">
        <f t="shared" si="149"/>
        <v>-0.51421494048397043</v>
      </c>
      <c r="AA386" s="66">
        <f t="shared" si="149"/>
        <v>-0.50618514115505298</v>
      </c>
      <c r="AB386" s="66">
        <f t="shared" si="149"/>
        <v>-0.50063605626873253</v>
      </c>
      <c r="AC386" s="66">
        <f t="shared" si="149"/>
        <v>-0.49683854095951707</v>
      </c>
    </row>
    <row r="387" spans="1:29" x14ac:dyDescent="0.3">
      <c r="A387" s="30" t="str">
        <f t="shared" si="147"/>
        <v>Capex costumization</v>
      </c>
      <c r="B387" s="66">
        <f>((1+B358)^B366)*B358/(((1+B358)^B366)-1)*(B356)/B370</f>
        <v>0.65188931843561626</v>
      </c>
      <c r="C387" s="66">
        <f t="shared" ref="C387:AC387" si="150">((1+C358)^C366)*C358/(((1+C358)^C366)-1)*(C356)/C370</f>
        <v>0.65188931843561626</v>
      </c>
      <c r="D387" s="66">
        <f t="shared" si="150"/>
        <v>0.65188931843561626</v>
      </c>
      <c r="E387" s="66">
        <f t="shared" si="150"/>
        <v>0.65188931843561626</v>
      </c>
      <c r="F387" s="66">
        <f t="shared" si="150"/>
        <v>0.65188931843561626</v>
      </c>
      <c r="G387" s="66">
        <f t="shared" si="150"/>
        <v>0.65188931843561626</v>
      </c>
      <c r="H387" s="66">
        <f t="shared" si="150"/>
        <v>0.65188931843561626</v>
      </c>
      <c r="I387" s="66">
        <f t="shared" si="150"/>
        <v>0.65188931843561626</v>
      </c>
      <c r="J387" s="66">
        <f t="shared" si="150"/>
        <v>0.65188931843561626</v>
      </c>
      <c r="K387" s="66">
        <f t="shared" si="150"/>
        <v>0.65188931843561626</v>
      </c>
      <c r="L387" s="66">
        <f t="shared" si="150"/>
        <v>0.65188931843561626</v>
      </c>
      <c r="M387" s="66">
        <f t="shared" si="150"/>
        <v>0.65188931843561626</v>
      </c>
      <c r="N387" s="66">
        <f t="shared" si="150"/>
        <v>0.65188931843561626</v>
      </c>
      <c r="O387" s="66">
        <f t="shared" si="150"/>
        <v>0.65188931843561626</v>
      </c>
      <c r="P387" s="66">
        <f t="shared" si="150"/>
        <v>0.65188931843561626</v>
      </c>
      <c r="Q387" s="66">
        <f t="shared" si="150"/>
        <v>0.65188931843561626</v>
      </c>
      <c r="R387" s="66">
        <f t="shared" si="150"/>
        <v>0.65188931843561626</v>
      </c>
      <c r="S387" s="66">
        <f t="shared" si="150"/>
        <v>0.65188931843561626</v>
      </c>
      <c r="T387" s="66">
        <f t="shared" si="150"/>
        <v>0.65188931843561626</v>
      </c>
      <c r="U387" s="66">
        <f t="shared" si="150"/>
        <v>0.65188931843561626</v>
      </c>
      <c r="V387" s="66">
        <f t="shared" si="150"/>
        <v>0.65188931843561626</v>
      </c>
      <c r="W387" s="66">
        <f t="shared" si="150"/>
        <v>0.65188931843561626</v>
      </c>
      <c r="X387" s="66">
        <f t="shared" si="150"/>
        <v>0.65188931843561626</v>
      </c>
      <c r="Y387" s="66">
        <f t="shared" si="150"/>
        <v>0.65188931843561626</v>
      </c>
      <c r="Z387" s="66">
        <f t="shared" si="150"/>
        <v>0.65188931843561626</v>
      </c>
      <c r="AA387" s="66">
        <f t="shared" si="150"/>
        <v>0.65188931843561626</v>
      </c>
      <c r="AB387" s="66">
        <f t="shared" si="150"/>
        <v>0.65188931843561626</v>
      </c>
      <c r="AC387" s="66">
        <f t="shared" si="150"/>
        <v>0.65188931843561626</v>
      </c>
    </row>
    <row r="388" spans="1:29" x14ac:dyDescent="0.3">
      <c r="A388" s="30" t="str">
        <f t="shared" si="147"/>
        <v>Residual value (costumization)</v>
      </c>
      <c r="B388" s="66">
        <f>((1+B358)^B366)*B358/(((1+B358)^B366)-1)*(B357)/B370</f>
        <v>-6.5188931843561615E-2</v>
      </c>
      <c r="C388" s="66">
        <f t="shared" ref="C388:AC388" si="151">((1+C358)^C366)*C358/(((1+C358)^C366)-1)*(C357)/C370</f>
        <v>-6.5188931843561615E-2</v>
      </c>
      <c r="D388" s="66">
        <f t="shared" si="151"/>
        <v>-6.5188931843561615E-2</v>
      </c>
      <c r="E388" s="66">
        <f t="shared" si="151"/>
        <v>-6.5188931843561615E-2</v>
      </c>
      <c r="F388" s="66">
        <f t="shared" si="151"/>
        <v>-6.5188931843561615E-2</v>
      </c>
      <c r="G388" s="66">
        <f t="shared" si="151"/>
        <v>-6.5188931843561615E-2</v>
      </c>
      <c r="H388" s="66">
        <f t="shared" si="151"/>
        <v>-6.5188931843561615E-2</v>
      </c>
      <c r="I388" s="66">
        <f t="shared" si="151"/>
        <v>-6.5188931843561615E-2</v>
      </c>
      <c r="J388" s="66">
        <f t="shared" si="151"/>
        <v>-6.5188931843561615E-2</v>
      </c>
      <c r="K388" s="66">
        <f t="shared" si="151"/>
        <v>-6.5188931843561615E-2</v>
      </c>
      <c r="L388" s="66">
        <f t="shared" si="151"/>
        <v>-6.5188931843561615E-2</v>
      </c>
      <c r="M388" s="66">
        <f t="shared" si="151"/>
        <v>-6.5188931843561615E-2</v>
      </c>
      <c r="N388" s="66">
        <f t="shared" si="151"/>
        <v>-6.5188931843561615E-2</v>
      </c>
      <c r="O388" s="66">
        <f t="shared" si="151"/>
        <v>-6.5188931843561615E-2</v>
      </c>
      <c r="P388" s="66">
        <f t="shared" si="151"/>
        <v>-6.5188931843561615E-2</v>
      </c>
      <c r="Q388" s="66">
        <f t="shared" si="151"/>
        <v>-6.5188931843561615E-2</v>
      </c>
      <c r="R388" s="66">
        <f t="shared" si="151"/>
        <v>-6.5188931843561615E-2</v>
      </c>
      <c r="S388" s="66">
        <f t="shared" si="151"/>
        <v>-6.5188931843561615E-2</v>
      </c>
      <c r="T388" s="66">
        <f t="shared" si="151"/>
        <v>-6.5188931843561615E-2</v>
      </c>
      <c r="U388" s="66">
        <f t="shared" si="151"/>
        <v>-6.5188931843561615E-2</v>
      </c>
      <c r="V388" s="66">
        <f t="shared" si="151"/>
        <v>-6.5188931843561615E-2</v>
      </c>
      <c r="W388" s="66">
        <f t="shared" si="151"/>
        <v>-6.5188931843561615E-2</v>
      </c>
      <c r="X388" s="66">
        <f t="shared" si="151"/>
        <v>-6.5188931843561615E-2</v>
      </c>
      <c r="Y388" s="66">
        <f t="shared" si="151"/>
        <v>-6.5188931843561615E-2</v>
      </c>
      <c r="Z388" s="66">
        <f t="shared" si="151"/>
        <v>-6.5188931843561615E-2</v>
      </c>
      <c r="AA388" s="66">
        <f t="shared" si="151"/>
        <v>-6.5188931843561615E-2</v>
      </c>
      <c r="AB388" s="66">
        <f t="shared" si="151"/>
        <v>-6.5188931843561615E-2</v>
      </c>
      <c r="AC388" s="66">
        <f t="shared" si="151"/>
        <v>-6.5188931843561615E-2</v>
      </c>
    </row>
    <row r="389" spans="1:29" x14ac:dyDescent="0.3">
      <c r="A389" s="30" t="str">
        <f t="shared" si="147"/>
        <v>Opex fix (admin, crew, insurance)</v>
      </c>
      <c r="B389" s="66">
        <f>B359/B370</f>
        <v>10.068627450980392</v>
      </c>
      <c r="C389" s="66">
        <f t="shared" ref="C389:AC389" si="152">C359/C370</f>
        <v>10.068627450980392</v>
      </c>
      <c r="D389" s="66">
        <f t="shared" si="152"/>
        <v>10.068627450980392</v>
      </c>
      <c r="E389" s="66">
        <f t="shared" si="152"/>
        <v>10.068627450980392</v>
      </c>
      <c r="F389" s="66">
        <f t="shared" si="152"/>
        <v>10.068627450980392</v>
      </c>
      <c r="G389" s="66">
        <f t="shared" si="152"/>
        <v>10.068627450980392</v>
      </c>
      <c r="H389" s="66">
        <f t="shared" si="152"/>
        <v>10.068627450980392</v>
      </c>
      <c r="I389" s="66">
        <f t="shared" si="152"/>
        <v>10.068627450980392</v>
      </c>
      <c r="J389" s="66">
        <f t="shared" si="152"/>
        <v>10.068627450980392</v>
      </c>
      <c r="K389" s="66">
        <f t="shared" si="152"/>
        <v>10.068627450980392</v>
      </c>
      <c r="L389" s="66">
        <f t="shared" si="152"/>
        <v>10.068627450980392</v>
      </c>
      <c r="M389" s="66">
        <f t="shared" si="152"/>
        <v>10.068627450980392</v>
      </c>
      <c r="N389" s="66">
        <f t="shared" si="152"/>
        <v>10.068627450980392</v>
      </c>
      <c r="O389" s="66">
        <f t="shared" si="152"/>
        <v>10.068627450980392</v>
      </c>
      <c r="P389" s="66">
        <f t="shared" si="152"/>
        <v>10.068627450980392</v>
      </c>
      <c r="Q389" s="66">
        <f t="shared" si="152"/>
        <v>10.068627450980392</v>
      </c>
      <c r="R389" s="66">
        <f t="shared" si="152"/>
        <v>10.068627450980392</v>
      </c>
      <c r="S389" s="66">
        <f t="shared" si="152"/>
        <v>10.068627450980392</v>
      </c>
      <c r="T389" s="66">
        <f t="shared" si="152"/>
        <v>10.068627450980392</v>
      </c>
      <c r="U389" s="66">
        <f t="shared" si="152"/>
        <v>10.068627450980392</v>
      </c>
      <c r="V389" s="66">
        <f t="shared" si="152"/>
        <v>10.068627450980392</v>
      </c>
      <c r="W389" s="66">
        <f t="shared" si="152"/>
        <v>10.068627450980392</v>
      </c>
      <c r="X389" s="66">
        <f t="shared" si="152"/>
        <v>10.068627450980392</v>
      </c>
      <c r="Y389" s="66">
        <f t="shared" si="152"/>
        <v>10.068627450980392</v>
      </c>
      <c r="Z389" s="66">
        <f t="shared" si="152"/>
        <v>10.068627450980392</v>
      </c>
      <c r="AA389" s="66">
        <f t="shared" si="152"/>
        <v>10.068627450980392</v>
      </c>
      <c r="AB389" s="66">
        <f t="shared" si="152"/>
        <v>10.068627450980392</v>
      </c>
      <c r="AC389" s="66">
        <f t="shared" si="152"/>
        <v>10.068627450980392</v>
      </c>
    </row>
    <row r="390" spans="1:29" x14ac:dyDescent="0.3">
      <c r="A390" s="30" t="str">
        <f t="shared" si="147"/>
        <v>Opex maintenance &amp; repair</v>
      </c>
      <c r="B390" s="66">
        <f>B360/B370</f>
        <v>4.0686274509803919</v>
      </c>
      <c r="C390" s="66">
        <f t="shared" ref="C390:AC390" si="153">C360/C370</f>
        <v>4.0686274509803919</v>
      </c>
      <c r="D390" s="66">
        <f t="shared" si="153"/>
        <v>4.0686274509803919</v>
      </c>
      <c r="E390" s="66">
        <f t="shared" si="153"/>
        <v>4.0686274509803919</v>
      </c>
      <c r="F390" s="66">
        <f t="shared" si="153"/>
        <v>4.0686274509803919</v>
      </c>
      <c r="G390" s="66">
        <f t="shared" si="153"/>
        <v>4.0686274509803919</v>
      </c>
      <c r="H390" s="66">
        <f t="shared" si="153"/>
        <v>4.0686274509803919</v>
      </c>
      <c r="I390" s="66">
        <f t="shared" si="153"/>
        <v>4.0686274509803919</v>
      </c>
      <c r="J390" s="66">
        <f t="shared" si="153"/>
        <v>4.0686274509803919</v>
      </c>
      <c r="K390" s="66">
        <f t="shared" si="153"/>
        <v>4.0686274509803919</v>
      </c>
      <c r="L390" s="66">
        <f t="shared" si="153"/>
        <v>4.0686274509803919</v>
      </c>
      <c r="M390" s="66">
        <f t="shared" si="153"/>
        <v>4.0686274509803919</v>
      </c>
      <c r="N390" s="66">
        <f t="shared" si="153"/>
        <v>4.0686274509803919</v>
      </c>
      <c r="O390" s="66">
        <f t="shared" si="153"/>
        <v>4.0686274509803919</v>
      </c>
      <c r="P390" s="66">
        <f t="shared" si="153"/>
        <v>4.0686274509803919</v>
      </c>
      <c r="Q390" s="66">
        <f t="shared" si="153"/>
        <v>4.0686274509803919</v>
      </c>
      <c r="R390" s="66">
        <f t="shared" si="153"/>
        <v>4.0686274509803919</v>
      </c>
      <c r="S390" s="66">
        <f t="shared" si="153"/>
        <v>4.0686274509803919</v>
      </c>
      <c r="T390" s="66">
        <f t="shared" si="153"/>
        <v>4.0686274509803919</v>
      </c>
      <c r="U390" s="66">
        <f t="shared" si="153"/>
        <v>4.0686274509803919</v>
      </c>
      <c r="V390" s="66">
        <f t="shared" si="153"/>
        <v>4.0686274509803919</v>
      </c>
      <c r="W390" s="66">
        <f t="shared" si="153"/>
        <v>4.0686274509803919</v>
      </c>
      <c r="X390" s="66">
        <f t="shared" si="153"/>
        <v>4.0686274509803919</v>
      </c>
      <c r="Y390" s="66">
        <f t="shared" si="153"/>
        <v>4.0686274509803919</v>
      </c>
      <c r="Z390" s="66">
        <f t="shared" si="153"/>
        <v>4.0686274509803919</v>
      </c>
      <c r="AA390" s="66">
        <f t="shared" si="153"/>
        <v>4.0686274509803919</v>
      </c>
      <c r="AB390" s="66">
        <f t="shared" si="153"/>
        <v>4.0686274509803919</v>
      </c>
      <c r="AC390" s="66">
        <f t="shared" si="153"/>
        <v>4.0686274509803919</v>
      </c>
    </row>
    <row r="391" spans="1:29" x14ac:dyDescent="0.3">
      <c r="A391" s="30" t="str">
        <f t="shared" si="147"/>
        <v>Opex var (mode-fees)</v>
      </c>
      <c r="B391" s="66">
        <f>B361*B370/B370</f>
        <v>0.81280569096848254</v>
      </c>
      <c r="C391" s="66">
        <f t="shared" ref="C391:AC391" si="154">C361*C370/C370</f>
        <v>0.81280569096848254</v>
      </c>
      <c r="D391" s="66">
        <f t="shared" si="154"/>
        <v>0.81280569096848254</v>
      </c>
      <c r="E391" s="66">
        <f t="shared" si="154"/>
        <v>0.81280569096848254</v>
      </c>
      <c r="F391" s="66">
        <f t="shared" si="154"/>
        <v>0.81280569096848254</v>
      </c>
      <c r="G391" s="66">
        <f t="shared" si="154"/>
        <v>0.81280569096848254</v>
      </c>
      <c r="H391" s="66">
        <f t="shared" si="154"/>
        <v>0.81280569096848254</v>
      </c>
      <c r="I391" s="66">
        <f t="shared" si="154"/>
        <v>0.81280569096848254</v>
      </c>
      <c r="J391" s="66">
        <f t="shared" si="154"/>
        <v>0.81280569096848254</v>
      </c>
      <c r="K391" s="66">
        <f t="shared" si="154"/>
        <v>0.81280569096848254</v>
      </c>
      <c r="L391" s="66">
        <f t="shared" si="154"/>
        <v>0.81280569096848254</v>
      </c>
      <c r="M391" s="66">
        <f t="shared" si="154"/>
        <v>0.81280569096848254</v>
      </c>
      <c r="N391" s="66">
        <f t="shared" si="154"/>
        <v>0.81280569096848254</v>
      </c>
      <c r="O391" s="66">
        <f t="shared" si="154"/>
        <v>0.81280569096848254</v>
      </c>
      <c r="P391" s="66">
        <f t="shared" si="154"/>
        <v>0.81280569096848254</v>
      </c>
      <c r="Q391" s="66">
        <f t="shared" si="154"/>
        <v>0.81280569096848254</v>
      </c>
      <c r="R391" s="66">
        <f t="shared" si="154"/>
        <v>0.81280569096848254</v>
      </c>
      <c r="S391" s="66">
        <f t="shared" si="154"/>
        <v>0.81280569096848254</v>
      </c>
      <c r="T391" s="66">
        <f t="shared" si="154"/>
        <v>0.81280569096848254</v>
      </c>
      <c r="U391" s="66">
        <f t="shared" si="154"/>
        <v>0.81280569096848254</v>
      </c>
      <c r="V391" s="66">
        <f t="shared" si="154"/>
        <v>0.81280569096848254</v>
      </c>
      <c r="W391" s="66">
        <f t="shared" si="154"/>
        <v>0.81280569096848254</v>
      </c>
      <c r="X391" s="66">
        <f t="shared" si="154"/>
        <v>0.81280569096848254</v>
      </c>
      <c r="Y391" s="66">
        <f t="shared" si="154"/>
        <v>0.81280569096848254</v>
      </c>
      <c r="Z391" s="66">
        <f t="shared" si="154"/>
        <v>0.81280569096848254</v>
      </c>
      <c r="AA391" s="66">
        <f t="shared" si="154"/>
        <v>0.81280569096848254</v>
      </c>
      <c r="AB391" s="66">
        <f t="shared" si="154"/>
        <v>0.81280569096848254</v>
      </c>
      <c r="AC391" s="66">
        <f t="shared" si="154"/>
        <v>0.81280569096848254</v>
      </c>
    </row>
    <row r="392" spans="1:29" x14ac:dyDescent="0.3">
      <c r="A392" s="30" t="str">
        <f t="shared" si="147"/>
        <v>Fuel Cost</v>
      </c>
      <c r="B392" s="66">
        <f>B362*B363*B370/B370</f>
        <v>20.312558767512652</v>
      </c>
      <c r="C392" s="66">
        <f t="shared" ref="C392:AC392" si="155">C362*C363*C370/C370</f>
        <v>20.31115653277455</v>
      </c>
      <c r="D392" s="66">
        <f t="shared" si="155"/>
        <v>20.309149264979219</v>
      </c>
      <c r="E392" s="66">
        <f t="shared" si="155"/>
        <v>20.306277727240616</v>
      </c>
      <c r="F392" s="66">
        <f t="shared" si="155"/>
        <v>20.302173666175886</v>
      </c>
      <c r="G392" s="66">
        <f t="shared" si="155"/>
        <v>20.296316284112145</v>
      </c>
      <c r="H392" s="66">
        <f t="shared" si="155"/>
        <v>20.287973935080256</v>
      </c>
      <c r="I392" s="66">
        <f t="shared" si="155"/>
        <v>20.276128995345641</v>
      </c>
      <c r="J392" s="66">
        <f t="shared" si="155"/>
        <v>20.259387311256784</v>
      </c>
      <c r="K392" s="66">
        <f t="shared" si="155"/>
        <v>20.235882288841037</v>
      </c>
      <c r="L392" s="66">
        <f t="shared" si="155"/>
        <v>20.203201775095792</v>
      </c>
      <c r="M392" s="66">
        <f t="shared" si="155"/>
        <v>20.158398013331499</v>
      </c>
      <c r="N392" s="66">
        <f t="shared" si="155"/>
        <v>20.098186558497318</v>
      </c>
      <c r="O392" s="66">
        <f t="shared" si="155"/>
        <v>20.019478555031419</v>
      </c>
      <c r="P392" s="66">
        <f t="shared" si="155"/>
        <v>19.920359128045405</v>
      </c>
      <c r="Q392" s="66">
        <f t="shared" si="155"/>
        <v>19.801418660885769</v>
      </c>
      <c r="R392" s="66">
        <f t="shared" si="155"/>
        <v>19.666923914225578</v>
      </c>
      <c r="S392" s="66">
        <f t="shared" si="155"/>
        <v>19.524938361994469</v>
      </c>
      <c r="T392" s="66">
        <f t="shared" si="155"/>
        <v>19.385746819854742</v>
      </c>
      <c r="U392" s="66">
        <f t="shared" si="155"/>
        <v>19.259037893988253</v>
      </c>
      <c r="V392" s="66">
        <f t="shared" si="155"/>
        <v>19.151353350699775</v>
      </c>
      <c r="W392" s="66">
        <f t="shared" si="155"/>
        <v>19.065117316734753</v>
      </c>
      <c r="X392" s="66">
        <f t="shared" si="155"/>
        <v>18.999315395391122</v>
      </c>
      <c r="Y392" s="66">
        <f t="shared" si="155"/>
        <v>18.950945705881832</v>
      </c>
      <c r="Z392" s="66">
        <f t="shared" si="155"/>
        <v>18.916362077630755</v>
      </c>
      <c r="AA392" s="66">
        <f t="shared" si="155"/>
        <v>18.892124061524882</v>
      </c>
      <c r="AB392" s="66">
        <f t="shared" si="155"/>
        <v>18.875374102610827</v>
      </c>
      <c r="AC392" s="66">
        <f t="shared" si="155"/>
        <v>18.86391127104347</v>
      </c>
    </row>
    <row r="393" spans="1:29" ht="15" thickBot="1" x14ac:dyDescent="0.35">
      <c r="A393" s="59" t="str">
        <f>A344</f>
        <v>Emission Cost</v>
      </c>
      <c r="B393" s="66">
        <f>B364</f>
        <v>18.267003557738562</v>
      </c>
      <c r="C393" s="66">
        <f t="shared" ref="C393:AC393" si="156">C364</f>
        <v>18.305790458980148</v>
      </c>
      <c r="D393" s="66">
        <f t="shared" si="156"/>
        <v>18.361313044198909</v>
      </c>
      <c r="E393" s="66">
        <f t="shared" si="156"/>
        <v>18.440742006877084</v>
      </c>
      <c r="F393" s="66">
        <f t="shared" si="156"/>
        <v>18.554263521414992</v>
      </c>
      <c r="G393" s="66">
        <f t="shared" si="156"/>
        <v>18.716283255677226</v>
      </c>
      <c r="H393" s="66">
        <f t="shared" si="156"/>
        <v>18.947039105058323</v>
      </c>
      <c r="I393" s="66">
        <f t="shared" si="156"/>
        <v>19.274679331915838</v>
      </c>
      <c r="J393" s="66">
        <f t="shared" si="156"/>
        <v>19.737767308363324</v>
      </c>
      <c r="K393" s="66">
        <f t="shared" si="156"/>
        <v>20.387934472496433</v>
      </c>
      <c r="L393" s="66">
        <f t="shared" si="156"/>
        <v>21.291902848630563</v>
      </c>
      <c r="M393" s="66">
        <f t="shared" si="156"/>
        <v>22.53120967478624</v>
      </c>
      <c r="N393" s="66">
        <f t="shared" si="156"/>
        <v>24.196705250388863</v>
      </c>
      <c r="O393" s="66">
        <f t="shared" si="156"/>
        <v>26.37382971778402</v>
      </c>
      <c r="P393" s="66">
        <f t="shared" si="156"/>
        <v>29.115550002671711</v>
      </c>
      <c r="Q393" s="66">
        <f t="shared" si="156"/>
        <v>32.405535643443841</v>
      </c>
      <c r="R393" s="66">
        <f t="shared" si="156"/>
        <v>36.125764728112543</v>
      </c>
      <c r="S393" s="66">
        <f t="shared" si="156"/>
        <v>40.053195309081424</v>
      </c>
      <c r="T393" s="66">
        <f t="shared" si="156"/>
        <v>43.903341402269703</v>
      </c>
      <c r="U393" s="66">
        <f t="shared" si="156"/>
        <v>47.40820864059085</v>
      </c>
      <c r="V393" s="66">
        <f t="shared" si="156"/>
        <v>50.386846690471195</v>
      </c>
      <c r="W393" s="66">
        <f t="shared" si="156"/>
        <v>52.772202324574174</v>
      </c>
      <c r="X393" s="66">
        <f t="shared" si="156"/>
        <v>54.592334543032798</v>
      </c>
      <c r="Y393" s="66">
        <f t="shared" si="156"/>
        <v>55.93027769841482</v>
      </c>
      <c r="Z393" s="66">
        <f t="shared" si="156"/>
        <v>56.886887698938416</v>
      </c>
      <c r="AA393" s="66">
        <f t="shared" si="156"/>
        <v>57.557330037474898</v>
      </c>
      <c r="AB393" s="66">
        <f t="shared" si="156"/>
        <v>58.020646902010256</v>
      </c>
      <c r="AC393" s="66">
        <f t="shared" si="156"/>
        <v>58.337717720376737</v>
      </c>
    </row>
    <row r="394" spans="1:29" ht="15" thickBot="1" x14ac:dyDescent="0.35">
      <c r="A394" s="31" t="s">
        <v>63</v>
      </c>
      <c r="B394" s="76">
        <f>B385+B386+B387-B388+B389+B390+B391+B392+B393</f>
        <v>63.048280753509204</v>
      </c>
      <c r="C394" s="76">
        <f t="shared" ref="C394:AC394" si="157">C385+C386+C387-C388+C389+C390+C391+C392+C393</f>
        <v>63.08612996560543</v>
      </c>
      <c r="D394" s="76">
        <f t="shared" si="157"/>
        <v>63.140310269697963</v>
      </c>
      <c r="E394" s="76">
        <f t="shared" si="157"/>
        <v>63.217819004831654</v>
      </c>
      <c r="F394" s="76">
        <f t="shared" si="157"/>
        <v>63.328596090489214</v>
      </c>
      <c r="G394" s="76">
        <f t="shared" si="157"/>
        <v>63.486698931643538</v>
      </c>
      <c r="H394" s="76">
        <f t="shared" si="157"/>
        <v>63.711876164319904</v>
      </c>
      <c r="I394" s="76">
        <f t="shared" si="157"/>
        <v>64.031595555161374</v>
      </c>
      <c r="J394" s="76">
        <f t="shared" si="157"/>
        <v>64.483488191043932</v>
      </c>
      <c r="K394" s="76">
        <f t="shared" si="157"/>
        <v>65.117937299004552</v>
      </c>
      <c r="L394" s="76">
        <f t="shared" si="157"/>
        <v>66.000051871227868</v>
      </c>
      <c r="M394" s="76">
        <f t="shared" si="157"/>
        <v>67.209397949774228</v>
      </c>
      <c r="N394" s="76">
        <f t="shared" si="157"/>
        <v>68.834629491053846</v>
      </c>
      <c r="O394" s="76">
        <f t="shared" si="157"/>
        <v>70.95912108714947</v>
      </c>
      <c r="P394" s="76">
        <f t="shared" si="157"/>
        <v>73.634559166745305</v>
      </c>
      <c r="Q394" s="76">
        <f t="shared" si="157"/>
        <v>76.845008063798176</v>
      </c>
      <c r="R394" s="76">
        <f t="shared" si="157"/>
        <v>80.475299094143125</v>
      </c>
      <c r="S394" s="76">
        <f t="shared" si="157"/>
        <v>84.307782440168978</v>
      </c>
      <c r="T394" s="76">
        <f t="shared" si="157"/>
        <v>88.064849682404059</v>
      </c>
      <c r="U394" s="76">
        <f t="shared" si="157"/>
        <v>91.484985326808925</v>
      </c>
      <c r="V394" s="76">
        <f t="shared" si="157"/>
        <v>94.391613587871433</v>
      </c>
      <c r="W394" s="76">
        <f t="shared" si="157"/>
        <v>96.719302277353847</v>
      </c>
      <c r="X394" s="76">
        <f t="shared" si="157"/>
        <v>98.495432057625322</v>
      </c>
      <c r="Y394" s="76">
        <f t="shared" si="157"/>
        <v>99.801029891939152</v>
      </c>
      <c r="Z394" s="76">
        <f t="shared" si="157"/>
        <v>100.73451345582788</v>
      </c>
      <c r="AA394" s="76">
        <f t="shared" si="157"/>
        <v>101.38874757758742</v>
      </c>
      <c r="AB394" s="76">
        <f t="shared" si="157"/>
        <v>101.84086356809505</v>
      </c>
      <c r="AC394" s="76">
        <f t="shared" si="157"/>
        <v>102.15026907020338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158">A373</f>
        <v>Capex vehicle</v>
      </c>
      <c r="B397" s="65">
        <f>((1+B358)^B365)*B358/(((1+B358)^B365)-1)*(B354)/B370/(B367)</f>
        <v>1.0347449498978036E-3</v>
      </c>
      <c r="C397" s="65">
        <f t="shared" ref="C397:AC397" si="159">((1+C358)^C365)*C358/(((1+C358)^C365)-1)*(C354)/C370/(C367)</f>
        <v>1.0347449498978036E-3</v>
      </c>
      <c r="D397" s="65">
        <f t="shared" si="159"/>
        <v>1.0347449498978036E-3</v>
      </c>
      <c r="E397" s="65">
        <f t="shared" si="159"/>
        <v>1.0347449498978036E-3</v>
      </c>
      <c r="F397" s="65">
        <f t="shared" si="159"/>
        <v>1.0347449498978036E-3</v>
      </c>
      <c r="G397" s="65">
        <f t="shared" si="159"/>
        <v>1.0347449498978036E-3</v>
      </c>
      <c r="H397" s="65">
        <f t="shared" si="159"/>
        <v>1.0347449498978036E-3</v>
      </c>
      <c r="I397" s="65">
        <f t="shared" si="159"/>
        <v>1.0347449498978036E-3</v>
      </c>
      <c r="J397" s="65">
        <f t="shared" si="159"/>
        <v>1.0347449498978036E-3</v>
      </c>
      <c r="K397" s="65">
        <f t="shared" si="159"/>
        <v>1.0347449498978036E-3</v>
      </c>
      <c r="L397" s="65">
        <f t="shared" si="159"/>
        <v>1.0347449498978036E-3</v>
      </c>
      <c r="M397" s="65">
        <f t="shared" si="159"/>
        <v>1.0347449498978036E-3</v>
      </c>
      <c r="N397" s="65">
        <f t="shared" si="159"/>
        <v>1.0347449498978036E-3</v>
      </c>
      <c r="O397" s="65">
        <f t="shared" si="159"/>
        <v>1.0347449498978036E-3</v>
      </c>
      <c r="P397" s="65">
        <f t="shared" si="159"/>
        <v>1.0347449498978036E-3</v>
      </c>
      <c r="Q397" s="65">
        <f t="shared" si="159"/>
        <v>1.0347449498978036E-3</v>
      </c>
      <c r="R397" s="65">
        <f t="shared" si="159"/>
        <v>1.0347449498978036E-3</v>
      </c>
      <c r="S397" s="65">
        <f t="shared" si="159"/>
        <v>1.0347449498978036E-3</v>
      </c>
      <c r="T397" s="65">
        <f t="shared" si="159"/>
        <v>1.0347449498978036E-3</v>
      </c>
      <c r="U397" s="65">
        <f t="shared" si="159"/>
        <v>1.0347449498978036E-3</v>
      </c>
      <c r="V397" s="65">
        <f t="shared" si="159"/>
        <v>1.0347449498978036E-3</v>
      </c>
      <c r="W397" s="65">
        <f t="shared" si="159"/>
        <v>1.0347449498978036E-3</v>
      </c>
      <c r="X397" s="65">
        <f t="shared" si="159"/>
        <v>1.0347449498978036E-3</v>
      </c>
      <c r="Y397" s="65">
        <f t="shared" si="159"/>
        <v>1.0347449498978036E-3</v>
      </c>
      <c r="Z397" s="65">
        <f t="shared" si="159"/>
        <v>1.0347449498978036E-3</v>
      </c>
      <c r="AA397" s="65">
        <f t="shared" si="159"/>
        <v>1.0347449498978036E-3</v>
      </c>
      <c r="AB397" s="65">
        <f t="shared" si="159"/>
        <v>1.0347449498978036E-3</v>
      </c>
      <c r="AC397" s="65">
        <f t="shared" si="159"/>
        <v>1.0347449498978036E-3</v>
      </c>
    </row>
    <row r="398" spans="1:29" x14ac:dyDescent="0.3">
      <c r="A398" s="30" t="str">
        <f t="shared" si="158"/>
        <v>Residual value (vehicle)</v>
      </c>
      <c r="B398" s="68">
        <f>((1+B358)^B365)*B358/(((1+B358)^B365)-1)*(B355)/B370/(B367)</f>
        <v>-1.0336086682377807E-4</v>
      </c>
      <c r="C398" s="68">
        <f t="shared" ref="C398:AC398" si="160">((1+C358)^C365)*C358/(((1+C358)^C365)-1)*(C355)/C370/(C367)</f>
        <v>-1.0331170855999495E-4</v>
      </c>
      <c r="D398" s="68">
        <f t="shared" si="160"/>
        <v>-1.0324133960030145E-4</v>
      </c>
      <c r="E398" s="68">
        <f t="shared" si="160"/>
        <v>-1.0314067185489343E-4</v>
      </c>
      <c r="F398" s="68">
        <f t="shared" si="160"/>
        <v>-1.0299679543326449E-4</v>
      </c>
      <c r="G398" s="68">
        <f t="shared" si="160"/>
        <v>-1.0279145268661591E-4</v>
      </c>
      <c r="H398" s="68">
        <f t="shared" si="160"/>
        <v>-1.0249899423929835E-4</v>
      </c>
      <c r="I398" s="68">
        <f t="shared" si="160"/>
        <v>-1.0208374516854875E-4</v>
      </c>
      <c r="J398" s="68">
        <f t="shared" si="160"/>
        <v>-1.0149683050993223E-4</v>
      </c>
      <c r="K398" s="68">
        <f t="shared" si="160"/>
        <v>-1.0067281291805218E-4</v>
      </c>
      <c r="L398" s="68">
        <f t="shared" si="160"/>
        <v>-9.9527129337690295E-5</v>
      </c>
      <c r="M398" s="68">
        <f t="shared" si="160"/>
        <v>-9.7956440009122124E-5</v>
      </c>
      <c r="N398" s="68">
        <f t="shared" si="160"/>
        <v>-9.5845601859790468E-5</v>
      </c>
      <c r="O398" s="68">
        <f t="shared" si="160"/>
        <v>-9.3086328614673487E-5</v>
      </c>
      <c r="P398" s="68">
        <f t="shared" si="160"/>
        <v>-8.9611490340159677E-5</v>
      </c>
      <c r="Q398" s="68">
        <f t="shared" si="160"/>
        <v>-8.5441784155991385E-5</v>
      </c>
      <c r="R398" s="68">
        <f t="shared" si="160"/>
        <v>-8.0726790257955685E-5</v>
      </c>
      <c r="S398" s="68">
        <f t="shared" si="160"/>
        <v>-7.5749190544932557E-5</v>
      </c>
      <c r="T398" s="68">
        <f t="shared" si="160"/>
        <v>-7.086954068392259E-5</v>
      </c>
      <c r="U398" s="68">
        <f t="shared" si="160"/>
        <v>-6.6427494974906487E-5</v>
      </c>
      <c r="V398" s="68">
        <f t="shared" si="160"/>
        <v>-6.2652388681716054E-5</v>
      </c>
      <c r="W398" s="68">
        <f t="shared" si="160"/>
        <v>-5.9629204624102501E-5</v>
      </c>
      <c r="X398" s="68">
        <f t="shared" si="160"/>
        <v>-5.7322381009659713E-5</v>
      </c>
      <c r="Y398" s="68">
        <f t="shared" si="160"/>
        <v>-5.5626680645522941E-5</v>
      </c>
      <c r="Z398" s="68">
        <f t="shared" si="160"/>
        <v>-5.4414279416293167E-5</v>
      </c>
      <c r="AA398" s="68">
        <f t="shared" si="160"/>
        <v>-5.3564565201592909E-5</v>
      </c>
      <c r="AB398" s="68">
        <f t="shared" si="160"/>
        <v>-5.2977360451717727E-5</v>
      </c>
      <c r="AC398" s="68">
        <f t="shared" si="160"/>
        <v>-5.2575506979843073E-5</v>
      </c>
    </row>
    <row r="399" spans="1:29" x14ac:dyDescent="0.3">
      <c r="A399" s="30" t="str">
        <f t="shared" si="158"/>
        <v>Capex costumization</v>
      </c>
      <c r="B399" s="66">
        <f>((1+B358)^B366)*B358/(((1+B358)^B366)-1)*(B356)/B370/(B367)</f>
        <v>6.8982996659853576E-5</v>
      </c>
      <c r="C399" s="66">
        <f t="shared" ref="C399:AC399" si="161">((1+C358)^C366)*C358/(((1+C358)^C366)-1)*(C356)/C370/(C367)</f>
        <v>6.8982996659853576E-5</v>
      </c>
      <c r="D399" s="66">
        <f t="shared" si="161"/>
        <v>6.8982996659853576E-5</v>
      </c>
      <c r="E399" s="66">
        <f t="shared" si="161"/>
        <v>6.8982996659853576E-5</v>
      </c>
      <c r="F399" s="66">
        <f t="shared" si="161"/>
        <v>6.8982996659853576E-5</v>
      </c>
      <c r="G399" s="66">
        <f t="shared" si="161"/>
        <v>6.8982996659853576E-5</v>
      </c>
      <c r="H399" s="66">
        <f t="shared" si="161"/>
        <v>6.8982996659853576E-5</v>
      </c>
      <c r="I399" s="66">
        <f t="shared" si="161"/>
        <v>6.8982996659853576E-5</v>
      </c>
      <c r="J399" s="66">
        <f t="shared" si="161"/>
        <v>6.8982996659853576E-5</v>
      </c>
      <c r="K399" s="66">
        <f t="shared" si="161"/>
        <v>6.8982996659853576E-5</v>
      </c>
      <c r="L399" s="66">
        <f t="shared" si="161"/>
        <v>6.8982996659853576E-5</v>
      </c>
      <c r="M399" s="66">
        <f t="shared" si="161"/>
        <v>6.8982996659853576E-5</v>
      </c>
      <c r="N399" s="66">
        <f t="shared" si="161"/>
        <v>6.8982996659853576E-5</v>
      </c>
      <c r="O399" s="66">
        <f t="shared" si="161"/>
        <v>6.8982996659853576E-5</v>
      </c>
      <c r="P399" s="66">
        <f t="shared" si="161"/>
        <v>6.8982996659853576E-5</v>
      </c>
      <c r="Q399" s="66">
        <f t="shared" si="161"/>
        <v>6.8982996659853576E-5</v>
      </c>
      <c r="R399" s="66">
        <f t="shared" si="161"/>
        <v>6.8982996659853576E-5</v>
      </c>
      <c r="S399" s="66">
        <f t="shared" si="161"/>
        <v>6.8982996659853576E-5</v>
      </c>
      <c r="T399" s="66">
        <f t="shared" si="161"/>
        <v>6.8982996659853576E-5</v>
      </c>
      <c r="U399" s="66">
        <f t="shared" si="161"/>
        <v>6.8982996659853576E-5</v>
      </c>
      <c r="V399" s="66">
        <f t="shared" si="161"/>
        <v>6.8982996659853576E-5</v>
      </c>
      <c r="W399" s="66">
        <f t="shared" si="161"/>
        <v>6.8982996659853576E-5</v>
      </c>
      <c r="X399" s="66">
        <f t="shared" si="161"/>
        <v>6.8982996659853576E-5</v>
      </c>
      <c r="Y399" s="66">
        <f t="shared" si="161"/>
        <v>6.8982996659853576E-5</v>
      </c>
      <c r="Z399" s="66">
        <f t="shared" si="161"/>
        <v>6.8982996659853576E-5</v>
      </c>
      <c r="AA399" s="66">
        <f t="shared" si="161"/>
        <v>6.8982996659853576E-5</v>
      </c>
      <c r="AB399" s="66">
        <f t="shared" si="161"/>
        <v>6.8982996659853576E-5</v>
      </c>
      <c r="AC399" s="66">
        <f t="shared" si="161"/>
        <v>6.8982996659853576E-5</v>
      </c>
    </row>
    <row r="400" spans="1:29" x14ac:dyDescent="0.3">
      <c r="A400" s="30" t="str">
        <f t="shared" si="158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162">((1+C358)^C366)*C358/(((1+C358)^C366)-1)*(C357)/C370/(C367)</f>
        <v>-6.8982996659853564E-6</v>
      </c>
      <c r="D400" s="69">
        <f t="shared" si="162"/>
        <v>-6.8982996659853564E-6</v>
      </c>
      <c r="E400" s="69">
        <f t="shared" si="162"/>
        <v>-6.8982996659853564E-6</v>
      </c>
      <c r="F400" s="69">
        <f t="shared" si="162"/>
        <v>-6.8982996659853564E-6</v>
      </c>
      <c r="G400" s="69">
        <f t="shared" si="162"/>
        <v>-6.8982996659853564E-6</v>
      </c>
      <c r="H400" s="69">
        <f t="shared" si="162"/>
        <v>-6.8982996659853564E-6</v>
      </c>
      <c r="I400" s="69">
        <f t="shared" si="162"/>
        <v>-6.8982996659853564E-6</v>
      </c>
      <c r="J400" s="69">
        <f t="shared" si="162"/>
        <v>-6.8982996659853564E-6</v>
      </c>
      <c r="K400" s="69">
        <f t="shared" si="162"/>
        <v>-6.8982996659853564E-6</v>
      </c>
      <c r="L400" s="69">
        <f t="shared" si="162"/>
        <v>-6.8982996659853564E-6</v>
      </c>
      <c r="M400" s="69">
        <f t="shared" si="162"/>
        <v>-6.8982996659853564E-6</v>
      </c>
      <c r="N400" s="69">
        <f t="shared" si="162"/>
        <v>-6.8982996659853564E-6</v>
      </c>
      <c r="O400" s="69">
        <f t="shared" si="162"/>
        <v>-6.8982996659853564E-6</v>
      </c>
      <c r="P400" s="69">
        <f t="shared" si="162"/>
        <v>-6.8982996659853564E-6</v>
      </c>
      <c r="Q400" s="69">
        <f t="shared" si="162"/>
        <v>-6.8982996659853564E-6</v>
      </c>
      <c r="R400" s="69">
        <f t="shared" si="162"/>
        <v>-6.8982996659853564E-6</v>
      </c>
      <c r="S400" s="69">
        <f t="shared" si="162"/>
        <v>-6.8982996659853564E-6</v>
      </c>
      <c r="T400" s="69">
        <f t="shared" si="162"/>
        <v>-6.8982996659853564E-6</v>
      </c>
      <c r="U400" s="69">
        <f t="shared" si="162"/>
        <v>-6.8982996659853564E-6</v>
      </c>
      <c r="V400" s="69">
        <f t="shared" si="162"/>
        <v>-6.8982996659853564E-6</v>
      </c>
      <c r="W400" s="69">
        <f t="shared" si="162"/>
        <v>-6.8982996659853564E-6</v>
      </c>
      <c r="X400" s="69">
        <f t="shared" si="162"/>
        <v>-6.8982996659853564E-6</v>
      </c>
      <c r="Y400" s="69">
        <f t="shared" si="162"/>
        <v>-6.8982996659853564E-6</v>
      </c>
      <c r="Z400" s="69">
        <f t="shared" si="162"/>
        <v>-6.8982996659853564E-6</v>
      </c>
      <c r="AA400" s="69">
        <f t="shared" si="162"/>
        <v>-6.8982996659853564E-6</v>
      </c>
      <c r="AB400" s="69">
        <f t="shared" si="162"/>
        <v>-6.8982996659853564E-6</v>
      </c>
      <c r="AC400" s="69">
        <f t="shared" si="162"/>
        <v>-6.8982996659853564E-6</v>
      </c>
    </row>
    <row r="401" spans="1:29" x14ac:dyDescent="0.3">
      <c r="A401" s="30" t="str">
        <f t="shared" si="158"/>
        <v>Opex fix (admin, crew, insurance)</v>
      </c>
      <c r="B401" s="66">
        <f>B359/B370/(B367)</f>
        <v>1.0654632223259673E-3</v>
      </c>
      <c r="C401" s="66">
        <f t="shared" ref="C401:AC401" si="163">C359/C370/(C367)</f>
        <v>1.0654632223259673E-3</v>
      </c>
      <c r="D401" s="66">
        <f t="shared" si="163"/>
        <v>1.0654632223259673E-3</v>
      </c>
      <c r="E401" s="66">
        <f t="shared" si="163"/>
        <v>1.0654632223259673E-3</v>
      </c>
      <c r="F401" s="66">
        <f t="shared" si="163"/>
        <v>1.0654632223259673E-3</v>
      </c>
      <c r="G401" s="66">
        <f t="shared" si="163"/>
        <v>1.0654632223259673E-3</v>
      </c>
      <c r="H401" s="66">
        <f t="shared" si="163"/>
        <v>1.0654632223259673E-3</v>
      </c>
      <c r="I401" s="66">
        <f t="shared" si="163"/>
        <v>1.0654632223259673E-3</v>
      </c>
      <c r="J401" s="66">
        <f t="shared" si="163"/>
        <v>1.0654632223259673E-3</v>
      </c>
      <c r="K401" s="66">
        <f t="shared" si="163"/>
        <v>1.0654632223259673E-3</v>
      </c>
      <c r="L401" s="66">
        <f t="shared" si="163"/>
        <v>1.0654632223259673E-3</v>
      </c>
      <c r="M401" s="66">
        <f t="shared" si="163"/>
        <v>1.0654632223259673E-3</v>
      </c>
      <c r="N401" s="66">
        <f t="shared" si="163"/>
        <v>1.0654632223259673E-3</v>
      </c>
      <c r="O401" s="66">
        <f t="shared" si="163"/>
        <v>1.0654632223259673E-3</v>
      </c>
      <c r="P401" s="66">
        <f t="shared" si="163"/>
        <v>1.0654632223259673E-3</v>
      </c>
      <c r="Q401" s="66">
        <f t="shared" si="163"/>
        <v>1.0654632223259673E-3</v>
      </c>
      <c r="R401" s="66">
        <f t="shared" si="163"/>
        <v>1.0654632223259673E-3</v>
      </c>
      <c r="S401" s="66">
        <f t="shared" si="163"/>
        <v>1.0654632223259673E-3</v>
      </c>
      <c r="T401" s="66">
        <f t="shared" si="163"/>
        <v>1.0654632223259673E-3</v>
      </c>
      <c r="U401" s="66">
        <f t="shared" si="163"/>
        <v>1.0654632223259673E-3</v>
      </c>
      <c r="V401" s="66">
        <f t="shared" si="163"/>
        <v>1.0654632223259673E-3</v>
      </c>
      <c r="W401" s="66">
        <f t="shared" si="163"/>
        <v>1.0654632223259673E-3</v>
      </c>
      <c r="X401" s="66">
        <f t="shared" si="163"/>
        <v>1.0654632223259673E-3</v>
      </c>
      <c r="Y401" s="66">
        <f t="shared" si="163"/>
        <v>1.0654632223259673E-3</v>
      </c>
      <c r="Z401" s="66">
        <f t="shared" si="163"/>
        <v>1.0654632223259673E-3</v>
      </c>
      <c r="AA401" s="66">
        <f t="shared" si="163"/>
        <v>1.0654632223259673E-3</v>
      </c>
      <c r="AB401" s="66">
        <f t="shared" si="163"/>
        <v>1.0654632223259673E-3</v>
      </c>
      <c r="AC401" s="66">
        <f t="shared" si="163"/>
        <v>1.0654632223259673E-3</v>
      </c>
    </row>
    <row r="402" spans="1:29" x14ac:dyDescent="0.3">
      <c r="A402" s="30" t="str">
        <f t="shared" si="158"/>
        <v>Opex maintenance &amp; repair</v>
      </c>
      <c r="B402" s="66">
        <f>B360/B370/(B367)</f>
        <v>4.305425874053325E-4</v>
      </c>
      <c r="C402" s="66">
        <f t="shared" ref="C402:AC402" si="164">C360/C370/(C367)</f>
        <v>4.305425874053325E-4</v>
      </c>
      <c r="D402" s="66">
        <f t="shared" si="164"/>
        <v>4.305425874053325E-4</v>
      </c>
      <c r="E402" s="66">
        <f t="shared" si="164"/>
        <v>4.305425874053325E-4</v>
      </c>
      <c r="F402" s="66">
        <f t="shared" si="164"/>
        <v>4.305425874053325E-4</v>
      </c>
      <c r="G402" s="66">
        <f t="shared" si="164"/>
        <v>4.305425874053325E-4</v>
      </c>
      <c r="H402" s="66">
        <f t="shared" si="164"/>
        <v>4.305425874053325E-4</v>
      </c>
      <c r="I402" s="66">
        <f t="shared" si="164"/>
        <v>4.305425874053325E-4</v>
      </c>
      <c r="J402" s="66">
        <f t="shared" si="164"/>
        <v>4.305425874053325E-4</v>
      </c>
      <c r="K402" s="66">
        <f t="shared" si="164"/>
        <v>4.305425874053325E-4</v>
      </c>
      <c r="L402" s="66">
        <f t="shared" si="164"/>
        <v>4.305425874053325E-4</v>
      </c>
      <c r="M402" s="66">
        <f t="shared" si="164"/>
        <v>4.305425874053325E-4</v>
      </c>
      <c r="N402" s="66">
        <f t="shared" si="164"/>
        <v>4.305425874053325E-4</v>
      </c>
      <c r="O402" s="66">
        <f t="shared" si="164"/>
        <v>4.305425874053325E-4</v>
      </c>
      <c r="P402" s="66">
        <f t="shared" si="164"/>
        <v>4.305425874053325E-4</v>
      </c>
      <c r="Q402" s="66">
        <f t="shared" si="164"/>
        <v>4.305425874053325E-4</v>
      </c>
      <c r="R402" s="66">
        <f t="shared" si="164"/>
        <v>4.305425874053325E-4</v>
      </c>
      <c r="S402" s="66">
        <f t="shared" si="164"/>
        <v>4.305425874053325E-4</v>
      </c>
      <c r="T402" s="66">
        <f t="shared" si="164"/>
        <v>4.305425874053325E-4</v>
      </c>
      <c r="U402" s="66">
        <f t="shared" si="164"/>
        <v>4.305425874053325E-4</v>
      </c>
      <c r="V402" s="66">
        <f t="shared" si="164"/>
        <v>4.305425874053325E-4</v>
      </c>
      <c r="W402" s="66">
        <f t="shared" si="164"/>
        <v>4.305425874053325E-4</v>
      </c>
      <c r="X402" s="66">
        <f t="shared" si="164"/>
        <v>4.305425874053325E-4</v>
      </c>
      <c r="Y402" s="66">
        <f t="shared" si="164"/>
        <v>4.305425874053325E-4</v>
      </c>
      <c r="Z402" s="66">
        <f t="shared" si="164"/>
        <v>4.305425874053325E-4</v>
      </c>
      <c r="AA402" s="66">
        <f t="shared" si="164"/>
        <v>4.305425874053325E-4</v>
      </c>
      <c r="AB402" s="66">
        <f t="shared" si="164"/>
        <v>4.305425874053325E-4</v>
      </c>
      <c r="AC402" s="66">
        <f t="shared" si="164"/>
        <v>4.305425874053325E-4</v>
      </c>
    </row>
    <row r="403" spans="1:29" x14ac:dyDescent="0.3">
      <c r="A403" s="30" t="str">
        <f t="shared" si="158"/>
        <v>Opex var (mode-fees)</v>
      </c>
      <c r="B403" s="66">
        <f>B361*B370/B370/(B367)</f>
        <v>8.6011184229469056E-5</v>
      </c>
      <c r="C403" s="66">
        <f t="shared" ref="C403:AC403" si="165">C361*C370/C370/(C367)</f>
        <v>8.6011184229469056E-5</v>
      </c>
      <c r="D403" s="66">
        <f t="shared" si="165"/>
        <v>8.6011184229469056E-5</v>
      </c>
      <c r="E403" s="66">
        <f t="shared" si="165"/>
        <v>8.6011184229469056E-5</v>
      </c>
      <c r="F403" s="66">
        <f t="shared" si="165"/>
        <v>8.6011184229469056E-5</v>
      </c>
      <c r="G403" s="66">
        <f t="shared" si="165"/>
        <v>8.6011184229469056E-5</v>
      </c>
      <c r="H403" s="66">
        <f t="shared" si="165"/>
        <v>8.6011184229469056E-5</v>
      </c>
      <c r="I403" s="66">
        <f t="shared" si="165"/>
        <v>8.6011184229469056E-5</v>
      </c>
      <c r="J403" s="66">
        <f t="shared" si="165"/>
        <v>8.6011184229469056E-5</v>
      </c>
      <c r="K403" s="66">
        <f t="shared" si="165"/>
        <v>8.6011184229469056E-5</v>
      </c>
      <c r="L403" s="66">
        <f t="shared" si="165"/>
        <v>8.6011184229469056E-5</v>
      </c>
      <c r="M403" s="66">
        <f t="shared" si="165"/>
        <v>8.6011184229469056E-5</v>
      </c>
      <c r="N403" s="66">
        <f t="shared" si="165"/>
        <v>8.6011184229469056E-5</v>
      </c>
      <c r="O403" s="66">
        <f t="shared" si="165"/>
        <v>8.6011184229469056E-5</v>
      </c>
      <c r="P403" s="66">
        <f t="shared" si="165"/>
        <v>8.6011184229469056E-5</v>
      </c>
      <c r="Q403" s="66">
        <f t="shared" si="165"/>
        <v>8.6011184229469056E-5</v>
      </c>
      <c r="R403" s="66">
        <f t="shared" si="165"/>
        <v>8.6011184229469056E-5</v>
      </c>
      <c r="S403" s="66">
        <f t="shared" si="165"/>
        <v>8.6011184229469056E-5</v>
      </c>
      <c r="T403" s="66">
        <f t="shared" si="165"/>
        <v>8.6011184229469056E-5</v>
      </c>
      <c r="U403" s="66">
        <f t="shared" si="165"/>
        <v>8.6011184229469056E-5</v>
      </c>
      <c r="V403" s="66">
        <f t="shared" si="165"/>
        <v>8.6011184229469056E-5</v>
      </c>
      <c r="W403" s="66">
        <f t="shared" si="165"/>
        <v>8.6011184229469056E-5</v>
      </c>
      <c r="X403" s="66">
        <f t="shared" si="165"/>
        <v>8.6011184229469056E-5</v>
      </c>
      <c r="Y403" s="66">
        <f t="shared" si="165"/>
        <v>8.6011184229469056E-5</v>
      </c>
      <c r="Z403" s="66">
        <f t="shared" si="165"/>
        <v>8.6011184229469056E-5</v>
      </c>
      <c r="AA403" s="66">
        <f t="shared" si="165"/>
        <v>8.6011184229469056E-5</v>
      </c>
      <c r="AB403" s="66">
        <f t="shared" si="165"/>
        <v>8.6011184229469056E-5</v>
      </c>
      <c r="AC403" s="66">
        <f t="shared" si="165"/>
        <v>8.6011184229469056E-5</v>
      </c>
    </row>
    <row r="404" spans="1:29" x14ac:dyDescent="0.3">
      <c r="A404" s="30" t="str">
        <f t="shared" si="158"/>
        <v>Fuel Cost</v>
      </c>
      <c r="B404" s="66">
        <f>B362*B363*B370/B370/(B367)</f>
        <v>2.1494771182553069E-3</v>
      </c>
      <c r="C404" s="66">
        <f t="shared" ref="C404:AC404" si="166">C362*C363*C370/C370/(C367)</f>
        <v>2.1493287336269364E-3</v>
      </c>
      <c r="D404" s="66">
        <f t="shared" si="166"/>
        <v>2.1491163243364253E-3</v>
      </c>
      <c r="E404" s="66">
        <f t="shared" si="166"/>
        <v>2.14881245790906E-3</v>
      </c>
      <c r="F404" s="66">
        <f t="shared" si="166"/>
        <v>2.1483781657328982E-3</v>
      </c>
      <c r="G404" s="66">
        <f t="shared" si="166"/>
        <v>2.1477583369430842E-3</v>
      </c>
      <c r="H404" s="66">
        <f t="shared" si="166"/>
        <v>2.1468755486857413E-3</v>
      </c>
      <c r="I404" s="66">
        <f t="shared" si="166"/>
        <v>2.1456221159095916E-3</v>
      </c>
      <c r="J404" s="66">
        <f t="shared" si="166"/>
        <v>2.1438505091277019E-3</v>
      </c>
      <c r="K404" s="66">
        <f t="shared" si="166"/>
        <v>2.1413632051683635E-3</v>
      </c>
      <c r="L404" s="66">
        <f t="shared" si="166"/>
        <v>2.1379049497455864E-3</v>
      </c>
      <c r="M404" s="66">
        <f t="shared" si="166"/>
        <v>2.1331638109345504E-3</v>
      </c>
      <c r="N404" s="66">
        <f t="shared" si="166"/>
        <v>2.1267922284124146E-3</v>
      </c>
      <c r="O404" s="66">
        <f t="shared" si="166"/>
        <v>2.118463339156764E-3</v>
      </c>
      <c r="P404" s="66">
        <f t="shared" si="166"/>
        <v>2.1079745109042758E-3</v>
      </c>
      <c r="Q404" s="66">
        <f t="shared" si="166"/>
        <v>2.0953882180831502E-3</v>
      </c>
      <c r="R404" s="66">
        <f t="shared" si="166"/>
        <v>2.0811559697593205E-3</v>
      </c>
      <c r="S404" s="66">
        <f t="shared" si="166"/>
        <v>2.0661310435972982E-3</v>
      </c>
      <c r="T404" s="66">
        <f t="shared" si="166"/>
        <v>2.0514017798788087E-3</v>
      </c>
      <c r="U404" s="66">
        <f t="shared" si="166"/>
        <v>2.037993427935265E-3</v>
      </c>
      <c r="V404" s="66">
        <f t="shared" si="166"/>
        <v>2.0265982381692882E-3</v>
      </c>
      <c r="W404" s="66">
        <f t="shared" si="166"/>
        <v>2.0174727319296035E-3</v>
      </c>
      <c r="X404" s="66">
        <f t="shared" si="166"/>
        <v>2.0105095656498539E-3</v>
      </c>
      <c r="Y404" s="66">
        <f t="shared" si="166"/>
        <v>2.0053910799874954E-3</v>
      </c>
      <c r="Z404" s="66">
        <f t="shared" si="166"/>
        <v>2.0017314367863233E-3</v>
      </c>
      <c r="AA404" s="66">
        <f t="shared" si="166"/>
        <v>1.9991665673571302E-3</v>
      </c>
      <c r="AB404" s="66">
        <f t="shared" si="166"/>
        <v>1.9973940849323628E-3</v>
      </c>
      <c r="AC404" s="66">
        <f t="shared" si="166"/>
        <v>1.9961810868829068E-3</v>
      </c>
    </row>
    <row r="405" spans="1:29" x14ac:dyDescent="0.3">
      <c r="A405" s="59" t="str">
        <f>A368</f>
        <v>Market failure (av. utilization)</v>
      </c>
      <c r="B405" s="66">
        <f t="shared" ref="B405:AC405" si="167">B394/B368-B394/B367</f>
        <v>6.4101374767547474E-3</v>
      </c>
      <c r="C405" s="66">
        <f t="shared" si="167"/>
        <v>6.4139856174181258E-3</v>
      </c>
      <c r="D405" s="66">
        <f t="shared" si="167"/>
        <v>6.419494145067331E-3</v>
      </c>
      <c r="E405" s="66">
        <f t="shared" si="167"/>
        <v>6.4273744812465006E-3</v>
      </c>
      <c r="F405" s="66">
        <f t="shared" si="167"/>
        <v>6.4386372205290409E-3</v>
      </c>
      <c r="G405" s="66">
        <f t="shared" si="167"/>
        <v>6.4547115834641209E-3</v>
      </c>
      <c r="H405" s="66">
        <f t="shared" si="167"/>
        <v>6.477605419756562E-3</v>
      </c>
      <c r="I405" s="66">
        <f t="shared" si="167"/>
        <v>6.5101113854194575E-3</v>
      </c>
      <c r="J405" s="66">
        <f t="shared" si="167"/>
        <v>6.5560554442600939E-3</v>
      </c>
      <c r="K405" s="66">
        <f t="shared" si="167"/>
        <v>6.6205600739728671E-3</v>
      </c>
      <c r="L405" s="66">
        <f t="shared" si="167"/>
        <v>6.7102449251793036E-3</v>
      </c>
      <c r="M405" s="66">
        <f t="shared" si="167"/>
        <v>6.8331995010663706E-3</v>
      </c>
      <c r="N405" s="66">
        <f t="shared" si="167"/>
        <v>6.9984372757788951E-3</v>
      </c>
      <c r="O405" s="66">
        <f t="shared" si="167"/>
        <v>7.2144349689186099E-3</v>
      </c>
      <c r="P405" s="66">
        <f t="shared" si="167"/>
        <v>7.4864475550794063E-3</v>
      </c>
      <c r="Q405" s="66">
        <f t="shared" si="167"/>
        <v>7.8128548503498506E-3</v>
      </c>
      <c r="R405" s="66">
        <f t="shared" si="167"/>
        <v>8.1819476203195633E-3</v>
      </c>
      <c r="S405" s="66">
        <f t="shared" si="167"/>
        <v>8.5715973432270547E-3</v>
      </c>
      <c r="T405" s="66">
        <f t="shared" si="167"/>
        <v>8.953579488407094E-3</v>
      </c>
      <c r="U405" s="66">
        <f t="shared" si="167"/>
        <v>9.3013056977147793E-3</v>
      </c>
      <c r="V405" s="66">
        <f t="shared" si="167"/>
        <v>9.5968234584618752E-3</v>
      </c>
      <c r="W405" s="66">
        <f t="shared" si="167"/>
        <v>9.8334802605878988E-3</v>
      </c>
      <c r="X405" s="66">
        <f t="shared" si="167"/>
        <v>1.0014059904188487E-2</v>
      </c>
      <c r="Y405" s="66">
        <f t="shared" si="167"/>
        <v>1.0146800424743268E-2</v>
      </c>
      <c r="Z405" s="66">
        <f t="shared" si="167"/>
        <v>1.0241707976627381E-2</v>
      </c>
      <c r="AA405" s="66">
        <f t="shared" si="167"/>
        <v>1.0308224154584052E-2</v>
      </c>
      <c r="AB405" s="66">
        <f t="shared" si="167"/>
        <v>1.0354190921955922E-2</v>
      </c>
      <c r="AC405" s="66">
        <f t="shared" si="167"/>
        <v>1.0385648271480374E-2</v>
      </c>
    </row>
    <row r="406" spans="1:29" x14ac:dyDescent="0.3">
      <c r="A406" s="59" t="str">
        <f>A369</f>
        <v>Payload loss (fuel)</v>
      </c>
      <c r="B406" s="66">
        <f>B394/(B367-B369)-B394/B367</f>
        <v>0</v>
      </c>
      <c r="C406" s="66">
        <f t="shared" ref="C406:AC406" si="168">C394/(C367-C369)-C394/C367</f>
        <v>0</v>
      </c>
      <c r="D406" s="66">
        <f t="shared" si="168"/>
        <v>0</v>
      </c>
      <c r="E406" s="66">
        <f t="shared" si="168"/>
        <v>0</v>
      </c>
      <c r="F406" s="66">
        <f t="shared" si="168"/>
        <v>0</v>
      </c>
      <c r="G406" s="66">
        <f t="shared" si="168"/>
        <v>0</v>
      </c>
      <c r="H406" s="66">
        <f t="shared" si="168"/>
        <v>0</v>
      </c>
      <c r="I406" s="66">
        <f t="shared" si="168"/>
        <v>0</v>
      </c>
      <c r="J406" s="66">
        <f t="shared" si="168"/>
        <v>0</v>
      </c>
      <c r="K406" s="66">
        <f t="shared" si="168"/>
        <v>0</v>
      </c>
      <c r="L406" s="66">
        <f t="shared" si="168"/>
        <v>0</v>
      </c>
      <c r="M406" s="66">
        <f t="shared" si="168"/>
        <v>0</v>
      </c>
      <c r="N406" s="66">
        <f t="shared" si="168"/>
        <v>0</v>
      </c>
      <c r="O406" s="66">
        <f t="shared" si="168"/>
        <v>0</v>
      </c>
      <c r="P406" s="66">
        <f t="shared" si="168"/>
        <v>0</v>
      </c>
      <c r="Q406" s="66">
        <f t="shared" si="168"/>
        <v>0</v>
      </c>
      <c r="R406" s="66">
        <f t="shared" si="168"/>
        <v>0</v>
      </c>
      <c r="S406" s="66">
        <f t="shared" si="168"/>
        <v>0</v>
      </c>
      <c r="T406" s="66">
        <f t="shared" si="168"/>
        <v>0</v>
      </c>
      <c r="U406" s="66">
        <f t="shared" si="168"/>
        <v>0</v>
      </c>
      <c r="V406" s="66">
        <f t="shared" si="168"/>
        <v>0</v>
      </c>
      <c r="W406" s="66">
        <f t="shared" si="168"/>
        <v>0</v>
      </c>
      <c r="X406" s="66">
        <f t="shared" si="168"/>
        <v>0</v>
      </c>
      <c r="Y406" s="66">
        <f t="shared" si="168"/>
        <v>0</v>
      </c>
      <c r="Z406" s="66">
        <f t="shared" si="168"/>
        <v>0</v>
      </c>
      <c r="AA406" s="66">
        <f t="shared" si="168"/>
        <v>0</v>
      </c>
      <c r="AB406" s="66">
        <f t="shared" si="168"/>
        <v>0</v>
      </c>
      <c r="AC406" s="66">
        <f t="shared" si="168"/>
        <v>0</v>
      </c>
    </row>
    <row r="407" spans="1:29" ht="15" thickBot="1" x14ac:dyDescent="0.35">
      <c r="A407" s="59" t="str">
        <f>A344</f>
        <v>Emission Cost</v>
      </c>
      <c r="B407" s="68">
        <f>B364*B370/B370/(B367)</f>
        <v>1.9330162494961441E-3</v>
      </c>
      <c r="C407" s="68">
        <f t="shared" ref="C407:AC407" si="169">C364*C370/C370/(C367)</f>
        <v>1.9371206834899628E-3</v>
      </c>
      <c r="D407" s="68">
        <f t="shared" si="169"/>
        <v>1.9429960893332179E-3</v>
      </c>
      <c r="E407" s="68">
        <f t="shared" si="169"/>
        <v>1.9514012705690036E-3</v>
      </c>
      <c r="F407" s="68">
        <f t="shared" si="169"/>
        <v>1.9634141292502638E-3</v>
      </c>
      <c r="G407" s="68">
        <f t="shared" si="169"/>
        <v>1.9805590746748382E-3</v>
      </c>
      <c r="H407" s="68">
        <f t="shared" si="169"/>
        <v>2.0049776830749549E-3</v>
      </c>
      <c r="I407" s="68">
        <f t="shared" si="169"/>
        <v>2.0396486065519404E-3</v>
      </c>
      <c r="J407" s="68">
        <f t="shared" si="169"/>
        <v>2.0886526252236323E-3</v>
      </c>
      <c r="K407" s="68">
        <f t="shared" si="169"/>
        <v>2.1574533833329558E-3</v>
      </c>
      <c r="L407" s="68">
        <f t="shared" si="169"/>
        <v>2.2531114125534991E-3</v>
      </c>
      <c r="M407" s="68">
        <f t="shared" si="169"/>
        <v>2.3842549920408719E-3</v>
      </c>
      <c r="N407" s="68">
        <f t="shared" si="169"/>
        <v>2.5604979100940593E-3</v>
      </c>
      <c r="O407" s="68">
        <f t="shared" si="169"/>
        <v>2.7908814516173566E-3</v>
      </c>
      <c r="P407" s="68">
        <f t="shared" si="169"/>
        <v>3.0810105822933029E-3</v>
      </c>
      <c r="Q407" s="68">
        <f t="shared" si="169"/>
        <v>3.4291572109464382E-3</v>
      </c>
      <c r="R407" s="68">
        <f t="shared" si="169"/>
        <v>3.8228322463611155E-3</v>
      </c>
      <c r="S407" s="68">
        <f t="shared" si="169"/>
        <v>4.2384333660403627E-3</v>
      </c>
      <c r="T407" s="68">
        <f t="shared" si="169"/>
        <v>4.6458562330444131E-3</v>
      </c>
      <c r="U407" s="68">
        <f t="shared" si="169"/>
        <v>5.0167416550889786E-3</v>
      </c>
      <c r="V407" s="68">
        <f t="shared" si="169"/>
        <v>5.3319414487271117E-3</v>
      </c>
      <c r="W407" s="68">
        <f t="shared" si="169"/>
        <v>5.5843600343464736E-3</v>
      </c>
      <c r="X407" s="68">
        <f t="shared" si="169"/>
        <v>5.7769666183103488E-3</v>
      </c>
      <c r="Y407" s="68">
        <f t="shared" si="169"/>
        <v>5.9185479045941606E-3</v>
      </c>
      <c r="Z407" s="68">
        <f t="shared" si="169"/>
        <v>6.0197764760781397E-3</v>
      </c>
      <c r="AA407" s="68">
        <f t="shared" si="169"/>
        <v>6.090722755288349E-3</v>
      </c>
      <c r="AB407" s="68">
        <f t="shared" si="169"/>
        <v>6.1397509949217199E-3</v>
      </c>
      <c r="AC407" s="68">
        <f t="shared" si="169"/>
        <v>6.1733034624737292E-3</v>
      </c>
    </row>
    <row r="408" spans="1:29" ht="15" thickBot="1" x14ac:dyDescent="0.35">
      <c r="A408" s="31" t="s">
        <v>210</v>
      </c>
      <c r="B408" s="76">
        <f>B397+B398+B399+B400+B401+B402+B403+B404+B405+B406+B407</f>
        <v>1.3068116618534862E-2</v>
      </c>
      <c r="C408" s="67">
        <f t="shared" ref="C408:AC408" si="170">C397+C398+C399+C400+C401+C402+C403+C404+C405+C406+C407</f>
        <v>1.307596996682747E-2</v>
      </c>
      <c r="D408" s="67">
        <f t="shared" si="170"/>
        <v>1.3087211859989114E-2</v>
      </c>
      <c r="E408" s="67">
        <f t="shared" si="170"/>
        <v>1.3103294178722111E-2</v>
      </c>
      <c r="F408" s="67">
        <f t="shared" si="170"/>
        <v>1.312627936093138E-2</v>
      </c>
      <c r="G408" s="67">
        <f t="shared" si="170"/>
        <v>1.315908418324787E-2</v>
      </c>
      <c r="H408" s="67">
        <f t="shared" si="170"/>
        <v>1.3205806298130399E-2</v>
      </c>
      <c r="I408" s="67">
        <f t="shared" si="170"/>
        <v>1.3272145003564882E-2</v>
      </c>
      <c r="J408" s="67">
        <f t="shared" si="170"/>
        <v>1.3365908388953938E-2</v>
      </c>
      <c r="K408" s="67">
        <f t="shared" si="170"/>
        <v>1.3497550490408575E-2</v>
      </c>
      <c r="L408" s="67">
        <f t="shared" si="170"/>
        <v>1.3680580798993138E-2</v>
      </c>
      <c r="M408" s="67">
        <f t="shared" si="170"/>
        <v>1.3931508504885112E-2</v>
      </c>
      <c r="N408" s="67">
        <f t="shared" si="170"/>
        <v>1.4268728453278019E-2</v>
      </c>
      <c r="O408" s="67">
        <f t="shared" si="170"/>
        <v>1.4709540071930496E-2</v>
      </c>
      <c r="P408" s="67">
        <f t="shared" si="170"/>
        <v>1.5264667798789266E-2</v>
      </c>
      <c r="Q408" s="67">
        <f t="shared" si="170"/>
        <v>1.5930805136075889E-2</v>
      </c>
      <c r="R408" s="67">
        <f t="shared" si="170"/>
        <v>1.6684055687034485E-2</v>
      </c>
      <c r="S408" s="67">
        <f t="shared" si="170"/>
        <v>1.7479259203172226E-2</v>
      </c>
      <c r="T408" s="67">
        <f t="shared" si="170"/>
        <v>1.8258814601498835E-2</v>
      </c>
      <c r="U408" s="67">
        <f t="shared" si="170"/>
        <v>1.8968459926616558E-2</v>
      </c>
      <c r="V408" s="67">
        <f t="shared" si="170"/>
        <v>1.9571557397528999E-2</v>
      </c>
      <c r="W408" s="67">
        <f t="shared" si="170"/>
        <v>2.0054530463092315E-2</v>
      </c>
      <c r="X408" s="67">
        <f t="shared" si="170"/>
        <v>2.0423060347991469E-2</v>
      </c>
      <c r="Y408" s="67">
        <f t="shared" si="170"/>
        <v>2.0693959369531841E-2</v>
      </c>
      <c r="Z408" s="67">
        <f t="shared" si="170"/>
        <v>2.0887648250927992E-2</v>
      </c>
      <c r="AA408" s="67">
        <f t="shared" si="170"/>
        <v>2.1023395552880381E-2</v>
      </c>
      <c r="AB408" s="67">
        <f t="shared" si="170"/>
        <v>2.1117205282210727E-2</v>
      </c>
      <c r="AC408" s="67">
        <f t="shared" si="170"/>
        <v>2.1181403954709604E-2</v>
      </c>
    </row>
    <row r="410" spans="1:29" x14ac:dyDescent="0.3">
      <c r="B410" s="40"/>
    </row>
  </sheetData>
  <conditionalFormatting sqref="Q11:AR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33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41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50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1069-B129-4F0E-816D-8F0D4D8E4B10}">
  <sheetPr codeName="Sheet12">
    <tabColor theme="5"/>
  </sheetPr>
  <dimension ref="A1:AR410"/>
  <sheetViews>
    <sheetView topLeftCell="A112" zoomScale="80" zoomScaleNormal="80" workbookViewId="0">
      <selection activeCell="R182" sqref="R182"/>
    </sheetView>
  </sheetViews>
  <sheetFormatPr defaultColWidth="9.109375" defaultRowHeight="14.4" x14ac:dyDescent="0.3"/>
  <cols>
    <col min="1" max="1" width="38.6640625" style="4" customWidth="1"/>
    <col min="2" max="2" width="21.44140625" style="4" bestFit="1" customWidth="1"/>
    <col min="3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Input'!A141</f>
        <v>Short-sea: Dry bulk</v>
      </c>
    </row>
    <row r="2" spans="1:44" s="3" customFormat="1" ht="21" x14ac:dyDescent="0.4">
      <c r="A2" s="2" t="s">
        <v>290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Input'!$L$142</f>
        <v>15000000</v>
      </c>
      <c r="C11" s="42">
        <f>'Parameter Input'!$M$142</f>
        <v>15000000</v>
      </c>
      <c r="D11" s="1" t="s">
        <v>15</v>
      </c>
      <c r="L11" s="51">
        <f>'Parameter Input'!$O$142</f>
        <v>17</v>
      </c>
      <c r="M11" s="52">
        <v>0</v>
      </c>
      <c r="N11" s="52">
        <v>1</v>
      </c>
      <c r="O11" s="52">
        <f>'Parameter Input'!$P$142</f>
        <v>0.9</v>
      </c>
      <c r="P11" s="53">
        <f>'Parameter Input'!$Q$142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3">
      <c r="A12" s="24" t="s">
        <v>28</v>
      </c>
      <c r="B12" s="60">
        <f>'Parameter Input'!$L$143</f>
        <v>-1500000</v>
      </c>
      <c r="C12" s="61">
        <f>'Parameter Input'!$M$143</f>
        <v>-750000</v>
      </c>
      <c r="D12" s="1" t="s">
        <v>15</v>
      </c>
      <c r="L12" s="54">
        <f>'Parameter Input'!$O$143</f>
        <v>17</v>
      </c>
      <c r="M12" s="37">
        <v>0</v>
      </c>
      <c r="N12" s="37">
        <v>1</v>
      </c>
      <c r="O12" s="37">
        <f>'Parameter Input'!$P$143</f>
        <v>0.9</v>
      </c>
      <c r="P12" s="55">
        <f>'Parameter Input'!$Q$143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3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3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3">
      <c r="A15" s="24" t="s">
        <v>79</v>
      </c>
      <c r="B15" s="92">
        <f>'Parameter Input'!$L$149</f>
        <v>0.06</v>
      </c>
      <c r="C15" s="91">
        <f>'Parameter Input'!$M$149</f>
        <v>0.06</v>
      </c>
      <c r="D15" s="1" t="s">
        <v>57</v>
      </c>
      <c r="L15" s="54">
        <f>'Parameter Input'!$O$149</f>
        <v>17</v>
      </c>
      <c r="M15" s="37">
        <v>0</v>
      </c>
      <c r="N15" s="37">
        <v>1</v>
      </c>
      <c r="O15" s="37">
        <f>'Parameter Input'!$P$149</f>
        <v>0.9</v>
      </c>
      <c r="P15" s="55">
        <f>'Parameter Input'!$Q$149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3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3">
      <c r="A17" s="24" t="s">
        <v>52</v>
      </c>
      <c r="B17" s="60">
        <f>'Parameter Input'!$L$145</f>
        <v>488235.29411764705</v>
      </c>
      <c r="C17" s="61">
        <f>'Parameter Input'!$M$145</f>
        <v>488235.29411764705</v>
      </c>
      <c r="D17" s="1" t="s">
        <v>38</v>
      </c>
      <c r="L17" s="54">
        <f>'Parameter Input'!$O$145</f>
        <v>17</v>
      </c>
      <c r="M17" s="37">
        <v>0</v>
      </c>
      <c r="N17" s="37">
        <v>1</v>
      </c>
      <c r="O17" s="37">
        <f>'Parameter Input'!$P$145</f>
        <v>0.9</v>
      </c>
      <c r="P17" s="55">
        <f>'Parameter Input'!$Q$145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3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3">
      <c r="A19" s="24" t="s">
        <v>59</v>
      </c>
      <c r="B19" s="60">
        <f>'Parameter Input'!$L$146</f>
        <v>647</v>
      </c>
      <c r="C19" s="61">
        <f>'Parameter Input'!$M$146</f>
        <v>600</v>
      </c>
      <c r="D19" s="1" t="s">
        <v>60</v>
      </c>
      <c r="L19" s="54">
        <f>'Parameter Input'!$O$146</f>
        <v>17</v>
      </c>
      <c r="M19" s="37">
        <v>0</v>
      </c>
      <c r="N19" s="37">
        <v>1</v>
      </c>
      <c r="O19" s="37">
        <f>'Parameter Input'!$P$146</f>
        <v>0.9</v>
      </c>
      <c r="P19" s="55">
        <f>'Parameter Input'!$Q$146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3">
      <c r="A20" s="24" t="s">
        <v>67</v>
      </c>
      <c r="B20" s="78">
        <f>'Parameter Input'!$L$147</f>
        <v>0.06</v>
      </c>
      <c r="C20" s="61">
        <f>'Parameter Input'!$M$147</f>
        <v>0.06</v>
      </c>
      <c r="D20" s="1" t="s">
        <v>68</v>
      </c>
      <c r="L20" s="54">
        <f>'Parameter Input'!$O$147</f>
        <v>17</v>
      </c>
      <c r="M20" s="37">
        <v>0</v>
      </c>
      <c r="N20" s="37">
        <v>1</v>
      </c>
      <c r="O20" s="37">
        <f>'Parameter Input'!$P$147</f>
        <v>0.9</v>
      </c>
      <c r="P20" s="55">
        <f>'Parameter Input'!$Q$147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3">
      <c r="A21" s="24" t="s">
        <v>206</v>
      </c>
      <c r="B21" s="78">
        <f>'Parameter Input'!L150</f>
        <v>17.249705634987386</v>
      </c>
      <c r="C21" s="61">
        <f>'Parameter Input'!M150</f>
        <v>55.988225399495377</v>
      </c>
      <c r="D21" s="1"/>
      <c r="L21" s="54">
        <f>'Parameter Input'!O150</f>
        <v>17</v>
      </c>
      <c r="M21" s="37">
        <v>0</v>
      </c>
      <c r="N21" s="37">
        <v>1</v>
      </c>
      <c r="O21" s="37">
        <f>'Parameter Input'!P150</f>
        <v>0.9</v>
      </c>
      <c r="P21" s="55">
        <f>'Parameter Input'!Q150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60">
        <f>'Parameter Input'!$L$144</f>
        <v>25</v>
      </c>
      <c r="C22" s="61">
        <f>'Parameter Input'!$M$144</f>
        <v>25</v>
      </c>
      <c r="D22" s="1" t="s">
        <v>42</v>
      </c>
      <c r="L22" s="54">
        <f>'Parameter Input'!$O$144</f>
        <v>17</v>
      </c>
      <c r="M22" s="37">
        <v>0</v>
      </c>
      <c r="N22" s="37">
        <v>1</v>
      </c>
      <c r="O22" s="37">
        <f>'Parameter Input'!$P$144</f>
        <v>0.9</v>
      </c>
      <c r="P22" s="55">
        <f>'Parameter Input'!$Q$144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3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3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3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3">
      <c r="A26" s="24" t="s">
        <v>73</v>
      </c>
      <c r="B26" s="45">
        <f>'Parameter Input'!$L$148</f>
        <v>0</v>
      </c>
      <c r="C26" s="46">
        <f>'Parameter Input'!$M$148</f>
        <v>0</v>
      </c>
      <c r="D26" s="1" t="s">
        <v>57</v>
      </c>
      <c r="L26" s="54">
        <f>'Parameter Input'!$O$148</f>
        <v>17</v>
      </c>
      <c r="M26" s="37">
        <v>0</v>
      </c>
      <c r="N26" s="37">
        <v>1</v>
      </c>
      <c r="O26" s="37">
        <f>'Parameter Input'!$P$148</f>
        <v>0.9</v>
      </c>
      <c r="P26" s="55">
        <f>'Parameter Input'!$Q$148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" thickBot="1" x14ac:dyDescent="0.35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5" si="4">A11</f>
        <v>Capex vehicle</v>
      </c>
      <c r="B31" s="62">
        <f t="shared" ref="B31:B39" si="5">$B11+($C11-$B11)*(1-Q11)</f>
        <v>15000000</v>
      </c>
      <c r="C31" s="62">
        <f t="shared" ref="C31:C39" si="6">$B11+($C11-$B11)*(1-R11)</f>
        <v>15000000</v>
      </c>
      <c r="D31" s="62">
        <f t="shared" ref="D31:D39" si="7">$B11+($C11-$B11)*(1-S11)</f>
        <v>15000000</v>
      </c>
      <c r="E31" s="62">
        <f t="shared" ref="E31:E39" si="8">$B11+($C11-$B11)*(1-T11)</f>
        <v>15000000</v>
      </c>
      <c r="F31" s="62">
        <f t="shared" ref="F31:F39" si="9">$B11+($C11-$B11)*(1-U11)</f>
        <v>15000000</v>
      </c>
      <c r="G31" s="62">
        <f t="shared" ref="G31:G39" si="10">$B11+($C11-$B11)*(1-V11)</f>
        <v>15000000</v>
      </c>
      <c r="H31" s="62">
        <f t="shared" ref="H31:H39" si="11">$B11+($C11-$B11)*(1-W11)</f>
        <v>15000000</v>
      </c>
      <c r="I31" s="62">
        <f t="shared" ref="I31:I39" si="12">$B11+($C11-$B11)*(1-X11)</f>
        <v>15000000</v>
      </c>
      <c r="J31" s="62">
        <f t="shared" ref="J31:J39" si="13">$B11+($C11-$B11)*(1-Y11)</f>
        <v>15000000</v>
      </c>
      <c r="K31" s="62">
        <f t="shared" ref="K31:K39" si="14">$B11+($C11-$B11)*(1-Z11)</f>
        <v>15000000</v>
      </c>
      <c r="L31" s="62">
        <f t="shared" ref="L31:L39" si="15">$B11+($C11-$B11)*(1-AA11)</f>
        <v>15000000</v>
      </c>
      <c r="M31" s="62">
        <f t="shared" ref="M31:M39" si="16">$B11+($C11-$B11)*(1-AB11)</f>
        <v>15000000</v>
      </c>
      <c r="N31" s="62">
        <f t="shared" ref="N31:N39" si="17">$B11+($C11-$B11)*(1-AC11)</f>
        <v>15000000</v>
      </c>
      <c r="O31" s="62">
        <f t="shared" ref="O31:O39" si="18">$B11+($C11-$B11)*(1-AD11)</f>
        <v>15000000</v>
      </c>
      <c r="P31" s="62">
        <f t="shared" ref="P31:P39" si="19">$B11+($C11-$B11)*(1-AE11)</f>
        <v>15000000</v>
      </c>
      <c r="Q31" s="62">
        <f t="shared" ref="Q31:Q39" si="20">$B11+($C11-$B11)*(1-AF11)</f>
        <v>15000000</v>
      </c>
      <c r="R31" s="62">
        <f t="shared" ref="R31:R39" si="21">$B11+($C11-$B11)*(1-AG11)</f>
        <v>15000000</v>
      </c>
      <c r="S31" s="62">
        <f t="shared" ref="S31:S39" si="22">$B11+($C11-$B11)*(1-AH11)</f>
        <v>15000000</v>
      </c>
      <c r="T31" s="62">
        <f t="shared" ref="T31:T39" si="23">$B11+($C11-$B11)*(1-AI11)</f>
        <v>15000000</v>
      </c>
      <c r="U31" s="62">
        <f t="shared" ref="U31:U39" si="24">$B11+($C11-$B11)*(1-AJ11)</f>
        <v>15000000</v>
      </c>
      <c r="V31" s="62">
        <f t="shared" ref="V31:V39" si="25">$B11+($C11-$B11)*(1-AK11)</f>
        <v>15000000</v>
      </c>
      <c r="W31" s="62">
        <f t="shared" ref="W31:W39" si="26">$B11+($C11-$B11)*(1-AL11)</f>
        <v>15000000</v>
      </c>
      <c r="X31" s="62">
        <f t="shared" ref="X31:X39" si="27">$B11+($C11-$B11)*(1-AM11)</f>
        <v>15000000</v>
      </c>
      <c r="Y31" s="62">
        <f t="shared" ref="Y31:Y39" si="28">$B11+($C11-$B11)*(1-AN11)</f>
        <v>15000000</v>
      </c>
      <c r="Z31" s="62">
        <f t="shared" ref="Z31:Z39" si="29">$B11+($C11-$B11)*(1-AO11)</f>
        <v>15000000</v>
      </c>
      <c r="AA31" s="62">
        <f t="shared" ref="AA31:AA39" si="30">$B11+($C11-$B11)*(1-AP11)</f>
        <v>15000000</v>
      </c>
      <c r="AB31" s="62">
        <f t="shared" ref="AB31:AB39" si="31">$B11+($C11-$B11)*(1-AQ11)</f>
        <v>15000000</v>
      </c>
      <c r="AC31" s="62">
        <f t="shared" ref="AC31:AC39" si="32">$B11+($C11-$B11)*(1-AR11)</f>
        <v>15000000</v>
      </c>
    </row>
    <row r="32" spans="1:44" x14ac:dyDescent="0.3">
      <c r="A32" s="30" t="str">
        <f t="shared" si="4"/>
        <v>Residual value (vehicle)</v>
      </c>
      <c r="B32" s="62">
        <f t="shared" si="5"/>
        <v>-1498352.8090760889</v>
      </c>
      <c r="C32" s="62">
        <f t="shared" si="6"/>
        <v>-1497640.194864423</v>
      </c>
      <c r="D32" s="62">
        <f t="shared" si="7"/>
        <v>-1496620.1034926248</v>
      </c>
      <c r="E32" s="62">
        <f t="shared" si="8"/>
        <v>-1495160.7910492355</v>
      </c>
      <c r="F32" s="62">
        <f t="shared" si="9"/>
        <v>-1493075.111554354</v>
      </c>
      <c r="G32" s="62">
        <f t="shared" si="10"/>
        <v>-1490098.396181128</v>
      </c>
      <c r="H32" s="62">
        <f t="shared" si="11"/>
        <v>-1485858.8232214369</v>
      </c>
      <c r="I32" s="62">
        <f t="shared" si="12"/>
        <v>-1479839.2373690403</v>
      </c>
      <c r="J32" s="62">
        <f t="shared" si="13"/>
        <v>-1471331.1312119458</v>
      </c>
      <c r="K32" s="62">
        <f t="shared" si="14"/>
        <v>-1459385.9036663352</v>
      </c>
      <c r="L32" s="62">
        <f t="shared" si="15"/>
        <v>-1442777.7011260611</v>
      </c>
      <c r="M32" s="62">
        <f t="shared" si="16"/>
        <v>-1420008.4767574384</v>
      </c>
      <c r="N32" s="62">
        <f t="shared" si="17"/>
        <v>-1389409.0790574525</v>
      </c>
      <c r="O32" s="62">
        <f t="shared" si="18"/>
        <v>-1349409.7548946792</v>
      </c>
      <c r="P32" s="62">
        <f t="shared" si="19"/>
        <v>-1299037.3668749502</v>
      </c>
      <c r="Q32" s="62">
        <f t="shared" si="20"/>
        <v>-1238591.9471909001</v>
      </c>
      <c r="R32" s="62">
        <f t="shared" si="21"/>
        <v>-1170241.8591063719</v>
      </c>
      <c r="S32" s="62">
        <f t="shared" si="22"/>
        <v>-1098084.9515488902</v>
      </c>
      <c r="T32" s="62">
        <f t="shared" si="23"/>
        <v>-1027347.9569664295</v>
      </c>
      <c r="U32" s="62">
        <f t="shared" si="24"/>
        <v>-962954.61477923405</v>
      </c>
      <c r="V32" s="62">
        <f t="shared" si="25"/>
        <v>-908229.44370838301</v>
      </c>
      <c r="W32" s="62">
        <f t="shared" si="26"/>
        <v>-864404.38240348652</v>
      </c>
      <c r="X32" s="62">
        <f t="shared" si="27"/>
        <v>-830963.91553282493</v>
      </c>
      <c r="Y32" s="62">
        <f t="shared" si="28"/>
        <v>-806382.49045356887</v>
      </c>
      <c r="Z32" s="62">
        <f t="shared" si="29"/>
        <v>-788807.1271331266</v>
      </c>
      <c r="AA32" s="62">
        <f t="shared" si="30"/>
        <v>-776489.39296900947</v>
      </c>
      <c r="AB32" s="62">
        <f t="shared" si="31"/>
        <v>-767977.08155449363</v>
      </c>
      <c r="AC32" s="62">
        <f t="shared" si="32"/>
        <v>-762151.68266879232</v>
      </c>
    </row>
    <row r="33" spans="1:29" x14ac:dyDescent="0.3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3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3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3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3">
      <c r="A37" s="30" t="str">
        <f t="shared" si="4"/>
        <v>Opex maintenance &amp; repair</v>
      </c>
      <c r="B37" s="62">
        <f t="shared" si="5"/>
        <v>488235.29411764705</v>
      </c>
      <c r="C37" s="62">
        <f t="shared" si="6"/>
        <v>488235.29411764705</v>
      </c>
      <c r="D37" s="62">
        <f t="shared" si="7"/>
        <v>488235.29411764705</v>
      </c>
      <c r="E37" s="62">
        <f t="shared" si="8"/>
        <v>488235.29411764705</v>
      </c>
      <c r="F37" s="62">
        <f t="shared" si="9"/>
        <v>488235.29411764705</v>
      </c>
      <c r="G37" s="62">
        <f t="shared" si="10"/>
        <v>488235.29411764705</v>
      </c>
      <c r="H37" s="62">
        <f t="shared" si="11"/>
        <v>488235.29411764705</v>
      </c>
      <c r="I37" s="62">
        <f t="shared" si="12"/>
        <v>488235.29411764705</v>
      </c>
      <c r="J37" s="62">
        <f t="shared" si="13"/>
        <v>488235.29411764705</v>
      </c>
      <c r="K37" s="62">
        <f t="shared" si="14"/>
        <v>488235.29411764705</v>
      </c>
      <c r="L37" s="62">
        <f t="shared" si="15"/>
        <v>488235.29411764705</v>
      </c>
      <c r="M37" s="62">
        <f t="shared" si="16"/>
        <v>488235.29411764705</v>
      </c>
      <c r="N37" s="62">
        <f t="shared" si="17"/>
        <v>488235.29411764705</v>
      </c>
      <c r="O37" s="62">
        <f t="shared" si="18"/>
        <v>488235.29411764705</v>
      </c>
      <c r="P37" s="62">
        <f t="shared" si="19"/>
        <v>488235.29411764705</v>
      </c>
      <c r="Q37" s="62">
        <f t="shared" si="20"/>
        <v>488235.29411764705</v>
      </c>
      <c r="R37" s="62">
        <f t="shared" si="21"/>
        <v>488235.29411764705</v>
      </c>
      <c r="S37" s="62">
        <f t="shared" si="22"/>
        <v>488235.29411764705</v>
      </c>
      <c r="T37" s="62">
        <f t="shared" si="23"/>
        <v>488235.29411764705</v>
      </c>
      <c r="U37" s="62">
        <f t="shared" si="24"/>
        <v>488235.29411764705</v>
      </c>
      <c r="V37" s="62">
        <f t="shared" si="25"/>
        <v>488235.29411764705</v>
      </c>
      <c r="W37" s="62">
        <f t="shared" si="26"/>
        <v>488235.29411764705</v>
      </c>
      <c r="X37" s="62">
        <f t="shared" si="27"/>
        <v>488235.29411764705</v>
      </c>
      <c r="Y37" s="62">
        <f t="shared" si="28"/>
        <v>488235.29411764705</v>
      </c>
      <c r="Z37" s="62">
        <f t="shared" si="29"/>
        <v>488235.29411764705</v>
      </c>
      <c r="AA37" s="62">
        <f t="shared" si="30"/>
        <v>488235.29411764705</v>
      </c>
      <c r="AB37" s="62">
        <f t="shared" si="31"/>
        <v>488235.29411764705</v>
      </c>
      <c r="AC37" s="62">
        <f t="shared" si="32"/>
        <v>488235.29411764705</v>
      </c>
    </row>
    <row r="38" spans="1:29" x14ac:dyDescent="0.3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3">
      <c r="A39" s="30" t="str">
        <f t="shared" si="4"/>
        <v>Fuel Economy</v>
      </c>
      <c r="B39" s="62">
        <f t="shared" si="5"/>
        <v>646.89677603543487</v>
      </c>
      <c r="C39" s="62">
        <f t="shared" si="6"/>
        <v>646.85211887817047</v>
      </c>
      <c r="D39" s="62">
        <f t="shared" si="7"/>
        <v>646.78819315220449</v>
      </c>
      <c r="E39" s="62">
        <f t="shared" si="8"/>
        <v>646.6967429057521</v>
      </c>
      <c r="F39" s="62">
        <f t="shared" si="9"/>
        <v>646.5660403240729</v>
      </c>
      <c r="G39" s="62">
        <f t="shared" si="10"/>
        <v>646.37949949401741</v>
      </c>
      <c r="H39" s="62">
        <f t="shared" si="11"/>
        <v>646.11381958854338</v>
      </c>
      <c r="I39" s="62">
        <f t="shared" si="12"/>
        <v>645.73659220845991</v>
      </c>
      <c r="J39" s="62">
        <f t="shared" si="13"/>
        <v>645.20341755594859</v>
      </c>
      <c r="K39" s="62">
        <f t="shared" si="14"/>
        <v>644.4548499630904</v>
      </c>
      <c r="L39" s="62">
        <f t="shared" si="15"/>
        <v>643.41406927056653</v>
      </c>
      <c r="M39" s="62">
        <f t="shared" si="16"/>
        <v>641.98719787679943</v>
      </c>
      <c r="N39" s="62">
        <f t="shared" si="17"/>
        <v>640.0696356209337</v>
      </c>
      <c r="O39" s="62">
        <f t="shared" si="18"/>
        <v>637.56301130673319</v>
      </c>
      <c r="P39" s="62">
        <f t="shared" si="19"/>
        <v>634.40634165749691</v>
      </c>
      <c r="Q39" s="62">
        <f t="shared" si="20"/>
        <v>630.6184286906298</v>
      </c>
      <c r="R39" s="62">
        <f t="shared" si="21"/>
        <v>626.33515650399931</v>
      </c>
      <c r="S39" s="62">
        <f t="shared" si="22"/>
        <v>621.81332363039712</v>
      </c>
      <c r="T39" s="62">
        <f t="shared" si="23"/>
        <v>617.38047196989623</v>
      </c>
      <c r="U39" s="62">
        <f t="shared" si="24"/>
        <v>613.34515585949862</v>
      </c>
      <c r="V39" s="62">
        <f t="shared" si="25"/>
        <v>609.91571180572532</v>
      </c>
      <c r="W39" s="62">
        <f t="shared" si="26"/>
        <v>607.1693412972852</v>
      </c>
      <c r="X39" s="62">
        <f t="shared" si="27"/>
        <v>605.0737387067237</v>
      </c>
      <c r="Y39" s="62">
        <f t="shared" si="28"/>
        <v>603.53330273509027</v>
      </c>
      <c r="Z39" s="62">
        <f t="shared" si="29"/>
        <v>602.43191330034256</v>
      </c>
      <c r="AA39" s="62">
        <f t="shared" si="30"/>
        <v>601.66000195939125</v>
      </c>
      <c r="AB39" s="62">
        <f t="shared" si="31"/>
        <v>601.12656377741496</v>
      </c>
      <c r="AC39" s="62">
        <f t="shared" si="32"/>
        <v>600.7615054472443</v>
      </c>
    </row>
    <row r="40" spans="1:29" x14ac:dyDescent="0.3">
      <c r="A40" s="30" t="str">
        <f t="shared" si="4"/>
        <v>Fuel Cost</v>
      </c>
      <c r="B40" s="62">
        <f>$B20+($C20-$B20)*(1-Q20)</f>
        <v>0.06</v>
      </c>
      <c r="C40" s="62">
        <f>$B20+($C20-$B20)*(1-R20)</f>
        <v>0.06</v>
      </c>
      <c r="D40" s="62">
        <f>$B20+($C20-$B20)*(1-S20)</f>
        <v>0.06</v>
      </c>
      <c r="E40" s="62">
        <f t="shared" ref="E40:AC40" si="33">$B20+($C20-$B20)*(1-T20)</f>
        <v>0.06</v>
      </c>
      <c r="F40" s="62">
        <f t="shared" si="33"/>
        <v>0.06</v>
      </c>
      <c r="G40" s="62">
        <f t="shared" si="33"/>
        <v>0.06</v>
      </c>
      <c r="H40" s="62">
        <f t="shared" si="33"/>
        <v>0.06</v>
      </c>
      <c r="I40" s="62">
        <f t="shared" si="33"/>
        <v>0.06</v>
      </c>
      <c r="J40" s="62">
        <f t="shared" si="33"/>
        <v>0.06</v>
      </c>
      <c r="K40" s="62">
        <f t="shared" si="33"/>
        <v>0.06</v>
      </c>
      <c r="L40" s="62">
        <f t="shared" si="33"/>
        <v>0.06</v>
      </c>
      <c r="M40" s="62">
        <f t="shared" si="33"/>
        <v>0.06</v>
      </c>
      <c r="N40" s="62">
        <f t="shared" si="33"/>
        <v>0.06</v>
      </c>
      <c r="O40" s="62">
        <f t="shared" si="33"/>
        <v>0.06</v>
      </c>
      <c r="P40" s="62">
        <f t="shared" si="33"/>
        <v>0.06</v>
      </c>
      <c r="Q40" s="62">
        <f t="shared" si="33"/>
        <v>0.06</v>
      </c>
      <c r="R40" s="62">
        <f t="shared" si="33"/>
        <v>0.06</v>
      </c>
      <c r="S40" s="62">
        <f t="shared" si="33"/>
        <v>0.06</v>
      </c>
      <c r="T40" s="62">
        <f t="shared" si="33"/>
        <v>0.06</v>
      </c>
      <c r="U40" s="62">
        <f t="shared" si="33"/>
        <v>0.06</v>
      </c>
      <c r="V40" s="62">
        <f t="shared" si="33"/>
        <v>0.06</v>
      </c>
      <c r="W40" s="62">
        <f t="shared" si="33"/>
        <v>0.06</v>
      </c>
      <c r="X40" s="62">
        <f t="shared" si="33"/>
        <v>0.06</v>
      </c>
      <c r="Y40" s="62">
        <f t="shared" si="33"/>
        <v>0.06</v>
      </c>
      <c r="Z40" s="62">
        <f t="shared" si="33"/>
        <v>0.06</v>
      </c>
      <c r="AA40" s="62">
        <f t="shared" si="33"/>
        <v>0.06</v>
      </c>
      <c r="AB40" s="62">
        <f t="shared" si="33"/>
        <v>0.06</v>
      </c>
      <c r="AC40" s="62">
        <f t="shared" si="33"/>
        <v>0.06</v>
      </c>
    </row>
    <row r="41" spans="1:29" x14ac:dyDescent="0.3">
      <c r="A41" s="30" t="str">
        <f t="shared" si="4"/>
        <v>Emission Cost</v>
      </c>
      <c r="B41" s="62">
        <f>$B21+($C21-$B21)*(1-Q21)</f>
        <v>17.334785285869845</v>
      </c>
      <c r="C41" s="62">
        <f t="shared" ref="C41:AC41" si="34">$B21+($C21-$B21)*(1-R21)</f>
        <v>17.371592778833971</v>
      </c>
      <c r="D41" s="62">
        <f t="shared" si="34"/>
        <v>17.424281885191313</v>
      </c>
      <c r="E41" s="62">
        <f t="shared" si="34"/>
        <v>17.499657357099085</v>
      </c>
      <c r="F41" s="62">
        <f t="shared" si="34"/>
        <v>17.607385538878944</v>
      </c>
      <c r="G41" s="62">
        <f t="shared" si="34"/>
        <v>17.761136935304318</v>
      </c>
      <c r="H41" s="62">
        <f t="shared" si="34"/>
        <v>17.980116643160411</v>
      </c>
      <c r="I41" s="62">
        <f t="shared" si="34"/>
        <v>18.291036437183369</v>
      </c>
      <c r="J41" s="62">
        <f t="shared" si="34"/>
        <v>18.730491688550217</v>
      </c>
      <c r="K41" s="62">
        <f t="shared" si="34"/>
        <v>19.347478933039792</v>
      </c>
      <c r="L41" s="62">
        <f t="shared" si="34"/>
        <v>20.2053151761856</v>
      </c>
      <c r="M41" s="62">
        <f t="shared" si="34"/>
        <v>21.381376573820816</v>
      </c>
      <c r="N41" s="62">
        <f t="shared" si="34"/>
        <v>22.961877070598074</v>
      </c>
      <c r="O41" s="62">
        <f t="shared" si="34"/>
        <v>25.027896550126819</v>
      </c>
      <c r="P41" s="62">
        <f t="shared" si="34"/>
        <v>27.629698881977127</v>
      </c>
      <c r="Q41" s="62">
        <f t="shared" si="34"/>
        <v>30.751786995449869</v>
      </c>
      <c r="R41" s="62">
        <f t="shared" si="34"/>
        <v>34.282161979674356</v>
      </c>
      <c r="S41" s="62">
        <f t="shared" si="34"/>
        <v>38.009164365756064</v>
      </c>
      <c r="T41" s="62">
        <f t="shared" si="34"/>
        <v>41.662826316042121</v>
      </c>
      <c r="U41" s="62">
        <f t="shared" si="34"/>
        <v>44.988829994737316</v>
      </c>
      <c r="V41" s="62">
        <f t="shared" si="34"/>
        <v>47.815459489596307</v>
      </c>
      <c r="W41" s="62">
        <f t="shared" si="34"/>
        <v>50.07908349431699</v>
      </c>
      <c r="X41" s="62">
        <f t="shared" si="34"/>
        <v>51.806329076721653</v>
      </c>
      <c r="Y41" s="62">
        <f t="shared" si="34"/>
        <v>53.075993105085033</v>
      </c>
      <c r="Z41" s="62">
        <f t="shared" si="34"/>
        <v>53.98378451756151</v>
      </c>
      <c r="AA41" s="62">
        <f t="shared" si="34"/>
        <v>54.620012235388991</v>
      </c>
      <c r="AB41" s="62">
        <f t="shared" si="34"/>
        <v>55.059684694019481</v>
      </c>
      <c r="AC41" s="62">
        <f t="shared" si="34"/>
        <v>55.360574467179326</v>
      </c>
    </row>
    <row r="42" spans="1:29" x14ac:dyDescent="0.3">
      <c r="A42" s="30" t="str">
        <f t="shared" si="4"/>
        <v>Lifetime vehicle</v>
      </c>
      <c r="B42" s="62">
        <f>$B22+($C22-$B22)*(1-Q22)</f>
        <v>25</v>
      </c>
      <c r="C42" s="62">
        <f t="shared" ref="C42:L44" si="35">$B22+($C22-$B22)*(1-R22)</f>
        <v>25</v>
      </c>
      <c r="D42" s="62">
        <f t="shared" si="35"/>
        <v>25</v>
      </c>
      <c r="E42" s="62">
        <f t="shared" si="35"/>
        <v>25</v>
      </c>
      <c r="F42" s="62">
        <f t="shared" si="35"/>
        <v>25</v>
      </c>
      <c r="G42" s="62">
        <f t="shared" si="35"/>
        <v>25</v>
      </c>
      <c r="H42" s="62">
        <f t="shared" si="35"/>
        <v>25</v>
      </c>
      <c r="I42" s="62">
        <f t="shared" si="35"/>
        <v>25</v>
      </c>
      <c r="J42" s="62">
        <f t="shared" si="35"/>
        <v>25</v>
      </c>
      <c r="K42" s="62">
        <f t="shared" si="35"/>
        <v>25</v>
      </c>
      <c r="L42" s="62">
        <f t="shared" si="35"/>
        <v>25</v>
      </c>
      <c r="M42" s="62">
        <f t="shared" ref="M42:V44" si="36">$B22+($C22-$B22)*(1-AB22)</f>
        <v>25</v>
      </c>
      <c r="N42" s="62">
        <f t="shared" si="36"/>
        <v>25</v>
      </c>
      <c r="O42" s="62">
        <f t="shared" si="36"/>
        <v>25</v>
      </c>
      <c r="P42" s="62">
        <f t="shared" si="36"/>
        <v>25</v>
      </c>
      <c r="Q42" s="62">
        <f t="shared" si="36"/>
        <v>25</v>
      </c>
      <c r="R42" s="62">
        <f t="shared" si="36"/>
        <v>25</v>
      </c>
      <c r="S42" s="62">
        <f t="shared" si="36"/>
        <v>25</v>
      </c>
      <c r="T42" s="62">
        <f t="shared" si="36"/>
        <v>25</v>
      </c>
      <c r="U42" s="62">
        <f t="shared" si="36"/>
        <v>25</v>
      </c>
      <c r="V42" s="62">
        <f t="shared" si="36"/>
        <v>25</v>
      </c>
      <c r="W42" s="62">
        <f t="shared" ref="W42:AC44" si="37">$B22+($C22-$B22)*(1-AL22)</f>
        <v>25</v>
      </c>
      <c r="X42" s="62">
        <f t="shared" si="37"/>
        <v>25</v>
      </c>
      <c r="Y42" s="62">
        <f t="shared" si="37"/>
        <v>25</v>
      </c>
      <c r="Z42" s="62">
        <f t="shared" si="37"/>
        <v>25</v>
      </c>
      <c r="AA42" s="62">
        <f t="shared" si="37"/>
        <v>25</v>
      </c>
      <c r="AB42" s="62">
        <f t="shared" si="37"/>
        <v>25</v>
      </c>
      <c r="AC42" s="62">
        <f t="shared" si="37"/>
        <v>25</v>
      </c>
    </row>
    <row r="43" spans="1:29" x14ac:dyDescent="0.3">
      <c r="A43" s="30" t="str">
        <f t="shared" si="4"/>
        <v>Lifetime costumization</v>
      </c>
      <c r="B43" s="62">
        <f>$B23+($C23-$B23)*(1-Q23)</f>
        <v>25</v>
      </c>
      <c r="C43" s="62">
        <f t="shared" si="35"/>
        <v>25</v>
      </c>
      <c r="D43" s="62">
        <f t="shared" si="35"/>
        <v>25</v>
      </c>
      <c r="E43" s="62">
        <f t="shared" si="35"/>
        <v>25</v>
      </c>
      <c r="F43" s="62">
        <f t="shared" si="35"/>
        <v>25</v>
      </c>
      <c r="G43" s="62">
        <f t="shared" si="35"/>
        <v>25</v>
      </c>
      <c r="H43" s="62">
        <f t="shared" si="35"/>
        <v>25</v>
      </c>
      <c r="I43" s="62">
        <f t="shared" si="35"/>
        <v>25</v>
      </c>
      <c r="J43" s="62">
        <f t="shared" si="35"/>
        <v>25</v>
      </c>
      <c r="K43" s="62">
        <f t="shared" si="35"/>
        <v>25</v>
      </c>
      <c r="L43" s="62">
        <f t="shared" si="35"/>
        <v>25</v>
      </c>
      <c r="M43" s="62">
        <f t="shared" si="36"/>
        <v>25</v>
      </c>
      <c r="N43" s="62">
        <f t="shared" si="36"/>
        <v>25</v>
      </c>
      <c r="O43" s="62">
        <f t="shared" si="36"/>
        <v>25</v>
      </c>
      <c r="P43" s="62">
        <f t="shared" si="36"/>
        <v>25</v>
      </c>
      <c r="Q43" s="62">
        <f t="shared" si="36"/>
        <v>25</v>
      </c>
      <c r="R43" s="62">
        <f t="shared" si="36"/>
        <v>25</v>
      </c>
      <c r="S43" s="62">
        <f t="shared" si="36"/>
        <v>25</v>
      </c>
      <c r="T43" s="62">
        <f t="shared" si="36"/>
        <v>25</v>
      </c>
      <c r="U43" s="62">
        <f t="shared" si="36"/>
        <v>25</v>
      </c>
      <c r="V43" s="62">
        <f t="shared" si="36"/>
        <v>25</v>
      </c>
      <c r="W43" s="62">
        <f t="shared" si="37"/>
        <v>25</v>
      </c>
      <c r="X43" s="62">
        <f t="shared" si="37"/>
        <v>25</v>
      </c>
      <c r="Y43" s="62">
        <f t="shared" si="37"/>
        <v>25</v>
      </c>
      <c r="Z43" s="62">
        <f t="shared" si="37"/>
        <v>25</v>
      </c>
      <c r="AA43" s="62">
        <f t="shared" si="37"/>
        <v>25</v>
      </c>
      <c r="AB43" s="62">
        <f t="shared" si="37"/>
        <v>25</v>
      </c>
      <c r="AC43" s="62">
        <f t="shared" si="37"/>
        <v>25</v>
      </c>
    </row>
    <row r="44" spans="1:29" x14ac:dyDescent="0.3">
      <c r="A44" s="30" t="str">
        <f t="shared" si="4"/>
        <v>Tonnage .</v>
      </c>
      <c r="B44" s="62">
        <f>$B24+($C24-$B24)*(1-Q24)</f>
        <v>9450</v>
      </c>
      <c r="C44" s="62">
        <f t="shared" si="35"/>
        <v>9450</v>
      </c>
      <c r="D44" s="62">
        <f t="shared" si="35"/>
        <v>9450</v>
      </c>
      <c r="E44" s="62">
        <f t="shared" si="35"/>
        <v>9450</v>
      </c>
      <c r="F44" s="62">
        <f t="shared" si="35"/>
        <v>9450</v>
      </c>
      <c r="G44" s="62">
        <f t="shared" si="35"/>
        <v>9450</v>
      </c>
      <c r="H44" s="62">
        <f t="shared" si="35"/>
        <v>9450</v>
      </c>
      <c r="I44" s="62">
        <f t="shared" si="35"/>
        <v>9450</v>
      </c>
      <c r="J44" s="62">
        <f t="shared" si="35"/>
        <v>9450</v>
      </c>
      <c r="K44" s="62">
        <f t="shared" si="35"/>
        <v>9450</v>
      </c>
      <c r="L44" s="62">
        <f t="shared" si="35"/>
        <v>9450</v>
      </c>
      <c r="M44" s="62">
        <f t="shared" si="36"/>
        <v>9450</v>
      </c>
      <c r="N44" s="62">
        <f t="shared" si="36"/>
        <v>9450</v>
      </c>
      <c r="O44" s="62">
        <f t="shared" si="36"/>
        <v>9450</v>
      </c>
      <c r="P44" s="62">
        <f t="shared" si="36"/>
        <v>9450</v>
      </c>
      <c r="Q44" s="62">
        <f t="shared" si="36"/>
        <v>9450</v>
      </c>
      <c r="R44" s="62">
        <f t="shared" si="36"/>
        <v>9450</v>
      </c>
      <c r="S44" s="62">
        <f t="shared" si="36"/>
        <v>9450</v>
      </c>
      <c r="T44" s="62">
        <f t="shared" si="36"/>
        <v>9450</v>
      </c>
      <c r="U44" s="62">
        <f t="shared" si="36"/>
        <v>9450</v>
      </c>
      <c r="V44" s="62">
        <f t="shared" si="36"/>
        <v>9450</v>
      </c>
      <c r="W44" s="62">
        <f t="shared" si="37"/>
        <v>9450</v>
      </c>
      <c r="X44" s="62">
        <f t="shared" si="37"/>
        <v>9450</v>
      </c>
      <c r="Y44" s="62">
        <f t="shared" si="37"/>
        <v>9450</v>
      </c>
      <c r="Z44" s="62">
        <f t="shared" si="37"/>
        <v>9450</v>
      </c>
      <c r="AA44" s="62">
        <f t="shared" si="37"/>
        <v>9450</v>
      </c>
      <c r="AB44" s="62">
        <f t="shared" si="37"/>
        <v>9450</v>
      </c>
      <c r="AC44" s="62">
        <f t="shared" si="37"/>
        <v>9450</v>
      </c>
    </row>
    <row r="45" spans="1:29" x14ac:dyDescent="0.3">
      <c r="A45" s="30" t="str">
        <f t="shared" si="4"/>
        <v>Market failure (av. utilization)</v>
      </c>
      <c r="B45" s="62">
        <f t="shared" ref="B45:K46" si="38">($B25+($C25-$B25)*(1-Q25))*B$44</f>
        <v>4819.5</v>
      </c>
      <c r="C45" s="62">
        <f t="shared" si="38"/>
        <v>4819.5</v>
      </c>
      <c r="D45" s="62">
        <f t="shared" si="38"/>
        <v>4819.5</v>
      </c>
      <c r="E45" s="62">
        <f t="shared" si="38"/>
        <v>4819.5</v>
      </c>
      <c r="F45" s="62">
        <f t="shared" si="38"/>
        <v>4819.5</v>
      </c>
      <c r="G45" s="62">
        <f t="shared" si="38"/>
        <v>4819.5</v>
      </c>
      <c r="H45" s="62">
        <f t="shared" si="38"/>
        <v>4819.5</v>
      </c>
      <c r="I45" s="62">
        <f t="shared" si="38"/>
        <v>4819.5</v>
      </c>
      <c r="J45" s="62">
        <f t="shared" si="38"/>
        <v>4819.5</v>
      </c>
      <c r="K45" s="62">
        <f t="shared" si="38"/>
        <v>4819.5</v>
      </c>
      <c r="L45" s="62">
        <f t="shared" ref="L45:U46" si="39">($B25+($C25-$B25)*(1-AA25))*L$44</f>
        <v>4819.5</v>
      </c>
      <c r="M45" s="62">
        <f t="shared" si="39"/>
        <v>4819.5</v>
      </c>
      <c r="N45" s="62">
        <f t="shared" si="39"/>
        <v>4819.5</v>
      </c>
      <c r="O45" s="62">
        <f t="shared" si="39"/>
        <v>4819.5</v>
      </c>
      <c r="P45" s="62">
        <f t="shared" si="39"/>
        <v>4819.5</v>
      </c>
      <c r="Q45" s="62">
        <f t="shared" si="39"/>
        <v>4819.5</v>
      </c>
      <c r="R45" s="62">
        <f t="shared" si="39"/>
        <v>4819.5</v>
      </c>
      <c r="S45" s="62">
        <f t="shared" si="39"/>
        <v>4819.5</v>
      </c>
      <c r="T45" s="62">
        <f t="shared" si="39"/>
        <v>4819.5</v>
      </c>
      <c r="U45" s="62">
        <f t="shared" si="39"/>
        <v>4819.5</v>
      </c>
      <c r="V45" s="62">
        <f t="shared" ref="V45:AC46" si="40">($B25+($C25-$B25)*(1-AK25))*V$44</f>
        <v>4819.5</v>
      </c>
      <c r="W45" s="62">
        <f t="shared" si="40"/>
        <v>4819.5</v>
      </c>
      <c r="X45" s="62">
        <f t="shared" si="40"/>
        <v>4819.5</v>
      </c>
      <c r="Y45" s="62">
        <f t="shared" si="40"/>
        <v>4819.5</v>
      </c>
      <c r="Z45" s="62">
        <f t="shared" si="40"/>
        <v>4819.5</v>
      </c>
      <c r="AA45" s="62">
        <f t="shared" si="40"/>
        <v>4819.5</v>
      </c>
      <c r="AB45" s="62">
        <f t="shared" si="40"/>
        <v>4819.5</v>
      </c>
      <c r="AC45" s="62">
        <f t="shared" si="40"/>
        <v>4819.5</v>
      </c>
    </row>
    <row r="46" spans="1:29" x14ac:dyDescent="0.3">
      <c r="A46" s="30" t="s">
        <v>73</v>
      </c>
      <c r="B46" s="62">
        <f t="shared" si="38"/>
        <v>0</v>
      </c>
      <c r="C46" s="62">
        <f t="shared" si="38"/>
        <v>0</v>
      </c>
      <c r="D46" s="62">
        <f t="shared" si="38"/>
        <v>0</v>
      </c>
      <c r="E46" s="62">
        <f t="shared" si="38"/>
        <v>0</v>
      </c>
      <c r="F46" s="62">
        <f t="shared" si="38"/>
        <v>0</v>
      </c>
      <c r="G46" s="62">
        <f t="shared" si="38"/>
        <v>0</v>
      </c>
      <c r="H46" s="62">
        <f t="shared" si="38"/>
        <v>0</v>
      </c>
      <c r="I46" s="62">
        <f t="shared" si="38"/>
        <v>0</v>
      </c>
      <c r="J46" s="62">
        <f t="shared" si="38"/>
        <v>0</v>
      </c>
      <c r="K46" s="62">
        <f t="shared" si="38"/>
        <v>0</v>
      </c>
      <c r="L46" s="62">
        <f t="shared" si="39"/>
        <v>0</v>
      </c>
      <c r="M46" s="62">
        <f t="shared" si="39"/>
        <v>0</v>
      </c>
      <c r="N46" s="62">
        <f t="shared" si="39"/>
        <v>0</v>
      </c>
      <c r="O46" s="62">
        <f t="shared" si="39"/>
        <v>0</v>
      </c>
      <c r="P46" s="62">
        <f t="shared" si="39"/>
        <v>0</v>
      </c>
      <c r="Q46" s="62">
        <f t="shared" si="39"/>
        <v>0</v>
      </c>
      <c r="R46" s="62">
        <f t="shared" si="39"/>
        <v>0</v>
      </c>
      <c r="S46" s="62">
        <f t="shared" si="39"/>
        <v>0</v>
      </c>
      <c r="T46" s="62">
        <f t="shared" si="39"/>
        <v>0</v>
      </c>
      <c r="U46" s="62">
        <f t="shared" si="39"/>
        <v>0</v>
      </c>
      <c r="V46" s="62">
        <f t="shared" si="40"/>
        <v>0</v>
      </c>
      <c r="W46" s="62">
        <f t="shared" si="40"/>
        <v>0</v>
      </c>
      <c r="X46" s="62">
        <f t="shared" si="40"/>
        <v>0</v>
      </c>
      <c r="Y46" s="62">
        <f t="shared" si="40"/>
        <v>0</v>
      </c>
      <c r="Z46" s="62">
        <f t="shared" si="40"/>
        <v>0</v>
      </c>
      <c r="AA46" s="62">
        <f t="shared" si="40"/>
        <v>0</v>
      </c>
      <c r="AB46" s="62">
        <f t="shared" si="40"/>
        <v>0</v>
      </c>
      <c r="AC46" s="62">
        <f t="shared" si="40"/>
        <v>0</v>
      </c>
    </row>
    <row r="47" spans="1:29" x14ac:dyDescent="0.3">
      <c r="A47" s="30" t="str">
        <f>A27</f>
        <v>Annual Mileage</v>
      </c>
      <c r="B47" s="62">
        <f t="shared" ref="B47:AC47" si="41">$B27+($C27-$B27)*(1-Q27)</f>
        <v>120000</v>
      </c>
      <c r="C47" s="62">
        <f t="shared" si="41"/>
        <v>120000</v>
      </c>
      <c r="D47" s="62">
        <f t="shared" si="41"/>
        <v>120000</v>
      </c>
      <c r="E47" s="62">
        <f t="shared" si="41"/>
        <v>120000</v>
      </c>
      <c r="F47" s="62">
        <f t="shared" si="41"/>
        <v>120000</v>
      </c>
      <c r="G47" s="62">
        <f t="shared" si="41"/>
        <v>120000</v>
      </c>
      <c r="H47" s="62">
        <f t="shared" si="41"/>
        <v>120000</v>
      </c>
      <c r="I47" s="62">
        <f t="shared" si="41"/>
        <v>120000</v>
      </c>
      <c r="J47" s="62">
        <f t="shared" si="41"/>
        <v>120000</v>
      </c>
      <c r="K47" s="62">
        <f t="shared" si="41"/>
        <v>120000</v>
      </c>
      <c r="L47" s="62">
        <f t="shared" si="41"/>
        <v>120000</v>
      </c>
      <c r="M47" s="62">
        <f t="shared" si="41"/>
        <v>120000</v>
      </c>
      <c r="N47" s="62">
        <f t="shared" si="41"/>
        <v>120000</v>
      </c>
      <c r="O47" s="62">
        <f t="shared" si="41"/>
        <v>120000</v>
      </c>
      <c r="P47" s="62">
        <f t="shared" si="41"/>
        <v>120000</v>
      </c>
      <c r="Q47" s="62">
        <f t="shared" si="41"/>
        <v>120000</v>
      </c>
      <c r="R47" s="62">
        <f t="shared" si="41"/>
        <v>120000</v>
      </c>
      <c r="S47" s="62">
        <f t="shared" si="41"/>
        <v>120000</v>
      </c>
      <c r="T47" s="62">
        <f t="shared" si="41"/>
        <v>120000</v>
      </c>
      <c r="U47" s="62">
        <f t="shared" si="41"/>
        <v>120000</v>
      </c>
      <c r="V47" s="62">
        <f t="shared" si="41"/>
        <v>120000</v>
      </c>
      <c r="W47" s="62">
        <f t="shared" si="41"/>
        <v>120000</v>
      </c>
      <c r="X47" s="62">
        <f t="shared" si="41"/>
        <v>120000</v>
      </c>
      <c r="Y47" s="62">
        <f t="shared" si="41"/>
        <v>120000</v>
      </c>
      <c r="Z47" s="62">
        <f t="shared" si="41"/>
        <v>120000</v>
      </c>
      <c r="AA47" s="62">
        <f t="shared" si="41"/>
        <v>120000</v>
      </c>
      <c r="AB47" s="62">
        <f t="shared" si="41"/>
        <v>120000</v>
      </c>
      <c r="AC47" s="62">
        <f t="shared" si="41"/>
        <v>120000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1173400.7731841092</v>
      </c>
      <c r="C50" s="63">
        <f t="shared" ref="C50:AC50" si="42">((1+C35)^C42)*C35/(((1+C35)^C42)-1)*(C31)</f>
        <v>1173400.7731841092</v>
      </c>
      <c r="D50" s="63">
        <f t="shared" si="42"/>
        <v>1173400.7731841092</v>
      </c>
      <c r="E50" s="63">
        <f t="shared" si="42"/>
        <v>1173400.7731841092</v>
      </c>
      <c r="F50" s="63">
        <f t="shared" si="42"/>
        <v>1173400.7731841092</v>
      </c>
      <c r="G50" s="63">
        <f t="shared" si="42"/>
        <v>1173400.7731841092</v>
      </c>
      <c r="H50" s="63">
        <f t="shared" si="42"/>
        <v>1173400.7731841092</v>
      </c>
      <c r="I50" s="63">
        <f t="shared" si="42"/>
        <v>1173400.7731841092</v>
      </c>
      <c r="J50" s="63">
        <f t="shared" si="42"/>
        <v>1173400.7731841092</v>
      </c>
      <c r="K50" s="63">
        <f t="shared" si="42"/>
        <v>1173400.7731841092</v>
      </c>
      <c r="L50" s="63">
        <f t="shared" si="42"/>
        <v>1173400.7731841092</v>
      </c>
      <c r="M50" s="63">
        <f t="shared" si="42"/>
        <v>1173400.7731841092</v>
      </c>
      <c r="N50" s="63">
        <f t="shared" si="42"/>
        <v>1173400.7731841092</v>
      </c>
      <c r="O50" s="63">
        <f t="shared" si="42"/>
        <v>1173400.7731841092</v>
      </c>
      <c r="P50" s="63">
        <f t="shared" si="42"/>
        <v>1173400.7731841092</v>
      </c>
      <c r="Q50" s="63">
        <f t="shared" si="42"/>
        <v>1173400.7731841092</v>
      </c>
      <c r="R50" s="63">
        <f t="shared" si="42"/>
        <v>1173400.7731841092</v>
      </c>
      <c r="S50" s="63">
        <f t="shared" si="42"/>
        <v>1173400.7731841092</v>
      </c>
      <c r="T50" s="63">
        <f t="shared" si="42"/>
        <v>1173400.7731841092</v>
      </c>
      <c r="U50" s="63">
        <f t="shared" si="42"/>
        <v>1173400.7731841092</v>
      </c>
      <c r="V50" s="63">
        <f t="shared" si="42"/>
        <v>1173400.7731841092</v>
      </c>
      <c r="W50" s="63">
        <f t="shared" si="42"/>
        <v>1173400.7731841092</v>
      </c>
      <c r="X50" s="63">
        <f t="shared" si="42"/>
        <v>1173400.7731841092</v>
      </c>
      <c r="Y50" s="63">
        <f t="shared" si="42"/>
        <v>1173400.7731841092</v>
      </c>
      <c r="Z50" s="63">
        <f t="shared" si="42"/>
        <v>1173400.7731841092</v>
      </c>
      <c r="AA50" s="63">
        <f t="shared" si="42"/>
        <v>1173400.7731841092</v>
      </c>
      <c r="AB50" s="63">
        <f t="shared" si="42"/>
        <v>1173400.7731841092</v>
      </c>
      <c r="AC50" s="63">
        <f t="shared" si="42"/>
        <v>1173400.7731841092</v>
      </c>
    </row>
    <row r="51" spans="1:29" x14ac:dyDescent="0.3">
      <c r="A51" s="30" t="str">
        <f>A32</f>
        <v>Residual value (vehicle)</v>
      </c>
      <c r="B51" s="62">
        <f>((1+B35)^B42)*B35/(((1+B35)^B42)-1)*(B32)</f>
        <v>-117211.22297816433</v>
      </c>
      <c r="C51" s="62">
        <f t="shared" ref="C51:AC51" si="43">((1+C35)^C42)*C35/(((1+C35)^C42)-1)*(C32)</f>
        <v>-117155.47750703427</v>
      </c>
      <c r="D51" s="62">
        <f t="shared" si="43"/>
        <v>-117075.67910674184</v>
      </c>
      <c r="E51" s="62">
        <f t="shared" si="43"/>
        <v>-116961.52188344915</v>
      </c>
      <c r="F51" s="62">
        <f t="shared" si="43"/>
        <v>-116798.36602132194</v>
      </c>
      <c r="G51" s="62">
        <f t="shared" si="43"/>
        <v>-116565.50734662244</v>
      </c>
      <c r="H51" s="62">
        <f t="shared" si="43"/>
        <v>-116233.85946736432</v>
      </c>
      <c r="I51" s="62">
        <f t="shared" si="43"/>
        <v>-115762.96702113429</v>
      </c>
      <c r="J51" s="62">
        <f t="shared" si="43"/>
        <v>-115097.40579826315</v>
      </c>
      <c r="K51" s="62">
        <f t="shared" si="43"/>
        <v>-114162.96984907117</v>
      </c>
      <c r="L51" s="62">
        <f t="shared" si="43"/>
        <v>-112863.76466894078</v>
      </c>
      <c r="M51" s="62">
        <f t="shared" si="43"/>
        <v>-111082.60297034449</v>
      </c>
      <c r="N51" s="62">
        <f t="shared" si="43"/>
        <v>-108688.91250900239</v>
      </c>
      <c r="O51" s="62">
        <f t="shared" si="43"/>
        <v>-105559.89664903973</v>
      </c>
      <c r="P51" s="62">
        <f t="shared" si="43"/>
        <v>-101619.43004574107</v>
      </c>
      <c r="Q51" s="62">
        <f t="shared" si="43"/>
        <v>-96890.983232894243</v>
      </c>
      <c r="R51" s="62">
        <f t="shared" si="43"/>
        <v>-91544.180152521745</v>
      </c>
      <c r="S51" s="62">
        <f t="shared" si="43"/>
        <v>-85899.582077953528</v>
      </c>
      <c r="T51" s="62">
        <f t="shared" si="43"/>
        <v>-80366.059135568226</v>
      </c>
      <c r="U51" s="62">
        <f t="shared" si="43"/>
        <v>-75328.779301543953</v>
      </c>
      <c r="V51" s="62">
        <f t="shared" si="43"/>
        <v>-71047.808765066002</v>
      </c>
      <c r="W51" s="62">
        <f t="shared" si="43"/>
        <v>-67619.518043732241</v>
      </c>
      <c r="X51" s="62">
        <f t="shared" si="43"/>
        <v>-65003.580064954105</v>
      </c>
      <c r="Y51" s="62">
        <f t="shared" si="43"/>
        <v>-63080.655852023017</v>
      </c>
      <c r="Z51" s="62">
        <f t="shared" si="43"/>
        <v>-61705.792858076449</v>
      </c>
      <c r="AA51" s="62">
        <f t="shared" si="43"/>
        <v>-60742.216938606354</v>
      </c>
      <c r="AB51" s="62">
        <f t="shared" si="43"/>
        <v>-60076.3267522479</v>
      </c>
      <c r="AC51" s="62">
        <f t="shared" si="43"/>
        <v>-59620.624915142049</v>
      </c>
    </row>
    <row r="52" spans="1:29" x14ac:dyDescent="0.3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4">((1+C35)^C43)*C35/(((1+C35)^C43)-1)*(C33)</f>
        <v>78226.718212273947</v>
      </c>
      <c r="D52" s="62">
        <f t="shared" si="44"/>
        <v>78226.718212273947</v>
      </c>
      <c r="E52" s="62">
        <f t="shared" si="44"/>
        <v>78226.718212273947</v>
      </c>
      <c r="F52" s="62">
        <f t="shared" si="44"/>
        <v>78226.718212273947</v>
      </c>
      <c r="G52" s="62">
        <f t="shared" si="44"/>
        <v>78226.718212273947</v>
      </c>
      <c r="H52" s="62">
        <f t="shared" si="44"/>
        <v>78226.718212273947</v>
      </c>
      <c r="I52" s="62">
        <f t="shared" si="44"/>
        <v>78226.718212273947</v>
      </c>
      <c r="J52" s="62">
        <f t="shared" si="44"/>
        <v>78226.718212273947</v>
      </c>
      <c r="K52" s="62">
        <f t="shared" si="44"/>
        <v>78226.718212273947</v>
      </c>
      <c r="L52" s="62">
        <f t="shared" si="44"/>
        <v>78226.718212273947</v>
      </c>
      <c r="M52" s="62">
        <f t="shared" si="44"/>
        <v>78226.718212273947</v>
      </c>
      <c r="N52" s="62">
        <f t="shared" si="44"/>
        <v>78226.718212273947</v>
      </c>
      <c r="O52" s="62">
        <f t="shared" si="44"/>
        <v>78226.718212273947</v>
      </c>
      <c r="P52" s="62">
        <f t="shared" si="44"/>
        <v>78226.718212273947</v>
      </c>
      <c r="Q52" s="62">
        <f t="shared" si="44"/>
        <v>78226.718212273947</v>
      </c>
      <c r="R52" s="62">
        <f t="shared" si="44"/>
        <v>78226.718212273947</v>
      </c>
      <c r="S52" s="62">
        <f t="shared" si="44"/>
        <v>78226.718212273947</v>
      </c>
      <c r="T52" s="62">
        <f t="shared" si="44"/>
        <v>78226.718212273947</v>
      </c>
      <c r="U52" s="62">
        <f t="shared" si="44"/>
        <v>78226.718212273947</v>
      </c>
      <c r="V52" s="62">
        <f t="shared" si="44"/>
        <v>78226.718212273947</v>
      </c>
      <c r="W52" s="62">
        <f t="shared" si="44"/>
        <v>78226.718212273947</v>
      </c>
      <c r="X52" s="62">
        <f t="shared" si="44"/>
        <v>78226.718212273947</v>
      </c>
      <c r="Y52" s="62">
        <f t="shared" si="44"/>
        <v>78226.718212273947</v>
      </c>
      <c r="Z52" s="62">
        <f t="shared" si="44"/>
        <v>78226.718212273947</v>
      </c>
      <c r="AA52" s="62">
        <f t="shared" si="44"/>
        <v>78226.718212273947</v>
      </c>
      <c r="AB52" s="62">
        <f t="shared" si="44"/>
        <v>78226.718212273947</v>
      </c>
      <c r="AC52" s="62">
        <f t="shared" si="44"/>
        <v>78226.718212273947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5">((1+C35)^C43)*C35/(((1+C35)^C43)-1)*(C34)</f>
        <v>-7822.6718212273945</v>
      </c>
      <c r="D53" s="62">
        <f t="shared" si="45"/>
        <v>-7822.6718212273945</v>
      </c>
      <c r="E53" s="62">
        <f t="shared" si="45"/>
        <v>-7822.6718212273945</v>
      </c>
      <c r="F53" s="62">
        <f t="shared" si="45"/>
        <v>-7822.6718212273945</v>
      </c>
      <c r="G53" s="62">
        <f t="shared" si="45"/>
        <v>-7822.6718212273945</v>
      </c>
      <c r="H53" s="62">
        <f t="shared" si="45"/>
        <v>-7822.6718212273945</v>
      </c>
      <c r="I53" s="62">
        <f t="shared" si="45"/>
        <v>-7822.6718212273945</v>
      </c>
      <c r="J53" s="62">
        <f t="shared" si="45"/>
        <v>-7822.6718212273945</v>
      </c>
      <c r="K53" s="62">
        <f t="shared" si="45"/>
        <v>-7822.6718212273945</v>
      </c>
      <c r="L53" s="62">
        <f t="shared" si="45"/>
        <v>-7822.6718212273945</v>
      </c>
      <c r="M53" s="62">
        <f t="shared" si="45"/>
        <v>-7822.6718212273945</v>
      </c>
      <c r="N53" s="62">
        <f t="shared" si="45"/>
        <v>-7822.6718212273945</v>
      </c>
      <c r="O53" s="62">
        <f t="shared" si="45"/>
        <v>-7822.6718212273945</v>
      </c>
      <c r="P53" s="62">
        <f t="shared" si="45"/>
        <v>-7822.6718212273945</v>
      </c>
      <c r="Q53" s="62">
        <f t="shared" si="45"/>
        <v>-7822.6718212273945</v>
      </c>
      <c r="R53" s="62">
        <f t="shared" si="45"/>
        <v>-7822.6718212273945</v>
      </c>
      <c r="S53" s="62">
        <f t="shared" si="45"/>
        <v>-7822.6718212273945</v>
      </c>
      <c r="T53" s="62">
        <f t="shared" si="45"/>
        <v>-7822.6718212273945</v>
      </c>
      <c r="U53" s="62">
        <f t="shared" si="45"/>
        <v>-7822.6718212273945</v>
      </c>
      <c r="V53" s="62">
        <f t="shared" si="45"/>
        <v>-7822.6718212273945</v>
      </c>
      <c r="W53" s="62">
        <f t="shared" si="45"/>
        <v>-7822.6718212273945</v>
      </c>
      <c r="X53" s="62">
        <f t="shared" si="45"/>
        <v>-7822.6718212273945</v>
      </c>
      <c r="Y53" s="62">
        <f t="shared" si="45"/>
        <v>-7822.6718212273945</v>
      </c>
      <c r="Z53" s="62">
        <f t="shared" si="45"/>
        <v>-7822.6718212273945</v>
      </c>
      <c r="AA53" s="62">
        <f t="shared" si="45"/>
        <v>-7822.6718212273945</v>
      </c>
      <c r="AB53" s="62">
        <f t="shared" si="45"/>
        <v>-7822.6718212273945</v>
      </c>
      <c r="AC53" s="62">
        <f t="shared" si="45"/>
        <v>-7822.6718212273945</v>
      </c>
    </row>
    <row r="54" spans="1:29" x14ac:dyDescent="0.3">
      <c r="A54" s="30" t="str">
        <f t="shared" ref="A54:AC54" si="46">A36</f>
        <v>Opex fix (admin, crew, insurance)</v>
      </c>
      <c r="B54" s="62">
        <f t="shared" si="46"/>
        <v>1208235.294117647</v>
      </c>
      <c r="C54" s="62">
        <f t="shared" si="46"/>
        <v>1208235.294117647</v>
      </c>
      <c r="D54" s="62">
        <f t="shared" si="46"/>
        <v>1208235.294117647</v>
      </c>
      <c r="E54" s="62">
        <f t="shared" si="46"/>
        <v>1208235.294117647</v>
      </c>
      <c r="F54" s="62">
        <f t="shared" si="46"/>
        <v>1208235.294117647</v>
      </c>
      <c r="G54" s="62">
        <f t="shared" si="46"/>
        <v>1208235.294117647</v>
      </c>
      <c r="H54" s="62">
        <f t="shared" si="46"/>
        <v>1208235.294117647</v>
      </c>
      <c r="I54" s="62">
        <f t="shared" si="46"/>
        <v>1208235.294117647</v>
      </c>
      <c r="J54" s="62">
        <f t="shared" si="46"/>
        <v>1208235.294117647</v>
      </c>
      <c r="K54" s="62">
        <f t="shared" si="46"/>
        <v>1208235.294117647</v>
      </c>
      <c r="L54" s="62">
        <f t="shared" si="46"/>
        <v>1208235.294117647</v>
      </c>
      <c r="M54" s="62">
        <f t="shared" si="46"/>
        <v>1208235.294117647</v>
      </c>
      <c r="N54" s="62">
        <f t="shared" si="46"/>
        <v>1208235.294117647</v>
      </c>
      <c r="O54" s="62">
        <f t="shared" si="46"/>
        <v>1208235.294117647</v>
      </c>
      <c r="P54" s="62">
        <f t="shared" si="46"/>
        <v>1208235.294117647</v>
      </c>
      <c r="Q54" s="62">
        <f t="shared" si="46"/>
        <v>1208235.294117647</v>
      </c>
      <c r="R54" s="62">
        <f t="shared" si="46"/>
        <v>1208235.294117647</v>
      </c>
      <c r="S54" s="62">
        <f t="shared" si="46"/>
        <v>1208235.294117647</v>
      </c>
      <c r="T54" s="62">
        <f t="shared" si="46"/>
        <v>1208235.294117647</v>
      </c>
      <c r="U54" s="62">
        <f t="shared" si="46"/>
        <v>1208235.294117647</v>
      </c>
      <c r="V54" s="62">
        <f t="shared" si="46"/>
        <v>1208235.294117647</v>
      </c>
      <c r="W54" s="62">
        <f t="shared" si="46"/>
        <v>1208235.294117647</v>
      </c>
      <c r="X54" s="62">
        <f t="shared" si="46"/>
        <v>1208235.294117647</v>
      </c>
      <c r="Y54" s="62">
        <f t="shared" si="46"/>
        <v>1208235.294117647</v>
      </c>
      <c r="Z54" s="62">
        <f t="shared" si="46"/>
        <v>1208235.294117647</v>
      </c>
      <c r="AA54" s="62">
        <f t="shared" si="46"/>
        <v>1208235.294117647</v>
      </c>
      <c r="AB54" s="62">
        <f t="shared" si="46"/>
        <v>1208235.294117647</v>
      </c>
      <c r="AC54" s="62">
        <f t="shared" si="46"/>
        <v>1208235.294117647</v>
      </c>
    </row>
    <row r="55" spans="1:29" x14ac:dyDescent="0.3">
      <c r="A55" s="30" t="str">
        <f t="shared" ref="A55:AC55" si="47">A37</f>
        <v>Opex maintenance &amp; repair</v>
      </c>
      <c r="B55" s="62">
        <f t="shared" si="47"/>
        <v>488235.29411764705</v>
      </c>
      <c r="C55" s="62">
        <f t="shared" si="47"/>
        <v>488235.29411764705</v>
      </c>
      <c r="D55" s="62">
        <f t="shared" si="47"/>
        <v>488235.29411764705</v>
      </c>
      <c r="E55" s="62">
        <f t="shared" si="47"/>
        <v>488235.29411764705</v>
      </c>
      <c r="F55" s="62">
        <f t="shared" si="47"/>
        <v>488235.29411764705</v>
      </c>
      <c r="G55" s="62">
        <f t="shared" si="47"/>
        <v>488235.29411764705</v>
      </c>
      <c r="H55" s="62">
        <f t="shared" si="47"/>
        <v>488235.29411764705</v>
      </c>
      <c r="I55" s="62">
        <f t="shared" si="47"/>
        <v>488235.29411764705</v>
      </c>
      <c r="J55" s="62">
        <f t="shared" si="47"/>
        <v>488235.29411764705</v>
      </c>
      <c r="K55" s="62">
        <f t="shared" si="47"/>
        <v>488235.29411764705</v>
      </c>
      <c r="L55" s="62">
        <f t="shared" si="47"/>
        <v>488235.29411764705</v>
      </c>
      <c r="M55" s="62">
        <f t="shared" si="47"/>
        <v>488235.29411764705</v>
      </c>
      <c r="N55" s="62">
        <f t="shared" si="47"/>
        <v>488235.29411764705</v>
      </c>
      <c r="O55" s="62">
        <f t="shared" si="47"/>
        <v>488235.29411764705</v>
      </c>
      <c r="P55" s="62">
        <f t="shared" si="47"/>
        <v>488235.29411764705</v>
      </c>
      <c r="Q55" s="62">
        <f t="shared" si="47"/>
        <v>488235.29411764705</v>
      </c>
      <c r="R55" s="62">
        <f t="shared" si="47"/>
        <v>488235.29411764705</v>
      </c>
      <c r="S55" s="62">
        <f t="shared" si="47"/>
        <v>488235.29411764705</v>
      </c>
      <c r="T55" s="62">
        <f t="shared" si="47"/>
        <v>488235.29411764705</v>
      </c>
      <c r="U55" s="62">
        <f t="shared" si="47"/>
        <v>488235.29411764705</v>
      </c>
      <c r="V55" s="62">
        <f t="shared" si="47"/>
        <v>488235.29411764705</v>
      </c>
      <c r="W55" s="62">
        <f t="shared" si="47"/>
        <v>488235.29411764705</v>
      </c>
      <c r="X55" s="62">
        <f t="shared" si="47"/>
        <v>488235.29411764705</v>
      </c>
      <c r="Y55" s="62">
        <f t="shared" si="47"/>
        <v>488235.29411764705</v>
      </c>
      <c r="Z55" s="62">
        <f t="shared" si="47"/>
        <v>488235.29411764705</v>
      </c>
      <c r="AA55" s="62">
        <f t="shared" si="47"/>
        <v>488235.29411764705</v>
      </c>
      <c r="AB55" s="62">
        <f t="shared" si="47"/>
        <v>488235.29411764705</v>
      </c>
      <c r="AC55" s="62">
        <f t="shared" si="47"/>
        <v>488235.29411764705</v>
      </c>
    </row>
    <row r="56" spans="1:29" x14ac:dyDescent="0.3">
      <c r="A56" s="30" t="str">
        <f>A38</f>
        <v>Opex var (mode-fees)</v>
      </c>
      <c r="B56" s="62">
        <f>B38*B47</f>
        <v>101496.22349468413</v>
      </c>
      <c r="C56" s="62">
        <f t="shared" ref="C56:AC56" si="48">C38*C47</f>
        <v>101496.22349468413</v>
      </c>
      <c r="D56" s="62">
        <f t="shared" si="48"/>
        <v>101496.22349468413</v>
      </c>
      <c r="E56" s="62">
        <f t="shared" si="48"/>
        <v>101496.22349468413</v>
      </c>
      <c r="F56" s="62">
        <f t="shared" si="48"/>
        <v>101496.22349468413</v>
      </c>
      <c r="G56" s="62">
        <f t="shared" si="48"/>
        <v>101496.22349468413</v>
      </c>
      <c r="H56" s="62">
        <f t="shared" si="48"/>
        <v>101496.22349468413</v>
      </c>
      <c r="I56" s="62">
        <f t="shared" si="48"/>
        <v>101496.22349468413</v>
      </c>
      <c r="J56" s="62">
        <f t="shared" si="48"/>
        <v>101496.22349468413</v>
      </c>
      <c r="K56" s="62">
        <f t="shared" si="48"/>
        <v>101496.22349468413</v>
      </c>
      <c r="L56" s="62">
        <f t="shared" si="48"/>
        <v>101496.22349468413</v>
      </c>
      <c r="M56" s="62">
        <f t="shared" si="48"/>
        <v>101496.22349468413</v>
      </c>
      <c r="N56" s="62">
        <f t="shared" si="48"/>
        <v>101496.22349468413</v>
      </c>
      <c r="O56" s="62">
        <f t="shared" si="48"/>
        <v>101496.22349468413</v>
      </c>
      <c r="P56" s="62">
        <f t="shared" si="48"/>
        <v>101496.22349468413</v>
      </c>
      <c r="Q56" s="62">
        <f t="shared" si="48"/>
        <v>101496.22349468413</v>
      </c>
      <c r="R56" s="62">
        <f t="shared" si="48"/>
        <v>101496.22349468413</v>
      </c>
      <c r="S56" s="62">
        <f t="shared" si="48"/>
        <v>101496.22349468413</v>
      </c>
      <c r="T56" s="62">
        <f t="shared" si="48"/>
        <v>101496.22349468413</v>
      </c>
      <c r="U56" s="62">
        <f t="shared" si="48"/>
        <v>101496.22349468413</v>
      </c>
      <c r="V56" s="62">
        <f t="shared" si="48"/>
        <v>101496.22349468413</v>
      </c>
      <c r="W56" s="62">
        <f t="shared" si="48"/>
        <v>101496.22349468413</v>
      </c>
      <c r="X56" s="62">
        <f t="shared" si="48"/>
        <v>101496.22349468413</v>
      </c>
      <c r="Y56" s="62">
        <f t="shared" si="48"/>
        <v>101496.22349468413</v>
      </c>
      <c r="Z56" s="62">
        <f t="shared" si="48"/>
        <v>101496.22349468413</v>
      </c>
      <c r="AA56" s="62">
        <f t="shared" si="48"/>
        <v>101496.22349468413</v>
      </c>
      <c r="AB56" s="62">
        <f t="shared" si="48"/>
        <v>101496.22349468413</v>
      </c>
      <c r="AC56" s="62">
        <f t="shared" si="48"/>
        <v>101496.22349468413</v>
      </c>
    </row>
    <row r="57" spans="1:29" x14ac:dyDescent="0.3">
      <c r="A57" s="30" t="str">
        <f>A40</f>
        <v>Fuel Cost</v>
      </c>
      <c r="B57" s="62">
        <f>B39*B40*B47</f>
        <v>4657656.7874551304</v>
      </c>
      <c r="C57" s="62">
        <f t="shared" ref="C57:AC57" si="49">C39*C40*C47</f>
        <v>4657335.2559228269</v>
      </c>
      <c r="D57" s="62">
        <f t="shared" si="49"/>
        <v>4656874.9906958723</v>
      </c>
      <c r="E57" s="62">
        <f t="shared" si="49"/>
        <v>4656216.5489214156</v>
      </c>
      <c r="F57" s="62">
        <f t="shared" si="49"/>
        <v>4655275.4903333243</v>
      </c>
      <c r="G57" s="62">
        <f t="shared" si="49"/>
        <v>4653932.3963569254</v>
      </c>
      <c r="H57" s="62">
        <f t="shared" si="49"/>
        <v>4652019.501037512</v>
      </c>
      <c r="I57" s="62">
        <f t="shared" si="49"/>
        <v>4649303.4639009116</v>
      </c>
      <c r="J57" s="62">
        <f t="shared" si="49"/>
        <v>4645464.6064028293</v>
      </c>
      <c r="K57" s="62">
        <f t="shared" si="49"/>
        <v>4640074.9197342508</v>
      </c>
      <c r="L57" s="62">
        <f t="shared" si="49"/>
        <v>4632581.2987480788</v>
      </c>
      <c r="M57" s="62">
        <f t="shared" si="49"/>
        <v>4622307.8247129563</v>
      </c>
      <c r="N57" s="62">
        <f t="shared" si="49"/>
        <v>4608501.3764707223</v>
      </c>
      <c r="O57" s="62">
        <f t="shared" si="49"/>
        <v>4590453.6814084789</v>
      </c>
      <c r="P57" s="62">
        <f t="shared" si="49"/>
        <v>4567725.6599339778</v>
      </c>
      <c r="Q57" s="62">
        <f t="shared" si="49"/>
        <v>4540452.686572534</v>
      </c>
      <c r="R57" s="62">
        <f t="shared" si="49"/>
        <v>4509613.1268287944</v>
      </c>
      <c r="S57" s="62">
        <f t="shared" si="49"/>
        <v>4477055.930138859</v>
      </c>
      <c r="T57" s="62">
        <f t="shared" si="49"/>
        <v>4445139.3981832527</v>
      </c>
      <c r="U57" s="62">
        <f t="shared" si="49"/>
        <v>4416085.1221883893</v>
      </c>
      <c r="V57" s="62">
        <f t="shared" si="49"/>
        <v>4391393.1250012219</v>
      </c>
      <c r="W57" s="62">
        <f t="shared" si="49"/>
        <v>4371619.2573404536</v>
      </c>
      <c r="X57" s="62">
        <f t="shared" si="49"/>
        <v>4356530.9186884109</v>
      </c>
      <c r="Y57" s="62">
        <f t="shared" si="49"/>
        <v>4345439.7796926498</v>
      </c>
      <c r="Z57" s="62">
        <f t="shared" si="49"/>
        <v>4337509.7757624658</v>
      </c>
      <c r="AA57" s="62">
        <f t="shared" si="49"/>
        <v>4331952.0141076175</v>
      </c>
      <c r="AB57" s="62">
        <f t="shared" si="49"/>
        <v>4328111.2591973878</v>
      </c>
      <c r="AC57" s="62">
        <f t="shared" si="49"/>
        <v>4325482.8392201588</v>
      </c>
    </row>
    <row r="58" spans="1:29" ht="15" thickBot="1" x14ac:dyDescent="0.35">
      <c r="A58" s="59" t="str">
        <f>A21</f>
        <v>Emission Cost</v>
      </c>
      <c r="B58" s="62">
        <f>B41*B47</f>
        <v>2080174.2343043815</v>
      </c>
      <c r="C58" s="62">
        <f t="shared" ref="C58:AC58" si="50">C41*C47</f>
        <v>2084591.1334600765</v>
      </c>
      <c r="D58" s="62">
        <f t="shared" si="50"/>
        <v>2090913.8262229576</v>
      </c>
      <c r="E58" s="62">
        <f t="shared" si="50"/>
        <v>2099958.8828518903</v>
      </c>
      <c r="F58" s="62">
        <f t="shared" si="50"/>
        <v>2112886.2646654733</v>
      </c>
      <c r="G58" s="62">
        <f t="shared" si="50"/>
        <v>2131336.4322365182</v>
      </c>
      <c r="H58" s="62">
        <f t="shared" si="50"/>
        <v>2157613.9971792493</v>
      </c>
      <c r="I58" s="62">
        <f t="shared" si="50"/>
        <v>2194924.3724620044</v>
      </c>
      <c r="J58" s="62">
        <f t="shared" si="50"/>
        <v>2247659.002626026</v>
      </c>
      <c r="K58" s="62">
        <f t="shared" si="50"/>
        <v>2321697.4719647751</v>
      </c>
      <c r="L58" s="62">
        <f t="shared" si="50"/>
        <v>2424637.8211422721</v>
      </c>
      <c r="M58" s="62">
        <f t="shared" si="50"/>
        <v>2565765.1888584979</v>
      </c>
      <c r="N58" s="62">
        <f t="shared" si="50"/>
        <v>2755425.248471769</v>
      </c>
      <c r="O58" s="62">
        <f t="shared" si="50"/>
        <v>3003347.5860152184</v>
      </c>
      <c r="P58" s="62">
        <f t="shared" si="50"/>
        <v>3315563.8658372555</v>
      </c>
      <c r="Q58" s="62">
        <f t="shared" si="50"/>
        <v>3690214.4394539841</v>
      </c>
      <c r="R58" s="62">
        <f t="shared" si="50"/>
        <v>4113859.4375609229</v>
      </c>
      <c r="S58" s="62">
        <f t="shared" si="50"/>
        <v>4561099.7238907274</v>
      </c>
      <c r="T58" s="62">
        <f t="shared" si="50"/>
        <v>4999539.1579250544</v>
      </c>
      <c r="U58" s="62">
        <f t="shared" si="50"/>
        <v>5398659.5993684782</v>
      </c>
      <c r="V58" s="62">
        <f t="shared" si="50"/>
        <v>5737855.1387515571</v>
      </c>
      <c r="W58" s="62">
        <f t="shared" si="50"/>
        <v>6009490.0193180386</v>
      </c>
      <c r="X58" s="62">
        <f t="shared" si="50"/>
        <v>6216759.4892065981</v>
      </c>
      <c r="Y58" s="62">
        <f t="shared" si="50"/>
        <v>6369119.1726102037</v>
      </c>
      <c r="Z58" s="62">
        <f t="shared" si="50"/>
        <v>6478054.1421073815</v>
      </c>
      <c r="AA58" s="62">
        <f t="shared" si="50"/>
        <v>6554401.4682466788</v>
      </c>
      <c r="AB58" s="62">
        <f t="shared" si="50"/>
        <v>6607162.1632823376</v>
      </c>
      <c r="AC58" s="62">
        <f t="shared" si="50"/>
        <v>6643268.9360615192</v>
      </c>
    </row>
    <row r="59" spans="1:29" ht="15" thickBot="1" x14ac:dyDescent="0.35">
      <c r="A59" s="31" t="s">
        <v>209</v>
      </c>
      <c r="B59" s="64">
        <f>B50+B51+B52+B53+B54+B55+B56+B57+B58</f>
        <v>9662391.4300864823</v>
      </c>
      <c r="C59" s="64">
        <f t="shared" ref="C59:AC59" si="51">C50+C51+C52+C53+C54+C55+C56+C57+C58</f>
        <v>9666542.543181004</v>
      </c>
      <c r="D59" s="64">
        <f t="shared" si="51"/>
        <v>9672484.7691172231</v>
      </c>
      <c r="E59" s="64">
        <f t="shared" si="51"/>
        <v>9680985.5411949903</v>
      </c>
      <c r="F59" s="64">
        <f t="shared" si="51"/>
        <v>9693135.0202826113</v>
      </c>
      <c r="G59" s="64">
        <f t="shared" si="51"/>
        <v>9710474.9525519554</v>
      </c>
      <c r="H59" s="64">
        <f t="shared" si="51"/>
        <v>9735171.2700545304</v>
      </c>
      <c r="I59" s="64">
        <f t="shared" si="51"/>
        <v>9770236.5006469153</v>
      </c>
      <c r="J59" s="64">
        <f t="shared" si="51"/>
        <v>9819797.8345357254</v>
      </c>
      <c r="K59" s="64">
        <f t="shared" si="51"/>
        <v>9889381.0531550888</v>
      </c>
      <c r="L59" s="64">
        <f t="shared" si="51"/>
        <v>9986126.9865265451</v>
      </c>
      <c r="M59" s="64">
        <f t="shared" si="51"/>
        <v>10118762.041906245</v>
      </c>
      <c r="N59" s="64">
        <f t="shared" si="51"/>
        <v>10297009.343738623</v>
      </c>
      <c r="O59" s="64">
        <f t="shared" si="51"/>
        <v>10530013.002079792</v>
      </c>
      <c r="P59" s="64">
        <f t="shared" si="51"/>
        <v>10823441.727030627</v>
      </c>
      <c r="Q59" s="64">
        <f t="shared" si="51"/>
        <v>11175547.774098758</v>
      </c>
      <c r="R59" s="64">
        <f t="shared" si="51"/>
        <v>11573700.01554233</v>
      </c>
      <c r="S59" s="64">
        <f t="shared" si="51"/>
        <v>11994027.703256767</v>
      </c>
      <c r="T59" s="64">
        <f t="shared" si="51"/>
        <v>12406084.128277874</v>
      </c>
      <c r="U59" s="64">
        <f t="shared" si="51"/>
        <v>12781187.573560458</v>
      </c>
      <c r="V59" s="64">
        <f t="shared" si="51"/>
        <v>13099972.086292848</v>
      </c>
      <c r="W59" s="64">
        <f t="shared" si="51"/>
        <v>13355261.389919894</v>
      </c>
      <c r="X59" s="64">
        <f t="shared" si="51"/>
        <v>13550058.45913519</v>
      </c>
      <c r="Y59" s="64">
        <f t="shared" si="51"/>
        <v>13693249.927755965</v>
      </c>
      <c r="Z59" s="64">
        <f t="shared" si="51"/>
        <v>13795629.756316904</v>
      </c>
      <c r="AA59" s="64">
        <f t="shared" si="51"/>
        <v>13867382.896720823</v>
      </c>
      <c r="AB59" s="64">
        <f t="shared" si="51"/>
        <v>13916968.727032613</v>
      </c>
      <c r="AC59" s="64">
        <f t="shared" si="51"/>
        <v>13950902.781671669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52">A50</f>
        <v>Capex vehicle</v>
      </c>
      <c r="B62" s="65">
        <f>((1+B35)^B42)*B35/(((1+B35)^B42)-1)*(B31)/B47</f>
        <v>9.7783397765342439</v>
      </c>
      <c r="C62" s="65">
        <f t="shared" ref="C62:AC62" si="53">((1+C35)^C42)*C35/(((1+C35)^C42)-1)*(C31)/C47</f>
        <v>9.7783397765342439</v>
      </c>
      <c r="D62" s="65">
        <f t="shared" si="53"/>
        <v>9.7783397765342439</v>
      </c>
      <c r="E62" s="65">
        <f t="shared" si="53"/>
        <v>9.7783397765342439</v>
      </c>
      <c r="F62" s="65">
        <f t="shared" si="53"/>
        <v>9.7783397765342439</v>
      </c>
      <c r="G62" s="65">
        <f t="shared" si="53"/>
        <v>9.7783397765342439</v>
      </c>
      <c r="H62" s="65">
        <f t="shared" si="53"/>
        <v>9.7783397765342439</v>
      </c>
      <c r="I62" s="65">
        <f t="shared" si="53"/>
        <v>9.7783397765342439</v>
      </c>
      <c r="J62" s="65">
        <f t="shared" si="53"/>
        <v>9.7783397765342439</v>
      </c>
      <c r="K62" s="65">
        <f t="shared" si="53"/>
        <v>9.7783397765342439</v>
      </c>
      <c r="L62" s="65">
        <f t="shared" si="53"/>
        <v>9.7783397765342439</v>
      </c>
      <c r="M62" s="65">
        <f t="shared" si="53"/>
        <v>9.7783397765342439</v>
      </c>
      <c r="N62" s="65">
        <f t="shared" si="53"/>
        <v>9.7783397765342439</v>
      </c>
      <c r="O62" s="65">
        <f t="shared" si="53"/>
        <v>9.7783397765342439</v>
      </c>
      <c r="P62" s="65">
        <f t="shared" si="53"/>
        <v>9.7783397765342439</v>
      </c>
      <c r="Q62" s="65">
        <f t="shared" si="53"/>
        <v>9.7783397765342439</v>
      </c>
      <c r="R62" s="65">
        <f t="shared" si="53"/>
        <v>9.7783397765342439</v>
      </c>
      <c r="S62" s="65">
        <f t="shared" si="53"/>
        <v>9.7783397765342439</v>
      </c>
      <c r="T62" s="65">
        <f t="shared" si="53"/>
        <v>9.7783397765342439</v>
      </c>
      <c r="U62" s="65">
        <f t="shared" si="53"/>
        <v>9.7783397765342439</v>
      </c>
      <c r="V62" s="65">
        <f t="shared" si="53"/>
        <v>9.7783397765342439</v>
      </c>
      <c r="W62" s="65">
        <f t="shared" si="53"/>
        <v>9.7783397765342439</v>
      </c>
      <c r="X62" s="65">
        <f t="shared" si="53"/>
        <v>9.7783397765342439</v>
      </c>
      <c r="Y62" s="65">
        <f t="shared" si="53"/>
        <v>9.7783397765342439</v>
      </c>
      <c r="Z62" s="65">
        <f t="shared" si="53"/>
        <v>9.7783397765342439</v>
      </c>
      <c r="AA62" s="65">
        <f t="shared" si="53"/>
        <v>9.7783397765342439</v>
      </c>
      <c r="AB62" s="65">
        <f t="shared" si="53"/>
        <v>9.7783397765342439</v>
      </c>
      <c r="AC62" s="65">
        <f t="shared" si="53"/>
        <v>9.7783397765342439</v>
      </c>
    </row>
    <row r="63" spans="1:29" x14ac:dyDescent="0.3">
      <c r="A63" s="30" t="str">
        <f t="shared" si="52"/>
        <v>Residual value (vehicle)</v>
      </c>
      <c r="B63" s="66">
        <f>((1+B35)^B42)*B35/(((1+B35)^B42)-1)*(B32)/B47</f>
        <v>-0.97676019148470272</v>
      </c>
      <c r="C63" s="66">
        <f t="shared" ref="C63:AC63" si="54">((1+C35)^C42)*C35/(((1+C35)^C42)-1)*(C32)/C47</f>
        <v>-0.97629564589195228</v>
      </c>
      <c r="D63" s="66">
        <f t="shared" si="54"/>
        <v>-0.97563065922284864</v>
      </c>
      <c r="E63" s="66">
        <f t="shared" si="54"/>
        <v>-0.97467934902874298</v>
      </c>
      <c r="F63" s="66">
        <f t="shared" si="54"/>
        <v>-0.97331971684434948</v>
      </c>
      <c r="G63" s="66">
        <f t="shared" si="54"/>
        <v>-0.97137922788852038</v>
      </c>
      <c r="H63" s="66">
        <f t="shared" si="54"/>
        <v>-0.96861549556136939</v>
      </c>
      <c r="I63" s="66">
        <f t="shared" si="54"/>
        <v>-0.96469139184278574</v>
      </c>
      <c r="J63" s="66">
        <f t="shared" si="54"/>
        <v>-0.95914504831885961</v>
      </c>
      <c r="K63" s="66">
        <f t="shared" si="54"/>
        <v>-0.95135808207559314</v>
      </c>
      <c r="L63" s="66">
        <f t="shared" si="54"/>
        <v>-0.94053137224117322</v>
      </c>
      <c r="M63" s="66">
        <f t="shared" si="54"/>
        <v>-0.92568835808620409</v>
      </c>
      <c r="N63" s="66">
        <f t="shared" si="54"/>
        <v>-0.90574093757501994</v>
      </c>
      <c r="O63" s="66">
        <f t="shared" si="54"/>
        <v>-0.87966580540866446</v>
      </c>
      <c r="P63" s="66">
        <f t="shared" si="54"/>
        <v>-0.84682858371450898</v>
      </c>
      <c r="Q63" s="66">
        <f t="shared" si="54"/>
        <v>-0.80742486027411864</v>
      </c>
      <c r="R63" s="66">
        <f t="shared" si="54"/>
        <v>-0.7628681679376812</v>
      </c>
      <c r="S63" s="66">
        <f t="shared" si="54"/>
        <v>-0.71582985064961269</v>
      </c>
      <c r="T63" s="66">
        <f t="shared" si="54"/>
        <v>-0.66971715946306853</v>
      </c>
      <c r="U63" s="66">
        <f t="shared" si="54"/>
        <v>-0.62773982751286628</v>
      </c>
      <c r="V63" s="66">
        <f t="shared" si="54"/>
        <v>-0.59206507304221667</v>
      </c>
      <c r="W63" s="66">
        <f t="shared" si="54"/>
        <v>-0.56349598369776865</v>
      </c>
      <c r="X63" s="66">
        <f t="shared" si="54"/>
        <v>-0.54169650054128426</v>
      </c>
      <c r="Y63" s="66">
        <f t="shared" si="54"/>
        <v>-0.52567213210019181</v>
      </c>
      <c r="Z63" s="66">
        <f t="shared" si="54"/>
        <v>-0.51421494048397043</v>
      </c>
      <c r="AA63" s="66">
        <f t="shared" si="54"/>
        <v>-0.50618514115505298</v>
      </c>
      <c r="AB63" s="66">
        <f t="shared" si="54"/>
        <v>-0.50063605626873253</v>
      </c>
      <c r="AC63" s="66">
        <f t="shared" si="54"/>
        <v>-0.49683854095951707</v>
      </c>
    </row>
    <row r="64" spans="1:29" x14ac:dyDescent="0.3">
      <c r="A64" s="30" t="str">
        <f t="shared" si="52"/>
        <v>Capex costumization</v>
      </c>
      <c r="B64" s="66">
        <f>((1+B35)^B43)*B35/(((1+B35)^B43)-1)*(B33)/B47</f>
        <v>0.65188931843561626</v>
      </c>
      <c r="C64" s="66">
        <f t="shared" ref="C64:AC64" si="55">((1+C35)^C43)*C35/(((1+C35)^C43)-1)*(C33)/C47</f>
        <v>0.65188931843561626</v>
      </c>
      <c r="D64" s="66">
        <f t="shared" si="55"/>
        <v>0.65188931843561626</v>
      </c>
      <c r="E64" s="66">
        <f t="shared" si="55"/>
        <v>0.65188931843561626</v>
      </c>
      <c r="F64" s="66">
        <f t="shared" si="55"/>
        <v>0.65188931843561626</v>
      </c>
      <c r="G64" s="66">
        <f t="shared" si="55"/>
        <v>0.65188931843561626</v>
      </c>
      <c r="H64" s="66">
        <f t="shared" si="55"/>
        <v>0.65188931843561626</v>
      </c>
      <c r="I64" s="66">
        <f t="shared" si="55"/>
        <v>0.65188931843561626</v>
      </c>
      <c r="J64" s="66">
        <f t="shared" si="55"/>
        <v>0.65188931843561626</v>
      </c>
      <c r="K64" s="66">
        <f t="shared" si="55"/>
        <v>0.65188931843561626</v>
      </c>
      <c r="L64" s="66">
        <f t="shared" si="55"/>
        <v>0.65188931843561626</v>
      </c>
      <c r="M64" s="66">
        <f t="shared" si="55"/>
        <v>0.65188931843561626</v>
      </c>
      <c r="N64" s="66">
        <f t="shared" si="55"/>
        <v>0.65188931843561626</v>
      </c>
      <c r="O64" s="66">
        <f t="shared" si="55"/>
        <v>0.65188931843561626</v>
      </c>
      <c r="P64" s="66">
        <f t="shared" si="55"/>
        <v>0.65188931843561626</v>
      </c>
      <c r="Q64" s="66">
        <f t="shared" si="55"/>
        <v>0.65188931843561626</v>
      </c>
      <c r="R64" s="66">
        <f t="shared" si="55"/>
        <v>0.65188931843561626</v>
      </c>
      <c r="S64" s="66">
        <f t="shared" si="55"/>
        <v>0.65188931843561626</v>
      </c>
      <c r="T64" s="66">
        <f t="shared" si="55"/>
        <v>0.65188931843561626</v>
      </c>
      <c r="U64" s="66">
        <f t="shared" si="55"/>
        <v>0.65188931843561626</v>
      </c>
      <c r="V64" s="66">
        <f t="shared" si="55"/>
        <v>0.65188931843561626</v>
      </c>
      <c r="W64" s="66">
        <f t="shared" si="55"/>
        <v>0.65188931843561626</v>
      </c>
      <c r="X64" s="66">
        <f t="shared" si="55"/>
        <v>0.65188931843561626</v>
      </c>
      <c r="Y64" s="66">
        <f t="shared" si="55"/>
        <v>0.65188931843561626</v>
      </c>
      <c r="Z64" s="66">
        <f t="shared" si="55"/>
        <v>0.65188931843561626</v>
      </c>
      <c r="AA64" s="66">
        <f t="shared" si="55"/>
        <v>0.65188931843561626</v>
      </c>
      <c r="AB64" s="66">
        <f t="shared" si="55"/>
        <v>0.65188931843561626</v>
      </c>
      <c r="AC64" s="66">
        <f t="shared" si="55"/>
        <v>0.65188931843561626</v>
      </c>
    </row>
    <row r="65" spans="1:29" x14ac:dyDescent="0.3">
      <c r="A65" s="30" t="str">
        <f t="shared" si="52"/>
        <v>Residual value (costumization)</v>
      </c>
      <c r="B65" s="66">
        <f>((1+B35)^B43)*B35/(((1+B35)^B43)-1)*(B34)/B47</f>
        <v>-6.5188931843561615E-2</v>
      </c>
      <c r="C65" s="66">
        <f t="shared" ref="C65:AC65" si="56">((1+C35)^C43)*C35/(((1+C35)^C43)-1)*(C34)/C47</f>
        <v>-6.5188931843561615E-2</v>
      </c>
      <c r="D65" s="66">
        <f t="shared" si="56"/>
        <v>-6.5188931843561615E-2</v>
      </c>
      <c r="E65" s="66">
        <f t="shared" si="56"/>
        <v>-6.5188931843561615E-2</v>
      </c>
      <c r="F65" s="66">
        <f t="shared" si="56"/>
        <v>-6.5188931843561615E-2</v>
      </c>
      <c r="G65" s="66">
        <f t="shared" si="56"/>
        <v>-6.5188931843561615E-2</v>
      </c>
      <c r="H65" s="66">
        <f t="shared" si="56"/>
        <v>-6.5188931843561615E-2</v>
      </c>
      <c r="I65" s="66">
        <f t="shared" si="56"/>
        <v>-6.5188931843561615E-2</v>
      </c>
      <c r="J65" s="66">
        <f t="shared" si="56"/>
        <v>-6.5188931843561615E-2</v>
      </c>
      <c r="K65" s="66">
        <f t="shared" si="56"/>
        <v>-6.5188931843561615E-2</v>
      </c>
      <c r="L65" s="66">
        <f t="shared" si="56"/>
        <v>-6.5188931843561615E-2</v>
      </c>
      <c r="M65" s="66">
        <f t="shared" si="56"/>
        <v>-6.5188931843561615E-2</v>
      </c>
      <c r="N65" s="66">
        <f t="shared" si="56"/>
        <v>-6.5188931843561615E-2</v>
      </c>
      <c r="O65" s="66">
        <f t="shared" si="56"/>
        <v>-6.5188931843561615E-2</v>
      </c>
      <c r="P65" s="66">
        <f t="shared" si="56"/>
        <v>-6.5188931843561615E-2</v>
      </c>
      <c r="Q65" s="66">
        <f t="shared" si="56"/>
        <v>-6.5188931843561615E-2</v>
      </c>
      <c r="R65" s="66">
        <f t="shared" si="56"/>
        <v>-6.5188931843561615E-2</v>
      </c>
      <c r="S65" s="66">
        <f t="shared" si="56"/>
        <v>-6.5188931843561615E-2</v>
      </c>
      <c r="T65" s="66">
        <f t="shared" si="56"/>
        <v>-6.5188931843561615E-2</v>
      </c>
      <c r="U65" s="66">
        <f t="shared" si="56"/>
        <v>-6.5188931843561615E-2</v>
      </c>
      <c r="V65" s="66">
        <f t="shared" si="56"/>
        <v>-6.5188931843561615E-2</v>
      </c>
      <c r="W65" s="66">
        <f t="shared" si="56"/>
        <v>-6.5188931843561615E-2</v>
      </c>
      <c r="X65" s="66">
        <f t="shared" si="56"/>
        <v>-6.5188931843561615E-2</v>
      </c>
      <c r="Y65" s="66">
        <f t="shared" si="56"/>
        <v>-6.5188931843561615E-2</v>
      </c>
      <c r="Z65" s="66">
        <f t="shared" si="56"/>
        <v>-6.5188931843561615E-2</v>
      </c>
      <c r="AA65" s="66">
        <f t="shared" si="56"/>
        <v>-6.5188931843561615E-2</v>
      </c>
      <c r="AB65" s="66">
        <f t="shared" si="56"/>
        <v>-6.5188931843561615E-2</v>
      </c>
      <c r="AC65" s="66">
        <f t="shared" si="56"/>
        <v>-6.5188931843561615E-2</v>
      </c>
    </row>
    <row r="66" spans="1:29" x14ac:dyDescent="0.3">
      <c r="A66" s="30" t="str">
        <f t="shared" si="52"/>
        <v>Opex fix (admin, crew, insurance)</v>
      </c>
      <c r="B66" s="66">
        <f>B36/B47</f>
        <v>10.068627450980392</v>
      </c>
      <c r="C66" s="66">
        <f t="shared" ref="C66:AC66" si="57">C36/C47</f>
        <v>10.068627450980392</v>
      </c>
      <c r="D66" s="66">
        <f t="shared" si="57"/>
        <v>10.068627450980392</v>
      </c>
      <c r="E66" s="66">
        <f t="shared" si="57"/>
        <v>10.068627450980392</v>
      </c>
      <c r="F66" s="66">
        <f t="shared" si="57"/>
        <v>10.068627450980392</v>
      </c>
      <c r="G66" s="66">
        <f t="shared" si="57"/>
        <v>10.068627450980392</v>
      </c>
      <c r="H66" s="66">
        <f t="shared" si="57"/>
        <v>10.068627450980392</v>
      </c>
      <c r="I66" s="66">
        <f t="shared" si="57"/>
        <v>10.068627450980392</v>
      </c>
      <c r="J66" s="66">
        <f t="shared" si="57"/>
        <v>10.068627450980392</v>
      </c>
      <c r="K66" s="66">
        <f t="shared" si="57"/>
        <v>10.068627450980392</v>
      </c>
      <c r="L66" s="66">
        <f t="shared" si="57"/>
        <v>10.068627450980392</v>
      </c>
      <c r="M66" s="66">
        <f t="shared" si="57"/>
        <v>10.068627450980392</v>
      </c>
      <c r="N66" s="66">
        <f t="shared" si="57"/>
        <v>10.068627450980392</v>
      </c>
      <c r="O66" s="66">
        <f t="shared" si="57"/>
        <v>10.068627450980392</v>
      </c>
      <c r="P66" s="66">
        <f t="shared" si="57"/>
        <v>10.068627450980392</v>
      </c>
      <c r="Q66" s="66">
        <f t="shared" si="57"/>
        <v>10.068627450980392</v>
      </c>
      <c r="R66" s="66">
        <f t="shared" si="57"/>
        <v>10.068627450980392</v>
      </c>
      <c r="S66" s="66">
        <f t="shared" si="57"/>
        <v>10.068627450980392</v>
      </c>
      <c r="T66" s="66">
        <f t="shared" si="57"/>
        <v>10.068627450980392</v>
      </c>
      <c r="U66" s="66">
        <f t="shared" si="57"/>
        <v>10.068627450980392</v>
      </c>
      <c r="V66" s="66">
        <f t="shared" si="57"/>
        <v>10.068627450980392</v>
      </c>
      <c r="W66" s="66">
        <f t="shared" si="57"/>
        <v>10.068627450980392</v>
      </c>
      <c r="X66" s="66">
        <f t="shared" si="57"/>
        <v>10.068627450980392</v>
      </c>
      <c r="Y66" s="66">
        <f t="shared" si="57"/>
        <v>10.068627450980392</v>
      </c>
      <c r="Z66" s="66">
        <f t="shared" si="57"/>
        <v>10.068627450980392</v>
      </c>
      <c r="AA66" s="66">
        <f t="shared" si="57"/>
        <v>10.068627450980392</v>
      </c>
      <c r="AB66" s="66">
        <f t="shared" si="57"/>
        <v>10.068627450980392</v>
      </c>
      <c r="AC66" s="66">
        <f t="shared" si="57"/>
        <v>10.068627450980392</v>
      </c>
    </row>
    <row r="67" spans="1:29" x14ac:dyDescent="0.3">
      <c r="A67" s="30" t="str">
        <f t="shared" si="52"/>
        <v>Opex maintenance &amp; repair</v>
      </c>
      <c r="B67" s="66">
        <f>B37/B47</f>
        <v>4.0686274509803919</v>
      </c>
      <c r="C67" s="66">
        <f t="shared" ref="C67:AC67" si="58">C37/C47</f>
        <v>4.0686274509803919</v>
      </c>
      <c r="D67" s="66">
        <f t="shared" si="58"/>
        <v>4.0686274509803919</v>
      </c>
      <c r="E67" s="66">
        <f t="shared" si="58"/>
        <v>4.0686274509803919</v>
      </c>
      <c r="F67" s="66">
        <f t="shared" si="58"/>
        <v>4.0686274509803919</v>
      </c>
      <c r="G67" s="66">
        <f t="shared" si="58"/>
        <v>4.0686274509803919</v>
      </c>
      <c r="H67" s="66">
        <f t="shared" si="58"/>
        <v>4.0686274509803919</v>
      </c>
      <c r="I67" s="66">
        <f t="shared" si="58"/>
        <v>4.0686274509803919</v>
      </c>
      <c r="J67" s="66">
        <f t="shared" si="58"/>
        <v>4.0686274509803919</v>
      </c>
      <c r="K67" s="66">
        <f t="shared" si="58"/>
        <v>4.0686274509803919</v>
      </c>
      <c r="L67" s="66">
        <f t="shared" si="58"/>
        <v>4.0686274509803919</v>
      </c>
      <c r="M67" s="66">
        <f t="shared" si="58"/>
        <v>4.0686274509803919</v>
      </c>
      <c r="N67" s="66">
        <f t="shared" si="58"/>
        <v>4.0686274509803919</v>
      </c>
      <c r="O67" s="66">
        <f t="shared" si="58"/>
        <v>4.0686274509803919</v>
      </c>
      <c r="P67" s="66">
        <f t="shared" si="58"/>
        <v>4.0686274509803919</v>
      </c>
      <c r="Q67" s="66">
        <f t="shared" si="58"/>
        <v>4.0686274509803919</v>
      </c>
      <c r="R67" s="66">
        <f t="shared" si="58"/>
        <v>4.0686274509803919</v>
      </c>
      <c r="S67" s="66">
        <f t="shared" si="58"/>
        <v>4.0686274509803919</v>
      </c>
      <c r="T67" s="66">
        <f t="shared" si="58"/>
        <v>4.0686274509803919</v>
      </c>
      <c r="U67" s="66">
        <f t="shared" si="58"/>
        <v>4.0686274509803919</v>
      </c>
      <c r="V67" s="66">
        <f t="shared" si="58"/>
        <v>4.0686274509803919</v>
      </c>
      <c r="W67" s="66">
        <f t="shared" si="58"/>
        <v>4.0686274509803919</v>
      </c>
      <c r="X67" s="66">
        <f t="shared" si="58"/>
        <v>4.0686274509803919</v>
      </c>
      <c r="Y67" s="66">
        <f t="shared" si="58"/>
        <v>4.0686274509803919</v>
      </c>
      <c r="Z67" s="66">
        <f t="shared" si="58"/>
        <v>4.0686274509803919</v>
      </c>
      <c r="AA67" s="66">
        <f t="shared" si="58"/>
        <v>4.0686274509803919</v>
      </c>
      <c r="AB67" s="66">
        <f t="shared" si="58"/>
        <v>4.0686274509803919</v>
      </c>
      <c r="AC67" s="66">
        <f t="shared" si="58"/>
        <v>4.0686274509803919</v>
      </c>
    </row>
    <row r="68" spans="1:29" x14ac:dyDescent="0.3">
      <c r="A68" s="30" t="str">
        <f t="shared" si="52"/>
        <v>Opex var (mode-fees)</v>
      </c>
      <c r="B68" s="66">
        <f>B38*B47/B47</f>
        <v>0.8458018624557011</v>
      </c>
      <c r="C68" s="66">
        <f t="shared" ref="C68:AC68" si="59">C38*C47/C47</f>
        <v>0.8458018624557011</v>
      </c>
      <c r="D68" s="66">
        <f t="shared" si="59"/>
        <v>0.8458018624557011</v>
      </c>
      <c r="E68" s="66">
        <f t="shared" si="59"/>
        <v>0.8458018624557011</v>
      </c>
      <c r="F68" s="66">
        <f t="shared" si="59"/>
        <v>0.8458018624557011</v>
      </c>
      <c r="G68" s="66">
        <f t="shared" si="59"/>
        <v>0.8458018624557011</v>
      </c>
      <c r="H68" s="66">
        <f t="shared" si="59"/>
        <v>0.8458018624557011</v>
      </c>
      <c r="I68" s="66">
        <f t="shared" si="59"/>
        <v>0.8458018624557011</v>
      </c>
      <c r="J68" s="66">
        <f t="shared" si="59"/>
        <v>0.8458018624557011</v>
      </c>
      <c r="K68" s="66">
        <f t="shared" si="59"/>
        <v>0.8458018624557011</v>
      </c>
      <c r="L68" s="66">
        <f t="shared" si="59"/>
        <v>0.8458018624557011</v>
      </c>
      <c r="M68" s="66">
        <f t="shared" si="59"/>
        <v>0.8458018624557011</v>
      </c>
      <c r="N68" s="66">
        <f t="shared" si="59"/>
        <v>0.8458018624557011</v>
      </c>
      <c r="O68" s="66">
        <f t="shared" si="59"/>
        <v>0.8458018624557011</v>
      </c>
      <c r="P68" s="66">
        <f t="shared" si="59"/>
        <v>0.8458018624557011</v>
      </c>
      <c r="Q68" s="66">
        <f t="shared" si="59"/>
        <v>0.8458018624557011</v>
      </c>
      <c r="R68" s="66">
        <f t="shared" si="59"/>
        <v>0.8458018624557011</v>
      </c>
      <c r="S68" s="66">
        <f t="shared" si="59"/>
        <v>0.8458018624557011</v>
      </c>
      <c r="T68" s="66">
        <f t="shared" si="59"/>
        <v>0.8458018624557011</v>
      </c>
      <c r="U68" s="66">
        <f t="shared" si="59"/>
        <v>0.8458018624557011</v>
      </c>
      <c r="V68" s="66">
        <f t="shared" si="59"/>
        <v>0.8458018624557011</v>
      </c>
      <c r="W68" s="66">
        <f t="shared" si="59"/>
        <v>0.8458018624557011</v>
      </c>
      <c r="X68" s="66">
        <f t="shared" si="59"/>
        <v>0.8458018624557011</v>
      </c>
      <c r="Y68" s="66">
        <f t="shared" si="59"/>
        <v>0.8458018624557011</v>
      </c>
      <c r="Z68" s="66">
        <f t="shared" si="59"/>
        <v>0.8458018624557011</v>
      </c>
      <c r="AA68" s="66">
        <f t="shared" si="59"/>
        <v>0.8458018624557011</v>
      </c>
      <c r="AB68" s="66">
        <f t="shared" si="59"/>
        <v>0.8458018624557011</v>
      </c>
      <c r="AC68" s="66">
        <f t="shared" si="59"/>
        <v>0.8458018624557011</v>
      </c>
    </row>
    <row r="69" spans="1:29" x14ac:dyDescent="0.3">
      <c r="A69" s="30" t="str">
        <f t="shared" si="52"/>
        <v>Fuel Cost</v>
      </c>
      <c r="B69" s="66">
        <f>B39*B40*B47/B47</f>
        <v>38.813806562126089</v>
      </c>
      <c r="C69" s="66">
        <f t="shared" ref="C69:AC69" si="60">C39*C40*C47/C47</f>
        <v>38.811127132690224</v>
      </c>
      <c r="D69" s="66">
        <f t="shared" si="60"/>
        <v>38.807291589132269</v>
      </c>
      <c r="E69" s="66">
        <f t="shared" si="60"/>
        <v>38.801804574345127</v>
      </c>
      <c r="F69" s="66">
        <f t="shared" si="60"/>
        <v>38.79396241944437</v>
      </c>
      <c r="G69" s="66">
        <f t="shared" si="60"/>
        <v>38.782769969641045</v>
      </c>
      <c r="H69" s="66">
        <f t="shared" si="60"/>
        <v>38.766829175312601</v>
      </c>
      <c r="I69" s="66">
        <f t="shared" si="60"/>
        <v>38.744195532507597</v>
      </c>
      <c r="J69" s="66">
        <f t="shared" si="60"/>
        <v>38.712205053356911</v>
      </c>
      <c r="K69" s="66">
        <f t="shared" si="60"/>
        <v>38.667290997785422</v>
      </c>
      <c r="L69" s="66">
        <f t="shared" si="60"/>
        <v>38.604844156233987</v>
      </c>
      <c r="M69" s="66">
        <f t="shared" si="60"/>
        <v>38.519231872607968</v>
      </c>
      <c r="N69" s="66">
        <f t="shared" si="60"/>
        <v>38.404178137256018</v>
      </c>
      <c r="O69" s="66">
        <f t="shared" si="60"/>
        <v>38.253780678403992</v>
      </c>
      <c r="P69" s="66">
        <f t="shared" si="60"/>
        <v>38.064380499449811</v>
      </c>
      <c r="Q69" s="66">
        <f t="shared" si="60"/>
        <v>37.837105721437787</v>
      </c>
      <c r="R69" s="66">
        <f t="shared" si="60"/>
        <v>37.580109390239954</v>
      </c>
      <c r="S69" s="66">
        <f t="shared" si="60"/>
        <v>37.308799417823828</v>
      </c>
      <c r="T69" s="66">
        <f t="shared" si="60"/>
        <v>37.04282831819377</v>
      </c>
      <c r="U69" s="66">
        <f t="shared" si="60"/>
        <v>36.800709351569914</v>
      </c>
      <c r="V69" s="66">
        <f t="shared" si="60"/>
        <v>36.594942708343517</v>
      </c>
      <c r="W69" s="66">
        <f t="shared" si="60"/>
        <v>36.430160477837113</v>
      </c>
      <c r="X69" s="66">
        <f t="shared" si="60"/>
        <v>36.304424322403428</v>
      </c>
      <c r="Y69" s="66">
        <f t="shared" si="60"/>
        <v>36.211998164105417</v>
      </c>
      <c r="Z69" s="66">
        <f t="shared" si="60"/>
        <v>36.145914798020549</v>
      </c>
      <c r="AA69" s="66">
        <f t="shared" si="60"/>
        <v>36.099600117563483</v>
      </c>
      <c r="AB69" s="66">
        <f t="shared" si="60"/>
        <v>36.067593826644895</v>
      </c>
      <c r="AC69" s="66">
        <f t="shared" si="60"/>
        <v>36.045690326834659</v>
      </c>
    </row>
    <row r="70" spans="1:29" ht="15" thickBot="1" x14ac:dyDescent="0.35">
      <c r="A70" s="59" t="str">
        <f>A21</f>
        <v>Emission Cost</v>
      </c>
      <c r="B70" s="66">
        <f>B41</f>
        <v>17.334785285869845</v>
      </c>
      <c r="C70" s="66">
        <f t="shared" ref="C70:AC70" si="61">C41</f>
        <v>17.371592778833971</v>
      </c>
      <c r="D70" s="66">
        <f t="shared" si="61"/>
        <v>17.424281885191313</v>
      </c>
      <c r="E70" s="66">
        <f t="shared" si="61"/>
        <v>17.499657357099085</v>
      </c>
      <c r="F70" s="66">
        <f t="shared" si="61"/>
        <v>17.607385538878944</v>
      </c>
      <c r="G70" s="66">
        <f t="shared" si="61"/>
        <v>17.761136935304318</v>
      </c>
      <c r="H70" s="66">
        <f t="shared" si="61"/>
        <v>17.980116643160411</v>
      </c>
      <c r="I70" s="66">
        <f t="shared" si="61"/>
        <v>18.291036437183369</v>
      </c>
      <c r="J70" s="66">
        <f t="shared" si="61"/>
        <v>18.730491688550217</v>
      </c>
      <c r="K70" s="66">
        <f t="shared" si="61"/>
        <v>19.347478933039792</v>
      </c>
      <c r="L70" s="66">
        <f t="shared" si="61"/>
        <v>20.2053151761856</v>
      </c>
      <c r="M70" s="66">
        <f t="shared" si="61"/>
        <v>21.381376573820816</v>
      </c>
      <c r="N70" s="66">
        <f t="shared" si="61"/>
        <v>22.961877070598074</v>
      </c>
      <c r="O70" s="66">
        <f t="shared" si="61"/>
        <v>25.027896550126819</v>
      </c>
      <c r="P70" s="66">
        <f t="shared" si="61"/>
        <v>27.629698881977127</v>
      </c>
      <c r="Q70" s="66">
        <f t="shared" si="61"/>
        <v>30.751786995449869</v>
      </c>
      <c r="R70" s="66">
        <f t="shared" si="61"/>
        <v>34.282161979674356</v>
      </c>
      <c r="S70" s="66">
        <f t="shared" si="61"/>
        <v>38.009164365756064</v>
      </c>
      <c r="T70" s="66">
        <f t="shared" si="61"/>
        <v>41.662826316042121</v>
      </c>
      <c r="U70" s="66">
        <f t="shared" si="61"/>
        <v>44.988829994737316</v>
      </c>
      <c r="V70" s="66">
        <f t="shared" si="61"/>
        <v>47.815459489596307</v>
      </c>
      <c r="W70" s="66">
        <f t="shared" si="61"/>
        <v>50.07908349431699</v>
      </c>
      <c r="X70" s="66">
        <f t="shared" si="61"/>
        <v>51.806329076721653</v>
      </c>
      <c r="Y70" s="66">
        <f t="shared" si="61"/>
        <v>53.075993105085033</v>
      </c>
      <c r="Z70" s="66">
        <f t="shared" si="61"/>
        <v>53.98378451756151</v>
      </c>
      <c r="AA70" s="66">
        <f t="shared" si="61"/>
        <v>54.620012235388991</v>
      </c>
      <c r="AB70" s="66">
        <f t="shared" si="61"/>
        <v>55.059684694019481</v>
      </c>
      <c r="AC70" s="66">
        <f t="shared" si="61"/>
        <v>55.360574467179326</v>
      </c>
    </row>
    <row r="71" spans="1:29" ht="15" thickBot="1" x14ac:dyDescent="0.35">
      <c r="A71" s="31" t="s">
        <v>63</v>
      </c>
      <c r="B71" s="76">
        <f>B62+B63+B64-B65+B66+B67+B68+B69+B70</f>
        <v>80.650306447741144</v>
      </c>
      <c r="C71" s="76">
        <f t="shared" ref="C71:AC71" si="62">C62+C63+C64-C65+C66+C67+C68+C69+C70</f>
        <v>80.68489905686215</v>
      </c>
      <c r="D71" s="76">
        <f t="shared" si="62"/>
        <v>80.734417606330638</v>
      </c>
      <c r="E71" s="76">
        <f t="shared" si="62"/>
        <v>80.805257373645375</v>
      </c>
      <c r="F71" s="76">
        <f t="shared" si="62"/>
        <v>80.906503032708869</v>
      </c>
      <c r="G71" s="76">
        <f t="shared" si="62"/>
        <v>81.051002468286754</v>
      </c>
      <c r="H71" s="76">
        <f t="shared" si="62"/>
        <v>81.256805114141557</v>
      </c>
      <c r="I71" s="76">
        <f t="shared" si="62"/>
        <v>81.549015369078091</v>
      </c>
      <c r="J71" s="76">
        <f t="shared" si="62"/>
        <v>81.962026484818182</v>
      </c>
      <c r="K71" s="76">
        <f t="shared" si="62"/>
        <v>82.541886639979523</v>
      </c>
      <c r="L71" s="76">
        <f t="shared" si="62"/>
        <v>83.348102751408319</v>
      </c>
      <c r="M71" s="76">
        <f t="shared" si="62"/>
        <v>84.453394879572485</v>
      </c>
      <c r="N71" s="76">
        <f t="shared" si="62"/>
        <v>85.938789061508984</v>
      </c>
      <c r="O71" s="76">
        <f t="shared" si="62"/>
        <v>87.880486214352061</v>
      </c>
      <c r="P71" s="76">
        <f t="shared" si="62"/>
        <v>90.325725588942333</v>
      </c>
      <c r="Q71" s="76">
        <f t="shared" si="62"/>
        <v>93.259942647843445</v>
      </c>
      <c r="R71" s="76">
        <f t="shared" si="62"/>
        <v>96.577877993206528</v>
      </c>
      <c r="S71" s="76">
        <f t="shared" si="62"/>
        <v>100.08060872416019</v>
      </c>
      <c r="T71" s="76">
        <f t="shared" si="62"/>
        <v>103.51441226600272</v>
      </c>
      <c r="U71" s="76">
        <f t="shared" si="62"/>
        <v>106.64027431002427</v>
      </c>
      <c r="V71" s="76">
        <f t="shared" si="62"/>
        <v>109.29681191612752</v>
      </c>
      <c r="W71" s="76">
        <f t="shared" si="62"/>
        <v>111.42422277968623</v>
      </c>
      <c r="X71" s="76">
        <f t="shared" si="62"/>
        <v>113.0475316898137</v>
      </c>
      <c r="Y71" s="76">
        <f t="shared" si="62"/>
        <v>114.24079392832016</v>
      </c>
      <c r="Z71" s="76">
        <f t="shared" si="62"/>
        <v>115.09395916632801</v>
      </c>
      <c r="AA71" s="76">
        <f t="shared" si="62"/>
        <v>115.69190200302734</v>
      </c>
      <c r="AB71" s="76">
        <f t="shared" si="62"/>
        <v>116.10511725562554</v>
      </c>
      <c r="AC71" s="76">
        <f t="shared" si="62"/>
        <v>116.38790104428438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3">A50</f>
        <v>Capex vehicle</v>
      </c>
      <c r="B74" s="65">
        <f>((1+B35)^B42)*B35/(((1+B35)^B42)-1)*(B31)/B47/(B44)</f>
        <v>1.0347449498978036E-3</v>
      </c>
      <c r="C74" s="65">
        <f t="shared" ref="C74:AC74" si="64">((1+C35)^C42)*C35/(((1+C35)^C42)-1)*(C31)/C47/(C44)</f>
        <v>1.0347449498978036E-3</v>
      </c>
      <c r="D74" s="65">
        <f t="shared" si="64"/>
        <v>1.0347449498978036E-3</v>
      </c>
      <c r="E74" s="65">
        <f t="shared" si="64"/>
        <v>1.0347449498978036E-3</v>
      </c>
      <c r="F74" s="65">
        <f t="shared" si="64"/>
        <v>1.0347449498978036E-3</v>
      </c>
      <c r="G74" s="65">
        <f t="shared" si="64"/>
        <v>1.0347449498978036E-3</v>
      </c>
      <c r="H74" s="65">
        <f t="shared" si="64"/>
        <v>1.0347449498978036E-3</v>
      </c>
      <c r="I74" s="65">
        <f t="shared" si="64"/>
        <v>1.0347449498978036E-3</v>
      </c>
      <c r="J74" s="65">
        <f t="shared" si="64"/>
        <v>1.0347449498978036E-3</v>
      </c>
      <c r="K74" s="65">
        <f t="shared" si="64"/>
        <v>1.0347449498978036E-3</v>
      </c>
      <c r="L74" s="65">
        <f t="shared" si="64"/>
        <v>1.0347449498978036E-3</v>
      </c>
      <c r="M74" s="65">
        <f t="shared" si="64"/>
        <v>1.0347449498978036E-3</v>
      </c>
      <c r="N74" s="65">
        <f t="shared" si="64"/>
        <v>1.0347449498978036E-3</v>
      </c>
      <c r="O74" s="65">
        <f t="shared" si="64"/>
        <v>1.0347449498978036E-3</v>
      </c>
      <c r="P74" s="65">
        <f t="shared" si="64"/>
        <v>1.0347449498978036E-3</v>
      </c>
      <c r="Q74" s="65">
        <f t="shared" si="64"/>
        <v>1.0347449498978036E-3</v>
      </c>
      <c r="R74" s="65">
        <f t="shared" si="64"/>
        <v>1.0347449498978036E-3</v>
      </c>
      <c r="S74" s="65">
        <f t="shared" si="64"/>
        <v>1.0347449498978036E-3</v>
      </c>
      <c r="T74" s="65">
        <f t="shared" si="64"/>
        <v>1.0347449498978036E-3</v>
      </c>
      <c r="U74" s="65">
        <f t="shared" si="64"/>
        <v>1.0347449498978036E-3</v>
      </c>
      <c r="V74" s="65">
        <f t="shared" si="64"/>
        <v>1.0347449498978036E-3</v>
      </c>
      <c r="W74" s="65">
        <f t="shared" si="64"/>
        <v>1.0347449498978036E-3</v>
      </c>
      <c r="X74" s="65">
        <f t="shared" si="64"/>
        <v>1.0347449498978036E-3</v>
      </c>
      <c r="Y74" s="65">
        <f t="shared" si="64"/>
        <v>1.0347449498978036E-3</v>
      </c>
      <c r="Z74" s="65">
        <f t="shared" si="64"/>
        <v>1.0347449498978036E-3</v>
      </c>
      <c r="AA74" s="65">
        <f t="shared" si="64"/>
        <v>1.0347449498978036E-3</v>
      </c>
      <c r="AB74" s="65">
        <f t="shared" si="64"/>
        <v>1.0347449498978036E-3</v>
      </c>
      <c r="AC74" s="65">
        <f t="shared" si="64"/>
        <v>1.0347449498978036E-3</v>
      </c>
    </row>
    <row r="75" spans="1:29" x14ac:dyDescent="0.3">
      <c r="A75" s="30" t="str">
        <f t="shared" si="63"/>
        <v>Residual value (vehicle)</v>
      </c>
      <c r="B75" s="68">
        <f>((1+B35)^B42)*B35/(((1+B35)^B42)-1)*(B32)/B47/(B44)</f>
        <v>-1.0336086682377807E-4</v>
      </c>
      <c r="C75" s="68">
        <f t="shared" ref="C75:AC75" si="65">((1+C35)^C42)*C35/(((1+C35)^C42)-1)*(C32)/C47/(C44)</f>
        <v>-1.0331170855999495E-4</v>
      </c>
      <c r="D75" s="68">
        <f t="shared" si="65"/>
        <v>-1.0324133960030145E-4</v>
      </c>
      <c r="E75" s="68">
        <f t="shared" si="65"/>
        <v>-1.0314067185489343E-4</v>
      </c>
      <c r="F75" s="68">
        <f t="shared" si="65"/>
        <v>-1.0299679543326449E-4</v>
      </c>
      <c r="G75" s="68">
        <f t="shared" si="65"/>
        <v>-1.0279145268661591E-4</v>
      </c>
      <c r="H75" s="68">
        <f t="shared" si="65"/>
        <v>-1.0249899423929835E-4</v>
      </c>
      <c r="I75" s="68">
        <f t="shared" si="65"/>
        <v>-1.0208374516854875E-4</v>
      </c>
      <c r="J75" s="68">
        <f t="shared" si="65"/>
        <v>-1.0149683050993223E-4</v>
      </c>
      <c r="K75" s="68">
        <f t="shared" si="65"/>
        <v>-1.0067281291805218E-4</v>
      </c>
      <c r="L75" s="68">
        <f t="shared" si="65"/>
        <v>-9.9527129337690295E-5</v>
      </c>
      <c r="M75" s="68">
        <f t="shared" si="65"/>
        <v>-9.7956440009122124E-5</v>
      </c>
      <c r="N75" s="68">
        <f t="shared" si="65"/>
        <v>-9.5845601859790468E-5</v>
      </c>
      <c r="O75" s="68">
        <f t="shared" si="65"/>
        <v>-9.3086328614673487E-5</v>
      </c>
      <c r="P75" s="68">
        <f t="shared" si="65"/>
        <v>-8.9611490340159677E-5</v>
      </c>
      <c r="Q75" s="68">
        <f t="shared" si="65"/>
        <v>-8.5441784155991385E-5</v>
      </c>
      <c r="R75" s="68">
        <f t="shared" si="65"/>
        <v>-8.0726790257955685E-5</v>
      </c>
      <c r="S75" s="68">
        <f t="shared" si="65"/>
        <v>-7.5749190544932557E-5</v>
      </c>
      <c r="T75" s="68">
        <f t="shared" si="65"/>
        <v>-7.086954068392259E-5</v>
      </c>
      <c r="U75" s="68">
        <f t="shared" si="65"/>
        <v>-6.6427494974906487E-5</v>
      </c>
      <c r="V75" s="68">
        <f t="shared" si="65"/>
        <v>-6.2652388681716054E-5</v>
      </c>
      <c r="W75" s="68">
        <f t="shared" si="65"/>
        <v>-5.9629204624102501E-5</v>
      </c>
      <c r="X75" s="68">
        <f t="shared" si="65"/>
        <v>-5.7322381009659713E-5</v>
      </c>
      <c r="Y75" s="68">
        <f t="shared" si="65"/>
        <v>-5.5626680645522941E-5</v>
      </c>
      <c r="Z75" s="68">
        <f t="shared" si="65"/>
        <v>-5.4414279416293167E-5</v>
      </c>
      <c r="AA75" s="68">
        <f t="shared" si="65"/>
        <v>-5.3564565201592909E-5</v>
      </c>
      <c r="AB75" s="68">
        <f t="shared" si="65"/>
        <v>-5.2977360451717727E-5</v>
      </c>
      <c r="AC75" s="68">
        <f t="shared" si="65"/>
        <v>-5.2575506979843073E-5</v>
      </c>
    </row>
    <row r="76" spans="1:29" x14ac:dyDescent="0.3">
      <c r="A76" s="30" t="str">
        <f t="shared" si="63"/>
        <v>Capex costumization</v>
      </c>
      <c r="B76" s="66">
        <f>((1+B35)^B43)*B35/(((1+B35)^B43)-1)*(B33)/B47/(B44)</f>
        <v>6.8982996659853576E-5</v>
      </c>
      <c r="C76" s="66">
        <f t="shared" ref="C76:AC76" si="66">((1+C35)^C43)*C35/(((1+C35)^C43)-1)*(C33)/C47/(C44)</f>
        <v>6.8982996659853576E-5</v>
      </c>
      <c r="D76" s="66">
        <f t="shared" si="66"/>
        <v>6.8982996659853576E-5</v>
      </c>
      <c r="E76" s="66">
        <f t="shared" si="66"/>
        <v>6.8982996659853576E-5</v>
      </c>
      <c r="F76" s="66">
        <f t="shared" si="66"/>
        <v>6.8982996659853576E-5</v>
      </c>
      <c r="G76" s="66">
        <f t="shared" si="66"/>
        <v>6.8982996659853576E-5</v>
      </c>
      <c r="H76" s="66">
        <f t="shared" si="66"/>
        <v>6.8982996659853576E-5</v>
      </c>
      <c r="I76" s="66">
        <f t="shared" si="66"/>
        <v>6.8982996659853576E-5</v>
      </c>
      <c r="J76" s="66">
        <f t="shared" si="66"/>
        <v>6.8982996659853576E-5</v>
      </c>
      <c r="K76" s="66">
        <f t="shared" si="66"/>
        <v>6.8982996659853576E-5</v>
      </c>
      <c r="L76" s="66">
        <f t="shared" si="66"/>
        <v>6.8982996659853576E-5</v>
      </c>
      <c r="M76" s="66">
        <f t="shared" si="66"/>
        <v>6.8982996659853576E-5</v>
      </c>
      <c r="N76" s="66">
        <f t="shared" si="66"/>
        <v>6.8982996659853576E-5</v>
      </c>
      <c r="O76" s="66">
        <f t="shared" si="66"/>
        <v>6.8982996659853576E-5</v>
      </c>
      <c r="P76" s="66">
        <f t="shared" si="66"/>
        <v>6.8982996659853576E-5</v>
      </c>
      <c r="Q76" s="66">
        <f t="shared" si="66"/>
        <v>6.8982996659853576E-5</v>
      </c>
      <c r="R76" s="66">
        <f t="shared" si="66"/>
        <v>6.8982996659853576E-5</v>
      </c>
      <c r="S76" s="66">
        <f t="shared" si="66"/>
        <v>6.8982996659853576E-5</v>
      </c>
      <c r="T76" s="66">
        <f t="shared" si="66"/>
        <v>6.8982996659853576E-5</v>
      </c>
      <c r="U76" s="66">
        <f t="shared" si="66"/>
        <v>6.8982996659853576E-5</v>
      </c>
      <c r="V76" s="66">
        <f t="shared" si="66"/>
        <v>6.8982996659853576E-5</v>
      </c>
      <c r="W76" s="66">
        <f t="shared" si="66"/>
        <v>6.8982996659853576E-5</v>
      </c>
      <c r="X76" s="66">
        <f t="shared" si="66"/>
        <v>6.8982996659853576E-5</v>
      </c>
      <c r="Y76" s="66">
        <f t="shared" si="66"/>
        <v>6.8982996659853576E-5</v>
      </c>
      <c r="Z76" s="66">
        <f t="shared" si="66"/>
        <v>6.8982996659853576E-5</v>
      </c>
      <c r="AA76" s="66">
        <f t="shared" si="66"/>
        <v>6.8982996659853576E-5</v>
      </c>
      <c r="AB76" s="66">
        <f t="shared" si="66"/>
        <v>6.8982996659853576E-5</v>
      </c>
      <c r="AC76" s="66">
        <f t="shared" si="66"/>
        <v>6.8982996659853576E-5</v>
      </c>
    </row>
    <row r="77" spans="1:29" x14ac:dyDescent="0.3">
      <c r="A77" s="30" t="str">
        <f t="shared" si="63"/>
        <v>Residual value (costumization)</v>
      </c>
      <c r="B77" s="69">
        <f>((1+B35)^B43)*B35/(((1+B35)^B43)-1)*(B34)/B47/(B44)</f>
        <v>-6.8982996659853564E-6</v>
      </c>
      <c r="C77" s="69">
        <f t="shared" ref="C77:AC77" si="67">((1+C35)^C43)*C35/(((1+C35)^C43)-1)*(C34)/C47/(C44)</f>
        <v>-6.8982996659853564E-6</v>
      </c>
      <c r="D77" s="69">
        <f t="shared" si="67"/>
        <v>-6.8982996659853564E-6</v>
      </c>
      <c r="E77" s="69">
        <f t="shared" si="67"/>
        <v>-6.8982996659853564E-6</v>
      </c>
      <c r="F77" s="69">
        <f t="shared" si="67"/>
        <v>-6.8982996659853564E-6</v>
      </c>
      <c r="G77" s="69">
        <f t="shared" si="67"/>
        <v>-6.8982996659853564E-6</v>
      </c>
      <c r="H77" s="69">
        <f t="shared" si="67"/>
        <v>-6.8982996659853564E-6</v>
      </c>
      <c r="I77" s="69">
        <f t="shared" si="67"/>
        <v>-6.8982996659853564E-6</v>
      </c>
      <c r="J77" s="69">
        <f t="shared" si="67"/>
        <v>-6.8982996659853564E-6</v>
      </c>
      <c r="K77" s="69">
        <f t="shared" si="67"/>
        <v>-6.8982996659853564E-6</v>
      </c>
      <c r="L77" s="69">
        <f t="shared" si="67"/>
        <v>-6.8982996659853564E-6</v>
      </c>
      <c r="M77" s="69">
        <f t="shared" si="67"/>
        <v>-6.8982996659853564E-6</v>
      </c>
      <c r="N77" s="69">
        <f t="shared" si="67"/>
        <v>-6.8982996659853564E-6</v>
      </c>
      <c r="O77" s="69">
        <f t="shared" si="67"/>
        <v>-6.8982996659853564E-6</v>
      </c>
      <c r="P77" s="69">
        <f t="shared" si="67"/>
        <v>-6.8982996659853564E-6</v>
      </c>
      <c r="Q77" s="69">
        <f t="shared" si="67"/>
        <v>-6.8982996659853564E-6</v>
      </c>
      <c r="R77" s="69">
        <f t="shared" si="67"/>
        <v>-6.8982996659853564E-6</v>
      </c>
      <c r="S77" s="69">
        <f t="shared" si="67"/>
        <v>-6.8982996659853564E-6</v>
      </c>
      <c r="T77" s="69">
        <f t="shared" si="67"/>
        <v>-6.8982996659853564E-6</v>
      </c>
      <c r="U77" s="69">
        <f t="shared" si="67"/>
        <v>-6.8982996659853564E-6</v>
      </c>
      <c r="V77" s="69">
        <f t="shared" si="67"/>
        <v>-6.8982996659853564E-6</v>
      </c>
      <c r="W77" s="69">
        <f t="shared" si="67"/>
        <v>-6.8982996659853564E-6</v>
      </c>
      <c r="X77" s="69">
        <f t="shared" si="67"/>
        <v>-6.8982996659853564E-6</v>
      </c>
      <c r="Y77" s="69">
        <f t="shared" si="67"/>
        <v>-6.8982996659853564E-6</v>
      </c>
      <c r="Z77" s="69">
        <f t="shared" si="67"/>
        <v>-6.8982996659853564E-6</v>
      </c>
      <c r="AA77" s="69">
        <f t="shared" si="67"/>
        <v>-6.8982996659853564E-6</v>
      </c>
      <c r="AB77" s="69">
        <f t="shared" si="67"/>
        <v>-6.8982996659853564E-6</v>
      </c>
      <c r="AC77" s="69">
        <f t="shared" si="67"/>
        <v>-6.8982996659853564E-6</v>
      </c>
    </row>
    <row r="78" spans="1:29" x14ac:dyDescent="0.3">
      <c r="A78" s="30" t="str">
        <f t="shared" si="63"/>
        <v>Opex fix (admin, crew, insurance)</v>
      </c>
      <c r="B78" s="66">
        <f>B36/B47/(B44)</f>
        <v>1.0654632223259673E-3</v>
      </c>
      <c r="C78" s="66">
        <f t="shared" ref="C78:AC78" si="68">C36/C47/(C44)</f>
        <v>1.0654632223259673E-3</v>
      </c>
      <c r="D78" s="66">
        <f t="shared" si="68"/>
        <v>1.0654632223259673E-3</v>
      </c>
      <c r="E78" s="66">
        <f t="shared" si="68"/>
        <v>1.0654632223259673E-3</v>
      </c>
      <c r="F78" s="66">
        <f t="shared" si="68"/>
        <v>1.0654632223259673E-3</v>
      </c>
      <c r="G78" s="66">
        <f t="shared" si="68"/>
        <v>1.0654632223259673E-3</v>
      </c>
      <c r="H78" s="66">
        <f t="shared" si="68"/>
        <v>1.0654632223259673E-3</v>
      </c>
      <c r="I78" s="66">
        <f t="shared" si="68"/>
        <v>1.0654632223259673E-3</v>
      </c>
      <c r="J78" s="66">
        <f t="shared" si="68"/>
        <v>1.0654632223259673E-3</v>
      </c>
      <c r="K78" s="66">
        <f t="shared" si="68"/>
        <v>1.0654632223259673E-3</v>
      </c>
      <c r="L78" s="66">
        <f t="shared" si="68"/>
        <v>1.0654632223259673E-3</v>
      </c>
      <c r="M78" s="66">
        <f t="shared" si="68"/>
        <v>1.0654632223259673E-3</v>
      </c>
      <c r="N78" s="66">
        <f t="shared" si="68"/>
        <v>1.0654632223259673E-3</v>
      </c>
      <c r="O78" s="66">
        <f t="shared" si="68"/>
        <v>1.0654632223259673E-3</v>
      </c>
      <c r="P78" s="66">
        <f t="shared" si="68"/>
        <v>1.0654632223259673E-3</v>
      </c>
      <c r="Q78" s="66">
        <f t="shared" si="68"/>
        <v>1.0654632223259673E-3</v>
      </c>
      <c r="R78" s="66">
        <f t="shared" si="68"/>
        <v>1.0654632223259673E-3</v>
      </c>
      <c r="S78" s="66">
        <f t="shared" si="68"/>
        <v>1.0654632223259673E-3</v>
      </c>
      <c r="T78" s="66">
        <f t="shared" si="68"/>
        <v>1.0654632223259673E-3</v>
      </c>
      <c r="U78" s="66">
        <f t="shared" si="68"/>
        <v>1.0654632223259673E-3</v>
      </c>
      <c r="V78" s="66">
        <f t="shared" si="68"/>
        <v>1.0654632223259673E-3</v>
      </c>
      <c r="W78" s="66">
        <f t="shared" si="68"/>
        <v>1.0654632223259673E-3</v>
      </c>
      <c r="X78" s="66">
        <f t="shared" si="68"/>
        <v>1.0654632223259673E-3</v>
      </c>
      <c r="Y78" s="66">
        <f t="shared" si="68"/>
        <v>1.0654632223259673E-3</v>
      </c>
      <c r="Z78" s="66">
        <f t="shared" si="68"/>
        <v>1.0654632223259673E-3</v>
      </c>
      <c r="AA78" s="66">
        <f t="shared" si="68"/>
        <v>1.0654632223259673E-3</v>
      </c>
      <c r="AB78" s="66">
        <f t="shared" si="68"/>
        <v>1.0654632223259673E-3</v>
      </c>
      <c r="AC78" s="66">
        <f t="shared" si="68"/>
        <v>1.0654632223259673E-3</v>
      </c>
    </row>
    <row r="79" spans="1:29" x14ac:dyDescent="0.3">
      <c r="A79" s="30" t="str">
        <f t="shared" si="63"/>
        <v>Opex maintenance &amp; repair</v>
      </c>
      <c r="B79" s="66">
        <f>B37/B47/(B44)</f>
        <v>4.305425874053325E-4</v>
      </c>
      <c r="C79" s="66">
        <f t="shared" ref="C79:AC79" si="69">C37/C47/(C44)</f>
        <v>4.305425874053325E-4</v>
      </c>
      <c r="D79" s="66">
        <f t="shared" si="69"/>
        <v>4.305425874053325E-4</v>
      </c>
      <c r="E79" s="66">
        <f t="shared" si="69"/>
        <v>4.305425874053325E-4</v>
      </c>
      <c r="F79" s="66">
        <f t="shared" si="69"/>
        <v>4.305425874053325E-4</v>
      </c>
      <c r="G79" s="66">
        <f t="shared" si="69"/>
        <v>4.305425874053325E-4</v>
      </c>
      <c r="H79" s="66">
        <f t="shared" si="69"/>
        <v>4.305425874053325E-4</v>
      </c>
      <c r="I79" s="66">
        <f t="shared" si="69"/>
        <v>4.305425874053325E-4</v>
      </c>
      <c r="J79" s="66">
        <f t="shared" si="69"/>
        <v>4.305425874053325E-4</v>
      </c>
      <c r="K79" s="66">
        <f t="shared" si="69"/>
        <v>4.305425874053325E-4</v>
      </c>
      <c r="L79" s="66">
        <f t="shared" si="69"/>
        <v>4.305425874053325E-4</v>
      </c>
      <c r="M79" s="66">
        <f t="shared" si="69"/>
        <v>4.305425874053325E-4</v>
      </c>
      <c r="N79" s="66">
        <f t="shared" si="69"/>
        <v>4.305425874053325E-4</v>
      </c>
      <c r="O79" s="66">
        <f t="shared" si="69"/>
        <v>4.305425874053325E-4</v>
      </c>
      <c r="P79" s="66">
        <f t="shared" si="69"/>
        <v>4.305425874053325E-4</v>
      </c>
      <c r="Q79" s="66">
        <f t="shared" si="69"/>
        <v>4.305425874053325E-4</v>
      </c>
      <c r="R79" s="66">
        <f t="shared" si="69"/>
        <v>4.305425874053325E-4</v>
      </c>
      <c r="S79" s="66">
        <f t="shared" si="69"/>
        <v>4.305425874053325E-4</v>
      </c>
      <c r="T79" s="66">
        <f t="shared" si="69"/>
        <v>4.305425874053325E-4</v>
      </c>
      <c r="U79" s="66">
        <f t="shared" si="69"/>
        <v>4.305425874053325E-4</v>
      </c>
      <c r="V79" s="66">
        <f t="shared" si="69"/>
        <v>4.305425874053325E-4</v>
      </c>
      <c r="W79" s="66">
        <f t="shared" si="69"/>
        <v>4.305425874053325E-4</v>
      </c>
      <c r="X79" s="66">
        <f t="shared" si="69"/>
        <v>4.305425874053325E-4</v>
      </c>
      <c r="Y79" s="66">
        <f t="shared" si="69"/>
        <v>4.305425874053325E-4</v>
      </c>
      <c r="Z79" s="66">
        <f t="shared" si="69"/>
        <v>4.305425874053325E-4</v>
      </c>
      <c r="AA79" s="66">
        <f t="shared" si="69"/>
        <v>4.305425874053325E-4</v>
      </c>
      <c r="AB79" s="66">
        <f t="shared" si="69"/>
        <v>4.305425874053325E-4</v>
      </c>
      <c r="AC79" s="66">
        <f t="shared" si="69"/>
        <v>4.305425874053325E-4</v>
      </c>
    </row>
    <row r="80" spans="1:29" x14ac:dyDescent="0.3">
      <c r="A80" s="30" t="str">
        <f t="shared" si="63"/>
        <v>Opex var (mode-fees)</v>
      </c>
      <c r="B80" s="66">
        <f>B38*B47/B47/(B44)</f>
        <v>8.9502842587904882E-5</v>
      </c>
      <c r="C80" s="66">
        <f t="shared" ref="C80:AC80" si="70">C38*C47/C47/(C44)</f>
        <v>8.9502842587904882E-5</v>
      </c>
      <c r="D80" s="66">
        <f t="shared" si="70"/>
        <v>8.9502842587904882E-5</v>
      </c>
      <c r="E80" s="66">
        <f t="shared" si="70"/>
        <v>8.9502842587904882E-5</v>
      </c>
      <c r="F80" s="66">
        <f t="shared" si="70"/>
        <v>8.9502842587904882E-5</v>
      </c>
      <c r="G80" s="66">
        <f t="shared" si="70"/>
        <v>8.9502842587904882E-5</v>
      </c>
      <c r="H80" s="66">
        <f t="shared" si="70"/>
        <v>8.9502842587904882E-5</v>
      </c>
      <c r="I80" s="66">
        <f t="shared" si="70"/>
        <v>8.9502842587904882E-5</v>
      </c>
      <c r="J80" s="66">
        <f t="shared" si="70"/>
        <v>8.9502842587904882E-5</v>
      </c>
      <c r="K80" s="66">
        <f t="shared" si="70"/>
        <v>8.9502842587904882E-5</v>
      </c>
      <c r="L80" s="66">
        <f t="shared" si="70"/>
        <v>8.9502842587904882E-5</v>
      </c>
      <c r="M80" s="66">
        <f t="shared" si="70"/>
        <v>8.9502842587904882E-5</v>
      </c>
      <c r="N80" s="66">
        <f t="shared" si="70"/>
        <v>8.9502842587904882E-5</v>
      </c>
      <c r="O80" s="66">
        <f t="shared" si="70"/>
        <v>8.9502842587904882E-5</v>
      </c>
      <c r="P80" s="66">
        <f t="shared" si="70"/>
        <v>8.9502842587904882E-5</v>
      </c>
      <c r="Q80" s="66">
        <f t="shared" si="70"/>
        <v>8.9502842587904882E-5</v>
      </c>
      <c r="R80" s="66">
        <f t="shared" si="70"/>
        <v>8.9502842587904882E-5</v>
      </c>
      <c r="S80" s="66">
        <f t="shared" si="70"/>
        <v>8.9502842587904882E-5</v>
      </c>
      <c r="T80" s="66">
        <f t="shared" si="70"/>
        <v>8.9502842587904882E-5</v>
      </c>
      <c r="U80" s="66">
        <f t="shared" si="70"/>
        <v>8.9502842587904882E-5</v>
      </c>
      <c r="V80" s="66">
        <f t="shared" si="70"/>
        <v>8.9502842587904882E-5</v>
      </c>
      <c r="W80" s="66">
        <f t="shared" si="70"/>
        <v>8.9502842587904882E-5</v>
      </c>
      <c r="X80" s="66">
        <f t="shared" si="70"/>
        <v>8.9502842587904882E-5</v>
      </c>
      <c r="Y80" s="66">
        <f t="shared" si="70"/>
        <v>8.9502842587904882E-5</v>
      </c>
      <c r="Z80" s="66">
        <f t="shared" si="70"/>
        <v>8.9502842587904882E-5</v>
      </c>
      <c r="AA80" s="66">
        <f t="shared" si="70"/>
        <v>8.9502842587904882E-5</v>
      </c>
      <c r="AB80" s="66">
        <f t="shared" si="70"/>
        <v>8.9502842587904882E-5</v>
      </c>
      <c r="AC80" s="66">
        <f t="shared" si="70"/>
        <v>8.9502842587904882E-5</v>
      </c>
    </row>
    <row r="81" spans="1:29" x14ac:dyDescent="0.3">
      <c r="A81" s="30" t="str">
        <f t="shared" si="63"/>
        <v>Fuel Cost</v>
      </c>
      <c r="B81" s="66">
        <f>B39*B40*B47/B47/(B44)</f>
        <v>4.1072811176853007E-3</v>
      </c>
      <c r="C81" s="66">
        <f t="shared" ref="C81:AC81" si="71">C39*C40*C47/C47/(C44)</f>
        <v>4.1069975801788601E-3</v>
      </c>
      <c r="D81" s="66">
        <f t="shared" si="71"/>
        <v>4.106591702553679E-3</v>
      </c>
      <c r="E81" s="66">
        <f t="shared" si="71"/>
        <v>4.1060110660682677E-3</v>
      </c>
      <c r="F81" s="66">
        <f t="shared" si="71"/>
        <v>4.1051812084068112E-3</v>
      </c>
      <c r="G81" s="66">
        <f t="shared" si="71"/>
        <v>4.1039968221842377E-3</v>
      </c>
      <c r="H81" s="66">
        <f t="shared" si="71"/>
        <v>4.1023099656415452E-3</v>
      </c>
      <c r="I81" s="66">
        <f t="shared" si="71"/>
        <v>4.0999148711648248E-3</v>
      </c>
      <c r="J81" s="66">
        <f t="shared" si="71"/>
        <v>4.0965296352758638E-3</v>
      </c>
      <c r="K81" s="66">
        <f t="shared" si="71"/>
        <v>4.0917768251624784E-3</v>
      </c>
      <c r="L81" s="66">
        <f t="shared" si="71"/>
        <v>4.0851686937813745E-3</v>
      </c>
      <c r="M81" s="66">
        <f t="shared" si="71"/>
        <v>4.076109192868568E-3</v>
      </c>
      <c r="N81" s="66">
        <f t="shared" si="71"/>
        <v>4.0639341944186261E-3</v>
      </c>
      <c r="O81" s="66">
        <f t="shared" si="71"/>
        <v>4.0480191194078299E-3</v>
      </c>
      <c r="P81" s="66">
        <f t="shared" si="71"/>
        <v>4.0279767724285516E-3</v>
      </c>
      <c r="Q81" s="66">
        <f t="shared" si="71"/>
        <v>4.0039265313690777E-3</v>
      </c>
      <c r="R81" s="66">
        <f t="shared" si="71"/>
        <v>3.9767311524063443E-3</v>
      </c>
      <c r="S81" s="66">
        <f t="shared" si="71"/>
        <v>3.9480211024152199E-3</v>
      </c>
      <c r="T81" s="66">
        <f t="shared" si="71"/>
        <v>3.9198760125072774E-3</v>
      </c>
      <c r="U81" s="66">
        <f t="shared" si="71"/>
        <v>3.894254957838086E-3</v>
      </c>
      <c r="V81" s="66">
        <f t="shared" si="71"/>
        <v>3.8724807098776209E-3</v>
      </c>
      <c r="W81" s="66">
        <f t="shared" si="71"/>
        <v>3.8550434368081602E-3</v>
      </c>
      <c r="X81" s="66">
        <f t="shared" si="71"/>
        <v>3.8417380235347544E-3</v>
      </c>
      <c r="Y81" s="66">
        <f t="shared" si="71"/>
        <v>3.8319574776831127E-3</v>
      </c>
      <c r="Z81" s="66">
        <f t="shared" si="71"/>
        <v>3.8249645288910635E-3</v>
      </c>
      <c r="AA81" s="66">
        <f t="shared" si="71"/>
        <v>3.8200635045040725E-3</v>
      </c>
      <c r="AB81" s="66">
        <f t="shared" si="71"/>
        <v>3.8166765954121581E-3</v>
      </c>
      <c r="AC81" s="66">
        <f t="shared" si="71"/>
        <v>3.8143587647444083E-3</v>
      </c>
    </row>
    <row r="82" spans="1:29" x14ac:dyDescent="0.3">
      <c r="A82" s="59" t="str">
        <f>A45</f>
        <v>Market failure (av. utilization)</v>
      </c>
      <c r="B82" s="66">
        <f t="shared" ref="B82:AC82" si="72">B71/B45-B71/B44</f>
        <v>8.1997406700680883E-3</v>
      </c>
      <c r="C82" s="66">
        <f t="shared" si="72"/>
        <v>8.2032577109373284E-3</v>
      </c>
      <c r="D82" s="66">
        <f t="shared" si="72"/>
        <v>8.2082922766058743E-3</v>
      </c>
      <c r="E82" s="66">
        <f t="shared" si="72"/>
        <v>8.2154945768412157E-3</v>
      </c>
      <c r="F82" s="66">
        <f t="shared" si="72"/>
        <v>8.2257882531439654E-3</v>
      </c>
      <c r="G82" s="66">
        <f t="shared" si="72"/>
        <v>8.2404795537836927E-3</v>
      </c>
      <c r="H82" s="66">
        <f t="shared" si="72"/>
        <v>8.2614035700652264E-3</v>
      </c>
      <c r="I82" s="66">
        <f t="shared" si="72"/>
        <v>8.2911126736898554E-3</v>
      </c>
      <c r="J82" s="66">
        <f t="shared" si="72"/>
        <v>8.3331036368006848E-3</v>
      </c>
      <c r="K82" s="66">
        <f t="shared" si="72"/>
        <v>8.3920581914285648E-3</v>
      </c>
      <c r="L82" s="66">
        <f t="shared" si="72"/>
        <v>8.4740264235273546E-3</v>
      </c>
      <c r="M82" s="66">
        <f t="shared" si="72"/>
        <v>8.5864018032971289E-3</v>
      </c>
      <c r="N82" s="66">
        <f t="shared" si="72"/>
        <v>8.7374222720488434E-3</v>
      </c>
      <c r="O82" s="66">
        <f t="shared" si="72"/>
        <v>8.9348351997162595E-3</v>
      </c>
      <c r="P82" s="66">
        <f t="shared" si="72"/>
        <v>9.18344341499777E-3</v>
      </c>
      <c r="Q82" s="66">
        <f t="shared" si="72"/>
        <v>9.4817661370356458E-3</v>
      </c>
      <c r="R82" s="66">
        <f t="shared" si="72"/>
        <v>9.8191016115097424E-3</v>
      </c>
      <c r="S82" s="66">
        <f t="shared" si="72"/>
        <v>1.0175225287859422E-2</v>
      </c>
      <c r="T82" s="66">
        <f t="shared" si="72"/>
        <v>1.0524341116369195E-2</v>
      </c>
      <c r="U82" s="66">
        <f t="shared" si="72"/>
        <v>1.0842148441106316E-2</v>
      </c>
      <c r="V82" s="66">
        <f t="shared" si="72"/>
        <v>1.1112239410499528E-2</v>
      </c>
      <c r="W82" s="66">
        <f t="shared" si="72"/>
        <v>1.1328533906431425E-2</v>
      </c>
      <c r="X82" s="66">
        <f t="shared" si="72"/>
        <v>1.149357620666225E-2</v>
      </c>
      <c r="Y82" s="66">
        <f t="shared" si="72"/>
        <v>1.1614895533743516E-2</v>
      </c>
      <c r="Z82" s="66">
        <f t="shared" si="72"/>
        <v>1.1701637097520642E-2</v>
      </c>
      <c r="AA82" s="66">
        <f t="shared" si="72"/>
        <v>1.1762430123764583E-2</v>
      </c>
      <c r="AB82" s="66">
        <f t="shared" si="72"/>
        <v>1.1804441841530556E-2</v>
      </c>
      <c r="AC82" s="66">
        <f t="shared" si="72"/>
        <v>1.1833192553522012E-2</v>
      </c>
    </row>
    <row r="83" spans="1:29" x14ac:dyDescent="0.3">
      <c r="A83" s="59" t="str">
        <f>A46</f>
        <v>Payload loss (fuel)</v>
      </c>
      <c r="B83" s="66">
        <f>B71/(B44-B46)-B71/B44</f>
        <v>0</v>
      </c>
      <c r="C83" s="66">
        <f t="shared" ref="C83:AC83" si="73">C71/(C44-C46)-C71/C44</f>
        <v>0</v>
      </c>
      <c r="D83" s="66">
        <f t="shared" si="73"/>
        <v>0</v>
      </c>
      <c r="E83" s="66">
        <f t="shared" si="73"/>
        <v>0</v>
      </c>
      <c r="F83" s="66">
        <f t="shared" si="73"/>
        <v>0</v>
      </c>
      <c r="G83" s="66">
        <f t="shared" si="73"/>
        <v>0</v>
      </c>
      <c r="H83" s="66">
        <f t="shared" si="73"/>
        <v>0</v>
      </c>
      <c r="I83" s="66">
        <f t="shared" si="73"/>
        <v>0</v>
      </c>
      <c r="J83" s="66">
        <f t="shared" si="73"/>
        <v>0</v>
      </c>
      <c r="K83" s="66">
        <f t="shared" si="73"/>
        <v>0</v>
      </c>
      <c r="L83" s="66">
        <f t="shared" si="73"/>
        <v>0</v>
      </c>
      <c r="M83" s="66">
        <f t="shared" si="73"/>
        <v>0</v>
      </c>
      <c r="N83" s="66">
        <f t="shared" si="73"/>
        <v>0</v>
      </c>
      <c r="O83" s="66">
        <f t="shared" si="73"/>
        <v>0</v>
      </c>
      <c r="P83" s="66">
        <f t="shared" si="73"/>
        <v>0</v>
      </c>
      <c r="Q83" s="66">
        <f t="shared" si="73"/>
        <v>0</v>
      </c>
      <c r="R83" s="66">
        <f t="shared" si="73"/>
        <v>0</v>
      </c>
      <c r="S83" s="66">
        <f t="shared" si="73"/>
        <v>0</v>
      </c>
      <c r="T83" s="66">
        <f t="shared" si="73"/>
        <v>0</v>
      </c>
      <c r="U83" s="66">
        <f t="shared" si="73"/>
        <v>0</v>
      </c>
      <c r="V83" s="66">
        <f t="shared" si="73"/>
        <v>0</v>
      </c>
      <c r="W83" s="66">
        <f t="shared" si="73"/>
        <v>0</v>
      </c>
      <c r="X83" s="66">
        <f t="shared" si="73"/>
        <v>0</v>
      </c>
      <c r="Y83" s="66">
        <f t="shared" si="73"/>
        <v>0</v>
      </c>
      <c r="Z83" s="66">
        <f t="shared" si="73"/>
        <v>0</v>
      </c>
      <c r="AA83" s="66">
        <f t="shared" si="73"/>
        <v>0</v>
      </c>
      <c r="AB83" s="66">
        <f t="shared" si="73"/>
        <v>0</v>
      </c>
      <c r="AC83" s="66">
        <f t="shared" si="73"/>
        <v>0</v>
      </c>
    </row>
    <row r="84" spans="1:29" ht="15" thickBot="1" x14ac:dyDescent="0.35">
      <c r="A84" s="59" t="str">
        <f>A21</f>
        <v>Emission Cost</v>
      </c>
      <c r="B84" s="68">
        <f>B41*B47/B47/(B44)</f>
        <v>1.8343688133195604E-3</v>
      </c>
      <c r="C84" s="68">
        <f t="shared" ref="C84:AC84" si="74">C41*C47/C47/(C44)</f>
        <v>1.8382637861199969E-3</v>
      </c>
      <c r="D84" s="68">
        <f t="shared" si="74"/>
        <v>1.8438393529302977E-3</v>
      </c>
      <c r="E84" s="68">
        <f t="shared" si="74"/>
        <v>1.8518155933438187E-3</v>
      </c>
      <c r="F84" s="68">
        <f t="shared" si="74"/>
        <v>1.8632154009395707E-3</v>
      </c>
      <c r="G84" s="68">
        <f t="shared" si="74"/>
        <v>1.879485389979293E-3</v>
      </c>
      <c r="H84" s="68">
        <f t="shared" si="74"/>
        <v>1.9026578458370806E-3</v>
      </c>
      <c r="I84" s="68">
        <f t="shared" si="74"/>
        <v>1.9355594113421553E-3</v>
      </c>
      <c r="J84" s="68">
        <f t="shared" si="74"/>
        <v>1.9820626125449966E-3</v>
      </c>
      <c r="K84" s="68">
        <f t="shared" si="74"/>
        <v>2.0473522680465386E-3</v>
      </c>
      <c r="L84" s="68">
        <f t="shared" si="74"/>
        <v>2.1381285900725503E-3</v>
      </c>
      <c r="M84" s="68">
        <f t="shared" si="74"/>
        <v>2.2625795316212503E-3</v>
      </c>
      <c r="N84" s="68">
        <f t="shared" si="74"/>
        <v>2.4298282614389497E-3</v>
      </c>
      <c r="O84" s="68">
        <f t="shared" si="74"/>
        <v>2.6484546613890813E-3</v>
      </c>
      <c r="P84" s="68">
        <f t="shared" si="74"/>
        <v>2.9237776594684796E-3</v>
      </c>
      <c r="Q84" s="68">
        <f t="shared" si="74"/>
        <v>3.2541573540158593E-3</v>
      </c>
      <c r="R84" s="68">
        <f t="shared" si="74"/>
        <v>3.6277420084311488E-3</v>
      </c>
      <c r="S84" s="68">
        <f t="shared" si="74"/>
        <v>4.022133795318102E-3</v>
      </c>
      <c r="T84" s="68">
        <f t="shared" si="74"/>
        <v>4.4087646895282669E-3</v>
      </c>
      <c r="U84" s="68">
        <f t="shared" si="74"/>
        <v>4.7607227507658533E-3</v>
      </c>
      <c r="V84" s="68">
        <f t="shared" si="74"/>
        <v>5.059836983026064E-3</v>
      </c>
      <c r="W84" s="68">
        <f t="shared" si="74"/>
        <v>5.2993739147425382E-3</v>
      </c>
      <c r="X84" s="68">
        <f t="shared" si="74"/>
        <v>5.4821512250499103E-3</v>
      </c>
      <c r="Y84" s="68">
        <f t="shared" si="74"/>
        <v>5.6165072068873048E-3</v>
      </c>
      <c r="Z84" s="68">
        <f t="shared" si="74"/>
        <v>5.7125697902181494E-3</v>
      </c>
      <c r="AA84" s="68">
        <f t="shared" si="74"/>
        <v>5.7798954746443379E-3</v>
      </c>
      <c r="AB84" s="68">
        <f t="shared" si="74"/>
        <v>5.8264216607428025E-3</v>
      </c>
      <c r="AC84" s="68">
        <f t="shared" si="74"/>
        <v>5.8582618483787648E-3</v>
      </c>
    </row>
    <row r="85" spans="1:29" ht="15" thickBot="1" x14ac:dyDescent="0.35">
      <c r="A85" s="31" t="s">
        <v>210</v>
      </c>
      <c r="B85" s="77">
        <f>B74+B75+B76+B77+B78+B79+B80+B81+B82+B83+B84</f>
        <v>1.6720368033460047E-2</v>
      </c>
      <c r="C85" s="77">
        <f t="shared" ref="C85:AC85" si="75">C74+C75+C76+C77+C78+C79+C80+C81+C82+C83+C84</f>
        <v>1.6727545667887068E-2</v>
      </c>
      <c r="D85" s="77">
        <f t="shared" si="75"/>
        <v>1.6737820291700428E-2</v>
      </c>
      <c r="E85" s="77">
        <f t="shared" si="75"/>
        <v>1.6752518863609286E-2</v>
      </c>
      <c r="F85" s="77">
        <f t="shared" si="75"/>
        <v>1.6773526366267961E-2</v>
      </c>
      <c r="G85" s="77">
        <f t="shared" si="75"/>
        <v>1.6803508612471485E-2</v>
      </c>
      <c r="H85" s="77">
        <f t="shared" si="75"/>
        <v>1.6846210686515428E-2</v>
      </c>
      <c r="I85" s="77">
        <f t="shared" si="75"/>
        <v>1.6906841510239162E-2</v>
      </c>
      <c r="J85" s="77">
        <f t="shared" si="75"/>
        <v>1.6992537353322488E-2</v>
      </c>
      <c r="K85" s="77">
        <f t="shared" si="75"/>
        <v>1.7112852770930408E-2</v>
      </c>
      <c r="L85" s="77">
        <f t="shared" si="75"/>
        <v>1.7280134877254466E-2</v>
      </c>
      <c r="M85" s="77">
        <f t="shared" si="75"/>
        <v>1.7509472386988703E-2</v>
      </c>
      <c r="N85" s="77">
        <f t="shared" si="75"/>
        <v>1.7817677425257503E-2</v>
      </c>
      <c r="O85" s="77">
        <f t="shared" si="75"/>
        <v>1.8220560951109372E-2</v>
      </c>
      <c r="P85" s="77">
        <f t="shared" si="75"/>
        <v>1.8727924655765518E-2</v>
      </c>
      <c r="Q85" s="77">
        <f t="shared" si="75"/>
        <v>1.9336746537475469E-2</v>
      </c>
      <c r="R85" s="77">
        <f t="shared" si="75"/>
        <v>2.0025186281300157E-2</v>
      </c>
      <c r="S85" s="77">
        <f t="shared" si="75"/>
        <v>2.0751969294258689E-2</v>
      </c>
      <c r="T85" s="77">
        <f t="shared" si="75"/>
        <v>2.1464450576931693E-2</v>
      </c>
      <c r="U85" s="77">
        <f t="shared" si="75"/>
        <v>2.2113036953946227E-2</v>
      </c>
      <c r="V85" s="77">
        <f t="shared" si="75"/>
        <v>2.2664243013932373E-2</v>
      </c>
      <c r="W85" s="77">
        <f t="shared" si="75"/>
        <v>2.3105660352568898E-2</v>
      </c>
      <c r="X85" s="77">
        <f t="shared" si="75"/>
        <v>2.3442481373448131E-2</v>
      </c>
      <c r="Y85" s="77">
        <f t="shared" si="75"/>
        <v>2.3690071836879288E-2</v>
      </c>
      <c r="Z85" s="77">
        <f t="shared" si="75"/>
        <v>2.3867095436424436E-2</v>
      </c>
      <c r="AA85" s="77">
        <f t="shared" si="75"/>
        <v>2.3991162836922278E-2</v>
      </c>
      <c r="AB85" s="77">
        <f t="shared" si="75"/>
        <v>2.4076901036444675E-2</v>
      </c>
      <c r="AC85" s="77">
        <f t="shared" si="75"/>
        <v>2.4135575958876221E-2</v>
      </c>
    </row>
    <row r="87" spans="1:29" x14ac:dyDescent="0.3">
      <c r="B87" s="40"/>
    </row>
    <row r="107" spans="1:2" s="3" customFormat="1" ht="21" x14ac:dyDescent="0.4">
      <c r="A107" s="2" t="str">
        <f>'Parameter Input'!A153</f>
        <v>Short-sea: Container</v>
      </c>
    </row>
    <row r="108" spans="1:2" s="3" customFormat="1" ht="21" x14ac:dyDescent="0.4">
      <c r="A108" s="2" t="s">
        <v>290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Input'!$L$142</f>
        <v>15000000</v>
      </c>
      <c r="C117" s="42">
        <f>'Parameter Input'!$M$142</f>
        <v>15000000</v>
      </c>
      <c r="D117" s="1" t="s">
        <v>15</v>
      </c>
      <c r="L117" s="51">
        <f>'Parameter Input'!$O$142</f>
        <v>17</v>
      </c>
      <c r="M117" s="52">
        <v>0</v>
      </c>
      <c r="N117" s="52">
        <v>1</v>
      </c>
      <c r="O117" s="52">
        <f>'Parameter Input'!$P$142</f>
        <v>0.9</v>
      </c>
      <c r="P117" s="53">
        <f>'Parameter Input'!$Q$142</f>
        <v>0.4</v>
      </c>
      <c r="Q117" s="4">
        <f t="shared" ref="Q117:AR126" si="76">$N117+($M117-$N117)*((1/(1+EXP(-$P117*(Q$9-$L117)))^$O117))</f>
        <v>0.99780374543478534</v>
      </c>
      <c r="R117" s="4">
        <f t="shared" si="76"/>
        <v>0.99685359315256394</v>
      </c>
      <c r="S117" s="4">
        <f t="shared" si="76"/>
        <v>0.99549347132349975</v>
      </c>
      <c r="T117" s="4">
        <f t="shared" si="76"/>
        <v>0.99354772139898062</v>
      </c>
      <c r="U117" s="4">
        <f t="shared" si="76"/>
        <v>0.99076681540580536</v>
      </c>
      <c r="V117" s="4">
        <f t="shared" si="76"/>
        <v>0.9867978615748374</v>
      </c>
      <c r="W117" s="4">
        <f t="shared" si="76"/>
        <v>0.98114509762858249</v>
      </c>
      <c r="X117" s="4">
        <f t="shared" si="76"/>
        <v>0.97311898315872036</v>
      </c>
      <c r="Y117" s="4">
        <f t="shared" si="76"/>
        <v>0.96177484161592774</v>
      </c>
      <c r="Z117" s="4">
        <f t="shared" si="76"/>
        <v>0.94584787155511363</v>
      </c>
      <c r="AA117" s="4">
        <f t="shared" si="76"/>
        <v>0.92370360150141495</v>
      </c>
      <c r="AB117" s="4">
        <f t="shared" si="76"/>
        <v>0.89334463567658451</v>
      </c>
      <c r="AC117" s="4">
        <f t="shared" si="76"/>
        <v>0.85254543874327005</v>
      </c>
      <c r="AD117" s="4">
        <f t="shared" si="76"/>
        <v>0.79921300652623883</v>
      </c>
      <c r="AE117" s="4">
        <f t="shared" si="76"/>
        <v>0.73204982249993378</v>
      </c>
      <c r="AF117" s="4">
        <f t="shared" si="76"/>
        <v>0.65145592958786691</v>
      </c>
      <c r="AG117" s="4">
        <f t="shared" si="76"/>
        <v>0.56032247880849573</v>
      </c>
      <c r="AH117" s="4">
        <f t="shared" si="76"/>
        <v>0.46411326873185343</v>
      </c>
      <c r="AI117" s="4">
        <f t="shared" si="76"/>
        <v>0.36979727595523937</v>
      </c>
      <c r="AJ117" s="4">
        <f t="shared" si="76"/>
        <v>0.28393948637231203</v>
      </c>
      <c r="AK117" s="4">
        <f t="shared" si="76"/>
        <v>0.21097259161117732</v>
      </c>
      <c r="AL117" s="4">
        <f t="shared" si="76"/>
        <v>0.15253917653798199</v>
      </c>
      <c r="AM117" s="4">
        <f t="shared" si="76"/>
        <v>0.10795188737709993</v>
      </c>
      <c r="AN117" s="4">
        <f t="shared" si="76"/>
        <v>7.5176653938091809E-2</v>
      </c>
      <c r="AO117" s="4">
        <f t="shared" si="76"/>
        <v>5.1742836177502194E-2</v>
      </c>
      <c r="AP117" s="4">
        <f t="shared" si="76"/>
        <v>3.5319190625345942E-2</v>
      </c>
      <c r="AQ117" s="4">
        <f t="shared" si="76"/>
        <v>2.3969442072658165E-2</v>
      </c>
      <c r="AR117" s="4">
        <f t="shared" si="76"/>
        <v>1.6202243558389728E-2</v>
      </c>
    </row>
    <row r="118" spans="1:44" x14ac:dyDescent="0.3">
      <c r="A118" s="24" t="s">
        <v>28</v>
      </c>
      <c r="B118" s="60">
        <f>'Parameter Input'!$L$143</f>
        <v>-1500000</v>
      </c>
      <c r="C118" s="61">
        <f>'Parameter Input'!$M$143</f>
        <v>-750000</v>
      </c>
      <c r="D118" s="1" t="s">
        <v>15</v>
      </c>
      <c r="L118" s="54">
        <f>'Parameter Input'!$O$143</f>
        <v>17</v>
      </c>
      <c r="M118" s="37">
        <v>0</v>
      </c>
      <c r="N118" s="37">
        <v>1</v>
      </c>
      <c r="O118" s="37">
        <f>'Parameter Input'!$P$143</f>
        <v>0.9</v>
      </c>
      <c r="P118" s="55">
        <f>'Parameter Input'!$Q$143</f>
        <v>0.4</v>
      </c>
      <c r="Q118" s="4">
        <f t="shared" si="76"/>
        <v>0.99780374543478534</v>
      </c>
      <c r="R118" s="4">
        <f t="shared" si="76"/>
        <v>0.99685359315256394</v>
      </c>
      <c r="S118" s="4">
        <f t="shared" si="76"/>
        <v>0.99549347132349975</v>
      </c>
      <c r="T118" s="4">
        <f t="shared" si="76"/>
        <v>0.99354772139898062</v>
      </c>
      <c r="U118" s="4">
        <f t="shared" si="76"/>
        <v>0.99076681540580536</v>
      </c>
      <c r="V118" s="4">
        <f t="shared" si="76"/>
        <v>0.9867978615748374</v>
      </c>
      <c r="W118" s="4">
        <f t="shared" si="76"/>
        <v>0.98114509762858249</v>
      </c>
      <c r="X118" s="4">
        <f t="shared" si="76"/>
        <v>0.97311898315872036</v>
      </c>
      <c r="Y118" s="4">
        <f t="shared" si="76"/>
        <v>0.96177484161592774</v>
      </c>
      <c r="Z118" s="4">
        <f t="shared" si="76"/>
        <v>0.94584787155511363</v>
      </c>
      <c r="AA118" s="4">
        <f t="shared" si="76"/>
        <v>0.92370360150141495</v>
      </c>
      <c r="AB118" s="4">
        <f t="shared" si="76"/>
        <v>0.89334463567658451</v>
      </c>
      <c r="AC118" s="4">
        <f t="shared" si="76"/>
        <v>0.85254543874327005</v>
      </c>
      <c r="AD118" s="4">
        <f t="shared" si="76"/>
        <v>0.79921300652623883</v>
      </c>
      <c r="AE118" s="4">
        <f t="shared" si="76"/>
        <v>0.73204982249993378</v>
      </c>
      <c r="AF118" s="4">
        <f t="shared" si="76"/>
        <v>0.65145592958786691</v>
      </c>
      <c r="AG118" s="4">
        <f t="shared" si="76"/>
        <v>0.56032247880849573</v>
      </c>
      <c r="AH118" s="4">
        <f t="shared" si="76"/>
        <v>0.46411326873185343</v>
      </c>
      <c r="AI118" s="4">
        <f t="shared" si="76"/>
        <v>0.36979727595523937</v>
      </c>
      <c r="AJ118" s="4">
        <f t="shared" si="76"/>
        <v>0.28393948637231203</v>
      </c>
      <c r="AK118" s="4">
        <f t="shared" si="76"/>
        <v>0.21097259161117732</v>
      </c>
      <c r="AL118" s="4">
        <f t="shared" si="76"/>
        <v>0.15253917653798199</v>
      </c>
      <c r="AM118" s="4">
        <f t="shared" si="76"/>
        <v>0.10795188737709993</v>
      </c>
      <c r="AN118" s="4">
        <f t="shared" si="76"/>
        <v>7.5176653938091809E-2</v>
      </c>
      <c r="AO118" s="4">
        <f t="shared" si="76"/>
        <v>5.1742836177502194E-2</v>
      </c>
      <c r="AP118" s="4">
        <f t="shared" si="76"/>
        <v>3.5319190625345942E-2</v>
      </c>
      <c r="AQ118" s="4">
        <f t="shared" si="76"/>
        <v>2.3969442072658165E-2</v>
      </c>
      <c r="AR118" s="4">
        <f t="shared" si="76"/>
        <v>1.6202243558389728E-2</v>
      </c>
    </row>
    <row r="119" spans="1:44" x14ac:dyDescent="0.3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6"/>
        <v>0.99780374543478534</v>
      </c>
      <c r="R119" s="4">
        <f t="shared" si="76"/>
        <v>0.99685359315256394</v>
      </c>
      <c r="S119" s="4">
        <f t="shared" si="76"/>
        <v>0.99549347132349975</v>
      </c>
      <c r="T119" s="4">
        <f t="shared" si="76"/>
        <v>0.99354772139898062</v>
      </c>
      <c r="U119" s="4">
        <f t="shared" si="76"/>
        <v>0.99076681540580536</v>
      </c>
      <c r="V119" s="4">
        <f t="shared" si="76"/>
        <v>0.9867978615748374</v>
      </c>
      <c r="W119" s="4">
        <f t="shared" si="76"/>
        <v>0.98114509762858249</v>
      </c>
      <c r="X119" s="4">
        <f t="shared" si="76"/>
        <v>0.97311898315872036</v>
      </c>
      <c r="Y119" s="4">
        <f t="shared" si="76"/>
        <v>0.96177484161592774</v>
      </c>
      <c r="Z119" s="4">
        <f t="shared" si="76"/>
        <v>0.94584787155511363</v>
      </c>
      <c r="AA119" s="4">
        <f t="shared" si="76"/>
        <v>0.92370360150141495</v>
      </c>
      <c r="AB119" s="4">
        <f t="shared" si="76"/>
        <v>0.89334463567658451</v>
      </c>
      <c r="AC119" s="4">
        <f t="shared" si="76"/>
        <v>0.85254543874327005</v>
      </c>
      <c r="AD119" s="4">
        <f t="shared" si="76"/>
        <v>0.79921300652623883</v>
      </c>
      <c r="AE119" s="4">
        <f t="shared" si="76"/>
        <v>0.73204982249993378</v>
      </c>
      <c r="AF119" s="4">
        <f t="shared" si="76"/>
        <v>0.65145592958786691</v>
      </c>
      <c r="AG119" s="4">
        <f t="shared" si="76"/>
        <v>0.56032247880849573</v>
      </c>
      <c r="AH119" s="4">
        <f t="shared" si="76"/>
        <v>0.46411326873185343</v>
      </c>
      <c r="AI119" s="4">
        <f t="shared" si="76"/>
        <v>0.36979727595523937</v>
      </c>
      <c r="AJ119" s="4">
        <f t="shared" si="76"/>
        <v>0.28393948637231203</v>
      </c>
      <c r="AK119" s="4">
        <f t="shared" si="76"/>
        <v>0.21097259161117732</v>
      </c>
      <c r="AL119" s="4">
        <f t="shared" si="76"/>
        <v>0.15253917653798199</v>
      </c>
      <c r="AM119" s="4">
        <f t="shared" si="76"/>
        <v>0.10795188737709993</v>
      </c>
      <c r="AN119" s="4">
        <f t="shared" si="76"/>
        <v>7.5176653938091809E-2</v>
      </c>
      <c r="AO119" s="4">
        <f t="shared" si="76"/>
        <v>5.1742836177502194E-2</v>
      </c>
      <c r="AP119" s="4">
        <f t="shared" si="76"/>
        <v>3.5319190625345942E-2</v>
      </c>
      <c r="AQ119" s="4">
        <f t="shared" si="76"/>
        <v>2.3969442072658165E-2</v>
      </c>
      <c r="AR119" s="4">
        <f t="shared" si="76"/>
        <v>1.6202243558389728E-2</v>
      </c>
    </row>
    <row r="120" spans="1:44" x14ac:dyDescent="0.3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6"/>
        <v>0.99780374543478534</v>
      </c>
      <c r="R120" s="4">
        <f t="shared" si="76"/>
        <v>0.99685359315256394</v>
      </c>
      <c r="S120" s="4">
        <f t="shared" si="76"/>
        <v>0.99549347132349975</v>
      </c>
      <c r="T120" s="4">
        <f t="shared" si="76"/>
        <v>0.99354772139898062</v>
      </c>
      <c r="U120" s="4">
        <f t="shared" si="76"/>
        <v>0.99076681540580536</v>
      </c>
      <c r="V120" s="4">
        <f t="shared" si="76"/>
        <v>0.9867978615748374</v>
      </c>
      <c r="W120" s="4">
        <f t="shared" si="76"/>
        <v>0.98114509762858249</v>
      </c>
      <c r="X120" s="4">
        <f t="shared" si="76"/>
        <v>0.97311898315872036</v>
      </c>
      <c r="Y120" s="4">
        <f t="shared" si="76"/>
        <v>0.96177484161592774</v>
      </c>
      <c r="Z120" s="4">
        <f t="shared" si="76"/>
        <v>0.94584787155511363</v>
      </c>
      <c r="AA120" s="4">
        <f t="shared" si="76"/>
        <v>0.92370360150141495</v>
      </c>
      <c r="AB120" s="4">
        <f t="shared" si="76"/>
        <v>0.89334463567658451</v>
      </c>
      <c r="AC120" s="4">
        <f t="shared" si="76"/>
        <v>0.85254543874327005</v>
      </c>
      <c r="AD120" s="4">
        <f t="shared" si="76"/>
        <v>0.79921300652623883</v>
      </c>
      <c r="AE120" s="4">
        <f t="shared" si="76"/>
        <v>0.73204982249993378</v>
      </c>
      <c r="AF120" s="4">
        <f t="shared" si="76"/>
        <v>0.65145592958786691</v>
      </c>
      <c r="AG120" s="4">
        <f t="shared" si="76"/>
        <v>0.56032247880849573</v>
      </c>
      <c r="AH120" s="4">
        <f t="shared" si="76"/>
        <v>0.46411326873185343</v>
      </c>
      <c r="AI120" s="4">
        <f t="shared" si="76"/>
        <v>0.36979727595523937</v>
      </c>
      <c r="AJ120" s="4">
        <f t="shared" si="76"/>
        <v>0.28393948637231203</v>
      </c>
      <c r="AK120" s="4">
        <f t="shared" si="76"/>
        <v>0.21097259161117732</v>
      </c>
      <c r="AL120" s="4">
        <f t="shared" si="76"/>
        <v>0.15253917653798199</v>
      </c>
      <c r="AM120" s="4">
        <f t="shared" si="76"/>
        <v>0.10795188737709993</v>
      </c>
      <c r="AN120" s="4">
        <f t="shared" si="76"/>
        <v>7.5176653938091809E-2</v>
      </c>
      <c r="AO120" s="4">
        <f t="shared" si="76"/>
        <v>5.1742836177502194E-2</v>
      </c>
      <c r="AP120" s="4">
        <f t="shared" si="76"/>
        <v>3.5319190625345942E-2</v>
      </c>
      <c r="AQ120" s="4">
        <f t="shared" si="76"/>
        <v>2.3969442072658165E-2</v>
      </c>
      <c r="AR120" s="4">
        <f t="shared" si="76"/>
        <v>1.6202243558389728E-2</v>
      </c>
    </row>
    <row r="121" spans="1:44" x14ac:dyDescent="0.3">
      <c r="A121" s="24" t="s">
        <v>79</v>
      </c>
      <c r="B121" s="92">
        <f>'Parameter Input'!$L$149</f>
        <v>0.06</v>
      </c>
      <c r="C121" s="91">
        <f>'Parameter Input'!$M$149</f>
        <v>0.06</v>
      </c>
      <c r="D121" s="1" t="s">
        <v>57</v>
      </c>
      <c r="L121" s="54">
        <f>'Parameter Input'!$O$149</f>
        <v>17</v>
      </c>
      <c r="M121" s="37">
        <v>0</v>
      </c>
      <c r="N121" s="37">
        <v>1</v>
      </c>
      <c r="O121" s="37">
        <f>'Parameter Input'!$P$149</f>
        <v>0.9</v>
      </c>
      <c r="P121" s="55">
        <f>'Parameter Input'!$Q$149</f>
        <v>0.4</v>
      </c>
      <c r="Q121" s="4">
        <f t="shared" si="76"/>
        <v>0.99780374543478534</v>
      </c>
      <c r="R121" s="4">
        <f t="shared" si="76"/>
        <v>0.99685359315256394</v>
      </c>
      <c r="S121" s="4">
        <f t="shared" si="76"/>
        <v>0.99549347132349975</v>
      </c>
      <c r="T121" s="4">
        <f t="shared" si="76"/>
        <v>0.99354772139898062</v>
      </c>
      <c r="U121" s="4">
        <f t="shared" si="76"/>
        <v>0.99076681540580536</v>
      </c>
      <c r="V121" s="4">
        <f t="shared" si="76"/>
        <v>0.9867978615748374</v>
      </c>
      <c r="W121" s="4">
        <f t="shared" si="76"/>
        <v>0.98114509762858249</v>
      </c>
      <c r="X121" s="4">
        <f t="shared" si="76"/>
        <v>0.97311898315872036</v>
      </c>
      <c r="Y121" s="4">
        <f t="shared" si="76"/>
        <v>0.96177484161592774</v>
      </c>
      <c r="Z121" s="4">
        <f t="shared" si="76"/>
        <v>0.94584787155511363</v>
      </c>
      <c r="AA121" s="4">
        <f t="shared" si="76"/>
        <v>0.92370360150141495</v>
      </c>
      <c r="AB121" s="4">
        <f t="shared" si="76"/>
        <v>0.89334463567658451</v>
      </c>
      <c r="AC121" s="4">
        <f t="shared" si="76"/>
        <v>0.85254543874327005</v>
      </c>
      <c r="AD121" s="4">
        <f t="shared" si="76"/>
        <v>0.79921300652623883</v>
      </c>
      <c r="AE121" s="4">
        <f t="shared" si="76"/>
        <v>0.73204982249993378</v>
      </c>
      <c r="AF121" s="4">
        <f t="shared" si="76"/>
        <v>0.65145592958786691</v>
      </c>
      <c r="AG121" s="4">
        <f t="shared" si="76"/>
        <v>0.56032247880849573</v>
      </c>
      <c r="AH121" s="4">
        <f t="shared" si="76"/>
        <v>0.46411326873185343</v>
      </c>
      <c r="AI121" s="4">
        <f t="shared" si="76"/>
        <v>0.36979727595523937</v>
      </c>
      <c r="AJ121" s="4">
        <f t="shared" si="76"/>
        <v>0.28393948637231203</v>
      </c>
      <c r="AK121" s="4">
        <f t="shared" si="76"/>
        <v>0.21097259161117732</v>
      </c>
      <c r="AL121" s="4">
        <f t="shared" si="76"/>
        <v>0.15253917653798199</v>
      </c>
      <c r="AM121" s="4">
        <f t="shared" si="76"/>
        <v>0.10795188737709993</v>
      </c>
      <c r="AN121" s="4">
        <f t="shared" si="76"/>
        <v>7.5176653938091809E-2</v>
      </c>
      <c r="AO121" s="4">
        <f t="shared" si="76"/>
        <v>5.1742836177502194E-2</v>
      </c>
      <c r="AP121" s="4">
        <f t="shared" si="76"/>
        <v>3.5319190625345942E-2</v>
      </c>
      <c r="AQ121" s="4">
        <f t="shared" si="76"/>
        <v>2.3969442072658165E-2</v>
      </c>
      <c r="AR121" s="4">
        <f t="shared" si="76"/>
        <v>1.6202243558389728E-2</v>
      </c>
    </row>
    <row r="122" spans="1:44" x14ac:dyDescent="0.3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6"/>
        <v>0.99780374543478534</v>
      </c>
      <c r="R122" s="4">
        <f t="shared" si="76"/>
        <v>0.99685359315256394</v>
      </c>
      <c r="S122" s="4">
        <f t="shared" si="76"/>
        <v>0.99549347132349975</v>
      </c>
      <c r="T122" s="4">
        <f t="shared" si="76"/>
        <v>0.99354772139898062</v>
      </c>
      <c r="U122" s="4">
        <f t="shared" si="76"/>
        <v>0.99076681540580536</v>
      </c>
      <c r="V122" s="4">
        <f t="shared" si="76"/>
        <v>0.9867978615748374</v>
      </c>
      <c r="W122" s="4">
        <f t="shared" si="76"/>
        <v>0.98114509762858249</v>
      </c>
      <c r="X122" s="4">
        <f t="shared" si="76"/>
        <v>0.97311898315872036</v>
      </c>
      <c r="Y122" s="4">
        <f t="shared" si="76"/>
        <v>0.96177484161592774</v>
      </c>
      <c r="Z122" s="4">
        <f t="shared" si="76"/>
        <v>0.94584787155511363</v>
      </c>
      <c r="AA122" s="4">
        <f t="shared" si="76"/>
        <v>0.92370360150141495</v>
      </c>
      <c r="AB122" s="4">
        <f t="shared" si="76"/>
        <v>0.89334463567658451</v>
      </c>
      <c r="AC122" s="4">
        <f t="shared" si="76"/>
        <v>0.85254543874327005</v>
      </c>
      <c r="AD122" s="4">
        <f t="shared" si="76"/>
        <v>0.79921300652623883</v>
      </c>
      <c r="AE122" s="4">
        <f t="shared" si="76"/>
        <v>0.73204982249993378</v>
      </c>
      <c r="AF122" s="4">
        <f t="shared" si="76"/>
        <v>0.65145592958786691</v>
      </c>
      <c r="AG122" s="4">
        <f t="shared" si="76"/>
        <v>0.56032247880849573</v>
      </c>
      <c r="AH122" s="4">
        <f t="shared" si="76"/>
        <v>0.46411326873185343</v>
      </c>
      <c r="AI122" s="4">
        <f t="shared" si="76"/>
        <v>0.36979727595523937</v>
      </c>
      <c r="AJ122" s="4">
        <f t="shared" si="76"/>
        <v>0.28393948637231203</v>
      </c>
      <c r="AK122" s="4">
        <f t="shared" si="76"/>
        <v>0.21097259161117732</v>
      </c>
      <c r="AL122" s="4">
        <f t="shared" si="76"/>
        <v>0.15253917653798199</v>
      </c>
      <c r="AM122" s="4">
        <f t="shared" si="76"/>
        <v>0.10795188737709993</v>
      </c>
      <c r="AN122" s="4">
        <f t="shared" si="76"/>
        <v>7.5176653938091809E-2</v>
      </c>
      <c r="AO122" s="4">
        <f t="shared" si="76"/>
        <v>5.1742836177502194E-2</v>
      </c>
      <c r="AP122" s="4">
        <f t="shared" si="76"/>
        <v>3.5319190625345942E-2</v>
      </c>
      <c r="AQ122" s="4">
        <f t="shared" si="76"/>
        <v>2.3969442072658165E-2</v>
      </c>
      <c r="AR122" s="4">
        <f t="shared" si="76"/>
        <v>1.6202243558389728E-2</v>
      </c>
    </row>
    <row r="123" spans="1:44" x14ac:dyDescent="0.3">
      <c r="A123" s="24" t="s">
        <v>52</v>
      </c>
      <c r="B123" s="60">
        <f>'Parameter Input'!$L$145</f>
        <v>488235.29411764705</v>
      </c>
      <c r="C123" s="61">
        <f>'Parameter Input'!$M$145</f>
        <v>488235.29411764705</v>
      </c>
      <c r="D123" s="1" t="s">
        <v>38</v>
      </c>
      <c r="L123" s="54">
        <f>'Parameter Input'!$O$145</f>
        <v>17</v>
      </c>
      <c r="M123" s="37">
        <v>0</v>
      </c>
      <c r="N123" s="37">
        <v>1</v>
      </c>
      <c r="O123" s="37">
        <f>'Parameter Input'!$P$145</f>
        <v>0.9</v>
      </c>
      <c r="P123" s="55">
        <f>'Parameter Input'!$Q$145</f>
        <v>0.4</v>
      </c>
      <c r="Q123" s="4">
        <f t="shared" si="76"/>
        <v>0.99780374543478534</v>
      </c>
      <c r="R123" s="4">
        <f t="shared" si="76"/>
        <v>0.99685359315256394</v>
      </c>
      <c r="S123" s="4">
        <f t="shared" si="76"/>
        <v>0.99549347132349975</v>
      </c>
      <c r="T123" s="4">
        <f t="shared" si="76"/>
        <v>0.99354772139898062</v>
      </c>
      <c r="U123" s="4">
        <f t="shared" si="76"/>
        <v>0.99076681540580536</v>
      </c>
      <c r="V123" s="4">
        <f t="shared" si="76"/>
        <v>0.9867978615748374</v>
      </c>
      <c r="W123" s="4">
        <f t="shared" si="76"/>
        <v>0.98114509762858249</v>
      </c>
      <c r="X123" s="4">
        <f t="shared" si="76"/>
        <v>0.97311898315872036</v>
      </c>
      <c r="Y123" s="4">
        <f t="shared" si="76"/>
        <v>0.96177484161592774</v>
      </c>
      <c r="Z123" s="4">
        <f t="shared" si="76"/>
        <v>0.94584787155511363</v>
      </c>
      <c r="AA123" s="4">
        <f t="shared" si="76"/>
        <v>0.92370360150141495</v>
      </c>
      <c r="AB123" s="4">
        <f t="shared" si="76"/>
        <v>0.89334463567658451</v>
      </c>
      <c r="AC123" s="4">
        <f t="shared" si="76"/>
        <v>0.85254543874327005</v>
      </c>
      <c r="AD123" s="4">
        <f t="shared" si="76"/>
        <v>0.79921300652623883</v>
      </c>
      <c r="AE123" s="4">
        <f t="shared" si="76"/>
        <v>0.73204982249993378</v>
      </c>
      <c r="AF123" s="4">
        <f t="shared" si="76"/>
        <v>0.65145592958786691</v>
      </c>
      <c r="AG123" s="4">
        <f t="shared" si="76"/>
        <v>0.56032247880849573</v>
      </c>
      <c r="AH123" s="4">
        <f t="shared" si="76"/>
        <v>0.46411326873185343</v>
      </c>
      <c r="AI123" s="4">
        <f t="shared" si="76"/>
        <v>0.36979727595523937</v>
      </c>
      <c r="AJ123" s="4">
        <f t="shared" si="76"/>
        <v>0.28393948637231203</v>
      </c>
      <c r="AK123" s="4">
        <f t="shared" si="76"/>
        <v>0.21097259161117732</v>
      </c>
      <c r="AL123" s="4">
        <f t="shared" si="76"/>
        <v>0.15253917653798199</v>
      </c>
      <c r="AM123" s="4">
        <f t="shared" si="76"/>
        <v>0.10795188737709993</v>
      </c>
      <c r="AN123" s="4">
        <f t="shared" si="76"/>
        <v>7.5176653938091809E-2</v>
      </c>
      <c r="AO123" s="4">
        <f t="shared" si="76"/>
        <v>5.1742836177502194E-2</v>
      </c>
      <c r="AP123" s="4">
        <f t="shared" si="76"/>
        <v>3.5319190625345942E-2</v>
      </c>
      <c r="AQ123" s="4">
        <f t="shared" si="76"/>
        <v>2.3969442072658165E-2</v>
      </c>
      <c r="AR123" s="4">
        <f t="shared" si="76"/>
        <v>1.6202243558389728E-2</v>
      </c>
    </row>
    <row r="124" spans="1:44" x14ac:dyDescent="0.3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6"/>
        <v>0.99780374543478534</v>
      </c>
      <c r="R124" s="4">
        <f t="shared" si="76"/>
        <v>0.99685359315256394</v>
      </c>
      <c r="S124" s="4">
        <f t="shared" si="76"/>
        <v>0.99549347132349975</v>
      </c>
      <c r="T124" s="4">
        <f t="shared" si="76"/>
        <v>0.99354772139898062</v>
      </c>
      <c r="U124" s="4">
        <f t="shared" si="76"/>
        <v>0.99076681540580536</v>
      </c>
      <c r="V124" s="4">
        <f t="shared" si="76"/>
        <v>0.9867978615748374</v>
      </c>
      <c r="W124" s="4">
        <f t="shared" si="76"/>
        <v>0.98114509762858249</v>
      </c>
      <c r="X124" s="4">
        <f t="shared" si="76"/>
        <v>0.97311898315872036</v>
      </c>
      <c r="Y124" s="4">
        <f t="shared" si="76"/>
        <v>0.96177484161592774</v>
      </c>
      <c r="Z124" s="4">
        <f t="shared" si="76"/>
        <v>0.94584787155511363</v>
      </c>
      <c r="AA124" s="4">
        <f t="shared" si="76"/>
        <v>0.92370360150141495</v>
      </c>
      <c r="AB124" s="4">
        <f t="shared" si="76"/>
        <v>0.89334463567658451</v>
      </c>
      <c r="AC124" s="4">
        <f t="shared" si="76"/>
        <v>0.85254543874327005</v>
      </c>
      <c r="AD124" s="4">
        <f t="shared" si="76"/>
        <v>0.79921300652623883</v>
      </c>
      <c r="AE124" s="4">
        <f t="shared" si="76"/>
        <v>0.73204982249993378</v>
      </c>
      <c r="AF124" s="4">
        <f t="shared" si="76"/>
        <v>0.65145592958786691</v>
      </c>
      <c r="AG124" s="4">
        <f t="shared" si="76"/>
        <v>0.56032247880849573</v>
      </c>
      <c r="AH124" s="4">
        <f t="shared" si="76"/>
        <v>0.46411326873185343</v>
      </c>
      <c r="AI124" s="4">
        <f t="shared" si="76"/>
        <v>0.36979727595523937</v>
      </c>
      <c r="AJ124" s="4">
        <f t="shared" si="76"/>
        <v>0.28393948637231203</v>
      </c>
      <c r="AK124" s="4">
        <f t="shared" si="76"/>
        <v>0.21097259161117732</v>
      </c>
      <c r="AL124" s="4">
        <f t="shared" si="76"/>
        <v>0.15253917653798199</v>
      </c>
      <c r="AM124" s="4">
        <f t="shared" si="76"/>
        <v>0.10795188737709993</v>
      </c>
      <c r="AN124" s="4">
        <f t="shared" si="76"/>
        <v>7.5176653938091809E-2</v>
      </c>
      <c r="AO124" s="4">
        <f t="shared" si="76"/>
        <v>5.1742836177502194E-2</v>
      </c>
      <c r="AP124" s="4">
        <f t="shared" si="76"/>
        <v>3.5319190625345942E-2</v>
      </c>
      <c r="AQ124" s="4">
        <f t="shared" si="76"/>
        <v>2.3969442072658165E-2</v>
      </c>
      <c r="AR124" s="4">
        <f t="shared" si="76"/>
        <v>1.6202243558389728E-2</v>
      </c>
    </row>
    <row r="125" spans="1:44" x14ac:dyDescent="0.3">
      <c r="A125" s="24" t="s">
        <v>59</v>
      </c>
      <c r="B125" s="60">
        <f>'Parameter Input'!$L$146</f>
        <v>647</v>
      </c>
      <c r="C125" s="61">
        <f>'Parameter Input'!$M$146</f>
        <v>600</v>
      </c>
      <c r="D125" s="1" t="s">
        <v>60</v>
      </c>
      <c r="L125" s="54">
        <f>'Parameter Input'!$O$146</f>
        <v>17</v>
      </c>
      <c r="M125" s="37">
        <v>0</v>
      </c>
      <c r="N125" s="37">
        <v>1</v>
      </c>
      <c r="O125" s="37">
        <f>'Parameter Input'!$P$146</f>
        <v>0.9</v>
      </c>
      <c r="P125" s="55">
        <f>'Parameter Input'!$Q$146</f>
        <v>0.4</v>
      </c>
      <c r="Q125" s="4">
        <f t="shared" si="76"/>
        <v>0.99780374543478534</v>
      </c>
      <c r="R125" s="4">
        <f t="shared" si="76"/>
        <v>0.99685359315256394</v>
      </c>
      <c r="S125" s="4">
        <f t="shared" si="76"/>
        <v>0.99549347132349975</v>
      </c>
      <c r="T125" s="4">
        <f t="shared" si="76"/>
        <v>0.99354772139898062</v>
      </c>
      <c r="U125" s="4">
        <f t="shared" si="76"/>
        <v>0.99076681540580536</v>
      </c>
      <c r="V125" s="4">
        <f t="shared" si="76"/>
        <v>0.9867978615748374</v>
      </c>
      <c r="W125" s="4">
        <f t="shared" si="76"/>
        <v>0.98114509762858249</v>
      </c>
      <c r="X125" s="4">
        <f t="shared" si="76"/>
        <v>0.97311898315872036</v>
      </c>
      <c r="Y125" s="4">
        <f t="shared" si="76"/>
        <v>0.96177484161592774</v>
      </c>
      <c r="Z125" s="4">
        <f t="shared" si="76"/>
        <v>0.94584787155511363</v>
      </c>
      <c r="AA125" s="4">
        <f t="shared" si="76"/>
        <v>0.92370360150141495</v>
      </c>
      <c r="AB125" s="4">
        <f t="shared" si="76"/>
        <v>0.89334463567658451</v>
      </c>
      <c r="AC125" s="4">
        <f t="shared" si="76"/>
        <v>0.85254543874327005</v>
      </c>
      <c r="AD125" s="4">
        <f t="shared" si="76"/>
        <v>0.79921300652623883</v>
      </c>
      <c r="AE125" s="4">
        <f t="shared" si="76"/>
        <v>0.73204982249993378</v>
      </c>
      <c r="AF125" s="4">
        <f t="shared" si="76"/>
        <v>0.65145592958786691</v>
      </c>
      <c r="AG125" s="4">
        <f t="shared" si="76"/>
        <v>0.56032247880849573</v>
      </c>
      <c r="AH125" s="4">
        <f t="shared" si="76"/>
        <v>0.46411326873185343</v>
      </c>
      <c r="AI125" s="4">
        <f t="shared" si="76"/>
        <v>0.36979727595523937</v>
      </c>
      <c r="AJ125" s="4">
        <f t="shared" si="76"/>
        <v>0.28393948637231203</v>
      </c>
      <c r="AK125" s="4">
        <f t="shared" si="76"/>
        <v>0.21097259161117732</v>
      </c>
      <c r="AL125" s="4">
        <f t="shared" si="76"/>
        <v>0.15253917653798199</v>
      </c>
      <c r="AM125" s="4">
        <f t="shared" si="76"/>
        <v>0.10795188737709993</v>
      </c>
      <c r="AN125" s="4">
        <f t="shared" si="76"/>
        <v>7.5176653938091809E-2</v>
      </c>
      <c r="AO125" s="4">
        <f t="shared" si="76"/>
        <v>5.1742836177502194E-2</v>
      </c>
      <c r="AP125" s="4">
        <f t="shared" si="76"/>
        <v>3.5319190625345942E-2</v>
      </c>
      <c r="AQ125" s="4">
        <f t="shared" si="76"/>
        <v>2.3969442072658165E-2</v>
      </c>
      <c r="AR125" s="4">
        <f t="shared" si="76"/>
        <v>1.6202243558389728E-2</v>
      </c>
    </row>
    <row r="126" spans="1:44" x14ac:dyDescent="0.3">
      <c r="A126" s="24" t="s">
        <v>67</v>
      </c>
      <c r="B126" s="78">
        <f>'Parameter Input'!$L$147</f>
        <v>0.06</v>
      </c>
      <c r="C126" s="61">
        <f>'Parameter Input'!$M$147</f>
        <v>0.06</v>
      </c>
      <c r="D126" s="1" t="s">
        <v>68</v>
      </c>
      <c r="L126" s="54">
        <f>'Parameter Input'!$O$147</f>
        <v>17</v>
      </c>
      <c r="M126" s="37">
        <v>0</v>
      </c>
      <c r="N126" s="37">
        <v>1</v>
      </c>
      <c r="O126" s="37">
        <f>'Parameter Input'!$P$147</f>
        <v>0.9</v>
      </c>
      <c r="P126" s="55">
        <f>'Parameter Input'!$Q$147</f>
        <v>0.4</v>
      </c>
      <c r="Q126" s="4">
        <f t="shared" si="76"/>
        <v>0.99780374543478534</v>
      </c>
      <c r="R126" s="4">
        <f t="shared" si="76"/>
        <v>0.99685359315256394</v>
      </c>
      <c r="S126" s="4">
        <f t="shared" si="76"/>
        <v>0.99549347132349975</v>
      </c>
      <c r="T126" s="4">
        <f t="shared" ref="T126:AI133" si="77">$N126+($M126-$N126)*((1/(1+EXP(-$P126*(T$9-$L126)))^$O126))</f>
        <v>0.99354772139898062</v>
      </c>
      <c r="U126" s="4">
        <f t="shared" si="77"/>
        <v>0.99076681540580536</v>
      </c>
      <c r="V126" s="4">
        <f t="shared" si="77"/>
        <v>0.9867978615748374</v>
      </c>
      <c r="W126" s="4">
        <f t="shared" si="77"/>
        <v>0.98114509762858249</v>
      </c>
      <c r="X126" s="4">
        <f t="shared" si="77"/>
        <v>0.97311898315872036</v>
      </c>
      <c r="Y126" s="4">
        <f t="shared" si="77"/>
        <v>0.96177484161592774</v>
      </c>
      <c r="Z126" s="4">
        <f t="shared" si="77"/>
        <v>0.94584787155511363</v>
      </c>
      <c r="AA126" s="4">
        <f t="shared" si="77"/>
        <v>0.92370360150141495</v>
      </c>
      <c r="AB126" s="4">
        <f t="shared" si="77"/>
        <v>0.89334463567658451</v>
      </c>
      <c r="AC126" s="4">
        <f t="shared" si="77"/>
        <v>0.85254543874327005</v>
      </c>
      <c r="AD126" s="4">
        <f t="shared" si="77"/>
        <v>0.79921300652623883</v>
      </c>
      <c r="AE126" s="4">
        <f t="shared" si="77"/>
        <v>0.73204982249993378</v>
      </c>
      <c r="AF126" s="4">
        <f t="shared" si="77"/>
        <v>0.65145592958786691</v>
      </c>
      <c r="AG126" s="4">
        <f t="shared" si="77"/>
        <v>0.56032247880849573</v>
      </c>
      <c r="AH126" s="4">
        <f t="shared" si="77"/>
        <v>0.46411326873185343</v>
      </c>
      <c r="AI126" s="4">
        <f t="shared" si="77"/>
        <v>0.36979727595523937</v>
      </c>
      <c r="AJ126" s="4">
        <f t="shared" ref="AJ126:AR133" si="78">$N126+($M126-$N126)*((1/(1+EXP(-$P126*(AJ$9-$L126)))^$O126))</f>
        <v>0.28393948637231203</v>
      </c>
      <c r="AK126" s="4">
        <f t="shared" si="78"/>
        <v>0.21097259161117732</v>
      </c>
      <c r="AL126" s="4">
        <f t="shared" si="78"/>
        <v>0.15253917653798199</v>
      </c>
      <c r="AM126" s="4">
        <f t="shared" si="78"/>
        <v>0.10795188737709993</v>
      </c>
      <c r="AN126" s="4">
        <f t="shared" si="78"/>
        <v>7.5176653938091809E-2</v>
      </c>
      <c r="AO126" s="4">
        <f t="shared" si="78"/>
        <v>5.1742836177502194E-2</v>
      </c>
      <c r="AP126" s="4">
        <f t="shared" si="78"/>
        <v>3.5319190625345942E-2</v>
      </c>
      <c r="AQ126" s="4">
        <f t="shared" si="78"/>
        <v>2.3969442072658165E-2</v>
      </c>
      <c r="AR126" s="4">
        <f t="shared" si="78"/>
        <v>1.6202243558389728E-2</v>
      </c>
    </row>
    <row r="127" spans="1:44" x14ac:dyDescent="0.3">
      <c r="A127" s="24" t="s">
        <v>206</v>
      </c>
      <c r="B127" s="78">
        <f>'Parameter Input'!L150</f>
        <v>17.249705634987386</v>
      </c>
      <c r="C127" s="61">
        <f>'Parameter Input'!M150</f>
        <v>55.988225399495377</v>
      </c>
      <c r="D127" s="1"/>
      <c r="L127" s="54">
        <f>'Parameter Input'!O150</f>
        <v>17</v>
      </c>
      <c r="M127" s="37">
        <v>0</v>
      </c>
      <c r="N127" s="37">
        <v>1</v>
      </c>
      <c r="O127" s="37">
        <f>'Parameter Input'!P150</f>
        <v>0.9</v>
      </c>
      <c r="P127" s="55">
        <f>'Parameter Input'!Q150</f>
        <v>0.4</v>
      </c>
      <c r="Q127" s="4">
        <f t="shared" ref="Q127:AR127" si="79">$N127+($M127-$N127)*((1/(1+EXP(-$P127*(Q$9-$L127)))^$O127))</f>
        <v>0.99780374543478534</v>
      </c>
      <c r="R127" s="4">
        <f t="shared" si="79"/>
        <v>0.99685359315256394</v>
      </c>
      <c r="S127" s="4">
        <f t="shared" si="79"/>
        <v>0.99549347132349975</v>
      </c>
      <c r="T127" s="4">
        <f t="shared" si="79"/>
        <v>0.99354772139898062</v>
      </c>
      <c r="U127" s="4">
        <f t="shared" si="79"/>
        <v>0.99076681540580536</v>
      </c>
      <c r="V127" s="4">
        <f t="shared" si="79"/>
        <v>0.9867978615748374</v>
      </c>
      <c r="W127" s="4">
        <f t="shared" si="79"/>
        <v>0.98114509762858249</v>
      </c>
      <c r="X127" s="4">
        <f t="shared" si="79"/>
        <v>0.97311898315872036</v>
      </c>
      <c r="Y127" s="4">
        <f t="shared" si="79"/>
        <v>0.96177484161592774</v>
      </c>
      <c r="Z127" s="4">
        <f t="shared" si="79"/>
        <v>0.94584787155511363</v>
      </c>
      <c r="AA127" s="4">
        <f t="shared" si="79"/>
        <v>0.92370360150141495</v>
      </c>
      <c r="AB127" s="4">
        <f t="shared" si="79"/>
        <v>0.89334463567658451</v>
      </c>
      <c r="AC127" s="4">
        <f t="shared" si="79"/>
        <v>0.85254543874327005</v>
      </c>
      <c r="AD127" s="4">
        <f t="shared" si="79"/>
        <v>0.79921300652623883</v>
      </c>
      <c r="AE127" s="4">
        <f t="shared" si="79"/>
        <v>0.73204982249993378</v>
      </c>
      <c r="AF127" s="4">
        <f t="shared" si="79"/>
        <v>0.65145592958786691</v>
      </c>
      <c r="AG127" s="4">
        <f t="shared" si="79"/>
        <v>0.56032247880849573</v>
      </c>
      <c r="AH127" s="4">
        <f t="shared" si="79"/>
        <v>0.46411326873185343</v>
      </c>
      <c r="AI127" s="4">
        <f t="shared" si="79"/>
        <v>0.36979727595523937</v>
      </c>
      <c r="AJ127" s="4">
        <f t="shared" si="79"/>
        <v>0.28393948637231203</v>
      </c>
      <c r="AK127" s="4">
        <f t="shared" si="79"/>
        <v>0.21097259161117732</v>
      </c>
      <c r="AL127" s="4">
        <f t="shared" si="79"/>
        <v>0.15253917653798199</v>
      </c>
      <c r="AM127" s="4">
        <f t="shared" si="79"/>
        <v>0.10795188737709993</v>
      </c>
      <c r="AN127" s="4">
        <f t="shared" si="79"/>
        <v>7.5176653938091809E-2</v>
      </c>
      <c r="AO127" s="4">
        <f t="shared" si="79"/>
        <v>5.1742836177502194E-2</v>
      </c>
      <c r="AP127" s="4">
        <f t="shared" si="79"/>
        <v>3.5319190625345942E-2</v>
      </c>
      <c r="AQ127" s="4">
        <f t="shared" si="79"/>
        <v>2.3969442072658165E-2</v>
      </c>
      <c r="AR127" s="4">
        <f t="shared" si="79"/>
        <v>1.6202243558389728E-2</v>
      </c>
    </row>
    <row r="128" spans="1:44" x14ac:dyDescent="0.3">
      <c r="A128" s="24" t="s">
        <v>41</v>
      </c>
      <c r="B128" s="60">
        <f>'Parameter Input'!$L$144</f>
        <v>25</v>
      </c>
      <c r="C128" s="61">
        <f>'Parameter Input'!$M$144</f>
        <v>25</v>
      </c>
      <c r="D128" s="1" t="s">
        <v>42</v>
      </c>
      <c r="L128" s="54">
        <f>'Parameter Input'!$O$144</f>
        <v>17</v>
      </c>
      <c r="M128" s="37">
        <v>0</v>
      </c>
      <c r="N128" s="37">
        <v>1</v>
      </c>
      <c r="O128" s="37">
        <f>'Parameter Input'!$P$144</f>
        <v>0.9</v>
      </c>
      <c r="P128" s="55">
        <f>'Parameter Input'!$Q$144</f>
        <v>0.4</v>
      </c>
      <c r="Q128" s="4">
        <f t="shared" ref="Q128:AF133" si="80">$N128+($M128-$N128)*((1/(1+EXP(-$P128*(Q$9-$L128)))^$O128))</f>
        <v>0.99780374543478534</v>
      </c>
      <c r="R128" s="4">
        <f t="shared" si="80"/>
        <v>0.99685359315256394</v>
      </c>
      <c r="S128" s="4">
        <f t="shared" si="80"/>
        <v>0.99549347132349975</v>
      </c>
      <c r="T128" s="4">
        <f t="shared" si="80"/>
        <v>0.99354772139898062</v>
      </c>
      <c r="U128" s="4">
        <f t="shared" si="80"/>
        <v>0.99076681540580536</v>
      </c>
      <c r="V128" s="4">
        <f t="shared" si="80"/>
        <v>0.9867978615748374</v>
      </c>
      <c r="W128" s="4">
        <f t="shared" si="80"/>
        <v>0.98114509762858249</v>
      </c>
      <c r="X128" s="4">
        <f t="shared" si="80"/>
        <v>0.97311898315872036</v>
      </c>
      <c r="Y128" s="4">
        <f t="shared" si="80"/>
        <v>0.96177484161592774</v>
      </c>
      <c r="Z128" s="4">
        <f t="shared" si="80"/>
        <v>0.94584787155511363</v>
      </c>
      <c r="AA128" s="4">
        <f t="shared" si="80"/>
        <v>0.92370360150141495</v>
      </c>
      <c r="AB128" s="4">
        <f t="shared" si="80"/>
        <v>0.89334463567658451</v>
      </c>
      <c r="AC128" s="4">
        <f t="shared" si="80"/>
        <v>0.85254543874327005</v>
      </c>
      <c r="AD128" s="4">
        <f t="shared" si="80"/>
        <v>0.79921300652623883</v>
      </c>
      <c r="AE128" s="4">
        <f t="shared" si="80"/>
        <v>0.73204982249993378</v>
      </c>
      <c r="AF128" s="4">
        <f t="shared" si="80"/>
        <v>0.65145592958786691</v>
      </c>
      <c r="AG128" s="4">
        <f t="shared" si="77"/>
        <v>0.56032247880849573</v>
      </c>
      <c r="AH128" s="4">
        <f t="shared" si="77"/>
        <v>0.46411326873185343</v>
      </c>
      <c r="AI128" s="4">
        <f t="shared" si="77"/>
        <v>0.36979727595523937</v>
      </c>
      <c r="AJ128" s="4">
        <f t="shared" si="78"/>
        <v>0.28393948637231203</v>
      </c>
      <c r="AK128" s="4">
        <f t="shared" si="78"/>
        <v>0.21097259161117732</v>
      </c>
      <c r="AL128" s="4">
        <f t="shared" si="78"/>
        <v>0.15253917653798199</v>
      </c>
      <c r="AM128" s="4">
        <f t="shared" si="78"/>
        <v>0.10795188737709993</v>
      </c>
      <c r="AN128" s="4">
        <f t="shared" si="78"/>
        <v>7.5176653938091809E-2</v>
      </c>
      <c r="AO128" s="4">
        <f t="shared" si="78"/>
        <v>5.1742836177502194E-2</v>
      </c>
      <c r="AP128" s="4">
        <f t="shared" si="78"/>
        <v>3.5319190625345942E-2</v>
      </c>
      <c r="AQ128" s="4">
        <f t="shared" si="78"/>
        <v>2.3969442072658165E-2</v>
      </c>
      <c r="AR128" s="4">
        <f t="shared" si="78"/>
        <v>1.6202243558389728E-2</v>
      </c>
    </row>
    <row r="129" spans="1:44" x14ac:dyDescent="0.3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0"/>
        <v>0.99780374543478534</v>
      </c>
      <c r="R129" s="4">
        <f t="shared" si="80"/>
        <v>0.99685359315256394</v>
      </c>
      <c r="S129" s="4">
        <f t="shared" si="80"/>
        <v>0.99549347132349975</v>
      </c>
      <c r="T129" s="4">
        <f t="shared" si="80"/>
        <v>0.99354772139898062</v>
      </c>
      <c r="U129" s="4">
        <f t="shared" si="80"/>
        <v>0.99076681540580536</v>
      </c>
      <c r="V129" s="4">
        <f t="shared" si="80"/>
        <v>0.9867978615748374</v>
      </c>
      <c r="W129" s="4">
        <f t="shared" si="80"/>
        <v>0.98114509762858249</v>
      </c>
      <c r="X129" s="4">
        <f t="shared" si="80"/>
        <v>0.97311898315872036</v>
      </c>
      <c r="Y129" s="4">
        <f t="shared" si="80"/>
        <v>0.96177484161592774</v>
      </c>
      <c r="Z129" s="4">
        <f t="shared" si="80"/>
        <v>0.94584787155511363</v>
      </c>
      <c r="AA129" s="4">
        <f t="shared" si="80"/>
        <v>0.92370360150141495</v>
      </c>
      <c r="AB129" s="4">
        <f t="shared" si="80"/>
        <v>0.89334463567658451</v>
      </c>
      <c r="AC129" s="4">
        <f t="shared" si="80"/>
        <v>0.85254543874327005</v>
      </c>
      <c r="AD129" s="4">
        <f t="shared" si="80"/>
        <v>0.79921300652623883</v>
      </c>
      <c r="AE129" s="4">
        <f t="shared" si="80"/>
        <v>0.73204982249993378</v>
      </c>
      <c r="AF129" s="4">
        <f t="shared" si="80"/>
        <v>0.65145592958786691</v>
      </c>
      <c r="AG129" s="4">
        <f t="shared" si="77"/>
        <v>0.56032247880849573</v>
      </c>
      <c r="AH129" s="4">
        <f t="shared" si="77"/>
        <v>0.46411326873185343</v>
      </c>
      <c r="AI129" s="4">
        <f t="shared" si="77"/>
        <v>0.36979727595523937</v>
      </c>
      <c r="AJ129" s="4">
        <f t="shared" si="78"/>
        <v>0.28393948637231203</v>
      </c>
      <c r="AK129" s="4">
        <f t="shared" si="78"/>
        <v>0.21097259161117732</v>
      </c>
      <c r="AL129" s="4">
        <f t="shared" si="78"/>
        <v>0.15253917653798199</v>
      </c>
      <c r="AM129" s="4">
        <f t="shared" si="78"/>
        <v>0.10795188737709993</v>
      </c>
      <c r="AN129" s="4">
        <f t="shared" si="78"/>
        <v>7.5176653938091809E-2</v>
      </c>
      <c r="AO129" s="4">
        <f t="shared" si="78"/>
        <v>5.1742836177502194E-2</v>
      </c>
      <c r="AP129" s="4">
        <f t="shared" si="78"/>
        <v>3.5319190625345942E-2</v>
      </c>
      <c r="AQ129" s="4">
        <f t="shared" si="78"/>
        <v>2.3969442072658165E-2</v>
      </c>
      <c r="AR129" s="4">
        <f t="shared" si="78"/>
        <v>1.6202243558389728E-2</v>
      </c>
    </row>
    <row r="130" spans="1:44" x14ac:dyDescent="0.3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0"/>
        <v>0.99780374543478534</v>
      </c>
      <c r="R130" s="4">
        <f t="shared" si="80"/>
        <v>0.99685359315256394</v>
      </c>
      <c r="S130" s="4">
        <f t="shared" si="80"/>
        <v>0.99549347132349975</v>
      </c>
      <c r="T130" s="4">
        <f t="shared" si="80"/>
        <v>0.99354772139898062</v>
      </c>
      <c r="U130" s="4">
        <f t="shared" si="80"/>
        <v>0.99076681540580536</v>
      </c>
      <c r="V130" s="4">
        <f t="shared" si="80"/>
        <v>0.9867978615748374</v>
      </c>
      <c r="W130" s="4">
        <f t="shared" si="80"/>
        <v>0.98114509762858249</v>
      </c>
      <c r="X130" s="4">
        <f t="shared" si="80"/>
        <v>0.97311898315872036</v>
      </c>
      <c r="Y130" s="4">
        <f t="shared" si="80"/>
        <v>0.96177484161592774</v>
      </c>
      <c r="Z130" s="4">
        <f t="shared" si="80"/>
        <v>0.94584787155511363</v>
      </c>
      <c r="AA130" s="4">
        <f t="shared" si="80"/>
        <v>0.92370360150141495</v>
      </c>
      <c r="AB130" s="4">
        <f t="shared" si="80"/>
        <v>0.89334463567658451</v>
      </c>
      <c r="AC130" s="4">
        <f t="shared" si="80"/>
        <v>0.85254543874327005</v>
      </c>
      <c r="AD130" s="4">
        <f t="shared" si="80"/>
        <v>0.79921300652623883</v>
      </c>
      <c r="AE130" s="4">
        <f t="shared" si="80"/>
        <v>0.73204982249993378</v>
      </c>
      <c r="AF130" s="4">
        <f t="shared" si="80"/>
        <v>0.65145592958786691</v>
      </c>
      <c r="AG130" s="4">
        <f t="shared" si="77"/>
        <v>0.56032247880849573</v>
      </c>
      <c r="AH130" s="4">
        <f t="shared" si="77"/>
        <v>0.46411326873185343</v>
      </c>
      <c r="AI130" s="4">
        <f t="shared" si="77"/>
        <v>0.36979727595523937</v>
      </c>
      <c r="AJ130" s="4">
        <f t="shared" si="78"/>
        <v>0.28393948637231203</v>
      </c>
      <c r="AK130" s="4">
        <f t="shared" si="78"/>
        <v>0.21097259161117732</v>
      </c>
      <c r="AL130" s="4">
        <f t="shared" si="78"/>
        <v>0.15253917653798199</v>
      </c>
      <c r="AM130" s="4">
        <f t="shared" si="78"/>
        <v>0.10795188737709993</v>
      </c>
      <c r="AN130" s="4">
        <f t="shared" si="78"/>
        <v>7.5176653938091809E-2</v>
      </c>
      <c r="AO130" s="4">
        <f t="shared" si="78"/>
        <v>5.1742836177502194E-2</v>
      </c>
      <c r="AP130" s="4">
        <f t="shared" si="78"/>
        <v>3.5319190625345942E-2</v>
      </c>
      <c r="AQ130" s="4">
        <f t="shared" si="78"/>
        <v>2.3969442072658165E-2</v>
      </c>
      <c r="AR130" s="4">
        <f t="shared" si="78"/>
        <v>1.6202243558389728E-2</v>
      </c>
    </row>
    <row r="131" spans="1:44" x14ac:dyDescent="0.3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0"/>
        <v>0.99780374543478534</v>
      </c>
      <c r="R131" s="4">
        <f t="shared" si="80"/>
        <v>0.99685359315256394</v>
      </c>
      <c r="S131" s="4">
        <f t="shared" si="80"/>
        <v>0.99549347132349975</v>
      </c>
      <c r="T131" s="4">
        <f t="shared" si="80"/>
        <v>0.99354772139898062</v>
      </c>
      <c r="U131" s="4">
        <f t="shared" si="80"/>
        <v>0.99076681540580536</v>
      </c>
      <c r="V131" s="4">
        <f t="shared" si="80"/>
        <v>0.9867978615748374</v>
      </c>
      <c r="W131" s="4">
        <f t="shared" si="80"/>
        <v>0.98114509762858249</v>
      </c>
      <c r="X131" s="4">
        <f t="shared" si="80"/>
        <v>0.97311898315872036</v>
      </c>
      <c r="Y131" s="4">
        <f t="shared" si="80"/>
        <v>0.96177484161592774</v>
      </c>
      <c r="Z131" s="4">
        <f t="shared" si="80"/>
        <v>0.94584787155511363</v>
      </c>
      <c r="AA131" s="4">
        <f t="shared" si="80"/>
        <v>0.92370360150141495</v>
      </c>
      <c r="AB131" s="4">
        <f t="shared" si="80"/>
        <v>0.89334463567658451</v>
      </c>
      <c r="AC131" s="4">
        <f t="shared" si="80"/>
        <v>0.85254543874327005</v>
      </c>
      <c r="AD131" s="4">
        <f t="shared" si="80"/>
        <v>0.79921300652623883</v>
      </c>
      <c r="AE131" s="4">
        <f t="shared" si="80"/>
        <v>0.73204982249993378</v>
      </c>
      <c r="AF131" s="4">
        <f t="shared" si="80"/>
        <v>0.65145592958786691</v>
      </c>
      <c r="AG131" s="4">
        <f t="shared" si="77"/>
        <v>0.56032247880849573</v>
      </c>
      <c r="AH131" s="4">
        <f t="shared" si="77"/>
        <v>0.46411326873185343</v>
      </c>
      <c r="AI131" s="4">
        <f t="shared" si="77"/>
        <v>0.36979727595523937</v>
      </c>
      <c r="AJ131" s="4">
        <f t="shared" si="78"/>
        <v>0.28393948637231203</v>
      </c>
      <c r="AK131" s="4">
        <f t="shared" si="78"/>
        <v>0.21097259161117732</v>
      </c>
      <c r="AL131" s="4">
        <f t="shared" si="78"/>
        <v>0.15253917653798199</v>
      </c>
      <c r="AM131" s="4">
        <f t="shared" si="78"/>
        <v>0.10795188737709993</v>
      </c>
      <c r="AN131" s="4">
        <f t="shared" si="78"/>
        <v>7.5176653938091809E-2</v>
      </c>
      <c r="AO131" s="4">
        <f t="shared" si="78"/>
        <v>5.1742836177502194E-2</v>
      </c>
      <c r="AP131" s="4">
        <f t="shared" si="78"/>
        <v>3.5319190625345942E-2</v>
      </c>
      <c r="AQ131" s="4">
        <f t="shared" si="78"/>
        <v>2.3969442072658165E-2</v>
      </c>
      <c r="AR131" s="4">
        <f t="shared" si="78"/>
        <v>1.6202243558389728E-2</v>
      </c>
    </row>
    <row r="132" spans="1:44" x14ac:dyDescent="0.3">
      <c r="A132" s="24" t="s">
        <v>73</v>
      </c>
      <c r="B132" s="45">
        <f>'Parameter Input'!$L$148</f>
        <v>0</v>
      </c>
      <c r="C132" s="46">
        <f>'Parameter Input'!$M$148</f>
        <v>0</v>
      </c>
      <c r="D132" s="1" t="s">
        <v>57</v>
      </c>
      <c r="L132" s="54">
        <f>'Parameter Input'!$O$148</f>
        <v>17</v>
      </c>
      <c r="M132" s="37">
        <v>0</v>
      </c>
      <c r="N132" s="37">
        <v>1</v>
      </c>
      <c r="O132" s="37">
        <f>'Parameter Input'!$P$148</f>
        <v>0.9</v>
      </c>
      <c r="P132" s="55">
        <f>'Parameter Input'!$Q$148</f>
        <v>0.4</v>
      </c>
      <c r="Q132" s="4">
        <f t="shared" si="80"/>
        <v>0.99780374543478534</v>
      </c>
      <c r="R132" s="4">
        <f t="shared" si="80"/>
        <v>0.99685359315256394</v>
      </c>
      <c r="S132" s="4">
        <f t="shared" si="80"/>
        <v>0.99549347132349975</v>
      </c>
      <c r="T132" s="4">
        <f t="shared" si="80"/>
        <v>0.99354772139898062</v>
      </c>
      <c r="U132" s="4">
        <f t="shared" si="80"/>
        <v>0.99076681540580536</v>
      </c>
      <c r="V132" s="4">
        <f t="shared" si="80"/>
        <v>0.9867978615748374</v>
      </c>
      <c r="W132" s="4">
        <f t="shared" si="80"/>
        <v>0.98114509762858249</v>
      </c>
      <c r="X132" s="4">
        <f t="shared" si="80"/>
        <v>0.97311898315872036</v>
      </c>
      <c r="Y132" s="4">
        <f t="shared" si="80"/>
        <v>0.96177484161592774</v>
      </c>
      <c r="Z132" s="4">
        <f t="shared" si="80"/>
        <v>0.94584787155511363</v>
      </c>
      <c r="AA132" s="4">
        <f t="shared" si="80"/>
        <v>0.92370360150141495</v>
      </c>
      <c r="AB132" s="4">
        <f t="shared" si="80"/>
        <v>0.89334463567658451</v>
      </c>
      <c r="AC132" s="4">
        <f t="shared" si="80"/>
        <v>0.85254543874327005</v>
      </c>
      <c r="AD132" s="4">
        <f t="shared" si="80"/>
        <v>0.79921300652623883</v>
      </c>
      <c r="AE132" s="4">
        <f t="shared" si="80"/>
        <v>0.73204982249993378</v>
      </c>
      <c r="AF132" s="4">
        <f t="shared" si="80"/>
        <v>0.65145592958786691</v>
      </c>
      <c r="AG132" s="4">
        <f t="shared" si="77"/>
        <v>0.56032247880849573</v>
      </c>
      <c r="AH132" s="4">
        <f t="shared" si="77"/>
        <v>0.46411326873185343</v>
      </c>
      <c r="AI132" s="4">
        <f t="shared" si="77"/>
        <v>0.36979727595523937</v>
      </c>
      <c r="AJ132" s="4">
        <f t="shared" si="78"/>
        <v>0.28393948637231203</v>
      </c>
      <c r="AK132" s="4">
        <f t="shared" si="78"/>
        <v>0.21097259161117732</v>
      </c>
      <c r="AL132" s="4">
        <f t="shared" si="78"/>
        <v>0.15253917653798199</v>
      </c>
      <c r="AM132" s="4">
        <f t="shared" si="78"/>
        <v>0.10795188737709993</v>
      </c>
      <c r="AN132" s="4">
        <f t="shared" si="78"/>
        <v>7.5176653938091809E-2</v>
      </c>
      <c r="AO132" s="4">
        <f t="shared" si="78"/>
        <v>5.1742836177502194E-2</v>
      </c>
      <c r="AP132" s="4">
        <f t="shared" si="78"/>
        <v>3.5319190625345942E-2</v>
      </c>
      <c r="AQ132" s="4">
        <f t="shared" si="78"/>
        <v>2.3969442072658165E-2</v>
      </c>
      <c r="AR132" s="4">
        <f t="shared" si="78"/>
        <v>1.6202243558389728E-2</v>
      </c>
    </row>
    <row r="133" spans="1:44" ht="15" thickBot="1" x14ac:dyDescent="0.35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0"/>
        <v>0.99780374543478534</v>
      </c>
      <c r="R133" s="4">
        <f t="shared" si="80"/>
        <v>0.99685359315256394</v>
      </c>
      <c r="S133" s="4">
        <f t="shared" si="80"/>
        <v>0.99549347132349975</v>
      </c>
      <c r="T133" s="4">
        <f t="shared" si="80"/>
        <v>0.99354772139898062</v>
      </c>
      <c r="U133" s="4">
        <f t="shared" si="80"/>
        <v>0.99076681540580536</v>
      </c>
      <c r="V133" s="4">
        <f t="shared" si="80"/>
        <v>0.9867978615748374</v>
      </c>
      <c r="W133" s="4">
        <f t="shared" si="80"/>
        <v>0.98114509762858249</v>
      </c>
      <c r="X133" s="4">
        <f t="shared" si="80"/>
        <v>0.97311898315872036</v>
      </c>
      <c r="Y133" s="4">
        <f t="shared" si="80"/>
        <v>0.96177484161592774</v>
      </c>
      <c r="Z133" s="4">
        <f t="shared" si="80"/>
        <v>0.94584787155511363</v>
      </c>
      <c r="AA133" s="4">
        <f t="shared" si="80"/>
        <v>0.92370360150141495</v>
      </c>
      <c r="AB133" s="4">
        <f t="shared" si="80"/>
        <v>0.89334463567658451</v>
      </c>
      <c r="AC133" s="4">
        <f t="shared" si="80"/>
        <v>0.85254543874327005</v>
      </c>
      <c r="AD133" s="4">
        <f t="shared" si="80"/>
        <v>0.79921300652623883</v>
      </c>
      <c r="AE133" s="4">
        <f t="shared" si="80"/>
        <v>0.73204982249993378</v>
      </c>
      <c r="AF133" s="4">
        <f t="shared" si="80"/>
        <v>0.65145592958786691</v>
      </c>
      <c r="AG133" s="4">
        <f t="shared" si="77"/>
        <v>0.56032247880849573</v>
      </c>
      <c r="AH133" s="4">
        <f t="shared" si="77"/>
        <v>0.46411326873185343</v>
      </c>
      <c r="AI133" s="4">
        <f t="shared" si="77"/>
        <v>0.36979727595523937</v>
      </c>
      <c r="AJ133" s="4">
        <f t="shared" si="78"/>
        <v>0.28393948637231203</v>
      </c>
      <c r="AK133" s="4">
        <f t="shared" si="78"/>
        <v>0.21097259161117732</v>
      </c>
      <c r="AL133" s="4">
        <f t="shared" si="78"/>
        <v>0.15253917653798199</v>
      </c>
      <c r="AM133" s="4">
        <f t="shared" si="78"/>
        <v>0.10795188737709993</v>
      </c>
      <c r="AN133" s="4">
        <f t="shared" si="78"/>
        <v>7.5176653938091809E-2</v>
      </c>
      <c r="AO133" s="4">
        <f t="shared" si="78"/>
        <v>5.1742836177502194E-2</v>
      </c>
      <c r="AP133" s="4">
        <f t="shared" si="78"/>
        <v>3.5319190625345942E-2</v>
      </c>
      <c r="AQ133" s="4">
        <f t="shared" si="78"/>
        <v>2.3969442072658165E-2</v>
      </c>
      <c r="AR133" s="4">
        <f t="shared" si="78"/>
        <v>1.6202243558389728E-2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51" si="81">A117</f>
        <v>Capex vehicle</v>
      </c>
      <c r="B137" s="62">
        <f t="shared" ref="B137:B146" si="82">$B117+($C117-$B117)*(1-Q117)</f>
        <v>15000000</v>
      </c>
      <c r="C137" s="62">
        <f t="shared" ref="C137:C146" si="83">$B117+($C117-$B117)*(1-R117)</f>
        <v>15000000</v>
      </c>
      <c r="D137" s="62">
        <f t="shared" ref="D137:D146" si="84">$B117+($C117-$B117)*(1-S117)</f>
        <v>15000000</v>
      </c>
      <c r="E137" s="62">
        <f t="shared" ref="E137:E146" si="85">$B117+($C117-$B117)*(1-T117)</f>
        <v>15000000</v>
      </c>
      <c r="F137" s="62">
        <f t="shared" ref="F137:F146" si="86">$B117+($C117-$B117)*(1-U117)</f>
        <v>15000000</v>
      </c>
      <c r="G137" s="62">
        <f t="shared" ref="G137:G146" si="87">$B117+($C117-$B117)*(1-V117)</f>
        <v>15000000</v>
      </c>
      <c r="H137" s="62">
        <f t="shared" ref="H137:H146" si="88">$B117+($C117-$B117)*(1-W117)</f>
        <v>15000000</v>
      </c>
      <c r="I137" s="62">
        <f t="shared" ref="I137:I146" si="89">$B117+($C117-$B117)*(1-X117)</f>
        <v>15000000</v>
      </c>
      <c r="J137" s="62">
        <f t="shared" ref="J137:J146" si="90">$B117+($C117-$B117)*(1-Y117)</f>
        <v>15000000</v>
      </c>
      <c r="K137" s="62">
        <f t="shared" ref="K137:K146" si="91">$B117+($C117-$B117)*(1-Z117)</f>
        <v>15000000</v>
      </c>
      <c r="L137" s="62">
        <f t="shared" ref="L137:L146" si="92">$B117+($C117-$B117)*(1-AA117)</f>
        <v>15000000</v>
      </c>
      <c r="M137" s="62">
        <f t="shared" ref="M137:M146" si="93">$B117+($C117-$B117)*(1-AB117)</f>
        <v>15000000</v>
      </c>
      <c r="N137" s="62">
        <f t="shared" ref="N137:N146" si="94">$B117+($C117-$B117)*(1-AC117)</f>
        <v>15000000</v>
      </c>
      <c r="O137" s="62">
        <f t="shared" ref="O137:O146" si="95">$B117+($C117-$B117)*(1-AD117)</f>
        <v>15000000</v>
      </c>
      <c r="P137" s="62">
        <f t="shared" ref="P137:P146" si="96">$B117+($C117-$B117)*(1-AE117)</f>
        <v>15000000</v>
      </c>
      <c r="Q137" s="62">
        <f t="shared" ref="Q137:Q146" si="97">$B117+($C117-$B117)*(1-AF117)</f>
        <v>15000000</v>
      </c>
      <c r="R137" s="62">
        <f t="shared" ref="R137:R146" si="98">$B117+($C117-$B117)*(1-AG117)</f>
        <v>15000000</v>
      </c>
      <c r="S137" s="62">
        <f t="shared" ref="S137:S146" si="99">$B117+($C117-$B117)*(1-AH117)</f>
        <v>15000000</v>
      </c>
      <c r="T137" s="62">
        <f t="shared" ref="T137:T146" si="100">$B117+($C117-$B117)*(1-AI117)</f>
        <v>15000000</v>
      </c>
      <c r="U137" s="62">
        <f t="shared" ref="U137:U146" si="101">$B117+($C117-$B117)*(1-AJ117)</f>
        <v>15000000</v>
      </c>
      <c r="V137" s="62">
        <f t="shared" ref="V137:V146" si="102">$B117+($C117-$B117)*(1-AK117)</f>
        <v>15000000</v>
      </c>
      <c r="W137" s="62">
        <f t="shared" ref="W137:W146" si="103">$B117+($C117-$B117)*(1-AL117)</f>
        <v>15000000</v>
      </c>
      <c r="X137" s="62">
        <f t="shared" ref="X137:X146" si="104">$B117+($C117-$B117)*(1-AM117)</f>
        <v>15000000</v>
      </c>
      <c r="Y137" s="62">
        <f t="shared" ref="Y137:Y146" si="105">$B117+($C117-$B117)*(1-AN117)</f>
        <v>15000000</v>
      </c>
      <c r="Z137" s="62">
        <f t="shared" ref="Z137:Z146" si="106">$B117+($C117-$B117)*(1-AO117)</f>
        <v>15000000</v>
      </c>
      <c r="AA137" s="62">
        <f t="shared" ref="AA137:AA146" si="107">$B117+($C117-$B117)*(1-AP117)</f>
        <v>15000000</v>
      </c>
      <c r="AB137" s="62">
        <f t="shared" ref="AB137:AB146" si="108">$B117+($C117-$B117)*(1-AQ117)</f>
        <v>15000000</v>
      </c>
      <c r="AC137" s="62">
        <f t="shared" ref="AC137:AC146" si="109">$B117+($C117-$B117)*(1-AR117)</f>
        <v>15000000</v>
      </c>
    </row>
    <row r="138" spans="1:44" x14ac:dyDescent="0.3">
      <c r="A138" s="30" t="str">
        <f t="shared" si="81"/>
        <v>Residual value (vehicle)</v>
      </c>
      <c r="B138" s="62">
        <f t="shared" si="82"/>
        <v>-1498352.8090760889</v>
      </c>
      <c r="C138" s="62">
        <f t="shared" si="83"/>
        <v>-1497640.194864423</v>
      </c>
      <c r="D138" s="62">
        <f t="shared" si="84"/>
        <v>-1496620.1034926248</v>
      </c>
      <c r="E138" s="62">
        <f t="shared" si="85"/>
        <v>-1495160.7910492355</v>
      </c>
      <c r="F138" s="62">
        <f t="shared" si="86"/>
        <v>-1493075.111554354</v>
      </c>
      <c r="G138" s="62">
        <f t="shared" si="87"/>
        <v>-1490098.396181128</v>
      </c>
      <c r="H138" s="62">
        <f t="shared" si="88"/>
        <v>-1485858.8232214369</v>
      </c>
      <c r="I138" s="62">
        <f t="shared" si="89"/>
        <v>-1479839.2373690403</v>
      </c>
      <c r="J138" s="62">
        <f t="shared" si="90"/>
        <v>-1471331.1312119458</v>
      </c>
      <c r="K138" s="62">
        <f t="shared" si="91"/>
        <v>-1459385.9036663352</v>
      </c>
      <c r="L138" s="62">
        <f t="shared" si="92"/>
        <v>-1442777.7011260611</v>
      </c>
      <c r="M138" s="62">
        <f t="shared" si="93"/>
        <v>-1420008.4767574384</v>
      </c>
      <c r="N138" s="62">
        <f t="shared" si="94"/>
        <v>-1389409.0790574525</v>
      </c>
      <c r="O138" s="62">
        <f t="shared" si="95"/>
        <v>-1349409.7548946792</v>
      </c>
      <c r="P138" s="62">
        <f t="shared" si="96"/>
        <v>-1299037.3668749502</v>
      </c>
      <c r="Q138" s="62">
        <f t="shared" si="97"/>
        <v>-1238591.9471909001</v>
      </c>
      <c r="R138" s="62">
        <f t="shared" si="98"/>
        <v>-1170241.8591063719</v>
      </c>
      <c r="S138" s="62">
        <f t="shared" si="99"/>
        <v>-1098084.9515488902</v>
      </c>
      <c r="T138" s="62">
        <f t="shared" si="100"/>
        <v>-1027347.9569664295</v>
      </c>
      <c r="U138" s="62">
        <f t="shared" si="101"/>
        <v>-962954.61477923405</v>
      </c>
      <c r="V138" s="62">
        <f t="shared" si="102"/>
        <v>-908229.44370838301</v>
      </c>
      <c r="W138" s="62">
        <f t="shared" si="103"/>
        <v>-864404.38240348652</v>
      </c>
      <c r="X138" s="62">
        <f t="shared" si="104"/>
        <v>-830963.91553282493</v>
      </c>
      <c r="Y138" s="62">
        <f t="shared" si="105"/>
        <v>-806382.49045356887</v>
      </c>
      <c r="Z138" s="62">
        <f t="shared" si="106"/>
        <v>-788807.1271331266</v>
      </c>
      <c r="AA138" s="62">
        <f t="shared" si="107"/>
        <v>-776489.39296900947</v>
      </c>
      <c r="AB138" s="62">
        <f t="shared" si="108"/>
        <v>-767977.08155449363</v>
      </c>
      <c r="AC138" s="62">
        <f t="shared" si="109"/>
        <v>-762151.68266879232</v>
      </c>
    </row>
    <row r="139" spans="1:44" x14ac:dyDescent="0.3">
      <c r="A139" s="30" t="str">
        <f t="shared" si="81"/>
        <v>Capex costumization</v>
      </c>
      <c r="B139" s="62">
        <f t="shared" si="82"/>
        <v>5000000</v>
      </c>
      <c r="C139" s="62">
        <f t="shared" si="83"/>
        <v>5000000</v>
      </c>
      <c r="D139" s="62">
        <f t="shared" si="84"/>
        <v>5000000</v>
      </c>
      <c r="E139" s="62">
        <f t="shared" si="85"/>
        <v>5000000</v>
      </c>
      <c r="F139" s="62">
        <f t="shared" si="86"/>
        <v>5000000</v>
      </c>
      <c r="G139" s="62">
        <f t="shared" si="87"/>
        <v>5000000</v>
      </c>
      <c r="H139" s="62">
        <f t="shared" si="88"/>
        <v>5000000</v>
      </c>
      <c r="I139" s="62">
        <f t="shared" si="89"/>
        <v>5000000</v>
      </c>
      <c r="J139" s="62">
        <f t="shared" si="90"/>
        <v>5000000</v>
      </c>
      <c r="K139" s="62">
        <f t="shared" si="91"/>
        <v>5000000</v>
      </c>
      <c r="L139" s="62">
        <f t="shared" si="92"/>
        <v>5000000</v>
      </c>
      <c r="M139" s="62">
        <f t="shared" si="93"/>
        <v>5000000</v>
      </c>
      <c r="N139" s="62">
        <f t="shared" si="94"/>
        <v>5000000</v>
      </c>
      <c r="O139" s="62">
        <f t="shared" si="95"/>
        <v>5000000</v>
      </c>
      <c r="P139" s="62">
        <f t="shared" si="96"/>
        <v>5000000</v>
      </c>
      <c r="Q139" s="62">
        <f t="shared" si="97"/>
        <v>5000000</v>
      </c>
      <c r="R139" s="62">
        <f t="shared" si="98"/>
        <v>5000000</v>
      </c>
      <c r="S139" s="62">
        <f t="shared" si="99"/>
        <v>5000000</v>
      </c>
      <c r="T139" s="62">
        <f t="shared" si="100"/>
        <v>5000000</v>
      </c>
      <c r="U139" s="62">
        <f t="shared" si="101"/>
        <v>5000000</v>
      </c>
      <c r="V139" s="62">
        <f t="shared" si="102"/>
        <v>5000000</v>
      </c>
      <c r="W139" s="62">
        <f t="shared" si="103"/>
        <v>5000000</v>
      </c>
      <c r="X139" s="62">
        <f t="shared" si="104"/>
        <v>5000000</v>
      </c>
      <c r="Y139" s="62">
        <f t="shared" si="105"/>
        <v>5000000</v>
      </c>
      <c r="Z139" s="62">
        <f t="shared" si="106"/>
        <v>5000000</v>
      </c>
      <c r="AA139" s="62">
        <f t="shared" si="107"/>
        <v>5000000</v>
      </c>
      <c r="AB139" s="62">
        <f t="shared" si="108"/>
        <v>5000000</v>
      </c>
      <c r="AC139" s="62">
        <f t="shared" si="109"/>
        <v>5000000</v>
      </c>
    </row>
    <row r="140" spans="1:44" x14ac:dyDescent="0.3">
      <c r="A140" s="30" t="str">
        <f t="shared" si="81"/>
        <v>Residual value (costumization)</v>
      </c>
      <c r="B140" s="62">
        <f t="shared" si="82"/>
        <v>-500000</v>
      </c>
      <c r="C140" s="62">
        <f t="shared" si="83"/>
        <v>-500000</v>
      </c>
      <c r="D140" s="62">
        <f t="shared" si="84"/>
        <v>-500000</v>
      </c>
      <c r="E140" s="62">
        <f t="shared" si="85"/>
        <v>-500000</v>
      </c>
      <c r="F140" s="62">
        <f t="shared" si="86"/>
        <v>-500000</v>
      </c>
      <c r="G140" s="62">
        <f t="shared" si="87"/>
        <v>-500000</v>
      </c>
      <c r="H140" s="62">
        <f t="shared" si="88"/>
        <v>-500000</v>
      </c>
      <c r="I140" s="62">
        <f t="shared" si="89"/>
        <v>-500000</v>
      </c>
      <c r="J140" s="62">
        <f t="shared" si="90"/>
        <v>-500000</v>
      </c>
      <c r="K140" s="62">
        <f t="shared" si="91"/>
        <v>-500000</v>
      </c>
      <c r="L140" s="62">
        <f t="shared" si="92"/>
        <v>-500000</v>
      </c>
      <c r="M140" s="62">
        <f t="shared" si="93"/>
        <v>-500000</v>
      </c>
      <c r="N140" s="62">
        <f t="shared" si="94"/>
        <v>-500000</v>
      </c>
      <c r="O140" s="62">
        <f t="shared" si="95"/>
        <v>-500000</v>
      </c>
      <c r="P140" s="62">
        <f t="shared" si="96"/>
        <v>-500000</v>
      </c>
      <c r="Q140" s="62">
        <f t="shared" si="97"/>
        <v>-500000</v>
      </c>
      <c r="R140" s="62">
        <f t="shared" si="98"/>
        <v>-500000</v>
      </c>
      <c r="S140" s="62">
        <f t="shared" si="99"/>
        <v>-500000</v>
      </c>
      <c r="T140" s="62">
        <f t="shared" si="100"/>
        <v>-500000</v>
      </c>
      <c r="U140" s="62">
        <f t="shared" si="101"/>
        <v>-500000</v>
      </c>
      <c r="V140" s="62">
        <f t="shared" si="102"/>
        <v>-500000</v>
      </c>
      <c r="W140" s="62">
        <f t="shared" si="103"/>
        <v>-500000</v>
      </c>
      <c r="X140" s="62">
        <f t="shared" si="104"/>
        <v>-500000</v>
      </c>
      <c r="Y140" s="62">
        <f t="shared" si="105"/>
        <v>-500000</v>
      </c>
      <c r="Z140" s="62">
        <f t="shared" si="106"/>
        <v>-500000</v>
      </c>
      <c r="AA140" s="62">
        <f t="shared" si="107"/>
        <v>-500000</v>
      </c>
      <c r="AB140" s="62">
        <f t="shared" si="108"/>
        <v>-500000</v>
      </c>
      <c r="AC140" s="62">
        <f t="shared" si="109"/>
        <v>-500000</v>
      </c>
    </row>
    <row r="141" spans="1:44" x14ac:dyDescent="0.3">
      <c r="A141" s="30" t="str">
        <f t="shared" si="81"/>
        <v>WACC</v>
      </c>
      <c r="B141" s="62">
        <f t="shared" si="82"/>
        <v>0.06</v>
      </c>
      <c r="C141" s="62">
        <f t="shared" si="83"/>
        <v>0.06</v>
      </c>
      <c r="D141" s="62">
        <f t="shared" si="84"/>
        <v>0.06</v>
      </c>
      <c r="E141" s="62">
        <f t="shared" si="85"/>
        <v>0.06</v>
      </c>
      <c r="F141" s="62">
        <f t="shared" si="86"/>
        <v>0.06</v>
      </c>
      <c r="G141" s="62">
        <f t="shared" si="87"/>
        <v>0.06</v>
      </c>
      <c r="H141" s="62">
        <f t="shared" si="88"/>
        <v>0.06</v>
      </c>
      <c r="I141" s="62">
        <f t="shared" si="89"/>
        <v>0.06</v>
      </c>
      <c r="J141" s="62">
        <f t="shared" si="90"/>
        <v>0.06</v>
      </c>
      <c r="K141" s="62">
        <f t="shared" si="91"/>
        <v>0.06</v>
      </c>
      <c r="L141" s="62">
        <f t="shared" si="92"/>
        <v>0.06</v>
      </c>
      <c r="M141" s="62">
        <f t="shared" si="93"/>
        <v>0.06</v>
      </c>
      <c r="N141" s="62">
        <f t="shared" si="94"/>
        <v>0.06</v>
      </c>
      <c r="O141" s="62">
        <f t="shared" si="95"/>
        <v>0.06</v>
      </c>
      <c r="P141" s="62">
        <f t="shared" si="96"/>
        <v>0.06</v>
      </c>
      <c r="Q141" s="62">
        <f t="shared" si="97"/>
        <v>0.06</v>
      </c>
      <c r="R141" s="62">
        <f t="shared" si="98"/>
        <v>0.06</v>
      </c>
      <c r="S141" s="62">
        <f t="shared" si="99"/>
        <v>0.06</v>
      </c>
      <c r="T141" s="62">
        <f t="shared" si="100"/>
        <v>0.06</v>
      </c>
      <c r="U141" s="62">
        <f t="shared" si="101"/>
        <v>0.06</v>
      </c>
      <c r="V141" s="62">
        <f t="shared" si="102"/>
        <v>0.06</v>
      </c>
      <c r="W141" s="62">
        <f t="shared" si="103"/>
        <v>0.06</v>
      </c>
      <c r="X141" s="62">
        <f t="shared" si="104"/>
        <v>0.06</v>
      </c>
      <c r="Y141" s="62">
        <f t="shared" si="105"/>
        <v>0.06</v>
      </c>
      <c r="Z141" s="62">
        <f t="shared" si="106"/>
        <v>0.06</v>
      </c>
      <c r="AA141" s="62">
        <f t="shared" si="107"/>
        <v>0.06</v>
      </c>
      <c r="AB141" s="62">
        <f t="shared" si="108"/>
        <v>0.06</v>
      </c>
      <c r="AC141" s="62">
        <f t="shared" si="109"/>
        <v>0.06</v>
      </c>
    </row>
    <row r="142" spans="1:44" x14ac:dyDescent="0.3">
      <c r="A142" s="30" t="str">
        <f t="shared" si="81"/>
        <v>Opex fix (admin, crew, insurance)</v>
      </c>
      <c r="B142" s="62">
        <f t="shared" si="82"/>
        <v>1208235.294117647</v>
      </c>
      <c r="C142" s="62">
        <f t="shared" si="83"/>
        <v>1208235.294117647</v>
      </c>
      <c r="D142" s="62">
        <f t="shared" si="84"/>
        <v>1208235.294117647</v>
      </c>
      <c r="E142" s="62">
        <f t="shared" si="85"/>
        <v>1208235.294117647</v>
      </c>
      <c r="F142" s="62">
        <f t="shared" si="86"/>
        <v>1208235.294117647</v>
      </c>
      <c r="G142" s="62">
        <f t="shared" si="87"/>
        <v>1208235.294117647</v>
      </c>
      <c r="H142" s="62">
        <f t="shared" si="88"/>
        <v>1208235.294117647</v>
      </c>
      <c r="I142" s="62">
        <f t="shared" si="89"/>
        <v>1208235.294117647</v>
      </c>
      <c r="J142" s="62">
        <f t="shared" si="90"/>
        <v>1208235.294117647</v>
      </c>
      <c r="K142" s="62">
        <f t="shared" si="91"/>
        <v>1208235.294117647</v>
      </c>
      <c r="L142" s="62">
        <f t="shared" si="92"/>
        <v>1208235.294117647</v>
      </c>
      <c r="M142" s="62">
        <f t="shared" si="93"/>
        <v>1208235.294117647</v>
      </c>
      <c r="N142" s="62">
        <f t="shared" si="94"/>
        <v>1208235.294117647</v>
      </c>
      <c r="O142" s="62">
        <f t="shared" si="95"/>
        <v>1208235.294117647</v>
      </c>
      <c r="P142" s="62">
        <f t="shared" si="96"/>
        <v>1208235.294117647</v>
      </c>
      <c r="Q142" s="62">
        <f t="shared" si="97"/>
        <v>1208235.294117647</v>
      </c>
      <c r="R142" s="62">
        <f t="shared" si="98"/>
        <v>1208235.294117647</v>
      </c>
      <c r="S142" s="62">
        <f t="shared" si="99"/>
        <v>1208235.294117647</v>
      </c>
      <c r="T142" s="62">
        <f t="shared" si="100"/>
        <v>1208235.294117647</v>
      </c>
      <c r="U142" s="62">
        <f t="shared" si="101"/>
        <v>1208235.294117647</v>
      </c>
      <c r="V142" s="62">
        <f t="shared" si="102"/>
        <v>1208235.294117647</v>
      </c>
      <c r="W142" s="62">
        <f t="shared" si="103"/>
        <v>1208235.294117647</v>
      </c>
      <c r="X142" s="62">
        <f t="shared" si="104"/>
        <v>1208235.294117647</v>
      </c>
      <c r="Y142" s="62">
        <f t="shared" si="105"/>
        <v>1208235.294117647</v>
      </c>
      <c r="Z142" s="62">
        <f t="shared" si="106"/>
        <v>1208235.294117647</v>
      </c>
      <c r="AA142" s="62">
        <f t="shared" si="107"/>
        <v>1208235.294117647</v>
      </c>
      <c r="AB142" s="62">
        <f t="shared" si="108"/>
        <v>1208235.294117647</v>
      </c>
      <c r="AC142" s="62">
        <f t="shared" si="109"/>
        <v>1208235.294117647</v>
      </c>
    </row>
    <row r="143" spans="1:44" x14ac:dyDescent="0.3">
      <c r="A143" s="30" t="str">
        <f t="shared" si="81"/>
        <v>Opex maintenance &amp; repair</v>
      </c>
      <c r="B143" s="62">
        <f t="shared" si="82"/>
        <v>488235.29411764705</v>
      </c>
      <c r="C143" s="62">
        <f t="shared" si="83"/>
        <v>488235.29411764705</v>
      </c>
      <c r="D143" s="62">
        <f t="shared" si="84"/>
        <v>488235.29411764705</v>
      </c>
      <c r="E143" s="62">
        <f t="shared" si="85"/>
        <v>488235.29411764705</v>
      </c>
      <c r="F143" s="62">
        <f t="shared" si="86"/>
        <v>488235.29411764705</v>
      </c>
      <c r="G143" s="62">
        <f t="shared" si="87"/>
        <v>488235.29411764705</v>
      </c>
      <c r="H143" s="62">
        <f t="shared" si="88"/>
        <v>488235.29411764705</v>
      </c>
      <c r="I143" s="62">
        <f t="shared" si="89"/>
        <v>488235.29411764705</v>
      </c>
      <c r="J143" s="62">
        <f t="shared" si="90"/>
        <v>488235.29411764705</v>
      </c>
      <c r="K143" s="62">
        <f t="shared" si="91"/>
        <v>488235.29411764705</v>
      </c>
      <c r="L143" s="62">
        <f t="shared" si="92"/>
        <v>488235.29411764705</v>
      </c>
      <c r="M143" s="62">
        <f t="shared" si="93"/>
        <v>488235.29411764705</v>
      </c>
      <c r="N143" s="62">
        <f t="shared" si="94"/>
        <v>488235.29411764705</v>
      </c>
      <c r="O143" s="62">
        <f t="shared" si="95"/>
        <v>488235.29411764705</v>
      </c>
      <c r="P143" s="62">
        <f t="shared" si="96"/>
        <v>488235.29411764705</v>
      </c>
      <c r="Q143" s="62">
        <f t="shared" si="97"/>
        <v>488235.29411764705</v>
      </c>
      <c r="R143" s="62">
        <f t="shared" si="98"/>
        <v>488235.29411764705</v>
      </c>
      <c r="S143" s="62">
        <f t="shared" si="99"/>
        <v>488235.29411764705</v>
      </c>
      <c r="T143" s="62">
        <f t="shared" si="100"/>
        <v>488235.29411764705</v>
      </c>
      <c r="U143" s="62">
        <f t="shared" si="101"/>
        <v>488235.29411764705</v>
      </c>
      <c r="V143" s="62">
        <f t="shared" si="102"/>
        <v>488235.29411764705</v>
      </c>
      <c r="W143" s="62">
        <f t="shared" si="103"/>
        <v>488235.29411764705</v>
      </c>
      <c r="X143" s="62">
        <f t="shared" si="104"/>
        <v>488235.29411764705</v>
      </c>
      <c r="Y143" s="62">
        <f t="shared" si="105"/>
        <v>488235.29411764705</v>
      </c>
      <c r="Z143" s="62">
        <f t="shared" si="106"/>
        <v>488235.29411764705</v>
      </c>
      <c r="AA143" s="62">
        <f t="shared" si="107"/>
        <v>488235.29411764705</v>
      </c>
      <c r="AB143" s="62">
        <f t="shared" si="108"/>
        <v>488235.29411764705</v>
      </c>
      <c r="AC143" s="62">
        <f t="shared" si="109"/>
        <v>488235.29411764705</v>
      </c>
    </row>
    <row r="144" spans="1:44" x14ac:dyDescent="0.3">
      <c r="A144" s="30" t="str">
        <f t="shared" si="81"/>
        <v>Opex var (mode-fees)</v>
      </c>
      <c r="B144" s="62">
        <f t="shared" si="82"/>
        <v>1.6886890630966982</v>
      </c>
      <c r="C144" s="62">
        <f t="shared" si="83"/>
        <v>1.6886890630966982</v>
      </c>
      <c r="D144" s="62">
        <f t="shared" si="84"/>
        <v>1.6886890630966982</v>
      </c>
      <c r="E144" s="62">
        <f t="shared" si="85"/>
        <v>1.6886890630966982</v>
      </c>
      <c r="F144" s="62">
        <f t="shared" si="86"/>
        <v>1.6886890630966982</v>
      </c>
      <c r="G144" s="62">
        <f t="shared" si="87"/>
        <v>1.6886890630966982</v>
      </c>
      <c r="H144" s="62">
        <f t="shared" si="88"/>
        <v>1.6886890630966982</v>
      </c>
      <c r="I144" s="62">
        <f t="shared" si="89"/>
        <v>1.6886890630966982</v>
      </c>
      <c r="J144" s="62">
        <f t="shared" si="90"/>
        <v>1.6886890630966982</v>
      </c>
      <c r="K144" s="62">
        <f t="shared" si="91"/>
        <v>1.6886890630966982</v>
      </c>
      <c r="L144" s="62">
        <f t="shared" si="92"/>
        <v>1.6886890630966982</v>
      </c>
      <c r="M144" s="62">
        <f t="shared" si="93"/>
        <v>1.6886890630966982</v>
      </c>
      <c r="N144" s="62">
        <f t="shared" si="94"/>
        <v>1.6886890630966982</v>
      </c>
      <c r="O144" s="62">
        <f t="shared" si="95"/>
        <v>1.6886890630966982</v>
      </c>
      <c r="P144" s="62">
        <f t="shared" si="96"/>
        <v>1.6886890630966982</v>
      </c>
      <c r="Q144" s="62">
        <f t="shared" si="97"/>
        <v>1.6886890630966982</v>
      </c>
      <c r="R144" s="62">
        <f t="shared" si="98"/>
        <v>1.6886890630966982</v>
      </c>
      <c r="S144" s="62">
        <f t="shared" si="99"/>
        <v>1.6886890630966982</v>
      </c>
      <c r="T144" s="62">
        <f t="shared" si="100"/>
        <v>1.6886890630966982</v>
      </c>
      <c r="U144" s="62">
        <f t="shared" si="101"/>
        <v>1.6886890630966982</v>
      </c>
      <c r="V144" s="62">
        <f t="shared" si="102"/>
        <v>1.6886890630966982</v>
      </c>
      <c r="W144" s="62">
        <f t="shared" si="103"/>
        <v>1.6886890630966982</v>
      </c>
      <c r="X144" s="62">
        <f t="shared" si="104"/>
        <v>1.6886890630966982</v>
      </c>
      <c r="Y144" s="62">
        <f t="shared" si="105"/>
        <v>1.6886890630966982</v>
      </c>
      <c r="Z144" s="62">
        <f t="shared" si="106"/>
        <v>1.6886890630966982</v>
      </c>
      <c r="AA144" s="62">
        <f t="shared" si="107"/>
        <v>1.6886890630966982</v>
      </c>
      <c r="AB144" s="62">
        <f t="shared" si="108"/>
        <v>1.6886890630966982</v>
      </c>
      <c r="AC144" s="62">
        <f t="shared" si="109"/>
        <v>1.6886890630966982</v>
      </c>
    </row>
    <row r="145" spans="1:29" x14ac:dyDescent="0.3">
      <c r="A145" s="30" t="str">
        <f t="shared" si="81"/>
        <v>Fuel Economy</v>
      </c>
      <c r="B145" s="62">
        <f t="shared" si="82"/>
        <v>646.89677603543487</v>
      </c>
      <c r="C145" s="62">
        <f t="shared" si="83"/>
        <v>646.85211887817047</v>
      </c>
      <c r="D145" s="62">
        <f t="shared" si="84"/>
        <v>646.78819315220449</v>
      </c>
      <c r="E145" s="62">
        <f t="shared" si="85"/>
        <v>646.6967429057521</v>
      </c>
      <c r="F145" s="62">
        <f t="shared" si="86"/>
        <v>646.5660403240729</v>
      </c>
      <c r="G145" s="62">
        <f t="shared" si="87"/>
        <v>646.37949949401741</v>
      </c>
      <c r="H145" s="62">
        <f t="shared" si="88"/>
        <v>646.11381958854338</v>
      </c>
      <c r="I145" s="62">
        <f t="shared" si="89"/>
        <v>645.73659220845991</v>
      </c>
      <c r="J145" s="62">
        <f t="shared" si="90"/>
        <v>645.20341755594859</v>
      </c>
      <c r="K145" s="62">
        <f t="shared" si="91"/>
        <v>644.4548499630904</v>
      </c>
      <c r="L145" s="62">
        <f t="shared" si="92"/>
        <v>643.41406927056653</v>
      </c>
      <c r="M145" s="62">
        <f t="shared" si="93"/>
        <v>641.98719787679943</v>
      </c>
      <c r="N145" s="62">
        <f t="shared" si="94"/>
        <v>640.0696356209337</v>
      </c>
      <c r="O145" s="62">
        <f t="shared" si="95"/>
        <v>637.56301130673319</v>
      </c>
      <c r="P145" s="62">
        <f t="shared" si="96"/>
        <v>634.40634165749691</v>
      </c>
      <c r="Q145" s="62">
        <f t="shared" si="97"/>
        <v>630.6184286906298</v>
      </c>
      <c r="R145" s="62">
        <f t="shared" si="98"/>
        <v>626.33515650399931</v>
      </c>
      <c r="S145" s="62">
        <f t="shared" si="99"/>
        <v>621.81332363039712</v>
      </c>
      <c r="T145" s="62">
        <f t="shared" si="100"/>
        <v>617.38047196989623</v>
      </c>
      <c r="U145" s="62">
        <f t="shared" si="101"/>
        <v>613.34515585949862</v>
      </c>
      <c r="V145" s="62">
        <f t="shared" si="102"/>
        <v>609.91571180572532</v>
      </c>
      <c r="W145" s="62">
        <f t="shared" si="103"/>
        <v>607.1693412972852</v>
      </c>
      <c r="X145" s="62">
        <f t="shared" si="104"/>
        <v>605.0737387067237</v>
      </c>
      <c r="Y145" s="62">
        <f t="shared" si="105"/>
        <v>603.53330273509027</v>
      </c>
      <c r="Z145" s="62">
        <f t="shared" si="106"/>
        <v>602.43191330034256</v>
      </c>
      <c r="AA145" s="62">
        <f t="shared" si="107"/>
        <v>601.66000195939125</v>
      </c>
      <c r="AB145" s="62">
        <f t="shared" si="108"/>
        <v>601.12656377741496</v>
      </c>
      <c r="AC145" s="62">
        <f t="shared" si="109"/>
        <v>600.7615054472443</v>
      </c>
    </row>
    <row r="146" spans="1:29" x14ac:dyDescent="0.3">
      <c r="A146" s="30" t="str">
        <f t="shared" si="81"/>
        <v>Fuel Cost</v>
      </c>
      <c r="B146" s="62">
        <f t="shared" si="82"/>
        <v>0.06</v>
      </c>
      <c r="C146" s="62">
        <f t="shared" si="83"/>
        <v>0.06</v>
      </c>
      <c r="D146" s="62">
        <f t="shared" si="84"/>
        <v>0.06</v>
      </c>
      <c r="E146" s="62">
        <f t="shared" si="85"/>
        <v>0.06</v>
      </c>
      <c r="F146" s="62">
        <f t="shared" si="86"/>
        <v>0.06</v>
      </c>
      <c r="G146" s="62">
        <f t="shared" si="87"/>
        <v>0.06</v>
      </c>
      <c r="H146" s="62">
        <f t="shared" si="88"/>
        <v>0.06</v>
      </c>
      <c r="I146" s="62">
        <f t="shared" si="89"/>
        <v>0.06</v>
      </c>
      <c r="J146" s="62">
        <f t="shared" si="90"/>
        <v>0.06</v>
      </c>
      <c r="K146" s="62">
        <f t="shared" si="91"/>
        <v>0.06</v>
      </c>
      <c r="L146" s="62">
        <f t="shared" si="92"/>
        <v>0.06</v>
      </c>
      <c r="M146" s="62">
        <f t="shared" si="93"/>
        <v>0.06</v>
      </c>
      <c r="N146" s="62">
        <f t="shared" si="94"/>
        <v>0.06</v>
      </c>
      <c r="O146" s="62">
        <f t="shared" si="95"/>
        <v>0.06</v>
      </c>
      <c r="P146" s="62">
        <f t="shared" si="96"/>
        <v>0.06</v>
      </c>
      <c r="Q146" s="62">
        <f t="shared" si="97"/>
        <v>0.06</v>
      </c>
      <c r="R146" s="62">
        <f t="shared" si="98"/>
        <v>0.06</v>
      </c>
      <c r="S146" s="62">
        <f t="shared" si="99"/>
        <v>0.06</v>
      </c>
      <c r="T146" s="62">
        <f t="shared" si="100"/>
        <v>0.06</v>
      </c>
      <c r="U146" s="62">
        <f t="shared" si="101"/>
        <v>0.06</v>
      </c>
      <c r="V146" s="62">
        <f t="shared" si="102"/>
        <v>0.06</v>
      </c>
      <c r="W146" s="62">
        <f t="shared" si="103"/>
        <v>0.06</v>
      </c>
      <c r="X146" s="62">
        <f t="shared" si="104"/>
        <v>0.06</v>
      </c>
      <c r="Y146" s="62">
        <f t="shared" si="105"/>
        <v>0.06</v>
      </c>
      <c r="Z146" s="62">
        <f t="shared" si="106"/>
        <v>0.06</v>
      </c>
      <c r="AA146" s="62">
        <f t="shared" si="107"/>
        <v>0.06</v>
      </c>
      <c r="AB146" s="62">
        <f t="shared" si="108"/>
        <v>0.06</v>
      </c>
      <c r="AC146" s="62">
        <f t="shared" si="109"/>
        <v>0.06</v>
      </c>
    </row>
    <row r="147" spans="1:29" x14ac:dyDescent="0.3">
      <c r="A147" s="30" t="str">
        <f t="shared" si="81"/>
        <v>Emission Cost</v>
      </c>
      <c r="B147" s="98">
        <f>$B127+($C127-$B127)*(1-Q127)</f>
        <v>17.334785285869845</v>
      </c>
      <c r="C147" s="98">
        <f t="shared" ref="C147:AC147" si="110">$B127+($C127-$B127)*(1-R127)</f>
        <v>17.371592778833971</v>
      </c>
      <c r="D147" s="98">
        <f t="shared" si="110"/>
        <v>17.424281885191313</v>
      </c>
      <c r="E147" s="98">
        <f t="shared" si="110"/>
        <v>17.499657357099085</v>
      </c>
      <c r="F147" s="98">
        <f t="shared" si="110"/>
        <v>17.607385538878944</v>
      </c>
      <c r="G147" s="98">
        <f t="shared" si="110"/>
        <v>17.761136935304318</v>
      </c>
      <c r="H147" s="98">
        <f t="shared" si="110"/>
        <v>17.980116643160411</v>
      </c>
      <c r="I147" s="98">
        <f t="shared" si="110"/>
        <v>18.291036437183369</v>
      </c>
      <c r="J147" s="98">
        <f t="shared" si="110"/>
        <v>18.730491688550217</v>
      </c>
      <c r="K147" s="98">
        <f t="shared" si="110"/>
        <v>19.347478933039792</v>
      </c>
      <c r="L147" s="98">
        <f t="shared" si="110"/>
        <v>20.2053151761856</v>
      </c>
      <c r="M147" s="98">
        <f t="shared" si="110"/>
        <v>21.381376573820816</v>
      </c>
      <c r="N147" s="98">
        <f t="shared" si="110"/>
        <v>22.961877070598074</v>
      </c>
      <c r="O147" s="98">
        <f t="shared" si="110"/>
        <v>25.027896550126819</v>
      </c>
      <c r="P147" s="98">
        <f t="shared" si="110"/>
        <v>27.629698881977127</v>
      </c>
      <c r="Q147" s="98">
        <f t="shared" si="110"/>
        <v>30.751786995449869</v>
      </c>
      <c r="R147" s="98">
        <f t="shared" si="110"/>
        <v>34.282161979674356</v>
      </c>
      <c r="S147" s="98">
        <f t="shared" si="110"/>
        <v>38.009164365756064</v>
      </c>
      <c r="T147" s="98">
        <f t="shared" si="110"/>
        <v>41.662826316042121</v>
      </c>
      <c r="U147" s="98">
        <f t="shared" si="110"/>
        <v>44.988829994737316</v>
      </c>
      <c r="V147" s="98">
        <f t="shared" si="110"/>
        <v>47.815459489596307</v>
      </c>
      <c r="W147" s="98">
        <f t="shared" si="110"/>
        <v>50.07908349431699</v>
      </c>
      <c r="X147" s="98">
        <f t="shared" si="110"/>
        <v>51.806329076721653</v>
      </c>
      <c r="Y147" s="98">
        <f t="shared" si="110"/>
        <v>53.075993105085033</v>
      </c>
      <c r="Z147" s="98">
        <f t="shared" si="110"/>
        <v>53.98378451756151</v>
      </c>
      <c r="AA147" s="98">
        <f t="shared" si="110"/>
        <v>54.620012235388991</v>
      </c>
      <c r="AB147" s="98">
        <f t="shared" si="110"/>
        <v>55.059684694019481</v>
      </c>
      <c r="AC147" s="98">
        <f t="shared" si="110"/>
        <v>55.360574467179326</v>
      </c>
    </row>
    <row r="148" spans="1:29" x14ac:dyDescent="0.3">
      <c r="A148" s="30" t="str">
        <f t="shared" si="81"/>
        <v>Lifetime vehicle</v>
      </c>
      <c r="B148" s="62">
        <f>$B128+($C128-$B128)*(1-Q128)</f>
        <v>25</v>
      </c>
      <c r="C148" s="62">
        <f t="shared" ref="C148:L150" si="111">$B128+($C128-$B128)*(1-R128)</f>
        <v>25</v>
      </c>
      <c r="D148" s="62">
        <f t="shared" si="111"/>
        <v>25</v>
      </c>
      <c r="E148" s="62">
        <f t="shared" si="111"/>
        <v>25</v>
      </c>
      <c r="F148" s="62">
        <f t="shared" si="111"/>
        <v>25</v>
      </c>
      <c r="G148" s="62">
        <f t="shared" si="111"/>
        <v>25</v>
      </c>
      <c r="H148" s="62">
        <f t="shared" si="111"/>
        <v>25</v>
      </c>
      <c r="I148" s="62">
        <f t="shared" si="111"/>
        <v>25</v>
      </c>
      <c r="J148" s="62">
        <f t="shared" si="111"/>
        <v>25</v>
      </c>
      <c r="K148" s="62">
        <f t="shared" si="111"/>
        <v>25</v>
      </c>
      <c r="L148" s="62">
        <f t="shared" si="111"/>
        <v>25</v>
      </c>
      <c r="M148" s="62">
        <f t="shared" ref="M148:V150" si="112">$B128+($C128-$B128)*(1-AB128)</f>
        <v>25</v>
      </c>
      <c r="N148" s="62">
        <f t="shared" si="112"/>
        <v>25</v>
      </c>
      <c r="O148" s="62">
        <f t="shared" si="112"/>
        <v>25</v>
      </c>
      <c r="P148" s="62">
        <f t="shared" si="112"/>
        <v>25</v>
      </c>
      <c r="Q148" s="62">
        <f t="shared" si="112"/>
        <v>25</v>
      </c>
      <c r="R148" s="62">
        <f t="shared" si="112"/>
        <v>25</v>
      </c>
      <c r="S148" s="62">
        <f t="shared" si="112"/>
        <v>25</v>
      </c>
      <c r="T148" s="62">
        <f t="shared" si="112"/>
        <v>25</v>
      </c>
      <c r="U148" s="62">
        <f t="shared" si="112"/>
        <v>25</v>
      </c>
      <c r="V148" s="62">
        <f t="shared" si="112"/>
        <v>25</v>
      </c>
      <c r="W148" s="62">
        <f t="shared" ref="W148:AC150" si="113">$B128+($C128-$B128)*(1-AL128)</f>
        <v>25</v>
      </c>
      <c r="X148" s="62">
        <f t="shared" si="113"/>
        <v>25</v>
      </c>
      <c r="Y148" s="62">
        <f t="shared" si="113"/>
        <v>25</v>
      </c>
      <c r="Z148" s="62">
        <f t="shared" si="113"/>
        <v>25</v>
      </c>
      <c r="AA148" s="62">
        <f t="shared" si="113"/>
        <v>25</v>
      </c>
      <c r="AB148" s="62">
        <f t="shared" si="113"/>
        <v>25</v>
      </c>
      <c r="AC148" s="62">
        <f t="shared" si="113"/>
        <v>25</v>
      </c>
    </row>
    <row r="149" spans="1:29" x14ac:dyDescent="0.3">
      <c r="A149" s="30" t="str">
        <f t="shared" si="81"/>
        <v>Lifetime costumization</v>
      </c>
      <c r="B149" s="62">
        <f>$B129+($C129-$B129)*(1-Q129)</f>
        <v>25</v>
      </c>
      <c r="C149" s="62">
        <f t="shared" si="111"/>
        <v>25</v>
      </c>
      <c r="D149" s="62">
        <f t="shared" si="111"/>
        <v>25</v>
      </c>
      <c r="E149" s="62">
        <f t="shared" si="111"/>
        <v>25</v>
      </c>
      <c r="F149" s="62">
        <f t="shared" si="111"/>
        <v>25</v>
      </c>
      <c r="G149" s="62">
        <f t="shared" si="111"/>
        <v>25</v>
      </c>
      <c r="H149" s="62">
        <f t="shared" si="111"/>
        <v>25</v>
      </c>
      <c r="I149" s="62">
        <f t="shared" si="111"/>
        <v>25</v>
      </c>
      <c r="J149" s="62">
        <f t="shared" si="111"/>
        <v>25</v>
      </c>
      <c r="K149" s="62">
        <f t="shared" si="111"/>
        <v>25</v>
      </c>
      <c r="L149" s="62">
        <f t="shared" si="111"/>
        <v>25</v>
      </c>
      <c r="M149" s="62">
        <f t="shared" si="112"/>
        <v>25</v>
      </c>
      <c r="N149" s="62">
        <f t="shared" si="112"/>
        <v>25</v>
      </c>
      <c r="O149" s="62">
        <f t="shared" si="112"/>
        <v>25</v>
      </c>
      <c r="P149" s="62">
        <f t="shared" si="112"/>
        <v>25</v>
      </c>
      <c r="Q149" s="62">
        <f t="shared" si="112"/>
        <v>25</v>
      </c>
      <c r="R149" s="62">
        <f t="shared" si="112"/>
        <v>25</v>
      </c>
      <c r="S149" s="62">
        <f t="shared" si="112"/>
        <v>25</v>
      </c>
      <c r="T149" s="62">
        <f t="shared" si="112"/>
        <v>25</v>
      </c>
      <c r="U149" s="62">
        <f t="shared" si="112"/>
        <v>25</v>
      </c>
      <c r="V149" s="62">
        <f t="shared" si="112"/>
        <v>25</v>
      </c>
      <c r="W149" s="62">
        <f t="shared" si="113"/>
        <v>25</v>
      </c>
      <c r="X149" s="62">
        <f t="shared" si="113"/>
        <v>25</v>
      </c>
      <c r="Y149" s="62">
        <f t="shared" si="113"/>
        <v>25</v>
      </c>
      <c r="Z149" s="62">
        <f t="shared" si="113"/>
        <v>25</v>
      </c>
      <c r="AA149" s="62">
        <f t="shared" si="113"/>
        <v>25</v>
      </c>
      <c r="AB149" s="62">
        <f t="shared" si="113"/>
        <v>25</v>
      </c>
      <c r="AC149" s="62">
        <f t="shared" si="113"/>
        <v>25</v>
      </c>
    </row>
    <row r="150" spans="1:29" x14ac:dyDescent="0.3">
      <c r="A150" s="30" t="str">
        <f t="shared" si="81"/>
        <v>Tonnage .</v>
      </c>
      <c r="B150" s="62">
        <f>$B130+($C130-$B130)*(1-Q130)</f>
        <v>9450</v>
      </c>
      <c r="C150" s="62">
        <f t="shared" si="111"/>
        <v>9450</v>
      </c>
      <c r="D150" s="62">
        <f t="shared" si="111"/>
        <v>9450</v>
      </c>
      <c r="E150" s="62">
        <f t="shared" si="111"/>
        <v>9450</v>
      </c>
      <c r="F150" s="62">
        <f t="shared" si="111"/>
        <v>9450</v>
      </c>
      <c r="G150" s="62">
        <f t="shared" si="111"/>
        <v>9450</v>
      </c>
      <c r="H150" s="62">
        <f t="shared" si="111"/>
        <v>9450</v>
      </c>
      <c r="I150" s="62">
        <f t="shared" si="111"/>
        <v>9450</v>
      </c>
      <c r="J150" s="62">
        <f t="shared" si="111"/>
        <v>9450</v>
      </c>
      <c r="K150" s="62">
        <f t="shared" si="111"/>
        <v>9450</v>
      </c>
      <c r="L150" s="62">
        <f t="shared" si="111"/>
        <v>9450</v>
      </c>
      <c r="M150" s="62">
        <f t="shared" si="112"/>
        <v>9450</v>
      </c>
      <c r="N150" s="62">
        <f t="shared" si="112"/>
        <v>9450</v>
      </c>
      <c r="O150" s="62">
        <f t="shared" si="112"/>
        <v>9450</v>
      </c>
      <c r="P150" s="62">
        <f t="shared" si="112"/>
        <v>9450</v>
      </c>
      <c r="Q150" s="62">
        <f t="shared" si="112"/>
        <v>9450</v>
      </c>
      <c r="R150" s="62">
        <f t="shared" si="112"/>
        <v>9450</v>
      </c>
      <c r="S150" s="62">
        <f t="shared" si="112"/>
        <v>9450</v>
      </c>
      <c r="T150" s="62">
        <f t="shared" si="112"/>
        <v>9450</v>
      </c>
      <c r="U150" s="62">
        <f t="shared" si="112"/>
        <v>9450</v>
      </c>
      <c r="V150" s="62">
        <f t="shared" si="112"/>
        <v>9450</v>
      </c>
      <c r="W150" s="62">
        <f t="shared" si="113"/>
        <v>9450</v>
      </c>
      <c r="X150" s="62">
        <f t="shared" si="113"/>
        <v>9450</v>
      </c>
      <c r="Y150" s="62">
        <f t="shared" si="113"/>
        <v>9450</v>
      </c>
      <c r="Z150" s="62">
        <f t="shared" si="113"/>
        <v>9450</v>
      </c>
      <c r="AA150" s="62">
        <f t="shared" si="113"/>
        <v>9450</v>
      </c>
      <c r="AB150" s="62">
        <f t="shared" si="113"/>
        <v>9450</v>
      </c>
      <c r="AC150" s="62">
        <f t="shared" si="113"/>
        <v>9450</v>
      </c>
    </row>
    <row r="151" spans="1:29" x14ac:dyDescent="0.3">
      <c r="A151" s="30" t="str">
        <f t="shared" si="81"/>
        <v>Market failure (av. utilization)</v>
      </c>
      <c r="B151" s="62">
        <f t="shared" ref="B151:K152" si="114">($B131+($C131-$B131)*(1-Q131))*B$44</f>
        <v>4063.5</v>
      </c>
      <c r="C151" s="62">
        <f t="shared" si="114"/>
        <v>4063.5</v>
      </c>
      <c r="D151" s="62">
        <f t="shared" si="114"/>
        <v>4063.5</v>
      </c>
      <c r="E151" s="62">
        <f t="shared" si="114"/>
        <v>4063.5</v>
      </c>
      <c r="F151" s="62">
        <f t="shared" si="114"/>
        <v>4063.5</v>
      </c>
      <c r="G151" s="62">
        <f t="shared" si="114"/>
        <v>4063.5</v>
      </c>
      <c r="H151" s="62">
        <f t="shared" si="114"/>
        <v>4063.5</v>
      </c>
      <c r="I151" s="62">
        <f t="shared" si="114"/>
        <v>4063.5</v>
      </c>
      <c r="J151" s="62">
        <f t="shared" si="114"/>
        <v>4063.5</v>
      </c>
      <c r="K151" s="62">
        <f t="shared" si="114"/>
        <v>4063.5</v>
      </c>
      <c r="L151" s="62">
        <f t="shared" ref="L151:U152" si="115">($B131+($C131-$B131)*(1-AA131))*L$44</f>
        <v>4063.5</v>
      </c>
      <c r="M151" s="62">
        <f t="shared" si="115"/>
        <v>4063.5</v>
      </c>
      <c r="N151" s="62">
        <f t="shared" si="115"/>
        <v>4063.5</v>
      </c>
      <c r="O151" s="62">
        <f t="shared" si="115"/>
        <v>4063.5</v>
      </c>
      <c r="P151" s="62">
        <f t="shared" si="115"/>
        <v>4063.5</v>
      </c>
      <c r="Q151" s="62">
        <f t="shared" si="115"/>
        <v>4063.5</v>
      </c>
      <c r="R151" s="62">
        <f t="shared" si="115"/>
        <v>4063.5</v>
      </c>
      <c r="S151" s="62">
        <f t="shared" si="115"/>
        <v>4063.5</v>
      </c>
      <c r="T151" s="62">
        <f t="shared" si="115"/>
        <v>4063.5</v>
      </c>
      <c r="U151" s="62">
        <f t="shared" si="115"/>
        <v>4063.5</v>
      </c>
      <c r="V151" s="62">
        <f t="shared" ref="V151:AC152" si="116">($B131+($C131-$B131)*(1-AK131))*V$44</f>
        <v>4063.5</v>
      </c>
      <c r="W151" s="62">
        <f t="shared" si="116"/>
        <v>4063.5</v>
      </c>
      <c r="X151" s="62">
        <f t="shared" si="116"/>
        <v>4063.5</v>
      </c>
      <c r="Y151" s="62">
        <f t="shared" si="116"/>
        <v>4063.5</v>
      </c>
      <c r="Z151" s="62">
        <f t="shared" si="116"/>
        <v>4063.5</v>
      </c>
      <c r="AA151" s="62">
        <f t="shared" si="116"/>
        <v>4063.5</v>
      </c>
      <c r="AB151" s="62">
        <f t="shared" si="116"/>
        <v>4063.5</v>
      </c>
      <c r="AC151" s="62">
        <f t="shared" si="116"/>
        <v>4063.5</v>
      </c>
    </row>
    <row r="152" spans="1:29" x14ac:dyDescent="0.3">
      <c r="A152" s="30" t="s">
        <v>73</v>
      </c>
      <c r="B152" s="62">
        <f t="shared" si="114"/>
        <v>0</v>
      </c>
      <c r="C152" s="62">
        <f t="shared" si="114"/>
        <v>0</v>
      </c>
      <c r="D152" s="62">
        <f t="shared" si="114"/>
        <v>0</v>
      </c>
      <c r="E152" s="62">
        <f t="shared" si="114"/>
        <v>0</v>
      </c>
      <c r="F152" s="62">
        <f t="shared" si="114"/>
        <v>0</v>
      </c>
      <c r="G152" s="62">
        <f t="shared" si="114"/>
        <v>0</v>
      </c>
      <c r="H152" s="62">
        <f t="shared" si="114"/>
        <v>0</v>
      </c>
      <c r="I152" s="62">
        <f t="shared" si="114"/>
        <v>0</v>
      </c>
      <c r="J152" s="62">
        <f t="shared" si="114"/>
        <v>0</v>
      </c>
      <c r="K152" s="62">
        <f t="shared" si="114"/>
        <v>0</v>
      </c>
      <c r="L152" s="62">
        <f t="shared" si="115"/>
        <v>0</v>
      </c>
      <c r="M152" s="62">
        <f t="shared" si="115"/>
        <v>0</v>
      </c>
      <c r="N152" s="62">
        <f t="shared" si="115"/>
        <v>0</v>
      </c>
      <c r="O152" s="62">
        <f t="shared" si="115"/>
        <v>0</v>
      </c>
      <c r="P152" s="62">
        <f t="shared" si="115"/>
        <v>0</v>
      </c>
      <c r="Q152" s="62">
        <f t="shared" si="115"/>
        <v>0</v>
      </c>
      <c r="R152" s="62">
        <f t="shared" si="115"/>
        <v>0</v>
      </c>
      <c r="S152" s="62">
        <f t="shared" si="115"/>
        <v>0</v>
      </c>
      <c r="T152" s="62">
        <f t="shared" si="115"/>
        <v>0</v>
      </c>
      <c r="U152" s="62">
        <f t="shared" si="115"/>
        <v>0</v>
      </c>
      <c r="V152" s="62">
        <f t="shared" si="116"/>
        <v>0</v>
      </c>
      <c r="W152" s="62">
        <f t="shared" si="116"/>
        <v>0</v>
      </c>
      <c r="X152" s="62">
        <f t="shared" si="116"/>
        <v>0</v>
      </c>
      <c r="Y152" s="62">
        <f t="shared" si="116"/>
        <v>0</v>
      </c>
      <c r="Z152" s="62">
        <f t="shared" si="116"/>
        <v>0</v>
      </c>
      <c r="AA152" s="62">
        <f t="shared" si="116"/>
        <v>0</v>
      </c>
      <c r="AB152" s="62">
        <f t="shared" si="116"/>
        <v>0</v>
      </c>
      <c r="AC152" s="62">
        <f t="shared" si="116"/>
        <v>0</v>
      </c>
    </row>
    <row r="153" spans="1:29" x14ac:dyDescent="0.3">
      <c r="A153" s="30" t="str">
        <f>A133</f>
        <v>Annual Mileage</v>
      </c>
      <c r="B153" s="62">
        <f t="shared" ref="B153:AC153" si="117">$B133+($C133-$B133)*(1-Q133)</f>
        <v>120000</v>
      </c>
      <c r="C153" s="62">
        <f t="shared" si="117"/>
        <v>120000</v>
      </c>
      <c r="D153" s="62">
        <f t="shared" si="117"/>
        <v>120000</v>
      </c>
      <c r="E153" s="62">
        <f t="shared" si="117"/>
        <v>120000</v>
      </c>
      <c r="F153" s="62">
        <f t="shared" si="117"/>
        <v>120000</v>
      </c>
      <c r="G153" s="62">
        <f t="shared" si="117"/>
        <v>120000</v>
      </c>
      <c r="H153" s="62">
        <f t="shared" si="117"/>
        <v>120000</v>
      </c>
      <c r="I153" s="62">
        <f t="shared" si="117"/>
        <v>120000</v>
      </c>
      <c r="J153" s="62">
        <f t="shared" si="117"/>
        <v>120000</v>
      </c>
      <c r="K153" s="62">
        <f t="shared" si="117"/>
        <v>120000</v>
      </c>
      <c r="L153" s="62">
        <f t="shared" si="117"/>
        <v>120000</v>
      </c>
      <c r="M153" s="62">
        <f t="shared" si="117"/>
        <v>120000</v>
      </c>
      <c r="N153" s="62">
        <f t="shared" si="117"/>
        <v>120000</v>
      </c>
      <c r="O153" s="62">
        <f t="shared" si="117"/>
        <v>120000</v>
      </c>
      <c r="P153" s="62">
        <f t="shared" si="117"/>
        <v>120000</v>
      </c>
      <c r="Q153" s="62">
        <f t="shared" si="117"/>
        <v>120000</v>
      </c>
      <c r="R153" s="62">
        <f t="shared" si="117"/>
        <v>120000</v>
      </c>
      <c r="S153" s="62">
        <f t="shared" si="117"/>
        <v>120000</v>
      </c>
      <c r="T153" s="62">
        <f t="shared" si="117"/>
        <v>120000</v>
      </c>
      <c r="U153" s="62">
        <f t="shared" si="117"/>
        <v>120000</v>
      </c>
      <c r="V153" s="62">
        <f t="shared" si="117"/>
        <v>120000</v>
      </c>
      <c r="W153" s="62">
        <f t="shared" si="117"/>
        <v>120000</v>
      </c>
      <c r="X153" s="62">
        <f t="shared" si="117"/>
        <v>120000</v>
      </c>
      <c r="Y153" s="62">
        <f t="shared" si="117"/>
        <v>120000</v>
      </c>
      <c r="Z153" s="62">
        <f t="shared" si="117"/>
        <v>120000</v>
      </c>
      <c r="AA153" s="62">
        <f t="shared" si="117"/>
        <v>120000</v>
      </c>
      <c r="AB153" s="62">
        <f t="shared" si="117"/>
        <v>120000</v>
      </c>
      <c r="AC153" s="62">
        <f t="shared" si="117"/>
        <v>120000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1173400.7731841092</v>
      </c>
      <c r="C156" s="63">
        <f t="shared" ref="C156:AC156" si="118">((1+C141)^C148)*C141/(((1+C141)^C148)-1)*(C137)</f>
        <v>1173400.7731841092</v>
      </c>
      <c r="D156" s="63">
        <f t="shared" si="118"/>
        <v>1173400.7731841092</v>
      </c>
      <c r="E156" s="63">
        <f t="shared" si="118"/>
        <v>1173400.7731841092</v>
      </c>
      <c r="F156" s="63">
        <f t="shared" si="118"/>
        <v>1173400.7731841092</v>
      </c>
      <c r="G156" s="63">
        <f t="shared" si="118"/>
        <v>1173400.7731841092</v>
      </c>
      <c r="H156" s="63">
        <f t="shared" si="118"/>
        <v>1173400.7731841092</v>
      </c>
      <c r="I156" s="63">
        <f t="shared" si="118"/>
        <v>1173400.7731841092</v>
      </c>
      <c r="J156" s="63">
        <f t="shared" si="118"/>
        <v>1173400.7731841092</v>
      </c>
      <c r="K156" s="63">
        <f t="shared" si="118"/>
        <v>1173400.7731841092</v>
      </c>
      <c r="L156" s="63">
        <f t="shared" si="118"/>
        <v>1173400.7731841092</v>
      </c>
      <c r="M156" s="63">
        <f t="shared" si="118"/>
        <v>1173400.7731841092</v>
      </c>
      <c r="N156" s="63">
        <f t="shared" si="118"/>
        <v>1173400.7731841092</v>
      </c>
      <c r="O156" s="63">
        <f t="shared" si="118"/>
        <v>1173400.7731841092</v>
      </c>
      <c r="P156" s="63">
        <f t="shared" si="118"/>
        <v>1173400.7731841092</v>
      </c>
      <c r="Q156" s="63">
        <f t="shared" si="118"/>
        <v>1173400.7731841092</v>
      </c>
      <c r="R156" s="63">
        <f t="shared" si="118"/>
        <v>1173400.7731841092</v>
      </c>
      <c r="S156" s="63">
        <f t="shared" si="118"/>
        <v>1173400.7731841092</v>
      </c>
      <c r="T156" s="63">
        <f t="shared" si="118"/>
        <v>1173400.7731841092</v>
      </c>
      <c r="U156" s="63">
        <f t="shared" si="118"/>
        <v>1173400.7731841092</v>
      </c>
      <c r="V156" s="63">
        <f t="shared" si="118"/>
        <v>1173400.7731841092</v>
      </c>
      <c r="W156" s="63">
        <f t="shared" si="118"/>
        <v>1173400.7731841092</v>
      </c>
      <c r="X156" s="63">
        <f t="shared" si="118"/>
        <v>1173400.7731841092</v>
      </c>
      <c r="Y156" s="63">
        <f t="shared" si="118"/>
        <v>1173400.7731841092</v>
      </c>
      <c r="Z156" s="63">
        <f t="shared" si="118"/>
        <v>1173400.7731841092</v>
      </c>
      <c r="AA156" s="63">
        <f t="shared" si="118"/>
        <v>1173400.7731841092</v>
      </c>
      <c r="AB156" s="63">
        <f t="shared" si="118"/>
        <v>1173400.7731841092</v>
      </c>
      <c r="AC156" s="63">
        <f t="shared" si="118"/>
        <v>1173400.7731841092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-117211.22297816433</v>
      </c>
      <c r="C157" s="62">
        <f t="shared" ref="C157:AC157" si="119">((1+C141)^C148)*C141/(((1+C141)^C148)-1)*(C138)</f>
        <v>-117155.47750703427</v>
      </c>
      <c r="D157" s="62">
        <f t="shared" si="119"/>
        <v>-117075.67910674184</v>
      </c>
      <c r="E157" s="62">
        <f t="shared" si="119"/>
        <v>-116961.52188344915</v>
      </c>
      <c r="F157" s="62">
        <f t="shared" si="119"/>
        <v>-116798.36602132194</v>
      </c>
      <c r="G157" s="62">
        <f t="shared" si="119"/>
        <v>-116565.50734662244</v>
      </c>
      <c r="H157" s="62">
        <f t="shared" si="119"/>
        <v>-116233.85946736432</v>
      </c>
      <c r="I157" s="62">
        <f t="shared" si="119"/>
        <v>-115762.96702113429</v>
      </c>
      <c r="J157" s="62">
        <f t="shared" si="119"/>
        <v>-115097.40579826315</v>
      </c>
      <c r="K157" s="62">
        <f t="shared" si="119"/>
        <v>-114162.96984907117</v>
      </c>
      <c r="L157" s="62">
        <f t="shared" si="119"/>
        <v>-112863.76466894078</v>
      </c>
      <c r="M157" s="62">
        <f t="shared" si="119"/>
        <v>-111082.60297034449</v>
      </c>
      <c r="N157" s="62">
        <f t="shared" si="119"/>
        <v>-108688.91250900239</v>
      </c>
      <c r="O157" s="62">
        <f t="shared" si="119"/>
        <v>-105559.89664903973</v>
      </c>
      <c r="P157" s="62">
        <f t="shared" si="119"/>
        <v>-101619.43004574107</v>
      </c>
      <c r="Q157" s="62">
        <f t="shared" si="119"/>
        <v>-96890.983232894243</v>
      </c>
      <c r="R157" s="62">
        <f t="shared" si="119"/>
        <v>-91544.180152521745</v>
      </c>
      <c r="S157" s="62">
        <f t="shared" si="119"/>
        <v>-85899.582077953528</v>
      </c>
      <c r="T157" s="62">
        <f t="shared" si="119"/>
        <v>-80366.059135568226</v>
      </c>
      <c r="U157" s="62">
        <f t="shared" si="119"/>
        <v>-75328.779301543953</v>
      </c>
      <c r="V157" s="62">
        <f t="shared" si="119"/>
        <v>-71047.808765066002</v>
      </c>
      <c r="W157" s="62">
        <f t="shared" si="119"/>
        <v>-67619.518043732241</v>
      </c>
      <c r="X157" s="62">
        <f t="shared" si="119"/>
        <v>-65003.580064954105</v>
      </c>
      <c r="Y157" s="62">
        <f t="shared" si="119"/>
        <v>-63080.655852023017</v>
      </c>
      <c r="Z157" s="62">
        <f t="shared" si="119"/>
        <v>-61705.792858076449</v>
      </c>
      <c r="AA157" s="62">
        <f t="shared" si="119"/>
        <v>-60742.216938606354</v>
      </c>
      <c r="AB157" s="62">
        <f t="shared" si="119"/>
        <v>-60076.3267522479</v>
      </c>
      <c r="AC157" s="62">
        <f t="shared" si="119"/>
        <v>-59620.624915142049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0">((1+C141)^C149)*C141/(((1+C141)^C149)-1)*(C139)</f>
        <v>391133.59106136975</v>
      </c>
      <c r="D158" s="62">
        <f t="shared" si="120"/>
        <v>391133.59106136975</v>
      </c>
      <c r="E158" s="62">
        <f t="shared" si="120"/>
        <v>391133.59106136975</v>
      </c>
      <c r="F158" s="62">
        <f t="shared" si="120"/>
        <v>391133.59106136975</v>
      </c>
      <c r="G158" s="62">
        <f t="shared" si="120"/>
        <v>391133.59106136975</v>
      </c>
      <c r="H158" s="62">
        <f t="shared" si="120"/>
        <v>391133.59106136975</v>
      </c>
      <c r="I158" s="62">
        <f t="shared" si="120"/>
        <v>391133.59106136975</v>
      </c>
      <c r="J158" s="62">
        <f t="shared" si="120"/>
        <v>391133.59106136975</v>
      </c>
      <c r="K158" s="62">
        <f t="shared" si="120"/>
        <v>391133.59106136975</v>
      </c>
      <c r="L158" s="62">
        <f t="shared" si="120"/>
        <v>391133.59106136975</v>
      </c>
      <c r="M158" s="62">
        <f t="shared" si="120"/>
        <v>391133.59106136975</v>
      </c>
      <c r="N158" s="62">
        <f t="shared" si="120"/>
        <v>391133.59106136975</v>
      </c>
      <c r="O158" s="62">
        <f t="shared" si="120"/>
        <v>391133.59106136975</v>
      </c>
      <c r="P158" s="62">
        <f t="shared" si="120"/>
        <v>391133.59106136975</v>
      </c>
      <c r="Q158" s="62">
        <f t="shared" si="120"/>
        <v>391133.59106136975</v>
      </c>
      <c r="R158" s="62">
        <f t="shared" si="120"/>
        <v>391133.59106136975</v>
      </c>
      <c r="S158" s="62">
        <f t="shared" si="120"/>
        <v>391133.59106136975</v>
      </c>
      <c r="T158" s="62">
        <f t="shared" si="120"/>
        <v>391133.59106136975</v>
      </c>
      <c r="U158" s="62">
        <f t="shared" si="120"/>
        <v>391133.59106136975</v>
      </c>
      <c r="V158" s="62">
        <f t="shared" si="120"/>
        <v>391133.59106136975</v>
      </c>
      <c r="W158" s="62">
        <f t="shared" si="120"/>
        <v>391133.59106136975</v>
      </c>
      <c r="X158" s="62">
        <f t="shared" si="120"/>
        <v>391133.59106136975</v>
      </c>
      <c r="Y158" s="62">
        <f t="shared" si="120"/>
        <v>391133.59106136975</v>
      </c>
      <c r="Z158" s="62">
        <f t="shared" si="120"/>
        <v>391133.59106136975</v>
      </c>
      <c r="AA158" s="62">
        <f t="shared" si="120"/>
        <v>391133.59106136975</v>
      </c>
      <c r="AB158" s="62">
        <f t="shared" si="120"/>
        <v>391133.59106136975</v>
      </c>
      <c r="AC158" s="62">
        <f t="shared" si="120"/>
        <v>391133.59106136975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1">((1+C141)^C149)*C141/(((1+C141)^C149)-1)*(C140)</f>
        <v>-39113.359106136973</v>
      </c>
      <c r="D159" s="62">
        <f t="shared" si="121"/>
        <v>-39113.359106136973</v>
      </c>
      <c r="E159" s="62">
        <f t="shared" si="121"/>
        <v>-39113.359106136973</v>
      </c>
      <c r="F159" s="62">
        <f t="shared" si="121"/>
        <v>-39113.359106136973</v>
      </c>
      <c r="G159" s="62">
        <f t="shared" si="121"/>
        <v>-39113.359106136973</v>
      </c>
      <c r="H159" s="62">
        <f t="shared" si="121"/>
        <v>-39113.359106136973</v>
      </c>
      <c r="I159" s="62">
        <f t="shared" si="121"/>
        <v>-39113.359106136973</v>
      </c>
      <c r="J159" s="62">
        <f t="shared" si="121"/>
        <v>-39113.359106136973</v>
      </c>
      <c r="K159" s="62">
        <f t="shared" si="121"/>
        <v>-39113.359106136973</v>
      </c>
      <c r="L159" s="62">
        <f t="shared" si="121"/>
        <v>-39113.359106136973</v>
      </c>
      <c r="M159" s="62">
        <f t="shared" si="121"/>
        <v>-39113.359106136973</v>
      </c>
      <c r="N159" s="62">
        <f t="shared" si="121"/>
        <v>-39113.359106136973</v>
      </c>
      <c r="O159" s="62">
        <f t="shared" si="121"/>
        <v>-39113.359106136973</v>
      </c>
      <c r="P159" s="62">
        <f t="shared" si="121"/>
        <v>-39113.359106136973</v>
      </c>
      <c r="Q159" s="62">
        <f t="shared" si="121"/>
        <v>-39113.359106136973</v>
      </c>
      <c r="R159" s="62">
        <f t="shared" si="121"/>
        <v>-39113.359106136973</v>
      </c>
      <c r="S159" s="62">
        <f t="shared" si="121"/>
        <v>-39113.359106136973</v>
      </c>
      <c r="T159" s="62">
        <f t="shared" si="121"/>
        <v>-39113.359106136973</v>
      </c>
      <c r="U159" s="62">
        <f t="shared" si="121"/>
        <v>-39113.359106136973</v>
      </c>
      <c r="V159" s="62">
        <f t="shared" si="121"/>
        <v>-39113.359106136973</v>
      </c>
      <c r="W159" s="62">
        <f t="shared" si="121"/>
        <v>-39113.359106136973</v>
      </c>
      <c r="X159" s="62">
        <f t="shared" si="121"/>
        <v>-39113.359106136973</v>
      </c>
      <c r="Y159" s="62">
        <f t="shared" si="121"/>
        <v>-39113.359106136973</v>
      </c>
      <c r="Z159" s="62">
        <f t="shared" si="121"/>
        <v>-39113.359106136973</v>
      </c>
      <c r="AA159" s="62">
        <f t="shared" si="121"/>
        <v>-39113.359106136973</v>
      </c>
      <c r="AB159" s="62">
        <f t="shared" si="121"/>
        <v>-39113.359106136973</v>
      </c>
      <c r="AC159" s="62">
        <f t="shared" si="121"/>
        <v>-39113.359106136973</v>
      </c>
    </row>
    <row r="160" spans="1:29" x14ac:dyDescent="0.3">
      <c r="A160" s="30" t="str">
        <f t="shared" ref="A160:AC160" si="122">A142</f>
        <v>Opex fix (admin, crew, insurance)</v>
      </c>
      <c r="B160" s="165">
        <f t="shared" si="122"/>
        <v>1208235.294117647</v>
      </c>
      <c r="C160" s="62">
        <f t="shared" si="122"/>
        <v>1208235.294117647</v>
      </c>
      <c r="D160" s="62">
        <f t="shared" si="122"/>
        <v>1208235.294117647</v>
      </c>
      <c r="E160" s="62">
        <f t="shared" si="122"/>
        <v>1208235.294117647</v>
      </c>
      <c r="F160" s="62">
        <f t="shared" si="122"/>
        <v>1208235.294117647</v>
      </c>
      <c r="G160" s="62">
        <f t="shared" si="122"/>
        <v>1208235.294117647</v>
      </c>
      <c r="H160" s="62">
        <f t="shared" si="122"/>
        <v>1208235.294117647</v>
      </c>
      <c r="I160" s="62">
        <f t="shared" si="122"/>
        <v>1208235.294117647</v>
      </c>
      <c r="J160" s="62">
        <f t="shared" si="122"/>
        <v>1208235.294117647</v>
      </c>
      <c r="K160" s="62">
        <f t="shared" si="122"/>
        <v>1208235.294117647</v>
      </c>
      <c r="L160" s="62">
        <f t="shared" si="122"/>
        <v>1208235.294117647</v>
      </c>
      <c r="M160" s="62">
        <f t="shared" si="122"/>
        <v>1208235.294117647</v>
      </c>
      <c r="N160" s="62">
        <f t="shared" si="122"/>
        <v>1208235.294117647</v>
      </c>
      <c r="O160" s="62">
        <f t="shared" si="122"/>
        <v>1208235.294117647</v>
      </c>
      <c r="P160" s="62">
        <f t="shared" si="122"/>
        <v>1208235.294117647</v>
      </c>
      <c r="Q160" s="62">
        <f t="shared" si="122"/>
        <v>1208235.294117647</v>
      </c>
      <c r="R160" s="62">
        <f t="shared" si="122"/>
        <v>1208235.294117647</v>
      </c>
      <c r="S160" s="62">
        <f t="shared" si="122"/>
        <v>1208235.294117647</v>
      </c>
      <c r="T160" s="62">
        <f t="shared" si="122"/>
        <v>1208235.294117647</v>
      </c>
      <c r="U160" s="62">
        <f t="shared" si="122"/>
        <v>1208235.294117647</v>
      </c>
      <c r="V160" s="62">
        <f t="shared" si="122"/>
        <v>1208235.294117647</v>
      </c>
      <c r="W160" s="62">
        <f t="shared" si="122"/>
        <v>1208235.294117647</v>
      </c>
      <c r="X160" s="62">
        <f t="shared" si="122"/>
        <v>1208235.294117647</v>
      </c>
      <c r="Y160" s="62">
        <f t="shared" si="122"/>
        <v>1208235.294117647</v>
      </c>
      <c r="Z160" s="62">
        <f t="shared" si="122"/>
        <v>1208235.294117647</v>
      </c>
      <c r="AA160" s="62">
        <f t="shared" si="122"/>
        <v>1208235.294117647</v>
      </c>
      <c r="AB160" s="62">
        <f t="shared" si="122"/>
        <v>1208235.294117647</v>
      </c>
      <c r="AC160" s="62">
        <f t="shared" si="122"/>
        <v>1208235.294117647</v>
      </c>
    </row>
    <row r="161" spans="1:29" x14ac:dyDescent="0.3">
      <c r="A161" s="30" t="str">
        <f t="shared" ref="A161:AC161" si="123">A143</f>
        <v>Opex maintenance &amp; repair</v>
      </c>
      <c r="B161" s="62">
        <f t="shared" si="123"/>
        <v>488235.29411764705</v>
      </c>
      <c r="C161" s="62">
        <f t="shared" si="123"/>
        <v>488235.29411764705</v>
      </c>
      <c r="D161" s="62">
        <f t="shared" si="123"/>
        <v>488235.29411764705</v>
      </c>
      <c r="E161" s="62">
        <f t="shared" si="123"/>
        <v>488235.29411764705</v>
      </c>
      <c r="F161" s="62">
        <f t="shared" si="123"/>
        <v>488235.29411764705</v>
      </c>
      <c r="G161" s="62">
        <f t="shared" si="123"/>
        <v>488235.29411764705</v>
      </c>
      <c r="H161" s="62">
        <f t="shared" si="123"/>
        <v>488235.29411764705</v>
      </c>
      <c r="I161" s="62">
        <f t="shared" si="123"/>
        <v>488235.29411764705</v>
      </c>
      <c r="J161" s="62">
        <f t="shared" si="123"/>
        <v>488235.29411764705</v>
      </c>
      <c r="K161" s="62">
        <f t="shared" si="123"/>
        <v>488235.29411764705</v>
      </c>
      <c r="L161" s="62">
        <f t="shared" si="123"/>
        <v>488235.29411764705</v>
      </c>
      <c r="M161" s="62">
        <f t="shared" si="123"/>
        <v>488235.29411764705</v>
      </c>
      <c r="N161" s="62">
        <f t="shared" si="123"/>
        <v>488235.29411764705</v>
      </c>
      <c r="O161" s="62">
        <f t="shared" si="123"/>
        <v>488235.29411764705</v>
      </c>
      <c r="P161" s="62">
        <f t="shared" si="123"/>
        <v>488235.29411764705</v>
      </c>
      <c r="Q161" s="62">
        <f t="shared" si="123"/>
        <v>488235.29411764705</v>
      </c>
      <c r="R161" s="62">
        <f t="shared" si="123"/>
        <v>488235.29411764705</v>
      </c>
      <c r="S161" s="62">
        <f t="shared" si="123"/>
        <v>488235.29411764705</v>
      </c>
      <c r="T161" s="62">
        <f t="shared" si="123"/>
        <v>488235.29411764705</v>
      </c>
      <c r="U161" s="62">
        <f t="shared" si="123"/>
        <v>488235.29411764705</v>
      </c>
      <c r="V161" s="62">
        <f t="shared" si="123"/>
        <v>488235.29411764705</v>
      </c>
      <c r="W161" s="62">
        <f t="shared" si="123"/>
        <v>488235.29411764705</v>
      </c>
      <c r="X161" s="62">
        <f t="shared" si="123"/>
        <v>488235.29411764705</v>
      </c>
      <c r="Y161" s="62">
        <f t="shared" si="123"/>
        <v>488235.29411764705</v>
      </c>
      <c r="Z161" s="62">
        <f t="shared" si="123"/>
        <v>488235.29411764705</v>
      </c>
      <c r="AA161" s="62">
        <f t="shared" si="123"/>
        <v>488235.29411764705</v>
      </c>
      <c r="AB161" s="62">
        <f t="shared" si="123"/>
        <v>488235.29411764705</v>
      </c>
      <c r="AC161" s="62">
        <f t="shared" si="123"/>
        <v>488235.29411764705</v>
      </c>
    </row>
    <row r="162" spans="1:29" x14ac:dyDescent="0.3">
      <c r="A162" s="30" t="str">
        <f>A144</f>
        <v>Opex var (mode-fees)</v>
      </c>
      <c r="B162" s="62">
        <f>B144*B153</f>
        <v>202642.68757160378</v>
      </c>
      <c r="C162" s="62">
        <f t="shared" ref="C162:AC162" si="124">C144*C153</f>
        <v>202642.68757160378</v>
      </c>
      <c r="D162" s="62">
        <f t="shared" si="124"/>
        <v>202642.68757160378</v>
      </c>
      <c r="E162" s="62">
        <f t="shared" si="124"/>
        <v>202642.68757160378</v>
      </c>
      <c r="F162" s="62">
        <f t="shared" si="124"/>
        <v>202642.68757160378</v>
      </c>
      <c r="G162" s="62">
        <f t="shared" si="124"/>
        <v>202642.68757160378</v>
      </c>
      <c r="H162" s="62">
        <f t="shared" si="124"/>
        <v>202642.68757160378</v>
      </c>
      <c r="I162" s="62">
        <f t="shared" si="124"/>
        <v>202642.68757160378</v>
      </c>
      <c r="J162" s="62">
        <f t="shared" si="124"/>
        <v>202642.68757160378</v>
      </c>
      <c r="K162" s="62">
        <f t="shared" si="124"/>
        <v>202642.68757160378</v>
      </c>
      <c r="L162" s="62">
        <f t="shared" si="124"/>
        <v>202642.68757160378</v>
      </c>
      <c r="M162" s="62">
        <f t="shared" si="124"/>
        <v>202642.68757160378</v>
      </c>
      <c r="N162" s="62">
        <f t="shared" si="124"/>
        <v>202642.68757160378</v>
      </c>
      <c r="O162" s="62">
        <f t="shared" si="124"/>
        <v>202642.68757160378</v>
      </c>
      <c r="P162" s="62">
        <f t="shared" si="124"/>
        <v>202642.68757160378</v>
      </c>
      <c r="Q162" s="62">
        <f t="shared" si="124"/>
        <v>202642.68757160378</v>
      </c>
      <c r="R162" s="62">
        <f t="shared" si="124"/>
        <v>202642.68757160378</v>
      </c>
      <c r="S162" s="62">
        <f t="shared" si="124"/>
        <v>202642.68757160378</v>
      </c>
      <c r="T162" s="62">
        <f t="shared" si="124"/>
        <v>202642.68757160378</v>
      </c>
      <c r="U162" s="62">
        <f t="shared" si="124"/>
        <v>202642.68757160378</v>
      </c>
      <c r="V162" s="62">
        <f t="shared" si="124"/>
        <v>202642.68757160378</v>
      </c>
      <c r="W162" s="62">
        <f t="shared" si="124"/>
        <v>202642.68757160378</v>
      </c>
      <c r="X162" s="62">
        <f t="shared" si="124"/>
        <v>202642.68757160378</v>
      </c>
      <c r="Y162" s="62">
        <f t="shared" si="124"/>
        <v>202642.68757160378</v>
      </c>
      <c r="Z162" s="62">
        <f t="shared" si="124"/>
        <v>202642.68757160378</v>
      </c>
      <c r="AA162" s="62">
        <f t="shared" si="124"/>
        <v>202642.68757160378</v>
      </c>
      <c r="AB162" s="62">
        <f t="shared" si="124"/>
        <v>202642.68757160378</v>
      </c>
      <c r="AC162" s="62">
        <f t="shared" si="124"/>
        <v>202642.68757160378</v>
      </c>
    </row>
    <row r="163" spans="1:29" x14ac:dyDescent="0.3">
      <c r="A163" s="30" t="str">
        <f>A146</f>
        <v>Fuel Cost</v>
      </c>
      <c r="B163" s="62">
        <f>B145*B146*B153</f>
        <v>4657656.7874551304</v>
      </c>
      <c r="C163" s="62">
        <f t="shared" ref="C163:AC163" si="125">C145*C146*C153</f>
        <v>4657335.2559228269</v>
      </c>
      <c r="D163" s="62">
        <f t="shared" si="125"/>
        <v>4656874.9906958723</v>
      </c>
      <c r="E163" s="62">
        <f t="shared" si="125"/>
        <v>4656216.5489214156</v>
      </c>
      <c r="F163" s="62">
        <f t="shared" si="125"/>
        <v>4655275.4903333243</v>
      </c>
      <c r="G163" s="62">
        <f t="shared" si="125"/>
        <v>4653932.3963569254</v>
      </c>
      <c r="H163" s="62">
        <f t="shared" si="125"/>
        <v>4652019.501037512</v>
      </c>
      <c r="I163" s="62">
        <f t="shared" si="125"/>
        <v>4649303.4639009116</v>
      </c>
      <c r="J163" s="62">
        <f t="shared" si="125"/>
        <v>4645464.6064028293</v>
      </c>
      <c r="K163" s="62">
        <f t="shared" si="125"/>
        <v>4640074.9197342508</v>
      </c>
      <c r="L163" s="62">
        <f t="shared" si="125"/>
        <v>4632581.2987480788</v>
      </c>
      <c r="M163" s="62">
        <f t="shared" si="125"/>
        <v>4622307.8247129563</v>
      </c>
      <c r="N163" s="62">
        <f t="shared" si="125"/>
        <v>4608501.3764707223</v>
      </c>
      <c r="O163" s="62">
        <f t="shared" si="125"/>
        <v>4590453.6814084789</v>
      </c>
      <c r="P163" s="62">
        <f t="shared" si="125"/>
        <v>4567725.6599339778</v>
      </c>
      <c r="Q163" s="62">
        <f t="shared" si="125"/>
        <v>4540452.686572534</v>
      </c>
      <c r="R163" s="62">
        <f t="shared" si="125"/>
        <v>4509613.1268287944</v>
      </c>
      <c r="S163" s="62">
        <f t="shared" si="125"/>
        <v>4477055.930138859</v>
      </c>
      <c r="T163" s="62">
        <f t="shared" si="125"/>
        <v>4445139.3981832527</v>
      </c>
      <c r="U163" s="62">
        <f t="shared" si="125"/>
        <v>4416085.1221883893</v>
      </c>
      <c r="V163" s="62">
        <f t="shared" si="125"/>
        <v>4391393.1250012219</v>
      </c>
      <c r="W163" s="62">
        <f t="shared" si="125"/>
        <v>4371619.2573404536</v>
      </c>
      <c r="X163" s="62">
        <f t="shared" si="125"/>
        <v>4356530.9186884109</v>
      </c>
      <c r="Y163" s="62">
        <f t="shared" si="125"/>
        <v>4345439.7796926498</v>
      </c>
      <c r="Z163" s="62">
        <f t="shared" si="125"/>
        <v>4337509.7757624658</v>
      </c>
      <c r="AA163" s="62">
        <f t="shared" si="125"/>
        <v>4331952.0141076175</v>
      </c>
      <c r="AB163" s="62">
        <f t="shared" si="125"/>
        <v>4328111.2591973878</v>
      </c>
      <c r="AC163" s="62">
        <f t="shared" si="125"/>
        <v>4325482.8392201588</v>
      </c>
    </row>
    <row r="164" spans="1:29" ht="15" thickBot="1" x14ac:dyDescent="0.35">
      <c r="A164" s="59" t="str">
        <f>A127</f>
        <v>Emission Cost</v>
      </c>
      <c r="B164" s="62">
        <f>B147*B153</f>
        <v>2080174.2343043815</v>
      </c>
      <c r="C164" s="62">
        <f t="shared" ref="C164:AC164" si="126">C147*C153</f>
        <v>2084591.1334600765</v>
      </c>
      <c r="D164" s="62">
        <f t="shared" si="126"/>
        <v>2090913.8262229576</v>
      </c>
      <c r="E164" s="62">
        <f t="shared" si="126"/>
        <v>2099958.8828518903</v>
      </c>
      <c r="F164" s="62">
        <f t="shared" si="126"/>
        <v>2112886.2646654733</v>
      </c>
      <c r="G164" s="62">
        <f t="shared" si="126"/>
        <v>2131336.4322365182</v>
      </c>
      <c r="H164" s="62">
        <f t="shared" si="126"/>
        <v>2157613.9971792493</v>
      </c>
      <c r="I164" s="62">
        <f t="shared" si="126"/>
        <v>2194924.3724620044</v>
      </c>
      <c r="J164" s="62">
        <f t="shared" si="126"/>
        <v>2247659.002626026</v>
      </c>
      <c r="K164" s="62">
        <f t="shared" si="126"/>
        <v>2321697.4719647751</v>
      </c>
      <c r="L164" s="62">
        <f t="shared" si="126"/>
        <v>2424637.8211422721</v>
      </c>
      <c r="M164" s="62">
        <f t="shared" si="126"/>
        <v>2565765.1888584979</v>
      </c>
      <c r="N164" s="62">
        <f t="shared" si="126"/>
        <v>2755425.248471769</v>
      </c>
      <c r="O164" s="62">
        <f t="shared" si="126"/>
        <v>3003347.5860152184</v>
      </c>
      <c r="P164" s="62">
        <f t="shared" si="126"/>
        <v>3315563.8658372555</v>
      </c>
      <c r="Q164" s="62">
        <f t="shared" si="126"/>
        <v>3690214.4394539841</v>
      </c>
      <c r="R164" s="62">
        <f t="shared" si="126"/>
        <v>4113859.4375609229</v>
      </c>
      <c r="S164" s="62">
        <f t="shared" si="126"/>
        <v>4561099.7238907274</v>
      </c>
      <c r="T164" s="62">
        <f t="shared" si="126"/>
        <v>4999539.1579250544</v>
      </c>
      <c r="U164" s="62">
        <f t="shared" si="126"/>
        <v>5398659.5993684782</v>
      </c>
      <c r="V164" s="62">
        <f t="shared" si="126"/>
        <v>5737855.1387515571</v>
      </c>
      <c r="W164" s="62">
        <f t="shared" si="126"/>
        <v>6009490.0193180386</v>
      </c>
      <c r="X164" s="62">
        <f t="shared" si="126"/>
        <v>6216759.4892065981</v>
      </c>
      <c r="Y164" s="62">
        <f t="shared" si="126"/>
        <v>6369119.1726102037</v>
      </c>
      <c r="Z164" s="62">
        <f t="shared" si="126"/>
        <v>6478054.1421073815</v>
      </c>
      <c r="AA164" s="62">
        <f t="shared" si="126"/>
        <v>6554401.4682466788</v>
      </c>
      <c r="AB164" s="62">
        <f t="shared" si="126"/>
        <v>6607162.1632823376</v>
      </c>
      <c r="AC164" s="62">
        <f t="shared" si="126"/>
        <v>6643268.9360615192</v>
      </c>
    </row>
    <row r="165" spans="1:29" ht="15" thickBot="1" x14ac:dyDescent="0.35">
      <c r="A165" s="31" t="s">
        <v>209</v>
      </c>
      <c r="B165" s="64">
        <f>B156+B157+B158+B159+B160+B161+B162+B163+B164</f>
        <v>10045154.079727588</v>
      </c>
      <c r="C165" s="64">
        <f t="shared" ref="C165:AC165" si="127">C156+C157+C158+C159+C160+C161+C162+C163+C164</f>
        <v>10049305.19282211</v>
      </c>
      <c r="D165" s="64">
        <f t="shared" si="127"/>
        <v>10055247.418758329</v>
      </c>
      <c r="E165" s="64">
        <f t="shared" si="127"/>
        <v>10063748.190836098</v>
      </c>
      <c r="F165" s="64">
        <f t="shared" si="127"/>
        <v>10075897.669923715</v>
      </c>
      <c r="G165" s="64">
        <f t="shared" si="127"/>
        <v>10093237.602193061</v>
      </c>
      <c r="H165" s="64">
        <f t="shared" si="127"/>
        <v>10117933.919695638</v>
      </c>
      <c r="I165" s="64">
        <f t="shared" si="127"/>
        <v>10152999.150288023</v>
      </c>
      <c r="J165" s="64">
        <f t="shared" si="127"/>
        <v>10202560.484176833</v>
      </c>
      <c r="K165" s="64">
        <f t="shared" si="127"/>
        <v>10272143.702796195</v>
      </c>
      <c r="L165" s="64">
        <f t="shared" si="127"/>
        <v>10368889.636167649</v>
      </c>
      <c r="M165" s="64">
        <f t="shared" si="127"/>
        <v>10501524.691547349</v>
      </c>
      <c r="N165" s="64">
        <f t="shared" si="127"/>
        <v>10679771.993379729</v>
      </c>
      <c r="O165" s="64">
        <f t="shared" si="127"/>
        <v>10912775.651720898</v>
      </c>
      <c r="P165" s="64">
        <f t="shared" si="127"/>
        <v>11206204.376671731</v>
      </c>
      <c r="Q165" s="64">
        <f t="shared" si="127"/>
        <v>11558310.423739864</v>
      </c>
      <c r="R165" s="64">
        <f t="shared" si="127"/>
        <v>11956462.665183436</v>
      </c>
      <c r="S165" s="64">
        <f t="shared" si="127"/>
        <v>12376790.352897873</v>
      </c>
      <c r="T165" s="64">
        <f t="shared" si="127"/>
        <v>12788846.77791898</v>
      </c>
      <c r="U165" s="64">
        <f t="shared" si="127"/>
        <v>13163950.223201564</v>
      </c>
      <c r="V165" s="64">
        <f t="shared" si="127"/>
        <v>13482734.735933952</v>
      </c>
      <c r="W165" s="64">
        <f t="shared" si="127"/>
        <v>13738024.039561</v>
      </c>
      <c r="X165" s="64">
        <f t="shared" si="127"/>
        <v>13932821.108776294</v>
      </c>
      <c r="Y165" s="64">
        <f t="shared" si="127"/>
        <v>14076012.577397071</v>
      </c>
      <c r="Z165" s="64">
        <f t="shared" si="127"/>
        <v>14178392.405958012</v>
      </c>
      <c r="AA165" s="64">
        <f t="shared" si="127"/>
        <v>14250145.546361931</v>
      </c>
      <c r="AB165" s="64">
        <f t="shared" si="127"/>
        <v>14299731.376673717</v>
      </c>
      <c r="AC165" s="64">
        <f t="shared" si="127"/>
        <v>14333665.431312777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28">A156</f>
        <v>Capex vehicle</v>
      </c>
      <c r="B168" s="65">
        <f>((1+B141)^B148)*B141/(((1+B141)^B148)-1)*(B137)/B153</f>
        <v>9.7783397765342439</v>
      </c>
      <c r="C168" s="65">
        <f t="shared" ref="C168:AC168" si="129">((1+C141)^C148)*C141/(((1+C141)^C148)-1)*(C137)/C153</f>
        <v>9.7783397765342439</v>
      </c>
      <c r="D168" s="65">
        <f t="shared" si="129"/>
        <v>9.7783397765342439</v>
      </c>
      <c r="E168" s="65">
        <f t="shared" si="129"/>
        <v>9.7783397765342439</v>
      </c>
      <c r="F168" s="65">
        <f t="shared" si="129"/>
        <v>9.7783397765342439</v>
      </c>
      <c r="G168" s="65">
        <f t="shared" si="129"/>
        <v>9.7783397765342439</v>
      </c>
      <c r="H168" s="65">
        <f t="shared" si="129"/>
        <v>9.7783397765342439</v>
      </c>
      <c r="I168" s="65">
        <f t="shared" si="129"/>
        <v>9.7783397765342439</v>
      </c>
      <c r="J168" s="65">
        <f t="shared" si="129"/>
        <v>9.7783397765342439</v>
      </c>
      <c r="K168" s="65">
        <f t="shared" si="129"/>
        <v>9.7783397765342439</v>
      </c>
      <c r="L168" s="65">
        <f t="shared" si="129"/>
        <v>9.7783397765342439</v>
      </c>
      <c r="M168" s="65">
        <f t="shared" si="129"/>
        <v>9.7783397765342439</v>
      </c>
      <c r="N168" s="65">
        <f t="shared" si="129"/>
        <v>9.7783397765342439</v>
      </c>
      <c r="O168" s="65">
        <f t="shared" si="129"/>
        <v>9.7783397765342439</v>
      </c>
      <c r="P168" s="65">
        <f t="shared" si="129"/>
        <v>9.7783397765342439</v>
      </c>
      <c r="Q168" s="65">
        <f t="shared" si="129"/>
        <v>9.7783397765342439</v>
      </c>
      <c r="R168" s="65">
        <f t="shared" si="129"/>
        <v>9.7783397765342439</v>
      </c>
      <c r="S168" s="65">
        <f t="shared" si="129"/>
        <v>9.7783397765342439</v>
      </c>
      <c r="T168" s="65">
        <f t="shared" si="129"/>
        <v>9.7783397765342439</v>
      </c>
      <c r="U168" s="65">
        <f t="shared" si="129"/>
        <v>9.7783397765342439</v>
      </c>
      <c r="V168" s="65">
        <f t="shared" si="129"/>
        <v>9.7783397765342439</v>
      </c>
      <c r="W168" s="65">
        <f t="shared" si="129"/>
        <v>9.7783397765342439</v>
      </c>
      <c r="X168" s="65">
        <f t="shared" si="129"/>
        <v>9.7783397765342439</v>
      </c>
      <c r="Y168" s="65">
        <f t="shared" si="129"/>
        <v>9.7783397765342439</v>
      </c>
      <c r="Z168" s="65">
        <f t="shared" si="129"/>
        <v>9.7783397765342439</v>
      </c>
      <c r="AA168" s="65">
        <f t="shared" si="129"/>
        <v>9.7783397765342439</v>
      </c>
      <c r="AB168" s="65">
        <f t="shared" si="129"/>
        <v>9.7783397765342439</v>
      </c>
      <c r="AC168" s="65">
        <f t="shared" si="129"/>
        <v>9.7783397765342439</v>
      </c>
    </row>
    <row r="169" spans="1:29" x14ac:dyDescent="0.3">
      <c r="A169" s="30" t="str">
        <f t="shared" si="128"/>
        <v>Residual value (vehicle)</v>
      </c>
      <c r="B169" s="66">
        <f>((1+B141)^B148)*B141/(((1+B141)^B148)-1)*(B138)/B153</f>
        <v>-0.97676019148470272</v>
      </c>
      <c r="C169" s="66">
        <f t="shared" ref="C169:AC169" si="130">((1+C141)^C148)*C141/(((1+C141)^C148)-1)*(C138)/C153</f>
        <v>-0.97629564589195228</v>
      </c>
      <c r="D169" s="66">
        <f t="shared" si="130"/>
        <v>-0.97563065922284864</v>
      </c>
      <c r="E169" s="66">
        <f t="shared" si="130"/>
        <v>-0.97467934902874298</v>
      </c>
      <c r="F169" s="66">
        <f t="shared" si="130"/>
        <v>-0.97331971684434948</v>
      </c>
      <c r="G169" s="66">
        <f t="shared" si="130"/>
        <v>-0.97137922788852038</v>
      </c>
      <c r="H169" s="66">
        <f t="shared" si="130"/>
        <v>-0.96861549556136939</v>
      </c>
      <c r="I169" s="66">
        <f t="shared" si="130"/>
        <v>-0.96469139184278574</v>
      </c>
      <c r="J169" s="66">
        <f t="shared" si="130"/>
        <v>-0.95914504831885961</v>
      </c>
      <c r="K169" s="66">
        <f t="shared" si="130"/>
        <v>-0.95135808207559314</v>
      </c>
      <c r="L169" s="66">
        <f t="shared" si="130"/>
        <v>-0.94053137224117322</v>
      </c>
      <c r="M169" s="66">
        <f t="shared" si="130"/>
        <v>-0.92568835808620409</v>
      </c>
      <c r="N169" s="66">
        <f t="shared" si="130"/>
        <v>-0.90574093757501994</v>
      </c>
      <c r="O169" s="66">
        <f t="shared" si="130"/>
        <v>-0.87966580540866446</v>
      </c>
      <c r="P169" s="66">
        <f t="shared" si="130"/>
        <v>-0.84682858371450898</v>
      </c>
      <c r="Q169" s="66">
        <f t="shared" si="130"/>
        <v>-0.80742486027411864</v>
      </c>
      <c r="R169" s="66">
        <f t="shared" si="130"/>
        <v>-0.7628681679376812</v>
      </c>
      <c r="S169" s="66">
        <f t="shared" si="130"/>
        <v>-0.71582985064961269</v>
      </c>
      <c r="T169" s="66">
        <f t="shared" si="130"/>
        <v>-0.66971715946306853</v>
      </c>
      <c r="U169" s="66">
        <f t="shared" si="130"/>
        <v>-0.62773982751286628</v>
      </c>
      <c r="V169" s="66">
        <f t="shared" si="130"/>
        <v>-0.59206507304221667</v>
      </c>
      <c r="W169" s="66">
        <f t="shared" si="130"/>
        <v>-0.56349598369776865</v>
      </c>
      <c r="X169" s="66">
        <f t="shared" si="130"/>
        <v>-0.54169650054128426</v>
      </c>
      <c r="Y169" s="66">
        <f t="shared" si="130"/>
        <v>-0.52567213210019181</v>
      </c>
      <c r="Z169" s="66">
        <f t="shared" si="130"/>
        <v>-0.51421494048397043</v>
      </c>
      <c r="AA169" s="66">
        <f t="shared" si="130"/>
        <v>-0.50618514115505298</v>
      </c>
      <c r="AB169" s="66">
        <f t="shared" si="130"/>
        <v>-0.50063605626873253</v>
      </c>
      <c r="AC169" s="66">
        <f t="shared" si="130"/>
        <v>-0.49683854095951707</v>
      </c>
    </row>
    <row r="170" spans="1:29" x14ac:dyDescent="0.3">
      <c r="A170" s="30" t="str">
        <f t="shared" si="128"/>
        <v>Capex costumization</v>
      </c>
      <c r="B170" s="66">
        <f>((1+B141)^B149)*B141/(((1+B141)^B149)-1)*(B139)/B153</f>
        <v>3.2594465921780813</v>
      </c>
      <c r="C170" s="66">
        <f t="shared" ref="C170:AC170" si="131">((1+C141)^C149)*C141/(((1+C141)^C149)-1)*(C139)/C153</f>
        <v>3.2594465921780813</v>
      </c>
      <c r="D170" s="66">
        <f t="shared" si="131"/>
        <v>3.2594465921780813</v>
      </c>
      <c r="E170" s="66">
        <f t="shared" si="131"/>
        <v>3.2594465921780813</v>
      </c>
      <c r="F170" s="66">
        <f t="shared" si="131"/>
        <v>3.2594465921780813</v>
      </c>
      <c r="G170" s="66">
        <f t="shared" si="131"/>
        <v>3.2594465921780813</v>
      </c>
      <c r="H170" s="66">
        <f t="shared" si="131"/>
        <v>3.2594465921780813</v>
      </c>
      <c r="I170" s="66">
        <f t="shared" si="131"/>
        <v>3.2594465921780813</v>
      </c>
      <c r="J170" s="66">
        <f t="shared" si="131"/>
        <v>3.2594465921780813</v>
      </c>
      <c r="K170" s="66">
        <f t="shared" si="131"/>
        <v>3.2594465921780813</v>
      </c>
      <c r="L170" s="66">
        <f t="shared" si="131"/>
        <v>3.2594465921780813</v>
      </c>
      <c r="M170" s="66">
        <f t="shared" si="131"/>
        <v>3.2594465921780813</v>
      </c>
      <c r="N170" s="66">
        <f t="shared" si="131"/>
        <v>3.2594465921780813</v>
      </c>
      <c r="O170" s="66">
        <f t="shared" si="131"/>
        <v>3.2594465921780813</v>
      </c>
      <c r="P170" s="66">
        <f t="shared" si="131"/>
        <v>3.2594465921780813</v>
      </c>
      <c r="Q170" s="66">
        <f t="shared" si="131"/>
        <v>3.2594465921780813</v>
      </c>
      <c r="R170" s="66">
        <f t="shared" si="131"/>
        <v>3.2594465921780813</v>
      </c>
      <c r="S170" s="66">
        <f t="shared" si="131"/>
        <v>3.2594465921780813</v>
      </c>
      <c r="T170" s="66">
        <f t="shared" si="131"/>
        <v>3.2594465921780813</v>
      </c>
      <c r="U170" s="66">
        <f t="shared" si="131"/>
        <v>3.2594465921780813</v>
      </c>
      <c r="V170" s="66">
        <f t="shared" si="131"/>
        <v>3.2594465921780813</v>
      </c>
      <c r="W170" s="66">
        <f t="shared" si="131"/>
        <v>3.2594465921780813</v>
      </c>
      <c r="X170" s="66">
        <f t="shared" si="131"/>
        <v>3.2594465921780813</v>
      </c>
      <c r="Y170" s="66">
        <f t="shared" si="131"/>
        <v>3.2594465921780813</v>
      </c>
      <c r="Z170" s="66">
        <f t="shared" si="131"/>
        <v>3.2594465921780813</v>
      </c>
      <c r="AA170" s="66">
        <f t="shared" si="131"/>
        <v>3.2594465921780813</v>
      </c>
      <c r="AB170" s="66">
        <f t="shared" si="131"/>
        <v>3.2594465921780813</v>
      </c>
      <c r="AC170" s="66">
        <f t="shared" si="131"/>
        <v>3.2594465921780813</v>
      </c>
    </row>
    <row r="171" spans="1:29" x14ac:dyDescent="0.3">
      <c r="A171" s="30" t="str">
        <f t="shared" si="128"/>
        <v>Residual value (costumization)</v>
      </c>
      <c r="B171" s="66">
        <f>((1+B141)^B149)*B141/(((1+B141)^B149)-1)*(B140)/B153</f>
        <v>-0.32594465921780813</v>
      </c>
      <c r="C171" s="66">
        <f t="shared" ref="C171:AC171" si="132">((1+C141)^C149)*C141/(((1+C141)^C149)-1)*(C140)/C153</f>
        <v>-0.32594465921780813</v>
      </c>
      <c r="D171" s="66">
        <f t="shared" si="132"/>
        <v>-0.32594465921780813</v>
      </c>
      <c r="E171" s="66">
        <f t="shared" si="132"/>
        <v>-0.32594465921780813</v>
      </c>
      <c r="F171" s="66">
        <f t="shared" si="132"/>
        <v>-0.32594465921780813</v>
      </c>
      <c r="G171" s="66">
        <f t="shared" si="132"/>
        <v>-0.32594465921780813</v>
      </c>
      <c r="H171" s="66">
        <f t="shared" si="132"/>
        <v>-0.32594465921780813</v>
      </c>
      <c r="I171" s="66">
        <f t="shared" si="132"/>
        <v>-0.32594465921780813</v>
      </c>
      <c r="J171" s="66">
        <f t="shared" si="132"/>
        <v>-0.32594465921780813</v>
      </c>
      <c r="K171" s="66">
        <f t="shared" si="132"/>
        <v>-0.32594465921780813</v>
      </c>
      <c r="L171" s="66">
        <f t="shared" si="132"/>
        <v>-0.32594465921780813</v>
      </c>
      <c r="M171" s="66">
        <f t="shared" si="132"/>
        <v>-0.32594465921780813</v>
      </c>
      <c r="N171" s="66">
        <f t="shared" si="132"/>
        <v>-0.32594465921780813</v>
      </c>
      <c r="O171" s="66">
        <f t="shared" si="132"/>
        <v>-0.32594465921780813</v>
      </c>
      <c r="P171" s="66">
        <f t="shared" si="132"/>
        <v>-0.32594465921780813</v>
      </c>
      <c r="Q171" s="66">
        <f t="shared" si="132"/>
        <v>-0.32594465921780813</v>
      </c>
      <c r="R171" s="66">
        <f t="shared" si="132"/>
        <v>-0.32594465921780813</v>
      </c>
      <c r="S171" s="66">
        <f t="shared" si="132"/>
        <v>-0.32594465921780813</v>
      </c>
      <c r="T171" s="66">
        <f t="shared" si="132"/>
        <v>-0.32594465921780813</v>
      </c>
      <c r="U171" s="66">
        <f t="shared" si="132"/>
        <v>-0.32594465921780813</v>
      </c>
      <c r="V171" s="66">
        <f t="shared" si="132"/>
        <v>-0.32594465921780813</v>
      </c>
      <c r="W171" s="66">
        <f t="shared" si="132"/>
        <v>-0.32594465921780813</v>
      </c>
      <c r="X171" s="66">
        <f t="shared" si="132"/>
        <v>-0.32594465921780813</v>
      </c>
      <c r="Y171" s="66">
        <f t="shared" si="132"/>
        <v>-0.32594465921780813</v>
      </c>
      <c r="Z171" s="66">
        <f t="shared" si="132"/>
        <v>-0.32594465921780813</v>
      </c>
      <c r="AA171" s="66">
        <f t="shared" si="132"/>
        <v>-0.32594465921780813</v>
      </c>
      <c r="AB171" s="66">
        <f t="shared" si="132"/>
        <v>-0.32594465921780813</v>
      </c>
      <c r="AC171" s="66">
        <f t="shared" si="132"/>
        <v>-0.32594465921780813</v>
      </c>
    </row>
    <row r="172" spans="1:29" x14ac:dyDescent="0.3">
      <c r="A172" s="30" t="str">
        <f t="shared" si="128"/>
        <v>Opex fix (admin, crew, insurance)</v>
      </c>
      <c r="B172" s="66">
        <f>B142/B153</f>
        <v>10.068627450980392</v>
      </c>
      <c r="C172" s="66">
        <f t="shared" ref="C172:AC172" si="133">C142/C153</f>
        <v>10.068627450980392</v>
      </c>
      <c r="D172" s="66">
        <f t="shared" si="133"/>
        <v>10.068627450980392</v>
      </c>
      <c r="E172" s="66">
        <f t="shared" si="133"/>
        <v>10.068627450980392</v>
      </c>
      <c r="F172" s="66">
        <f t="shared" si="133"/>
        <v>10.068627450980392</v>
      </c>
      <c r="G172" s="66">
        <f t="shared" si="133"/>
        <v>10.068627450980392</v>
      </c>
      <c r="H172" s="66">
        <f t="shared" si="133"/>
        <v>10.068627450980392</v>
      </c>
      <c r="I172" s="66">
        <f t="shared" si="133"/>
        <v>10.068627450980392</v>
      </c>
      <c r="J172" s="66">
        <f t="shared" si="133"/>
        <v>10.068627450980392</v>
      </c>
      <c r="K172" s="66">
        <f t="shared" si="133"/>
        <v>10.068627450980392</v>
      </c>
      <c r="L172" s="66">
        <f t="shared" si="133"/>
        <v>10.068627450980392</v>
      </c>
      <c r="M172" s="66">
        <f t="shared" si="133"/>
        <v>10.068627450980392</v>
      </c>
      <c r="N172" s="66">
        <f t="shared" si="133"/>
        <v>10.068627450980392</v>
      </c>
      <c r="O172" s="66">
        <f t="shared" si="133"/>
        <v>10.068627450980392</v>
      </c>
      <c r="P172" s="66">
        <f t="shared" si="133"/>
        <v>10.068627450980392</v>
      </c>
      <c r="Q172" s="66">
        <f t="shared" si="133"/>
        <v>10.068627450980392</v>
      </c>
      <c r="R172" s="66">
        <f t="shared" si="133"/>
        <v>10.068627450980392</v>
      </c>
      <c r="S172" s="66">
        <f t="shared" si="133"/>
        <v>10.068627450980392</v>
      </c>
      <c r="T172" s="66">
        <f t="shared" si="133"/>
        <v>10.068627450980392</v>
      </c>
      <c r="U172" s="66">
        <f t="shared" si="133"/>
        <v>10.068627450980392</v>
      </c>
      <c r="V172" s="66">
        <f t="shared" si="133"/>
        <v>10.068627450980392</v>
      </c>
      <c r="W172" s="66">
        <f t="shared" si="133"/>
        <v>10.068627450980392</v>
      </c>
      <c r="X172" s="66">
        <f t="shared" si="133"/>
        <v>10.068627450980392</v>
      </c>
      <c r="Y172" s="66">
        <f t="shared" si="133"/>
        <v>10.068627450980392</v>
      </c>
      <c r="Z172" s="66">
        <f t="shared" si="133"/>
        <v>10.068627450980392</v>
      </c>
      <c r="AA172" s="66">
        <f t="shared" si="133"/>
        <v>10.068627450980392</v>
      </c>
      <c r="AB172" s="66">
        <f t="shared" si="133"/>
        <v>10.068627450980392</v>
      </c>
      <c r="AC172" s="66">
        <f t="shared" si="133"/>
        <v>10.068627450980392</v>
      </c>
    </row>
    <row r="173" spans="1:29" x14ac:dyDescent="0.3">
      <c r="A173" s="30" t="str">
        <f t="shared" si="128"/>
        <v>Opex maintenance &amp; repair</v>
      </c>
      <c r="B173" s="66">
        <f>B143/B153</f>
        <v>4.0686274509803919</v>
      </c>
      <c r="C173" s="66">
        <f t="shared" ref="C173:AC173" si="134">C143/C153</f>
        <v>4.0686274509803919</v>
      </c>
      <c r="D173" s="66">
        <f t="shared" si="134"/>
        <v>4.0686274509803919</v>
      </c>
      <c r="E173" s="66">
        <f t="shared" si="134"/>
        <v>4.0686274509803919</v>
      </c>
      <c r="F173" s="66">
        <f t="shared" si="134"/>
        <v>4.0686274509803919</v>
      </c>
      <c r="G173" s="66">
        <f t="shared" si="134"/>
        <v>4.0686274509803919</v>
      </c>
      <c r="H173" s="66">
        <f t="shared" si="134"/>
        <v>4.0686274509803919</v>
      </c>
      <c r="I173" s="66">
        <f t="shared" si="134"/>
        <v>4.0686274509803919</v>
      </c>
      <c r="J173" s="66">
        <f t="shared" si="134"/>
        <v>4.0686274509803919</v>
      </c>
      <c r="K173" s="66">
        <f t="shared" si="134"/>
        <v>4.0686274509803919</v>
      </c>
      <c r="L173" s="66">
        <f t="shared" si="134"/>
        <v>4.0686274509803919</v>
      </c>
      <c r="M173" s="66">
        <f t="shared" si="134"/>
        <v>4.0686274509803919</v>
      </c>
      <c r="N173" s="66">
        <f t="shared" si="134"/>
        <v>4.0686274509803919</v>
      </c>
      <c r="O173" s="66">
        <f t="shared" si="134"/>
        <v>4.0686274509803919</v>
      </c>
      <c r="P173" s="66">
        <f t="shared" si="134"/>
        <v>4.0686274509803919</v>
      </c>
      <c r="Q173" s="66">
        <f t="shared" si="134"/>
        <v>4.0686274509803919</v>
      </c>
      <c r="R173" s="66">
        <f t="shared" si="134"/>
        <v>4.0686274509803919</v>
      </c>
      <c r="S173" s="66">
        <f t="shared" si="134"/>
        <v>4.0686274509803919</v>
      </c>
      <c r="T173" s="66">
        <f t="shared" si="134"/>
        <v>4.0686274509803919</v>
      </c>
      <c r="U173" s="66">
        <f t="shared" si="134"/>
        <v>4.0686274509803919</v>
      </c>
      <c r="V173" s="66">
        <f t="shared" si="134"/>
        <v>4.0686274509803919</v>
      </c>
      <c r="W173" s="66">
        <f t="shared" si="134"/>
        <v>4.0686274509803919</v>
      </c>
      <c r="X173" s="66">
        <f t="shared" si="134"/>
        <v>4.0686274509803919</v>
      </c>
      <c r="Y173" s="66">
        <f t="shared" si="134"/>
        <v>4.0686274509803919</v>
      </c>
      <c r="Z173" s="66">
        <f t="shared" si="134"/>
        <v>4.0686274509803919</v>
      </c>
      <c r="AA173" s="66">
        <f t="shared" si="134"/>
        <v>4.0686274509803919</v>
      </c>
      <c r="AB173" s="66">
        <f t="shared" si="134"/>
        <v>4.0686274509803919</v>
      </c>
      <c r="AC173" s="66">
        <f t="shared" si="134"/>
        <v>4.0686274509803919</v>
      </c>
    </row>
    <row r="174" spans="1:29" x14ac:dyDescent="0.3">
      <c r="A174" s="30" t="str">
        <f t="shared" si="128"/>
        <v>Opex var (mode-fees)</v>
      </c>
      <c r="B174" s="66">
        <f>B144*B153/B153</f>
        <v>1.6886890630966982</v>
      </c>
      <c r="C174" s="66">
        <f t="shared" ref="C174:AC174" si="135">C144*C153/C153</f>
        <v>1.6886890630966982</v>
      </c>
      <c r="D174" s="66">
        <f t="shared" si="135"/>
        <v>1.6886890630966982</v>
      </c>
      <c r="E174" s="66">
        <f t="shared" si="135"/>
        <v>1.6886890630966982</v>
      </c>
      <c r="F174" s="66">
        <f t="shared" si="135"/>
        <v>1.6886890630966982</v>
      </c>
      <c r="G174" s="66">
        <f t="shared" si="135"/>
        <v>1.6886890630966982</v>
      </c>
      <c r="H174" s="66">
        <f t="shared" si="135"/>
        <v>1.6886890630966982</v>
      </c>
      <c r="I174" s="66">
        <f t="shared" si="135"/>
        <v>1.6886890630966982</v>
      </c>
      <c r="J174" s="66">
        <f t="shared" si="135"/>
        <v>1.6886890630966982</v>
      </c>
      <c r="K174" s="66">
        <f t="shared" si="135"/>
        <v>1.6886890630966982</v>
      </c>
      <c r="L174" s="66">
        <f t="shared" si="135"/>
        <v>1.6886890630966982</v>
      </c>
      <c r="M174" s="66">
        <f t="shared" si="135"/>
        <v>1.6886890630966982</v>
      </c>
      <c r="N174" s="66">
        <f t="shared" si="135"/>
        <v>1.6886890630966982</v>
      </c>
      <c r="O174" s="66">
        <f t="shared" si="135"/>
        <v>1.6886890630966982</v>
      </c>
      <c r="P174" s="66">
        <f t="shared" si="135"/>
        <v>1.6886890630966982</v>
      </c>
      <c r="Q174" s="66">
        <f t="shared" si="135"/>
        <v>1.6886890630966982</v>
      </c>
      <c r="R174" s="66">
        <f t="shared" si="135"/>
        <v>1.6886890630966982</v>
      </c>
      <c r="S174" s="66">
        <f t="shared" si="135"/>
        <v>1.6886890630966982</v>
      </c>
      <c r="T174" s="66">
        <f t="shared" si="135"/>
        <v>1.6886890630966982</v>
      </c>
      <c r="U174" s="66">
        <f t="shared" si="135"/>
        <v>1.6886890630966982</v>
      </c>
      <c r="V174" s="66">
        <f t="shared" si="135"/>
        <v>1.6886890630966982</v>
      </c>
      <c r="W174" s="66">
        <f t="shared" si="135"/>
        <v>1.6886890630966982</v>
      </c>
      <c r="X174" s="66">
        <f t="shared" si="135"/>
        <v>1.6886890630966982</v>
      </c>
      <c r="Y174" s="66">
        <f t="shared" si="135"/>
        <v>1.6886890630966982</v>
      </c>
      <c r="Z174" s="66">
        <f t="shared" si="135"/>
        <v>1.6886890630966982</v>
      </c>
      <c r="AA174" s="66">
        <f t="shared" si="135"/>
        <v>1.6886890630966982</v>
      </c>
      <c r="AB174" s="66">
        <f t="shared" si="135"/>
        <v>1.6886890630966982</v>
      </c>
      <c r="AC174" s="66">
        <f t="shared" si="135"/>
        <v>1.6886890630966982</v>
      </c>
    </row>
    <row r="175" spans="1:29" x14ac:dyDescent="0.3">
      <c r="A175" s="30" t="str">
        <f t="shared" si="128"/>
        <v>Fuel Cost</v>
      </c>
      <c r="B175" s="66">
        <f>B145*B146*B153/B153</f>
        <v>38.813806562126089</v>
      </c>
      <c r="C175" s="66">
        <f t="shared" ref="C175:AC175" si="136">C145*C146*C153/C153</f>
        <v>38.811127132690224</v>
      </c>
      <c r="D175" s="66">
        <f t="shared" si="136"/>
        <v>38.807291589132269</v>
      </c>
      <c r="E175" s="66">
        <f t="shared" si="136"/>
        <v>38.801804574345127</v>
      </c>
      <c r="F175" s="66">
        <f t="shared" si="136"/>
        <v>38.79396241944437</v>
      </c>
      <c r="G175" s="66">
        <f t="shared" si="136"/>
        <v>38.782769969641045</v>
      </c>
      <c r="H175" s="66">
        <f t="shared" si="136"/>
        <v>38.766829175312601</v>
      </c>
      <c r="I175" s="66">
        <f t="shared" si="136"/>
        <v>38.744195532507597</v>
      </c>
      <c r="J175" s="66">
        <f t="shared" si="136"/>
        <v>38.712205053356911</v>
      </c>
      <c r="K175" s="66">
        <f t="shared" si="136"/>
        <v>38.667290997785422</v>
      </c>
      <c r="L175" s="66">
        <f t="shared" si="136"/>
        <v>38.604844156233987</v>
      </c>
      <c r="M175" s="66">
        <f t="shared" si="136"/>
        <v>38.519231872607968</v>
      </c>
      <c r="N175" s="66">
        <f t="shared" si="136"/>
        <v>38.404178137256018</v>
      </c>
      <c r="O175" s="66">
        <f t="shared" si="136"/>
        <v>38.253780678403992</v>
      </c>
      <c r="P175" s="66">
        <f t="shared" si="136"/>
        <v>38.064380499449811</v>
      </c>
      <c r="Q175" s="66">
        <f t="shared" si="136"/>
        <v>37.837105721437787</v>
      </c>
      <c r="R175" s="66">
        <f t="shared" si="136"/>
        <v>37.580109390239954</v>
      </c>
      <c r="S175" s="66">
        <f t="shared" si="136"/>
        <v>37.308799417823828</v>
      </c>
      <c r="T175" s="66">
        <f t="shared" si="136"/>
        <v>37.04282831819377</v>
      </c>
      <c r="U175" s="66">
        <f t="shared" si="136"/>
        <v>36.800709351569914</v>
      </c>
      <c r="V175" s="66">
        <f t="shared" si="136"/>
        <v>36.594942708343517</v>
      </c>
      <c r="W175" s="66">
        <f t="shared" si="136"/>
        <v>36.430160477837113</v>
      </c>
      <c r="X175" s="66">
        <f t="shared" si="136"/>
        <v>36.304424322403428</v>
      </c>
      <c r="Y175" s="66">
        <f t="shared" si="136"/>
        <v>36.211998164105417</v>
      </c>
      <c r="Z175" s="66">
        <f t="shared" si="136"/>
        <v>36.145914798020549</v>
      </c>
      <c r="AA175" s="66">
        <f t="shared" si="136"/>
        <v>36.099600117563483</v>
      </c>
      <c r="AB175" s="66">
        <f t="shared" si="136"/>
        <v>36.067593826644895</v>
      </c>
      <c r="AC175" s="66">
        <f t="shared" si="136"/>
        <v>36.045690326834659</v>
      </c>
    </row>
    <row r="176" spans="1:29" ht="15" thickBot="1" x14ac:dyDescent="0.35">
      <c r="A176" s="59" t="str">
        <f>A127</f>
        <v>Emission Cost</v>
      </c>
      <c r="B176" s="66">
        <f>B147</f>
        <v>17.334785285869845</v>
      </c>
      <c r="C176" s="66">
        <f t="shared" ref="C176:AC176" si="137">C147</f>
        <v>17.371592778833971</v>
      </c>
      <c r="D176" s="66">
        <f t="shared" si="137"/>
        <v>17.424281885191313</v>
      </c>
      <c r="E176" s="66">
        <f t="shared" si="137"/>
        <v>17.499657357099085</v>
      </c>
      <c r="F176" s="66">
        <f t="shared" si="137"/>
        <v>17.607385538878944</v>
      </c>
      <c r="G176" s="66">
        <f t="shared" si="137"/>
        <v>17.761136935304318</v>
      </c>
      <c r="H176" s="66">
        <f t="shared" si="137"/>
        <v>17.980116643160411</v>
      </c>
      <c r="I176" s="66">
        <f t="shared" si="137"/>
        <v>18.291036437183369</v>
      </c>
      <c r="J176" s="66">
        <f t="shared" si="137"/>
        <v>18.730491688550217</v>
      </c>
      <c r="K176" s="66">
        <f t="shared" si="137"/>
        <v>19.347478933039792</v>
      </c>
      <c r="L176" s="66">
        <f t="shared" si="137"/>
        <v>20.2053151761856</v>
      </c>
      <c r="M176" s="66">
        <f t="shared" si="137"/>
        <v>21.381376573820816</v>
      </c>
      <c r="N176" s="66">
        <f t="shared" si="137"/>
        <v>22.961877070598074</v>
      </c>
      <c r="O176" s="66">
        <f t="shared" si="137"/>
        <v>25.027896550126819</v>
      </c>
      <c r="P176" s="66">
        <f t="shared" si="137"/>
        <v>27.629698881977127</v>
      </c>
      <c r="Q176" s="66">
        <f t="shared" si="137"/>
        <v>30.751786995449869</v>
      </c>
      <c r="R176" s="66">
        <f t="shared" si="137"/>
        <v>34.282161979674356</v>
      </c>
      <c r="S176" s="66">
        <f t="shared" si="137"/>
        <v>38.009164365756064</v>
      </c>
      <c r="T176" s="66">
        <f t="shared" si="137"/>
        <v>41.662826316042121</v>
      </c>
      <c r="U176" s="66">
        <f t="shared" si="137"/>
        <v>44.988829994737316</v>
      </c>
      <c r="V176" s="66">
        <f t="shared" si="137"/>
        <v>47.815459489596307</v>
      </c>
      <c r="W176" s="66">
        <f t="shared" si="137"/>
        <v>50.07908349431699</v>
      </c>
      <c r="X176" s="66">
        <f t="shared" si="137"/>
        <v>51.806329076721653</v>
      </c>
      <c r="Y176" s="66">
        <f t="shared" si="137"/>
        <v>53.075993105085033</v>
      </c>
      <c r="Z176" s="66">
        <f t="shared" si="137"/>
        <v>53.98378451756151</v>
      </c>
      <c r="AA176" s="66">
        <f t="shared" si="137"/>
        <v>54.620012235388991</v>
      </c>
      <c r="AB176" s="66">
        <f t="shared" si="137"/>
        <v>55.059684694019481</v>
      </c>
      <c r="AC176" s="66">
        <f t="shared" si="137"/>
        <v>55.360574467179326</v>
      </c>
    </row>
    <row r="177" spans="1:29" ht="15" thickBot="1" x14ac:dyDescent="0.35">
      <c r="A177" s="31" t="s">
        <v>63</v>
      </c>
      <c r="B177" s="76">
        <f>B168+B169+B170-B171+B172+B173+B174+B175+B176</f>
        <v>84.36150664949885</v>
      </c>
      <c r="C177" s="76">
        <f t="shared" ref="C177:AC177" si="138">C168+C169+C170-C171+C172+C173+C174+C175+C176</f>
        <v>84.396099258619856</v>
      </c>
      <c r="D177" s="76">
        <f t="shared" si="138"/>
        <v>84.445617808088343</v>
      </c>
      <c r="E177" s="76">
        <f t="shared" si="138"/>
        <v>84.516457575403081</v>
      </c>
      <c r="F177" s="76">
        <f t="shared" si="138"/>
        <v>84.617703234466589</v>
      </c>
      <c r="G177" s="76">
        <f t="shared" si="138"/>
        <v>84.762202670044459</v>
      </c>
      <c r="H177" s="76">
        <f t="shared" si="138"/>
        <v>84.968005315899262</v>
      </c>
      <c r="I177" s="76">
        <f t="shared" si="138"/>
        <v>85.260215570835797</v>
      </c>
      <c r="J177" s="76">
        <f t="shared" si="138"/>
        <v>85.673226686575887</v>
      </c>
      <c r="K177" s="76">
        <f t="shared" si="138"/>
        <v>86.253086841737243</v>
      </c>
      <c r="L177" s="76">
        <f t="shared" si="138"/>
        <v>87.059302953166025</v>
      </c>
      <c r="M177" s="76">
        <f t="shared" si="138"/>
        <v>88.164595081330205</v>
      </c>
      <c r="N177" s="76">
        <f t="shared" si="138"/>
        <v>89.64998926326669</v>
      </c>
      <c r="O177" s="76">
        <f t="shared" si="138"/>
        <v>91.591686416109752</v>
      </c>
      <c r="P177" s="76">
        <f t="shared" si="138"/>
        <v>94.036925790700053</v>
      </c>
      <c r="Q177" s="76">
        <f t="shared" si="138"/>
        <v>96.971142849601165</v>
      </c>
      <c r="R177" s="76">
        <f t="shared" si="138"/>
        <v>100.28907819496425</v>
      </c>
      <c r="S177" s="76">
        <f t="shared" si="138"/>
        <v>103.79180892591789</v>
      </c>
      <c r="T177" s="76">
        <f t="shared" si="138"/>
        <v>107.22561246776044</v>
      </c>
      <c r="U177" s="76">
        <f t="shared" si="138"/>
        <v>110.35147451178199</v>
      </c>
      <c r="V177" s="76">
        <f t="shared" si="138"/>
        <v>113.00801211788523</v>
      </c>
      <c r="W177" s="76">
        <f t="shared" si="138"/>
        <v>115.13542298144395</v>
      </c>
      <c r="X177" s="76">
        <f t="shared" si="138"/>
        <v>116.75873189157141</v>
      </c>
      <c r="Y177" s="76">
        <f t="shared" si="138"/>
        <v>117.95199413007788</v>
      </c>
      <c r="Z177" s="76">
        <f t="shared" si="138"/>
        <v>118.8051593680857</v>
      </c>
      <c r="AA177" s="76">
        <f t="shared" si="138"/>
        <v>119.40310220478503</v>
      </c>
      <c r="AB177" s="76">
        <f t="shared" si="138"/>
        <v>119.81631745738326</v>
      </c>
      <c r="AC177" s="76">
        <f t="shared" si="138"/>
        <v>120.0991012460421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39">A156</f>
        <v>Capex vehicle</v>
      </c>
      <c r="B180" s="65">
        <f>((1+B141)^B148)*B141/(((1+B141)^B148)-1)*(B137)/B153/(B150)</f>
        <v>1.0347449498978036E-3</v>
      </c>
      <c r="C180" s="65">
        <f t="shared" ref="C180:AC180" si="140">((1+C141)^C148)*C141/(((1+C141)^C148)-1)*(C137)/C153/(C150)</f>
        <v>1.0347449498978036E-3</v>
      </c>
      <c r="D180" s="65">
        <f t="shared" si="140"/>
        <v>1.0347449498978036E-3</v>
      </c>
      <c r="E180" s="65">
        <f t="shared" si="140"/>
        <v>1.0347449498978036E-3</v>
      </c>
      <c r="F180" s="65">
        <f t="shared" si="140"/>
        <v>1.0347449498978036E-3</v>
      </c>
      <c r="G180" s="65">
        <f t="shared" si="140"/>
        <v>1.0347449498978036E-3</v>
      </c>
      <c r="H180" s="65">
        <f t="shared" si="140"/>
        <v>1.0347449498978036E-3</v>
      </c>
      <c r="I180" s="65">
        <f t="shared" si="140"/>
        <v>1.0347449498978036E-3</v>
      </c>
      <c r="J180" s="65">
        <f t="shared" si="140"/>
        <v>1.0347449498978036E-3</v>
      </c>
      <c r="K180" s="65">
        <f t="shared" si="140"/>
        <v>1.0347449498978036E-3</v>
      </c>
      <c r="L180" s="65">
        <f t="shared" si="140"/>
        <v>1.0347449498978036E-3</v>
      </c>
      <c r="M180" s="65">
        <f t="shared" si="140"/>
        <v>1.0347449498978036E-3</v>
      </c>
      <c r="N180" s="65">
        <f t="shared" si="140"/>
        <v>1.0347449498978036E-3</v>
      </c>
      <c r="O180" s="65">
        <f t="shared" si="140"/>
        <v>1.0347449498978036E-3</v>
      </c>
      <c r="P180" s="65">
        <f t="shared" si="140"/>
        <v>1.0347449498978036E-3</v>
      </c>
      <c r="Q180" s="65">
        <f t="shared" si="140"/>
        <v>1.0347449498978036E-3</v>
      </c>
      <c r="R180" s="65">
        <f t="shared" si="140"/>
        <v>1.0347449498978036E-3</v>
      </c>
      <c r="S180" s="65">
        <f t="shared" si="140"/>
        <v>1.0347449498978036E-3</v>
      </c>
      <c r="T180" s="65">
        <f t="shared" si="140"/>
        <v>1.0347449498978036E-3</v>
      </c>
      <c r="U180" s="65">
        <f t="shared" si="140"/>
        <v>1.0347449498978036E-3</v>
      </c>
      <c r="V180" s="65">
        <f t="shared" si="140"/>
        <v>1.0347449498978036E-3</v>
      </c>
      <c r="W180" s="65">
        <f t="shared" si="140"/>
        <v>1.0347449498978036E-3</v>
      </c>
      <c r="X180" s="65">
        <f t="shared" si="140"/>
        <v>1.0347449498978036E-3</v>
      </c>
      <c r="Y180" s="65">
        <f t="shared" si="140"/>
        <v>1.0347449498978036E-3</v>
      </c>
      <c r="Z180" s="65">
        <f t="shared" si="140"/>
        <v>1.0347449498978036E-3</v>
      </c>
      <c r="AA180" s="65">
        <f t="shared" si="140"/>
        <v>1.0347449498978036E-3</v>
      </c>
      <c r="AB180" s="65">
        <f t="shared" si="140"/>
        <v>1.0347449498978036E-3</v>
      </c>
      <c r="AC180" s="65">
        <f t="shared" si="140"/>
        <v>1.0347449498978036E-3</v>
      </c>
    </row>
    <row r="181" spans="1:29" x14ac:dyDescent="0.3">
      <c r="A181" s="30" t="str">
        <f t="shared" si="139"/>
        <v>Residual value (vehicle)</v>
      </c>
      <c r="B181" s="68">
        <f>((1+B141)^B148)*B141/(((1+B141)^B148)-1)*(B138)/B153/(B150)</f>
        <v>-1.0336086682377807E-4</v>
      </c>
      <c r="C181" s="68">
        <f t="shared" ref="C181:AC181" si="141">((1+C141)^C148)*C141/(((1+C141)^C148)-1)*(C138)/C153/(C150)</f>
        <v>-1.0331170855999495E-4</v>
      </c>
      <c r="D181" s="68">
        <f t="shared" si="141"/>
        <v>-1.0324133960030145E-4</v>
      </c>
      <c r="E181" s="68">
        <f t="shared" si="141"/>
        <v>-1.0314067185489343E-4</v>
      </c>
      <c r="F181" s="68">
        <f t="shared" si="141"/>
        <v>-1.0299679543326449E-4</v>
      </c>
      <c r="G181" s="68">
        <f t="shared" si="141"/>
        <v>-1.0279145268661591E-4</v>
      </c>
      <c r="H181" s="68">
        <f t="shared" si="141"/>
        <v>-1.0249899423929835E-4</v>
      </c>
      <c r="I181" s="68">
        <f t="shared" si="141"/>
        <v>-1.0208374516854875E-4</v>
      </c>
      <c r="J181" s="68">
        <f t="shared" si="141"/>
        <v>-1.0149683050993223E-4</v>
      </c>
      <c r="K181" s="68">
        <f t="shared" si="141"/>
        <v>-1.0067281291805218E-4</v>
      </c>
      <c r="L181" s="68">
        <f t="shared" si="141"/>
        <v>-9.9527129337690295E-5</v>
      </c>
      <c r="M181" s="68">
        <f t="shared" si="141"/>
        <v>-9.7956440009122124E-5</v>
      </c>
      <c r="N181" s="68">
        <f t="shared" si="141"/>
        <v>-9.5845601859790468E-5</v>
      </c>
      <c r="O181" s="68">
        <f t="shared" si="141"/>
        <v>-9.3086328614673487E-5</v>
      </c>
      <c r="P181" s="68">
        <f t="shared" si="141"/>
        <v>-8.9611490340159677E-5</v>
      </c>
      <c r="Q181" s="68">
        <f t="shared" si="141"/>
        <v>-8.5441784155991385E-5</v>
      </c>
      <c r="R181" s="68">
        <f t="shared" si="141"/>
        <v>-8.0726790257955685E-5</v>
      </c>
      <c r="S181" s="68">
        <f t="shared" si="141"/>
        <v>-7.5749190544932557E-5</v>
      </c>
      <c r="T181" s="68">
        <f t="shared" si="141"/>
        <v>-7.086954068392259E-5</v>
      </c>
      <c r="U181" s="68">
        <f t="shared" si="141"/>
        <v>-6.6427494974906487E-5</v>
      </c>
      <c r="V181" s="68">
        <f t="shared" si="141"/>
        <v>-6.2652388681716054E-5</v>
      </c>
      <c r="W181" s="68">
        <f t="shared" si="141"/>
        <v>-5.9629204624102501E-5</v>
      </c>
      <c r="X181" s="68">
        <f t="shared" si="141"/>
        <v>-5.7322381009659713E-5</v>
      </c>
      <c r="Y181" s="68">
        <f t="shared" si="141"/>
        <v>-5.5626680645522941E-5</v>
      </c>
      <c r="Z181" s="68">
        <f t="shared" si="141"/>
        <v>-5.4414279416293167E-5</v>
      </c>
      <c r="AA181" s="68">
        <f t="shared" si="141"/>
        <v>-5.3564565201592909E-5</v>
      </c>
      <c r="AB181" s="68">
        <f t="shared" si="141"/>
        <v>-5.2977360451717727E-5</v>
      </c>
      <c r="AC181" s="68">
        <f t="shared" si="141"/>
        <v>-5.2575506979843073E-5</v>
      </c>
    </row>
    <row r="182" spans="1:29" x14ac:dyDescent="0.3">
      <c r="A182" s="30" t="str">
        <f t="shared" si="139"/>
        <v>Capex costumization</v>
      </c>
      <c r="B182" s="66">
        <f>((1+B141)^B149)*B141/(((1+B141)^B149)-1)*(B139)/B153/(B150)</f>
        <v>3.4491498329926784E-4</v>
      </c>
      <c r="C182" s="66">
        <f t="shared" ref="C182:AC182" si="142">((1+C141)^C149)*C141/(((1+C141)^C149)-1)*(C139)/C153/(C150)</f>
        <v>3.4491498329926784E-4</v>
      </c>
      <c r="D182" s="66">
        <f t="shared" si="142"/>
        <v>3.4491498329926784E-4</v>
      </c>
      <c r="E182" s="66">
        <f t="shared" si="142"/>
        <v>3.4491498329926784E-4</v>
      </c>
      <c r="F182" s="66">
        <f t="shared" si="142"/>
        <v>3.4491498329926784E-4</v>
      </c>
      <c r="G182" s="66">
        <f t="shared" si="142"/>
        <v>3.4491498329926784E-4</v>
      </c>
      <c r="H182" s="66">
        <f t="shared" si="142"/>
        <v>3.4491498329926784E-4</v>
      </c>
      <c r="I182" s="66">
        <f t="shared" si="142"/>
        <v>3.4491498329926784E-4</v>
      </c>
      <c r="J182" s="66">
        <f t="shared" si="142"/>
        <v>3.4491498329926784E-4</v>
      </c>
      <c r="K182" s="66">
        <f t="shared" si="142"/>
        <v>3.4491498329926784E-4</v>
      </c>
      <c r="L182" s="66">
        <f t="shared" si="142"/>
        <v>3.4491498329926784E-4</v>
      </c>
      <c r="M182" s="66">
        <f t="shared" si="142"/>
        <v>3.4491498329926784E-4</v>
      </c>
      <c r="N182" s="66">
        <f t="shared" si="142"/>
        <v>3.4491498329926784E-4</v>
      </c>
      <c r="O182" s="66">
        <f t="shared" si="142"/>
        <v>3.4491498329926784E-4</v>
      </c>
      <c r="P182" s="66">
        <f t="shared" si="142"/>
        <v>3.4491498329926784E-4</v>
      </c>
      <c r="Q182" s="66">
        <f t="shared" si="142"/>
        <v>3.4491498329926784E-4</v>
      </c>
      <c r="R182" s="66">
        <f t="shared" si="142"/>
        <v>3.4491498329926784E-4</v>
      </c>
      <c r="S182" s="66">
        <f t="shared" si="142"/>
        <v>3.4491498329926784E-4</v>
      </c>
      <c r="T182" s="66">
        <f t="shared" si="142"/>
        <v>3.4491498329926784E-4</v>
      </c>
      <c r="U182" s="66">
        <f t="shared" si="142"/>
        <v>3.4491498329926784E-4</v>
      </c>
      <c r="V182" s="66">
        <f t="shared" si="142"/>
        <v>3.4491498329926784E-4</v>
      </c>
      <c r="W182" s="66">
        <f t="shared" si="142"/>
        <v>3.4491498329926784E-4</v>
      </c>
      <c r="X182" s="66">
        <f t="shared" si="142"/>
        <v>3.4491498329926784E-4</v>
      </c>
      <c r="Y182" s="66">
        <f t="shared" si="142"/>
        <v>3.4491498329926784E-4</v>
      </c>
      <c r="Z182" s="66">
        <f t="shared" si="142"/>
        <v>3.4491498329926784E-4</v>
      </c>
      <c r="AA182" s="66">
        <f t="shared" si="142"/>
        <v>3.4491498329926784E-4</v>
      </c>
      <c r="AB182" s="66">
        <f t="shared" si="142"/>
        <v>3.4491498329926784E-4</v>
      </c>
      <c r="AC182" s="66">
        <f t="shared" si="142"/>
        <v>3.4491498329926784E-4</v>
      </c>
    </row>
    <row r="183" spans="1:29" x14ac:dyDescent="0.3">
      <c r="A183" s="30" t="str">
        <f t="shared" si="139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3">((1+C141)^C149)*C141/(((1+C141)^C149)-1)*(C140)/C153/(C150)</f>
        <v>-3.4491498329926788E-5</v>
      </c>
      <c r="D183" s="69">
        <f t="shared" si="143"/>
        <v>-3.4491498329926788E-5</v>
      </c>
      <c r="E183" s="69">
        <f t="shared" si="143"/>
        <v>-3.4491498329926788E-5</v>
      </c>
      <c r="F183" s="69">
        <f t="shared" si="143"/>
        <v>-3.4491498329926788E-5</v>
      </c>
      <c r="G183" s="69">
        <f t="shared" si="143"/>
        <v>-3.4491498329926788E-5</v>
      </c>
      <c r="H183" s="69">
        <f t="shared" si="143"/>
        <v>-3.4491498329926788E-5</v>
      </c>
      <c r="I183" s="69">
        <f t="shared" si="143"/>
        <v>-3.4491498329926788E-5</v>
      </c>
      <c r="J183" s="69">
        <f t="shared" si="143"/>
        <v>-3.4491498329926788E-5</v>
      </c>
      <c r="K183" s="69">
        <f t="shared" si="143"/>
        <v>-3.4491498329926788E-5</v>
      </c>
      <c r="L183" s="69">
        <f t="shared" si="143"/>
        <v>-3.4491498329926788E-5</v>
      </c>
      <c r="M183" s="69">
        <f t="shared" si="143"/>
        <v>-3.4491498329926788E-5</v>
      </c>
      <c r="N183" s="69">
        <f t="shared" si="143"/>
        <v>-3.4491498329926788E-5</v>
      </c>
      <c r="O183" s="69">
        <f t="shared" si="143"/>
        <v>-3.4491498329926788E-5</v>
      </c>
      <c r="P183" s="69">
        <f t="shared" si="143"/>
        <v>-3.4491498329926788E-5</v>
      </c>
      <c r="Q183" s="69">
        <f t="shared" si="143"/>
        <v>-3.4491498329926788E-5</v>
      </c>
      <c r="R183" s="69">
        <f t="shared" si="143"/>
        <v>-3.4491498329926788E-5</v>
      </c>
      <c r="S183" s="69">
        <f t="shared" si="143"/>
        <v>-3.4491498329926788E-5</v>
      </c>
      <c r="T183" s="69">
        <f t="shared" si="143"/>
        <v>-3.4491498329926788E-5</v>
      </c>
      <c r="U183" s="69">
        <f t="shared" si="143"/>
        <v>-3.4491498329926788E-5</v>
      </c>
      <c r="V183" s="69">
        <f t="shared" si="143"/>
        <v>-3.4491498329926788E-5</v>
      </c>
      <c r="W183" s="69">
        <f t="shared" si="143"/>
        <v>-3.4491498329926788E-5</v>
      </c>
      <c r="X183" s="69">
        <f t="shared" si="143"/>
        <v>-3.4491498329926788E-5</v>
      </c>
      <c r="Y183" s="69">
        <f t="shared" si="143"/>
        <v>-3.4491498329926788E-5</v>
      </c>
      <c r="Z183" s="69">
        <f t="shared" si="143"/>
        <v>-3.4491498329926788E-5</v>
      </c>
      <c r="AA183" s="69">
        <f t="shared" si="143"/>
        <v>-3.4491498329926788E-5</v>
      </c>
      <c r="AB183" s="69">
        <f t="shared" si="143"/>
        <v>-3.4491498329926788E-5</v>
      </c>
      <c r="AC183" s="69">
        <f t="shared" si="143"/>
        <v>-3.4491498329926788E-5</v>
      </c>
    </row>
    <row r="184" spans="1:29" x14ac:dyDescent="0.3">
      <c r="A184" s="30" t="str">
        <f t="shared" si="139"/>
        <v>Opex fix (admin, crew, insurance)</v>
      </c>
      <c r="B184" s="66">
        <f>B142/B153/(B150)</f>
        <v>1.0654632223259673E-3</v>
      </c>
      <c r="C184" s="66">
        <f t="shared" ref="C184:AC184" si="144">C142/C153/(C150)</f>
        <v>1.0654632223259673E-3</v>
      </c>
      <c r="D184" s="66">
        <f t="shared" si="144"/>
        <v>1.0654632223259673E-3</v>
      </c>
      <c r="E184" s="66">
        <f t="shared" si="144"/>
        <v>1.0654632223259673E-3</v>
      </c>
      <c r="F184" s="66">
        <f t="shared" si="144"/>
        <v>1.0654632223259673E-3</v>
      </c>
      <c r="G184" s="66">
        <f t="shared" si="144"/>
        <v>1.0654632223259673E-3</v>
      </c>
      <c r="H184" s="66">
        <f t="shared" si="144"/>
        <v>1.0654632223259673E-3</v>
      </c>
      <c r="I184" s="66">
        <f t="shared" si="144"/>
        <v>1.0654632223259673E-3</v>
      </c>
      <c r="J184" s="66">
        <f t="shared" si="144"/>
        <v>1.0654632223259673E-3</v>
      </c>
      <c r="K184" s="66">
        <f t="shared" si="144"/>
        <v>1.0654632223259673E-3</v>
      </c>
      <c r="L184" s="66">
        <f t="shared" si="144"/>
        <v>1.0654632223259673E-3</v>
      </c>
      <c r="M184" s="66">
        <f t="shared" si="144"/>
        <v>1.0654632223259673E-3</v>
      </c>
      <c r="N184" s="66">
        <f t="shared" si="144"/>
        <v>1.0654632223259673E-3</v>
      </c>
      <c r="O184" s="66">
        <f t="shared" si="144"/>
        <v>1.0654632223259673E-3</v>
      </c>
      <c r="P184" s="66">
        <f t="shared" si="144"/>
        <v>1.0654632223259673E-3</v>
      </c>
      <c r="Q184" s="66">
        <f t="shared" si="144"/>
        <v>1.0654632223259673E-3</v>
      </c>
      <c r="R184" s="66">
        <f t="shared" si="144"/>
        <v>1.0654632223259673E-3</v>
      </c>
      <c r="S184" s="66">
        <f t="shared" si="144"/>
        <v>1.0654632223259673E-3</v>
      </c>
      <c r="T184" s="66">
        <f t="shared" si="144"/>
        <v>1.0654632223259673E-3</v>
      </c>
      <c r="U184" s="66">
        <f t="shared" si="144"/>
        <v>1.0654632223259673E-3</v>
      </c>
      <c r="V184" s="66">
        <f t="shared" si="144"/>
        <v>1.0654632223259673E-3</v>
      </c>
      <c r="W184" s="66">
        <f t="shared" si="144"/>
        <v>1.0654632223259673E-3</v>
      </c>
      <c r="X184" s="66">
        <f t="shared" si="144"/>
        <v>1.0654632223259673E-3</v>
      </c>
      <c r="Y184" s="66">
        <f t="shared" si="144"/>
        <v>1.0654632223259673E-3</v>
      </c>
      <c r="Z184" s="66">
        <f t="shared" si="144"/>
        <v>1.0654632223259673E-3</v>
      </c>
      <c r="AA184" s="66">
        <f t="shared" si="144"/>
        <v>1.0654632223259673E-3</v>
      </c>
      <c r="AB184" s="66">
        <f t="shared" si="144"/>
        <v>1.0654632223259673E-3</v>
      </c>
      <c r="AC184" s="66">
        <f t="shared" si="144"/>
        <v>1.0654632223259673E-3</v>
      </c>
    </row>
    <row r="185" spans="1:29" x14ac:dyDescent="0.3">
      <c r="A185" s="30" t="str">
        <f t="shared" si="139"/>
        <v>Opex maintenance &amp; repair</v>
      </c>
      <c r="B185" s="66">
        <f>B143/B153/(B150)</f>
        <v>4.305425874053325E-4</v>
      </c>
      <c r="C185" s="66">
        <f t="shared" ref="C185:AC185" si="145">C143/C153/(C150)</f>
        <v>4.305425874053325E-4</v>
      </c>
      <c r="D185" s="66">
        <f t="shared" si="145"/>
        <v>4.305425874053325E-4</v>
      </c>
      <c r="E185" s="66">
        <f t="shared" si="145"/>
        <v>4.305425874053325E-4</v>
      </c>
      <c r="F185" s="66">
        <f t="shared" si="145"/>
        <v>4.305425874053325E-4</v>
      </c>
      <c r="G185" s="66">
        <f t="shared" si="145"/>
        <v>4.305425874053325E-4</v>
      </c>
      <c r="H185" s="66">
        <f t="shared" si="145"/>
        <v>4.305425874053325E-4</v>
      </c>
      <c r="I185" s="66">
        <f t="shared" si="145"/>
        <v>4.305425874053325E-4</v>
      </c>
      <c r="J185" s="66">
        <f t="shared" si="145"/>
        <v>4.305425874053325E-4</v>
      </c>
      <c r="K185" s="66">
        <f t="shared" si="145"/>
        <v>4.305425874053325E-4</v>
      </c>
      <c r="L185" s="66">
        <f t="shared" si="145"/>
        <v>4.305425874053325E-4</v>
      </c>
      <c r="M185" s="66">
        <f t="shared" si="145"/>
        <v>4.305425874053325E-4</v>
      </c>
      <c r="N185" s="66">
        <f t="shared" si="145"/>
        <v>4.305425874053325E-4</v>
      </c>
      <c r="O185" s="66">
        <f t="shared" si="145"/>
        <v>4.305425874053325E-4</v>
      </c>
      <c r="P185" s="66">
        <f t="shared" si="145"/>
        <v>4.305425874053325E-4</v>
      </c>
      <c r="Q185" s="66">
        <f t="shared" si="145"/>
        <v>4.305425874053325E-4</v>
      </c>
      <c r="R185" s="66">
        <f t="shared" si="145"/>
        <v>4.305425874053325E-4</v>
      </c>
      <c r="S185" s="66">
        <f t="shared" si="145"/>
        <v>4.305425874053325E-4</v>
      </c>
      <c r="T185" s="66">
        <f t="shared" si="145"/>
        <v>4.305425874053325E-4</v>
      </c>
      <c r="U185" s="66">
        <f t="shared" si="145"/>
        <v>4.305425874053325E-4</v>
      </c>
      <c r="V185" s="66">
        <f t="shared" si="145"/>
        <v>4.305425874053325E-4</v>
      </c>
      <c r="W185" s="66">
        <f t="shared" si="145"/>
        <v>4.305425874053325E-4</v>
      </c>
      <c r="X185" s="66">
        <f t="shared" si="145"/>
        <v>4.305425874053325E-4</v>
      </c>
      <c r="Y185" s="66">
        <f t="shared" si="145"/>
        <v>4.305425874053325E-4</v>
      </c>
      <c r="Z185" s="66">
        <f t="shared" si="145"/>
        <v>4.305425874053325E-4</v>
      </c>
      <c r="AA185" s="66">
        <f t="shared" si="145"/>
        <v>4.305425874053325E-4</v>
      </c>
      <c r="AB185" s="66">
        <f t="shared" si="145"/>
        <v>4.305425874053325E-4</v>
      </c>
      <c r="AC185" s="66">
        <f t="shared" si="145"/>
        <v>4.305425874053325E-4</v>
      </c>
    </row>
    <row r="186" spans="1:29" x14ac:dyDescent="0.3">
      <c r="A186" s="30" t="str">
        <f t="shared" si="139"/>
        <v>Opex var (mode-fees)</v>
      </c>
      <c r="B186" s="66">
        <f>B144*B153/B153/(B150)</f>
        <v>1.7869725535414797E-4</v>
      </c>
      <c r="C186" s="66">
        <f t="shared" ref="C186:AC186" si="146">C144*C153/C153/(C150)</f>
        <v>1.7869725535414797E-4</v>
      </c>
      <c r="D186" s="66">
        <f t="shared" si="146"/>
        <v>1.7869725535414797E-4</v>
      </c>
      <c r="E186" s="66">
        <f t="shared" si="146"/>
        <v>1.7869725535414797E-4</v>
      </c>
      <c r="F186" s="66">
        <f t="shared" si="146"/>
        <v>1.7869725535414797E-4</v>
      </c>
      <c r="G186" s="66">
        <f t="shared" si="146"/>
        <v>1.7869725535414797E-4</v>
      </c>
      <c r="H186" s="66">
        <f t="shared" si="146"/>
        <v>1.7869725535414797E-4</v>
      </c>
      <c r="I186" s="66">
        <f t="shared" si="146"/>
        <v>1.7869725535414797E-4</v>
      </c>
      <c r="J186" s="66">
        <f t="shared" si="146"/>
        <v>1.7869725535414797E-4</v>
      </c>
      <c r="K186" s="66">
        <f t="shared" si="146"/>
        <v>1.7869725535414797E-4</v>
      </c>
      <c r="L186" s="66">
        <f t="shared" si="146"/>
        <v>1.7869725535414797E-4</v>
      </c>
      <c r="M186" s="66">
        <f t="shared" si="146"/>
        <v>1.7869725535414797E-4</v>
      </c>
      <c r="N186" s="66">
        <f t="shared" si="146"/>
        <v>1.7869725535414797E-4</v>
      </c>
      <c r="O186" s="66">
        <f t="shared" si="146"/>
        <v>1.7869725535414797E-4</v>
      </c>
      <c r="P186" s="66">
        <f t="shared" si="146"/>
        <v>1.7869725535414797E-4</v>
      </c>
      <c r="Q186" s="66">
        <f t="shared" si="146"/>
        <v>1.7869725535414797E-4</v>
      </c>
      <c r="R186" s="66">
        <f t="shared" si="146"/>
        <v>1.7869725535414797E-4</v>
      </c>
      <c r="S186" s="66">
        <f t="shared" si="146"/>
        <v>1.7869725535414797E-4</v>
      </c>
      <c r="T186" s="66">
        <f t="shared" si="146"/>
        <v>1.7869725535414797E-4</v>
      </c>
      <c r="U186" s="66">
        <f t="shared" si="146"/>
        <v>1.7869725535414797E-4</v>
      </c>
      <c r="V186" s="66">
        <f t="shared" si="146"/>
        <v>1.7869725535414797E-4</v>
      </c>
      <c r="W186" s="66">
        <f t="shared" si="146"/>
        <v>1.7869725535414797E-4</v>
      </c>
      <c r="X186" s="66">
        <f t="shared" si="146"/>
        <v>1.7869725535414797E-4</v>
      </c>
      <c r="Y186" s="66">
        <f t="shared" si="146"/>
        <v>1.7869725535414797E-4</v>
      </c>
      <c r="Z186" s="66">
        <f t="shared" si="146"/>
        <v>1.7869725535414797E-4</v>
      </c>
      <c r="AA186" s="66">
        <f t="shared" si="146"/>
        <v>1.7869725535414797E-4</v>
      </c>
      <c r="AB186" s="66">
        <f t="shared" si="146"/>
        <v>1.7869725535414797E-4</v>
      </c>
      <c r="AC186" s="66">
        <f t="shared" si="146"/>
        <v>1.7869725535414797E-4</v>
      </c>
    </row>
    <row r="187" spans="1:29" x14ac:dyDescent="0.3">
      <c r="A187" s="30" t="str">
        <f t="shared" si="139"/>
        <v>Fuel Cost</v>
      </c>
      <c r="B187" s="66">
        <f>B145*B146*B153/B153/(B150)</f>
        <v>4.1072811176853007E-3</v>
      </c>
      <c r="C187" s="66">
        <f t="shared" ref="C187:AC187" si="147">C145*C146*C153/C153/(C150)</f>
        <v>4.1069975801788601E-3</v>
      </c>
      <c r="D187" s="66">
        <f t="shared" si="147"/>
        <v>4.106591702553679E-3</v>
      </c>
      <c r="E187" s="66">
        <f t="shared" si="147"/>
        <v>4.1060110660682677E-3</v>
      </c>
      <c r="F187" s="66">
        <f t="shared" si="147"/>
        <v>4.1051812084068112E-3</v>
      </c>
      <c r="G187" s="66">
        <f t="shared" si="147"/>
        <v>4.1039968221842377E-3</v>
      </c>
      <c r="H187" s="66">
        <f t="shared" si="147"/>
        <v>4.1023099656415452E-3</v>
      </c>
      <c r="I187" s="66">
        <f t="shared" si="147"/>
        <v>4.0999148711648248E-3</v>
      </c>
      <c r="J187" s="66">
        <f t="shared" si="147"/>
        <v>4.0965296352758638E-3</v>
      </c>
      <c r="K187" s="66">
        <f t="shared" si="147"/>
        <v>4.0917768251624784E-3</v>
      </c>
      <c r="L187" s="66">
        <f t="shared" si="147"/>
        <v>4.0851686937813745E-3</v>
      </c>
      <c r="M187" s="66">
        <f t="shared" si="147"/>
        <v>4.076109192868568E-3</v>
      </c>
      <c r="N187" s="66">
        <f t="shared" si="147"/>
        <v>4.0639341944186261E-3</v>
      </c>
      <c r="O187" s="66">
        <f t="shared" si="147"/>
        <v>4.0480191194078299E-3</v>
      </c>
      <c r="P187" s="66">
        <f t="shared" si="147"/>
        <v>4.0279767724285516E-3</v>
      </c>
      <c r="Q187" s="66">
        <f t="shared" si="147"/>
        <v>4.0039265313690777E-3</v>
      </c>
      <c r="R187" s="66">
        <f t="shared" si="147"/>
        <v>3.9767311524063443E-3</v>
      </c>
      <c r="S187" s="66">
        <f t="shared" si="147"/>
        <v>3.9480211024152199E-3</v>
      </c>
      <c r="T187" s="66">
        <f t="shared" si="147"/>
        <v>3.9198760125072774E-3</v>
      </c>
      <c r="U187" s="66">
        <f t="shared" si="147"/>
        <v>3.894254957838086E-3</v>
      </c>
      <c r="V187" s="66">
        <f t="shared" si="147"/>
        <v>3.8724807098776209E-3</v>
      </c>
      <c r="W187" s="66">
        <f t="shared" si="147"/>
        <v>3.8550434368081602E-3</v>
      </c>
      <c r="X187" s="66">
        <f t="shared" si="147"/>
        <v>3.8417380235347544E-3</v>
      </c>
      <c r="Y187" s="66">
        <f t="shared" si="147"/>
        <v>3.8319574776831127E-3</v>
      </c>
      <c r="Z187" s="66">
        <f t="shared" si="147"/>
        <v>3.8249645288910635E-3</v>
      </c>
      <c r="AA187" s="66">
        <f t="shared" si="147"/>
        <v>3.8200635045040725E-3</v>
      </c>
      <c r="AB187" s="66">
        <f t="shared" si="147"/>
        <v>3.8166765954121581E-3</v>
      </c>
      <c r="AC187" s="66">
        <f t="shared" si="147"/>
        <v>3.8143587647444083E-3</v>
      </c>
    </row>
    <row r="188" spans="1:29" x14ac:dyDescent="0.3">
      <c r="A188" s="59" t="str">
        <f>A151</f>
        <v>Market failure (av. utilization)</v>
      </c>
      <c r="B188" s="66">
        <f t="shared" ref="B188:AC188" si="148">B177/B151-B177/B150</f>
        <v>1.1833655417796072E-2</v>
      </c>
      <c r="C188" s="66">
        <f t="shared" si="148"/>
        <v>1.1838507832512198E-2</v>
      </c>
      <c r="D188" s="66">
        <f t="shared" si="148"/>
        <v>1.1845453956099509E-2</v>
      </c>
      <c r="E188" s="66">
        <f t="shared" si="148"/>
        <v>1.1855390874364404E-2</v>
      </c>
      <c r="F188" s="66">
        <f t="shared" si="148"/>
        <v>1.1869592923254818E-2</v>
      </c>
      <c r="G188" s="66">
        <f t="shared" si="148"/>
        <v>1.1889862316211478E-2</v>
      </c>
      <c r="H188" s="66">
        <f t="shared" si="148"/>
        <v>1.1918730904408165E-2</v>
      </c>
      <c r="I188" s="66">
        <f t="shared" si="148"/>
        <v>1.1959720161283723E-2</v>
      </c>
      <c r="J188" s="66">
        <f t="shared" si="148"/>
        <v>1.2017654537061218E-2</v>
      </c>
      <c r="K188" s="66">
        <f t="shared" si="148"/>
        <v>1.2098993355430104E-2</v>
      </c>
      <c r="L188" s="66">
        <f t="shared" si="148"/>
        <v>1.2212083839868252E-2</v>
      </c>
      <c r="M188" s="66">
        <f t="shared" si="148"/>
        <v>1.2367126663309516E-2</v>
      </c>
      <c r="N188" s="66">
        <f t="shared" si="148"/>
        <v>1.2575487604297284E-2</v>
      </c>
      <c r="O188" s="66">
        <f t="shared" si="148"/>
        <v>1.2847855606541791E-2</v>
      </c>
      <c r="P188" s="66">
        <f t="shared" si="148"/>
        <v>1.3190857069201188E-2</v>
      </c>
      <c r="Q188" s="66">
        <f t="shared" si="148"/>
        <v>1.3602448978533941E-2</v>
      </c>
      <c r="R188" s="66">
        <f t="shared" si="148"/>
        <v>1.4067866265812627E-2</v>
      </c>
      <c r="S188" s="66">
        <f t="shared" si="148"/>
        <v>1.4559205386433665E-2</v>
      </c>
      <c r="T188" s="66">
        <f t="shared" si="148"/>
        <v>1.5040875872184927E-2</v>
      </c>
      <c r="U188" s="66">
        <f t="shared" si="148"/>
        <v>1.5479350429854986E-2</v>
      </c>
      <c r="V188" s="66">
        <f t="shared" si="148"/>
        <v>1.5851991363896784E-2</v>
      </c>
      <c r="W188" s="66">
        <f t="shared" si="148"/>
        <v>1.6150410015854079E-2</v>
      </c>
      <c r="X188" s="66">
        <f t="shared" si="148"/>
        <v>1.6378116692062433E-2</v>
      </c>
      <c r="Y188" s="66">
        <f t="shared" si="148"/>
        <v>1.6545499361177406E-2</v>
      </c>
      <c r="Z188" s="66">
        <f t="shared" si="148"/>
        <v>1.6665175548125716E-2</v>
      </c>
      <c r="AA188" s="66">
        <f t="shared" si="148"/>
        <v>1.6749050881439024E-2</v>
      </c>
      <c r="AB188" s="66">
        <f t="shared" si="148"/>
        <v>1.6807013892139403E-2</v>
      </c>
      <c r="AC188" s="66">
        <f t="shared" si="148"/>
        <v>1.6846680868769288E-2</v>
      </c>
    </row>
    <row r="189" spans="1:29" x14ac:dyDescent="0.3">
      <c r="A189" s="59" t="str">
        <f>A152</f>
        <v>Payload loss (fuel)</v>
      </c>
      <c r="B189" s="66">
        <f>B177/(B150-B152)-B177/B150</f>
        <v>0</v>
      </c>
      <c r="C189" s="66">
        <f t="shared" ref="C189:AC189" si="149">C177/(C150-C152)-C177/C150</f>
        <v>0</v>
      </c>
      <c r="D189" s="66">
        <f t="shared" si="149"/>
        <v>0</v>
      </c>
      <c r="E189" s="66">
        <f t="shared" si="149"/>
        <v>0</v>
      </c>
      <c r="F189" s="66">
        <f t="shared" si="149"/>
        <v>0</v>
      </c>
      <c r="G189" s="66">
        <f t="shared" si="149"/>
        <v>0</v>
      </c>
      <c r="H189" s="66">
        <f t="shared" si="149"/>
        <v>0</v>
      </c>
      <c r="I189" s="66">
        <f t="shared" si="149"/>
        <v>0</v>
      </c>
      <c r="J189" s="66">
        <f t="shared" si="149"/>
        <v>0</v>
      </c>
      <c r="K189" s="66">
        <f t="shared" si="149"/>
        <v>0</v>
      </c>
      <c r="L189" s="66">
        <f t="shared" si="149"/>
        <v>0</v>
      </c>
      <c r="M189" s="66">
        <f t="shared" si="149"/>
        <v>0</v>
      </c>
      <c r="N189" s="66">
        <f t="shared" si="149"/>
        <v>0</v>
      </c>
      <c r="O189" s="66">
        <f t="shared" si="149"/>
        <v>0</v>
      </c>
      <c r="P189" s="66">
        <f t="shared" si="149"/>
        <v>0</v>
      </c>
      <c r="Q189" s="66">
        <f t="shared" si="149"/>
        <v>0</v>
      </c>
      <c r="R189" s="66">
        <f t="shared" si="149"/>
        <v>0</v>
      </c>
      <c r="S189" s="66">
        <f t="shared" si="149"/>
        <v>0</v>
      </c>
      <c r="T189" s="66">
        <f t="shared" si="149"/>
        <v>0</v>
      </c>
      <c r="U189" s="66">
        <f t="shared" si="149"/>
        <v>0</v>
      </c>
      <c r="V189" s="66">
        <f t="shared" si="149"/>
        <v>0</v>
      </c>
      <c r="W189" s="66">
        <f t="shared" si="149"/>
        <v>0</v>
      </c>
      <c r="X189" s="66">
        <f t="shared" si="149"/>
        <v>0</v>
      </c>
      <c r="Y189" s="66">
        <f t="shared" si="149"/>
        <v>0</v>
      </c>
      <c r="Z189" s="66">
        <f t="shared" si="149"/>
        <v>0</v>
      </c>
      <c r="AA189" s="66">
        <f t="shared" si="149"/>
        <v>0</v>
      </c>
      <c r="AB189" s="66">
        <f t="shared" si="149"/>
        <v>0</v>
      </c>
      <c r="AC189" s="66">
        <f t="shared" si="149"/>
        <v>0</v>
      </c>
    </row>
    <row r="190" spans="1:29" ht="15" thickBot="1" x14ac:dyDescent="0.35">
      <c r="A190" s="59" t="str">
        <f>A127</f>
        <v>Emission Cost</v>
      </c>
      <c r="B190" s="68">
        <f>B147*B153/B153/(B150)</f>
        <v>1.8343688133195604E-3</v>
      </c>
      <c r="C190" s="68">
        <f t="shared" ref="C190:AC190" si="150">C147*C153/C153/(C150)</f>
        <v>1.8382637861199969E-3</v>
      </c>
      <c r="D190" s="68">
        <f t="shared" si="150"/>
        <v>1.8438393529302977E-3</v>
      </c>
      <c r="E190" s="68">
        <f t="shared" si="150"/>
        <v>1.8518155933438187E-3</v>
      </c>
      <c r="F190" s="68">
        <f t="shared" si="150"/>
        <v>1.8632154009395707E-3</v>
      </c>
      <c r="G190" s="68">
        <f t="shared" si="150"/>
        <v>1.879485389979293E-3</v>
      </c>
      <c r="H190" s="68">
        <f t="shared" si="150"/>
        <v>1.9026578458370806E-3</v>
      </c>
      <c r="I190" s="68">
        <f t="shared" si="150"/>
        <v>1.9355594113421553E-3</v>
      </c>
      <c r="J190" s="68">
        <f t="shared" si="150"/>
        <v>1.9820626125449966E-3</v>
      </c>
      <c r="K190" s="68">
        <f t="shared" si="150"/>
        <v>2.0473522680465386E-3</v>
      </c>
      <c r="L190" s="68">
        <f t="shared" si="150"/>
        <v>2.1381285900725503E-3</v>
      </c>
      <c r="M190" s="68">
        <f t="shared" si="150"/>
        <v>2.2625795316212503E-3</v>
      </c>
      <c r="N190" s="68">
        <f t="shared" si="150"/>
        <v>2.4298282614389497E-3</v>
      </c>
      <c r="O190" s="68">
        <f t="shared" si="150"/>
        <v>2.6484546613890813E-3</v>
      </c>
      <c r="P190" s="68">
        <f t="shared" si="150"/>
        <v>2.9237776594684796E-3</v>
      </c>
      <c r="Q190" s="68">
        <f t="shared" si="150"/>
        <v>3.2541573540158593E-3</v>
      </c>
      <c r="R190" s="68">
        <f t="shared" si="150"/>
        <v>3.6277420084311488E-3</v>
      </c>
      <c r="S190" s="68">
        <f t="shared" si="150"/>
        <v>4.022133795318102E-3</v>
      </c>
      <c r="T190" s="68">
        <f t="shared" si="150"/>
        <v>4.4087646895282669E-3</v>
      </c>
      <c r="U190" s="68">
        <f t="shared" si="150"/>
        <v>4.7607227507658533E-3</v>
      </c>
      <c r="V190" s="68">
        <f t="shared" si="150"/>
        <v>5.059836983026064E-3</v>
      </c>
      <c r="W190" s="68">
        <f t="shared" si="150"/>
        <v>5.2993739147425382E-3</v>
      </c>
      <c r="X190" s="68">
        <f t="shared" si="150"/>
        <v>5.4821512250499103E-3</v>
      </c>
      <c r="Y190" s="68">
        <f t="shared" si="150"/>
        <v>5.6165072068873048E-3</v>
      </c>
      <c r="Z190" s="68">
        <f t="shared" si="150"/>
        <v>5.7125697902181494E-3</v>
      </c>
      <c r="AA190" s="68">
        <f t="shared" si="150"/>
        <v>5.7798954746443379E-3</v>
      </c>
      <c r="AB190" s="68">
        <f t="shared" si="150"/>
        <v>5.8264216607428025E-3</v>
      </c>
      <c r="AC190" s="68">
        <f t="shared" si="150"/>
        <v>5.8582618483787648E-3</v>
      </c>
    </row>
    <row r="191" spans="1:29" ht="15" thickBot="1" x14ac:dyDescent="0.35">
      <c r="A191" s="31" t="s">
        <v>210</v>
      </c>
      <c r="B191" s="76">
        <f>B180+B181+B182+B183+B184+B185+B186+B187+B188+B189+B190</f>
        <v>2.0691815981929748E-2</v>
      </c>
      <c r="C191" s="67">
        <f t="shared" ref="C191:AC191" si="151">C180+C181+C182+C183+C184+C185+C186+C187+C188+C189+C190</f>
        <v>2.0700328990203652E-2</v>
      </c>
      <c r="D191" s="67">
        <f t="shared" si="151"/>
        <v>2.0712515171935779E-2</v>
      </c>
      <c r="E191" s="67">
        <f t="shared" si="151"/>
        <v>2.0729948361874188E-2</v>
      </c>
      <c r="F191" s="67">
        <f t="shared" si="151"/>
        <v>2.0754864237120529E-2</v>
      </c>
      <c r="G191" s="67">
        <f t="shared" si="151"/>
        <v>2.0790424575640985E-2</v>
      </c>
      <c r="H191" s="67">
        <f t="shared" si="151"/>
        <v>2.0841071221600085E-2</v>
      </c>
      <c r="I191" s="67">
        <f t="shared" si="151"/>
        <v>2.0912982198574747E-2</v>
      </c>
      <c r="J191" s="67">
        <f t="shared" si="151"/>
        <v>2.1014621454324738E-2</v>
      </c>
      <c r="K191" s="67">
        <f t="shared" si="151"/>
        <v>2.115732113567366E-2</v>
      </c>
      <c r="L191" s="67">
        <f t="shared" si="151"/>
        <v>2.1355725494337077E-2</v>
      </c>
      <c r="M191" s="67">
        <f t="shared" si="151"/>
        <v>2.1627730447742806E-2</v>
      </c>
      <c r="N191" s="67">
        <f t="shared" si="151"/>
        <v>2.1993275958247661E-2</v>
      </c>
      <c r="O191" s="67">
        <f t="shared" si="151"/>
        <v>2.2471114558676619E-2</v>
      </c>
      <c r="P191" s="67">
        <f t="shared" si="151"/>
        <v>2.3072871510710653E-2</v>
      </c>
      <c r="Q191" s="67">
        <f t="shared" si="151"/>
        <v>2.379496257971548E-2</v>
      </c>
      <c r="R191" s="67">
        <f t="shared" si="151"/>
        <v>2.4611484136344758E-2</v>
      </c>
      <c r="S191" s="67">
        <f t="shared" si="151"/>
        <v>2.5473482593574646E-2</v>
      </c>
      <c r="T191" s="67">
        <f t="shared" si="151"/>
        <v>2.6318518533489141E-2</v>
      </c>
      <c r="U191" s="67">
        <f t="shared" si="151"/>
        <v>2.7087772143436613E-2</v>
      </c>
      <c r="V191" s="67">
        <f t="shared" si="151"/>
        <v>2.7741528168071346E-2</v>
      </c>
      <c r="W191" s="67">
        <f t="shared" si="151"/>
        <v>2.8265069662733268E-2</v>
      </c>
      <c r="X191" s="67">
        <f t="shared" si="151"/>
        <v>2.8664555059590032E-2</v>
      </c>
      <c r="Y191" s="67">
        <f t="shared" si="151"/>
        <v>2.8958208865054895E-2</v>
      </c>
      <c r="Z191" s="67">
        <f t="shared" si="151"/>
        <v>2.9168167087771226E-2</v>
      </c>
      <c r="AA191" s="67">
        <f t="shared" si="151"/>
        <v>2.9315316795338435E-2</v>
      </c>
      <c r="AB191" s="67">
        <f t="shared" si="151"/>
        <v>2.9417006287795238E-2</v>
      </c>
      <c r="AC191" s="67">
        <f t="shared" si="151"/>
        <v>2.9486597474865213E-2</v>
      </c>
    </row>
    <row r="193" spans="2:2" x14ac:dyDescent="0.3">
      <c r="B193" s="40"/>
    </row>
    <row r="215" spans="1:44" s="3" customFormat="1" ht="21" x14ac:dyDescent="0.4">
      <c r="A215" s="2" t="str">
        <f>'Parameter Input'!A165</f>
        <v>Short-sea: Break bulk</v>
      </c>
    </row>
    <row r="216" spans="1:44" s="3" customFormat="1" ht="21" x14ac:dyDescent="0.4">
      <c r="A216" s="2" t="s">
        <v>290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Input'!$L$142</f>
        <v>15000000</v>
      </c>
      <c r="C225" s="42">
        <f>'Parameter Input'!$M$142</f>
        <v>15000000</v>
      </c>
      <c r="D225" s="1" t="s">
        <v>15</v>
      </c>
      <c r="L225" s="51">
        <f>'Parameter Input'!$O$142</f>
        <v>17</v>
      </c>
      <c r="M225" s="52">
        <v>0</v>
      </c>
      <c r="N225" s="52">
        <v>1</v>
      </c>
      <c r="O225" s="52">
        <f>'Parameter Input'!$P$142</f>
        <v>0.9</v>
      </c>
      <c r="P225" s="53">
        <f>'Parameter Input'!$Q$142</f>
        <v>0.4</v>
      </c>
      <c r="Q225" s="4">
        <f t="shared" ref="Q225:AR234" si="152">$N225+($M225-$N225)*((1/(1+EXP(-$P225*(Q$9-$L225)))^$O225))</f>
        <v>0.99780374543478534</v>
      </c>
      <c r="R225" s="4">
        <f t="shared" si="152"/>
        <v>0.99685359315256394</v>
      </c>
      <c r="S225" s="4">
        <f t="shared" si="152"/>
        <v>0.99549347132349975</v>
      </c>
      <c r="T225" s="4">
        <f t="shared" si="152"/>
        <v>0.99354772139898062</v>
      </c>
      <c r="U225" s="4">
        <f t="shared" si="152"/>
        <v>0.99076681540580536</v>
      </c>
      <c r="V225" s="4">
        <f t="shared" si="152"/>
        <v>0.9867978615748374</v>
      </c>
      <c r="W225" s="4">
        <f t="shared" si="152"/>
        <v>0.98114509762858249</v>
      </c>
      <c r="X225" s="4">
        <f t="shared" si="152"/>
        <v>0.97311898315872036</v>
      </c>
      <c r="Y225" s="4">
        <f t="shared" si="152"/>
        <v>0.96177484161592774</v>
      </c>
      <c r="Z225" s="4">
        <f t="shared" si="152"/>
        <v>0.94584787155511363</v>
      </c>
      <c r="AA225" s="4">
        <f t="shared" si="152"/>
        <v>0.92370360150141495</v>
      </c>
      <c r="AB225" s="4">
        <f t="shared" si="152"/>
        <v>0.89334463567658451</v>
      </c>
      <c r="AC225" s="4">
        <f t="shared" si="152"/>
        <v>0.85254543874327005</v>
      </c>
      <c r="AD225" s="4">
        <f t="shared" si="152"/>
        <v>0.79921300652623883</v>
      </c>
      <c r="AE225" s="4">
        <f t="shared" si="152"/>
        <v>0.73204982249993378</v>
      </c>
      <c r="AF225" s="4">
        <f t="shared" si="152"/>
        <v>0.65145592958786691</v>
      </c>
      <c r="AG225" s="4">
        <f t="shared" si="152"/>
        <v>0.56032247880849573</v>
      </c>
      <c r="AH225" s="4">
        <f t="shared" si="152"/>
        <v>0.46411326873185343</v>
      </c>
      <c r="AI225" s="4">
        <f t="shared" si="152"/>
        <v>0.36979727595523937</v>
      </c>
      <c r="AJ225" s="4">
        <f t="shared" si="152"/>
        <v>0.28393948637231203</v>
      </c>
      <c r="AK225" s="4">
        <f t="shared" si="152"/>
        <v>0.21097259161117732</v>
      </c>
      <c r="AL225" s="4">
        <f t="shared" si="152"/>
        <v>0.15253917653798199</v>
      </c>
      <c r="AM225" s="4">
        <f t="shared" si="152"/>
        <v>0.10795188737709993</v>
      </c>
      <c r="AN225" s="4">
        <f t="shared" si="152"/>
        <v>7.5176653938091809E-2</v>
      </c>
      <c r="AO225" s="4">
        <f t="shared" si="152"/>
        <v>5.1742836177502194E-2</v>
      </c>
      <c r="AP225" s="4">
        <f t="shared" si="152"/>
        <v>3.5319190625345942E-2</v>
      </c>
      <c r="AQ225" s="4">
        <f t="shared" si="152"/>
        <v>2.3969442072658165E-2</v>
      </c>
      <c r="AR225" s="4">
        <f t="shared" si="152"/>
        <v>1.6202243558389728E-2</v>
      </c>
    </row>
    <row r="226" spans="1:44" x14ac:dyDescent="0.3">
      <c r="A226" s="24" t="s">
        <v>28</v>
      </c>
      <c r="B226" s="60">
        <f>'Parameter Input'!$L$143</f>
        <v>-1500000</v>
      </c>
      <c r="C226" s="61">
        <f>'Parameter Input'!$M$143</f>
        <v>-750000</v>
      </c>
      <c r="D226" s="1" t="s">
        <v>15</v>
      </c>
      <c r="L226" s="54">
        <f>'Parameter Input'!$O$143</f>
        <v>17</v>
      </c>
      <c r="M226" s="37">
        <v>0</v>
      </c>
      <c r="N226" s="37">
        <v>1</v>
      </c>
      <c r="O226" s="37">
        <f>'Parameter Input'!$P$143</f>
        <v>0.9</v>
      </c>
      <c r="P226" s="55">
        <f>'Parameter Input'!$Q$143</f>
        <v>0.4</v>
      </c>
      <c r="Q226" s="4">
        <f t="shared" si="152"/>
        <v>0.99780374543478534</v>
      </c>
      <c r="R226" s="4">
        <f t="shared" si="152"/>
        <v>0.99685359315256394</v>
      </c>
      <c r="S226" s="4">
        <f t="shared" si="152"/>
        <v>0.99549347132349975</v>
      </c>
      <c r="T226" s="4">
        <f t="shared" si="152"/>
        <v>0.99354772139898062</v>
      </c>
      <c r="U226" s="4">
        <f t="shared" si="152"/>
        <v>0.99076681540580536</v>
      </c>
      <c r="V226" s="4">
        <f t="shared" si="152"/>
        <v>0.9867978615748374</v>
      </c>
      <c r="W226" s="4">
        <f t="shared" si="152"/>
        <v>0.98114509762858249</v>
      </c>
      <c r="X226" s="4">
        <f t="shared" si="152"/>
        <v>0.97311898315872036</v>
      </c>
      <c r="Y226" s="4">
        <f t="shared" si="152"/>
        <v>0.96177484161592774</v>
      </c>
      <c r="Z226" s="4">
        <f t="shared" si="152"/>
        <v>0.94584787155511363</v>
      </c>
      <c r="AA226" s="4">
        <f t="shared" si="152"/>
        <v>0.92370360150141495</v>
      </c>
      <c r="AB226" s="4">
        <f t="shared" si="152"/>
        <v>0.89334463567658451</v>
      </c>
      <c r="AC226" s="4">
        <f t="shared" si="152"/>
        <v>0.85254543874327005</v>
      </c>
      <c r="AD226" s="4">
        <f t="shared" si="152"/>
        <v>0.79921300652623883</v>
      </c>
      <c r="AE226" s="4">
        <f t="shared" si="152"/>
        <v>0.73204982249993378</v>
      </c>
      <c r="AF226" s="4">
        <f t="shared" si="152"/>
        <v>0.65145592958786691</v>
      </c>
      <c r="AG226" s="4">
        <f t="shared" si="152"/>
        <v>0.56032247880849573</v>
      </c>
      <c r="AH226" s="4">
        <f t="shared" si="152"/>
        <v>0.46411326873185343</v>
      </c>
      <c r="AI226" s="4">
        <f t="shared" si="152"/>
        <v>0.36979727595523937</v>
      </c>
      <c r="AJ226" s="4">
        <f t="shared" si="152"/>
        <v>0.28393948637231203</v>
      </c>
      <c r="AK226" s="4">
        <f t="shared" si="152"/>
        <v>0.21097259161117732</v>
      </c>
      <c r="AL226" s="4">
        <f t="shared" si="152"/>
        <v>0.15253917653798199</v>
      </c>
      <c r="AM226" s="4">
        <f t="shared" si="152"/>
        <v>0.10795188737709993</v>
      </c>
      <c r="AN226" s="4">
        <f t="shared" si="152"/>
        <v>7.5176653938091809E-2</v>
      </c>
      <c r="AO226" s="4">
        <f t="shared" si="152"/>
        <v>5.1742836177502194E-2</v>
      </c>
      <c r="AP226" s="4">
        <f t="shared" si="152"/>
        <v>3.5319190625345942E-2</v>
      </c>
      <c r="AQ226" s="4">
        <f t="shared" si="152"/>
        <v>2.3969442072658165E-2</v>
      </c>
      <c r="AR226" s="4">
        <f t="shared" si="152"/>
        <v>1.6202243558389728E-2</v>
      </c>
    </row>
    <row r="227" spans="1:44" x14ac:dyDescent="0.3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2"/>
        <v>0.99780374543478534</v>
      </c>
      <c r="R227" s="4">
        <f t="shared" si="152"/>
        <v>0.99685359315256394</v>
      </c>
      <c r="S227" s="4">
        <f t="shared" si="152"/>
        <v>0.99549347132349975</v>
      </c>
      <c r="T227" s="4">
        <f t="shared" si="152"/>
        <v>0.99354772139898062</v>
      </c>
      <c r="U227" s="4">
        <f t="shared" si="152"/>
        <v>0.99076681540580536</v>
      </c>
      <c r="V227" s="4">
        <f t="shared" si="152"/>
        <v>0.9867978615748374</v>
      </c>
      <c r="W227" s="4">
        <f t="shared" si="152"/>
        <v>0.98114509762858249</v>
      </c>
      <c r="X227" s="4">
        <f t="shared" si="152"/>
        <v>0.97311898315872036</v>
      </c>
      <c r="Y227" s="4">
        <f t="shared" si="152"/>
        <v>0.96177484161592774</v>
      </c>
      <c r="Z227" s="4">
        <f t="shared" si="152"/>
        <v>0.94584787155511363</v>
      </c>
      <c r="AA227" s="4">
        <f t="shared" si="152"/>
        <v>0.92370360150141495</v>
      </c>
      <c r="AB227" s="4">
        <f t="shared" si="152"/>
        <v>0.89334463567658451</v>
      </c>
      <c r="AC227" s="4">
        <f t="shared" si="152"/>
        <v>0.85254543874327005</v>
      </c>
      <c r="AD227" s="4">
        <f t="shared" si="152"/>
        <v>0.79921300652623883</v>
      </c>
      <c r="AE227" s="4">
        <f t="shared" si="152"/>
        <v>0.73204982249993378</v>
      </c>
      <c r="AF227" s="4">
        <f t="shared" si="152"/>
        <v>0.65145592958786691</v>
      </c>
      <c r="AG227" s="4">
        <f t="shared" si="152"/>
        <v>0.56032247880849573</v>
      </c>
      <c r="AH227" s="4">
        <f t="shared" si="152"/>
        <v>0.46411326873185343</v>
      </c>
      <c r="AI227" s="4">
        <f t="shared" si="152"/>
        <v>0.36979727595523937</v>
      </c>
      <c r="AJ227" s="4">
        <f t="shared" si="152"/>
        <v>0.28393948637231203</v>
      </c>
      <c r="AK227" s="4">
        <f t="shared" si="152"/>
        <v>0.21097259161117732</v>
      </c>
      <c r="AL227" s="4">
        <f t="shared" si="152"/>
        <v>0.15253917653798199</v>
      </c>
      <c r="AM227" s="4">
        <f t="shared" si="152"/>
        <v>0.10795188737709993</v>
      </c>
      <c r="AN227" s="4">
        <f t="shared" si="152"/>
        <v>7.5176653938091809E-2</v>
      </c>
      <c r="AO227" s="4">
        <f t="shared" si="152"/>
        <v>5.1742836177502194E-2</v>
      </c>
      <c r="AP227" s="4">
        <f t="shared" si="152"/>
        <v>3.5319190625345942E-2</v>
      </c>
      <c r="AQ227" s="4">
        <f t="shared" si="152"/>
        <v>2.3969442072658165E-2</v>
      </c>
      <c r="AR227" s="4">
        <f t="shared" si="152"/>
        <v>1.6202243558389728E-2</v>
      </c>
    </row>
    <row r="228" spans="1:44" x14ac:dyDescent="0.3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2"/>
        <v>0.99780374543478534</v>
      </c>
      <c r="R228" s="4">
        <f t="shared" si="152"/>
        <v>0.99685359315256394</v>
      </c>
      <c r="S228" s="4">
        <f t="shared" si="152"/>
        <v>0.99549347132349975</v>
      </c>
      <c r="T228" s="4">
        <f t="shared" si="152"/>
        <v>0.99354772139898062</v>
      </c>
      <c r="U228" s="4">
        <f t="shared" si="152"/>
        <v>0.99076681540580536</v>
      </c>
      <c r="V228" s="4">
        <f t="shared" si="152"/>
        <v>0.9867978615748374</v>
      </c>
      <c r="W228" s="4">
        <f t="shared" si="152"/>
        <v>0.98114509762858249</v>
      </c>
      <c r="X228" s="4">
        <f t="shared" si="152"/>
        <v>0.97311898315872036</v>
      </c>
      <c r="Y228" s="4">
        <f t="shared" si="152"/>
        <v>0.96177484161592774</v>
      </c>
      <c r="Z228" s="4">
        <f t="shared" si="152"/>
        <v>0.94584787155511363</v>
      </c>
      <c r="AA228" s="4">
        <f t="shared" si="152"/>
        <v>0.92370360150141495</v>
      </c>
      <c r="AB228" s="4">
        <f t="shared" si="152"/>
        <v>0.89334463567658451</v>
      </c>
      <c r="AC228" s="4">
        <f t="shared" si="152"/>
        <v>0.85254543874327005</v>
      </c>
      <c r="AD228" s="4">
        <f t="shared" si="152"/>
        <v>0.79921300652623883</v>
      </c>
      <c r="AE228" s="4">
        <f t="shared" si="152"/>
        <v>0.73204982249993378</v>
      </c>
      <c r="AF228" s="4">
        <f t="shared" si="152"/>
        <v>0.65145592958786691</v>
      </c>
      <c r="AG228" s="4">
        <f t="shared" si="152"/>
        <v>0.56032247880849573</v>
      </c>
      <c r="AH228" s="4">
        <f t="shared" si="152"/>
        <v>0.46411326873185343</v>
      </c>
      <c r="AI228" s="4">
        <f t="shared" si="152"/>
        <v>0.36979727595523937</v>
      </c>
      <c r="AJ228" s="4">
        <f t="shared" si="152"/>
        <v>0.28393948637231203</v>
      </c>
      <c r="AK228" s="4">
        <f t="shared" si="152"/>
        <v>0.21097259161117732</v>
      </c>
      <c r="AL228" s="4">
        <f t="shared" si="152"/>
        <v>0.15253917653798199</v>
      </c>
      <c r="AM228" s="4">
        <f t="shared" si="152"/>
        <v>0.10795188737709993</v>
      </c>
      <c r="AN228" s="4">
        <f t="shared" si="152"/>
        <v>7.5176653938091809E-2</v>
      </c>
      <c r="AO228" s="4">
        <f t="shared" si="152"/>
        <v>5.1742836177502194E-2</v>
      </c>
      <c r="AP228" s="4">
        <f t="shared" si="152"/>
        <v>3.5319190625345942E-2</v>
      </c>
      <c r="AQ228" s="4">
        <f t="shared" si="152"/>
        <v>2.3969442072658165E-2</v>
      </c>
      <c r="AR228" s="4">
        <f t="shared" si="152"/>
        <v>1.6202243558389728E-2</v>
      </c>
    </row>
    <row r="229" spans="1:44" x14ac:dyDescent="0.3">
      <c r="A229" s="24" t="s">
        <v>79</v>
      </c>
      <c r="B229" s="92">
        <f>'Parameter Input'!$L$149</f>
        <v>0.06</v>
      </c>
      <c r="C229" s="91">
        <f>'Parameter Input'!$M$149</f>
        <v>0.06</v>
      </c>
      <c r="D229" s="1" t="s">
        <v>57</v>
      </c>
      <c r="L229" s="54">
        <f>'Parameter Input'!$O$149</f>
        <v>17</v>
      </c>
      <c r="M229" s="37">
        <v>0</v>
      </c>
      <c r="N229" s="37">
        <v>1</v>
      </c>
      <c r="O229" s="37">
        <f>'Parameter Input'!$P$149</f>
        <v>0.9</v>
      </c>
      <c r="P229" s="55">
        <f>'Parameter Input'!$Q$149</f>
        <v>0.4</v>
      </c>
      <c r="Q229" s="4">
        <f t="shared" si="152"/>
        <v>0.99780374543478534</v>
      </c>
      <c r="R229" s="4">
        <f t="shared" si="152"/>
        <v>0.99685359315256394</v>
      </c>
      <c r="S229" s="4">
        <f t="shared" si="152"/>
        <v>0.99549347132349975</v>
      </c>
      <c r="T229" s="4">
        <f t="shared" si="152"/>
        <v>0.99354772139898062</v>
      </c>
      <c r="U229" s="4">
        <f t="shared" si="152"/>
        <v>0.99076681540580536</v>
      </c>
      <c r="V229" s="4">
        <f t="shared" si="152"/>
        <v>0.9867978615748374</v>
      </c>
      <c r="W229" s="4">
        <f t="shared" si="152"/>
        <v>0.98114509762858249</v>
      </c>
      <c r="X229" s="4">
        <f t="shared" si="152"/>
        <v>0.97311898315872036</v>
      </c>
      <c r="Y229" s="4">
        <f t="shared" si="152"/>
        <v>0.96177484161592774</v>
      </c>
      <c r="Z229" s="4">
        <f t="shared" si="152"/>
        <v>0.94584787155511363</v>
      </c>
      <c r="AA229" s="4">
        <f t="shared" si="152"/>
        <v>0.92370360150141495</v>
      </c>
      <c r="AB229" s="4">
        <f t="shared" si="152"/>
        <v>0.89334463567658451</v>
      </c>
      <c r="AC229" s="4">
        <f t="shared" si="152"/>
        <v>0.85254543874327005</v>
      </c>
      <c r="AD229" s="4">
        <f t="shared" si="152"/>
        <v>0.79921300652623883</v>
      </c>
      <c r="AE229" s="4">
        <f t="shared" si="152"/>
        <v>0.73204982249993378</v>
      </c>
      <c r="AF229" s="4">
        <f t="shared" si="152"/>
        <v>0.65145592958786691</v>
      </c>
      <c r="AG229" s="4">
        <f t="shared" si="152"/>
        <v>0.56032247880849573</v>
      </c>
      <c r="AH229" s="4">
        <f t="shared" si="152"/>
        <v>0.46411326873185343</v>
      </c>
      <c r="AI229" s="4">
        <f t="shared" si="152"/>
        <v>0.36979727595523937</v>
      </c>
      <c r="AJ229" s="4">
        <f t="shared" si="152"/>
        <v>0.28393948637231203</v>
      </c>
      <c r="AK229" s="4">
        <f t="shared" si="152"/>
        <v>0.21097259161117732</v>
      </c>
      <c r="AL229" s="4">
        <f t="shared" si="152"/>
        <v>0.15253917653798199</v>
      </c>
      <c r="AM229" s="4">
        <f t="shared" si="152"/>
        <v>0.10795188737709993</v>
      </c>
      <c r="AN229" s="4">
        <f t="shared" si="152"/>
        <v>7.5176653938091809E-2</v>
      </c>
      <c r="AO229" s="4">
        <f t="shared" si="152"/>
        <v>5.1742836177502194E-2</v>
      </c>
      <c r="AP229" s="4">
        <f t="shared" si="152"/>
        <v>3.5319190625345942E-2</v>
      </c>
      <c r="AQ229" s="4">
        <f t="shared" si="152"/>
        <v>2.3969442072658165E-2</v>
      </c>
      <c r="AR229" s="4">
        <f t="shared" si="152"/>
        <v>1.6202243558389728E-2</v>
      </c>
    </row>
    <row r="230" spans="1:44" x14ac:dyDescent="0.3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2"/>
        <v>0.99780374543478534</v>
      </c>
      <c r="R230" s="4">
        <f t="shared" si="152"/>
        <v>0.99685359315256394</v>
      </c>
      <c r="S230" s="4">
        <f t="shared" si="152"/>
        <v>0.99549347132349975</v>
      </c>
      <c r="T230" s="4">
        <f t="shared" si="152"/>
        <v>0.99354772139898062</v>
      </c>
      <c r="U230" s="4">
        <f t="shared" si="152"/>
        <v>0.99076681540580536</v>
      </c>
      <c r="V230" s="4">
        <f t="shared" si="152"/>
        <v>0.9867978615748374</v>
      </c>
      <c r="W230" s="4">
        <f t="shared" si="152"/>
        <v>0.98114509762858249</v>
      </c>
      <c r="X230" s="4">
        <f t="shared" si="152"/>
        <v>0.97311898315872036</v>
      </c>
      <c r="Y230" s="4">
        <f t="shared" si="152"/>
        <v>0.96177484161592774</v>
      </c>
      <c r="Z230" s="4">
        <f t="shared" si="152"/>
        <v>0.94584787155511363</v>
      </c>
      <c r="AA230" s="4">
        <f t="shared" si="152"/>
        <v>0.92370360150141495</v>
      </c>
      <c r="AB230" s="4">
        <f t="shared" si="152"/>
        <v>0.89334463567658451</v>
      </c>
      <c r="AC230" s="4">
        <f t="shared" si="152"/>
        <v>0.85254543874327005</v>
      </c>
      <c r="AD230" s="4">
        <f t="shared" si="152"/>
        <v>0.79921300652623883</v>
      </c>
      <c r="AE230" s="4">
        <f t="shared" si="152"/>
        <v>0.73204982249993378</v>
      </c>
      <c r="AF230" s="4">
        <f t="shared" si="152"/>
        <v>0.65145592958786691</v>
      </c>
      <c r="AG230" s="4">
        <f t="shared" si="152"/>
        <v>0.56032247880849573</v>
      </c>
      <c r="AH230" s="4">
        <f t="shared" si="152"/>
        <v>0.46411326873185343</v>
      </c>
      <c r="AI230" s="4">
        <f t="shared" si="152"/>
        <v>0.36979727595523937</v>
      </c>
      <c r="AJ230" s="4">
        <f t="shared" si="152"/>
        <v>0.28393948637231203</v>
      </c>
      <c r="AK230" s="4">
        <f t="shared" si="152"/>
        <v>0.21097259161117732</v>
      </c>
      <c r="AL230" s="4">
        <f t="shared" si="152"/>
        <v>0.15253917653798199</v>
      </c>
      <c r="AM230" s="4">
        <f t="shared" si="152"/>
        <v>0.10795188737709993</v>
      </c>
      <c r="AN230" s="4">
        <f t="shared" si="152"/>
        <v>7.5176653938091809E-2</v>
      </c>
      <c r="AO230" s="4">
        <f t="shared" si="152"/>
        <v>5.1742836177502194E-2</v>
      </c>
      <c r="AP230" s="4">
        <f t="shared" si="152"/>
        <v>3.5319190625345942E-2</v>
      </c>
      <c r="AQ230" s="4">
        <f t="shared" si="152"/>
        <v>2.3969442072658165E-2</v>
      </c>
      <c r="AR230" s="4">
        <f t="shared" si="152"/>
        <v>1.6202243558389728E-2</v>
      </c>
    </row>
    <row r="231" spans="1:44" x14ac:dyDescent="0.3">
      <c r="A231" s="24" t="s">
        <v>52</v>
      </c>
      <c r="B231" s="60">
        <f>'Parameter Input'!$L$145</f>
        <v>488235.29411764705</v>
      </c>
      <c r="C231" s="61">
        <f>'Parameter Input'!$M$145</f>
        <v>488235.29411764705</v>
      </c>
      <c r="D231" s="1" t="s">
        <v>38</v>
      </c>
      <c r="L231" s="54">
        <f>'Parameter Input'!$O$145</f>
        <v>17</v>
      </c>
      <c r="M231" s="37">
        <v>0</v>
      </c>
      <c r="N231" s="37">
        <v>1</v>
      </c>
      <c r="O231" s="37">
        <f>'Parameter Input'!$P$145</f>
        <v>0.9</v>
      </c>
      <c r="P231" s="55">
        <f>'Parameter Input'!$Q$145</f>
        <v>0.4</v>
      </c>
      <c r="Q231" s="4">
        <f t="shared" si="152"/>
        <v>0.99780374543478534</v>
      </c>
      <c r="R231" s="4">
        <f t="shared" si="152"/>
        <v>0.99685359315256394</v>
      </c>
      <c r="S231" s="4">
        <f t="shared" si="152"/>
        <v>0.99549347132349975</v>
      </c>
      <c r="T231" s="4">
        <f t="shared" si="152"/>
        <v>0.99354772139898062</v>
      </c>
      <c r="U231" s="4">
        <f t="shared" si="152"/>
        <v>0.99076681540580536</v>
      </c>
      <c r="V231" s="4">
        <f t="shared" si="152"/>
        <v>0.9867978615748374</v>
      </c>
      <c r="W231" s="4">
        <f t="shared" si="152"/>
        <v>0.98114509762858249</v>
      </c>
      <c r="X231" s="4">
        <f t="shared" si="152"/>
        <v>0.97311898315872036</v>
      </c>
      <c r="Y231" s="4">
        <f t="shared" si="152"/>
        <v>0.96177484161592774</v>
      </c>
      <c r="Z231" s="4">
        <f t="shared" si="152"/>
        <v>0.94584787155511363</v>
      </c>
      <c r="AA231" s="4">
        <f t="shared" si="152"/>
        <v>0.92370360150141495</v>
      </c>
      <c r="AB231" s="4">
        <f t="shared" si="152"/>
        <v>0.89334463567658451</v>
      </c>
      <c r="AC231" s="4">
        <f t="shared" si="152"/>
        <v>0.85254543874327005</v>
      </c>
      <c r="AD231" s="4">
        <f t="shared" si="152"/>
        <v>0.79921300652623883</v>
      </c>
      <c r="AE231" s="4">
        <f t="shared" si="152"/>
        <v>0.73204982249993378</v>
      </c>
      <c r="AF231" s="4">
        <f t="shared" si="152"/>
        <v>0.65145592958786691</v>
      </c>
      <c r="AG231" s="4">
        <f t="shared" si="152"/>
        <v>0.56032247880849573</v>
      </c>
      <c r="AH231" s="4">
        <f t="shared" si="152"/>
        <v>0.46411326873185343</v>
      </c>
      <c r="AI231" s="4">
        <f t="shared" si="152"/>
        <v>0.36979727595523937</v>
      </c>
      <c r="AJ231" s="4">
        <f t="shared" si="152"/>
        <v>0.28393948637231203</v>
      </c>
      <c r="AK231" s="4">
        <f t="shared" si="152"/>
        <v>0.21097259161117732</v>
      </c>
      <c r="AL231" s="4">
        <f t="shared" si="152"/>
        <v>0.15253917653798199</v>
      </c>
      <c r="AM231" s="4">
        <f t="shared" si="152"/>
        <v>0.10795188737709993</v>
      </c>
      <c r="AN231" s="4">
        <f t="shared" si="152"/>
        <v>7.5176653938091809E-2</v>
      </c>
      <c r="AO231" s="4">
        <f t="shared" si="152"/>
        <v>5.1742836177502194E-2</v>
      </c>
      <c r="AP231" s="4">
        <f t="shared" si="152"/>
        <v>3.5319190625345942E-2</v>
      </c>
      <c r="AQ231" s="4">
        <f t="shared" si="152"/>
        <v>2.3969442072658165E-2</v>
      </c>
      <c r="AR231" s="4">
        <f t="shared" si="152"/>
        <v>1.6202243558389728E-2</v>
      </c>
    </row>
    <row r="232" spans="1:44" x14ac:dyDescent="0.3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2"/>
        <v>0.99780374543478534</v>
      </c>
      <c r="R232" s="4">
        <f t="shared" si="152"/>
        <v>0.99685359315256394</v>
      </c>
      <c r="S232" s="4">
        <f t="shared" si="152"/>
        <v>0.99549347132349975</v>
      </c>
      <c r="T232" s="4">
        <f t="shared" si="152"/>
        <v>0.99354772139898062</v>
      </c>
      <c r="U232" s="4">
        <f t="shared" si="152"/>
        <v>0.99076681540580536</v>
      </c>
      <c r="V232" s="4">
        <f t="shared" si="152"/>
        <v>0.9867978615748374</v>
      </c>
      <c r="W232" s="4">
        <f t="shared" si="152"/>
        <v>0.98114509762858249</v>
      </c>
      <c r="X232" s="4">
        <f t="shared" si="152"/>
        <v>0.97311898315872036</v>
      </c>
      <c r="Y232" s="4">
        <f t="shared" si="152"/>
        <v>0.96177484161592774</v>
      </c>
      <c r="Z232" s="4">
        <f t="shared" si="152"/>
        <v>0.94584787155511363</v>
      </c>
      <c r="AA232" s="4">
        <f t="shared" si="152"/>
        <v>0.92370360150141495</v>
      </c>
      <c r="AB232" s="4">
        <f t="shared" si="152"/>
        <v>0.89334463567658451</v>
      </c>
      <c r="AC232" s="4">
        <f t="shared" si="152"/>
        <v>0.85254543874327005</v>
      </c>
      <c r="AD232" s="4">
        <f t="shared" si="152"/>
        <v>0.79921300652623883</v>
      </c>
      <c r="AE232" s="4">
        <f t="shared" si="152"/>
        <v>0.73204982249993378</v>
      </c>
      <c r="AF232" s="4">
        <f t="shared" si="152"/>
        <v>0.65145592958786691</v>
      </c>
      <c r="AG232" s="4">
        <f t="shared" si="152"/>
        <v>0.56032247880849573</v>
      </c>
      <c r="AH232" s="4">
        <f t="shared" si="152"/>
        <v>0.46411326873185343</v>
      </c>
      <c r="AI232" s="4">
        <f t="shared" si="152"/>
        <v>0.36979727595523937</v>
      </c>
      <c r="AJ232" s="4">
        <f t="shared" si="152"/>
        <v>0.28393948637231203</v>
      </c>
      <c r="AK232" s="4">
        <f t="shared" si="152"/>
        <v>0.21097259161117732</v>
      </c>
      <c r="AL232" s="4">
        <f t="shared" si="152"/>
        <v>0.15253917653798199</v>
      </c>
      <c r="AM232" s="4">
        <f t="shared" si="152"/>
        <v>0.10795188737709993</v>
      </c>
      <c r="AN232" s="4">
        <f t="shared" si="152"/>
        <v>7.5176653938091809E-2</v>
      </c>
      <c r="AO232" s="4">
        <f t="shared" si="152"/>
        <v>5.1742836177502194E-2</v>
      </c>
      <c r="AP232" s="4">
        <f t="shared" si="152"/>
        <v>3.5319190625345942E-2</v>
      </c>
      <c r="AQ232" s="4">
        <f t="shared" si="152"/>
        <v>2.3969442072658165E-2</v>
      </c>
      <c r="AR232" s="4">
        <f t="shared" si="152"/>
        <v>1.6202243558389728E-2</v>
      </c>
    </row>
    <row r="233" spans="1:44" x14ac:dyDescent="0.3">
      <c r="A233" s="24" t="s">
        <v>59</v>
      </c>
      <c r="B233" s="60">
        <f>'Parameter Input'!$L$146</f>
        <v>647</v>
      </c>
      <c r="C233" s="61">
        <f>'Parameter Input'!$M$146</f>
        <v>600</v>
      </c>
      <c r="D233" s="1" t="s">
        <v>60</v>
      </c>
      <c r="L233" s="54">
        <f>'Parameter Input'!$O$146</f>
        <v>17</v>
      </c>
      <c r="M233" s="37">
        <v>0</v>
      </c>
      <c r="N233" s="37">
        <v>1</v>
      </c>
      <c r="O233" s="37">
        <f>'Parameter Input'!$P$146</f>
        <v>0.9</v>
      </c>
      <c r="P233" s="55">
        <f>'Parameter Input'!$Q$146</f>
        <v>0.4</v>
      </c>
      <c r="Q233" s="4">
        <f t="shared" si="152"/>
        <v>0.99780374543478534</v>
      </c>
      <c r="R233" s="4">
        <f t="shared" si="152"/>
        <v>0.99685359315256394</v>
      </c>
      <c r="S233" s="4">
        <f t="shared" si="152"/>
        <v>0.99549347132349975</v>
      </c>
      <c r="T233" s="4">
        <f t="shared" si="152"/>
        <v>0.99354772139898062</v>
      </c>
      <c r="U233" s="4">
        <f t="shared" si="152"/>
        <v>0.99076681540580536</v>
      </c>
      <c r="V233" s="4">
        <f t="shared" si="152"/>
        <v>0.9867978615748374</v>
      </c>
      <c r="W233" s="4">
        <f t="shared" si="152"/>
        <v>0.98114509762858249</v>
      </c>
      <c r="X233" s="4">
        <f t="shared" si="152"/>
        <v>0.97311898315872036</v>
      </c>
      <c r="Y233" s="4">
        <f t="shared" si="152"/>
        <v>0.96177484161592774</v>
      </c>
      <c r="Z233" s="4">
        <f t="shared" si="152"/>
        <v>0.94584787155511363</v>
      </c>
      <c r="AA233" s="4">
        <f t="shared" si="152"/>
        <v>0.92370360150141495</v>
      </c>
      <c r="AB233" s="4">
        <f t="shared" si="152"/>
        <v>0.89334463567658451</v>
      </c>
      <c r="AC233" s="4">
        <f t="shared" si="152"/>
        <v>0.85254543874327005</v>
      </c>
      <c r="AD233" s="4">
        <f t="shared" si="152"/>
        <v>0.79921300652623883</v>
      </c>
      <c r="AE233" s="4">
        <f t="shared" si="152"/>
        <v>0.73204982249993378</v>
      </c>
      <c r="AF233" s="4">
        <f t="shared" si="152"/>
        <v>0.65145592958786691</v>
      </c>
      <c r="AG233" s="4">
        <f t="shared" si="152"/>
        <v>0.56032247880849573</v>
      </c>
      <c r="AH233" s="4">
        <f t="shared" si="152"/>
        <v>0.46411326873185343</v>
      </c>
      <c r="AI233" s="4">
        <f t="shared" si="152"/>
        <v>0.36979727595523937</v>
      </c>
      <c r="AJ233" s="4">
        <f t="shared" si="152"/>
        <v>0.28393948637231203</v>
      </c>
      <c r="AK233" s="4">
        <f t="shared" si="152"/>
        <v>0.21097259161117732</v>
      </c>
      <c r="AL233" s="4">
        <f t="shared" si="152"/>
        <v>0.15253917653798199</v>
      </c>
      <c r="AM233" s="4">
        <f t="shared" si="152"/>
        <v>0.10795188737709993</v>
      </c>
      <c r="AN233" s="4">
        <f t="shared" si="152"/>
        <v>7.5176653938091809E-2</v>
      </c>
      <c r="AO233" s="4">
        <f t="shared" si="152"/>
        <v>5.1742836177502194E-2</v>
      </c>
      <c r="AP233" s="4">
        <f t="shared" si="152"/>
        <v>3.5319190625345942E-2</v>
      </c>
      <c r="AQ233" s="4">
        <f t="shared" si="152"/>
        <v>2.3969442072658165E-2</v>
      </c>
      <c r="AR233" s="4">
        <f t="shared" si="152"/>
        <v>1.6202243558389728E-2</v>
      </c>
    </row>
    <row r="234" spans="1:44" x14ac:dyDescent="0.3">
      <c r="A234" s="24" t="s">
        <v>67</v>
      </c>
      <c r="B234" s="78">
        <f>'Parameter Input'!$L$147</f>
        <v>0.06</v>
      </c>
      <c r="C234" s="61">
        <f>'Parameter Input'!$M$147</f>
        <v>0.06</v>
      </c>
      <c r="D234" s="1" t="s">
        <v>68</v>
      </c>
      <c r="L234" s="54">
        <f>'Parameter Input'!$O$147</f>
        <v>17</v>
      </c>
      <c r="M234" s="37">
        <v>0</v>
      </c>
      <c r="N234" s="37">
        <v>1</v>
      </c>
      <c r="O234" s="37">
        <f>'Parameter Input'!$P$147</f>
        <v>0.9</v>
      </c>
      <c r="P234" s="55">
        <f>'Parameter Input'!$Q$147</f>
        <v>0.4</v>
      </c>
      <c r="Q234" s="4">
        <f t="shared" si="152"/>
        <v>0.99780374543478534</v>
      </c>
      <c r="R234" s="4">
        <f t="shared" si="152"/>
        <v>0.99685359315256394</v>
      </c>
      <c r="S234" s="4">
        <f t="shared" si="152"/>
        <v>0.99549347132349975</v>
      </c>
      <c r="T234" s="4">
        <f t="shared" ref="T234:AI241" si="153">$N234+($M234-$N234)*((1/(1+EXP(-$P234*(T$9-$L234)))^$O234))</f>
        <v>0.99354772139898062</v>
      </c>
      <c r="U234" s="4">
        <f t="shared" si="153"/>
        <v>0.99076681540580536</v>
      </c>
      <c r="V234" s="4">
        <f t="shared" si="153"/>
        <v>0.9867978615748374</v>
      </c>
      <c r="W234" s="4">
        <f t="shared" si="153"/>
        <v>0.98114509762858249</v>
      </c>
      <c r="X234" s="4">
        <f t="shared" si="153"/>
        <v>0.97311898315872036</v>
      </c>
      <c r="Y234" s="4">
        <f t="shared" si="153"/>
        <v>0.96177484161592774</v>
      </c>
      <c r="Z234" s="4">
        <f t="shared" si="153"/>
        <v>0.94584787155511363</v>
      </c>
      <c r="AA234" s="4">
        <f t="shared" si="153"/>
        <v>0.92370360150141495</v>
      </c>
      <c r="AB234" s="4">
        <f t="shared" si="153"/>
        <v>0.89334463567658451</v>
      </c>
      <c r="AC234" s="4">
        <f t="shared" si="153"/>
        <v>0.85254543874327005</v>
      </c>
      <c r="AD234" s="4">
        <f t="shared" si="153"/>
        <v>0.79921300652623883</v>
      </c>
      <c r="AE234" s="4">
        <f t="shared" si="153"/>
        <v>0.73204982249993378</v>
      </c>
      <c r="AF234" s="4">
        <f t="shared" si="153"/>
        <v>0.65145592958786691</v>
      </c>
      <c r="AG234" s="4">
        <f t="shared" si="153"/>
        <v>0.56032247880849573</v>
      </c>
      <c r="AH234" s="4">
        <f t="shared" si="153"/>
        <v>0.46411326873185343</v>
      </c>
      <c r="AI234" s="4">
        <f t="shared" si="153"/>
        <v>0.36979727595523937</v>
      </c>
      <c r="AJ234" s="4">
        <f t="shared" ref="AJ234:AR241" si="154">$N234+($M234-$N234)*((1/(1+EXP(-$P234*(AJ$9-$L234)))^$O234))</f>
        <v>0.28393948637231203</v>
      </c>
      <c r="AK234" s="4">
        <f t="shared" si="154"/>
        <v>0.21097259161117732</v>
      </c>
      <c r="AL234" s="4">
        <f t="shared" si="154"/>
        <v>0.15253917653798199</v>
      </c>
      <c r="AM234" s="4">
        <f t="shared" si="154"/>
        <v>0.10795188737709993</v>
      </c>
      <c r="AN234" s="4">
        <f t="shared" si="154"/>
        <v>7.5176653938091809E-2</v>
      </c>
      <c r="AO234" s="4">
        <f t="shared" si="154"/>
        <v>5.1742836177502194E-2</v>
      </c>
      <c r="AP234" s="4">
        <f t="shared" si="154"/>
        <v>3.5319190625345942E-2</v>
      </c>
      <c r="AQ234" s="4">
        <f t="shared" si="154"/>
        <v>2.3969442072658165E-2</v>
      </c>
      <c r="AR234" s="4">
        <f t="shared" si="154"/>
        <v>1.6202243558389728E-2</v>
      </c>
    </row>
    <row r="235" spans="1:44" x14ac:dyDescent="0.3">
      <c r="A235" s="24" t="s">
        <v>206</v>
      </c>
      <c r="B235" s="78">
        <f>'Parameter Input'!L150</f>
        <v>17.249705634987386</v>
      </c>
      <c r="C235" s="61">
        <f>'Parameter Input'!M150</f>
        <v>55.988225399495377</v>
      </c>
      <c r="D235" s="1"/>
      <c r="L235" s="54">
        <f>'Parameter Input'!O150</f>
        <v>17</v>
      </c>
      <c r="M235" s="37">
        <v>0</v>
      </c>
      <c r="N235" s="37">
        <v>1</v>
      </c>
      <c r="O235" s="37">
        <f>'Parameter Input'!P150</f>
        <v>0.9</v>
      </c>
      <c r="P235" s="55">
        <f>'Parameter Input'!Q150</f>
        <v>0.4</v>
      </c>
      <c r="Q235" s="4">
        <f t="shared" ref="Q235:AR235" si="155">$N235+($M235-$N235)*((1/(1+EXP(-$P235*(Q$9-$L235)))^$O235))</f>
        <v>0.99780374543478534</v>
      </c>
      <c r="R235" s="4">
        <f t="shared" si="155"/>
        <v>0.99685359315256394</v>
      </c>
      <c r="S235" s="4">
        <f t="shared" si="155"/>
        <v>0.99549347132349975</v>
      </c>
      <c r="T235" s="4">
        <f t="shared" si="155"/>
        <v>0.99354772139898062</v>
      </c>
      <c r="U235" s="4">
        <f t="shared" si="155"/>
        <v>0.99076681540580536</v>
      </c>
      <c r="V235" s="4">
        <f t="shared" si="155"/>
        <v>0.9867978615748374</v>
      </c>
      <c r="W235" s="4">
        <f t="shared" si="155"/>
        <v>0.98114509762858249</v>
      </c>
      <c r="X235" s="4">
        <f t="shared" si="155"/>
        <v>0.97311898315872036</v>
      </c>
      <c r="Y235" s="4">
        <f t="shared" si="155"/>
        <v>0.96177484161592774</v>
      </c>
      <c r="Z235" s="4">
        <f t="shared" si="155"/>
        <v>0.94584787155511363</v>
      </c>
      <c r="AA235" s="4">
        <f t="shared" si="155"/>
        <v>0.92370360150141495</v>
      </c>
      <c r="AB235" s="4">
        <f t="shared" si="155"/>
        <v>0.89334463567658451</v>
      </c>
      <c r="AC235" s="4">
        <f t="shared" si="155"/>
        <v>0.85254543874327005</v>
      </c>
      <c r="AD235" s="4">
        <f t="shared" si="155"/>
        <v>0.79921300652623883</v>
      </c>
      <c r="AE235" s="4">
        <f t="shared" si="155"/>
        <v>0.73204982249993378</v>
      </c>
      <c r="AF235" s="4">
        <f t="shared" si="155"/>
        <v>0.65145592958786691</v>
      </c>
      <c r="AG235" s="4">
        <f t="shared" si="155"/>
        <v>0.56032247880849573</v>
      </c>
      <c r="AH235" s="4">
        <f t="shared" si="155"/>
        <v>0.46411326873185343</v>
      </c>
      <c r="AI235" s="4">
        <f t="shared" si="155"/>
        <v>0.36979727595523937</v>
      </c>
      <c r="AJ235" s="4">
        <f t="shared" si="155"/>
        <v>0.28393948637231203</v>
      </c>
      <c r="AK235" s="4">
        <f t="shared" si="155"/>
        <v>0.21097259161117732</v>
      </c>
      <c r="AL235" s="4">
        <f t="shared" si="155"/>
        <v>0.15253917653798199</v>
      </c>
      <c r="AM235" s="4">
        <f t="shared" si="155"/>
        <v>0.10795188737709993</v>
      </c>
      <c r="AN235" s="4">
        <f t="shared" si="155"/>
        <v>7.5176653938091809E-2</v>
      </c>
      <c r="AO235" s="4">
        <f t="shared" si="155"/>
        <v>5.1742836177502194E-2</v>
      </c>
      <c r="AP235" s="4">
        <f t="shared" si="155"/>
        <v>3.5319190625345942E-2</v>
      </c>
      <c r="AQ235" s="4">
        <f t="shared" si="155"/>
        <v>2.3969442072658165E-2</v>
      </c>
      <c r="AR235" s="4">
        <f t="shared" si="155"/>
        <v>1.6202243558389728E-2</v>
      </c>
    </row>
    <row r="236" spans="1:44" x14ac:dyDescent="0.3">
      <c r="A236" s="24" t="s">
        <v>41</v>
      </c>
      <c r="B236" s="60">
        <f>'Parameter Input'!$L$144</f>
        <v>25</v>
      </c>
      <c r="C236" s="61">
        <f>'Parameter Input'!$M$144</f>
        <v>25</v>
      </c>
      <c r="D236" s="1" t="s">
        <v>42</v>
      </c>
      <c r="L236" s="54">
        <f>'Parameter Input'!$O$144</f>
        <v>17</v>
      </c>
      <c r="M236" s="37">
        <v>0</v>
      </c>
      <c r="N236" s="37">
        <v>1</v>
      </c>
      <c r="O236" s="37">
        <f>'Parameter Input'!$P$144</f>
        <v>0.9</v>
      </c>
      <c r="P236" s="55">
        <f>'Parameter Input'!$Q$144</f>
        <v>0.4</v>
      </c>
      <c r="Q236" s="4">
        <f t="shared" ref="Q236:AF241" si="156">$N236+($M236-$N236)*((1/(1+EXP(-$P236*(Q$9-$L236)))^$O236))</f>
        <v>0.99780374543478534</v>
      </c>
      <c r="R236" s="4">
        <f t="shared" si="156"/>
        <v>0.99685359315256394</v>
      </c>
      <c r="S236" s="4">
        <f t="shared" si="156"/>
        <v>0.99549347132349975</v>
      </c>
      <c r="T236" s="4">
        <f t="shared" si="156"/>
        <v>0.99354772139898062</v>
      </c>
      <c r="U236" s="4">
        <f t="shared" si="156"/>
        <v>0.99076681540580536</v>
      </c>
      <c r="V236" s="4">
        <f t="shared" si="156"/>
        <v>0.9867978615748374</v>
      </c>
      <c r="W236" s="4">
        <f t="shared" si="156"/>
        <v>0.98114509762858249</v>
      </c>
      <c r="X236" s="4">
        <f t="shared" si="156"/>
        <v>0.97311898315872036</v>
      </c>
      <c r="Y236" s="4">
        <f t="shared" si="156"/>
        <v>0.96177484161592774</v>
      </c>
      <c r="Z236" s="4">
        <f t="shared" si="156"/>
        <v>0.94584787155511363</v>
      </c>
      <c r="AA236" s="4">
        <f t="shared" si="156"/>
        <v>0.92370360150141495</v>
      </c>
      <c r="AB236" s="4">
        <f t="shared" si="156"/>
        <v>0.89334463567658451</v>
      </c>
      <c r="AC236" s="4">
        <f t="shared" si="156"/>
        <v>0.85254543874327005</v>
      </c>
      <c r="AD236" s="4">
        <f t="shared" si="156"/>
        <v>0.79921300652623883</v>
      </c>
      <c r="AE236" s="4">
        <f t="shared" si="156"/>
        <v>0.73204982249993378</v>
      </c>
      <c r="AF236" s="4">
        <f t="shared" si="156"/>
        <v>0.65145592958786691</v>
      </c>
      <c r="AG236" s="4">
        <f t="shared" si="153"/>
        <v>0.56032247880849573</v>
      </c>
      <c r="AH236" s="4">
        <f t="shared" si="153"/>
        <v>0.46411326873185343</v>
      </c>
      <c r="AI236" s="4">
        <f t="shared" si="153"/>
        <v>0.36979727595523937</v>
      </c>
      <c r="AJ236" s="4">
        <f t="shared" si="154"/>
        <v>0.28393948637231203</v>
      </c>
      <c r="AK236" s="4">
        <f t="shared" si="154"/>
        <v>0.21097259161117732</v>
      </c>
      <c r="AL236" s="4">
        <f t="shared" si="154"/>
        <v>0.15253917653798199</v>
      </c>
      <c r="AM236" s="4">
        <f t="shared" si="154"/>
        <v>0.10795188737709993</v>
      </c>
      <c r="AN236" s="4">
        <f t="shared" si="154"/>
        <v>7.5176653938091809E-2</v>
      </c>
      <c r="AO236" s="4">
        <f t="shared" si="154"/>
        <v>5.1742836177502194E-2</v>
      </c>
      <c r="AP236" s="4">
        <f t="shared" si="154"/>
        <v>3.5319190625345942E-2</v>
      </c>
      <c r="AQ236" s="4">
        <f t="shared" si="154"/>
        <v>2.3969442072658165E-2</v>
      </c>
      <c r="AR236" s="4">
        <f t="shared" si="154"/>
        <v>1.6202243558389728E-2</v>
      </c>
    </row>
    <row r="237" spans="1:44" x14ac:dyDescent="0.3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56"/>
        <v>0.99780374543478534</v>
      </c>
      <c r="R237" s="4">
        <f t="shared" si="156"/>
        <v>0.99685359315256394</v>
      </c>
      <c r="S237" s="4">
        <f t="shared" si="156"/>
        <v>0.99549347132349975</v>
      </c>
      <c r="T237" s="4">
        <f t="shared" si="156"/>
        <v>0.99354772139898062</v>
      </c>
      <c r="U237" s="4">
        <f t="shared" si="156"/>
        <v>0.99076681540580536</v>
      </c>
      <c r="V237" s="4">
        <f t="shared" si="156"/>
        <v>0.9867978615748374</v>
      </c>
      <c r="W237" s="4">
        <f t="shared" si="156"/>
        <v>0.98114509762858249</v>
      </c>
      <c r="X237" s="4">
        <f t="shared" si="156"/>
        <v>0.97311898315872036</v>
      </c>
      <c r="Y237" s="4">
        <f t="shared" si="156"/>
        <v>0.96177484161592774</v>
      </c>
      <c r="Z237" s="4">
        <f t="shared" si="156"/>
        <v>0.94584787155511363</v>
      </c>
      <c r="AA237" s="4">
        <f t="shared" si="156"/>
        <v>0.92370360150141495</v>
      </c>
      <c r="AB237" s="4">
        <f t="shared" si="156"/>
        <v>0.89334463567658451</v>
      </c>
      <c r="AC237" s="4">
        <f t="shared" si="156"/>
        <v>0.85254543874327005</v>
      </c>
      <c r="AD237" s="4">
        <f t="shared" si="156"/>
        <v>0.79921300652623883</v>
      </c>
      <c r="AE237" s="4">
        <f t="shared" si="156"/>
        <v>0.73204982249993378</v>
      </c>
      <c r="AF237" s="4">
        <f t="shared" si="156"/>
        <v>0.65145592958786691</v>
      </c>
      <c r="AG237" s="4">
        <f t="shared" si="153"/>
        <v>0.56032247880849573</v>
      </c>
      <c r="AH237" s="4">
        <f t="shared" si="153"/>
        <v>0.46411326873185343</v>
      </c>
      <c r="AI237" s="4">
        <f t="shared" si="153"/>
        <v>0.36979727595523937</v>
      </c>
      <c r="AJ237" s="4">
        <f t="shared" si="154"/>
        <v>0.28393948637231203</v>
      </c>
      <c r="AK237" s="4">
        <f t="shared" si="154"/>
        <v>0.21097259161117732</v>
      </c>
      <c r="AL237" s="4">
        <f t="shared" si="154"/>
        <v>0.15253917653798199</v>
      </c>
      <c r="AM237" s="4">
        <f t="shared" si="154"/>
        <v>0.10795188737709993</v>
      </c>
      <c r="AN237" s="4">
        <f t="shared" si="154"/>
        <v>7.5176653938091809E-2</v>
      </c>
      <c r="AO237" s="4">
        <f t="shared" si="154"/>
        <v>5.1742836177502194E-2</v>
      </c>
      <c r="AP237" s="4">
        <f t="shared" si="154"/>
        <v>3.5319190625345942E-2</v>
      </c>
      <c r="AQ237" s="4">
        <f t="shared" si="154"/>
        <v>2.3969442072658165E-2</v>
      </c>
      <c r="AR237" s="4">
        <f t="shared" si="154"/>
        <v>1.6202243558389728E-2</v>
      </c>
    </row>
    <row r="238" spans="1:44" x14ac:dyDescent="0.3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56"/>
        <v>0.99780374543478534</v>
      </c>
      <c r="R238" s="4">
        <f t="shared" si="156"/>
        <v>0.99685359315256394</v>
      </c>
      <c r="S238" s="4">
        <f t="shared" si="156"/>
        <v>0.99549347132349975</v>
      </c>
      <c r="T238" s="4">
        <f t="shared" si="156"/>
        <v>0.99354772139898062</v>
      </c>
      <c r="U238" s="4">
        <f t="shared" si="156"/>
        <v>0.99076681540580536</v>
      </c>
      <c r="V238" s="4">
        <f t="shared" si="156"/>
        <v>0.9867978615748374</v>
      </c>
      <c r="W238" s="4">
        <f t="shared" si="156"/>
        <v>0.98114509762858249</v>
      </c>
      <c r="X238" s="4">
        <f t="shared" si="156"/>
        <v>0.97311898315872036</v>
      </c>
      <c r="Y238" s="4">
        <f t="shared" si="156"/>
        <v>0.96177484161592774</v>
      </c>
      <c r="Z238" s="4">
        <f t="shared" si="156"/>
        <v>0.94584787155511363</v>
      </c>
      <c r="AA238" s="4">
        <f t="shared" si="156"/>
        <v>0.92370360150141495</v>
      </c>
      <c r="AB238" s="4">
        <f t="shared" si="156"/>
        <v>0.89334463567658451</v>
      </c>
      <c r="AC238" s="4">
        <f t="shared" si="156"/>
        <v>0.85254543874327005</v>
      </c>
      <c r="AD238" s="4">
        <f t="shared" si="156"/>
        <v>0.79921300652623883</v>
      </c>
      <c r="AE238" s="4">
        <f t="shared" si="156"/>
        <v>0.73204982249993378</v>
      </c>
      <c r="AF238" s="4">
        <f t="shared" si="156"/>
        <v>0.65145592958786691</v>
      </c>
      <c r="AG238" s="4">
        <f t="shared" si="153"/>
        <v>0.56032247880849573</v>
      </c>
      <c r="AH238" s="4">
        <f t="shared" si="153"/>
        <v>0.46411326873185343</v>
      </c>
      <c r="AI238" s="4">
        <f t="shared" si="153"/>
        <v>0.36979727595523937</v>
      </c>
      <c r="AJ238" s="4">
        <f t="shared" si="154"/>
        <v>0.28393948637231203</v>
      </c>
      <c r="AK238" s="4">
        <f t="shared" si="154"/>
        <v>0.21097259161117732</v>
      </c>
      <c r="AL238" s="4">
        <f t="shared" si="154"/>
        <v>0.15253917653798199</v>
      </c>
      <c r="AM238" s="4">
        <f t="shared" si="154"/>
        <v>0.10795188737709993</v>
      </c>
      <c r="AN238" s="4">
        <f t="shared" si="154"/>
        <v>7.5176653938091809E-2</v>
      </c>
      <c r="AO238" s="4">
        <f t="shared" si="154"/>
        <v>5.1742836177502194E-2</v>
      </c>
      <c r="AP238" s="4">
        <f t="shared" si="154"/>
        <v>3.5319190625345942E-2</v>
      </c>
      <c r="AQ238" s="4">
        <f t="shared" si="154"/>
        <v>2.3969442072658165E-2</v>
      </c>
      <c r="AR238" s="4">
        <f t="shared" si="154"/>
        <v>1.6202243558389728E-2</v>
      </c>
    </row>
    <row r="239" spans="1:44" x14ac:dyDescent="0.3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56"/>
        <v>0.99780374543478534</v>
      </c>
      <c r="R239" s="4">
        <f t="shared" si="156"/>
        <v>0.99685359315256394</v>
      </c>
      <c r="S239" s="4">
        <f t="shared" si="156"/>
        <v>0.99549347132349975</v>
      </c>
      <c r="T239" s="4">
        <f t="shared" si="156"/>
        <v>0.99354772139898062</v>
      </c>
      <c r="U239" s="4">
        <f t="shared" si="156"/>
        <v>0.99076681540580536</v>
      </c>
      <c r="V239" s="4">
        <f t="shared" si="156"/>
        <v>0.9867978615748374</v>
      </c>
      <c r="W239" s="4">
        <f t="shared" si="156"/>
        <v>0.98114509762858249</v>
      </c>
      <c r="X239" s="4">
        <f t="shared" si="156"/>
        <v>0.97311898315872036</v>
      </c>
      <c r="Y239" s="4">
        <f t="shared" si="156"/>
        <v>0.96177484161592774</v>
      </c>
      <c r="Z239" s="4">
        <f t="shared" si="156"/>
        <v>0.94584787155511363</v>
      </c>
      <c r="AA239" s="4">
        <f t="shared" si="156"/>
        <v>0.92370360150141495</v>
      </c>
      <c r="AB239" s="4">
        <f t="shared" si="156"/>
        <v>0.89334463567658451</v>
      </c>
      <c r="AC239" s="4">
        <f t="shared" si="156"/>
        <v>0.85254543874327005</v>
      </c>
      <c r="AD239" s="4">
        <f t="shared" si="156"/>
        <v>0.79921300652623883</v>
      </c>
      <c r="AE239" s="4">
        <f t="shared" si="156"/>
        <v>0.73204982249993378</v>
      </c>
      <c r="AF239" s="4">
        <f t="shared" si="156"/>
        <v>0.65145592958786691</v>
      </c>
      <c r="AG239" s="4">
        <f t="shared" si="153"/>
        <v>0.56032247880849573</v>
      </c>
      <c r="AH239" s="4">
        <f t="shared" si="153"/>
        <v>0.46411326873185343</v>
      </c>
      <c r="AI239" s="4">
        <f t="shared" si="153"/>
        <v>0.36979727595523937</v>
      </c>
      <c r="AJ239" s="4">
        <f t="shared" si="154"/>
        <v>0.28393948637231203</v>
      </c>
      <c r="AK239" s="4">
        <f t="shared" si="154"/>
        <v>0.21097259161117732</v>
      </c>
      <c r="AL239" s="4">
        <f t="shared" si="154"/>
        <v>0.15253917653798199</v>
      </c>
      <c r="AM239" s="4">
        <f t="shared" si="154"/>
        <v>0.10795188737709993</v>
      </c>
      <c r="AN239" s="4">
        <f t="shared" si="154"/>
        <v>7.5176653938091809E-2</v>
      </c>
      <c r="AO239" s="4">
        <f t="shared" si="154"/>
        <v>5.1742836177502194E-2</v>
      </c>
      <c r="AP239" s="4">
        <f t="shared" si="154"/>
        <v>3.5319190625345942E-2</v>
      </c>
      <c r="AQ239" s="4">
        <f t="shared" si="154"/>
        <v>2.3969442072658165E-2</v>
      </c>
      <c r="AR239" s="4">
        <f t="shared" si="154"/>
        <v>1.6202243558389728E-2</v>
      </c>
    </row>
    <row r="240" spans="1:44" x14ac:dyDescent="0.3">
      <c r="A240" s="24" t="s">
        <v>73</v>
      </c>
      <c r="B240" s="45">
        <f>'Parameter Input'!$L$148</f>
        <v>0</v>
      </c>
      <c r="C240" s="46">
        <f>'Parameter Input'!$M$148</f>
        <v>0</v>
      </c>
      <c r="D240" s="1" t="s">
        <v>57</v>
      </c>
      <c r="L240" s="54">
        <f>'Parameter Input'!$O$148</f>
        <v>17</v>
      </c>
      <c r="M240" s="37">
        <v>0</v>
      </c>
      <c r="N240" s="37">
        <v>1</v>
      </c>
      <c r="O240" s="37">
        <f>'Parameter Input'!$P$148</f>
        <v>0.9</v>
      </c>
      <c r="P240" s="55">
        <f>'Parameter Input'!$Q$148</f>
        <v>0.4</v>
      </c>
      <c r="Q240" s="4">
        <f t="shared" si="156"/>
        <v>0.99780374543478534</v>
      </c>
      <c r="R240" s="4">
        <f t="shared" si="156"/>
        <v>0.99685359315256394</v>
      </c>
      <c r="S240" s="4">
        <f t="shared" si="156"/>
        <v>0.99549347132349975</v>
      </c>
      <c r="T240" s="4">
        <f t="shared" si="156"/>
        <v>0.99354772139898062</v>
      </c>
      <c r="U240" s="4">
        <f t="shared" si="156"/>
        <v>0.99076681540580536</v>
      </c>
      <c r="V240" s="4">
        <f t="shared" si="156"/>
        <v>0.9867978615748374</v>
      </c>
      <c r="W240" s="4">
        <f t="shared" si="156"/>
        <v>0.98114509762858249</v>
      </c>
      <c r="X240" s="4">
        <f t="shared" si="156"/>
        <v>0.97311898315872036</v>
      </c>
      <c r="Y240" s="4">
        <f t="shared" si="156"/>
        <v>0.96177484161592774</v>
      </c>
      <c r="Z240" s="4">
        <f t="shared" si="156"/>
        <v>0.94584787155511363</v>
      </c>
      <c r="AA240" s="4">
        <f t="shared" si="156"/>
        <v>0.92370360150141495</v>
      </c>
      <c r="AB240" s="4">
        <f t="shared" si="156"/>
        <v>0.89334463567658451</v>
      </c>
      <c r="AC240" s="4">
        <f t="shared" si="156"/>
        <v>0.85254543874327005</v>
      </c>
      <c r="AD240" s="4">
        <f t="shared" si="156"/>
        <v>0.79921300652623883</v>
      </c>
      <c r="AE240" s="4">
        <f t="shared" si="156"/>
        <v>0.73204982249993378</v>
      </c>
      <c r="AF240" s="4">
        <f t="shared" si="156"/>
        <v>0.65145592958786691</v>
      </c>
      <c r="AG240" s="4">
        <f t="shared" si="153"/>
        <v>0.56032247880849573</v>
      </c>
      <c r="AH240" s="4">
        <f t="shared" si="153"/>
        <v>0.46411326873185343</v>
      </c>
      <c r="AI240" s="4">
        <f t="shared" si="153"/>
        <v>0.36979727595523937</v>
      </c>
      <c r="AJ240" s="4">
        <f t="shared" si="154"/>
        <v>0.28393948637231203</v>
      </c>
      <c r="AK240" s="4">
        <f t="shared" si="154"/>
        <v>0.21097259161117732</v>
      </c>
      <c r="AL240" s="4">
        <f t="shared" si="154"/>
        <v>0.15253917653798199</v>
      </c>
      <c r="AM240" s="4">
        <f t="shared" si="154"/>
        <v>0.10795188737709993</v>
      </c>
      <c r="AN240" s="4">
        <f t="shared" si="154"/>
        <v>7.5176653938091809E-2</v>
      </c>
      <c r="AO240" s="4">
        <f t="shared" si="154"/>
        <v>5.1742836177502194E-2</v>
      </c>
      <c r="AP240" s="4">
        <f t="shared" si="154"/>
        <v>3.5319190625345942E-2</v>
      </c>
      <c r="AQ240" s="4">
        <f t="shared" si="154"/>
        <v>2.3969442072658165E-2</v>
      </c>
      <c r="AR240" s="4">
        <f t="shared" si="154"/>
        <v>1.6202243558389728E-2</v>
      </c>
    </row>
    <row r="241" spans="1:44" ht="15" thickBot="1" x14ac:dyDescent="0.35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56"/>
        <v>0.99780374543478534</v>
      </c>
      <c r="R241" s="4">
        <f t="shared" si="156"/>
        <v>0.99685359315256394</v>
      </c>
      <c r="S241" s="4">
        <f t="shared" si="156"/>
        <v>0.99549347132349975</v>
      </c>
      <c r="T241" s="4">
        <f t="shared" si="156"/>
        <v>0.99354772139898062</v>
      </c>
      <c r="U241" s="4">
        <f t="shared" si="156"/>
        <v>0.99076681540580536</v>
      </c>
      <c r="V241" s="4">
        <f t="shared" si="156"/>
        <v>0.9867978615748374</v>
      </c>
      <c r="W241" s="4">
        <f t="shared" si="156"/>
        <v>0.98114509762858249</v>
      </c>
      <c r="X241" s="4">
        <f t="shared" si="156"/>
        <v>0.97311898315872036</v>
      </c>
      <c r="Y241" s="4">
        <f t="shared" si="156"/>
        <v>0.96177484161592774</v>
      </c>
      <c r="Z241" s="4">
        <f t="shared" si="156"/>
        <v>0.94584787155511363</v>
      </c>
      <c r="AA241" s="4">
        <f t="shared" si="156"/>
        <v>0.92370360150141495</v>
      </c>
      <c r="AB241" s="4">
        <f t="shared" si="156"/>
        <v>0.89334463567658451</v>
      </c>
      <c r="AC241" s="4">
        <f t="shared" si="156"/>
        <v>0.85254543874327005</v>
      </c>
      <c r="AD241" s="4">
        <f t="shared" si="156"/>
        <v>0.79921300652623883</v>
      </c>
      <c r="AE241" s="4">
        <f t="shared" si="156"/>
        <v>0.73204982249993378</v>
      </c>
      <c r="AF241" s="4">
        <f t="shared" si="156"/>
        <v>0.65145592958786691</v>
      </c>
      <c r="AG241" s="4">
        <f t="shared" si="153"/>
        <v>0.56032247880849573</v>
      </c>
      <c r="AH241" s="4">
        <f t="shared" si="153"/>
        <v>0.46411326873185343</v>
      </c>
      <c r="AI241" s="4">
        <f t="shared" si="153"/>
        <v>0.36979727595523937</v>
      </c>
      <c r="AJ241" s="4">
        <f t="shared" si="154"/>
        <v>0.28393948637231203</v>
      </c>
      <c r="AK241" s="4">
        <f t="shared" si="154"/>
        <v>0.21097259161117732</v>
      </c>
      <c r="AL241" s="4">
        <f t="shared" si="154"/>
        <v>0.15253917653798199</v>
      </c>
      <c r="AM241" s="4">
        <f t="shared" si="154"/>
        <v>0.10795188737709993</v>
      </c>
      <c r="AN241" s="4">
        <f t="shared" si="154"/>
        <v>7.5176653938091809E-2</v>
      </c>
      <c r="AO241" s="4">
        <f t="shared" si="154"/>
        <v>5.1742836177502194E-2</v>
      </c>
      <c r="AP241" s="4">
        <f t="shared" si="154"/>
        <v>3.5319190625345942E-2</v>
      </c>
      <c r="AQ241" s="4">
        <f t="shared" si="154"/>
        <v>2.3969442072658165E-2</v>
      </c>
      <c r="AR241" s="4">
        <f t="shared" si="154"/>
        <v>1.6202243558389728E-2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9" si="157">A225</f>
        <v>Capex vehicle</v>
      </c>
      <c r="B245" s="62">
        <f t="shared" ref="B245:B254" si="158">$B225+($C225-$B225)*(1-Q225)</f>
        <v>15000000</v>
      </c>
      <c r="C245" s="62">
        <f t="shared" ref="C245:C254" si="159">$B225+($C225-$B225)*(1-R225)</f>
        <v>15000000</v>
      </c>
      <c r="D245" s="62">
        <f t="shared" ref="D245:D254" si="160">$B225+($C225-$B225)*(1-S225)</f>
        <v>15000000</v>
      </c>
      <c r="E245" s="62">
        <f t="shared" ref="E245:E254" si="161">$B225+($C225-$B225)*(1-T225)</f>
        <v>15000000</v>
      </c>
      <c r="F245" s="62">
        <f t="shared" ref="F245:F254" si="162">$B225+($C225-$B225)*(1-U225)</f>
        <v>15000000</v>
      </c>
      <c r="G245" s="62">
        <f t="shared" ref="G245:G254" si="163">$B225+($C225-$B225)*(1-V225)</f>
        <v>15000000</v>
      </c>
      <c r="H245" s="62">
        <f t="shared" ref="H245:H254" si="164">$B225+($C225-$B225)*(1-W225)</f>
        <v>15000000</v>
      </c>
      <c r="I245" s="62">
        <f t="shared" ref="I245:I254" si="165">$B225+($C225-$B225)*(1-X225)</f>
        <v>15000000</v>
      </c>
      <c r="J245" s="62">
        <f t="shared" ref="J245:J254" si="166">$B225+($C225-$B225)*(1-Y225)</f>
        <v>15000000</v>
      </c>
      <c r="K245" s="62">
        <f t="shared" ref="K245:K254" si="167">$B225+($C225-$B225)*(1-Z225)</f>
        <v>15000000</v>
      </c>
      <c r="L245" s="62">
        <f t="shared" ref="L245:L254" si="168">$B225+($C225-$B225)*(1-AA225)</f>
        <v>15000000</v>
      </c>
      <c r="M245" s="62">
        <f t="shared" ref="M245:M254" si="169">$B225+($C225-$B225)*(1-AB225)</f>
        <v>15000000</v>
      </c>
      <c r="N245" s="62">
        <f t="shared" ref="N245:N254" si="170">$B225+($C225-$B225)*(1-AC225)</f>
        <v>15000000</v>
      </c>
      <c r="O245" s="62">
        <f t="shared" ref="O245:O254" si="171">$B225+($C225-$B225)*(1-AD225)</f>
        <v>15000000</v>
      </c>
      <c r="P245" s="62">
        <f t="shared" ref="P245:P254" si="172">$B225+($C225-$B225)*(1-AE225)</f>
        <v>15000000</v>
      </c>
      <c r="Q245" s="62">
        <f t="shared" ref="Q245:Q254" si="173">$B225+($C225-$B225)*(1-AF225)</f>
        <v>15000000</v>
      </c>
      <c r="R245" s="62">
        <f t="shared" ref="R245:R254" si="174">$B225+($C225-$B225)*(1-AG225)</f>
        <v>15000000</v>
      </c>
      <c r="S245" s="62">
        <f t="shared" ref="S245:S254" si="175">$B225+($C225-$B225)*(1-AH225)</f>
        <v>15000000</v>
      </c>
      <c r="T245" s="62">
        <f t="shared" ref="T245:T254" si="176">$B225+($C225-$B225)*(1-AI225)</f>
        <v>15000000</v>
      </c>
      <c r="U245" s="62">
        <f t="shared" ref="U245:U254" si="177">$B225+($C225-$B225)*(1-AJ225)</f>
        <v>15000000</v>
      </c>
      <c r="V245" s="62">
        <f t="shared" ref="V245:V254" si="178">$B225+($C225-$B225)*(1-AK225)</f>
        <v>15000000</v>
      </c>
      <c r="W245" s="62">
        <f t="shared" ref="W245:W254" si="179">$B225+($C225-$B225)*(1-AL225)</f>
        <v>15000000</v>
      </c>
      <c r="X245" s="62">
        <f t="shared" ref="X245:X254" si="180">$B225+($C225-$B225)*(1-AM225)</f>
        <v>15000000</v>
      </c>
      <c r="Y245" s="62">
        <f t="shared" ref="Y245:Y254" si="181">$B225+($C225-$B225)*(1-AN225)</f>
        <v>15000000</v>
      </c>
      <c r="Z245" s="62">
        <f t="shared" ref="Z245:Z254" si="182">$B225+($C225-$B225)*(1-AO225)</f>
        <v>15000000</v>
      </c>
      <c r="AA245" s="62">
        <f t="shared" ref="AA245:AA254" si="183">$B225+($C225-$B225)*(1-AP225)</f>
        <v>15000000</v>
      </c>
      <c r="AB245" s="62">
        <f t="shared" ref="AB245:AB254" si="184">$B225+($C225-$B225)*(1-AQ225)</f>
        <v>15000000</v>
      </c>
      <c r="AC245" s="62">
        <f t="shared" ref="AC245:AC254" si="185">$B225+($C225-$B225)*(1-AR225)</f>
        <v>15000000</v>
      </c>
    </row>
    <row r="246" spans="1:44" x14ac:dyDescent="0.3">
      <c r="A246" s="30" t="str">
        <f t="shared" si="157"/>
        <v>Residual value (vehicle)</v>
      </c>
      <c r="B246" s="62">
        <f t="shared" si="158"/>
        <v>-1498352.8090760889</v>
      </c>
      <c r="C246" s="62">
        <f t="shared" si="159"/>
        <v>-1497640.194864423</v>
      </c>
      <c r="D246" s="62">
        <f t="shared" si="160"/>
        <v>-1496620.1034926248</v>
      </c>
      <c r="E246" s="62">
        <f t="shared" si="161"/>
        <v>-1495160.7910492355</v>
      </c>
      <c r="F246" s="62">
        <f t="shared" si="162"/>
        <v>-1493075.111554354</v>
      </c>
      <c r="G246" s="62">
        <f t="shared" si="163"/>
        <v>-1490098.396181128</v>
      </c>
      <c r="H246" s="62">
        <f t="shared" si="164"/>
        <v>-1485858.8232214369</v>
      </c>
      <c r="I246" s="62">
        <f t="shared" si="165"/>
        <v>-1479839.2373690403</v>
      </c>
      <c r="J246" s="62">
        <f t="shared" si="166"/>
        <v>-1471331.1312119458</v>
      </c>
      <c r="K246" s="62">
        <f t="shared" si="167"/>
        <v>-1459385.9036663352</v>
      </c>
      <c r="L246" s="62">
        <f t="shared" si="168"/>
        <v>-1442777.7011260611</v>
      </c>
      <c r="M246" s="62">
        <f t="shared" si="169"/>
        <v>-1420008.4767574384</v>
      </c>
      <c r="N246" s="62">
        <f t="shared" si="170"/>
        <v>-1389409.0790574525</v>
      </c>
      <c r="O246" s="62">
        <f t="shared" si="171"/>
        <v>-1349409.7548946792</v>
      </c>
      <c r="P246" s="62">
        <f t="shared" si="172"/>
        <v>-1299037.3668749502</v>
      </c>
      <c r="Q246" s="62">
        <f t="shared" si="173"/>
        <v>-1238591.9471909001</v>
      </c>
      <c r="R246" s="62">
        <f t="shared" si="174"/>
        <v>-1170241.8591063719</v>
      </c>
      <c r="S246" s="62">
        <f t="shared" si="175"/>
        <v>-1098084.9515488902</v>
      </c>
      <c r="T246" s="62">
        <f t="shared" si="176"/>
        <v>-1027347.9569664295</v>
      </c>
      <c r="U246" s="62">
        <f t="shared" si="177"/>
        <v>-962954.61477923405</v>
      </c>
      <c r="V246" s="62">
        <f t="shared" si="178"/>
        <v>-908229.44370838301</v>
      </c>
      <c r="W246" s="62">
        <f t="shared" si="179"/>
        <v>-864404.38240348652</v>
      </c>
      <c r="X246" s="62">
        <f t="shared" si="180"/>
        <v>-830963.91553282493</v>
      </c>
      <c r="Y246" s="62">
        <f t="shared" si="181"/>
        <v>-806382.49045356887</v>
      </c>
      <c r="Z246" s="62">
        <f t="shared" si="182"/>
        <v>-788807.1271331266</v>
      </c>
      <c r="AA246" s="62">
        <f t="shared" si="183"/>
        <v>-776489.39296900947</v>
      </c>
      <c r="AB246" s="62">
        <f t="shared" si="184"/>
        <v>-767977.08155449363</v>
      </c>
      <c r="AC246" s="62">
        <f t="shared" si="185"/>
        <v>-762151.68266879232</v>
      </c>
    </row>
    <row r="247" spans="1:44" x14ac:dyDescent="0.3">
      <c r="A247" s="30" t="str">
        <f t="shared" si="157"/>
        <v>Capex costumization</v>
      </c>
      <c r="B247" s="62">
        <f t="shared" si="158"/>
        <v>1000000</v>
      </c>
      <c r="C247" s="62">
        <f t="shared" si="159"/>
        <v>1000000</v>
      </c>
      <c r="D247" s="62">
        <f t="shared" si="160"/>
        <v>1000000</v>
      </c>
      <c r="E247" s="62">
        <f t="shared" si="161"/>
        <v>1000000</v>
      </c>
      <c r="F247" s="62">
        <f t="shared" si="162"/>
        <v>1000000</v>
      </c>
      <c r="G247" s="62">
        <f t="shared" si="163"/>
        <v>1000000</v>
      </c>
      <c r="H247" s="62">
        <f t="shared" si="164"/>
        <v>1000000</v>
      </c>
      <c r="I247" s="62">
        <f t="shared" si="165"/>
        <v>1000000</v>
      </c>
      <c r="J247" s="62">
        <f t="shared" si="166"/>
        <v>1000000</v>
      </c>
      <c r="K247" s="62">
        <f t="shared" si="167"/>
        <v>1000000</v>
      </c>
      <c r="L247" s="62">
        <f t="shared" si="168"/>
        <v>1000000</v>
      </c>
      <c r="M247" s="62">
        <f t="shared" si="169"/>
        <v>1000000</v>
      </c>
      <c r="N247" s="62">
        <f t="shared" si="170"/>
        <v>1000000</v>
      </c>
      <c r="O247" s="62">
        <f t="shared" si="171"/>
        <v>1000000</v>
      </c>
      <c r="P247" s="62">
        <f t="shared" si="172"/>
        <v>1000000</v>
      </c>
      <c r="Q247" s="62">
        <f t="shared" si="173"/>
        <v>1000000</v>
      </c>
      <c r="R247" s="62">
        <f t="shared" si="174"/>
        <v>1000000</v>
      </c>
      <c r="S247" s="62">
        <f t="shared" si="175"/>
        <v>1000000</v>
      </c>
      <c r="T247" s="62">
        <f t="shared" si="176"/>
        <v>1000000</v>
      </c>
      <c r="U247" s="62">
        <f t="shared" si="177"/>
        <v>1000000</v>
      </c>
      <c r="V247" s="62">
        <f t="shared" si="178"/>
        <v>1000000</v>
      </c>
      <c r="W247" s="62">
        <f t="shared" si="179"/>
        <v>1000000</v>
      </c>
      <c r="X247" s="62">
        <f t="shared" si="180"/>
        <v>1000000</v>
      </c>
      <c r="Y247" s="62">
        <f t="shared" si="181"/>
        <v>1000000</v>
      </c>
      <c r="Z247" s="62">
        <f t="shared" si="182"/>
        <v>1000000</v>
      </c>
      <c r="AA247" s="62">
        <f t="shared" si="183"/>
        <v>1000000</v>
      </c>
      <c r="AB247" s="62">
        <f t="shared" si="184"/>
        <v>1000000</v>
      </c>
      <c r="AC247" s="62">
        <f t="shared" si="185"/>
        <v>1000000</v>
      </c>
    </row>
    <row r="248" spans="1:44" x14ac:dyDescent="0.3">
      <c r="A248" s="30" t="str">
        <f t="shared" si="157"/>
        <v>Residual value (costumization)</v>
      </c>
      <c r="B248" s="62">
        <f t="shared" si="158"/>
        <v>-100000</v>
      </c>
      <c r="C248" s="62">
        <f t="shared" si="159"/>
        <v>-100000</v>
      </c>
      <c r="D248" s="62">
        <f t="shared" si="160"/>
        <v>-100000</v>
      </c>
      <c r="E248" s="62">
        <f t="shared" si="161"/>
        <v>-100000</v>
      </c>
      <c r="F248" s="62">
        <f t="shared" si="162"/>
        <v>-100000</v>
      </c>
      <c r="G248" s="62">
        <f t="shared" si="163"/>
        <v>-100000</v>
      </c>
      <c r="H248" s="62">
        <f t="shared" si="164"/>
        <v>-100000</v>
      </c>
      <c r="I248" s="62">
        <f t="shared" si="165"/>
        <v>-100000</v>
      </c>
      <c r="J248" s="62">
        <f t="shared" si="166"/>
        <v>-100000</v>
      </c>
      <c r="K248" s="62">
        <f t="shared" si="167"/>
        <v>-100000</v>
      </c>
      <c r="L248" s="62">
        <f t="shared" si="168"/>
        <v>-100000</v>
      </c>
      <c r="M248" s="62">
        <f t="shared" si="169"/>
        <v>-100000</v>
      </c>
      <c r="N248" s="62">
        <f t="shared" si="170"/>
        <v>-100000</v>
      </c>
      <c r="O248" s="62">
        <f t="shared" si="171"/>
        <v>-100000</v>
      </c>
      <c r="P248" s="62">
        <f t="shared" si="172"/>
        <v>-100000</v>
      </c>
      <c r="Q248" s="62">
        <f t="shared" si="173"/>
        <v>-100000</v>
      </c>
      <c r="R248" s="62">
        <f t="shared" si="174"/>
        <v>-100000</v>
      </c>
      <c r="S248" s="62">
        <f t="shared" si="175"/>
        <v>-100000</v>
      </c>
      <c r="T248" s="62">
        <f t="shared" si="176"/>
        <v>-100000</v>
      </c>
      <c r="U248" s="62">
        <f t="shared" si="177"/>
        <v>-100000</v>
      </c>
      <c r="V248" s="62">
        <f t="shared" si="178"/>
        <v>-100000</v>
      </c>
      <c r="W248" s="62">
        <f t="shared" si="179"/>
        <v>-100000</v>
      </c>
      <c r="X248" s="62">
        <f t="shared" si="180"/>
        <v>-100000</v>
      </c>
      <c r="Y248" s="62">
        <f t="shared" si="181"/>
        <v>-100000</v>
      </c>
      <c r="Z248" s="62">
        <f t="shared" si="182"/>
        <v>-100000</v>
      </c>
      <c r="AA248" s="62">
        <f t="shared" si="183"/>
        <v>-100000</v>
      </c>
      <c r="AB248" s="62">
        <f t="shared" si="184"/>
        <v>-100000</v>
      </c>
      <c r="AC248" s="62">
        <f t="shared" si="185"/>
        <v>-100000</v>
      </c>
    </row>
    <row r="249" spans="1:44" x14ac:dyDescent="0.3">
      <c r="A249" s="30" t="str">
        <f t="shared" si="157"/>
        <v>WACC</v>
      </c>
      <c r="B249" s="62">
        <f t="shared" si="158"/>
        <v>0.06</v>
      </c>
      <c r="C249" s="62">
        <f t="shared" si="159"/>
        <v>0.06</v>
      </c>
      <c r="D249" s="62">
        <f t="shared" si="160"/>
        <v>0.06</v>
      </c>
      <c r="E249" s="62">
        <f t="shared" si="161"/>
        <v>0.06</v>
      </c>
      <c r="F249" s="62">
        <f t="shared" si="162"/>
        <v>0.06</v>
      </c>
      <c r="G249" s="62">
        <f t="shared" si="163"/>
        <v>0.06</v>
      </c>
      <c r="H249" s="62">
        <f t="shared" si="164"/>
        <v>0.06</v>
      </c>
      <c r="I249" s="62">
        <f t="shared" si="165"/>
        <v>0.06</v>
      </c>
      <c r="J249" s="62">
        <f t="shared" si="166"/>
        <v>0.06</v>
      </c>
      <c r="K249" s="62">
        <f t="shared" si="167"/>
        <v>0.06</v>
      </c>
      <c r="L249" s="62">
        <f t="shared" si="168"/>
        <v>0.06</v>
      </c>
      <c r="M249" s="62">
        <f t="shared" si="169"/>
        <v>0.06</v>
      </c>
      <c r="N249" s="62">
        <f t="shared" si="170"/>
        <v>0.06</v>
      </c>
      <c r="O249" s="62">
        <f t="shared" si="171"/>
        <v>0.06</v>
      </c>
      <c r="P249" s="62">
        <f t="shared" si="172"/>
        <v>0.06</v>
      </c>
      <c r="Q249" s="62">
        <f t="shared" si="173"/>
        <v>0.06</v>
      </c>
      <c r="R249" s="62">
        <f t="shared" si="174"/>
        <v>0.06</v>
      </c>
      <c r="S249" s="62">
        <f t="shared" si="175"/>
        <v>0.06</v>
      </c>
      <c r="T249" s="62">
        <f t="shared" si="176"/>
        <v>0.06</v>
      </c>
      <c r="U249" s="62">
        <f t="shared" si="177"/>
        <v>0.06</v>
      </c>
      <c r="V249" s="62">
        <f t="shared" si="178"/>
        <v>0.06</v>
      </c>
      <c r="W249" s="62">
        <f t="shared" si="179"/>
        <v>0.06</v>
      </c>
      <c r="X249" s="62">
        <f t="shared" si="180"/>
        <v>0.06</v>
      </c>
      <c r="Y249" s="62">
        <f t="shared" si="181"/>
        <v>0.06</v>
      </c>
      <c r="Z249" s="62">
        <f t="shared" si="182"/>
        <v>0.06</v>
      </c>
      <c r="AA249" s="62">
        <f t="shared" si="183"/>
        <v>0.06</v>
      </c>
      <c r="AB249" s="62">
        <f t="shared" si="184"/>
        <v>0.06</v>
      </c>
      <c r="AC249" s="62">
        <f t="shared" si="185"/>
        <v>0.06</v>
      </c>
    </row>
    <row r="250" spans="1:44" x14ac:dyDescent="0.3">
      <c r="A250" s="30" t="str">
        <f t="shared" si="157"/>
        <v>Opex fix (admin, crew, insurance)</v>
      </c>
      <c r="B250" s="62">
        <f t="shared" si="158"/>
        <v>1208235.294117647</v>
      </c>
      <c r="C250" s="62">
        <f t="shared" si="159"/>
        <v>1208235.294117647</v>
      </c>
      <c r="D250" s="62">
        <f t="shared" si="160"/>
        <v>1208235.294117647</v>
      </c>
      <c r="E250" s="62">
        <f t="shared" si="161"/>
        <v>1208235.294117647</v>
      </c>
      <c r="F250" s="62">
        <f t="shared" si="162"/>
        <v>1208235.294117647</v>
      </c>
      <c r="G250" s="62">
        <f t="shared" si="163"/>
        <v>1208235.294117647</v>
      </c>
      <c r="H250" s="62">
        <f t="shared" si="164"/>
        <v>1208235.294117647</v>
      </c>
      <c r="I250" s="62">
        <f t="shared" si="165"/>
        <v>1208235.294117647</v>
      </c>
      <c r="J250" s="62">
        <f t="shared" si="166"/>
        <v>1208235.294117647</v>
      </c>
      <c r="K250" s="62">
        <f t="shared" si="167"/>
        <v>1208235.294117647</v>
      </c>
      <c r="L250" s="62">
        <f t="shared" si="168"/>
        <v>1208235.294117647</v>
      </c>
      <c r="M250" s="62">
        <f t="shared" si="169"/>
        <v>1208235.294117647</v>
      </c>
      <c r="N250" s="62">
        <f t="shared" si="170"/>
        <v>1208235.294117647</v>
      </c>
      <c r="O250" s="62">
        <f t="shared" si="171"/>
        <v>1208235.294117647</v>
      </c>
      <c r="P250" s="62">
        <f t="shared" si="172"/>
        <v>1208235.294117647</v>
      </c>
      <c r="Q250" s="62">
        <f t="shared" si="173"/>
        <v>1208235.294117647</v>
      </c>
      <c r="R250" s="62">
        <f t="shared" si="174"/>
        <v>1208235.294117647</v>
      </c>
      <c r="S250" s="62">
        <f t="shared" si="175"/>
        <v>1208235.294117647</v>
      </c>
      <c r="T250" s="62">
        <f t="shared" si="176"/>
        <v>1208235.294117647</v>
      </c>
      <c r="U250" s="62">
        <f t="shared" si="177"/>
        <v>1208235.294117647</v>
      </c>
      <c r="V250" s="62">
        <f t="shared" si="178"/>
        <v>1208235.294117647</v>
      </c>
      <c r="W250" s="62">
        <f t="shared" si="179"/>
        <v>1208235.294117647</v>
      </c>
      <c r="X250" s="62">
        <f t="shared" si="180"/>
        <v>1208235.294117647</v>
      </c>
      <c r="Y250" s="62">
        <f t="shared" si="181"/>
        <v>1208235.294117647</v>
      </c>
      <c r="Z250" s="62">
        <f t="shared" si="182"/>
        <v>1208235.294117647</v>
      </c>
      <c r="AA250" s="62">
        <f t="shared" si="183"/>
        <v>1208235.294117647</v>
      </c>
      <c r="AB250" s="62">
        <f t="shared" si="184"/>
        <v>1208235.294117647</v>
      </c>
      <c r="AC250" s="62">
        <f t="shared" si="185"/>
        <v>1208235.294117647</v>
      </c>
    </row>
    <row r="251" spans="1:44" x14ac:dyDescent="0.3">
      <c r="A251" s="30" t="str">
        <f t="shared" si="157"/>
        <v>Opex maintenance &amp; repair</v>
      </c>
      <c r="B251" s="62">
        <f t="shared" si="158"/>
        <v>488235.29411764705</v>
      </c>
      <c r="C251" s="62">
        <f t="shared" si="159"/>
        <v>488235.29411764705</v>
      </c>
      <c r="D251" s="62">
        <f t="shared" si="160"/>
        <v>488235.29411764705</v>
      </c>
      <c r="E251" s="62">
        <f t="shared" si="161"/>
        <v>488235.29411764705</v>
      </c>
      <c r="F251" s="62">
        <f t="shared" si="162"/>
        <v>488235.29411764705</v>
      </c>
      <c r="G251" s="62">
        <f t="shared" si="163"/>
        <v>488235.29411764705</v>
      </c>
      <c r="H251" s="62">
        <f t="shared" si="164"/>
        <v>488235.29411764705</v>
      </c>
      <c r="I251" s="62">
        <f t="shared" si="165"/>
        <v>488235.29411764705</v>
      </c>
      <c r="J251" s="62">
        <f t="shared" si="166"/>
        <v>488235.29411764705</v>
      </c>
      <c r="K251" s="62">
        <f t="shared" si="167"/>
        <v>488235.29411764705</v>
      </c>
      <c r="L251" s="62">
        <f t="shared" si="168"/>
        <v>488235.29411764705</v>
      </c>
      <c r="M251" s="62">
        <f t="shared" si="169"/>
        <v>488235.29411764705</v>
      </c>
      <c r="N251" s="62">
        <f t="shared" si="170"/>
        <v>488235.29411764705</v>
      </c>
      <c r="O251" s="62">
        <f t="shared" si="171"/>
        <v>488235.29411764705</v>
      </c>
      <c r="P251" s="62">
        <f t="shared" si="172"/>
        <v>488235.29411764705</v>
      </c>
      <c r="Q251" s="62">
        <f t="shared" si="173"/>
        <v>488235.29411764705</v>
      </c>
      <c r="R251" s="62">
        <f t="shared" si="174"/>
        <v>488235.29411764705</v>
      </c>
      <c r="S251" s="62">
        <f t="shared" si="175"/>
        <v>488235.29411764705</v>
      </c>
      <c r="T251" s="62">
        <f t="shared" si="176"/>
        <v>488235.29411764705</v>
      </c>
      <c r="U251" s="62">
        <f t="shared" si="177"/>
        <v>488235.29411764705</v>
      </c>
      <c r="V251" s="62">
        <f t="shared" si="178"/>
        <v>488235.29411764705</v>
      </c>
      <c r="W251" s="62">
        <f t="shared" si="179"/>
        <v>488235.29411764705</v>
      </c>
      <c r="X251" s="62">
        <f t="shared" si="180"/>
        <v>488235.29411764705</v>
      </c>
      <c r="Y251" s="62">
        <f t="shared" si="181"/>
        <v>488235.29411764705</v>
      </c>
      <c r="Z251" s="62">
        <f t="shared" si="182"/>
        <v>488235.29411764705</v>
      </c>
      <c r="AA251" s="62">
        <f t="shared" si="183"/>
        <v>488235.29411764705</v>
      </c>
      <c r="AB251" s="62">
        <f t="shared" si="184"/>
        <v>488235.29411764705</v>
      </c>
      <c r="AC251" s="62">
        <f t="shared" si="185"/>
        <v>488235.29411764705</v>
      </c>
    </row>
    <row r="252" spans="1:44" x14ac:dyDescent="0.3">
      <c r="A252" s="30" t="str">
        <f t="shared" si="157"/>
        <v>Opex var (mode-fees)</v>
      </c>
      <c r="B252" s="62">
        <f t="shared" si="158"/>
        <v>0.81280569096848254</v>
      </c>
      <c r="C252" s="62">
        <f t="shared" si="159"/>
        <v>0.81280569096848254</v>
      </c>
      <c r="D252" s="62">
        <f t="shared" si="160"/>
        <v>0.81280569096848254</v>
      </c>
      <c r="E252" s="62">
        <f t="shared" si="161"/>
        <v>0.81280569096848254</v>
      </c>
      <c r="F252" s="62">
        <f t="shared" si="162"/>
        <v>0.81280569096848254</v>
      </c>
      <c r="G252" s="62">
        <f t="shared" si="163"/>
        <v>0.81280569096848254</v>
      </c>
      <c r="H252" s="62">
        <f t="shared" si="164"/>
        <v>0.81280569096848254</v>
      </c>
      <c r="I252" s="62">
        <f t="shared" si="165"/>
        <v>0.81280569096848254</v>
      </c>
      <c r="J252" s="62">
        <f t="shared" si="166"/>
        <v>0.81280569096848254</v>
      </c>
      <c r="K252" s="62">
        <f t="shared" si="167"/>
        <v>0.81280569096848254</v>
      </c>
      <c r="L252" s="62">
        <f t="shared" si="168"/>
        <v>0.81280569096848254</v>
      </c>
      <c r="M252" s="62">
        <f t="shared" si="169"/>
        <v>0.81280569096848254</v>
      </c>
      <c r="N252" s="62">
        <f t="shared" si="170"/>
        <v>0.81280569096848254</v>
      </c>
      <c r="O252" s="62">
        <f t="shared" si="171"/>
        <v>0.81280569096848254</v>
      </c>
      <c r="P252" s="62">
        <f t="shared" si="172"/>
        <v>0.81280569096848254</v>
      </c>
      <c r="Q252" s="62">
        <f t="shared" si="173"/>
        <v>0.81280569096848254</v>
      </c>
      <c r="R252" s="62">
        <f t="shared" si="174"/>
        <v>0.81280569096848254</v>
      </c>
      <c r="S252" s="62">
        <f t="shared" si="175"/>
        <v>0.81280569096848254</v>
      </c>
      <c r="T252" s="62">
        <f t="shared" si="176"/>
        <v>0.81280569096848254</v>
      </c>
      <c r="U252" s="62">
        <f t="shared" si="177"/>
        <v>0.81280569096848254</v>
      </c>
      <c r="V252" s="62">
        <f t="shared" si="178"/>
        <v>0.81280569096848254</v>
      </c>
      <c r="W252" s="62">
        <f t="shared" si="179"/>
        <v>0.81280569096848254</v>
      </c>
      <c r="X252" s="62">
        <f t="shared" si="180"/>
        <v>0.81280569096848254</v>
      </c>
      <c r="Y252" s="62">
        <f t="shared" si="181"/>
        <v>0.81280569096848254</v>
      </c>
      <c r="Z252" s="62">
        <f t="shared" si="182"/>
        <v>0.81280569096848254</v>
      </c>
      <c r="AA252" s="62">
        <f t="shared" si="183"/>
        <v>0.81280569096848254</v>
      </c>
      <c r="AB252" s="62">
        <f t="shared" si="184"/>
        <v>0.81280569096848254</v>
      </c>
      <c r="AC252" s="62">
        <f t="shared" si="185"/>
        <v>0.81280569096848254</v>
      </c>
    </row>
    <row r="253" spans="1:44" x14ac:dyDescent="0.3">
      <c r="A253" s="30" t="str">
        <f t="shared" si="157"/>
        <v>Fuel Economy</v>
      </c>
      <c r="B253" s="62">
        <f t="shared" si="158"/>
        <v>646.89677603543487</v>
      </c>
      <c r="C253" s="62">
        <f t="shared" si="159"/>
        <v>646.85211887817047</v>
      </c>
      <c r="D253" s="62">
        <f t="shared" si="160"/>
        <v>646.78819315220449</v>
      </c>
      <c r="E253" s="62">
        <f t="shared" si="161"/>
        <v>646.6967429057521</v>
      </c>
      <c r="F253" s="62">
        <f t="shared" si="162"/>
        <v>646.5660403240729</v>
      </c>
      <c r="G253" s="62">
        <f t="shared" si="163"/>
        <v>646.37949949401741</v>
      </c>
      <c r="H253" s="62">
        <f t="shared" si="164"/>
        <v>646.11381958854338</v>
      </c>
      <c r="I253" s="62">
        <f t="shared" si="165"/>
        <v>645.73659220845991</v>
      </c>
      <c r="J253" s="62">
        <f t="shared" si="166"/>
        <v>645.20341755594859</v>
      </c>
      <c r="K253" s="62">
        <f t="shared" si="167"/>
        <v>644.4548499630904</v>
      </c>
      <c r="L253" s="62">
        <f t="shared" si="168"/>
        <v>643.41406927056653</v>
      </c>
      <c r="M253" s="62">
        <f t="shared" si="169"/>
        <v>641.98719787679943</v>
      </c>
      <c r="N253" s="62">
        <f t="shared" si="170"/>
        <v>640.0696356209337</v>
      </c>
      <c r="O253" s="62">
        <f t="shared" si="171"/>
        <v>637.56301130673319</v>
      </c>
      <c r="P253" s="62">
        <f t="shared" si="172"/>
        <v>634.40634165749691</v>
      </c>
      <c r="Q253" s="62">
        <f t="shared" si="173"/>
        <v>630.6184286906298</v>
      </c>
      <c r="R253" s="62">
        <f t="shared" si="174"/>
        <v>626.33515650399931</v>
      </c>
      <c r="S253" s="62">
        <f t="shared" si="175"/>
        <v>621.81332363039712</v>
      </c>
      <c r="T253" s="62">
        <f t="shared" si="176"/>
        <v>617.38047196989623</v>
      </c>
      <c r="U253" s="62">
        <f t="shared" si="177"/>
        <v>613.34515585949862</v>
      </c>
      <c r="V253" s="62">
        <f t="shared" si="178"/>
        <v>609.91571180572532</v>
      </c>
      <c r="W253" s="62">
        <f t="shared" si="179"/>
        <v>607.1693412972852</v>
      </c>
      <c r="X253" s="62">
        <f t="shared" si="180"/>
        <v>605.0737387067237</v>
      </c>
      <c r="Y253" s="62">
        <f t="shared" si="181"/>
        <v>603.53330273509027</v>
      </c>
      <c r="Z253" s="62">
        <f t="shared" si="182"/>
        <v>602.43191330034256</v>
      </c>
      <c r="AA253" s="62">
        <f t="shared" si="183"/>
        <v>601.66000195939125</v>
      </c>
      <c r="AB253" s="62">
        <f t="shared" si="184"/>
        <v>601.12656377741496</v>
      </c>
      <c r="AC253" s="62">
        <f t="shared" si="185"/>
        <v>600.7615054472443</v>
      </c>
    </row>
    <row r="254" spans="1:44" x14ac:dyDescent="0.3">
      <c r="A254" s="30" t="str">
        <f t="shared" si="157"/>
        <v>Fuel Cost</v>
      </c>
      <c r="B254" s="62">
        <f t="shared" si="158"/>
        <v>0.06</v>
      </c>
      <c r="C254" s="62">
        <f t="shared" si="159"/>
        <v>0.06</v>
      </c>
      <c r="D254" s="62">
        <f t="shared" si="160"/>
        <v>0.06</v>
      </c>
      <c r="E254" s="62">
        <f t="shared" si="161"/>
        <v>0.06</v>
      </c>
      <c r="F254" s="62">
        <f t="shared" si="162"/>
        <v>0.06</v>
      </c>
      <c r="G254" s="62">
        <f t="shared" si="163"/>
        <v>0.06</v>
      </c>
      <c r="H254" s="62">
        <f t="shared" si="164"/>
        <v>0.06</v>
      </c>
      <c r="I254" s="62">
        <f t="shared" si="165"/>
        <v>0.06</v>
      </c>
      <c r="J254" s="62">
        <f t="shared" si="166"/>
        <v>0.06</v>
      </c>
      <c r="K254" s="62">
        <f t="shared" si="167"/>
        <v>0.06</v>
      </c>
      <c r="L254" s="62">
        <f t="shared" si="168"/>
        <v>0.06</v>
      </c>
      <c r="M254" s="62">
        <f t="shared" si="169"/>
        <v>0.06</v>
      </c>
      <c r="N254" s="62">
        <f t="shared" si="170"/>
        <v>0.06</v>
      </c>
      <c r="O254" s="62">
        <f t="shared" si="171"/>
        <v>0.06</v>
      </c>
      <c r="P254" s="62">
        <f t="shared" si="172"/>
        <v>0.06</v>
      </c>
      <c r="Q254" s="62">
        <f t="shared" si="173"/>
        <v>0.06</v>
      </c>
      <c r="R254" s="62">
        <f t="shared" si="174"/>
        <v>0.06</v>
      </c>
      <c r="S254" s="62">
        <f t="shared" si="175"/>
        <v>0.06</v>
      </c>
      <c r="T254" s="62">
        <f t="shared" si="176"/>
        <v>0.06</v>
      </c>
      <c r="U254" s="62">
        <f t="shared" si="177"/>
        <v>0.06</v>
      </c>
      <c r="V254" s="62">
        <f t="shared" si="178"/>
        <v>0.06</v>
      </c>
      <c r="W254" s="62">
        <f t="shared" si="179"/>
        <v>0.06</v>
      </c>
      <c r="X254" s="62">
        <f t="shared" si="180"/>
        <v>0.06</v>
      </c>
      <c r="Y254" s="62">
        <f t="shared" si="181"/>
        <v>0.06</v>
      </c>
      <c r="Z254" s="62">
        <f t="shared" si="182"/>
        <v>0.06</v>
      </c>
      <c r="AA254" s="62">
        <f t="shared" si="183"/>
        <v>0.06</v>
      </c>
      <c r="AB254" s="62">
        <f t="shared" si="184"/>
        <v>0.06</v>
      </c>
      <c r="AC254" s="62">
        <f t="shared" si="185"/>
        <v>0.06</v>
      </c>
    </row>
    <row r="255" spans="1:44" x14ac:dyDescent="0.3">
      <c r="A255" s="30" t="str">
        <f t="shared" si="157"/>
        <v>Emission Cost</v>
      </c>
      <c r="B255" s="62">
        <f>$B235+($C235-$B235)*(1-Q235)</f>
        <v>17.334785285869845</v>
      </c>
      <c r="C255" s="62">
        <f t="shared" ref="C255:AC255" si="186">$B235+($C235-$B235)*(1-R235)</f>
        <v>17.371592778833971</v>
      </c>
      <c r="D255" s="62">
        <f t="shared" si="186"/>
        <v>17.424281885191313</v>
      </c>
      <c r="E255" s="62">
        <f t="shared" si="186"/>
        <v>17.499657357099085</v>
      </c>
      <c r="F255" s="62">
        <f t="shared" si="186"/>
        <v>17.607385538878944</v>
      </c>
      <c r="G255" s="62">
        <f t="shared" si="186"/>
        <v>17.761136935304318</v>
      </c>
      <c r="H255" s="62">
        <f t="shared" si="186"/>
        <v>17.980116643160411</v>
      </c>
      <c r="I255" s="62">
        <f t="shared" si="186"/>
        <v>18.291036437183369</v>
      </c>
      <c r="J255" s="62">
        <f t="shared" si="186"/>
        <v>18.730491688550217</v>
      </c>
      <c r="K255" s="62">
        <f t="shared" si="186"/>
        <v>19.347478933039792</v>
      </c>
      <c r="L255" s="62">
        <f t="shared" si="186"/>
        <v>20.2053151761856</v>
      </c>
      <c r="M255" s="62">
        <f t="shared" si="186"/>
        <v>21.381376573820816</v>
      </c>
      <c r="N255" s="62">
        <f t="shared" si="186"/>
        <v>22.961877070598074</v>
      </c>
      <c r="O255" s="62">
        <f t="shared" si="186"/>
        <v>25.027896550126819</v>
      </c>
      <c r="P255" s="62">
        <f t="shared" si="186"/>
        <v>27.629698881977127</v>
      </c>
      <c r="Q255" s="62">
        <f t="shared" si="186"/>
        <v>30.751786995449869</v>
      </c>
      <c r="R255" s="62">
        <f t="shared" si="186"/>
        <v>34.282161979674356</v>
      </c>
      <c r="S255" s="62">
        <f t="shared" si="186"/>
        <v>38.009164365756064</v>
      </c>
      <c r="T255" s="62">
        <f t="shared" si="186"/>
        <v>41.662826316042121</v>
      </c>
      <c r="U255" s="62">
        <f t="shared" si="186"/>
        <v>44.988829994737316</v>
      </c>
      <c r="V255" s="62">
        <f t="shared" si="186"/>
        <v>47.815459489596307</v>
      </c>
      <c r="W255" s="62">
        <f t="shared" si="186"/>
        <v>50.07908349431699</v>
      </c>
      <c r="X255" s="62">
        <f t="shared" si="186"/>
        <v>51.806329076721653</v>
      </c>
      <c r="Y255" s="62">
        <f t="shared" si="186"/>
        <v>53.075993105085033</v>
      </c>
      <c r="Z255" s="62">
        <f t="shared" si="186"/>
        <v>53.98378451756151</v>
      </c>
      <c r="AA255" s="62">
        <f t="shared" si="186"/>
        <v>54.620012235388991</v>
      </c>
      <c r="AB255" s="62">
        <f t="shared" si="186"/>
        <v>55.059684694019481</v>
      </c>
      <c r="AC255" s="62">
        <f t="shared" si="186"/>
        <v>55.360574467179326</v>
      </c>
    </row>
    <row r="256" spans="1:44" x14ac:dyDescent="0.3">
      <c r="A256" s="30" t="str">
        <f t="shared" si="157"/>
        <v>Lifetime vehicle</v>
      </c>
      <c r="B256" s="62">
        <f>$B236+($C236-$B236)*(1-Q236)</f>
        <v>25</v>
      </c>
      <c r="C256" s="62">
        <f t="shared" ref="C256:L258" si="187">$B236+($C236-$B236)*(1-R236)</f>
        <v>25</v>
      </c>
      <c r="D256" s="62">
        <f t="shared" si="187"/>
        <v>25</v>
      </c>
      <c r="E256" s="62">
        <f t="shared" si="187"/>
        <v>25</v>
      </c>
      <c r="F256" s="62">
        <f t="shared" si="187"/>
        <v>25</v>
      </c>
      <c r="G256" s="62">
        <f t="shared" si="187"/>
        <v>25</v>
      </c>
      <c r="H256" s="62">
        <f t="shared" si="187"/>
        <v>25</v>
      </c>
      <c r="I256" s="62">
        <f t="shared" si="187"/>
        <v>25</v>
      </c>
      <c r="J256" s="62">
        <f t="shared" si="187"/>
        <v>25</v>
      </c>
      <c r="K256" s="62">
        <f t="shared" si="187"/>
        <v>25</v>
      </c>
      <c r="L256" s="62">
        <f t="shared" si="187"/>
        <v>25</v>
      </c>
      <c r="M256" s="62">
        <f t="shared" ref="M256:V258" si="188">$B236+($C236-$B236)*(1-AB236)</f>
        <v>25</v>
      </c>
      <c r="N256" s="62">
        <f t="shared" si="188"/>
        <v>25</v>
      </c>
      <c r="O256" s="62">
        <f t="shared" si="188"/>
        <v>25</v>
      </c>
      <c r="P256" s="62">
        <f t="shared" si="188"/>
        <v>25</v>
      </c>
      <c r="Q256" s="62">
        <f t="shared" si="188"/>
        <v>25</v>
      </c>
      <c r="R256" s="62">
        <f t="shared" si="188"/>
        <v>25</v>
      </c>
      <c r="S256" s="62">
        <f t="shared" si="188"/>
        <v>25</v>
      </c>
      <c r="T256" s="62">
        <f t="shared" si="188"/>
        <v>25</v>
      </c>
      <c r="U256" s="62">
        <f t="shared" si="188"/>
        <v>25</v>
      </c>
      <c r="V256" s="62">
        <f t="shared" si="188"/>
        <v>25</v>
      </c>
      <c r="W256" s="62">
        <f t="shared" ref="W256:AC258" si="189">$B236+($C236-$B236)*(1-AL236)</f>
        <v>25</v>
      </c>
      <c r="X256" s="62">
        <f t="shared" si="189"/>
        <v>25</v>
      </c>
      <c r="Y256" s="62">
        <f t="shared" si="189"/>
        <v>25</v>
      </c>
      <c r="Z256" s="62">
        <f t="shared" si="189"/>
        <v>25</v>
      </c>
      <c r="AA256" s="62">
        <f t="shared" si="189"/>
        <v>25</v>
      </c>
      <c r="AB256" s="62">
        <f t="shared" si="189"/>
        <v>25</v>
      </c>
      <c r="AC256" s="62">
        <f t="shared" si="189"/>
        <v>25</v>
      </c>
    </row>
    <row r="257" spans="1:29" x14ac:dyDescent="0.3">
      <c r="A257" s="30" t="str">
        <f t="shared" si="157"/>
        <v>Lifetime costumization</v>
      </c>
      <c r="B257" s="62">
        <f>$B237+($C237-$B237)*(1-Q237)</f>
        <v>25</v>
      </c>
      <c r="C257" s="62">
        <f t="shared" si="187"/>
        <v>25</v>
      </c>
      <c r="D257" s="62">
        <f t="shared" si="187"/>
        <v>25</v>
      </c>
      <c r="E257" s="62">
        <f t="shared" si="187"/>
        <v>25</v>
      </c>
      <c r="F257" s="62">
        <f t="shared" si="187"/>
        <v>25</v>
      </c>
      <c r="G257" s="62">
        <f t="shared" si="187"/>
        <v>25</v>
      </c>
      <c r="H257" s="62">
        <f t="shared" si="187"/>
        <v>25</v>
      </c>
      <c r="I257" s="62">
        <f t="shared" si="187"/>
        <v>25</v>
      </c>
      <c r="J257" s="62">
        <f t="shared" si="187"/>
        <v>25</v>
      </c>
      <c r="K257" s="62">
        <f t="shared" si="187"/>
        <v>25</v>
      </c>
      <c r="L257" s="62">
        <f t="shared" si="187"/>
        <v>25</v>
      </c>
      <c r="M257" s="62">
        <f t="shared" si="188"/>
        <v>25</v>
      </c>
      <c r="N257" s="62">
        <f t="shared" si="188"/>
        <v>25</v>
      </c>
      <c r="O257" s="62">
        <f t="shared" si="188"/>
        <v>25</v>
      </c>
      <c r="P257" s="62">
        <f t="shared" si="188"/>
        <v>25</v>
      </c>
      <c r="Q257" s="62">
        <f t="shared" si="188"/>
        <v>25</v>
      </c>
      <c r="R257" s="62">
        <f t="shared" si="188"/>
        <v>25</v>
      </c>
      <c r="S257" s="62">
        <f t="shared" si="188"/>
        <v>25</v>
      </c>
      <c r="T257" s="62">
        <f t="shared" si="188"/>
        <v>25</v>
      </c>
      <c r="U257" s="62">
        <f t="shared" si="188"/>
        <v>25</v>
      </c>
      <c r="V257" s="62">
        <f t="shared" si="188"/>
        <v>25</v>
      </c>
      <c r="W257" s="62">
        <f t="shared" si="189"/>
        <v>25</v>
      </c>
      <c r="X257" s="62">
        <f t="shared" si="189"/>
        <v>25</v>
      </c>
      <c r="Y257" s="62">
        <f t="shared" si="189"/>
        <v>25</v>
      </c>
      <c r="Z257" s="62">
        <f t="shared" si="189"/>
        <v>25</v>
      </c>
      <c r="AA257" s="62">
        <f t="shared" si="189"/>
        <v>25</v>
      </c>
      <c r="AB257" s="62">
        <f t="shared" si="189"/>
        <v>25</v>
      </c>
      <c r="AC257" s="62">
        <f t="shared" si="189"/>
        <v>25</v>
      </c>
    </row>
    <row r="258" spans="1:29" x14ac:dyDescent="0.3">
      <c r="A258" s="30" t="str">
        <f t="shared" si="157"/>
        <v>Tonnage .</v>
      </c>
      <c r="B258" s="62">
        <f>$B238+($C238-$B238)*(1-Q238)</f>
        <v>9450</v>
      </c>
      <c r="C258" s="62">
        <f t="shared" si="187"/>
        <v>9450</v>
      </c>
      <c r="D258" s="62">
        <f t="shared" si="187"/>
        <v>9450</v>
      </c>
      <c r="E258" s="62">
        <f t="shared" si="187"/>
        <v>9450</v>
      </c>
      <c r="F258" s="62">
        <f t="shared" si="187"/>
        <v>9450</v>
      </c>
      <c r="G258" s="62">
        <f t="shared" si="187"/>
        <v>9450</v>
      </c>
      <c r="H258" s="62">
        <f t="shared" si="187"/>
        <v>9450</v>
      </c>
      <c r="I258" s="62">
        <f t="shared" si="187"/>
        <v>9450</v>
      </c>
      <c r="J258" s="62">
        <f t="shared" si="187"/>
        <v>9450</v>
      </c>
      <c r="K258" s="62">
        <f t="shared" si="187"/>
        <v>9450</v>
      </c>
      <c r="L258" s="62">
        <f t="shared" si="187"/>
        <v>9450</v>
      </c>
      <c r="M258" s="62">
        <f t="shared" si="188"/>
        <v>9450</v>
      </c>
      <c r="N258" s="62">
        <f t="shared" si="188"/>
        <v>9450</v>
      </c>
      <c r="O258" s="62">
        <f t="shared" si="188"/>
        <v>9450</v>
      </c>
      <c r="P258" s="62">
        <f t="shared" si="188"/>
        <v>9450</v>
      </c>
      <c r="Q258" s="62">
        <f t="shared" si="188"/>
        <v>9450</v>
      </c>
      <c r="R258" s="62">
        <f t="shared" si="188"/>
        <v>9450</v>
      </c>
      <c r="S258" s="62">
        <f t="shared" si="188"/>
        <v>9450</v>
      </c>
      <c r="T258" s="62">
        <f t="shared" si="188"/>
        <v>9450</v>
      </c>
      <c r="U258" s="62">
        <f t="shared" si="188"/>
        <v>9450</v>
      </c>
      <c r="V258" s="62">
        <f t="shared" si="188"/>
        <v>9450</v>
      </c>
      <c r="W258" s="62">
        <f t="shared" si="189"/>
        <v>9450</v>
      </c>
      <c r="X258" s="62">
        <f t="shared" si="189"/>
        <v>9450</v>
      </c>
      <c r="Y258" s="62">
        <f t="shared" si="189"/>
        <v>9450</v>
      </c>
      <c r="Z258" s="62">
        <f t="shared" si="189"/>
        <v>9450</v>
      </c>
      <c r="AA258" s="62">
        <f t="shared" si="189"/>
        <v>9450</v>
      </c>
      <c r="AB258" s="62">
        <f t="shared" si="189"/>
        <v>9450</v>
      </c>
      <c r="AC258" s="62">
        <f t="shared" si="189"/>
        <v>9450</v>
      </c>
    </row>
    <row r="259" spans="1:29" x14ac:dyDescent="0.3">
      <c r="A259" s="30" t="str">
        <f t="shared" si="157"/>
        <v>Market failure (av. utilization)</v>
      </c>
      <c r="B259" s="62">
        <f t="shared" ref="B259:K260" si="190">($B239+($C239-$B239)*(1-Q239))*B$44</f>
        <v>3685.5</v>
      </c>
      <c r="C259" s="62">
        <f t="shared" si="190"/>
        <v>3685.5</v>
      </c>
      <c r="D259" s="62">
        <f t="shared" si="190"/>
        <v>3685.5</v>
      </c>
      <c r="E259" s="62">
        <f t="shared" si="190"/>
        <v>3685.5</v>
      </c>
      <c r="F259" s="62">
        <f t="shared" si="190"/>
        <v>3685.5</v>
      </c>
      <c r="G259" s="62">
        <f t="shared" si="190"/>
        <v>3685.5</v>
      </c>
      <c r="H259" s="62">
        <f t="shared" si="190"/>
        <v>3685.5</v>
      </c>
      <c r="I259" s="62">
        <f t="shared" si="190"/>
        <v>3685.5</v>
      </c>
      <c r="J259" s="62">
        <f t="shared" si="190"/>
        <v>3685.5</v>
      </c>
      <c r="K259" s="62">
        <f t="shared" si="190"/>
        <v>3685.5</v>
      </c>
      <c r="L259" s="62">
        <f t="shared" ref="L259:U260" si="191">($B239+($C239-$B239)*(1-AA239))*L$44</f>
        <v>3685.5</v>
      </c>
      <c r="M259" s="62">
        <f t="shared" si="191"/>
        <v>3685.5</v>
      </c>
      <c r="N259" s="62">
        <f t="shared" si="191"/>
        <v>3685.5</v>
      </c>
      <c r="O259" s="62">
        <f t="shared" si="191"/>
        <v>3685.5</v>
      </c>
      <c r="P259" s="62">
        <f t="shared" si="191"/>
        <v>3685.5</v>
      </c>
      <c r="Q259" s="62">
        <f t="shared" si="191"/>
        <v>3685.5</v>
      </c>
      <c r="R259" s="62">
        <f t="shared" si="191"/>
        <v>3685.5</v>
      </c>
      <c r="S259" s="62">
        <f t="shared" si="191"/>
        <v>3685.5</v>
      </c>
      <c r="T259" s="62">
        <f t="shared" si="191"/>
        <v>3685.5</v>
      </c>
      <c r="U259" s="62">
        <f t="shared" si="191"/>
        <v>3685.5</v>
      </c>
      <c r="V259" s="62">
        <f t="shared" ref="V259:AC260" si="192">($B239+($C239-$B239)*(1-AK239))*V$44</f>
        <v>3685.5</v>
      </c>
      <c r="W259" s="62">
        <f t="shared" si="192"/>
        <v>3685.5</v>
      </c>
      <c r="X259" s="62">
        <f t="shared" si="192"/>
        <v>3685.5</v>
      </c>
      <c r="Y259" s="62">
        <f t="shared" si="192"/>
        <v>3685.5</v>
      </c>
      <c r="Z259" s="62">
        <f t="shared" si="192"/>
        <v>3685.5</v>
      </c>
      <c r="AA259" s="62">
        <f t="shared" si="192"/>
        <v>3685.5</v>
      </c>
      <c r="AB259" s="62">
        <f t="shared" si="192"/>
        <v>3685.5</v>
      </c>
      <c r="AC259" s="62">
        <f t="shared" si="192"/>
        <v>3685.5</v>
      </c>
    </row>
    <row r="260" spans="1:29" x14ac:dyDescent="0.3">
      <c r="A260" s="30" t="s">
        <v>73</v>
      </c>
      <c r="B260" s="62">
        <f t="shared" si="190"/>
        <v>0</v>
      </c>
      <c r="C260" s="62">
        <f t="shared" si="190"/>
        <v>0</v>
      </c>
      <c r="D260" s="62">
        <f t="shared" si="190"/>
        <v>0</v>
      </c>
      <c r="E260" s="62">
        <f t="shared" si="190"/>
        <v>0</v>
      </c>
      <c r="F260" s="62">
        <f t="shared" si="190"/>
        <v>0</v>
      </c>
      <c r="G260" s="62">
        <f t="shared" si="190"/>
        <v>0</v>
      </c>
      <c r="H260" s="62">
        <f t="shared" si="190"/>
        <v>0</v>
      </c>
      <c r="I260" s="62">
        <f t="shared" si="190"/>
        <v>0</v>
      </c>
      <c r="J260" s="62">
        <f t="shared" si="190"/>
        <v>0</v>
      </c>
      <c r="K260" s="62">
        <f t="shared" si="190"/>
        <v>0</v>
      </c>
      <c r="L260" s="62">
        <f t="shared" si="191"/>
        <v>0</v>
      </c>
      <c r="M260" s="62">
        <f t="shared" si="191"/>
        <v>0</v>
      </c>
      <c r="N260" s="62">
        <f t="shared" si="191"/>
        <v>0</v>
      </c>
      <c r="O260" s="62">
        <f t="shared" si="191"/>
        <v>0</v>
      </c>
      <c r="P260" s="62">
        <f t="shared" si="191"/>
        <v>0</v>
      </c>
      <c r="Q260" s="62">
        <f t="shared" si="191"/>
        <v>0</v>
      </c>
      <c r="R260" s="62">
        <f t="shared" si="191"/>
        <v>0</v>
      </c>
      <c r="S260" s="62">
        <f t="shared" si="191"/>
        <v>0</v>
      </c>
      <c r="T260" s="62">
        <f t="shared" si="191"/>
        <v>0</v>
      </c>
      <c r="U260" s="62">
        <f t="shared" si="191"/>
        <v>0</v>
      </c>
      <c r="V260" s="62">
        <f t="shared" si="192"/>
        <v>0</v>
      </c>
      <c r="W260" s="62">
        <f t="shared" si="192"/>
        <v>0</v>
      </c>
      <c r="X260" s="62">
        <f t="shared" si="192"/>
        <v>0</v>
      </c>
      <c r="Y260" s="62">
        <f t="shared" si="192"/>
        <v>0</v>
      </c>
      <c r="Z260" s="62">
        <f t="shared" si="192"/>
        <v>0</v>
      </c>
      <c r="AA260" s="62">
        <f t="shared" si="192"/>
        <v>0</v>
      </c>
      <c r="AB260" s="62">
        <f t="shared" si="192"/>
        <v>0</v>
      </c>
      <c r="AC260" s="62">
        <f t="shared" si="192"/>
        <v>0</v>
      </c>
    </row>
    <row r="261" spans="1:29" x14ac:dyDescent="0.3">
      <c r="A261" s="30" t="str">
        <f>A241</f>
        <v>Annual Mileage</v>
      </c>
      <c r="B261" s="62">
        <f t="shared" ref="B261:AC261" si="193">$B241+($C241-$B241)*(1-Q241)</f>
        <v>120000</v>
      </c>
      <c r="C261" s="62">
        <f t="shared" si="193"/>
        <v>120000</v>
      </c>
      <c r="D261" s="62">
        <f t="shared" si="193"/>
        <v>120000</v>
      </c>
      <c r="E261" s="62">
        <f t="shared" si="193"/>
        <v>120000</v>
      </c>
      <c r="F261" s="62">
        <f t="shared" si="193"/>
        <v>120000</v>
      </c>
      <c r="G261" s="62">
        <f t="shared" si="193"/>
        <v>120000</v>
      </c>
      <c r="H261" s="62">
        <f t="shared" si="193"/>
        <v>120000</v>
      </c>
      <c r="I261" s="62">
        <f t="shared" si="193"/>
        <v>120000</v>
      </c>
      <c r="J261" s="62">
        <f t="shared" si="193"/>
        <v>120000</v>
      </c>
      <c r="K261" s="62">
        <f t="shared" si="193"/>
        <v>120000</v>
      </c>
      <c r="L261" s="62">
        <f t="shared" si="193"/>
        <v>120000</v>
      </c>
      <c r="M261" s="62">
        <f t="shared" si="193"/>
        <v>120000</v>
      </c>
      <c r="N261" s="62">
        <f t="shared" si="193"/>
        <v>120000</v>
      </c>
      <c r="O261" s="62">
        <f t="shared" si="193"/>
        <v>120000</v>
      </c>
      <c r="P261" s="62">
        <f t="shared" si="193"/>
        <v>120000</v>
      </c>
      <c r="Q261" s="62">
        <f t="shared" si="193"/>
        <v>120000</v>
      </c>
      <c r="R261" s="62">
        <f t="shared" si="193"/>
        <v>120000</v>
      </c>
      <c r="S261" s="62">
        <f t="shared" si="193"/>
        <v>120000</v>
      </c>
      <c r="T261" s="62">
        <f t="shared" si="193"/>
        <v>120000</v>
      </c>
      <c r="U261" s="62">
        <f t="shared" si="193"/>
        <v>120000</v>
      </c>
      <c r="V261" s="62">
        <f t="shared" si="193"/>
        <v>120000</v>
      </c>
      <c r="W261" s="62">
        <f t="shared" si="193"/>
        <v>120000</v>
      </c>
      <c r="X261" s="62">
        <f t="shared" si="193"/>
        <v>120000</v>
      </c>
      <c r="Y261" s="62">
        <f t="shared" si="193"/>
        <v>120000</v>
      </c>
      <c r="Z261" s="62">
        <f t="shared" si="193"/>
        <v>120000</v>
      </c>
      <c r="AA261" s="62">
        <f t="shared" si="193"/>
        <v>120000</v>
      </c>
      <c r="AB261" s="62">
        <f t="shared" si="193"/>
        <v>120000</v>
      </c>
      <c r="AC261" s="62">
        <f t="shared" si="193"/>
        <v>120000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1173400.7731841092</v>
      </c>
      <c r="C264" s="63">
        <f t="shared" ref="C264:AC264" si="194">((1+C249)^C256)*C249/(((1+C249)^C256)-1)*(C245)</f>
        <v>1173400.7731841092</v>
      </c>
      <c r="D264" s="63">
        <f t="shared" si="194"/>
        <v>1173400.7731841092</v>
      </c>
      <c r="E264" s="63">
        <f t="shared" si="194"/>
        <v>1173400.7731841092</v>
      </c>
      <c r="F264" s="63">
        <f t="shared" si="194"/>
        <v>1173400.7731841092</v>
      </c>
      <c r="G264" s="63">
        <f t="shared" si="194"/>
        <v>1173400.7731841092</v>
      </c>
      <c r="H264" s="63">
        <f t="shared" si="194"/>
        <v>1173400.7731841092</v>
      </c>
      <c r="I264" s="63">
        <f t="shared" si="194"/>
        <v>1173400.7731841092</v>
      </c>
      <c r="J264" s="63">
        <f t="shared" si="194"/>
        <v>1173400.7731841092</v>
      </c>
      <c r="K264" s="63">
        <f t="shared" si="194"/>
        <v>1173400.7731841092</v>
      </c>
      <c r="L264" s="63">
        <f t="shared" si="194"/>
        <v>1173400.7731841092</v>
      </c>
      <c r="M264" s="63">
        <f t="shared" si="194"/>
        <v>1173400.7731841092</v>
      </c>
      <c r="N264" s="63">
        <f t="shared" si="194"/>
        <v>1173400.7731841092</v>
      </c>
      <c r="O264" s="63">
        <f t="shared" si="194"/>
        <v>1173400.7731841092</v>
      </c>
      <c r="P264" s="63">
        <f t="shared" si="194"/>
        <v>1173400.7731841092</v>
      </c>
      <c r="Q264" s="63">
        <f t="shared" si="194"/>
        <v>1173400.7731841092</v>
      </c>
      <c r="R264" s="63">
        <f t="shared" si="194"/>
        <v>1173400.7731841092</v>
      </c>
      <c r="S264" s="63">
        <f t="shared" si="194"/>
        <v>1173400.7731841092</v>
      </c>
      <c r="T264" s="63">
        <f t="shared" si="194"/>
        <v>1173400.7731841092</v>
      </c>
      <c r="U264" s="63">
        <f t="shared" si="194"/>
        <v>1173400.7731841092</v>
      </c>
      <c r="V264" s="63">
        <f t="shared" si="194"/>
        <v>1173400.7731841092</v>
      </c>
      <c r="W264" s="63">
        <f t="shared" si="194"/>
        <v>1173400.7731841092</v>
      </c>
      <c r="X264" s="63">
        <f t="shared" si="194"/>
        <v>1173400.7731841092</v>
      </c>
      <c r="Y264" s="63">
        <f t="shared" si="194"/>
        <v>1173400.7731841092</v>
      </c>
      <c r="Z264" s="63">
        <f t="shared" si="194"/>
        <v>1173400.7731841092</v>
      </c>
      <c r="AA264" s="63">
        <f t="shared" si="194"/>
        <v>1173400.7731841092</v>
      </c>
      <c r="AB264" s="63">
        <f t="shared" si="194"/>
        <v>1173400.7731841092</v>
      </c>
      <c r="AC264" s="63">
        <f t="shared" si="194"/>
        <v>1173400.7731841092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-117211.22297816433</v>
      </c>
      <c r="C265" s="62">
        <f t="shared" ref="C265:AC265" si="195">((1+C249)^C256)*C249/(((1+C249)^C256)-1)*(C246)</f>
        <v>-117155.47750703427</v>
      </c>
      <c r="D265" s="62">
        <f t="shared" si="195"/>
        <v>-117075.67910674184</v>
      </c>
      <c r="E265" s="62">
        <f t="shared" si="195"/>
        <v>-116961.52188344915</v>
      </c>
      <c r="F265" s="62">
        <f t="shared" si="195"/>
        <v>-116798.36602132194</v>
      </c>
      <c r="G265" s="62">
        <f t="shared" si="195"/>
        <v>-116565.50734662244</v>
      </c>
      <c r="H265" s="62">
        <f t="shared" si="195"/>
        <v>-116233.85946736432</v>
      </c>
      <c r="I265" s="62">
        <f t="shared" si="195"/>
        <v>-115762.96702113429</v>
      </c>
      <c r="J265" s="62">
        <f t="shared" si="195"/>
        <v>-115097.40579826315</v>
      </c>
      <c r="K265" s="62">
        <f t="shared" si="195"/>
        <v>-114162.96984907117</v>
      </c>
      <c r="L265" s="62">
        <f t="shared" si="195"/>
        <v>-112863.76466894078</v>
      </c>
      <c r="M265" s="62">
        <f t="shared" si="195"/>
        <v>-111082.60297034449</v>
      </c>
      <c r="N265" s="62">
        <f t="shared" si="195"/>
        <v>-108688.91250900239</v>
      </c>
      <c r="O265" s="62">
        <f t="shared" si="195"/>
        <v>-105559.89664903973</v>
      </c>
      <c r="P265" s="62">
        <f t="shared" si="195"/>
        <v>-101619.43004574107</v>
      </c>
      <c r="Q265" s="62">
        <f t="shared" si="195"/>
        <v>-96890.983232894243</v>
      </c>
      <c r="R265" s="62">
        <f t="shared" si="195"/>
        <v>-91544.180152521745</v>
      </c>
      <c r="S265" s="62">
        <f t="shared" si="195"/>
        <v>-85899.582077953528</v>
      </c>
      <c r="T265" s="62">
        <f t="shared" si="195"/>
        <v>-80366.059135568226</v>
      </c>
      <c r="U265" s="62">
        <f t="shared" si="195"/>
        <v>-75328.779301543953</v>
      </c>
      <c r="V265" s="62">
        <f t="shared" si="195"/>
        <v>-71047.808765066002</v>
      </c>
      <c r="W265" s="62">
        <f t="shared" si="195"/>
        <v>-67619.518043732241</v>
      </c>
      <c r="X265" s="62">
        <f t="shared" si="195"/>
        <v>-65003.580064954105</v>
      </c>
      <c r="Y265" s="62">
        <f t="shared" si="195"/>
        <v>-63080.655852023017</v>
      </c>
      <c r="Z265" s="62">
        <f t="shared" si="195"/>
        <v>-61705.792858076449</v>
      </c>
      <c r="AA265" s="62">
        <f t="shared" si="195"/>
        <v>-60742.216938606354</v>
      </c>
      <c r="AB265" s="62">
        <f t="shared" si="195"/>
        <v>-60076.3267522479</v>
      </c>
      <c r="AC265" s="62">
        <f t="shared" si="195"/>
        <v>-59620.624915142049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196">((1+C249)^C257)*C249/(((1+C249)^C257)-1)*(C247)</f>
        <v>78226.718212273947</v>
      </c>
      <c r="D266" s="62">
        <f t="shared" si="196"/>
        <v>78226.718212273947</v>
      </c>
      <c r="E266" s="62">
        <f t="shared" si="196"/>
        <v>78226.718212273947</v>
      </c>
      <c r="F266" s="62">
        <f t="shared" si="196"/>
        <v>78226.718212273947</v>
      </c>
      <c r="G266" s="62">
        <f t="shared" si="196"/>
        <v>78226.718212273947</v>
      </c>
      <c r="H266" s="62">
        <f t="shared" si="196"/>
        <v>78226.718212273947</v>
      </c>
      <c r="I266" s="62">
        <f t="shared" si="196"/>
        <v>78226.718212273947</v>
      </c>
      <c r="J266" s="62">
        <f t="shared" si="196"/>
        <v>78226.718212273947</v>
      </c>
      <c r="K266" s="62">
        <f t="shared" si="196"/>
        <v>78226.718212273947</v>
      </c>
      <c r="L266" s="62">
        <f t="shared" si="196"/>
        <v>78226.718212273947</v>
      </c>
      <c r="M266" s="62">
        <f t="shared" si="196"/>
        <v>78226.718212273947</v>
      </c>
      <c r="N266" s="62">
        <f t="shared" si="196"/>
        <v>78226.718212273947</v>
      </c>
      <c r="O266" s="62">
        <f t="shared" si="196"/>
        <v>78226.718212273947</v>
      </c>
      <c r="P266" s="62">
        <f t="shared" si="196"/>
        <v>78226.718212273947</v>
      </c>
      <c r="Q266" s="62">
        <f t="shared" si="196"/>
        <v>78226.718212273947</v>
      </c>
      <c r="R266" s="62">
        <f t="shared" si="196"/>
        <v>78226.718212273947</v>
      </c>
      <c r="S266" s="62">
        <f t="shared" si="196"/>
        <v>78226.718212273947</v>
      </c>
      <c r="T266" s="62">
        <f t="shared" si="196"/>
        <v>78226.718212273947</v>
      </c>
      <c r="U266" s="62">
        <f t="shared" si="196"/>
        <v>78226.718212273947</v>
      </c>
      <c r="V266" s="62">
        <f t="shared" si="196"/>
        <v>78226.718212273947</v>
      </c>
      <c r="W266" s="62">
        <f t="shared" si="196"/>
        <v>78226.718212273947</v>
      </c>
      <c r="X266" s="62">
        <f t="shared" si="196"/>
        <v>78226.718212273947</v>
      </c>
      <c r="Y266" s="62">
        <f t="shared" si="196"/>
        <v>78226.718212273947</v>
      </c>
      <c r="Z266" s="62">
        <f t="shared" si="196"/>
        <v>78226.718212273947</v>
      </c>
      <c r="AA266" s="62">
        <f t="shared" si="196"/>
        <v>78226.718212273947</v>
      </c>
      <c r="AB266" s="62">
        <f t="shared" si="196"/>
        <v>78226.718212273947</v>
      </c>
      <c r="AC266" s="62">
        <f t="shared" si="196"/>
        <v>78226.718212273947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197">((1+C249)^C257)*C249/(((1+C249)^C257)-1)*(C248)</f>
        <v>-7822.6718212273945</v>
      </c>
      <c r="D267" s="62">
        <f t="shared" si="197"/>
        <v>-7822.6718212273945</v>
      </c>
      <c r="E267" s="62">
        <f t="shared" si="197"/>
        <v>-7822.6718212273945</v>
      </c>
      <c r="F267" s="62">
        <f t="shared" si="197"/>
        <v>-7822.6718212273945</v>
      </c>
      <c r="G267" s="62">
        <f t="shared" si="197"/>
        <v>-7822.6718212273945</v>
      </c>
      <c r="H267" s="62">
        <f t="shared" si="197"/>
        <v>-7822.6718212273945</v>
      </c>
      <c r="I267" s="62">
        <f t="shared" si="197"/>
        <v>-7822.6718212273945</v>
      </c>
      <c r="J267" s="62">
        <f t="shared" si="197"/>
        <v>-7822.6718212273945</v>
      </c>
      <c r="K267" s="62">
        <f t="shared" si="197"/>
        <v>-7822.6718212273945</v>
      </c>
      <c r="L267" s="62">
        <f t="shared" si="197"/>
        <v>-7822.6718212273945</v>
      </c>
      <c r="M267" s="62">
        <f t="shared" si="197"/>
        <v>-7822.6718212273945</v>
      </c>
      <c r="N267" s="62">
        <f t="shared" si="197"/>
        <v>-7822.6718212273945</v>
      </c>
      <c r="O267" s="62">
        <f t="shared" si="197"/>
        <v>-7822.6718212273945</v>
      </c>
      <c r="P267" s="62">
        <f t="shared" si="197"/>
        <v>-7822.6718212273945</v>
      </c>
      <c r="Q267" s="62">
        <f t="shared" si="197"/>
        <v>-7822.6718212273945</v>
      </c>
      <c r="R267" s="62">
        <f t="shared" si="197"/>
        <v>-7822.6718212273945</v>
      </c>
      <c r="S267" s="62">
        <f t="shared" si="197"/>
        <v>-7822.6718212273945</v>
      </c>
      <c r="T267" s="62">
        <f t="shared" si="197"/>
        <v>-7822.6718212273945</v>
      </c>
      <c r="U267" s="62">
        <f t="shared" si="197"/>
        <v>-7822.6718212273945</v>
      </c>
      <c r="V267" s="62">
        <f t="shared" si="197"/>
        <v>-7822.6718212273945</v>
      </c>
      <c r="W267" s="62">
        <f t="shared" si="197"/>
        <v>-7822.6718212273945</v>
      </c>
      <c r="X267" s="62">
        <f t="shared" si="197"/>
        <v>-7822.6718212273945</v>
      </c>
      <c r="Y267" s="62">
        <f t="shared" si="197"/>
        <v>-7822.6718212273945</v>
      </c>
      <c r="Z267" s="62">
        <f t="shared" si="197"/>
        <v>-7822.6718212273945</v>
      </c>
      <c r="AA267" s="62">
        <f t="shared" si="197"/>
        <v>-7822.6718212273945</v>
      </c>
      <c r="AB267" s="62">
        <f t="shared" si="197"/>
        <v>-7822.6718212273945</v>
      </c>
      <c r="AC267" s="62">
        <f t="shared" si="197"/>
        <v>-7822.6718212273945</v>
      </c>
    </row>
    <row r="268" spans="1:29" x14ac:dyDescent="0.3">
      <c r="A268" s="30" t="str">
        <f t="shared" ref="A268:AC268" si="198">A250</f>
        <v>Opex fix (admin, crew, insurance)</v>
      </c>
      <c r="B268" s="62">
        <f t="shared" si="198"/>
        <v>1208235.294117647</v>
      </c>
      <c r="C268" s="62">
        <f t="shared" si="198"/>
        <v>1208235.294117647</v>
      </c>
      <c r="D268" s="62">
        <f t="shared" si="198"/>
        <v>1208235.294117647</v>
      </c>
      <c r="E268" s="62">
        <f t="shared" si="198"/>
        <v>1208235.294117647</v>
      </c>
      <c r="F268" s="62">
        <f t="shared" si="198"/>
        <v>1208235.294117647</v>
      </c>
      <c r="G268" s="62">
        <f t="shared" si="198"/>
        <v>1208235.294117647</v>
      </c>
      <c r="H268" s="62">
        <f t="shared" si="198"/>
        <v>1208235.294117647</v>
      </c>
      <c r="I268" s="62">
        <f t="shared" si="198"/>
        <v>1208235.294117647</v>
      </c>
      <c r="J268" s="62">
        <f t="shared" si="198"/>
        <v>1208235.294117647</v>
      </c>
      <c r="K268" s="62">
        <f t="shared" si="198"/>
        <v>1208235.294117647</v>
      </c>
      <c r="L268" s="62">
        <f t="shared" si="198"/>
        <v>1208235.294117647</v>
      </c>
      <c r="M268" s="62">
        <f t="shared" si="198"/>
        <v>1208235.294117647</v>
      </c>
      <c r="N268" s="62">
        <f t="shared" si="198"/>
        <v>1208235.294117647</v>
      </c>
      <c r="O268" s="62">
        <f t="shared" si="198"/>
        <v>1208235.294117647</v>
      </c>
      <c r="P268" s="62">
        <f t="shared" si="198"/>
        <v>1208235.294117647</v>
      </c>
      <c r="Q268" s="62">
        <f t="shared" si="198"/>
        <v>1208235.294117647</v>
      </c>
      <c r="R268" s="62">
        <f t="shared" si="198"/>
        <v>1208235.294117647</v>
      </c>
      <c r="S268" s="62">
        <f t="shared" si="198"/>
        <v>1208235.294117647</v>
      </c>
      <c r="T268" s="62">
        <f t="shared" si="198"/>
        <v>1208235.294117647</v>
      </c>
      <c r="U268" s="62">
        <f t="shared" si="198"/>
        <v>1208235.294117647</v>
      </c>
      <c r="V268" s="62">
        <f t="shared" si="198"/>
        <v>1208235.294117647</v>
      </c>
      <c r="W268" s="62">
        <f t="shared" si="198"/>
        <v>1208235.294117647</v>
      </c>
      <c r="X268" s="62">
        <f t="shared" si="198"/>
        <v>1208235.294117647</v>
      </c>
      <c r="Y268" s="62">
        <f t="shared" si="198"/>
        <v>1208235.294117647</v>
      </c>
      <c r="Z268" s="62">
        <f t="shared" si="198"/>
        <v>1208235.294117647</v>
      </c>
      <c r="AA268" s="62">
        <f t="shared" si="198"/>
        <v>1208235.294117647</v>
      </c>
      <c r="AB268" s="62">
        <f t="shared" si="198"/>
        <v>1208235.294117647</v>
      </c>
      <c r="AC268" s="62">
        <f t="shared" si="198"/>
        <v>1208235.294117647</v>
      </c>
    </row>
    <row r="269" spans="1:29" x14ac:dyDescent="0.3">
      <c r="A269" s="30" t="str">
        <f t="shared" ref="A269:AC269" si="199">A251</f>
        <v>Opex maintenance &amp; repair</v>
      </c>
      <c r="B269" s="62">
        <f t="shared" si="199"/>
        <v>488235.29411764705</v>
      </c>
      <c r="C269" s="62">
        <f t="shared" si="199"/>
        <v>488235.29411764705</v>
      </c>
      <c r="D269" s="62">
        <f t="shared" si="199"/>
        <v>488235.29411764705</v>
      </c>
      <c r="E269" s="62">
        <f t="shared" si="199"/>
        <v>488235.29411764705</v>
      </c>
      <c r="F269" s="62">
        <f t="shared" si="199"/>
        <v>488235.29411764705</v>
      </c>
      <c r="G269" s="62">
        <f t="shared" si="199"/>
        <v>488235.29411764705</v>
      </c>
      <c r="H269" s="62">
        <f t="shared" si="199"/>
        <v>488235.29411764705</v>
      </c>
      <c r="I269" s="62">
        <f t="shared" si="199"/>
        <v>488235.29411764705</v>
      </c>
      <c r="J269" s="62">
        <f t="shared" si="199"/>
        <v>488235.29411764705</v>
      </c>
      <c r="K269" s="62">
        <f t="shared" si="199"/>
        <v>488235.29411764705</v>
      </c>
      <c r="L269" s="62">
        <f t="shared" si="199"/>
        <v>488235.29411764705</v>
      </c>
      <c r="M269" s="62">
        <f t="shared" si="199"/>
        <v>488235.29411764705</v>
      </c>
      <c r="N269" s="62">
        <f t="shared" si="199"/>
        <v>488235.29411764705</v>
      </c>
      <c r="O269" s="62">
        <f t="shared" si="199"/>
        <v>488235.29411764705</v>
      </c>
      <c r="P269" s="62">
        <f t="shared" si="199"/>
        <v>488235.29411764705</v>
      </c>
      <c r="Q269" s="62">
        <f t="shared" si="199"/>
        <v>488235.29411764705</v>
      </c>
      <c r="R269" s="62">
        <f t="shared" si="199"/>
        <v>488235.29411764705</v>
      </c>
      <c r="S269" s="62">
        <f t="shared" si="199"/>
        <v>488235.29411764705</v>
      </c>
      <c r="T269" s="62">
        <f t="shared" si="199"/>
        <v>488235.29411764705</v>
      </c>
      <c r="U269" s="62">
        <f t="shared" si="199"/>
        <v>488235.29411764705</v>
      </c>
      <c r="V269" s="62">
        <f t="shared" si="199"/>
        <v>488235.29411764705</v>
      </c>
      <c r="W269" s="62">
        <f t="shared" si="199"/>
        <v>488235.29411764705</v>
      </c>
      <c r="X269" s="62">
        <f t="shared" si="199"/>
        <v>488235.29411764705</v>
      </c>
      <c r="Y269" s="62">
        <f t="shared" si="199"/>
        <v>488235.29411764705</v>
      </c>
      <c r="Z269" s="62">
        <f t="shared" si="199"/>
        <v>488235.29411764705</v>
      </c>
      <c r="AA269" s="62">
        <f t="shared" si="199"/>
        <v>488235.29411764705</v>
      </c>
      <c r="AB269" s="62">
        <f t="shared" si="199"/>
        <v>488235.29411764705</v>
      </c>
      <c r="AC269" s="62">
        <f t="shared" si="199"/>
        <v>488235.29411764705</v>
      </c>
    </row>
    <row r="270" spans="1:29" x14ac:dyDescent="0.3">
      <c r="A270" s="30" t="str">
        <f>A252</f>
        <v>Opex var (mode-fees)</v>
      </c>
      <c r="B270" s="62">
        <f>B252*B261</f>
        <v>97536.682916217906</v>
      </c>
      <c r="C270" s="62">
        <f t="shared" ref="C270:AC270" si="200">C252*C261</f>
        <v>97536.682916217906</v>
      </c>
      <c r="D270" s="62">
        <f t="shared" si="200"/>
        <v>97536.682916217906</v>
      </c>
      <c r="E270" s="62">
        <f t="shared" si="200"/>
        <v>97536.682916217906</v>
      </c>
      <c r="F270" s="62">
        <f t="shared" si="200"/>
        <v>97536.682916217906</v>
      </c>
      <c r="G270" s="62">
        <f t="shared" si="200"/>
        <v>97536.682916217906</v>
      </c>
      <c r="H270" s="62">
        <f t="shared" si="200"/>
        <v>97536.682916217906</v>
      </c>
      <c r="I270" s="62">
        <f t="shared" si="200"/>
        <v>97536.682916217906</v>
      </c>
      <c r="J270" s="62">
        <f t="shared" si="200"/>
        <v>97536.682916217906</v>
      </c>
      <c r="K270" s="62">
        <f t="shared" si="200"/>
        <v>97536.682916217906</v>
      </c>
      <c r="L270" s="62">
        <f t="shared" si="200"/>
        <v>97536.682916217906</v>
      </c>
      <c r="M270" s="62">
        <f t="shared" si="200"/>
        <v>97536.682916217906</v>
      </c>
      <c r="N270" s="62">
        <f t="shared" si="200"/>
        <v>97536.682916217906</v>
      </c>
      <c r="O270" s="62">
        <f t="shared" si="200"/>
        <v>97536.682916217906</v>
      </c>
      <c r="P270" s="62">
        <f t="shared" si="200"/>
        <v>97536.682916217906</v>
      </c>
      <c r="Q270" s="62">
        <f t="shared" si="200"/>
        <v>97536.682916217906</v>
      </c>
      <c r="R270" s="62">
        <f t="shared" si="200"/>
        <v>97536.682916217906</v>
      </c>
      <c r="S270" s="62">
        <f t="shared" si="200"/>
        <v>97536.682916217906</v>
      </c>
      <c r="T270" s="62">
        <f t="shared" si="200"/>
        <v>97536.682916217906</v>
      </c>
      <c r="U270" s="62">
        <f t="shared" si="200"/>
        <v>97536.682916217906</v>
      </c>
      <c r="V270" s="62">
        <f t="shared" si="200"/>
        <v>97536.682916217906</v>
      </c>
      <c r="W270" s="62">
        <f t="shared" si="200"/>
        <v>97536.682916217906</v>
      </c>
      <c r="X270" s="62">
        <f t="shared" si="200"/>
        <v>97536.682916217906</v>
      </c>
      <c r="Y270" s="62">
        <f t="shared" si="200"/>
        <v>97536.682916217906</v>
      </c>
      <c r="Z270" s="62">
        <f t="shared" si="200"/>
        <v>97536.682916217906</v>
      </c>
      <c r="AA270" s="62">
        <f t="shared" si="200"/>
        <v>97536.682916217906</v>
      </c>
      <c r="AB270" s="62">
        <f t="shared" si="200"/>
        <v>97536.682916217906</v>
      </c>
      <c r="AC270" s="62">
        <f t="shared" si="200"/>
        <v>97536.682916217906</v>
      </c>
    </row>
    <row r="271" spans="1:29" x14ac:dyDescent="0.3">
      <c r="A271" s="30" t="str">
        <f>A254</f>
        <v>Fuel Cost</v>
      </c>
      <c r="B271" s="62">
        <f>B253*B254*B261</f>
        <v>4657656.7874551304</v>
      </c>
      <c r="C271" s="62">
        <f t="shared" ref="C271:AC271" si="201">C253*C254*C261</f>
        <v>4657335.2559228269</v>
      </c>
      <c r="D271" s="62">
        <f t="shared" si="201"/>
        <v>4656874.9906958723</v>
      </c>
      <c r="E271" s="62">
        <f t="shared" si="201"/>
        <v>4656216.5489214156</v>
      </c>
      <c r="F271" s="62">
        <f t="shared" si="201"/>
        <v>4655275.4903333243</v>
      </c>
      <c r="G271" s="62">
        <f t="shared" si="201"/>
        <v>4653932.3963569254</v>
      </c>
      <c r="H271" s="62">
        <f t="shared" si="201"/>
        <v>4652019.501037512</v>
      </c>
      <c r="I271" s="62">
        <f t="shared" si="201"/>
        <v>4649303.4639009116</v>
      </c>
      <c r="J271" s="62">
        <f t="shared" si="201"/>
        <v>4645464.6064028293</v>
      </c>
      <c r="K271" s="62">
        <f t="shared" si="201"/>
        <v>4640074.9197342508</v>
      </c>
      <c r="L271" s="62">
        <f t="shared" si="201"/>
        <v>4632581.2987480788</v>
      </c>
      <c r="M271" s="62">
        <f t="shared" si="201"/>
        <v>4622307.8247129563</v>
      </c>
      <c r="N271" s="62">
        <f t="shared" si="201"/>
        <v>4608501.3764707223</v>
      </c>
      <c r="O271" s="62">
        <f t="shared" si="201"/>
        <v>4590453.6814084789</v>
      </c>
      <c r="P271" s="62">
        <f t="shared" si="201"/>
        <v>4567725.6599339778</v>
      </c>
      <c r="Q271" s="62">
        <f t="shared" si="201"/>
        <v>4540452.686572534</v>
      </c>
      <c r="R271" s="62">
        <f t="shared" si="201"/>
        <v>4509613.1268287944</v>
      </c>
      <c r="S271" s="62">
        <f t="shared" si="201"/>
        <v>4477055.930138859</v>
      </c>
      <c r="T271" s="62">
        <f t="shared" si="201"/>
        <v>4445139.3981832527</v>
      </c>
      <c r="U271" s="62">
        <f t="shared" si="201"/>
        <v>4416085.1221883893</v>
      </c>
      <c r="V271" s="62">
        <f t="shared" si="201"/>
        <v>4391393.1250012219</v>
      </c>
      <c r="W271" s="62">
        <f t="shared" si="201"/>
        <v>4371619.2573404536</v>
      </c>
      <c r="X271" s="62">
        <f t="shared" si="201"/>
        <v>4356530.9186884109</v>
      </c>
      <c r="Y271" s="62">
        <f t="shared" si="201"/>
        <v>4345439.7796926498</v>
      </c>
      <c r="Z271" s="62">
        <f t="shared" si="201"/>
        <v>4337509.7757624658</v>
      </c>
      <c r="AA271" s="62">
        <f t="shared" si="201"/>
        <v>4331952.0141076175</v>
      </c>
      <c r="AB271" s="62">
        <f t="shared" si="201"/>
        <v>4328111.2591973878</v>
      </c>
      <c r="AC271" s="62">
        <f t="shared" si="201"/>
        <v>4325482.8392201588</v>
      </c>
    </row>
    <row r="272" spans="1:29" ht="15" thickBot="1" x14ac:dyDescent="0.35">
      <c r="A272" s="59" t="str">
        <f>A235</f>
        <v>Emission Cost</v>
      </c>
      <c r="B272" s="62">
        <f>B255*B261</f>
        <v>2080174.2343043815</v>
      </c>
      <c r="C272" s="62">
        <f t="shared" ref="C272:AC272" si="202">C255*C261</f>
        <v>2084591.1334600765</v>
      </c>
      <c r="D272" s="62">
        <f t="shared" si="202"/>
        <v>2090913.8262229576</v>
      </c>
      <c r="E272" s="62">
        <f t="shared" si="202"/>
        <v>2099958.8828518903</v>
      </c>
      <c r="F272" s="62">
        <f t="shared" si="202"/>
        <v>2112886.2646654733</v>
      </c>
      <c r="G272" s="62">
        <f t="shared" si="202"/>
        <v>2131336.4322365182</v>
      </c>
      <c r="H272" s="62">
        <f t="shared" si="202"/>
        <v>2157613.9971792493</v>
      </c>
      <c r="I272" s="62">
        <f t="shared" si="202"/>
        <v>2194924.3724620044</v>
      </c>
      <c r="J272" s="62">
        <f t="shared" si="202"/>
        <v>2247659.002626026</v>
      </c>
      <c r="K272" s="62">
        <f t="shared" si="202"/>
        <v>2321697.4719647751</v>
      </c>
      <c r="L272" s="62">
        <f t="shared" si="202"/>
        <v>2424637.8211422721</v>
      </c>
      <c r="M272" s="62">
        <f t="shared" si="202"/>
        <v>2565765.1888584979</v>
      </c>
      <c r="N272" s="62">
        <f t="shared" si="202"/>
        <v>2755425.248471769</v>
      </c>
      <c r="O272" s="62">
        <f t="shared" si="202"/>
        <v>3003347.5860152184</v>
      </c>
      <c r="P272" s="62">
        <f t="shared" si="202"/>
        <v>3315563.8658372555</v>
      </c>
      <c r="Q272" s="62">
        <f t="shared" si="202"/>
        <v>3690214.4394539841</v>
      </c>
      <c r="R272" s="62">
        <f t="shared" si="202"/>
        <v>4113859.4375609229</v>
      </c>
      <c r="S272" s="62">
        <f t="shared" si="202"/>
        <v>4561099.7238907274</v>
      </c>
      <c r="T272" s="62">
        <f t="shared" si="202"/>
        <v>4999539.1579250544</v>
      </c>
      <c r="U272" s="62">
        <f t="shared" si="202"/>
        <v>5398659.5993684782</v>
      </c>
      <c r="V272" s="62">
        <f t="shared" si="202"/>
        <v>5737855.1387515571</v>
      </c>
      <c r="W272" s="62">
        <f t="shared" si="202"/>
        <v>6009490.0193180386</v>
      </c>
      <c r="X272" s="62">
        <f t="shared" si="202"/>
        <v>6216759.4892065981</v>
      </c>
      <c r="Y272" s="62">
        <f t="shared" si="202"/>
        <v>6369119.1726102037</v>
      </c>
      <c r="Z272" s="62">
        <f t="shared" si="202"/>
        <v>6478054.1421073815</v>
      </c>
      <c r="AA272" s="62">
        <f t="shared" si="202"/>
        <v>6554401.4682466788</v>
      </c>
      <c r="AB272" s="62">
        <f t="shared" si="202"/>
        <v>6607162.1632823376</v>
      </c>
      <c r="AC272" s="62">
        <f t="shared" si="202"/>
        <v>6643268.9360615192</v>
      </c>
    </row>
    <row r="273" spans="1:29" ht="15" thickBot="1" x14ac:dyDescent="0.35">
      <c r="A273" s="31" t="s">
        <v>209</v>
      </c>
      <c r="B273" s="64">
        <f>B264+B265+B266+B267+B268+B269+B270+B271+B272</f>
        <v>9658431.8895080164</v>
      </c>
      <c r="C273" s="64">
        <f t="shared" ref="C273:AC273" si="203">C264+C265+C266+C267+C268+C269+C270+C271+C272</f>
        <v>9662583.0026025362</v>
      </c>
      <c r="D273" s="64">
        <f t="shared" si="203"/>
        <v>9668525.2285387572</v>
      </c>
      <c r="E273" s="64">
        <f t="shared" si="203"/>
        <v>9677026.0006165244</v>
      </c>
      <c r="F273" s="64">
        <f t="shared" si="203"/>
        <v>9689175.4797041435</v>
      </c>
      <c r="G273" s="64">
        <f t="shared" si="203"/>
        <v>9706515.4119734894</v>
      </c>
      <c r="H273" s="64">
        <f t="shared" si="203"/>
        <v>9731211.7294760644</v>
      </c>
      <c r="I273" s="64">
        <f t="shared" si="203"/>
        <v>9766276.9600684494</v>
      </c>
      <c r="J273" s="64">
        <f t="shared" si="203"/>
        <v>9815838.2939572595</v>
      </c>
      <c r="K273" s="64">
        <f t="shared" si="203"/>
        <v>9885421.5125766229</v>
      </c>
      <c r="L273" s="64">
        <f t="shared" si="203"/>
        <v>9982167.4459480792</v>
      </c>
      <c r="M273" s="64">
        <f t="shared" si="203"/>
        <v>10114802.501327777</v>
      </c>
      <c r="N273" s="64">
        <f t="shared" si="203"/>
        <v>10293049.803160157</v>
      </c>
      <c r="O273" s="64">
        <f t="shared" si="203"/>
        <v>10526053.461501326</v>
      </c>
      <c r="P273" s="64">
        <f t="shared" si="203"/>
        <v>10819482.18645216</v>
      </c>
      <c r="Q273" s="64">
        <f t="shared" si="203"/>
        <v>11171588.233520292</v>
      </c>
      <c r="R273" s="64">
        <f t="shared" si="203"/>
        <v>11569740.474963864</v>
      </c>
      <c r="S273" s="64">
        <f t="shared" si="203"/>
        <v>11990068.162678301</v>
      </c>
      <c r="T273" s="64">
        <f t="shared" si="203"/>
        <v>12402124.587699406</v>
      </c>
      <c r="U273" s="64">
        <f t="shared" si="203"/>
        <v>12777228.032981992</v>
      </c>
      <c r="V273" s="64">
        <f t="shared" si="203"/>
        <v>13096012.54571438</v>
      </c>
      <c r="W273" s="64">
        <f t="shared" si="203"/>
        <v>13351301.849341428</v>
      </c>
      <c r="X273" s="64">
        <f t="shared" si="203"/>
        <v>13546098.918556724</v>
      </c>
      <c r="Y273" s="64">
        <f t="shared" si="203"/>
        <v>13689290.387177497</v>
      </c>
      <c r="Z273" s="64">
        <f t="shared" si="203"/>
        <v>13791670.215738438</v>
      </c>
      <c r="AA273" s="64">
        <f t="shared" si="203"/>
        <v>13863423.356142357</v>
      </c>
      <c r="AB273" s="64">
        <f t="shared" si="203"/>
        <v>13913009.186454147</v>
      </c>
      <c r="AC273" s="64">
        <f t="shared" si="203"/>
        <v>13946943.241093203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04">A264</f>
        <v>Capex vehicle</v>
      </c>
      <c r="B276" s="65">
        <f>((1+B249)^B256)*B249/(((1+B249)^B256)-1)*(B245)/B261</f>
        <v>9.7783397765342439</v>
      </c>
      <c r="C276" s="65">
        <f t="shared" ref="C276:AC276" si="205">((1+C249)^C256)*C249/(((1+C249)^C256)-1)*(C245)/C261</f>
        <v>9.7783397765342439</v>
      </c>
      <c r="D276" s="65">
        <f t="shared" si="205"/>
        <v>9.7783397765342439</v>
      </c>
      <c r="E276" s="65">
        <f t="shared" si="205"/>
        <v>9.7783397765342439</v>
      </c>
      <c r="F276" s="65">
        <f t="shared" si="205"/>
        <v>9.7783397765342439</v>
      </c>
      <c r="G276" s="65">
        <f t="shared" si="205"/>
        <v>9.7783397765342439</v>
      </c>
      <c r="H276" s="65">
        <f t="shared" si="205"/>
        <v>9.7783397765342439</v>
      </c>
      <c r="I276" s="65">
        <f t="shared" si="205"/>
        <v>9.7783397765342439</v>
      </c>
      <c r="J276" s="65">
        <f t="shared" si="205"/>
        <v>9.7783397765342439</v>
      </c>
      <c r="K276" s="65">
        <f t="shared" si="205"/>
        <v>9.7783397765342439</v>
      </c>
      <c r="L276" s="65">
        <f t="shared" si="205"/>
        <v>9.7783397765342439</v>
      </c>
      <c r="M276" s="65">
        <f t="shared" si="205"/>
        <v>9.7783397765342439</v>
      </c>
      <c r="N276" s="65">
        <f t="shared" si="205"/>
        <v>9.7783397765342439</v>
      </c>
      <c r="O276" s="65">
        <f t="shared" si="205"/>
        <v>9.7783397765342439</v>
      </c>
      <c r="P276" s="65">
        <f t="shared" si="205"/>
        <v>9.7783397765342439</v>
      </c>
      <c r="Q276" s="65">
        <f t="shared" si="205"/>
        <v>9.7783397765342439</v>
      </c>
      <c r="R276" s="65">
        <f t="shared" si="205"/>
        <v>9.7783397765342439</v>
      </c>
      <c r="S276" s="65">
        <f t="shared" si="205"/>
        <v>9.7783397765342439</v>
      </c>
      <c r="T276" s="65">
        <f t="shared" si="205"/>
        <v>9.7783397765342439</v>
      </c>
      <c r="U276" s="65">
        <f t="shared" si="205"/>
        <v>9.7783397765342439</v>
      </c>
      <c r="V276" s="65">
        <f t="shared" si="205"/>
        <v>9.7783397765342439</v>
      </c>
      <c r="W276" s="65">
        <f t="shared" si="205"/>
        <v>9.7783397765342439</v>
      </c>
      <c r="X276" s="65">
        <f t="shared" si="205"/>
        <v>9.7783397765342439</v>
      </c>
      <c r="Y276" s="65">
        <f t="shared" si="205"/>
        <v>9.7783397765342439</v>
      </c>
      <c r="Z276" s="65">
        <f t="shared" si="205"/>
        <v>9.7783397765342439</v>
      </c>
      <c r="AA276" s="65">
        <f t="shared" si="205"/>
        <v>9.7783397765342439</v>
      </c>
      <c r="AB276" s="65">
        <f t="shared" si="205"/>
        <v>9.7783397765342439</v>
      </c>
      <c r="AC276" s="65">
        <f t="shared" si="205"/>
        <v>9.7783397765342439</v>
      </c>
    </row>
    <row r="277" spans="1:29" x14ac:dyDescent="0.3">
      <c r="A277" s="30" t="str">
        <f t="shared" si="204"/>
        <v>Residual value (vehicle)</v>
      </c>
      <c r="B277" s="66">
        <f>((1+B249)^B256)*B249/(((1+B249)^B256)-1)*(B246)/B261</f>
        <v>-0.97676019148470272</v>
      </c>
      <c r="C277" s="66">
        <f t="shared" ref="C277:AC277" si="206">((1+C249)^C256)*C249/(((1+C249)^C256)-1)*(C246)/C261</f>
        <v>-0.97629564589195228</v>
      </c>
      <c r="D277" s="66">
        <f t="shared" si="206"/>
        <v>-0.97563065922284864</v>
      </c>
      <c r="E277" s="66">
        <f t="shared" si="206"/>
        <v>-0.97467934902874298</v>
      </c>
      <c r="F277" s="66">
        <f t="shared" si="206"/>
        <v>-0.97331971684434948</v>
      </c>
      <c r="G277" s="66">
        <f t="shared" si="206"/>
        <v>-0.97137922788852038</v>
      </c>
      <c r="H277" s="66">
        <f t="shared" si="206"/>
        <v>-0.96861549556136939</v>
      </c>
      <c r="I277" s="66">
        <f t="shared" si="206"/>
        <v>-0.96469139184278574</v>
      </c>
      <c r="J277" s="66">
        <f t="shared" si="206"/>
        <v>-0.95914504831885961</v>
      </c>
      <c r="K277" s="66">
        <f t="shared" si="206"/>
        <v>-0.95135808207559314</v>
      </c>
      <c r="L277" s="66">
        <f t="shared" si="206"/>
        <v>-0.94053137224117322</v>
      </c>
      <c r="M277" s="66">
        <f t="shared" si="206"/>
        <v>-0.92568835808620409</v>
      </c>
      <c r="N277" s="66">
        <f t="shared" si="206"/>
        <v>-0.90574093757501994</v>
      </c>
      <c r="O277" s="66">
        <f t="shared" si="206"/>
        <v>-0.87966580540866446</v>
      </c>
      <c r="P277" s="66">
        <f t="shared" si="206"/>
        <v>-0.84682858371450898</v>
      </c>
      <c r="Q277" s="66">
        <f t="shared" si="206"/>
        <v>-0.80742486027411864</v>
      </c>
      <c r="R277" s="66">
        <f t="shared" si="206"/>
        <v>-0.7628681679376812</v>
      </c>
      <c r="S277" s="66">
        <f t="shared" si="206"/>
        <v>-0.71582985064961269</v>
      </c>
      <c r="T277" s="66">
        <f t="shared" si="206"/>
        <v>-0.66971715946306853</v>
      </c>
      <c r="U277" s="66">
        <f t="shared" si="206"/>
        <v>-0.62773982751286628</v>
      </c>
      <c r="V277" s="66">
        <f t="shared" si="206"/>
        <v>-0.59206507304221667</v>
      </c>
      <c r="W277" s="66">
        <f t="shared" si="206"/>
        <v>-0.56349598369776865</v>
      </c>
      <c r="X277" s="66">
        <f t="shared" si="206"/>
        <v>-0.54169650054128426</v>
      </c>
      <c r="Y277" s="66">
        <f t="shared" si="206"/>
        <v>-0.52567213210019181</v>
      </c>
      <c r="Z277" s="66">
        <f t="shared" si="206"/>
        <v>-0.51421494048397043</v>
      </c>
      <c r="AA277" s="66">
        <f t="shared" si="206"/>
        <v>-0.50618514115505298</v>
      </c>
      <c r="AB277" s="66">
        <f t="shared" si="206"/>
        <v>-0.50063605626873253</v>
      </c>
      <c r="AC277" s="66">
        <f t="shared" si="206"/>
        <v>-0.49683854095951707</v>
      </c>
    </row>
    <row r="278" spans="1:29" x14ac:dyDescent="0.3">
      <c r="A278" s="30" t="str">
        <f t="shared" si="204"/>
        <v>Capex costumization</v>
      </c>
      <c r="B278" s="66">
        <f>((1+B249)^B257)*B249/(((1+B249)^B257)-1)*(B247)/B261</f>
        <v>0.65188931843561626</v>
      </c>
      <c r="C278" s="66">
        <f t="shared" ref="C278:AC278" si="207">((1+C249)^C257)*C249/(((1+C249)^C257)-1)*(C247)/C261</f>
        <v>0.65188931843561626</v>
      </c>
      <c r="D278" s="66">
        <f t="shared" si="207"/>
        <v>0.65188931843561626</v>
      </c>
      <c r="E278" s="66">
        <f t="shared" si="207"/>
        <v>0.65188931843561626</v>
      </c>
      <c r="F278" s="66">
        <f t="shared" si="207"/>
        <v>0.65188931843561626</v>
      </c>
      <c r="G278" s="66">
        <f t="shared" si="207"/>
        <v>0.65188931843561626</v>
      </c>
      <c r="H278" s="66">
        <f t="shared" si="207"/>
        <v>0.65188931843561626</v>
      </c>
      <c r="I278" s="66">
        <f t="shared" si="207"/>
        <v>0.65188931843561626</v>
      </c>
      <c r="J278" s="66">
        <f t="shared" si="207"/>
        <v>0.65188931843561626</v>
      </c>
      <c r="K278" s="66">
        <f t="shared" si="207"/>
        <v>0.65188931843561626</v>
      </c>
      <c r="L278" s="66">
        <f t="shared" si="207"/>
        <v>0.65188931843561626</v>
      </c>
      <c r="M278" s="66">
        <f t="shared" si="207"/>
        <v>0.65188931843561626</v>
      </c>
      <c r="N278" s="66">
        <f t="shared" si="207"/>
        <v>0.65188931843561626</v>
      </c>
      <c r="O278" s="66">
        <f t="shared" si="207"/>
        <v>0.65188931843561626</v>
      </c>
      <c r="P278" s="66">
        <f t="shared" si="207"/>
        <v>0.65188931843561626</v>
      </c>
      <c r="Q278" s="66">
        <f t="shared" si="207"/>
        <v>0.65188931843561626</v>
      </c>
      <c r="R278" s="66">
        <f t="shared" si="207"/>
        <v>0.65188931843561626</v>
      </c>
      <c r="S278" s="66">
        <f t="shared" si="207"/>
        <v>0.65188931843561626</v>
      </c>
      <c r="T278" s="66">
        <f t="shared" si="207"/>
        <v>0.65188931843561626</v>
      </c>
      <c r="U278" s="66">
        <f t="shared" si="207"/>
        <v>0.65188931843561626</v>
      </c>
      <c r="V278" s="66">
        <f t="shared" si="207"/>
        <v>0.65188931843561626</v>
      </c>
      <c r="W278" s="66">
        <f t="shared" si="207"/>
        <v>0.65188931843561626</v>
      </c>
      <c r="X278" s="66">
        <f t="shared" si="207"/>
        <v>0.65188931843561626</v>
      </c>
      <c r="Y278" s="66">
        <f t="shared" si="207"/>
        <v>0.65188931843561626</v>
      </c>
      <c r="Z278" s="66">
        <f t="shared" si="207"/>
        <v>0.65188931843561626</v>
      </c>
      <c r="AA278" s="66">
        <f t="shared" si="207"/>
        <v>0.65188931843561626</v>
      </c>
      <c r="AB278" s="66">
        <f t="shared" si="207"/>
        <v>0.65188931843561626</v>
      </c>
      <c r="AC278" s="66">
        <f t="shared" si="207"/>
        <v>0.65188931843561626</v>
      </c>
    </row>
    <row r="279" spans="1:29" x14ac:dyDescent="0.3">
      <c r="A279" s="30" t="str">
        <f t="shared" si="204"/>
        <v>Residual value (costumization)</v>
      </c>
      <c r="B279" s="66">
        <f>((1+B249)^B257)*B249/(((1+B249)^B257)-1)*(B248)/B261</f>
        <v>-6.5188931843561615E-2</v>
      </c>
      <c r="C279" s="66">
        <f t="shared" ref="C279:AC279" si="208">((1+C249)^C257)*C249/(((1+C249)^C257)-1)*(C248)/C261</f>
        <v>-6.5188931843561615E-2</v>
      </c>
      <c r="D279" s="66">
        <f t="shared" si="208"/>
        <v>-6.5188931843561615E-2</v>
      </c>
      <c r="E279" s="66">
        <f t="shared" si="208"/>
        <v>-6.5188931843561615E-2</v>
      </c>
      <c r="F279" s="66">
        <f t="shared" si="208"/>
        <v>-6.5188931843561615E-2</v>
      </c>
      <c r="G279" s="66">
        <f t="shared" si="208"/>
        <v>-6.5188931843561615E-2</v>
      </c>
      <c r="H279" s="66">
        <f t="shared" si="208"/>
        <v>-6.5188931843561615E-2</v>
      </c>
      <c r="I279" s="66">
        <f t="shared" si="208"/>
        <v>-6.5188931843561615E-2</v>
      </c>
      <c r="J279" s="66">
        <f t="shared" si="208"/>
        <v>-6.5188931843561615E-2</v>
      </c>
      <c r="K279" s="66">
        <f t="shared" si="208"/>
        <v>-6.5188931843561615E-2</v>
      </c>
      <c r="L279" s="66">
        <f t="shared" si="208"/>
        <v>-6.5188931843561615E-2</v>
      </c>
      <c r="M279" s="66">
        <f t="shared" si="208"/>
        <v>-6.5188931843561615E-2</v>
      </c>
      <c r="N279" s="66">
        <f t="shared" si="208"/>
        <v>-6.5188931843561615E-2</v>
      </c>
      <c r="O279" s="66">
        <f t="shared" si="208"/>
        <v>-6.5188931843561615E-2</v>
      </c>
      <c r="P279" s="66">
        <f t="shared" si="208"/>
        <v>-6.5188931843561615E-2</v>
      </c>
      <c r="Q279" s="66">
        <f t="shared" si="208"/>
        <v>-6.5188931843561615E-2</v>
      </c>
      <c r="R279" s="66">
        <f t="shared" si="208"/>
        <v>-6.5188931843561615E-2</v>
      </c>
      <c r="S279" s="66">
        <f t="shared" si="208"/>
        <v>-6.5188931843561615E-2</v>
      </c>
      <c r="T279" s="66">
        <f t="shared" si="208"/>
        <v>-6.5188931843561615E-2</v>
      </c>
      <c r="U279" s="66">
        <f t="shared" si="208"/>
        <v>-6.5188931843561615E-2</v>
      </c>
      <c r="V279" s="66">
        <f t="shared" si="208"/>
        <v>-6.5188931843561615E-2</v>
      </c>
      <c r="W279" s="66">
        <f t="shared" si="208"/>
        <v>-6.5188931843561615E-2</v>
      </c>
      <c r="X279" s="66">
        <f t="shared" si="208"/>
        <v>-6.5188931843561615E-2</v>
      </c>
      <c r="Y279" s="66">
        <f t="shared" si="208"/>
        <v>-6.5188931843561615E-2</v>
      </c>
      <c r="Z279" s="66">
        <f t="shared" si="208"/>
        <v>-6.5188931843561615E-2</v>
      </c>
      <c r="AA279" s="66">
        <f t="shared" si="208"/>
        <v>-6.5188931843561615E-2</v>
      </c>
      <c r="AB279" s="66">
        <f t="shared" si="208"/>
        <v>-6.5188931843561615E-2</v>
      </c>
      <c r="AC279" s="66">
        <f t="shared" si="208"/>
        <v>-6.5188931843561615E-2</v>
      </c>
    </row>
    <row r="280" spans="1:29" x14ac:dyDescent="0.3">
      <c r="A280" s="30" t="str">
        <f t="shared" si="204"/>
        <v>Opex fix (admin, crew, insurance)</v>
      </c>
      <c r="B280" s="66">
        <f>B250/B261</f>
        <v>10.068627450980392</v>
      </c>
      <c r="C280" s="66">
        <f t="shared" ref="C280:AC280" si="209">C250/C261</f>
        <v>10.068627450980392</v>
      </c>
      <c r="D280" s="66">
        <f t="shared" si="209"/>
        <v>10.068627450980392</v>
      </c>
      <c r="E280" s="66">
        <f t="shared" si="209"/>
        <v>10.068627450980392</v>
      </c>
      <c r="F280" s="66">
        <f t="shared" si="209"/>
        <v>10.068627450980392</v>
      </c>
      <c r="G280" s="66">
        <f t="shared" si="209"/>
        <v>10.068627450980392</v>
      </c>
      <c r="H280" s="66">
        <f t="shared" si="209"/>
        <v>10.068627450980392</v>
      </c>
      <c r="I280" s="66">
        <f t="shared" si="209"/>
        <v>10.068627450980392</v>
      </c>
      <c r="J280" s="66">
        <f t="shared" si="209"/>
        <v>10.068627450980392</v>
      </c>
      <c r="K280" s="66">
        <f t="shared" si="209"/>
        <v>10.068627450980392</v>
      </c>
      <c r="L280" s="66">
        <f t="shared" si="209"/>
        <v>10.068627450980392</v>
      </c>
      <c r="M280" s="66">
        <f t="shared" si="209"/>
        <v>10.068627450980392</v>
      </c>
      <c r="N280" s="66">
        <f t="shared" si="209"/>
        <v>10.068627450980392</v>
      </c>
      <c r="O280" s="66">
        <f t="shared" si="209"/>
        <v>10.068627450980392</v>
      </c>
      <c r="P280" s="66">
        <f t="shared" si="209"/>
        <v>10.068627450980392</v>
      </c>
      <c r="Q280" s="66">
        <f t="shared" si="209"/>
        <v>10.068627450980392</v>
      </c>
      <c r="R280" s="66">
        <f t="shared" si="209"/>
        <v>10.068627450980392</v>
      </c>
      <c r="S280" s="66">
        <f t="shared" si="209"/>
        <v>10.068627450980392</v>
      </c>
      <c r="T280" s="66">
        <f t="shared" si="209"/>
        <v>10.068627450980392</v>
      </c>
      <c r="U280" s="66">
        <f t="shared" si="209"/>
        <v>10.068627450980392</v>
      </c>
      <c r="V280" s="66">
        <f t="shared" si="209"/>
        <v>10.068627450980392</v>
      </c>
      <c r="W280" s="66">
        <f t="shared" si="209"/>
        <v>10.068627450980392</v>
      </c>
      <c r="X280" s="66">
        <f t="shared" si="209"/>
        <v>10.068627450980392</v>
      </c>
      <c r="Y280" s="66">
        <f t="shared" si="209"/>
        <v>10.068627450980392</v>
      </c>
      <c r="Z280" s="66">
        <f t="shared" si="209"/>
        <v>10.068627450980392</v>
      </c>
      <c r="AA280" s="66">
        <f t="shared" si="209"/>
        <v>10.068627450980392</v>
      </c>
      <c r="AB280" s="66">
        <f t="shared" si="209"/>
        <v>10.068627450980392</v>
      </c>
      <c r="AC280" s="66">
        <f t="shared" si="209"/>
        <v>10.068627450980392</v>
      </c>
    </row>
    <row r="281" spans="1:29" x14ac:dyDescent="0.3">
      <c r="A281" s="30" t="str">
        <f t="shared" si="204"/>
        <v>Opex maintenance &amp; repair</v>
      </c>
      <c r="B281" s="66">
        <f>B251/B261</f>
        <v>4.0686274509803919</v>
      </c>
      <c r="C281" s="66">
        <f t="shared" ref="C281:AC281" si="210">C251/C261</f>
        <v>4.0686274509803919</v>
      </c>
      <c r="D281" s="66">
        <f t="shared" si="210"/>
        <v>4.0686274509803919</v>
      </c>
      <c r="E281" s="66">
        <f t="shared" si="210"/>
        <v>4.0686274509803919</v>
      </c>
      <c r="F281" s="66">
        <f t="shared" si="210"/>
        <v>4.0686274509803919</v>
      </c>
      <c r="G281" s="66">
        <f t="shared" si="210"/>
        <v>4.0686274509803919</v>
      </c>
      <c r="H281" s="66">
        <f t="shared" si="210"/>
        <v>4.0686274509803919</v>
      </c>
      <c r="I281" s="66">
        <f t="shared" si="210"/>
        <v>4.0686274509803919</v>
      </c>
      <c r="J281" s="66">
        <f t="shared" si="210"/>
        <v>4.0686274509803919</v>
      </c>
      <c r="K281" s="66">
        <f t="shared" si="210"/>
        <v>4.0686274509803919</v>
      </c>
      <c r="L281" s="66">
        <f t="shared" si="210"/>
        <v>4.0686274509803919</v>
      </c>
      <c r="M281" s="66">
        <f t="shared" si="210"/>
        <v>4.0686274509803919</v>
      </c>
      <c r="N281" s="66">
        <f t="shared" si="210"/>
        <v>4.0686274509803919</v>
      </c>
      <c r="O281" s="66">
        <f t="shared" si="210"/>
        <v>4.0686274509803919</v>
      </c>
      <c r="P281" s="66">
        <f t="shared" si="210"/>
        <v>4.0686274509803919</v>
      </c>
      <c r="Q281" s="66">
        <f t="shared" si="210"/>
        <v>4.0686274509803919</v>
      </c>
      <c r="R281" s="66">
        <f t="shared" si="210"/>
        <v>4.0686274509803919</v>
      </c>
      <c r="S281" s="66">
        <f t="shared" si="210"/>
        <v>4.0686274509803919</v>
      </c>
      <c r="T281" s="66">
        <f t="shared" si="210"/>
        <v>4.0686274509803919</v>
      </c>
      <c r="U281" s="66">
        <f t="shared" si="210"/>
        <v>4.0686274509803919</v>
      </c>
      <c r="V281" s="66">
        <f t="shared" si="210"/>
        <v>4.0686274509803919</v>
      </c>
      <c r="W281" s="66">
        <f t="shared" si="210"/>
        <v>4.0686274509803919</v>
      </c>
      <c r="X281" s="66">
        <f t="shared" si="210"/>
        <v>4.0686274509803919</v>
      </c>
      <c r="Y281" s="66">
        <f t="shared" si="210"/>
        <v>4.0686274509803919</v>
      </c>
      <c r="Z281" s="66">
        <f t="shared" si="210"/>
        <v>4.0686274509803919</v>
      </c>
      <c r="AA281" s="66">
        <f t="shared" si="210"/>
        <v>4.0686274509803919</v>
      </c>
      <c r="AB281" s="66">
        <f t="shared" si="210"/>
        <v>4.0686274509803919</v>
      </c>
      <c r="AC281" s="66">
        <f t="shared" si="210"/>
        <v>4.0686274509803919</v>
      </c>
    </row>
    <row r="282" spans="1:29" x14ac:dyDescent="0.3">
      <c r="A282" s="30" t="str">
        <f t="shared" si="204"/>
        <v>Opex var (mode-fees)</v>
      </c>
      <c r="B282" s="66">
        <f>B252*B261/B261</f>
        <v>0.81280569096848254</v>
      </c>
      <c r="C282" s="66">
        <f t="shared" ref="C282:AC282" si="211">C252*C261/C261</f>
        <v>0.81280569096848254</v>
      </c>
      <c r="D282" s="66">
        <f t="shared" si="211"/>
        <v>0.81280569096848254</v>
      </c>
      <c r="E282" s="66">
        <f t="shared" si="211"/>
        <v>0.81280569096848254</v>
      </c>
      <c r="F282" s="66">
        <f t="shared" si="211"/>
        <v>0.81280569096848254</v>
      </c>
      <c r="G282" s="66">
        <f t="shared" si="211"/>
        <v>0.81280569096848254</v>
      </c>
      <c r="H282" s="66">
        <f t="shared" si="211"/>
        <v>0.81280569096848254</v>
      </c>
      <c r="I282" s="66">
        <f t="shared" si="211"/>
        <v>0.81280569096848254</v>
      </c>
      <c r="J282" s="66">
        <f t="shared" si="211"/>
        <v>0.81280569096848254</v>
      </c>
      <c r="K282" s="66">
        <f t="shared" si="211"/>
        <v>0.81280569096848254</v>
      </c>
      <c r="L282" s="66">
        <f t="shared" si="211"/>
        <v>0.81280569096848254</v>
      </c>
      <c r="M282" s="66">
        <f t="shared" si="211"/>
        <v>0.81280569096848254</v>
      </c>
      <c r="N282" s="66">
        <f t="shared" si="211"/>
        <v>0.81280569096848254</v>
      </c>
      <c r="O282" s="66">
        <f t="shared" si="211"/>
        <v>0.81280569096848254</v>
      </c>
      <c r="P282" s="66">
        <f t="shared" si="211"/>
        <v>0.81280569096848254</v>
      </c>
      <c r="Q282" s="66">
        <f t="shared" si="211"/>
        <v>0.81280569096848254</v>
      </c>
      <c r="R282" s="66">
        <f t="shared" si="211"/>
        <v>0.81280569096848254</v>
      </c>
      <c r="S282" s="66">
        <f t="shared" si="211"/>
        <v>0.81280569096848254</v>
      </c>
      <c r="T282" s="66">
        <f t="shared" si="211"/>
        <v>0.81280569096848254</v>
      </c>
      <c r="U282" s="66">
        <f t="shared" si="211"/>
        <v>0.81280569096848254</v>
      </c>
      <c r="V282" s="66">
        <f t="shared" si="211"/>
        <v>0.81280569096848254</v>
      </c>
      <c r="W282" s="66">
        <f t="shared" si="211"/>
        <v>0.81280569096848254</v>
      </c>
      <c r="X282" s="66">
        <f t="shared" si="211"/>
        <v>0.81280569096848254</v>
      </c>
      <c r="Y282" s="66">
        <f t="shared" si="211"/>
        <v>0.81280569096848254</v>
      </c>
      <c r="Z282" s="66">
        <f t="shared" si="211"/>
        <v>0.81280569096848254</v>
      </c>
      <c r="AA282" s="66">
        <f t="shared" si="211"/>
        <v>0.81280569096848254</v>
      </c>
      <c r="AB282" s="66">
        <f t="shared" si="211"/>
        <v>0.81280569096848254</v>
      </c>
      <c r="AC282" s="66">
        <f t="shared" si="211"/>
        <v>0.81280569096848254</v>
      </c>
    </row>
    <row r="283" spans="1:29" x14ac:dyDescent="0.3">
      <c r="A283" s="30" t="str">
        <f t="shared" si="204"/>
        <v>Fuel Cost</v>
      </c>
      <c r="B283" s="66">
        <f>B253*B254*B261/B261</f>
        <v>38.813806562126089</v>
      </c>
      <c r="C283" s="66">
        <f t="shared" ref="C283:AC283" si="212">C253*C254*C261/C261</f>
        <v>38.811127132690224</v>
      </c>
      <c r="D283" s="66">
        <f t="shared" si="212"/>
        <v>38.807291589132269</v>
      </c>
      <c r="E283" s="66">
        <f t="shared" si="212"/>
        <v>38.801804574345127</v>
      </c>
      <c r="F283" s="66">
        <f t="shared" si="212"/>
        <v>38.79396241944437</v>
      </c>
      <c r="G283" s="66">
        <f t="shared" si="212"/>
        <v>38.782769969641045</v>
      </c>
      <c r="H283" s="66">
        <f t="shared" si="212"/>
        <v>38.766829175312601</v>
      </c>
      <c r="I283" s="66">
        <f t="shared" si="212"/>
        <v>38.744195532507597</v>
      </c>
      <c r="J283" s="66">
        <f t="shared" si="212"/>
        <v>38.712205053356911</v>
      </c>
      <c r="K283" s="66">
        <f t="shared" si="212"/>
        <v>38.667290997785422</v>
      </c>
      <c r="L283" s="66">
        <f t="shared" si="212"/>
        <v>38.604844156233987</v>
      </c>
      <c r="M283" s="66">
        <f t="shared" si="212"/>
        <v>38.519231872607968</v>
      </c>
      <c r="N283" s="66">
        <f t="shared" si="212"/>
        <v>38.404178137256018</v>
      </c>
      <c r="O283" s="66">
        <f t="shared" si="212"/>
        <v>38.253780678403992</v>
      </c>
      <c r="P283" s="66">
        <f t="shared" si="212"/>
        <v>38.064380499449811</v>
      </c>
      <c r="Q283" s="66">
        <f t="shared" si="212"/>
        <v>37.837105721437787</v>
      </c>
      <c r="R283" s="66">
        <f t="shared" si="212"/>
        <v>37.580109390239954</v>
      </c>
      <c r="S283" s="66">
        <f t="shared" si="212"/>
        <v>37.308799417823828</v>
      </c>
      <c r="T283" s="66">
        <f t="shared" si="212"/>
        <v>37.04282831819377</v>
      </c>
      <c r="U283" s="66">
        <f t="shared" si="212"/>
        <v>36.800709351569914</v>
      </c>
      <c r="V283" s="66">
        <f t="shared" si="212"/>
        <v>36.594942708343517</v>
      </c>
      <c r="W283" s="66">
        <f t="shared" si="212"/>
        <v>36.430160477837113</v>
      </c>
      <c r="X283" s="66">
        <f t="shared" si="212"/>
        <v>36.304424322403428</v>
      </c>
      <c r="Y283" s="66">
        <f t="shared" si="212"/>
        <v>36.211998164105417</v>
      </c>
      <c r="Z283" s="66">
        <f t="shared" si="212"/>
        <v>36.145914798020549</v>
      </c>
      <c r="AA283" s="66">
        <f t="shared" si="212"/>
        <v>36.099600117563483</v>
      </c>
      <c r="AB283" s="66">
        <f t="shared" si="212"/>
        <v>36.067593826644895</v>
      </c>
      <c r="AC283" s="66">
        <f t="shared" si="212"/>
        <v>36.045690326834659</v>
      </c>
    </row>
    <row r="284" spans="1:29" ht="15" thickBot="1" x14ac:dyDescent="0.35">
      <c r="A284" s="59" t="str">
        <f>A235</f>
        <v>Emission Cost</v>
      </c>
      <c r="B284" s="66">
        <f>B255</f>
        <v>17.334785285869845</v>
      </c>
      <c r="C284" s="66">
        <f t="shared" ref="C284:AC284" si="213">C255</f>
        <v>17.371592778833971</v>
      </c>
      <c r="D284" s="66">
        <f t="shared" si="213"/>
        <v>17.424281885191313</v>
      </c>
      <c r="E284" s="66">
        <f t="shared" si="213"/>
        <v>17.499657357099085</v>
      </c>
      <c r="F284" s="66">
        <f t="shared" si="213"/>
        <v>17.607385538878944</v>
      </c>
      <c r="G284" s="66">
        <f t="shared" si="213"/>
        <v>17.761136935304318</v>
      </c>
      <c r="H284" s="66">
        <f t="shared" si="213"/>
        <v>17.980116643160411</v>
      </c>
      <c r="I284" s="66">
        <f t="shared" si="213"/>
        <v>18.291036437183369</v>
      </c>
      <c r="J284" s="66">
        <f t="shared" si="213"/>
        <v>18.730491688550217</v>
      </c>
      <c r="K284" s="66">
        <f t="shared" si="213"/>
        <v>19.347478933039792</v>
      </c>
      <c r="L284" s="66">
        <f t="shared" si="213"/>
        <v>20.2053151761856</v>
      </c>
      <c r="M284" s="66">
        <f t="shared" si="213"/>
        <v>21.381376573820816</v>
      </c>
      <c r="N284" s="66">
        <f t="shared" si="213"/>
        <v>22.961877070598074</v>
      </c>
      <c r="O284" s="66">
        <f t="shared" si="213"/>
        <v>25.027896550126819</v>
      </c>
      <c r="P284" s="66">
        <f t="shared" si="213"/>
        <v>27.629698881977127</v>
      </c>
      <c r="Q284" s="66">
        <f t="shared" si="213"/>
        <v>30.751786995449869</v>
      </c>
      <c r="R284" s="66">
        <f t="shared" si="213"/>
        <v>34.282161979674356</v>
      </c>
      <c r="S284" s="66">
        <f t="shared" si="213"/>
        <v>38.009164365756064</v>
      </c>
      <c r="T284" s="66">
        <f t="shared" si="213"/>
        <v>41.662826316042121</v>
      </c>
      <c r="U284" s="66">
        <f t="shared" si="213"/>
        <v>44.988829994737316</v>
      </c>
      <c r="V284" s="66">
        <f t="shared" si="213"/>
        <v>47.815459489596307</v>
      </c>
      <c r="W284" s="66">
        <f t="shared" si="213"/>
        <v>50.07908349431699</v>
      </c>
      <c r="X284" s="66">
        <f t="shared" si="213"/>
        <v>51.806329076721653</v>
      </c>
      <c r="Y284" s="66">
        <f t="shared" si="213"/>
        <v>53.075993105085033</v>
      </c>
      <c r="Z284" s="66">
        <f t="shared" si="213"/>
        <v>53.98378451756151</v>
      </c>
      <c r="AA284" s="66">
        <f t="shared" si="213"/>
        <v>54.620012235388991</v>
      </c>
      <c r="AB284" s="66">
        <f t="shared" si="213"/>
        <v>55.059684694019481</v>
      </c>
      <c r="AC284" s="66">
        <f t="shared" si="213"/>
        <v>55.360574467179326</v>
      </c>
    </row>
    <row r="285" spans="1:29" ht="15" thickBot="1" x14ac:dyDescent="0.35">
      <c r="A285" s="31" t="s">
        <v>63</v>
      </c>
      <c r="B285" s="76">
        <f>B276+B277+B278-B279+B280+B281+B282+B283+B284</f>
        <v>80.617310276253917</v>
      </c>
      <c r="C285" s="76">
        <f t="shared" ref="C285:AC285" si="214">C276+C277+C278-C279+C280+C281+C282+C283+C284</f>
        <v>80.651902885374938</v>
      </c>
      <c r="D285" s="76">
        <f t="shared" si="214"/>
        <v>80.701421434843411</v>
      </c>
      <c r="E285" s="76">
        <f t="shared" si="214"/>
        <v>80.772261202158163</v>
      </c>
      <c r="F285" s="76">
        <f t="shared" si="214"/>
        <v>80.873506861221642</v>
      </c>
      <c r="G285" s="76">
        <f t="shared" si="214"/>
        <v>81.018006296799527</v>
      </c>
      <c r="H285" s="76">
        <f t="shared" si="214"/>
        <v>81.22380894265433</v>
      </c>
      <c r="I285" s="76">
        <f t="shared" si="214"/>
        <v>81.516019197590865</v>
      </c>
      <c r="J285" s="76">
        <f t="shared" si="214"/>
        <v>81.929030313330955</v>
      </c>
      <c r="K285" s="76">
        <f t="shared" si="214"/>
        <v>82.508890468492311</v>
      </c>
      <c r="L285" s="76">
        <f t="shared" si="214"/>
        <v>83.315106579921093</v>
      </c>
      <c r="M285" s="76">
        <f t="shared" si="214"/>
        <v>84.420398708085258</v>
      </c>
      <c r="N285" s="76">
        <f t="shared" si="214"/>
        <v>85.905792890021758</v>
      </c>
      <c r="O285" s="76">
        <f t="shared" si="214"/>
        <v>87.847490042864834</v>
      </c>
      <c r="P285" s="76">
        <f t="shared" si="214"/>
        <v>90.292729417455121</v>
      </c>
      <c r="Q285" s="76">
        <f t="shared" si="214"/>
        <v>93.226946476356233</v>
      </c>
      <c r="R285" s="76">
        <f t="shared" si="214"/>
        <v>96.544881821719315</v>
      </c>
      <c r="S285" s="76">
        <f t="shared" si="214"/>
        <v>100.04761255267297</v>
      </c>
      <c r="T285" s="76">
        <f t="shared" si="214"/>
        <v>103.48141609451551</v>
      </c>
      <c r="U285" s="76">
        <f t="shared" si="214"/>
        <v>106.60727813853705</v>
      </c>
      <c r="V285" s="76">
        <f t="shared" si="214"/>
        <v>109.2638157446403</v>
      </c>
      <c r="W285" s="76">
        <f t="shared" si="214"/>
        <v>111.39122660819902</v>
      </c>
      <c r="X285" s="76">
        <f t="shared" si="214"/>
        <v>113.01453551832648</v>
      </c>
      <c r="Y285" s="76">
        <f t="shared" si="214"/>
        <v>114.20779775683295</v>
      </c>
      <c r="Z285" s="76">
        <f t="shared" si="214"/>
        <v>115.06096299484078</v>
      </c>
      <c r="AA285" s="76">
        <f t="shared" si="214"/>
        <v>115.65890583154011</v>
      </c>
      <c r="AB285" s="76">
        <f t="shared" si="214"/>
        <v>116.07212108413833</v>
      </c>
      <c r="AC285" s="76">
        <f t="shared" si="214"/>
        <v>116.35490487279716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15">A264</f>
        <v>Capex vehicle</v>
      </c>
      <c r="B288" s="65">
        <f>((1+B249)^B256)*B249/(((1+B249)^B256)-1)*(B245)/B261/(B258)</f>
        <v>1.0347449498978036E-3</v>
      </c>
      <c r="C288" s="65">
        <f t="shared" ref="C288:AC288" si="216">((1+C249)^C256)*C249/(((1+C249)^C256)-1)*(C245)/C261/(C258)</f>
        <v>1.0347449498978036E-3</v>
      </c>
      <c r="D288" s="65">
        <f t="shared" si="216"/>
        <v>1.0347449498978036E-3</v>
      </c>
      <c r="E288" s="65">
        <f t="shared" si="216"/>
        <v>1.0347449498978036E-3</v>
      </c>
      <c r="F288" s="65">
        <f t="shared" si="216"/>
        <v>1.0347449498978036E-3</v>
      </c>
      <c r="G288" s="65">
        <f t="shared" si="216"/>
        <v>1.0347449498978036E-3</v>
      </c>
      <c r="H288" s="65">
        <f t="shared" si="216"/>
        <v>1.0347449498978036E-3</v>
      </c>
      <c r="I288" s="65">
        <f t="shared" si="216"/>
        <v>1.0347449498978036E-3</v>
      </c>
      <c r="J288" s="65">
        <f t="shared" si="216"/>
        <v>1.0347449498978036E-3</v>
      </c>
      <c r="K288" s="65">
        <f t="shared" si="216"/>
        <v>1.0347449498978036E-3</v>
      </c>
      <c r="L288" s="65">
        <f t="shared" si="216"/>
        <v>1.0347449498978036E-3</v>
      </c>
      <c r="M288" s="65">
        <f t="shared" si="216"/>
        <v>1.0347449498978036E-3</v>
      </c>
      <c r="N288" s="65">
        <f t="shared" si="216"/>
        <v>1.0347449498978036E-3</v>
      </c>
      <c r="O288" s="65">
        <f t="shared" si="216"/>
        <v>1.0347449498978036E-3</v>
      </c>
      <c r="P288" s="65">
        <f t="shared" si="216"/>
        <v>1.0347449498978036E-3</v>
      </c>
      <c r="Q288" s="65">
        <f t="shared" si="216"/>
        <v>1.0347449498978036E-3</v>
      </c>
      <c r="R288" s="65">
        <f t="shared" si="216"/>
        <v>1.0347449498978036E-3</v>
      </c>
      <c r="S288" s="65">
        <f t="shared" si="216"/>
        <v>1.0347449498978036E-3</v>
      </c>
      <c r="T288" s="65">
        <f t="shared" si="216"/>
        <v>1.0347449498978036E-3</v>
      </c>
      <c r="U288" s="65">
        <f t="shared" si="216"/>
        <v>1.0347449498978036E-3</v>
      </c>
      <c r="V288" s="65">
        <f t="shared" si="216"/>
        <v>1.0347449498978036E-3</v>
      </c>
      <c r="W288" s="65">
        <f t="shared" si="216"/>
        <v>1.0347449498978036E-3</v>
      </c>
      <c r="X288" s="65">
        <f t="shared" si="216"/>
        <v>1.0347449498978036E-3</v>
      </c>
      <c r="Y288" s="65">
        <f t="shared" si="216"/>
        <v>1.0347449498978036E-3</v>
      </c>
      <c r="Z288" s="65">
        <f t="shared" si="216"/>
        <v>1.0347449498978036E-3</v>
      </c>
      <c r="AA288" s="65">
        <f t="shared" si="216"/>
        <v>1.0347449498978036E-3</v>
      </c>
      <c r="AB288" s="65">
        <f t="shared" si="216"/>
        <v>1.0347449498978036E-3</v>
      </c>
      <c r="AC288" s="65">
        <f t="shared" si="216"/>
        <v>1.0347449498978036E-3</v>
      </c>
    </row>
    <row r="289" spans="1:29" x14ac:dyDescent="0.3">
      <c r="A289" s="30" t="str">
        <f t="shared" si="215"/>
        <v>Residual value (vehicle)</v>
      </c>
      <c r="B289" s="68">
        <f>((1+B249)^B256)*B249/(((1+B249)^B256)-1)*(B246)/B261/(B258)</f>
        <v>-1.0336086682377807E-4</v>
      </c>
      <c r="C289" s="68">
        <f t="shared" ref="C289:AC289" si="217">((1+C249)^C256)*C249/(((1+C249)^C256)-1)*(C246)/C261/(C258)</f>
        <v>-1.0331170855999495E-4</v>
      </c>
      <c r="D289" s="68">
        <f t="shared" si="217"/>
        <v>-1.0324133960030145E-4</v>
      </c>
      <c r="E289" s="68">
        <f t="shared" si="217"/>
        <v>-1.0314067185489343E-4</v>
      </c>
      <c r="F289" s="68">
        <f t="shared" si="217"/>
        <v>-1.0299679543326449E-4</v>
      </c>
      <c r="G289" s="68">
        <f t="shared" si="217"/>
        <v>-1.0279145268661591E-4</v>
      </c>
      <c r="H289" s="68">
        <f t="shared" si="217"/>
        <v>-1.0249899423929835E-4</v>
      </c>
      <c r="I289" s="68">
        <f t="shared" si="217"/>
        <v>-1.0208374516854875E-4</v>
      </c>
      <c r="J289" s="68">
        <f t="shared" si="217"/>
        <v>-1.0149683050993223E-4</v>
      </c>
      <c r="K289" s="68">
        <f t="shared" si="217"/>
        <v>-1.0067281291805218E-4</v>
      </c>
      <c r="L289" s="68">
        <f t="shared" si="217"/>
        <v>-9.9527129337690295E-5</v>
      </c>
      <c r="M289" s="68">
        <f t="shared" si="217"/>
        <v>-9.7956440009122124E-5</v>
      </c>
      <c r="N289" s="68">
        <f t="shared" si="217"/>
        <v>-9.5845601859790468E-5</v>
      </c>
      <c r="O289" s="68">
        <f t="shared" si="217"/>
        <v>-9.3086328614673487E-5</v>
      </c>
      <c r="P289" s="68">
        <f t="shared" si="217"/>
        <v>-8.9611490340159677E-5</v>
      </c>
      <c r="Q289" s="68">
        <f t="shared" si="217"/>
        <v>-8.5441784155991385E-5</v>
      </c>
      <c r="R289" s="68">
        <f t="shared" si="217"/>
        <v>-8.0726790257955685E-5</v>
      </c>
      <c r="S289" s="68">
        <f t="shared" si="217"/>
        <v>-7.5749190544932557E-5</v>
      </c>
      <c r="T289" s="68">
        <f t="shared" si="217"/>
        <v>-7.086954068392259E-5</v>
      </c>
      <c r="U289" s="68">
        <f t="shared" si="217"/>
        <v>-6.6427494974906487E-5</v>
      </c>
      <c r="V289" s="68">
        <f t="shared" si="217"/>
        <v>-6.2652388681716054E-5</v>
      </c>
      <c r="W289" s="68">
        <f t="shared" si="217"/>
        <v>-5.9629204624102501E-5</v>
      </c>
      <c r="X289" s="68">
        <f t="shared" si="217"/>
        <v>-5.7322381009659713E-5</v>
      </c>
      <c r="Y289" s="68">
        <f t="shared" si="217"/>
        <v>-5.5626680645522941E-5</v>
      </c>
      <c r="Z289" s="68">
        <f t="shared" si="217"/>
        <v>-5.4414279416293167E-5</v>
      </c>
      <c r="AA289" s="68">
        <f t="shared" si="217"/>
        <v>-5.3564565201592909E-5</v>
      </c>
      <c r="AB289" s="68">
        <f t="shared" si="217"/>
        <v>-5.2977360451717727E-5</v>
      </c>
      <c r="AC289" s="68">
        <f t="shared" si="217"/>
        <v>-5.2575506979843073E-5</v>
      </c>
    </row>
    <row r="290" spans="1:29" x14ac:dyDescent="0.3">
      <c r="A290" s="30" t="str">
        <f t="shared" si="215"/>
        <v>Capex costumization</v>
      </c>
      <c r="B290" s="66">
        <f>((1+B249)^B257)*B249/(((1+B249)^B257)-1)*(B247)/B261/(B258)</f>
        <v>6.8982996659853576E-5</v>
      </c>
      <c r="C290" s="66">
        <f t="shared" ref="C290:AC290" si="218">((1+C249)^C257)*C249/(((1+C249)^C257)-1)*(C247)/C261/(C258)</f>
        <v>6.8982996659853576E-5</v>
      </c>
      <c r="D290" s="66">
        <f t="shared" si="218"/>
        <v>6.8982996659853576E-5</v>
      </c>
      <c r="E290" s="66">
        <f t="shared" si="218"/>
        <v>6.8982996659853576E-5</v>
      </c>
      <c r="F290" s="66">
        <f t="shared" si="218"/>
        <v>6.8982996659853576E-5</v>
      </c>
      <c r="G290" s="66">
        <f t="shared" si="218"/>
        <v>6.8982996659853576E-5</v>
      </c>
      <c r="H290" s="66">
        <f t="shared" si="218"/>
        <v>6.8982996659853576E-5</v>
      </c>
      <c r="I290" s="66">
        <f t="shared" si="218"/>
        <v>6.8982996659853576E-5</v>
      </c>
      <c r="J290" s="66">
        <f t="shared" si="218"/>
        <v>6.8982996659853576E-5</v>
      </c>
      <c r="K290" s="66">
        <f t="shared" si="218"/>
        <v>6.8982996659853576E-5</v>
      </c>
      <c r="L290" s="66">
        <f t="shared" si="218"/>
        <v>6.8982996659853576E-5</v>
      </c>
      <c r="M290" s="66">
        <f t="shared" si="218"/>
        <v>6.8982996659853576E-5</v>
      </c>
      <c r="N290" s="66">
        <f t="shared" si="218"/>
        <v>6.8982996659853576E-5</v>
      </c>
      <c r="O290" s="66">
        <f t="shared" si="218"/>
        <v>6.8982996659853576E-5</v>
      </c>
      <c r="P290" s="66">
        <f t="shared" si="218"/>
        <v>6.8982996659853576E-5</v>
      </c>
      <c r="Q290" s="66">
        <f t="shared" si="218"/>
        <v>6.8982996659853576E-5</v>
      </c>
      <c r="R290" s="66">
        <f t="shared" si="218"/>
        <v>6.8982996659853576E-5</v>
      </c>
      <c r="S290" s="66">
        <f t="shared" si="218"/>
        <v>6.8982996659853576E-5</v>
      </c>
      <c r="T290" s="66">
        <f t="shared" si="218"/>
        <v>6.8982996659853576E-5</v>
      </c>
      <c r="U290" s="66">
        <f t="shared" si="218"/>
        <v>6.8982996659853576E-5</v>
      </c>
      <c r="V290" s="66">
        <f t="shared" si="218"/>
        <v>6.8982996659853576E-5</v>
      </c>
      <c r="W290" s="66">
        <f t="shared" si="218"/>
        <v>6.8982996659853576E-5</v>
      </c>
      <c r="X290" s="66">
        <f t="shared" si="218"/>
        <v>6.8982996659853576E-5</v>
      </c>
      <c r="Y290" s="66">
        <f t="shared" si="218"/>
        <v>6.8982996659853576E-5</v>
      </c>
      <c r="Z290" s="66">
        <f t="shared" si="218"/>
        <v>6.8982996659853576E-5</v>
      </c>
      <c r="AA290" s="66">
        <f t="shared" si="218"/>
        <v>6.8982996659853576E-5</v>
      </c>
      <c r="AB290" s="66">
        <f t="shared" si="218"/>
        <v>6.8982996659853576E-5</v>
      </c>
      <c r="AC290" s="66">
        <f t="shared" si="218"/>
        <v>6.8982996659853576E-5</v>
      </c>
    </row>
    <row r="291" spans="1:29" x14ac:dyDescent="0.3">
      <c r="A291" s="30" t="str">
        <f t="shared" si="215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19">((1+C249)^C257)*C249/(((1+C249)^C257)-1)*(C248)/C261/(C258)</f>
        <v>-6.8982996659853564E-6</v>
      </c>
      <c r="D291" s="69">
        <f t="shared" si="219"/>
        <v>-6.8982996659853564E-6</v>
      </c>
      <c r="E291" s="69">
        <f t="shared" si="219"/>
        <v>-6.8982996659853564E-6</v>
      </c>
      <c r="F291" s="69">
        <f t="shared" si="219"/>
        <v>-6.8982996659853564E-6</v>
      </c>
      <c r="G291" s="69">
        <f t="shared" si="219"/>
        <v>-6.8982996659853564E-6</v>
      </c>
      <c r="H291" s="69">
        <f t="shared" si="219"/>
        <v>-6.8982996659853564E-6</v>
      </c>
      <c r="I291" s="69">
        <f t="shared" si="219"/>
        <v>-6.8982996659853564E-6</v>
      </c>
      <c r="J291" s="69">
        <f t="shared" si="219"/>
        <v>-6.8982996659853564E-6</v>
      </c>
      <c r="K291" s="69">
        <f t="shared" si="219"/>
        <v>-6.8982996659853564E-6</v>
      </c>
      <c r="L291" s="69">
        <f t="shared" si="219"/>
        <v>-6.8982996659853564E-6</v>
      </c>
      <c r="M291" s="69">
        <f t="shared" si="219"/>
        <v>-6.8982996659853564E-6</v>
      </c>
      <c r="N291" s="69">
        <f t="shared" si="219"/>
        <v>-6.8982996659853564E-6</v>
      </c>
      <c r="O291" s="69">
        <f t="shared" si="219"/>
        <v>-6.8982996659853564E-6</v>
      </c>
      <c r="P291" s="69">
        <f t="shared" si="219"/>
        <v>-6.8982996659853564E-6</v>
      </c>
      <c r="Q291" s="69">
        <f t="shared" si="219"/>
        <v>-6.8982996659853564E-6</v>
      </c>
      <c r="R291" s="69">
        <f t="shared" si="219"/>
        <v>-6.8982996659853564E-6</v>
      </c>
      <c r="S291" s="69">
        <f t="shared" si="219"/>
        <v>-6.8982996659853564E-6</v>
      </c>
      <c r="T291" s="69">
        <f t="shared" si="219"/>
        <v>-6.8982996659853564E-6</v>
      </c>
      <c r="U291" s="69">
        <f t="shared" si="219"/>
        <v>-6.8982996659853564E-6</v>
      </c>
      <c r="V291" s="69">
        <f t="shared" si="219"/>
        <v>-6.8982996659853564E-6</v>
      </c>
      <c r="W291" s="69">
        <f t="shared" si="219"/>
        <v>-6.8982996659853564E-6</v>
      </c>
      <c r="X291" s="69">
        <f t="shared" si="219"/>
        <v>-6.8982996659853564E-6</v>
      </c>
      <c r="Y291" s="69">
        <f t="shared" si="219"/>
        <v>-6.8982996659853564E-6</v>
      </c>
      <c r="Z291" s="69">
        <f t="shared" si="219"/>
        <v>-6.8982996659853564E-6</v>
      </c>
      <c r="AA291" s="69">
        <f t="shared" si="219"/>
        <v>-6.8982996659853564E-6</v>
      </c>
      <c r="AB291" s="69">
        <f t="shared" si="219"/>
        <v>-6.8982996659853564E-6</v>
      </c>
      <c r="AC291" s="69">
        <f t="shared" si="219"/>
        <v>-6.8982996659853564E-6</v>
      </c>
    </row>
    <row r="292" spans="1:29" x14ac:dyDescent="0.3">
      <c r="A292" s="30" t="str">
        <f t="shared" si="215"/>
        <v>Opex fix (admin, crew, insurance)</v>
      </c>
      <c r="B292" s="66">
        <f>B250/B261/(B258)</f>
        <v>1.0654632223259673E-3</v>
      </c>
      <c r="C292" s="66">
        <f t="shared" ref="C292:AC292" si="220">C250/C261/(C258)</f>
        <v>1.0654632223259673E-3</v>
      </c>
      <c r="D292" s="66">
        <f t="shared" si="220"/>
        <v>1.0654632223259673E-3</v>
      </c>
      <c r="E292" s="66">
        <f t="shared" si="220"/>
        <v>1.0654632223259673E-3</v>
      </c>
      <c r="F292" s="66">
        <f t="shared" si="220"/>
        <v>1.0654632223259673E-3</v>
      </c>
      <c r="G292" s="66">
        <f t="shared" si="220"/>
        <v>1.0654632223259673E-3</v>
      </c>
      <c r="H292" s="66">
        <f t="shared" si="220"/>
        <v>1.0654632223259673E-3</v>
      </c>
      <c r="I292" s="66">
        <f t="shared" si="220"/>
        <v>1.0654632223259673E-3</v>
      </c>
      <c r="J292" s="66">
        <f t="shared" si="220"/>
        <v>1.0654632223259673E-3</v>
      </c>
      <c r="K292" s="66">
        <f t="shared" si="220"/>
        <v>1.0654632223259673E-3</v>
      </c>
      <c r="L292" s="66">
        <f t="shared" si="220"/>
        <v>1.0654632223259673E-3</v>
      </c>
      <c r="M292" s="66">
        <f t="shared" si="220"/>
        <v>1.0654632223259673E-3</v>
      </c>
      <c r="N292" s="66">
        <f t="shared" si="220"/>
        <v>1.0654632223259673E-3</v>
      </c>
      <c r="O292" s="66">
        <f t="shared" si="220"/>
        <v>1.0654632223259673E-3</v>
      </c>
      <c r="P292" s="66">
        <f t="shared" si="220"/>
        <v>1.0654632223259673E-3</v>
      </c>
      <c r="Q292" s="66">
        <f t="shared" si="220"/>
        <v>1.0654632223259673E-3</v>
      </c>
      <c r="R292" s="66">
        <f t="shared" si="220"/>
        <v>1.0654632223259673E-3</v>
      </c>
      <c r="S292" s="66">
        <f t="shared" si="220"/>
        <v>1.0654632223259673E-3</v>
      </c>
      <c r="T292" s="66">
        <f t="shared" si="220"/>
        <v>1.0654632223259673E-3</v>
      </c>
      <c r="U292" s="66">
        <f t="shared" si="220"/>
        <v>1.0654632223259673E-3</v>
      </c>
      <c r="V292" s="66">
        <f t="shared" si="220"/>
        <v>1.0654632223259673E-3</v>
      </c>
      <c r="W292" s="66">
        <f t="shared" si="220"/>
        <v>1.0654632223259673E-3</v>
      </c>
      <c r="X292" s="66">
        <f t="shared" si="220"/>
        <v>1.0654632223259673E-3</v>
      </c>
      <c r="Y292" s="66">
        <f t="shared" si="220"/>
        <v>1.0654632223259673E-3</v>
      </c>
      <c r="Z292" s="66">
        <f t="shared" si="220"/>
        <v>1.0654632223259673E-3</v>
      </c>
      <c r="AA292" s="66">
        <f t="shared" si="220"/>
        <v>1.0654632223259673E-3</v>
      </c>
      <c r="AB292" s="66">
        <f t="shared" si="220"/>
        <v>1.0654632223259673E-3</v>
      </c>
      <c r="AC292" s="66">
        <f t="shared" si="220"/>
        <v>1.0654632223259673E-3</v>
      </c>
    </row>
    <row r="293" spans="1:29" x14ac:dyDescent="0.3">
      <c r="A293" s="30" t="str">
        <f t="shared" si="215"/>
        <v>Opex maintenance &amp; repair</v>
      </c>
      <c r="B293" s="66">
        <f>B251/B261/(B258)</f>
        <v>4.305425874053325E-4</v>
      </c>
      <c r="C293" s="66">
        <f t="shared" ref="C293:AC293" si="221">C251/C261/(C258)</f>
        <v>4.305425874053325E-4</v>
      </c>
      <c r="D293" s="66">
        <f t="shared" si="221"/>
        <v>4.305425874053325E-4</v>
      </c>
      <c r="E293" s="66">
        <f t="shared" si="221"/>
        <v>4.305425874053325E-4</v>
      </c>
      <c r="F293" s="66">
        <f t="shared" si="221"/>
        <v>4.305425874053325E-4</v>
      </c>
      <c r="G293" s="66">
        <f t="shared" si="221"/>
        <v>4.305425874053325E-4</v>
      </c>
      <c r="H293" s="66">
        <f t="shared" si="221"/>
        <v>4.305425874053325E-4</v>
      </c>
      <c r="I293" s="66">
        <f t="shared" si="221"/>
        <v>4.305425874053325E-4</v>
      </c>
      <c r="J293" s="66">
        <f t="shared" si="221"/>
        <v>4.305425874053325E-4</v>
      </c>
      <c r="K293" s="66">
        <f t="shared" si="221"/>
        <v>4.305425874053325E-4</v>
      </c>
      <c r="L293" s="66">
        <f t="shared" si="221"/>
        <v>4.305425874053325E-4</v>
      </c>
      <c r="M293" s="66">
        <f t="shared" si="221"/>
        <v>4.305425874053325E-4</v>
      </c>
      <c r="N293" s="66">
        <f t="shared" si="221"/>
        <v>4.305425874053325E-4</v>
      </c>
      <c r="O293" s="66">
        <f t="shared" si="221"/>
        <v>4.305425874053325E-4</v>
      </c>
      <c r="P293" s="66">
        <f t="shared" si="221"/>
        <v>4.305425874053325E-4</v>
      </c>
      <c r="Q293" s="66">
        <f t="shared" si="221"/>
        <v>4.305425874053325E-4</v>
      </c>
      <c r="R293" s="66">
        <f t="shared" si="221"/>
        <v>4.305425874053325E-4</v>
      </c>
      <c r="S293" s="66">
        <f t="shared" si="221"/>
        <v>4.305425874053325E-4</v>
      </c>
      <c r="T293" s="66">
        <f t="shared" si="221"/>
        <v>4.305425874053325E-4</v>
      </c>
      <c r="U293" s="66">
        <f t="shared" si="221"/>
        <v>4.305425874053325E-4</v>
      </c>
      <c r="V293" s="66">
        <f t="shared" si="221"/>
        <v>4.305425874053325E-4</v>
      </c>
      <c r="W293" s="66">
        <f t="shared" si="221"/>
        <v>4.305425874053325E-4</v>
      </c>
      <c r="X293" s="66">
        <f t="shared" si="221"/>
        <v>4.305425874053325E-4</v>
      </c>
      <c r="Y293" s="66">
        <f t="shared" si="221"/>
        <v>4.305425874053325E-4</v>
      </c>
      <c r="Z293" s="66">
        <f t="shared" si="221"/>
        <v>4.305425874053325E-4</v>
      </c>
      <c r="AA293" s="66">
        <f t="shared" si="221"/>
        <v>4.305425874053325E-4</v>
      </c>
      <c r="AB293" s="66">
        <f t="shared" si="221"/>
        <v>4.305425874053325E-4</v>
      </c>
      <c r="AC293" s="66">
        <f t="shared" si="221"/>
        <v>4.305425874053325E-4</v>
      </c>
    </row>
    <row r="294" spans="1:29" x14ac:dyDescent="0.3">
      <c r="A294" s="30" t="str">
        <f t="shared" si="215"/>
        <v>Opex var (mode-fees)</v>
      </c>
      <c r="B294" s="66">
        <f>B252*B261/B261/(B258)</f>
        <v>8.6011184229469056E-5</v>
      </c>
      <c r="C294" s="66">
        <f t="shared" ref="C294:AC294" si="222">C252*C261/C261/(C258)</f>
        <v>8.6011184229469056E-5</v>
      </c>
      <c r="D294" s="66">
        <f t="shared" si="222"/>
        <v>8.6011184229469056E-5</v>
      </c>
      <c r="E294" s="66">
        <f t="shared" si="222"/>
        <v>8.6011184229469056E-5</v>
      </c>
      <c r="F294" s="66">
        <f t="shared" si="222"/>
        <v>8.6011184229469056E-5</v>
      </c>
      <c r="G294" s="66">
        <f t="shared" si="222"/>
        <v>8.6011184229469056E-5</v>
      </c>
      <c r="H294" s="66">
        <f t="shared" si="222"/>
        <v>8.6011184229469056E-5</v>
      </c>
      <c r="I294" s="66">
        <f t="shared" si="222"/>
        <v>8.6011184229469056E-5</v>
      </c>
      <c r="J294" s="66">
        <f t="shared" si="222"/>
        <v>8.6011184229469056E-5</v>
      </c>
      <c r="K294" s="66">
        <f t="shared" si="222"/>
        <v>8.6011184229469056E-5</v>
      </c>
      <c r="L294" s="66">
        <f t="shared" si="222"/>
        <v>8.6011184229469056E-5</v>
      </c>
      <c r="M294" s="66">
        <f t="shared" si="222"/>
        <v>8.6011184229469056E-5</v>
      </c>
      <c r="N294" s="66">
        <f t="shared" si="222"/>
        <v>8.6011184229469056E-5</v>
      </c>
      <c r="O294" s="66">
        <f t="shared" si="222"/>
        <v>8.6011184229469056E-5</v>
      </c>
      <c r="P294" s="66">
        <f t="shared" si="222"/>
        <v>8.6011184229469056E-5</v>
      </c>
      <c r="Q294" s="66">
        <f t="shared" si="222"/>
        <v>8.6011184229469056E-5</v>
      </c>
      <c r="R294" s="66">
        <f t="shared" si="222"/>
        <v>8.6011184229469056E-5</v>
      </c>
      <c r="S294" s="66">
        <f t="shared" si="222"/>
        <v>8.6011184229469056E-5</v>
      </c>
      <c r="T294" s="66">
        <f t="shared" si="222"/>
        <v>8.6011184229469056E-5</v>
      </c>
      <c r="U294" s="66">
        <f t="shared" si="222"/>
        <v>8.6011184229469056E-5</v>
      </c>
      <c r="V294" s="66">
        <f t="shared" si="222"/>
        <v>8.6011184229469056E-5</v>
      </c>
      <c r="W294" s="66">
        <f t="shared" si="222"/>
        <v>8.6011184229469056E-5</v>
      </c>
      <c r="X294" s="66">
        <f t="shared" si="222"/>
        <v>8.6011184229469056E-5</v>
      </c>
      <c r="Y294" s="66">
        <f t="shared" si="222"/>
        <v>8.6011184229469056E-5</v>
      </c>
      <c r="Z294" s="66">
        <f t="shared" si="222"/>
        <v>8.6011184229469056E-5</v>
      </c>
      <c r="AA294" s="66">
        <f t="shared" si="222"/>
        <v>8.6011184229469056E-5</v>
      </c>
      <c r="AB294" s="66">
        <f t="shared" si="222"/>
        <v>8.6011184229469056E-5</v>
      </c>
      <c r="AC294" s="66">
        <f t="shared" si="222"/>
        <v>8.6011184229469056E-5</v>
      </c>
    </row>
    <row r="295" spans="1:29" x14ac:dyDescent="0.3">
      <c r="A295" s="30" t="str">
        <f t="shared" si="215"/>
        <v>Fuel Cost</v>
      </c>
      <c r="B295" s="66">
        <f>B253*B254*B261/B261/(B258)</f>
        <v>4.1072811176853007E-3</v>
      </c>
      <c r="C295" s="66">
        <f t="shared" ref="C295:AC295" si="223">C253*C254*C261/C261/(C258)</f>
        <v>4.1069975801788601E-3</v>
      </c>
      <c r="D295" s="66">
        <f t="shared" si="223"/>
        <v>4.106591702553679E-3</v>
      </c>
      <c r="E295" s="66">
        <f t="shared" si="223"/>
        <v>4.1060110660682677E-3</v>
      </c>
      <c r="F295" s="66">
        <f t="shared" si="223"/>
        <v>4.1051812084068112E-3</v>
      </c>
      <c r="G295" s="66">
        <f t="shared" si="223"/>
        <v>4.1039968221842377E-3</v>
      </c>
      <c r="H295" s="66">
        <f t="shared" si="223"/>
        <v>4.1023099656415452E-3</v>
      </c>
      <c r="I295" s="66">
        <f t="shared" si="223"/>
        <v>4.0999148711648248E-3</v>
      </c>
      <c r="J295" s="66">
        <f t="shared" si="223"/>
        <v>4.0965296352758638E-3</v>
      </c>
      <c r="K295" s="66">
        <f t="shared" si="223"/>
        <v>4.0917768251624784E-3</v>
      </c>
      <c r="L295" s="66">
        <f t="shared" si="223"/>
        <v>4.0851686937813745E-3</v>
      </c>
      <c r="M295" s="66">
        <f t="shared" si="223"/>
        <v>4.076109192868568E-3</v>
      </c>
      <c r="N295" s="66">
        <f t="shared" si="223"/>
        <v>4.0639341944186261E-3</v>
      </c>
      <c r="O295" s="66">
        <f t="shared" si="223"/>
        <v>4.0480191194078299E-3</v>
      </c>
      <c r="P295" s="66">
        <f t="shared" si="223"/>
        <v>4.0279767724285516E-3</v>
      </c>
      <c r="Q295" s="66">
        <f t="shared" si="223"/>
        <v>4.0039265313690777E-3</v>
      </c>
      <c r="R295" s="66">
        <f t="shared" si="223"/>
        <v>3.9767311524063443E-3</v>
      </c>
      <c r="S295" s="66">
        <f t="shared" si="223"/>
        <v>3.9480211024152199E-3</v>
      </c>
      <c r="T295" s="66">
        <f t="shared" si="223"/>
        <v>3.9198760125072774E-3</v>
      </c>
      <c r="U295" s="66">
        <f t="shared" si="223"/>
        <v>3.894254957838086E-3</v>
      </c>
      <c r="V295" s="66">
        <f t="shared" si="223"/>
        <v>3.8724807098776209E-3</v>
      </c>
      <c r="W295" s="66">
        <f t="shared" si="223"/>
        <v>3.8550434368081602E-3</v>
      </c>
      <c r="X295" s="66">
        <f t="shared" si="223"/>
        <v>3.8417380235347544E-3</v>
      </c>
      <c r="Y295" s="66">
        <f t="shared" si="223"/>
        <v>3.8319574776831127E-3</v>
      </c>
      <c r="Z295" s="66">
        <f t="shared" si="223"/>
        <v>3.8249645288910635E-3</v>
      </c>
      <c r="AA295" s="66">
        <f t="shared" si="223"/>
        <v>3.8200635045040725E-3</v>
      </c>
      <c r="AB295" s="66">
        <f t="shared" si="223"/>
        <v>3.8166765954121581E-3</v>
      </c>
      <c r="AC295" s="66">
        <f t="shared" si="223"/>
        <v>3.8143587647444083E-3</v>
      </c>
    </row>
    <row r="296" spans="1:29" x14ac:dyDescent="0.3">
      <c r="A296" s="59" t="str">
        <f>A259</f>
        <v>Market failure (av. utilization)</v>
      </c>
      <c r="B296" s="66">
        <f t="shared" ref="B296:AC296" si="224">B285/B259-B285/B258</f>
        <v>1.3343253091443465E-2</v>
      </c>
      <c r="C296" s="66">
        <f t="shared" si="224"/>
        <v>1.3348978635213324E-2</v>
      </c>
      <c r="D296" s="66">
        <f t="shared" si="224"/>
        <v>1.3357174623593673E-2</v>
      </c>
      <c r="E296" s="66">
        <f t="shared" si="224"/>
        <v>1.3368899561339432E-2</v>
      </c>
      <c r="F296" s="66">
        <f t="shared" si="224"/>
        <v>1.3385657084614084E-2</v>
      </c>
      <c r="G296" s="66">
        <f t="shared" si="224"/>
        <v>1.3409573691777973E-2</v>
      </c>
      <c r="H296" s="66">
        <f t="shared" si="224"/>
        <v>1.3443636807765336E-2</v>
      </c>
      <c r="I296" s="66">
        <f t="shared" si="224"/>
        <v>1.3492001549458805E-2</v>
      </c>
      <c r="J296" s="66">
        <f t="shared" si="224"/>
        <v>1.3560360464287581E-2</v>
      </c>
      <c r="K296" s="66">
        <f t="shared" si="224"/>
        <v>1.3656335147410204E-2</v>
      </c>
      <c r="L296" s="66">
        <f t="shared" si="224"/>
        <v>1.3789774796839472E-2</v>
      </c>
      <c r="M296" s="66">
        <f t="shared" si="224"/>
        <v>1.3972715564219782E-2</v>
      </c>
      <c r="N296" s="66">
        <f t="shared" si="224"/>
        <v>1.421856835243882E-2</v>
      </c>
      <c r="O296" s="66">
        <f t="shared" si="224"/>
        <v>1.453994544190681E-2</v>
      </c>
      <c r="P296" s="66">
        <f t="shared" si="224"/>
        <v>1.4944665566313289E-2</v>
      </c>
      <c r="Q296" s="66">
        <f t="shared" si="224"/>
        <v>1.5430318098108072E-2</v>
      </c>
      <c r="R296" s="66">
        <f t="shared" si="224"/>
        <v>1.597948118606669E-2</v>
      </c>
      <c r="S296" s="66">
        <f t="shared" si="224"/>
        <v>1.655923040486515E-2</v>
      </c>
      <c r="T296" s="66">
        <f t="shared" si="224"/>
        <v>1.7127571243428154E-2</v>
      </c>
      <c r="U296" s="66">
        <f t="shared" si="224"/>
        <v>1.7644943607246673E-2</v>
      </c>
      <c r="V296" s="66">
        <f t="shared" si="224"/>
        <v>1.8084636441251006E-2</v>
      </c>
      <c r="W296" s="66">
        <f t="shared" si="224"/>
        <v>1.8436751656763371E-2</v>
      </c>
      <c r="X296" s="66">
        <f t="shared" si="224"/>
        <v>1.8705431194187806E-2</v>
      </c>
      <c r="Y296" s="66">
        <f t="shared" si="224"/>
        <v>1.8902932202324814E-2</v>
      </c>
      <c r="Z296" s="66">
        <f t="shared" si="224"/>
        <v>1.9044142565961979E-2</v>
      </c>
      <c r="AA296" s="66">
        <f t="shared" si="224"/>
        <v>1.9143110176974482E-2</v>
      </c>
      <c r="AB296" s="66">
        <f t="shared" si="224"/>
        <v>1.9211502879208895E-2</v>
      </c>
      <c r="AC296" s="66">
        <f t="shared" si="224"/>
        <v>1.925830741348698E-2</v>
      </c>
    </row>
    <row r="297" spans="1:29" x14ac:dyDescent="0.3">
      <c r="A297" s="59" t="str">
        <f>A260</f>
        <v>Payload loss (fuel)</v>
      </c>
      <c r="B297" s="66">
        <f>B285/(B258-B260)-B285/B258</f>
        <v>0</v>
      </c>
      <c r="C297" s="66">
        <f t="shared" ref="C297:AC297" si="225">C285/(C258-C260)-C285/C258</f>
        <v>0</v>
      </c>
      <c r="D297" s="66">
        <f t="shared" si="225"/>
        <v>0</v>
      </c>
      <c r="E297" s="66">
        <f t="shared" si="225"/>
        <v>0</v>
      </c>
      <c r="F297" s="66">
        <f t="shared" si="225"/>
        <v>0</v>
      </c>
      <c r="G297" s="66">
        <f t="shared" si="225"/>
        <v>0</v>
      </c>
      <c r="H297" s="66">
        <f t="shared" si="225"/>
        <v>0</v>
      </c>
      <c r="I297" s="66">
        <f t="shared" si="225"/>
        <v>0</v>
      </c>
      <c r="J297" s="66">
        <f t="shared" si="225"/>
        <v>0</v>
      </c>
      <c r="K297" s="66">
        <f t="shared" si="225"/>
        <v>0</v>
      </c>
      <c r="L297" s="66">
        <f t="shared" si="225"/>
        <v>0</v>
      </c>
      <c r="M297" s="66">
        <f t="shared" si="225"/>
        <v>0</v>
      </c>
      <c r="N297" s="66">
        <f t="shared" si="225"/>
        <v>0</v>
      </c>
      <c r="O297" s="66">
        <f t="shared" si="225"/>
        <v>0</v>
      </c>
      <c r="P297" s="66">
        <f t="shared" si="225"/>
        <v>0</v>
      </c>
      <c r="Q297" s="66">
        <f t="shared" si="225"/>
        <v>0</v>
      </c>
      <c r="R297" s="66">
        <f t="shared" si="225"/>
        <v>0</v>
      </c>
      <c r="S297" s="66">
        <f t="shared" si="225"/>
        <v>0</v>
      </c>
      <c r="T297" s="66">
        <f t="shared" si="225"/>
        <v>0</v>
      </c>
      <c r="U297" s="66">
        <f t="shared" si="225"/>
        <v>0</v>
      </c>
      <c r="V297" s="66">
        <f t="shared" si="225"/>
        <v>0</v>
      </c>
      <c r="W297" s="66">
        <f t="shared" si="225"/>
        <v>0</v>
      </c>
      <c r="X297" s="66">
        <f t="shared" si="225"/>
        <v>0</v>
      </c>
      <c r="Y297" s="66">
        <f t="shared" si="225"/>
        <v>0</v>
      </c>
      <c r="Z297" s="66">
        <f t="shared" si="225"/>
        <v>0</v>
      </c>
      <c r="AA297" s="66">
        <f t="shared" si="225"/>
        <v>0</v>
      </c>
      <c r="AB297" s="66">
        <f t="shared" si="225"/>
        <v>0</v>
      </c>
      <c r="AC297" s="66">
        <f t="shared" si="225"/>
        <v>0</v>
      </c>
    </row>
    <row r="298" spans="1:29" ht="15" thickBot="1" x14ac:dyDescent="0.35">
      <c r="A298" s="59" t="str">
        <f>A235</f>
        <v>Emission Cost</v>
      </c>
      <c r="B298" s="68">
        <f>B255*B261/B261/(B258)</f>
        <v>1.8343688133195604E-3</v>
      </c>
      <c r="C298" s="68">
        <f t="shared" ref="C298:AC298" si="226">C255*C261/C261/(C258)</f>
        <v>1.8382637861199969E-3</v>
      </c>
      <c r="D298" s="68">
        <f t="shared" si="226"/>
        <v>1.8438393529302977E-3</v>
      </c>
      <c r="E298" s="68">
        <f t="shared" si="226"/>
        <v>1.8518155933438187E-3</v>
      </c>
      <c r="F298" s="68">
        <f t="shared" si="226"/>
        <v>1.8632154009395707E-3</v>
      </c>
      <c r="G298" s="68">
        <f t="shared" si="226"/>
        <v>1.879485389979293E-3</v>
      </c>
      <c r="H298" s="68">
        <f t="shared" si="226"/>
        <v>1.9026578458370806E-3</v>
      </c>
      <c r="I298" s="68">
        <f t="shared" si="226"/>
        <v>1.9355594113421553E-3</v>
      </c>
      <c r="J298" s="68">
        <f t="shared" si="226"/>
        <v>1.9820626125449966E-3</v>
      </c>
      <c r="K298" s="68">
        <f t="shared" si="226"/>
        <v>2.0473522680465386E-3</v>
      </c>
      <c r="L298" s="68">
        <f t="shared" si="226"/>
        <v>2.1381285900725503E-3</v>
      </c>
      <c r="M298" s="68">
        <f t="shared" si="226"/>
        <v>2.2625795316212503E-3</v>
      </c>
      <c r="N298" s="68">
        <f t="shared" si="226"/>
        <v>2.4298282614389497E-3</v>
      </c>
      <c r="O298" s="68">
        <f t="shared" si="226"/>
        <v>2.6484546613890813E-3</v>
      </c>
      <c r="P298" s="68">
        <f t="shared" si="226"/>
        <v>2.9237776594684796E-3</v>
      </c>
      <c r="Q298" s="68">
        <f t="shared" si="226"/>
        <v>3.2541573540158593E-3</v>
      </c>
      <c r="R298" s="68">
        <f t="shared" si="226"/>
        <v>3.6277420084311488E-3</v>
      </c>
      <c r="S298" s="68">
        <f t="shared" si="226"/>
        <v>4.022133795318102E-3</v>
      </c>
      <c r="T298" s="68">
        <f t="shared" si="226"/>
        <v>4.4087646895282669E-3</v>
      </c>
      <c r="U298" s="68">
        <f t="shared" si="226"/>
        <v>4.7607227507658533E-3</v>
      </c>
      <c r="V298" s="68">
        <f t="shared" si="226"/>
        <v>5.059836983026064E-3</v>
      </c>
      <c r="W298" s="68">
        <f t="shared" si="226"/>
        <v>5.2993739147425382E-3</v>
      </c>
      <c r="X298" s="68">
        <f t="shared" si="226"/>
        <v>5.4821512250499103E-3</v>
      </c>
      <c r="Y298" s="68">
        <f t="shared" si="226"/>
        <v>5.6165072068873048E-3</v>
      </c>
      <c r="Z298" s="68">
        <f t="shared" si="226"/>
        <v>5.7125697902181494E-3</v>
      </c>
      <c r="AA298" s="68">
        <f t="shared" si="226"/>
        <v>5.7798954746443379E-3</v>
      </c>
      <c r="AB298" s="68">
        <f t="shared" si="226"/>
        <v>5.8264216607428025E-3</v>
      </c>
      <c r="AC298" s="68">
        <f t="shared" si="226"/>
        <v>5.8582618483787648E-3</v>
      </c>
    </row>
    <row r="299" spans="1:29" ht="15" thickBot="1" x14ac:dyDescent="0.35">
      <c r="A299" s="31" t="s">
        <v>210</v>
      </c>
      <c r="B299" s="77">
        <f>B288+B289+B290+B291+B292+B293+B294+B295+B296+B297+B298</f>
        <v>2.186038879647699E-2</v>
      </c>
      <c r="C299" s="67">
        <f t="shared" ref="C299:AC299" si="227">C288+C289+C290+C291+C292+C293+C294+C295+C296+C297+C298</f>
        <v>2.1869774933804625E-2</v>
      </c>
      <c r="D299" s="67">
        <f t="shared" si="227"/>
        <v>2.188321098032979E-2</v>
      </c>
      <c r="E299" s="67">
        <f t="shared" si="227"/>
        <v>2.1902432189749063E-2</v>
      </c>
      <c r="F299" s="67">
        <f t="shared" si="227"/>
        <v>2.1929903539379642E-2</v>
      </c>
      <c r="G299" s="67">
        <f t="shared" si="227"/>
        <v>2.1969111092107328E-2</v>
      </c>
      <c r="H299" s="67">
        <f t="shared" si="227"/>
        <v>2.2024952265857104E-2</v>
      </c>
      <c r="I299" s="67">
        <f t="shared" si="227"/>
        <v>2.2104238727649678E-2</v>
      </c>
      <c r="J299" s="67">
        <f t="shared" si="227"/>
        <v>2.2216302522450951E-2</v>
      </c>
      <c r="K299" s="67">
        <f t="shared" si="227"/>
        <v>2.2373638068553608E-2</v>
      </c>
      <c r="L299" s="67">
        <f t="shared" si="227"/>
        <v>2.2592391592208147E-2</v>
      </c>
      <c r="M299" s="67">
        <f t="shared" si="227"/>
        <v>2.289229448955292E-2</v>
      </c>
      <c r="N299" s="67">
        <f t="shared" si="227"/>
        <v>2.3295331847289047E-2</v>
      </c>
      <c r="O299" s="67">
        <f t="shared" si="227"/>
        <v>2.3822179534941489E-2</v>
      </c>
      <c r="P299" s="67">
        <f t="shared" si="227"/>
        <v>2.4485655148722602E-2</v>
      </c>
      <c r="Q299" s="67">
        <f t="shared" si="227"/>
        <v>2.5281806840189457E-2</v>
      </c>
      <c r="R299" s="67">
        <f t="shared" si="227"/>
        <v>2.6182074197498666E-2</v>
      </c>
      <c r="S299" s="67">
        <f t="shared" si="227"/>
        <v>2.713248275290598E-2</v>
      </c>
      <c r="T299" s="67">
        <f t="shared" si="227"/>
        <v>2.8064189045632217E-2</v>
      </c>
      <c r="U299" s="67">
        <f t="shared" si="227"/>
        <v>2.8912340461728147E-2</v>
      </c>
      <c r="V299" s="67">
        <f t="shared" si="227"/>
        <v>2.9633148386325418E-2</v>
      </c>
      <c r="W299" s="67">
        <f t="shared" si="227"/>
        <v>3.0210386444542405E-2</v>
      </c>
      <c r="X299" s="67">
        <f t="shared" si="227"/>
        <v>3.0650844702615251E-2</v>
      </c>
      <c r="Y299" s="67">
        <f t="shared" si="227"/>
        <v>3.0974616847102149E-2</v>
      </c>
      <c r="Z299" s="67">
        <f t="shared" si="227"/>
        <v>3.1206109246507338E-2</v>
      </c>
      <c r="AA299" s="67">
        <f t="shared" si="227"/>
        <v>3.1368351231773742E-2</v>
      </c>
      <c r="AB299" s="67">
        <f t="shared" si="227"/>
        <v>3.1480470415764579E-2</v>
      </c>
      <c r="AC299" s="67">
        <f t="shared" si="227"/>
        <v>3.1557199160482753E-2</v>
      </c>
    </row>
    <row r="301" spans="1:29" x14ac:dyDescent="0.3">
      <c r="B301" s="40"/>
    </row>
    <row r="324" spans="1:44" s="3" customFormat="1" ht="21" x14ac:dyDescent="0.4">
      <c r="A324" s="2" t="str">
        <f>'Parameter Input'!A178</f>
        <v>Short-sea:  Neo bulk</v>
      </c>
    </row>
    <row r="325" spans="1:44" s="3" customFormat="1" ht="21" x14ac:dyDescent="0.4">
      <c r="A325" s="2" t="s">
        <v>290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Input'!$L$142</f>
        <v>15000000</v>
      </c>
      <c r="C334" s="42">
        <f>'Parameter Input'!$M$142</f>
        <v>15000000</v>
      </c>
      <c r="D334" s="1" t="s">
        <v>15</v>
      </c>
      <c r="L334" s="51">
        <f>'Parameter Input'!$O$142</f>
        <v>17</v>
      </c>
      <c r="M334" s="52">
        <v>0</v>
      </c>
      <c r="N334" s="52">
        <v>1</v>
      </c>
      <c r="O334" s="52">
        <f>'Parameter Input'!$P$142</f>
        <v>0.9</v>
      </c>
      <c r="P334" s="53">
        <f>'Parameter Input'!$Q$142</f>
        <v>0.4</v>
      </c>
      <c r="Q334" s="4">
        <f t="shared" ref="Q334:AR343" si="228">$N334+($M334-$N334)*((1/(1+EXP(-$P334*(Q$9-$L334)))^$O334))</f>
        <v>0.99780374543478534</v>
      </c>
      <c r="R334" s="4">
        <f t="shared" si="228"/>
        <v>0.99685359315256394</v>
      </c>
      <c r="S334" s="4">
        <f t="shared" si="228"/>
        <v>0.99549347132349975</v>
      </c>
      <c r="T334" s="4">
        <f t="shared" si="228"/>
        <v>0.99354772139898062</v>
      </c>
      <c r="U334" s="4">
        <f t="shared" si="228"/>
        <v>0.99076681540580536</v>
      </c>
      <c r="V334" s="4">
        <f t="shared" si="228"/>
        <v>0.9867978615748374</v>
      </c>
      <c r="W334" s="4">
        <f t="shared" si="228"/>
        <v>0.98114509762858249</v>
      </c>
      <c r="X334" s="4">
        <f t="shared" si="228"/>
        <v>0.97311898315872036</v>
      </c>
      <c r="Y334" s="4">
        <f t="shared" si="228"/>
        <v>0.96177484161592774</v>
      </c>
      <c r="Z334" s="4">
        <f t="shared" si="228"/>
        <v>0.94584787155511363</v>
      </c>
      <c r="AA334" s="4">
        <f t="shared" si="228"/>
        <v>0.92370360150141495</v>
      </c>
      <c r="AB334" s="4">
        <f t="shared" si="228"/>
        <v>0.89334463567658451</v>
      </c>
      <c r="AC334" s="4">
        <f t="shared" si="228"/>
        <v>0.85254543874327005</v>
      </c>
      <c r="AD334" s="4">
        <f t="shared" si="228"/>
        <v>0.79921300652623883</v>
      </c>
      <c r="AE334" s="4">
        <f t="shared" si="228"/>
        <v>0.73204982249993378</v>
      </c>
      <c r="AF334" s="4">
        <f t="shared" si="228"/>
        <v>0.65145592958786691</v>
      </c>
      <c r="AG334" s="4">
        <f t="shared" si="228"/>
        <v>0.56032247880849573</v>
      </c>
      <c r="AH334" s="4">
        <f t="shared" si="228"/>
        <v>0.46411326873185343</v>
      </c>
      <c r="AI334" s="4">
        <f t="shared" si="228"/>
        <v>0.36979727595523937</v>
      </c>
      <c r="AJ334" s="4">
        <f t="shared" si="228"/>
        <v>0.28393948637231203</v>
      </c>
      <c r="AK334" s="4">
        <f t="shared" si="228"/>
        <v>0.21097259161117732</v>
      </c>
      <c r="AL334" s="4">
        <f t="shared" si="228"/>
        <v>0.15253917653798199</v>
      </c>
      <c r="AM334" s="4">
        <f t="shared" si="228"/>
        <v>0.10795188737709993</v>
      </c>
      <c r="AN334" s="4">
        <f t="shared" si="228"/>
        <v>7.5176653938091809E-2</v>
      </c>
      <c r="AO334" s="4">
        <f t="shared" si="228"/>
        <v>5.1742836177502194E-2</v>
      </c>
      <c r="AP334" s="4">
        <f t="shared" si="228"/>
        <v>3.5319190625345942E-2</v>
      </c>
      <c r="AQ334" s="4">
        <f t="shared" si="228"/>
        <v>2.3969442072658165E-2</v>
      </c>
      <c r="AR334" s="4">
        <f t="shared" si="228"/>
        <v>1.6202243558389728E-2</v>
      </c>
    </row>
    <row r="335" spans="1:44" x14ac:dyDescent="0.3">
      <c r="A335" s="24" t="s">
        <v>28</v>
      </c>
      <c r="B335" s="60">
        <f>'Parameter Input'!$L$143</f>
        <v>-1500000</v>
      </c>
      <c r="C335" s="61">
        <f>'Parameter Input'!$M$143</f>
        <v>-750000</v>
      </c>
      <c r="D335" s="1" t="s">
        <v>15</v>
      </c>
      <c r="L335" s="54">
        <f>'Parameter Input'!$O$143</f>
        <v>17</v>
      </c>
      <c r="M335" s="37">
        <v>0</v>
      </c>
      <c r="N335" s="37">
        <v>1</v>
      </c>
      <c r="O335" s="37">
        <f>'Parameter Input'!$P$143</f>
        <v>0.9</v>
      </c>
      <c r="P335" s="55">
        <f>'Parameter Input'!$Q$143</f>
        <v>0.4</v>
      </c>
      <c r="Q335" s="4">
        <f t="shared" si="228"/>
        <v>0.99780374543478534</v>
      </c>
      <c r="R335" s="4">
        <f t="shared" si="228"/>
        <v>0.99685359315256394</v>
      </c>
      <c r="S335" s="4">
        <f t="shared" si="228"/>
        <v>0.99549347132349975</v>
      </c>
      <c r="T335" s="4">
        <f t="shared" si="228"/>
        <v>0.99354772139898062</v>
      </c>
      <c r="U335" s="4">
        <f t="shared" si="228"/>
        <v>0.99076681540580536</v>
      </c>
      <c r="V335" s="4">
        <f t="shared" si="228"/>
        <v>0.9867978615748374</v>
      </c>
      <c r="W335" s="4">
        <f t="shared" si="228"/>
        <v>0.98114509762858249</v>
      </c>
      <c r="X335" s="4">
        <f t="shared" si="228"/>
        <v>0.97311898315872036</v>
      </c>
      <c r="Y335" s="4">
        <f t="shared" si="228"/>
        <v>0.96177484161592774</v>
      </c>
      <c r="Z335" s="4">
        <f t="shared" si="228"/>
        <v>0.94584787155511363</v>
      </c>
      <c r="AA335" s="4">
        <f t="shared" si="228"/>
        <v>0.92370360150141495</v>
      </c>
      <c r="AB335" s="4">
        <f t="shared" si="228"/>
        <v>0.89334463567658451</v>
      </c>
      <c r="AC335" s="4">
        <f t="shared" si="228"/>
        <v>0.85254543874327005</v>
      </c>
      <c r="AD335" s="4">
        <f t="shared" si="228"/>
        <v>0.79921300652623883</v>
      </c>
      <c r="AE335" s="4">
        <f t="shared" si="228"/>
        <v>0.73204982249993378</v>
      </c>
      <c r="AF335" s="4">
        <f t="shared" si="228"/>
        <v>0.65145592958786691</v>
      </c>
      <c r="AG335" s="4">
        <f t="shared" si="228"/>
        <v>0.56032247880849573</v>
      </c>
      <c r="AH335" s="4">
        <f t="shared" si="228"/>
        <v>0.46411326873185343</v>
      </c>
      <c r="AI335" s="4">
        <f t="shared" si="228"/>
        <v>0.36979727595523937</v>
      </c>
      <c r="AJ335" s="4">
        <f t="shared" si="228"/>
        <v>0.28393948637231203</v>
      </c>
      <c r="AK335" s="4">
        <f t="shared" si="228"/>
        <v>0.21097259161117732</v>
      </c>
      <c r="AL335" s="4">
        <f t="shared" si="228"/>
        <v>0.15253917653798199</v>
      </c>
      <c r="AM335" s="4">
        <f t="shared" si="228"/>
        <v>0.10795188737709993</v>
      </c>
      <c r="AN335" s="4">
        <f t="shared" si="228"/>
        <v>7.5176653938091809E-2</v>
      </c>
      <c r="AO335" s="4">
        <f t="shared" si="228"/>
        <v>5.1742836177502194E-2</v>
      </c>
      <c r="AP335" s="4">
        <f t="shared" si="228"/>
        <v>3.5319190625345942E-2</v>
      </c>
      <c r="AQ335" s="4">
        <f t="shared" si="228"/>
        <v>2.3969442072658165E-2</v>
      </c>
      <c r="AR335" s="4">
        <f t="shared" si="228"/>
        <v>1.6202243558389728E-2</v>
      </c>
    </row>
    <row r="336" spans="1:44" x14ac:dyDescent="0.3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28"/>
        <v>0.99780374543478534</v>
      </c>
      <c r="R336" s="4">
        <f t="shared" si="228"/>
        <v>0.99685359315256394</v>
      </c>
      <c r="S336" s="4">
        <f t="shared" si="228"/>
        <v>0.99549347132349975</v>
      </c>
      <c r="T336" s="4">
        <f t="shared" si="228"/>
        <v>0.99354772139898062</v>
      </c>
      <c r="U336" s="4">
        <f t="shared" si="228"/>
        <v>0.99076681540580536</v>
      </c>
      <c r="V336" s="4">
        <f t="shared" si="228"/>
        <v>0.9867978615748374</v>
      </c>
      <c r="W336" s="4">
        <f t="shared" si="228"/>
        <v>0.98114509762858249</v>
      </c>
      <c r="X336" s="4">
        <f t="shared" si="228"/>
        <v>0.97311898315872036</v>
      </c>
      <c r="Y336" s="4">
        <f t="shared" si="228"/>
        <v>0.96177484161592774</v>
      </c>
      <c r="Z336" s="4">
        <f t="shared" si="228"/>
        <v>0.94584787155511363</v>
      </c>
      <c r="AA336" s="4">
        <f t="shared" si="228"/>
        <v>0.92370360150141495</v>
      </c>
      <c r="AB336" s="4">
        <f t="shared" si="228"/>
        <v>0.89334463567658451</v>
      </c>
      <c r="AC336" s="4">
        <f t="shared" si="228"/>
        <v>0.85254543874327005</v>
      </c>
      <c r="AD336" s="4">
        <f t="shared" si="228"/>
        <v>0.79921300652623883</v>
      </c>
      <c r="AE336" s="4">
        <f t="shared" si="228"/>
        <v>0.73204982249993378</v>
      </c>
      <c r="AF336" s="4">
        <f t="shared" si="228"/>
        <v>0.65145592958786691</v>
      </c>
      <c r="AG336" s="4">
        <f t="shared" si="228"/>
        <v>0.56032247880849573</v>
      </c>
      <c r="AH336" s="4">
        <f t="shared" si="228"/>
        <v>0.46411326873185343</v>
      </c>
      <c r="AI336" s="4">
        <f t="shared" si="228"/>
        <v>0.36979727595523937</v>
      </c>
      <c r="AJ336" s="4">
        <f t="shared" si="228"/>
        <v>0.28393948637231203</v>
      </c>
      <c r="AK336" s="4">
        <f t="shared" si="228"/>
        <v>0.21097259161117732</v>
      </c>
      <c r="AL336" s="4">
        <f t="shared" si="228"/>
        <v>0.15253917653798199</v>
      </c>
      <c r="AM336" s="4">
        <f t="shared" si="228"/>
        <v>0.10795188737709993</v>
      </c>
      <c r="AN336" s="4">
        <f t="shared" si="228"/>
        <v>7.5176653938091809E-2</v>
      </c>
      <c r="AO336" s="4">
        <f t="shared" si="228"/>
        <v>5.1742836177502194E-2</v>
      </c>
      <c r="AP336" s="4">
        <f t="shared" si="228"/>
        <v>3.5319190625345942E-2</v>
      </c>
      <c r="AQ336" s="4">
        <f t="shared" si="228"/>
        <v>2.3969442072658165E-2</v>
      </c>
      <c r="AR336" s="4">
        <f t="shared" si="228"/>
        <v>1.6202243558389728E-2</v>
      </c>
    </row>
    <row r="337" spans="1:44" x14ac:dyDescent="0.3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28"/>
        <v>0.99780374543478534</v>
      </c>
      <c r="R337" s="4">
        <f t="shared" si="228"/>
        <v>0.99685359315256394</v>
      </c>
      <c r="S337" s="4">
        <f t="shared" si="228"/>
        <v>0.99549347132349975</v>
      </c>
      <c r="T337" s="4">
        <f t="shared" si="228"/>
        <v>0.99354772139898062</v>
      </c>
      <c r="U337" s="4">
        <f t="shared" si="228"/>
        <v>0.99076681540580536</v>
      </c>
      <c r="V337" s="4">
        <f t="shared" si="228"/>
        <v>0.9867978615748374</v>
      </c>
      <c r="W337" s="4">
        <f t="shared" si="228"/>
        <v>0.98114509762858249</v>
      </c>
      <c r="X337" s="4">
        <f t="shared" si="228"/>
        <v>0.97311898315872036</v>
      </c>
      <c r="Y337" s="4">
        <f t="shared" si="228"/>
        <v>0.96177484161592774</v>
      </c>
      <c r="Z337" s="4">
        <f t="shared" si="228"/>
        <v>0.94584787155511363</v>
      </c>
      <c r="AA337" s="4">
        <f t="shared" si="228"/>
        <v>0.92370360150141495</v>
      </c>
      <c r="AB337" s="4">
        <f t="shared" si="228"/>
        <v>0.89334463567658451</v>
      </c>
      <c r="AC337" s="4">
        <f t="shared" si="228"/>
        <v>0.85254543874327005</v>
      </c>
      <c r="AD337" s="4">
        <f t="shared" si="228"/>
        <v>0.79921300652623883</v>
      </c>
      <c r="AE337" s="4">
        <f t="shared" si="228"/>
        <v>0.73204982249993378</v>
      </c>
      <c r="AF337" s="4">
        <f t="shared" si="228"/>
        <v>0.65145592958786691</v>
      </c>
      <c r="AG337" s="4">
        <f t="shared" si="228"/>
        <v>0.56032247880849573</v>
      </c>
      <c r="AH337" s="4">
        <f t="shared" si="228"/>
        <v>0.46411326873185343</v>
      </c>
      <c r="AI337" s="4">
        <f t="shared" si="228"/>
        <v>0.36979727595523937</v>
      </c>
      <c r="AJ337" s="4">
        <f t="shared" si="228"/>
        <v>0.28393948637231203</v>
      </c>
      <c r="AK337" s="4">
        <f t="shared" si="228"/>
        <v>0.21097259161117732</v>
      </c>
      <c r="AL337" s="4">
        <f t="shared" si="228"/>
        <v>0.15253917653798199</v>
      </c>
      <c r="AM337" s="4">
        <f t="shared" si="228"/>
        <v>0.10795188737709993</v>
      </c>
      <c r="AN337" s="4">
        <f t="shared" si="228"/>
        <v>7.5176653938091809E-2</v>
      </c>
      <c r="AO337" s="4">
        <f t="shared" si="228"/>
        <v>5.1742836177502194E-2</v>
      </c>
      <c r="AP337" s="4">
        <f t="shared" si="228"/>
        <v>3.5319190625345942E-2</v>
      </c>
      <c r="AQ337" s="4">
        <f t="shared" si="228"/>
        <v>2.3969442072658165E-2</v>
      </c>
      <c r="AR337" s="4">
        <f t="shared" si="228"/>
        <v>1.6202243558389728E-2</v>
      </c>
    </row>
    <row r="338" spans="1:44" x14ac:dyDescent="0.3">
      <c r="A338" s="24" t="s">
        <v>79</v>
      </c>
      <c r="B338" s="92">
        <f>'Parameter Input'!$L$149</f>
        <v>0.06</v>
      </c>
      <c r="C338" s="91">
        <f>'Parameter Input'!$M$149</f>
        <v>0.06</v>
      </c>
      <c r="D338" s="1" t="s">
        <v>57</v>
      </c>
      <c r="L338" s="54">
        <f>'Parameter Input'!$O$149</f>
        <v>17</v>
      </c>
      <c r="M338" s="37">
        <v>0</v>
      </c>
      <c r="N338" s="37">
        <v>1</v>
      </c>
      <c r="O338" s="37">
        <f>'Parameter Input'!$P$149</f>
        <v>0.9</v>
      </c>
      <c r="P338" s="55">
        <f>'Parameter Input'!$Q$149</f>
        <v>0.4</v>
      </c>
      <c r="Q338" s="4">
        <f t="shared" si="228"/>
        <v>0.99780374543478534</v>
      </c>
      <c r="R338" s="4">
        <f t="shared" si="228"/>
        <v>0.99685359315256394</v>
      </c>
      <c r="S338" s="4">
        <f t="shared" si="228"/>
        <v>0.99549347132349975</v>
      </c>
      <c r="T338" s="4">
        <f t="shared" si="228"/>
        <v>0.99354772139898062</v>
      </c>
      <c r="U338" s="4">
        <f t="shared" si="228"/>
        <v>0.99076681540580536</v>
      </c>
      <c r="V338" s="4">
        <f t="shared" si="228"/>
        <v>0.9867978615748374</v>
      </c>
      <c r="W338" s="4">
        <f t="shared" si="228"/>
        <v>0.98114509762858249</v>
      </c>
      <c r="X338" s="4">
        <f t="shared" si="228"/>
        <v>0.97311898315872036</v>
      </c>
      <c r="Y338" s="4">
        <f t="shared" si="228"/>
        <v>0.96177484161592774</v>
      </c>
      <c r="Z338" s="4">
        <f t="shared" si="228"/>
        <v>0.94584787155511363</v>
      </c>
      <c r="AA338" s="4">
        <f t="shared" si="228"/>
        <v>0.92370360150141495</v>
      </c>
      <c r="AB338" s="4">
        <f t="shared" si="228"/>
        <v>0.89334463567658451</v>
      </c>
      <c r="AC338" s="4">
        <f t="shared" si="228"/>
        <v>0.85254543874327005</v>
      </c>
      <c r="AD338" s="4">
        <f t="shared" si="228"/>
        <v>0.79921300652623883</v>
      </c>
      <c r="AE338" s="4">
        <f t="shared" si="228"/>
        <v>0.73204982249993378</v>
      </c>
      <c r="AF338" s="4">
        <f t="shared" si="228"/>
        <v>0.65145592958786691</v>
      </c>
      <c r="AG338" s="4">
        <f t="shared" si="228"/>
        <v>0.56032247880849573</v>
      </c>
      <c r="AH338" s="4">
        <f t="shared" si="228"/>
        <v>0.46411326873185343</v>
      </c>
      <c r="AI338" s="4">
        <f t="shared" si="228"/>
        <v>0.36979727595523937</v>
      </c>
      <c r="AJ338" s="4">
        <f t="shared" si="228"/>
        <v>0.28393948637231203</v>
      </c>
      <c r="AK338" s="4">
        <f t="shared" si="228"/>
        <v>0.21097259161117732</v>
      </c>
      <c r="AL338" s="4">
        <f t="shared" si="228"/>
        <v>0.15253917653798199</v>
      </c>
      <c r="AM338" s="4">
        <f t="shared" si="228"/>
        <v>0.10795188737709993</v>
      </c>
      <c r="AN338" s="4">
        <f t="shared" si="228"/>
        <v>7.5176653938091809E-2</v>
      </c>
      <c r="AO338" s="4">
        <f t="shared" si="228"/>
        <v>5.1742836177502194E-2</v>
      </c>
      <c r="AP338" s="4">
        <f t="shared" si="228"/>
        <v>3.5319190625345942E-2</v>
      </c>
      <c r="AQ338" s="4">
        <f t="shared" si="228"/>
        <v>2.3969442072658165E-2</v>
      </c>
      <c r="AR338" s="4">
        <f t="shared" si="228"/>
        <v>1.6202243558389728E-2</v>
      </c>
    </row>
    <row r="339" spans="1:44" x14ac:dyDescent="0.3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28"/>
        <v>0.99780374543478534</v>
      </c>
      <c r="R339" s="4">
        <f t="shared" si="228"/>
        <v>0.99685359315256394</v>
      </c>
      <c r="S339" s="4">
        <f t="shared" si="228"/>
        <v>0.99549347132349975</v>
      </c>
      <c r="T339" s="4">
        <f t="shared" si="228"/>
        <v>0.99354772139898062</v>
      </c>
      <c r="U339" s="4">
        <f t="shared" si="228"/>
        <v>0.99076681540580536</v>
      </c>
      <c r="V339" s="4">
        <f t="shared" si="228"/>
        <v>0.9867978615748374</v>
      </c>
      <c r="W339" s="4">
        <f t="shared" si="228"/>
        <v>0.98114509762858249</v>
      </c>
      <c r="X339" s="4">
        <f t="shared" si="228"/>
        <v>0.97311898315872036</v>
      </c>
      <c r="Y339" s="4">
        <f t="shared" si="228"/>
        <v>0.96177484161592774</v>
      </c>
      <c r="Z339" s="4">
        <f t="shared" si="228"/>
        <v>0.94584787155511363</v>
      </c>
      <c r="AA339" s="4">
        <f t="shared" si="228"/>
        <v>0.92370360150141495</v>
      </c>
      <c r="AB339" s="4">
        <f t="shared" si="228"/>
        <v>0.89334463567658451</v>
      </c>
      <c r="AC339" s="4">
        <f t="shared" si="228"/>
        <v>0.85254543874327005</v>
      </c>
      <c r="AD339" s="4">
        <f t="shared" si="228"/>
        <v>0.79921300652623883</v>
      </c>
      <c r="AE339" s="4">
        <f t="shared" si="228"/>
        <v>0.73204982249993378</v>
      </c>
      <c r="AF339" s="4">
        <f t="shared" si="228"/>
        <v>0.65145592958786691</v>
      </c>
      <c r="AG339" s="4">
        <f t="shared" si="228"/>
        <v>0.56032247880849573</v>
      </c>
      <c r="AH339" s="4">
        <f t="shared" si="228"/>
        <v>0.46411326873185343</v>
      </c>
      <c r="AI339" s="4">
        <f t="shared" si="228"/>
        <v>0.36979727595523937</v>
      </c>
      <c r="AJ339" s="4">
        <f t="shared" si="228"/>
        <v>0.28393948637231203</v>
      </c>
      <c r="AK339" s="4">
        <f t="shared" si="228"/>
        <v>0.21097259161117732</v>
      </c>
      <c r="AL339" s="4">
        <f t="shared" si="228"/>
        <v>0.15253917653798199</v>
      </c>
      <c r="AM339" s="4">
        <f t="shared" si="228"/>
        <v>0.10795188737709993</v>
      </c>
      <c r="AN339" s="4">
        <f t="shared" si="228"/>
        <v>7.5176653938091809E-2</v>
      </c>
      <c r="AO339" s="4">
        <f t="shared" si="228"/>
        <v>5.1742836177502194E-2</v>
      </c>
      <c r="AP339" s="4">
        <f t="shared" si="228"/>
        <v>3.5319190625345942E-2</v>
      </c>
      <c r="AQ339" s="4">
        <f t="shared" si="228"/>
        <v>2.3969442072658165E-2</v>
      </c>
      <c r="AR339" s="4">
        <f t="shared" si="228"/>
        <v>1.6202243558389728E-2</v>
      </c>
    </row>
    <row r="340" spans="1:44" x14ac:dyDescent="0.3">
      <c r="A340" s="24" t="s">
        <v>52</v>
      </c>
      <c r="B340" s="60">
        <f>'Parameter Input'!$L$145</f>
        <v>488235.29411764705</v>
      </c>
      <c r="C340" s="61">
        <f>'Parameter Input'!$M$145</f>
        <v>488235.29411764705</v>
      </c>
      <c r="D340" s="1" t="s">
        <v>38</v>
      </c>
      <c r="L340" s="54">
        <f>'Parameter Input'!$O$145</f>
        <v>17</v>
      </c>
      <c r="M340" s="37">
        <v>0</v>
      </c>
      <c r="N340" s="37">
        <v>1</v>
      </c>
      <c r="O340" s="37">
        <f>'Parameter Input'!$P$145</f>
        <v>0.9</v>
      </c>
      <c r="P340" s="55">
        <f>'Parameter Input'!$Q$145</f>
        <v>0.4</v>
      </c>
      <c r="Q340" s="4">
        <f t="shared" si="228"/>
        <v>0.99780374543478534</v>
      </c>
      <c r="R340" s="4">
        <f t="shared" si="228"/>
        <v>0.99685359315256394</v>
      </c>
      <c r="S340" s="4">
        <f t="shared" si="228"/>
        <v>0.99549347132349975</v>
      </c>
      <c r="T340" s="4">
        <f t="shared" si="228"/>
        <v>0.99354772139898062</v>
      </c>
      <c r="U340" s="4">
        <f t="shared" si="228"/>
        <v>0.99076681540580536</v>
      </c>
      <c r="V340" s="4">
        <f t="shared" si="228"/>
        <v>0.9867978615748374</v>
      </c>
      <c r="W340" s="4">
        <f t="shared" si="228"/>
        <v>0.98114509762858249</v>
      </c>
      <c r="X340" s="4">
        <f t="shared" si="228"/>
        <v>0.97311898315872036</v>
      </c>
      <c r="Y340" s="4">
        <f t="shared" si="228"/>
        <v>0.96177484161592774</v>
      </c>
      <c r="Z340" s="4">
        <f t="shared" si="228"/>
        <v>0.94584787155511363</v>
      </c>
      <c r="AA340" s="4">
        <f t="shared" si="228"/>
        <v>0.92370360150141495</v>
      </c>
      <c r="AB340" s="4">
        <f t="shared" si="228"/>
        <v>0.89334463567658451</v>
      </c>
      <c r="AC340" s="4">
        <f t="shared" si="228"/>
        <v>0.85254543874327005</v>
      </c>
      <c r="AD340" s="4">
        <f t="shared" si="228"/>
        <v>0.79921300652623883</v>
      </c>
      <c r="AE340" s="4">
        <f t="shared" si="228"/>
        <v>0.73204982249993378</v>
      </c>
      <c r="AF340" s="4">
        <f t="shared" si="228"/>
        <v>0.65145592958786691</v>
      </c>
      <c r="AG340" s="4">
        <f t="shared" si="228"/>
        <v>0.56032247880849573</v>
      </c>
      <c r="AH340" s="4">
        <f t="shared" si="228"/>
        <v>0.46411326873185343</v>
      </c>
      <c r="AI340" s="4">
        <f t="shared" si="228"/>
        <v>0.36979727595523937</v>
      </c>
      <c r="AJ340" s="4">
        <f t="shared" si="228"/>
        <v>0.28393948637231203</v>
      </c>
      <c r="AK340" s="4">
        <f t="shared" si="228"/>
        <v>0.21097259161117732</v>
      </c>
      <c r="AL340" s="4">
        <f t="shared" si="228"/>
        <v>0.15253917653798199</v>
      </c>
      <c r="AM340" s="4">
        <f t="shared" si="228"/>
        <v>0.10795188737709993</v>
      </c>
      <c r="AN340" s="4">
        <f t="shared" si="228"/>
        <v>7.5176653938091809E-2</v>
      </c>
      <c r="AO340" s="4">
        <f t="shared" si="228"/>
        <v>5.1742836177502194E-2</v>
      </c>
      <c r="AP340" s="4">
        <f t="shared" si="228"/>
        <v>3.5319190625345942E-2</v>
      </c>
      <c r="AQ340" s="4">
        <f t="shared" si="228"/>
        <v>2.3969442072658165E-2</v>
      </c>
      <c r="AR340" s="4">
        <f t="shared" si="228"/>
        <v>1.6202243558389728E-2</v>
      </c>
    </row>
    <row r="341" spans="1:44" x14ac:dyDescent="0.3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28"/>
        <v>0.99780374543478534</v>
      </c>
      <c r="R341" s="4">
        <f t="shared" si="228"/>
        <v>0.99685359315256394</v>
      </c>
      <c r="S341" s="4">
        <f t="shared" si="228"/>
        <v>0.99549347132349975</v>
      </c>
      <c r="T341" s="4">
        <f t="shared" si="228"/>
        <v>0.99354772139898062</v>
      </c>
      <c r="U341" s="4">
        <f t="shared" si="228"/>
        <v>0.99076681540580536</v>
      </c>
      <c r="V341" s="4">
        <f t="shared" si="228"/>
        <v>0.9867978615748374</v>
      </c>
      <c r="W341" s="4">
        <f t="shared" si="228"/>
        <v>0.98114509762858249</v>
      </c>
      <c r="X341" s="4">
        <f t="shared" si="228"/>
        <v>0.97311898315872036</v>
      </c>
      <c r="Y341" s="4">
        <f t="shared" si="228"/>
        <v>0.96177484161592774</v>
      </c>
      <c r="Z341" s="4">
        <f t="shared" si="228"/>
        <v>0.94584787155511363</v>
      </c>
      <c r="AA341" s="4">
        <f t="shared" si="228"/>
        <v>0.92370360150141495</v>
      </c>
      <c r="AB341" s="4">
        <f t="shared" si="228"/>
        <v>0.89334463567658451</v>
      </c>
      <c r="AC341" s="4">
        <f t="shared" si="228"/>
        <v>0.85254543874327005</v>
      </c>
      <c r="AD341" s="4">
        <f t="shared" si="228"/>
        <v>0.79921300652623883</v>
      </c>
      <c r="AE341" s="4">
        <f t="shared" si="228"/>
        <v>0.73204982249993378</v>
      </c>
      <c r="AF341" s="4">
        <f t="shared" si="228"/>
        <v>0.65145592958786691</v>
      </c>
      <c r="AG341" s="4">
        <f t="shared" si="228"/>
        <v>0.56032247880849573</v>
      </c>
      <c r="AH341" s="4">
        <f t="shared" si="228"/>
        <v>0.46411326873185343</v>
      </c>
      <c r="AI341" s="4">
        <f t="shared" si="228"/>
        <v>0.36979727595523937</v>
      </c>
      <c r="AJ341" s="4">
        <f t="shared" si="228"/>
        <v>0.28393948637231203</v>
      </c>
      <c r="AK341" s="4">
        <f t="shared" si="228"/>
        <v>0.21097259161117732</v>
      </c>
      <c r="AL341" s="4">
        <f t="shared" si="228"/>
        <v>0.15253917653798199</v>
      </c>
      <c r="AM341" s="4">
        <f t="shared" si="228"/>
        <v>0.10795188737709993</v>
      </c>
      <c r="AN341" s="4">
        <f t="shared" si="228"/>
        <v>7.5176653938091809E-2</v>
      </c>
      <c r="AO341" s="4">
        <f t="shared" si="228"/>
        <v>5.1742836177502194E-2</v>
      </c>
      <c r="AP341" s="4">
        <f t="shared" si="228"/>
        <v>3.5319190625345942E-2</v>
      </c>
      <c r="AQ341" s="4">
        <f t="shared" si="228"/>
        <v>2.3969442072658165E-2</v>
      </c>
      <c r="AR341" s="4">
        <f t="shared" si="228"/>
        <v>1.6202243558389728E-2</v>
      </c>
    </row>
    <row r="342" spans="1:44" x14ac:dyDescent="0.3">
      <c r="A342" s="24" t="s">
        <v>59</v>
      </c>
      <c r="B342" s="60">
        <f>'Parameter Input'!$L$146</f>
        <v>647</v>
      </c>
      <c r="C342" s="61">
        <f>'Parameter Input'!$M$146</f>
        <v>600</v>
      </c>
      <c r="D342" s="1" t="s">
        <v>60</v>
      </c>
      <c r="L342" s="54">
        <f>'Parameter Input'!$O$146</f>
        <v>17</v>
      </c>
      <c r="M342" s="37">
        <v>0</v>
      </c>
      <c r="N342" s="37">
        <v>1</v>
      </c>
      <c r="O342" s="37">
        <f>'Parameter Input'!$P$146</f>
        <v>0.9</v>
      </c>
      <c r="P342" s="55">
        <f>'Parameter Input'!$Q$146</f>
        <v>0.4</v>
      </c>
      <c r="Q342" s="4">
        <f t="shared" si="228"/>
        <v>0.99780374543478534</v>
      </c>
      <c r="R342" s="4">
        <f t="shared" si="228"/>
        <v>0.99685359315256394</v>
      </c>
      <c r="S342" s="4">
        <f t="shared" si="228"/>
        <v>0.99549347132349975</v>
      </c>
      <c r="T342" s="4">
        <f t="shared" si="228"/>
        <v>0.99354772139898062</v>
      </c>
      <c r="U342" s="4">
        <f t="shared" si="228"/>
        <v>0.99076681540580536</v>
      </c>
      <c r="V342" s="4">
        <f t="shared" si="228"/>
        <v>0.9867978615748374</v>
      </c>
      <c r="W342" s="4">
        <f t="shared" si="228"/>
        <v>0.98114509762858249</v>
      </c>
      <c r="X342" s="4">
        <f t="shared" si="228"/>
        <v>0.97311898315872036</v>
      </c>
      <c r="Y342" s="4">
        <f t="shared" si="228"/>
        <v>0.96177484161592774</v>
      </c>
      <c r="Z342" s="4">
        <f t="shared" si="228"/>
        <v>0.94584787155511363</v>
      </c>
      <c r="AA342" s="4">
        <f t="shared" si="228"/>
        <v>0.92370360150141495</v>
      </c>
      <c r="AB342" s="4">
        <f t="shared" si="228"/>
        <v>0.89334463567658451</v>
      </c>
      <c r="AC342" s="4">
        <f t="shared" si="228"/>
        <v>0.85254543874327005</v>
      </c>
      <c r="AD342" s="4">
        <f t="shared" si="228"/>
        <v>0.79921300652623883</v>
      </c>
      <c r="AE342" s="4">
        <f t="shared" si="228"/>
        <v>0.73204982249993378</v>
      </c>
      <c r="AF342" s="4">
        <f t="shared" si="228"/>
        <v>0.65145592958786691</v>
      </c>
      <c r="AG342" s="4">
        <f t="shared" si="228"/>
        <v>0.56032247880849573</v>
      </c>
      <c r="AH342" s="4">
        <f t="shared" si="228"/>
        <v>0.46411326873185343</v>
      </c>
      <c r="AI342" s="4">
        <f t="shared" si="228"/>
        <v>0.36979727595523937</v>
      </c>
      <c r="AJ342" s="4">
        <f t="shared" si="228"/>
        <v>0.28393948637231203</v>
      </c>
      <c r="AK342" s="4">
        <f t="shared" si="228"/>
        <v>0.21097259161117732</v>
      </c>
      <c r="AL342" s="4">
        <f t="shared" si="228"/>
        <v>0.15253917653798199</v>
      </c>
      <c r="AM342" s="4">
        <f t="shared" si="228"/>
        <v>0.10795188737709993</v>
      </c>
      <c r="AN342" s="4">
        <f t="shared" si="228"/>
        <v>7.5176653938091809E-2</v>
      </c>
      <c r="AO342" s="4">
        <f t="shared" si="228"/>
        <v>5.1742836177502194E-2</v>
      </c>
      <c r="AP342" s="4">
        <f t="shared" si="228"/>
        <v>3.5319190625345942E-2</v>
      </c>
      <c r="AQ342" s="4">
        <f t="shared" si="228"/>
        <v>2.3969442072658165E-2</v>
      </c>
      <c r="AR342" s="4">
        <f t="shared" si="228"/>
        <v>1.6202243558389728E-2</v>
      </c>
    </row>
    <row r="343" spans="1:44" x14ac:dyDescent="0.3">
      <c r="A343" s="24" t="s">
        <v>67</v>
      </c>
      <c r="B343" s="78">
        <f>'Parameter Input'!$L$147</f>
        <v>0.06</v>
      </c>
      <c r="C343" s="61">
        <f>'Parameter Input'!$M$147</f>
        <v>0.06</v>
      </c>
      <c r="D343" s="1" t="s">
        <v>68</v>
      </c>
      <c r="L343" s="54">
        <f>'Parameter Input'!$O$147</f>
        <v>17</v>
      </c>
      <c r="M343" s="37">
        <v>0</v>
      </c>
      <c r="N343" s="37">
        <v>1</v>
      </c>
      <c r="O343" s="37">
        <f>'Parameter Input'!$P$147</f>
        <v>0.9</v>
      </c>
      <c r="P343" s="55">
        <f>'Parameter Input'!$Q$147</f>
        <v>0.4</v>
      </c>
      <c r="Q343" s="4">
        <f t="shared" si="228"/>
        <v>0.99780374543478534</v>
      </c>
      <c r="R343" s="4">
        <f t="shared" si="228"/>
        <v>0.99685359315256394</v>
      </c>
      <c r="S343" s="4">
        <f t="shared" si="228"/>
        <v>0.99549347132349975</v>
      </c>
      <c r="T343" s="4">
        <f t="shared" ref="T343:AI350" si="229">$N343+($M343-$N343)*((1/(1+EXP(-$P343*(T$9-$L343)))^$O343))</f>
        <v>0.99354772139898062</v>
      </c>
      <c r="U343" s="4">
        <f t="shared" si="229"/>
        <v>0.99076681540580536</v>
      </c>
      <c r="V343" s="4">
        <f t="shared" si="229"/>
        <v>0.9867978615748374</v>
      </c>
      <c r="W343" s="4">
        <f t="shared" si="229"/>
        <v>0.98114509762858249</v>
      </c>
      <c r="X343" s="4">
        <f t="shared" si="229"/>
        <v>0.97311898315872036</v>
      </c>
      <c r="Y343" s="4">
        <f t="shared" si="229"/>
        <v>0.96177484161592774</v>
      </c>
      <c r="Z343" s="4">
        <f t="shared" si="229"/>
        <v>0.94584787155511363</v>
      </c>
      <c r="AA343" s="4">
        <f t="shared" si="229"/>
        <v>0.92370360150141495</v>
      </c>
      <c r="AB343" s="4">
        <f t="shared" si="229"/>
        <v>0.89334463567658451</v>
      </c>
      <c r="AC343" s="4">
        <f t="shared" si="229"/>
        <v>0.85254543874327005</v>
      </c>
      <c r="AD343" s="4">
        <f t="shared" si="229"/>
        <v>0.79921300652623883</v>
      </c>
      <c r="AE343" s="4">
        <f t="shared" si="229"/>
        <v>0.73204982249993378</v>
      </c>
      <c r="AF343" s="4">
        <f t="shared" si="229"/>
        <v>0.65145592958786691</v>
      </c>
      <c r="AG343" s="4">
        <f t="shared" si="229"/>
        <v>0.56032247880849573</v>
      </c>
      <c r="AH343" s="4">
        <f t="shared" si="229"/>
        <v>0.46411326873185343</v>
      </c>
      <c r="AI343" s="4">
        <f t="shared" si="229"/>
        <v>0.36979727595523937</v>
      </c>
      <c r="AJ343" s="4">
        <f t="shared" ref="AJ343:AR350" si="230">$N343+($M343-$N343)*((1/(1+EXP(-$P343*(AJ$9-$L343)))^$O343))</f>
        <v>0.28393948637231203</v>
      </c>
      <c r="AK343" s="4">
        <f t="shared" si="230"/>
        <v>0.21097259161117732</v>
      </c>
      <c r="AL343" s="4">
        <f t="shared" si="230"/>
        <v>0.15253917653798199</v>
      </c>
      <c r="AM343" s="4">
        <f t="shared" si="230"/>
        <v>0.10795188737709993</v>
      </c>
      <c r="AN343" s="4">
        <f t="shared" si="230"/>
        <v>7.5176653938091809E-2</v>
      </c>
      <c r="AO343" s="4">
        <f t="shared" si="230"/>
        <v>5.1742836177502194E-2</v>
      </c>
      <c r="AP343" s="4">
        <f t="shared" si="230"/>
        <v>3.5319190625345942E-2</v>
      </c>
      <c r="AQ343" s="4">
        <f t="shared" si="230"/>
        <v>2.3969442072658165E-2</v>
      </c>
      <c r="AR343" s="4">
        <f t="shared" si="230"/>
        <v>1.6202243558389728E-2</v>
      </c>
    </row>
    <row r="344" spans="1:44" x14ac:dyDescent="0.3">
      <c r="A344" s="24" t="s">
        <v>206</v>
      </c>
      <c r="B344" s="78">
        <f>'Parameter Input'!L150</f>
        <v>17.249705634987386</v>
      </c>
      <c r="C344" s="61">
        <f>'Parameter Input'!M150</f>
        <v>55.988225399495377</v>
      </c>
      <c r="D344" s="1"/>
      <c r="L344" s="54">
        <f>'Parameter Input'!O150</f>
        <v>17</v>
      </c>
      <c r="M344" s="37">
        <v>0</v>
      </c>
      <c r="N344" s="37">
        <v>1</v>
      </c>
      <c r="O344" s="37">
        <f>'Parameter Input'!P150</f>
        <v>0.9</v>
      </c>
      <c r="P344" s="55">
        <f>'Parameter Input'!Q150</f>
        <v>0.4</v>
      </c>
      <c r="Q344" s="4">
        <f t="shared" ref="Q344:AR344" si="231">$N344+($M344-$N344)*((1/(1+EXP(-$P344*(Q$9-$L344)))^$O344))</f>
        <v>0.99780374543478534</v>
      </c>
      <c r="R344" s="4">
        <f t="shared" si="231"/>
        <v>0.99685359315256394</v>
      </c>
      <c r="S344" s="4">
        <f t="shared" si="231"/>
        <v>0.99549347132349975</v>
      </c>
      <c r="T344" s="4">
        <f t="shared" si="231"/>
        <v>0.99354772139898062</v>
      </c>
      <c r="U344" s="4">
        <f t="shared" si="231"/>
        <v>0.99076681540580536</v>
      </c>
      <c r="V344" s="4">
        <f t="shared" si="231"/>
        <v>0.9867978615748374</v>
      </c>
      <c r="W344" s="4">
        <f t="shared" si="231"/>
        <v>0.98114509762858249</v>
      </c>
      <c r="X344" s="4">
        <f t="shared" si="231"/>
        <v>0.97311898315872036</v>
      </c>
      <c r="Y344" s="4">
        <f t="shared" si="231"/>
        <v>0.96177484161592774</v>
      </c>
      <c r="Z344" s="4">
        <f t="shared" si="231"/>
        <v>0.94584787155511363</v>
      </c>
      <c r="AA344" s="4">
        <f t="shared" si="231"/>
        <v>0.92370360150141495</v>
      </c>
      <c r="AB344" s="4">
        <f t="shared" si="231"/>
        <v>0.89334463567658451</v>
      </c>
      <c r="AC344" s="4">
        <f t="shared" si="231"/>
        <v>0.85254543874327005</v>
      </c>
      <c r="AD344" s="4">
        <f t="shared" si="231"/>
        <v>0.79921300652623883</v>
      </c>
      <c r="AE344" s="4">
        <f t="shared" si="231"/>
        <v>0.73204982249993378</v>
      </c>
      <c r="AF344" s="4">
        <f t="shared" si="231"/>
        <v>0.65145592958786691</v>
      </c>
      <c r="AG344" s="4">
        <f t="shared" si="231"/>
        <v>0.56032247880849573</v>
      </c>
      <c r="AH344" s="4">
        <f t="shared" si="231"/>
        <v>0.46411326873185343</v>
      </c>
      <c r="AI344" s="4">
        <f t="shared" si="231"/>
        <v>0.36979727595523937</v>
      </c>
      <c r="AJ344" s="4">
        <f t="shared" si="231"/>
        <v>0.28393948637231203</v>
      </c>
      <c r="AK344" s="4">
        <f t="shared" si="231"/>
        <v>0.21097259161117732</v>
      </c>
      <c r="AL344" s="4">
        <f t="shared" si="231"/>
        <v>0.15253917653798199</v>
      </c>
      <c r="AM344" s="4">
        <f t="shared" si="231"/>
        <v>0.10795188737709993</v>
      </c>
      <c r="AN344" s="4">
        <f t="shared" si="231"/>
        <v>7.5176653938091809E-2</v>
      </c>
      <c r="AO344" s="4">
        <f t="shared" si="231"/>
        <v>5.1742836177502194E-2</v>
      </c>
      <c r="AP344" s="4">
        <f t="shared" si="231"/>
        <v>3.5319190625345942E-2</v>
      </c>
      <c r="AQ344" s="4">
        <f t="shared" si="231"/>
        <v>2.3969442072658165E-2</v>
      </c>
      <c r="AR344" s="4">
        <f t="shared" si="231"/>
        <v>1.6202243558389728E-2</v>
      </c>
    </row>
    <row r="345" spans="1:44" x14ac:dyDescent="0.3">
      <c r="A345" s="24" t="s">
        <v>41</v>
      </c>
      <c r="B345" s="60">
        <f>'Parameter Input'!$L$144</f>
        <v>25</v>
      </c>
      <c r="C345" s="61">
        <f>'Parameter Input'!$M$144</f>
        <v>25</v>
      </c>
      <c r="D345" s="1" t="s">
        <v>42</v>
      </c>
      <c r="L345" s="54">
        <f>'Parameter Input'!$O$144</f>
        <v>17</v>
      </c>
      <c r="M345" s="37">
        <v>0</v>
      </c>
      <c r="N345" s="37">
        <v>1</v>
      </c>
      <c r="O345" s="37">
        <f>'Parameter Input'!$P$144</f>
        <v>0.9</v>
      </c>
      <c r="P345" s="55">
        <f>'Parameter Input'!$Q$144</f>
        <v>0.4</v>
      </c>
      <c r="Q345" s="4">
        <f t="shared" ref="Q345:AF350" si="232">$N345+($M345-$N345)*((1/(1+EXP(-$P345*(Q$9-$L345)))^$O345))</f>
        <v>0.99780374543478534</v>
      </c>
      <c r="R345" s="4">
        <f t="shared" si="232"/>
        <v>0.99685359315256394</v>
      </c>
      <c r="S345" s="4">
        <f t="shared" si="232"/>
        <v>0.99549347132349975</v>
      </c>
      <c r="T345" s="4">
        <f t="shared" si="232"/>
        <v>0.99354772139898062</v>
      </c>
      <c r="U345" s="4">
        <f t="shared" si="232"/>
        <v>0.99076681540580536</v>
      </c>
      <c r="V345" s="4">
        <f t="shared" si="232"/>
        <v>0.9867978615748374</v>
      </c>
      <c r="W345" s="4">
        <f t="shared" si="232"/>
        <v>0.98114509762858249</v>
      </c>
      <c r="X345" s="4">
        <f t="shared" si="232"/>
        <v>0.97311898315872036</v>
      </c>
      <c r="Y345" s="4">
        <f t="shared" si="232"/>
        <v>0.96177484161592774</v>
      </c>
      <c r="Z345" s="4">
        <f t="shared" si="232"/>
        <v>0.94584787155511363</v>
      </c>
      <c r="AA345" s="4">
        <f t="shared" si="232"/>
        <v>0.92370360150141495</v>
      </c>
      <c r="AB345" s="4">
        <f t="shared" si="232"/>
        <v>0.89334463567658451</v>
      </c>
      <c r="AC345" s="4">
        <f t="shared" si="232"/>
        <v>0.85254543874327005</v>
      </c>
      <c r="AD345" s="4">
        <f t="shared" si="232"/>
        <v>0.79921300652623883</v>
      </c>
      <c r="AE345" s="4">
        <f t="shared" si="232"/>
        <v>0.73204982249993378</v>
      </c>
      <c r="AF345" s="4">
        <f t="shared" si="232"/>
        <v>0.65145592958786691</v>
      </c>
      <c r="AG345" s="4">
        <f t="shared" si="229"/>
        <v>0.56032247880849573</v>
      </c>
      <c r="AH345" s="4">
        <f t="shared" si="229"/>
        <v>0.46411326873185343</v>
      </c>
      <c r="AI345" s="4">
        <f t="shared" si="229"/>
        <v>0.36979727595523937</v>
      </c>
      <c r="AJ345" s="4">
        <f t="shared" si="230"/>
        <v>0.28393948637231203</v>
      </c>
      <c r="AK345" s="4">
        <f t="shared" si="230"/>
        <v>0.21097259161117732</v>
      </c>
      <c r="AL345" s="4">
        <f t="shared" si="230"/>
        <v>0.15253917653798199</v>
      </c>
      <c r="AM345" s="4">
        <f t="shared" si="230"/>
        <v>0.10795188737709993</v>
      </c>
      <c r="AN345" s="4">
        <f t="shared" si="230"/>
        <v>7.5176653938091809E-2</v>
      </c>
      <c r="AO345" s="4">
        <f t="shared" si="230"/>
        <v>5.1742836177502194E-2</v>
      </c>
      <c r="AP345" s="4">
        <f t="shared" si="230"/>
        <v>3.5319190625345942E-2</v>
      </c>
      <c r="AQ345" s="4">
        <f t="shared" si="230"/>
        <v>2.3969442072658165E-2</v>
      </c>
      <c r="AR345" s="4">
        <f t="shared" si="230"/>
        <v>1.6202243558389728E-2</v>
      </c>
    </row>
    <row r="346" spans="1:44" x14ac:dyDescent="0.3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2"/>
        <v>0.99780374543478534</v>
      </c>
      <c r="R346" s="4">
        <f t="shared" si="232"/>
        <v>0.99685359315256394</v>
      </c>
      <c r="S346" s="4">
        <f t="shared" si="232"/>
        <v>0.99549347132349975</v>
      </c>
      <c r="T346" s="4">
        <f t="shared" si="232"/>
        <v>0.99354772139898062</v>
      </c>
      <c r="U346" s="4">
        <f t="shared" si="232"/>
        <v>0.99076681540580536</v>
      </c>
      <c r="V346" s="4">
        <f t="shared" si="232"/>
        <v>0.9867978615748374</v>
      </c>
      <c r="W346" s="4">
        <f t="shared" si="232"/>
        <v>0.98114509762858249</v>
      </c>
      <c r="X346" s="4">
        <f t="shared" si="232"/>
        <v>0.97311898315872036</v>
      </c>
      <c r="Y346" s="4">
        <f t="shared" si="232"/>
        <v>0.96177484161592774</v>
      </c>
      <c r="Z346" s="4">
        <f t="shared" si="232"/>
        <v>0.94584787155511363</v>
      </c>
      <c r="AA346" s="4">
        <f t="shared" si="232"/>
        <v>0.92370360150141495</v>
      </c>
      <c r="AB346" s="4">
        <f t="shared" si="232"/>
        <v>0.89334463567658451</v>
      </c>
      <c r="AC346" s="4">
        <f t="shared" si="232"/>
        <v>0.85254543874327005</v>
      </c>
      <c r="AD346" s="4">
        <f t="shared" si="232"/>
        <v>0.79921300652623883</v>
      </c>
      <c r="AE346" s="4">
        <f t="shared" si="232"/>
        <v>0.73204982249993378</v>
      </c>
      <c r="AF346" s="4">
        <f t="shared" si="232"/>
        <v>0.65145592958786691</v>
      </c>
      <c r="AG346" s="4">
        <f t="shared" si="229"/>
        <v>0.56032247880849573</v>
      </c>
      <c r="AH346" s="4">
        <f t="shared" si="229"/>
        <v>0.46411326873185343</v>
      </c>
      <c r="AI346" s="4">
        <f t="shared" si="229"/>
        <v>0.36979727595523937</v>
      </c>
      <c r="AJ346" s="4">
        <f t="shared" si="230"/>
        <v>0.28393948637231203</v>
      </c>
      <c r="AK346" s="4">
        <f t="shared" si="230"/>
        <v>0.21097259161117732</v>
      </c>
      <c r="AL346" s="4">
        <f t="shared" si="230"/>
        <v>0.15253917653798199</v>
      </c>
      <c r="AM346" s="4">
        <f t="shared" si="230"/>
        <v>0.10795188737709993</v>
      </c>
      <c r="AN346" s="4">
        <f t="shared" si="230"/>
        <v>7.5176653938091809E-2</v>
      </c>
      <c r="AO346" s="4">
        <f t="shared" si="230"/>
        <v>5.1742836177502194E-2</v>
      </c>
      <c r="AP346" s="4">
        <f t="shared" si="230"/>
        <v>3.5319190625345942E-2</v>
      </c>
      <c r="AQ346" s="4">
        <f t="shared" si="230"/>
        <v>2.3969442072658165E-2</v>
      </c>
      <c r="AR346" s="4">
        <f t="shared" si="230"/>
        <v>1.6202243558389728E-2</v>
      </c>
    </row>
    <row r="347" spans="1:44" x14ac:dyDescent="0.3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2"/>
        <v>0.99780374543478534</v>
      </c>
      <c r="R347" s="4">
        <f t="shared" si="232"/>
        <v>0.99685359315256394</v>
      </c>
      <c r="S347" s="4">
        <f t="shared" si="232"/>
        <v>0.99549347132349975</v>
      </c>
      <c r="T347" s="4">
        <f t="shared" si="232"/>
        <v>0.99354772139898062</v>
      </c>
      <c r="U347" s="4">
        <f t="shared" si="232"/>
        <v>0.99076681540580536</v>
      </c>
      <c r="V347" s="4">
        <f t="shared" si="232"/>
        <v>0.9867978615748374</v>
      </c>
      <c r="W347" s="4">
        <f t="shared" si="232"/>
        <v>0.98114509762858249</v>
      </c>
      <c r="X347" s="4">
        <f t="shared" si="232"/>
        <v>0.97311898315872036</v>
      </c>
      <c r="Y347" s="4">
        <f t="shared" si="232"/>
        <v>0.96177484161592774</v>
      </c>
      <c r="Z347" s="4">
        <f t="shared" si="232"/>
        <v>0.94584787155511363</v>
      </c>
      <c r="AA347" s="4">
        <f t="shared" si="232"/>
        <v>0.92370360150141495</v>
      </c>
      <c r="AB347" s="4">
        <f t="shared" si="232"/>
        <v>0.89334463567658451</v>
      </c>
      <c r="AC347" s="4">
        <f t="shared" si="232"/>
        <v>0.85254543874327005</v>
      </c>
      <c r="AD347" s="4">
        <f t="shared" si="232"/>
        <v>0.79921300652623883</v>
      </c>
      <c r="AE347" s="4">
        <f t="shared" si="232"/>
        <v>0.73204982249993378</v>
      </c>
      <c r="AF347" s="4">
        <f t="shared" si="232"/>
        <v>0.65145592958786691</v>
      </c>
      <c r="AG347" s="4">
        <f t="shared" si="229"/>
        <v>0.56032247880849573</v>
      </c>
      <c r="AH347" s="4">
        <f t="shared" si="229"/>
        <v>0.46411326873185343</v>
      </c>
      <c r="AI347" s="4">
        <f t="shared" si="229"/>
        <v>0.36979727595523937</v>
      </c>
      <c r="AJ347" s="4">
        <f t="shared" si="230"/>
        <v>0.28393948637231203</v>
      </c>
      <c r="AK347" s="4">
        <f t="shared" si="230"/>
        <v>0.21097259161117732</v>
      </c>
      <c r="AL347" s="4">
        <f t="shared" si="230"/>
        <v>0.15253917653798199</v>
      </c>
      <c r="AM347" s="4">
        <f t="shared" si="230"/>
        <v>0.10795188737709993</v>
      </c>
      <c r="AN347" s="4">
        <f t="shared" si="230"/>
        <v>7.5176653938091809E-2</v>
      </c>
      <c r="AO347" s="4">
        <f t="shared" si="230"/>
        <v>5.1742836177502194E-2</v>
      </c>
      <c r="AP347" s="4">
        <f t="shared" si="230"/>
        <v>3.5319190625345942E-2</v>
      </c>
      <c r="AQ347" s="4">
        <f t="shared" si="230"/>
        <v>2.3969442072658165E-2</v>
      </c>
      <c r="AR347" s="4">
        <f t="shared" si="230"/>
        <v>1.6202243558389728E-2</v>
      </c>
    </row>
    <row r="348" spans="1:44" x14ac:dyDescent="0.3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2"/>
        <v>0.99780374543478534</v>
      </c>
      <c r="R348" s="4">
        <f t="shared" si="232"/>
        <v>0.99685359315256394</v>
      </c>
      <c r="S348" s="4">
        <f t="shared" si="232"/>
        <v>0.99549347132349975</v>
      </c>
      <c r="T348" s="4">
        <f t="shared" si="232"/>
        <v>0.99354772139898062</v>
      </c>
      <c r="U348" s="4">
        <f t="shared" si="232"/>
        <v>0.99076681540580536</v>
      </c>
      <c r="V348" s="4">
        <f t="shared" si="232"/>
        <v>0.9867978615748374</v>
      </c>
      <c r="W348" s="4">
        <f t="shared" si="232"/>
        <v>0.98114509762858249</v>
      </c>
      <c r="X348" s="4">
        <f t="shared" si="232"/>
        <v>0.97311898315872036</v>
      </c>
      <c r="Y348" s="4">
        <f t="shared" si="232"/>
        <v>0.96177484161592774</v>
      </c>
      <c r="Z348" s="4">
        <f t="shared" si="232"/>
        <v>0.94584787155511363</v>
      </c>
      <c r="AA348" s="4">
        <f t="shared" si="232"/>
        <v>0.92370360150141495</v>
      </c>
      <c r="AB348" s="4">
        <f t="shared" si="232"/>
        <v>0.89334463567658451</v>
      </c>
      <c r="AC348" s="4">
        <f t="shared" si="232"/>
        <v>0.85254543874327005</v>
      </c>
      <c r="AD348" s="4">
        <f t="shared" si="232"/>
        <v>0.79921300652623883</v>
      </c>
      <c r="AE348" s="4">
        <f t="shared" si="232"/>
        <v>0.73204982249993378</v>
      </c>
      <c r="AF348" s="4">
        <f t="shared" si="232"/>
        <v>0.65145592958786691</v>
      </c>
      <c r="AG348" s="4">
        <f t="shared" si="229"/>
        <v>0.56032247880849573</v>
      </c>
      <c r="AH348" s="4">
        <f t="shared" si="229"/>
        <v>0.46411326873185343</v>
      </c>
      <c r="AI348" s="4">
        <f t="shared" si="229"/>
        <v>0.36979727595523937</v>
      </c>
      <c r="AJ348" s="4">
        <f t="shared" si="230"/>
        <v>0.28393948637231203</v>
      </c>
      <c r="AK348" s="4">
        <f t="shared" si="230"/>
        <v>0.21097259161117732</v>
      </c>
      <c r="AL348" s="4">
        <f t="shared" si="230"/>
        <v>0.15253917653798199</v>
      </c>
      <c r="AM348" s="4">
        <f t="shared" si="230"/>
        <v>0.10795188737709993</v>
      </c>
      <c r="AN348" s="4">
        <f t="shared" si="230"/>
        <v>7.5176653938091809E-2</v>
      </c>
      <c r="AO348" s="4">
        <f t="shared" si="230"/>
        <v>5.1742836177502194E-2</v>
      </c>
      <c r="AP348" s="4">
        <f t="shared" si="230"/>
        <v>3.5319190625345942E-2</v>
      </c>
      <c r="AQ348" s="4">
        <f t="shared" si="230"/>
        <v>2.3969442072658165E-2</v>
      </c>
      <c r="AR348" s="4">
        <f t="shared" si="230"/>
        <v>1.6202243558389728E-2</v>
      </c>
    </row>
    <row r="349" spans="1:44" x14ac:dyDescent="0.3">
      <c r="A349" s="24" t="s">
        <v>73</v>
      </c>
      <c r="B349" s="45">
        <f>'Parameter Input'!$L$148</f>
        <v>0</v>
      </c>
      <c r="C349" s="46">
        <f>'Parameter Input'!$M$148</f>
        <v>0</v>
      </c>
      <c r="D349" s="1" t="s">
        <v>57</v>
      </c>
      <c r="L349" s="54">
        <f>'Parameter Input'!$O$148</f>
        <v>17</v>
      </c>
      <c r="M349" s="37">
        <v>0</v>
      </c>
      <c r="N349" s="37">
        <v>1</v>
      </c>
      <c r="O349" s="37">
        <f>'Parameter Input'!$P$148</f>
        <v>0.9</v>
      </c>
      <c r="P349" s="55">
        <f>'Parameter Input'!$Q$148</f>
        <v>0.4</v>
      </c>
      <c r="Q349" s="4">
        <f t="shared" si="232"/>
        <v>0.99780374543478534</v>
      </c>
      <c r="R349" s="4">
        <f t="shared" si="232"/>
        <v>0.99685359315256394</v>
      </c>
      <c r="S349" s="4">
        <f t="shared" si="232"/>
        <v>0.99549347132349975</v>
      </c>
      <c r="T349" s="4">
        <f t="shared" si="232"/>
        <v>0.99354772139898062</v>
      </c>
      <c r="U349" s="4">
        <f t="shared" si="232"/>
        <v>0.99076681540580536</v>
      </c>
      <c r="V349" s="4">
        <f t="shared" si="232"/>
        <v>0.9867978615748374</v>
      </c>
      <c r="W349" s="4">
        <f t="shared" si="232"/>
        <v>0.98114509762858249</v>
      </c>
      <c r="X349" s="4">
        <f t="shared" si="232"/>
        <v>0.97311898315872036</v>
      </c>
      <c r="Y349" s="4">
        <f t="shared" si="232"/>
        <v>0.96177484161592774</v>
      </c>
      <c r="Z349" s="4">
        <f t="shared" si="232"/>
        <v>0.94584787155511363</v>
      </c>
      <c r="AA349" s="4">
        <f t="shared" si="232"/>
        <v>0.92370360150141495</v>
      </c>
      <c r="AB349" s="4">
        <f t="shared" si="232"/>
        <v>0.89334463567658451</v>
      </c>
      <c r="AC349" s="4">
        <f t="shared" si="232"/>
        <v>0.85254543874327005</v>
      </c>
      <c r="AD349" s="4">
        <f t="shared" si="232"/>
        <v>0.79921300652623883</v>
      </c>
      <c r="AE349" s="4">
        <f t="shared" si="232"/>
        <v>0.73204982249993378</v>
      </c>
      <c r="AF349" s="4">
        <f t="shared" si="232"/>
        <v>0.65145592958786691</v>
      </c>
      <c r="AG349" s="4">
        <f t="shared" si="229"/>
        <v>0.56032247880849573</v>
      </c>
      <c r="AH349" s="4">
        <f t="shared" si="229"/>
        <v>0.46411326873185343</v>
      </c>
      <c r="AI349" s="4">
        <f t="shared" si="229"/>
        <v>0.36979727595523937</v>
      </c>
      <c r="AJ349" s="4">
        <f t="shared" si="230"/>
        <v>0.28393948637231203</v>
      </c>
      <c r="AK349" s="4">
        <f t="shared" si="230"/>
        <v>0.21097259161117732</v>
      </c>
      <c r="AL349" s="4">
        <f t="shared" si="230"/>
        <v>0.15253917653798199</v>
      </c>
      <c r="AM349" s="4">
        <f t="shared" si="230"/>
        <v>0.10795188737709993</v>
      </c>
      <c r="AN349" s="4">
        <f t="shared" si="230"/>
        <v>7.5176653938091809E-2</v>
      </c>
      <c r="AO349" s="4">
        <f t="shared" si="230"/>
        <v>5.1742836177502194E-2</v>
      </c>
      <c r="AP349" s="4">
        <f t="shared" si="230"/>
        <v>3.5319190625345942E-2</v>
      </c>
      <c r="AQ349" s="4">
        <f t="shared" si="230"/>
        <v>2.3969442072658165E-2</v>
      </c>
      <c r="AR349" s="4">
        <f t="shared" si="230"/>
        <v>1.6202243558389728E-2</v>
      </c>
    </row>
    <row r="350" spans="1:44" ht="15" thickBot="1" x14ac:dyDescent="0.35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2"/>
        <v>0.99780374543478534</v>
      </c>
      <c r="R350" s="4">
        <f t="shared" si="232"/>
        <v>0.99685359315256394</v>
      </c>
      <c r="S350" s="4">
        <f t="shared" si="232"/>
        <v>0.99549347132349975</v>
      </c>
      <c r="T350" s="4">
        <f t="shared" si="232"/>
        <v>0.99354772139898062</v>
      </c>
      <c r="U350" s="4">
        <f t="shared" si="232"/>
        <v>0.99076681540580536</v>
      </c>
      <c r="V350" s="4">
        <f t="shared" si="232"/>
        <v>0.9867978615748374</v>
      </c>
      <c r="W350" s="4">
        <f t="shared" si="232"/>
        <v>0.98114509762858249</v>
      </c>
      <c r="X350" s="4">
        <f t="shared" si="232"/>
        <v>0.97311898315872036</v>
      </c>
      <c r="Y350" s="4">
        <f t="shared" si="232"/>
        <v>0.96177484161592774</v>
      </c>
      <c r="Z350" s="4">
        <f t="shared" si="232"/>
        <v>0.94584787155511363</v>
      </c>
      <c r="AA350" s="4">
        <f t="shared" si="232"/>
        <v>0.92370360150141495</v>
      </c>
      <c r="AB350" s="4">
        <f t="shared" si="232"/>
        <v>0.89334463567658451</v>
      </c>
      <c r="AC350" s="4">
        <f t="shared" si="232"/>
        <v>0.85254543874327005</v>
      </c>
      <c r="AD350" s="4">
        <f t="shared" si="232"/>
        <v>0.79921300652623883</v>
      </c>
      <c r="AE350" s="4">
        <f t="shared" si="232"/>
        <v>0.73204982249993378</v>
      </c>
      <c r="AF350" s="4">
        <f t="shared" si="232"/>
        <v>0.65145592958786691</v>
      </c>
      <c r="AG350" s="4">
        <f t="shared" si="229"/>
        <v>0.56032247880849573</v>
      </c>
      <c r="AH350" s="4">
        <f t="shared" si="229"/>
        <v>0.46411326873185343</v>
      </c>
      <c r="AI350" s="4">
        <f t="shared" si="229"/>
        <v>0.36979727595523937</v>
      </c>
      <c r="AJ350" s="4">
        <f t="shared" si="230"/>
        <v>0.28393948637231203</v>
      </c>
      <c r="AK350" s="4">
        <f t="shared" si="230"/>
        <v>0.21097259161117732</v>
      </c>
      <c r="AL350" s="4">
        <f t="shared" si="230"/>
        <v>0.15253917653798199</v>
      </c>
      <c r="AM350" s="4">
        <f t="shared" si="230"/>
        <v>0.10795188737709993</v>
      </c>
      <c r="AN350" s="4">
        <f t="shared" si="230"/>
        <v>7.5176653938091809E-2</v>
      </c>
      <c r="AO350" s="4">
        <f t="shared" si="230"/>
        <v>5.1742836177502194E-2</v>
      </c>
      <c r="AP350" s="4">
        <f t="shared" si="230"/>
        <v>3.5319190625345942E-2</v>
      </c>
      <c r="AQ350" s="4">
        <f t="shared" si="230"/>
        <v>2.3969442072658165E-2</v>
      </c>
      <c r="AR350" s="4">
        <f t="shared" si="230"/>
        <v>1.6202243558389728E-2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8" si="233">A334</f>
        <v>Capex vehicle</v>
      </c>
      <c r="B354" s="62">
        <f t="shared" ref="B354:B363" si="234">$B334+($C334-$B334)*(1-Q334)</f>
        <v>15000000</v>
      </c>
      <c r="C354" s="62">
        <f t="shared" ref="C354:C363" si="235">$B334+($C334-$B334)*(1-R334)</f>
        <v>15000000</v>
      </c>
      <c r="D354" s="62">
        <f t="shared" ref="D354:D363" si="236">$B334+($C334-$B334)*(1-S334)</f>
        <v>15000000</v>
      </c>
      <c r="E354" s="62">
        <f t="shared" ref="E354:E363" si="237">$B334+($C334-$B334)*(1-T334)</f>
        <v>15000000</v>
      </c>
      <c r="F354" s="62">
        <f t="shared" ref="F354:F363" si="238">$B334+($C334-$B334)*(1-U334)</f>
        <v>15000000</v>
      </c>
      <c r="G354" s="62">
        <f t="shared" ref="G354:G363" si="239">$B334+($C334-$B334)*(1-V334)</f>
        <v>15000000</v>
      </c>
      <c r="H354" s="62">
        <f t="shared" ref="H354:H363" si="240">$B334+($C334-$B334)*(1-W334)</f>
        <v>15000000</v>
      </c>
      <c r="I354" s="62">
        <f t="shared" ref="I354:I363" si="241">$B334+($C334-$B334)*(1-X334)</f>
        <v>15000000</v>
      </c>
      <c r="J354" s="62">
        <f t="shared" ref="J354:J363" si="242">$B334+($C334-$B334)*(1-Y334)</f>
        <v>15000000</v>
      </c>
      <c r="K354" s="62">
        <f t="shared" ref="K354:K363" si="243">$B334+($C334-$B334)*(1-Z334)</f>
        <v>15000000</v>
      </c>
      <c r="L354" s="62">
        <f t="shared" ref="L354:L363" si="244">$B334+($C334-$B334)*(1-AA334)</f>
        <v>15000000</v>
      </c>
      <c r="M354" s="62">
        <f t="shared" ref="M354:M363" si="245">$B334+($C334-$B334)*(1-AB334)</f>
        <v>15000000</v>
      </c>
      <c r="N354" s="62">
        <f t="shared" ref="N354:N363" si="246">$B334+($C334-$B334)*(1-AC334)</f>
        <v>15000000</v>
      </c>
      <c r="O354" s="62">
        <f t="shared" ref="O354:O363" si="247">$B334+($C334-$B334)*(1-AD334)</f>
        <v>15000000</v>
      </c>
      <c r="P354" s="62">
        <f t="shared" ref="P354:P363" si="248">$B334+($C334-$B334)*(1-AE334)</f>
        <v>15000000</v>
      </c>
      <c r="Q354" s="62">
        <f t="shared" ref="Q354:Q363" si="249">$B334+($C334-$B334)*(1-AF334)</f>
        <v>15000000</v>
      </c>
      <c r="R354" s="62">
        <f t="shared" ref="R354:R363" si="250">$B334+($C334-$B334)*(1-AG334)</f>
        <v>15000000</v>
      </c>
      <c r="S354" s="62">
        <f t="shared" ref="S354:S363" si="251">$B334+($C334-$B334)*(1-AH334)</f>
        <v>15000000</v>
      </c>
      <c r="T354" s="62">
        <f t="shared" ref="T354:T363" si="252">$B334+($C334-$B334)*(1-AI334)</f>
        <v>15000000</v>
      </c>
      <c r="U354" s="62">
        <f t="shared" ref="U354:U363" si="253">$B334+($C334-$B334)*(1-AJ334)</f>
        <v>15000000</v>
      </c>
      <c r="V354" s="62">
        <f t="shared" ref="V354:V363" si="254">$B334+($C334-$B334)*(1-AK334)</f>
        <v>15000000</v>
      </c>
      <c r="W354" s="62">
        <f t="shared" ref="W354:W363" si="255">$B334+($C334-$B334)*(1-AL334)</f>
        <v>15000000</v>
      </c>
      <c r="X354" s="62">
        <f t="shared" ref="X354:X363" si="256">$B334+($C334-$B334)*(1-AM334)</f>
        <v>15000000</v>
      </c>
      <c r="Y354" s="62">
        <f t="shared" ref="Y354:Y363" si="257">$B334+($C334-$B334)*(1-AN334)</f>
        <v>15000000</v>
      </c>
      <c r="Z354" s="62">
        <f t="shared" ref="Z354:Z363" si="258">$B334+($C334-$B334)*(1-AO334)</f>
        <v>15000000</v>
      </c>
      <c r="AA354" s="62">
        <f t="shared" ref="AA354:AA363" si="259">$B334+($C334-$B334)*(1-AP334)</f>
        <v>15000000</v>
      </c>
      <c r="AB354" s="62">
        <f t="shared" ref="AB354:AB363" si="260">$B334+($C334-$B334)*(1-AQ334)</f>
        <v>15000000</v>
      </c>
      <c r="AC354" s="62">
        <f t="shared" ref="AC354:AC363" si="261">$B334+($C334-$B334)*(1-AR334)</f>
        <v>15000000</v>
      </c>
    </row>
    <row r="355" spans="1:29" x14ac:dyDescent="0.3">
      <c r="A355" s="30" t="str">
        <f t="shared" si="233"/>
        <v>Residual value (vehicle)</v>
      </c>
      <c r="B355" s="62">
        <f t="shared" si="234"/>
        <v>-1498352.8090760889</v>
      </c>
      <c r="C355" s="62">
        <f t="shared" si="235"/>
        <v>-1497640.194864423</v>
      </c>
      <c r="D355" s="62">
        <f t="shared" si="236"/>
        <v>-1496620.1034926248</v>
      </c>
      <c r="E355" s="62">
        <f t="shared" si="237"/>
        <v>-1495160.7910492355</v>
      </c>
      <c r="F355" s="62">
        <f t="shared" si="238"/>
        <v>-1493075.111554354</v>
      </c>
      <c r="G355" s="62">
        <f t="shared" si="239"/>
        <v>-1490098.396181128</v>
      </c>
      <c r="H355" s="62">
        <f t="shared" si="240"/>
        <v>-1485858.8232214369</v>
      </c>
      <c r="I355" s="62">
        <f t="shared" si="241"/>
        <v>-1479839.2373690403</v>
      </c>
      <c r="J355" s="62">
        <f t="shared" si="242"/>
        <v>-1471331.1312119458</v>
      </c>
      <c r="K355" s="62">
        <f t="shared" si="243"/>
        <v>-1459385.9036663352</v>
      </c>
      <c r="L355" s="62">
        <f t="shared" si="244"/>
        <v>-1442777.7011260611</v>
      </c>
      <c r="M355" s="62">
        <f t="shared" si="245"/>
        <v>-1420008.4767574384</v>
      </c>
      <c r="N355" s="62">
        <f t="shared" si="246"/>
        <v>-1389409.0790574525</v>
      </c>
      <c r="O355" s="62">
        <f t="shared" si="247"/>
        <v>-1349409.7548946792</v>
      </c>
      <c r="P355" s="62">
        <f t="shared" si="248"/>
        <v>-1299037.3668749502</v>
      </c>
      <c r="Q355" s="62">
        <f t="shared" si="249"/>
        <v>-1238591.9471909001</v>
      </c>
      <c r="R355" s="62">
        <f t="shared" si="250"/>
        <v>-1170241.8591063719</v>
      </c>
      <c r="S355" s="62">
        <f t="shared" si="251"/>
        <v>-1098084.9515488902</v>
      </c>
      <c r="T355" s="62">
        <f t="shared" si="252"/>
        <v>-1027347.9569664295</v>
      </c>
      <c r="U355" s="62">
        <f t="shared" si="253"/>
        <v>-962954.61477923405</v>
      </c>
      <c r="V355" s="62">
        <f t="shared" si="254"/>
        <v>-908229.44370838301</v>
      </c>
      <c r="W355" s="62">
        <f t="shared" si="255"/>
        <v>-864404.38240348652</v>
      </c>
      <c r="X355" s="62">
        <f t="shared" si="256"/>
        <v>-830963.91553282493</v>
      </c>
      <c r="Y355" s="62">
        <f t="shared" si="257"/>
        <v>-806382.49045356887</v>
      </c>
      <c r="Z355" s="62">
        <f t="shared" si="258"/>
        <v>-788807.1271331266</v>
      </c>
      <c r="AA355" s="62">
        <f t="shared" si="259"/>
        <v>-776489.39296900947</v>
      </c>
      <c r="AB355" s="62">
        <f t="shared" si="260"/>
        <v>-767977.08155449363</v>
      </c>
      <c r="AC355" s="62">
        <f t="shared" si="261"/>
        <v>-762151.68266879232</v>
      </c>
    </row>
    <row r="356" spans="1:29" x14ac:dyDescent="0.3">
      <c r="A356" s="30" t="str">
        <f t="shared" si="233"/>
        <v>Capex costumization</v>
      </c>
      <c r="B356" s="62">
        <f t="shared" si="234"/>
        <v>1000000</v>
      </c>
      <c r="C356" s="62">
        <f t="shared" si="235"/>
        <v>1000000</v>
      </c>
      <c r="D356" s="62">
        <f t="shared" si="236"/>
        <v>1000000</v>
      </c>
      <c r="E356" s="62">
        <f t="shared" si="237"/>
        <v>1000000</v>
      </c>
      <c r="F356" s="62">
        <f t="shared" si="238"/>
        <v>1000000</v>
      </c>
      <c r="G356" s="62">
        <f t="shared" si="239"/>
        <v>1000000</v>
      </c>
      <c r="H356" s="62">
        <f t="shared" si="240"/>
        <v>1000000</v>
      </c>
      <c r="I356" s="62">
        <f t="shared" si="241"/>
        <v>1000000</v>
      </c>
      <c r="J356" s="62">
        <f t="shared" si="242"/>
        <v>1000000</v>
      </c>
      <c r="K356" s="62">
        <f t="shared" si="243"/>
        <v>1000000</v>
      </c>
      <c r="L356" s="62">
        <f t="shared" si="244"/>
        <v>1000000</v>
      </c>
      <c r="M356" s="62">
        <f t="shared" si="245"/>
        <v>1000000</v>
      </c>
      <c r="N356" s="62">
        <f t="shared" si="246"/>
        <v>1000000</v>
      </c>
      <c r="O356" s="62">
        <f t="shared" si="247"/>
        <v>1000000</v>
      </c>
      <c r="P356" s="62">
        <f t="shared" si="248"/>
        <v>1000000</v>
      </c>
      <c r="Q356" s="62">
        <f t="shared" si="249"/>
        <v>1000000</v>
      </c>
      <c r="R356" s="62">
        <f t="shared" si="250"/>
        <v>1000000</v>
      </c>
      <c r="S356" s="62">
        <f t="shared" si="251"/>
        <v>1000000</v>
      </c>
      <c r="T356" s="62">
        <f t="shared" si="252"/>
        <v>1000000</v>
      </c>
      <c r="U356" s="62">
        <f t="shared" si="253"/>
        <v>1000000</v>
      </c>
      <c r="V356" s="62">
        <f t="shared" si="254"/>
        <v>1000000</v>
      </c>
      <c r="W356" s="62">
        <f t="shared" si="255"/>
        <v>1000000</v>
      </c>
      <c r="X356" s="62">
        <f t="shared" si="256"/>
        <v>1000000</v>
      </c>
      <c r="Y356" s="62">
        <f t="shared" si="257"/>
        <v>1000000</v>
      </c>
      <c r="Z356" s="62">
        <f t="shared" si="258"/>
        <v>1000000</v>
      </c>
      <c r="AA356" s="62">
        <f t="shared" si="259"/>
        <v>1000000</v>
      </c>
      <c r="AB356" s="62">
        <f t="shared" si="260"/>
        <v>1000000</v>
      </c>
      <c r="AC356" s="62">
        <f t="shared" si="261"/>
        <v>1000000</v>
      </c>
    </row>
    <row r="357" spans="1:29" x14ac:dyDescent="0.3">
      <c r="A357" s="30" t="str">
        <f t="shared" si="233"/>
        <v>Residual value (costumization)</v>
      </c>
      <c r="B357" s="62">
        <f t="shared" si="234"/>
        <v>-100000</v>
      </c>
      <c r="C357" s="62">
        <f t="shared" si="235"/>
        <v>-100000</v>
      </c>
      <c r="D357" s="62">
        <f t="shared" si="236"/>
        <v>-100000</v>
      </c>
      <c r="E357" s="62">
        <f t="shared" si="237"/>
        <v>-100000</v>
      </c>
      <c r="F357" s="62">
        <f t="shared" si="238"/>
        <v>-100000</v>
      </c>
      <c r="G357" s="62">
        <f t="shared" si="239"/>
        <v>-100000</v>
      </c>
      <c r="H357" s="62">
        <f t="shared" si="240"/>
        <v>-100000</v>
      </c>
      <c r="I357" s="62">
        <f t="shared" si="241"/>
        <v>-100000</v>
      </c>
      <c r="J357" s="62">
        <f t="shared" si="242"/>
        <v>-100000</v>
      </c>
      <c r="K357" s="62">
        <f t="shared" si="243"/>
        <v>-100000</v>
      </c>
      <c r="L357" s="62">
        <f t="shared" si="244"/>
        <v>-100000</v>
      </c>
      <c r="M357" s="62">
        <f t="shared" si="245"/>
        <v>-100000</v>
      </c>
      <c r="N357" s="62">
        <f t="shared" si="246"/>
        <v>-100000</v>
      </c>
      <c r="O357" s="62">
        <f t="shared" si="247"/>
        <v>-100000</v>
      </c>
      <c r="P357" s="62">
        <f t="shared" si="248"/>
        <v>-100000</v>
      </c>
      <c r="Q357" s="62">
        <f t="shared" si="249"/>
        <v>-100000</v>
      </c>
      <c r="R357" s="62">
        <f t="shared" si="250"/>
        <v>-100000</v>
      </c>
      <c r="S357" s="62">
        <f t="shared" si="251"/>
        <v>-100000</v>
      </c>
      <c r="T357" s="62">
        <f t="shared" si="252"/>
        <v>-100000</v>
      </c>
      <c r="U357" s="62">
        <f t="shared" si="253"/>
        <v>-100000</v>
      </c>
      <c r="V357" s="62">
        <f t="shared" si="254"/>
        <v>-100000</v>
      </c>
      <c r="W357" s="62">
        <f t="shared" si="255"/>
        <v>-100000</v>
      </c>
      <c r="X357" s="62">
        <f t="shared" si="256"/>
        <v>-100000</v>
      </c>
      <c r="Y357" s="62">
        <f t="shared" si="257"/>
        <v>-100000</v>
      </c>
      <c r="Z357" s="62">
        <f t="shared" si="258"/>
        <v>-100000</v>
      </c>
      <c r="AA357" s="62">
        <f t="shared" si="259"/>
        <v>-100000</v>
      </c>
      <c r="AB357" s="62">
        <f t="shared" si="260"/>
        <v>-100000</v>
      </c>
      <c r="AC357" s="62">
        <f t="shared" si="261"/>
        <v>-100000</v>
      </c>
    </row>
    <row r="358" spans="1:29" x14ac:dyDescent="0.3">
      <c r="A358" s="30" t="str">
        <f t="shared" si="233"/>
        <v>WACC</v>
      </c>
      <c r="B358" s="62">
        <f t="shared" si="234"/>
        <v>0.06</v>
      </c>
      <c r="C358" s="62">
        <f t="shared" si="235"/>
        <v>0.06</v>
      </c>
      <c r="D358" s="62">
        <f t="shared" si="236"/>
        <v>0.06</v>
      </c>
      <c r="E358" s="62">
        <f t="shared" si="237"/>
        <v>0.06</v>
      </c>
      <c r="F358" s="62">
        <f t="shared" si="238"/>
        <v>0.06</v>
      </c>
      <c r="G358" s="62">
        <f t="shared" si="239"/>
        <v>0.06</v>
      </c>
      <c r="H358" s="62">
        <f t="shared" si="240"/>
        <v>0.06</v>
      </c>
      <c r="I358" s="62">
        <f t="shared" si="241"/>
        <v>0.06</v>
      </c>
      <c r="J358" s="62">
        <f t="shared" si="242"/>
        <v>0.06</v>
      </c>
      <c r="K358" s="62">
        <f t="shared" si="243"/>
        <v>0.06</v>
      </c>
      <c r="L358" s="62">
        <f t="shared" si="244"/>
        <v>0.06</v>
      </c>
      <c r="M358" s="62">
        <f t="shared" si="245"/>
        <v>0.06</v>
      </c>
      <c r="N358" s="62">
        <f t="shared" si="246"/>
        <v>0.06</v>
      </c>
      <c r="O358" s="62">
        <f t="shared" si="247"/>
        <v>0.06</v>
      </c>
      <c r="P358" s="62">
        <f t="shared" si="248"/>
        <v>0.06</v>
      </c>
      <c r="Q358" s="62">
        <f t="shared" si="249"/>
        <v>0.06</v>
      </c>
      <c r="R358" s="62">
        <f t="shared" si="250"/>
        <v>0.06</v>
      </c>
      <c r="S358" s="62">
        <f t="shared" si="251"/>
        <v>0.06</v>
      </c>
      <c r="T358" s="62">
        <f t="shared" si="252"/>
        <v>0.06</v>
      </c>
      <c r="U358" s="62">
        <f t="shared" si="253"/>
        <v>0.06</v>
      </c>
      <c r="V358" s="62">
        <f t="shared" si="254"/>
        <v>0.06</v>
      </c>
      <c r="W358" s="62">
        <f t="shared" si="255"/>
        <v>0.06</v>
      </c>
      <c r="X358" s="62">
        <f t="shared" si="256"/>
        <v>0.06</v>
      </c>
      <c r="Y358" s="62">
        <f t="shared" si="257"/>
        <v>0.06</v>
      </c>
      <c r="Z358" s="62">
        <f t="shared" si="258"/>
        <v>0.06</v>
      </c>
      <c r="AA358" s="62">
        <f t="shared" si="259"/>
        <v>0.06</v>
      </c>
      <c r="AB358" s="62">
        <f t="shared" si="260"/>
        <v>0.06</v>
      </c>
      <c r="AC358" s="62">
        <f t="shared" si="261"/>
        <v>0.06</v>
      </c>
    </row>
    <row r="359" spans="1:29" x14ac:dyDescent="0.3">
      <c r="A359" s="30" t="str">
        <f t="shared" si="233"/>
        <v>Opex fix (admin, crew, insurance)</v>
      </c>
      <c r="B359" s="62">
        <f t="shared" si="234"/>
        <v>1208235.294117647</v>
      </c>
      <c r="C359" s="62">
        <f t="shared" si="235"/>
        <v>1208235.294117647</v>
      </c>
      <c r="D359" s="62">
        <f t="shared" si="236"/>
        <v>1208235.294117647</v>
      </c>
      <c r="E359" s="62">
        <f t="shared" si="237"/>
        <v>1208235.294117647</v>
      </c>
      <c r="F359" s="62">
        <f t="shared" si="238"/>
        <v>1208235.294117647</v>
      </c>
      <c r="G359" s="62">
        <f t="shared" si="239"/>
        <v>1208235.294117647</v>
      </c>
      <c r="H359" s="62">
        <f t="shared" si="240"/>
        <v>1208235.294117647</v>
      </c>
      <c r="I359" s="62">
        <f t="shared" si="241"/>
        <v>1208235.294117647</v>
      </c>
      <c r="J359" s="62">
        <f t="shared" si="242"/>
        <v>1208235.294117647</v>
      </c>
      <c r="K359" s="62">
        <f t="shared" si="243"/>
        <v>1208235.294117647</v>
      </c>
      <c r="L359" s="62">
        <f t="shared" si="244"/>
        <v>1208235.294117647</v>
      </c>
      <c r="M359" s="62">
        <f t="shared" si="245"/>
        <v>1208235.294117647</v>
      </c>
      <c r="N359" s="62">
        <f t="shared" si="246"/>
        <v>1208235.294117647</v>
      </c>
      <c r="O359" s="62">
        <f t="shared" si="247"/>
        <v>1208235.294117647</v>
      </c>
      <c r="P359" s="62">
        <f t="shared" si="248"/>
        <v>1208235.294117647</v>
      </c>
      <c r="Q359" s="62">
        <f t="shared" si="249"/>
        <v>1208235.294117647</v>
      </c>
      <c r="R359" s="62">
        <f t="shared" si="250"/>
        <v>1208235.294117647</v>
      </c>
      <c r="S359" s="62">
        <f t="shared" si="251"/>
        <v>1208235.294117647</v>
      </c>
      <c r="T359" s="62">
        <f t="shared" si="252"/>
        <v>1208235.294117647</v>
      </c>
      <c r="U359" s="62">
        <f t="shared" si="253"/>
        <v>1208235.294117647</v>
      </c>
      <c r="V359" s="62">
        <f t="shared" si="254"/>
        <v>1208235.294117647</v>
      </c>
      <c r="W359" s="62">
        <f t="shared" si="255"/>
        <v>1208235.294117647</v>
      </c>
      <c r="X359" s="62">
        <f t="shared" si="256"/>
        <v>1208235.294117647</v>
      </c>
      <c r="Y359" s="62">
        <f t="shared" si="257"/>
        <v>1208235.294117647</v>
      </c>
      <c r="Z359" s="62">
        <f t="shared" si="258"/>
        <v>1208235.294117647</v>
      </c>
      <c r="AA359" s="62">
        <f t="shared" si="259"/>
        <v>1208235.294117647</v>
      </c>
      <c r="AB359" s="62">
        <f t="shared" si="260"/>
        <v>1208235.294117647</v>
      </c>
      <c r="AC359" s="62">
        <f t="shared" si="261"/>
        <v>1208235.294117647</v>
      </c>
    </row>
    <row r="360" spans="1:29" x14ac:dyDescent="0.3">
      <c r="A360" s="30" t="str">
        <f t="shared" si="233"/>
        <v>Opex maintenance &amp; repair</v>
      </c>
      <c r="B360" s="62">
        <f t="shared" si="234"/>
        <v>488235.29411764705</v>
      </c>
      <c r="C360" s="62">
        <f t="shared" si="235"/>
        <v>488235.29411764705</v>
      </c>
      <c r="D360" s="62">
        <f t="shared" si="236"/>
        <v>488235.29411764705</v>
      </c>
      <c r="E360" s="62">
        <f t="shared" si="237"/>
        <v>488235.29411764705</v>
      </c>
      <c r="F360" s="62">
        <f t="shared" si="238"/>
        <v>488235.29411764705</v>
      </c>
      <c r="G360" s="62">
        <f t="shared" si="239"/>
        <v>488235.29411764705</v>
      </c>
      <c r="H360" s="62">
        <f t="shared" si="240"/>
        <v>488235.29411764705</v>
      </c>
      <c r="I360" s="62">
        <f t="shared" si="241"/>
        <v>488235.29411764705</v>
      </c>
      <c r="J360" s="62">
        <f t="shared" si="242"/>
        <v>488235.29411764705</v>
      </c>
      <c r="K360" s="62">
        <f t="shared" si="243"/>
        <v>488235.29411764705</v>
      </c>
      <c r="L360" s="62">
        <f t="shared" si="244"/>
        <v>488235.29411764705</v>
      </c>
      <c r="M360" s="62">
        <f t="shared" si="245"/>
        <v>488235.29411764705</v>
      </c>
      <c r="N360" s="62">
        <f t="shared" si="246"/>
        <v>488235.29411764705</v>
      </c>
      <c r="O360" s="62">
        <f t="shared" si="247"/>
        <v>488235.29411764705</v>
      </c>
      <c r="P360" s="62">
        <f t="shared" si="248"/>
        <v>488235.29411764705</v>
      </c>
      <c r="Q360" s="62">
        <f t="shared" si="249"/>
        <v>488235.29411764705</v>
      </c>
      <c r="R360" s="62">
        <f t="shared" si="250"/>
        <v>488235.29411764705</v>
      </c>
      <c r="S360" s="62">
        <f t="shared" si="251"/>
        <v>488235.29411764705</v>
      </c>
      <c r="T360" s="62">
        <f t="shared" si="252"/>
        <v>488235.29411764705</v>
      </c>
      <c r="U360" s="62">
        <f t="shared" si="253"/>
        <v>488235.29411764705</v>
      </c>
      <c r="V360" s="62">
        <f t="shared" si="254"/>
        <v>488235.29411764705</v>
      </c>
      <c r="W360" s="62">
        <f t="shared" si="255"/>
        <v>488235.29411764705</v>
      </c>
      <c r="X360" s="62">
        <f t="shared" si="256"/>
        <v>488235.29411764705</v>
      </c>
      <c r="Y360" s="62">
        <f t="shared" si="257"/>
        <v>488235.29411764705</v>
      </c>
      <c r="Z360" s="62">
        <f t="shared" si="258"/>
        <v>488235.29411764705</v>
      </c>
      <c r="AA360" s="62">
        <f t="shared" si="259"/>
        <v>488235.29411764705</v>
      </c>
      <c r="AB360" s="62">
        <f t="shared" si="260"/>
        <v>488235.29411764705</v>
      </c>
      <c r="AC360" s="62">
        <f t="shared" si="261"/>
        <v>488235.29411764705</v>
      </c>
    </row>
    <row r="361" spans="1:29" x14ac:dyDescent="0.3">
      <c r="A361" s="30" t="str">
        <f t="shared" si="233"/>
        <v>Opex var (mode-fees)</v>
      </c>
      <c r="B361" s="62">
        <f t="shared" si="234"/>
        <v>0.81280569096848254</v>
      </c>
      <c r="C361" s="62">
        <f t="shared" si="235"/>
        <v>0.81280569096848254</v>
      </c>
      <c r="D361" s="62">
        <f t="shared" si="236"/>
        <v>0.81280569096848254</v>
      </c>
      <c r="E361" s="62">
        <f t="shared" si="237"/>
        <v>0.81280569096848254</v>
      </c>
      <c r="F361" s="62">
        <f t="shared" si="238"/>
        <v>0.81280569096848254</v>
      </c>
      <c r="G361" s="62">
        <f t="shared" si="239"/>
        <v>0.81280569096848254</v>
      </c>
      <c r="H361" s="62">
        <f t="shared" si="240"/>
        <v>0.81280569096848254</v>
      </c>
      <c r="I361" s="62">
        <f t="shared" si="241"/>
        <v>0.81280569096848254</v>
      </c>
      <c r="J361" s="62">
        <f t="shared" si="242"/>
        <v>0.81280569096848254</v>
      </c>
      <c r="K361" s="62">
        <f t="shared" si="243"/>
        <v>0.81280569096848254</v>
      </c>
      <c r="L361" s="62">
        <f t="shared" si="244"/>
        <v>0.81280569096848254</v>
      </c>
      <c r="M361" s="62">
        <f t="shared" si="245"/>
        <v>0.81280569096848254</v>
      </c>
      <c r="N361" s="62">
        <f t="shared" si="246"/>
        <v>0.81280569096848254</v>
      </c>
      <c r="O361" s="62">
        <f t="shared" si="247"/>
        <v>0.81280569096848254</v>
      </c>
      <c r="P361" s="62">
        <f t="shared" si="248"/>
        <v>0.81280569096848254</v>
      </c>
      <c r="Q361" s="62">
        <f t="shared" si="249"/>
        <v>0.81280569096848254</v>
      </c>
      <c r="R361" s="62">
        <f t="shared" si="250"/>
        <v>0.81280569096848254</v>
      </c>
      <c r="S361" s="62">
        <f t="shared" si="251"/>
        <v>0.81280569096848254</v>
      </c>
      <c r="T361" s="62">
        <f t="shared" si="252"/>
        <v>0.81280569096848254</v>
      </c>
      <c r="U361" s="62">
        <f t="shared" si="253"/>
        <v>0.81280569096848254</v>
      </c>
      <c r="V361" s="62">
        <f t="shared" si="254"/>
        <v>0.81280569096848254</v>
      </c>
      <c r="W361" s="62">
        <f t="shared" si="255"/>
        <v>0.81280569096848254</v>
      </c>
      <c r="X361" s="62">
        <f t="shared" si="256"/>
        <v>0.81280569096848254</v>
      </c>
      <c r="Y361" s="62">
        <f t="shared" si="257"/>
        <v>0.81280569096848254</v>
      </c>
      <c r="Z361" s="62">
        <f t="shared" si="258"/>
        <v>0.81280569096848254</v>
      </c>
      <c r="AA361" s="62">
        <f t="shared" si="259"/>
        <v>0.81280569096848254</v>
      </c>
      <c r="AB361" s="62">
        <f t="shared" si="260"/>
        <v>0.81280569096848254</v>
      </c>
      <c r="AC361" s="62">
        <f t="shared" si="261"/>
        <v>0.81280569096848254</v>
      </c>
    </row>
    <row r="362" spans="1:29" x14ac:dyDescent="0.3">
      <c r="A362" s="30" t="str">
        <f t="shared" si="233"/>
        <v>Fuel Economy</v>
      </c>
      <c r="B362" s="62">
        <f t="shared" si="234"/>
        <v>646.89677603543487</v>
      </c>
      <c r="C362" s="62">
        <f t="shared" si="235"/>
        <v>646.85211887817047</v>
      </c>
      <c r="D362" s="62">
        <f t="shared" si="236"/>
        <v>646.78819315220449</v>
      </c>
      <c r="E362" s="62">
        <f t="shared" si="237"/>
        <v>646.6967429057521</v>
      </c>
      <c r="F362" s="62">
        <f t="shared" si="238"/>
        <v>646.5660403240729</v>
      </c>
      <c r="G362" s="62">
        <f t="shared" si="239"/>
        <v>646.37949949401741</v>
      </c>
      <c r="H362" s="62">
        <f t="shared" si="240"/>
        <v>646.11381958854338</v>
      </c>
      <c r="I362" s="62">
        <f t="shared" si="241"/>
        <v>645.73659220845991</v>
      </c>
      <c r="J362" s="62">
        <f t="shared" si="242"/>
        <v>645.20341755594859</v>
      </c>
      <c r="K362" s="62">
        <f t="shared" si="243"/>
        <v>644.4548499630904</v>
      </c>
      <c r="L362" s="62">
        <f t="shared" si="244"/>
        <v>643.41406927056653</v>
      </c>
      <c r="M362" s="62">
        <f t="shared" si="245"/>
        <v>641.98719787679943</v>
      </c>
      <c r="N362" s="62">
        <f t="shared" si="246"/>
        <v>640.0696356209337</v>
      </c>
      <c r="O362" s="62">
        <f t="shared" si="247"/>
        <v>637.56301130673319</v>
      </c>
      <c r="P362" s="62">
        <f t="shared" si="248"/>
        <v>634.40634165749691</v>
      </c>
      <c r="Q362" s="62">
        <f t="shared" si="249"/>
        <v>630.6184286906298</v>
      </c>
      <c r="R362" s="62">
        <f t="shared" si="250"/>
        <v>626.33515650399931</v>
      </c>
      <c r="S362" s="62">
        <f t="shared" si="251"/>
        <v>621.81332363039712</v>
      </c>
      <c r="T362" s="62">
        <f t="shared" si="252"/>
        <v>617.38047196989623</v>
      </c>
      <c r="U362" s="62">
        <f t="shared" si="253"/>
        <v>613.34515585949862</v>
      </c>
      <c r="V362" s="62">
        <f t="shared" si="254"/>
        <v>609.91571180572532</v>
      </c>
      <c r="W362" s="62">
        <f t="shared" si="255"/>
        <v>607.1693412972852</v>
      </c>
      <c r="X362" s="62">
        <f t="shared" si="256"/>
        <v>605.0737387067237</v>
      </c>
      <c r="Y362" s="62">
        <f t="shared" si="257"/>
        <v>603.53330273509027</v>
      </c>
      <c r="Z362" s="62">
        <f t="shared" si="258"/>
        <v>602.43191330034256</v>
      </c>
      <c r="AA362" s="62">
        <f t="shared" si="259"/>
        <v>601.66000195939125</v>
      </c>
      <c r="AB362" s="62">
        <f t="shared" si="260"/>
        <v>601.12656377741496</v>
      </c>
      <c r="AC362" s="62">
        <f t="shared" si="261"/>
        <v>600.7615054472443</v>
      </c>
    </row>
    <row r="363" spans="1:29" x14ac:dyDescent="0.3">
      <c r="A363" s="30" t="str">
        <f t="shared" si="233"/>
        <v>Fuel Cost</v>
      </c>
      <c r="B363" s="62">
        <f t="shared" si="234"/>
        <v>0.06</v>
      </c>
      <c r="C363" s="62">
        <f t="shared" si="235"/>
        <v>0.06</v>
      </c>
      <c r="D363" s="62">
        <f t="shared" si="236"/>
        <v>0.06</v>
      </c>
      <c r="E363" s="62">
        <f t="shared" si="237"/>
        <v>0.06</v>
      </c>
      <c r="F363" s="62">
        <f t="shared" si="238"/>
        <v>0.06</v>
      </c>
      <c r="G363" s="62">
        <f t="shared" si="239"/>
        <v>0.06</v>
      </c>
      <c r="H363" s="62">
        <f t="shared" si="240"/>
        <v>0.06</v>
      </c>
      <c r="I363" s="62">
        <f t="shared" si="241"/>
        <v>0.06</v>
      </c>
      <c r="J363" s="62">
        <f t="shared" si="242"/>
        <v>0.06</v>
      </c>
      <c r="K363" s="62">
        <f t="shared" si="243"/>
        <v>0.06</v>
      </c>
      <c r="L363" s="62">
        <f t="shared" si="244"/>
        <v>0.06</v>
      </c>
      <c r="M363" s="62">
        <f t="shared" si="245"/>
        <v>0.06</v>
      </c>
      <c r="N363" s="62">
        <f t="shared" si="246"/>
        <v>0.06</v>
      </c>
      <c r="O363" s="62">
        <f t="shared" si="247"/>
        <v>0.06</v>
      </c>
      <c r="P363" s="62">
        <f t="shared" si="248"/>
        <v>0.06</v>
      </c>
      <c r="Q363" s="62">
        <f t="shared" si="249"/>
        <v>0.06</v>
      </c>
      <c r="R363" s="62">
        <f t="shared" si="250"/>
        <v>0.06</v>
      </c>
      <c r="S363" s="62">
        <f t="shared" si="251"/>
        <v>0.06</v>
      </c>
      <c r="T363" s="62">
        <f t="shared" si="252"/>
        <v>0.06</v>
      </c>
      <c r="U363" s="62">
        <f t="shared" si="253"/>
        <v>0.06</v>
      </c>
      <c r="V363" s="62">
        <f t="shared" si="254"/>
        <v>0.06</v>
      </c>
      <c r="W363" s="62">
        <f t="shared" si="255"/>
        <v>0.06</v>
      </c>
      <c r="X363" s="62">
        <f t="shared" si="256"/>
        <v>0.06</v>
      </c>
      <c r="Y363" s="62">
        <f t="shared" si="257"/>
        <v>0.06</v>
      </c>
      <c r="Z363" s="62">
        <f t="shared" si="258"/>
        <v>0.06</v>
      </c>
      <c r="AA363" s="62">
        <f t="shared" si="259"/>
        <v>0.06</v>
      </c>
      <c r="AB363" s="62">
        <f t="shared" si="260"/>
        <v>0.06</v>
      </c>
      <c r="AC363" s="62">
        <f t="shared" si="261"/>
        <v>0.06</v>
      </c>
    </row>
    <row r="364" spans="1:29" x14ac:dyDescent="0.3">
      <c r="A364" s="30" t="str">
        <f t="shared" si="233"/>
        <v>Emission Cost</v>
      </c>
      <c r="B364" s="62">
        <f>$B344+($C344-$B344)*(1-Q344)</f>
        <v>17.334785285869845</v>
      </c>
      <c r="C364" s="62">
        <f t="shared" ref="C364:AC364" si="262">$B344+($C344-$B344)*(1-R344)</f>
        <v>17.371592778833971</v>
      </c>
      <c r="D364" s="62">
        <f t="shared" si="262"/>
        <v>17.424281885191313</v>
      </c>
      <c r="E364" s="62">
        <f t="shared" si="262"/>
        <v>17.499657357099085</v>
      </c>
      <c r="F364" s="62">
        <f t="shared" si="262"/>
        <v>17.607385538878944</v>
      </c>
      <c r="G364" s="62">
        <f t="shared" si="262"/>
        <v>17.761136935304318</v>
      </c>
      <c r="H364" s="62">
        <f t="shared" si="262"/>
        <v>17.980116643160411</v>
      </c>
      <c r="I364" s="62">
        <f t="shared" si="262"/>
        <v>18.291036437183369</v>
      </c>
      <c r="J364" s="62">
        <f t="shared" si="262"/>
        <v>18.730491688550217</v>
      </c>
      <c r="K364" s="62">
        <f t="shared" si="262"/>
        <v>19.347478933039792</v>
      </c>
      <c r="L364" s="62">
        <f t="shared" si="262"/>
        <v>20.2053151761856</v>
      </c>
      <c r="M364" s="62">
        <f t="shared" si="262"/>
        <v>21.381376573820816</v>
      </c>
      <c r="N364" s="62">
        <f t="shared" si="262"/>
        <v>22.961877070598074</v>
      </c>
      <c r="O364" s="62">
        <f t="shared" si="262"/>
        <v>25.027896550126819</v>
      </c>
      <c r="P364" s="62">
        <f t="shared" si="262"/>
        <v>27.629698881977127</v>
      </c>
      <c r="Q364" s="62">
        <f t="shared" si="262"/>
        <v>30.751786995449869</v>
      </c>
      <c r="R364" s="62">
        <f t="shared" si="262"/>
        <v>34.282161979674356</v>
      </c>
      <c r="S364" s="62">
        <f t="shared" si="262"/>
        <v>38.009164365756064</v>
      </c>
      <c r="T364" s="62">
        <f t="shared" si="262"/>
        <v>41.662826316042121</v>
      </c>
      <c r="U364" s="62">
        <f t="shared" si="262"/>
        <v>44.988829994737316</v>
      </c>
      <c r="V364" s="62">
        <f t="shared" si="262"/>
        <v>47.815459489596307</v>
      </c>
      <c r="W364" s="62">
        <f t="shared" si="262"/>
        <v>50.07908349431699</v>
      </c>
      <c r="X364" s="62">
        <f t="shared" si="262"/>
        <v>51.806329076721653</v>
      </c>
      <c r="Y364" s="62">
        <f t="shared" si="262"/>
        <v>53.075993105085033</v>
      </c>
      <c r="Z364" s="62">
        <f t="shared" si="262"/>
        <v>53.98378451756151</v>
      </c>
      <c r="AA364" s="62">
        <f t="shared" si="262"/>
        <v>54.620012235388991</v>
      </c>
      <c r="AB364" s="62">
        <f t="shared" si="262"/>
        <v>55.059684694019481</v>
      </c>
      <c r="AC364" s="62">
        <f t="shared" si="262"/>
        <v>55.360574467179326</v>
      </c>
    </row>
    <row r="365" spans="1:29" x14ac:dyDescent="0.3">
      <c r="A365" s="30" t="str">
        <f t="shared" si="233"/>
        <v>Lifetime vehicle</v>
      </c>
      <c r="B365" s="62">
        <f>$B345+($C345-$B345)*(1-Q345)</f>
        <v>25</v>
      </c>
      <c r="C365" s="62">
        <f t="shared" ref="C365:L367" si="263">$B345+($C345-$B345)*(1-R345)</f>
        <v>25</v>
      </c>
      <c r="D365" s="62">
        <f t="shared" si="263"/>
        <v>25</v>
      </c>
      <c r="E365" s="62">
        <f t="shared" si="263"/>
        <v>25</v>
      </c>
      <c r="F365" s="62">
        <f t="shared" si="263"/>
        <v>25</v>
      </c>
      <c r="G365" s="62">
        <f t="shared" si="263"/>
        <v>25</v>
      </c>
      <c r="H365" s="62">
        <f t="shared" si="263"/>
        <v>25</v>
      </c>
      <c r="I365" s="62">
        <f t="shared" si="263"/>
        <v>25</v>
      </c>
      <c r="J365" s="62">
        <f t="shared" si="263"/>
        <v>25</v>
      </c>
      <c r="K365" s="62">
        <f t="shared" si="263"/>
        <v>25</v>
      </c>
      <c r="L365" s="62">
        <f t="shared" si="263"/>
        <v>25</v>
      </c>
      <c r="M365" s="62">
        <f t="shared" ref="M365:V367" si="264">$B345+($C345-$B345)*(1-AB345)</f>
        <v>25</v>
      </c>
      <c r="N365" s="62">
        <f t="shared" si="264"/>
        <v>25</v>
      </c>
      <c r="O365" s="62">
        <f t="shared" si="264"/>
        <v>25</v>
      </c>
      <c r="P365" s="62">
        <f t="shared" si="264"/>
        <v>25</v>
      </c>
      <c r="Q365" s="62">
        <f t="shared" si="264"/>
        <v>25</v>
      </c>
      <c r="R365" s="62">
        <f t="shared" si="264"/>
        <v>25</v>
      </c>
      <c r="S365" s="62">
        <f t="shared" si="264"/>
        <v>25</v>
      </c>
      <c r="T365" s="62">
        <f t="shared" si="264"/>
        <v>25</v>
      </c>
      <c r="U365" s="62">
        <f t="shared" si="264"/>
        <v>25</v>
      </c>
      <c r="V365" s="62">
        <f t="shared" si="264"/>
        <v>25</v>
      </c>
      <c r="W365" s="62">
        <f t="shared" ref="W365:AC367" si="265">$B345+($C345-$B345)*(1-AL345)</f>
        <v>25</v>
      </c>
      <c r="X365" s="62">
        <f t="shared" si="265"/>
        <v>25</v>
      </c>
      <c r="Y365" s="62">
        <f t="shared" si="265"/>
        <v>25</v>
      </c>
      <c r="Z365" s="62">
        <f t="shared" si="265"/>
        <v>25</v>
      </c>
      <c r="AA365" s="62">
        <f t="shared" si="265"/>
        <v>25</v>
      </c>
      <c r="AB365" s="62">
        <f t="shared" si="265"/>
        <v>25</v>
      </c>
      <c r="AC365" s="62">
        <f t="shared" si="265"/>
        <v>25</v>
      </c>
    </row>
    <row r="366" spans="1:29" x14ac:dyDescent="0.3">
      <c r="A366" s="30" t="str">
        <f t="shared" si="233"/>
        <v>Lifetime costumization</v>
      </c>
      <c r="B366" s="62">
        <f>$B346+($C346-$B346)*(1-Q346)</f>
        <v>25</v>
      </c>
      <c r="C366" s="62">
        <f t="shared" si="263"/>
        <v>25</v>
      </c>
      <c r="D366" s="62">
        <f t="shared" si="263"/>
        <v>25</v>
      </c>
      <c r="E366" s="62">
        <f t="shared" si="263"/>
        <v>25</v>
      </c>
      <c r="F366" s="62">
        <f t="shared" si="263"/>
        <v>25</v>
      </c>
      <c r="G366" s="62">
        <f t="shared" si="263"/>
        <v>25</v>
      </c>
      <c r="H366" s="62">
        <f t="shared" si="263"/>
        <v>25</v>
      </c>
      <c r="I366" s="62">
        <f t="shared" si="263"/>
        <v>25</v>
      </c>
      <c r="J366" s="62">
        <f t="shared" si="263"/>
        <v>25</v>
      </c>
      <c r="K366" s="62">
        <f t="shared" si="263"/>
        <v>25</v>
      </c>
      <c r="L366" s="62">
        <f t="shared" si="263"/>
        <v>25</v>
      </c>
      <c r="M366" s="62">
        <f t="shared" si="264"/>
        <v>25</v>
      </c>
      <c r="N366" s="62">
        <f t="shared" si="264"/>
        <v>25</v>
      </c>
      <c r="O366" s="62">
        <f t="shared" si="264"/>
        <v>25</v>
      </c>
      <c r="P366" s="62">
        <f t="shared" si="264"/>
        <v>25</v>
      </c>
      <c r="Q366" s="62">
        <f t="shared" si="264"/>
        <v>25</v>
      </c>
      <c r="R366" s="62">
        <f t="shared" si="264"/>
        <v>25</v>
      </c>
      <c r="S366" s="62">
        <f t="shared" si="264"/>
        <v>25</v>
      </c>
      <c r="T366" s="62">
        <f t="shared" si="264"/>
        <v>25</v>
      </c>
      <c r="U366" s="62">
        <f t="shared" si="264"/>
        <v>25</v>
      </c>
      <c r="V366" s="62">
        <f t="shared" si="264"/>
        <v>25</v>
      </c>
      <c r="W366" s="62">
        <f t="shared" si="265"/>
        <v>25</v>
      </c>
      <c r="X366" s="62">
        <f t="shared" si="265"/>
        <v>25</v>
      </c>
      <c r="Y366" s="62">
        <f t="shared" si="265"/>
        <v>25</v>
      </c>
      <c r="Z366" s="62">
        <f t="shared" si="265"/>
        <v>25</v>
      </c>
      <c r="AA366" s="62">
        <f t="shared" si="265"/>
        <v>25</v>
      </c>
      <c r="AB366" s="62">
        <f t="shared" si="265"/>
        <v>25</v>
      </c>
      <c r="AC366" s="62">
        <f t="shared" si="265"/>
        <v>25</v>
      </c>
    </row>
    <row r="367" spans="1:29" x14ac:dyDescent="0.3">
      <c r="A367" s="30" t="str">
        <f t="shared" si="233"/>
        <v>Tonnage .</v>
      </c>
      <c r="B367" s="62">
        <f>$B347+($C347-$B347)*(1-Q347)</f>
        <v>9450</v>
      </c>
      <c r="C367" s="62">
        <f t="shared" si="263"/>
        <v>9450</v>
      </c>
      <c r="D367" s="62">
        <f t="shared" si="263"/>
        <v>9450</v>
      </c>
      <c r="E367" s="62">
        <f t="shared" si="263"/>
        <v>9450</v>
      </c>
      <c r="F367" s="62">
        <f t="shared" si="263"/>
        <v>9450</v>
      </c>
      <c r="G367" s="62">
        <f t="shared" si="263"/>
        <v>9450</v>
      </c>
      <c r="H367" s="62">
        <f t="shared" si="263"/>
        <v>9450</v>
      </c>
      <c r="I367" s="62">
        <f t="shared" si="263"/>
        <v>9450</v>
      </c>
      <c r="J367" s="62">
        <f t="shared" si="263"/>
        <v>9450</v>
      </c>
      <c r="K367" s="62">
        <f t="shared" si="263"/>
        <v>9450</v>
      </c>
      <c r="L367" s="62">
        <f t="shared" si="263"/>
        <v>9450</v>
      </c>
      <c r="M367" s="62">
        <f t="shared" si="264"/>
        <v>9450</v>
      </c>
      <c r="N367" s="62">
        <f t="shared" si="264"/>
        <v>9450</v>
      </c>
      <c r="O367" s="62">
        <f t="shared" si="264"/>
        <v>9450</v>
      </c>
      <c r="P367" s="62">
        <f t="shared" si="264"/>
        <v>9450</v>
      </c>
      <c r="Q367" s="62">
        <f t="shared" si="264"/>
        <v>9450</v>
      </c>
      <c r="R367" s="62">
        <f t="shared" si="264"/>
        <v>9450</v>
      </c>
      <c r="S367" s="62">
        <f t="shared" si="264"/>
        <v>9450</v>
      </c>
      <c r="T367" s="62">
        <f t="shared" si="264"/>
        <v>9450</v>
      </c>
      <c r="U367" s="62">
        <f t="shared" si="264"/>
        <v>9450</v>
      </c>
      <c r="V367" s="62">
        <f t="shared" si="264"/>
        <v>9450</v>
      </c>
      <c r="W367" s="62">
        <f t="shared" si="265"/>
        <v>9450</v>
      </c>
      <c r="X367" s="62">
        <f t="shared" si="265"/>
        <v>9450</v>
      </c>
      <c r="Y367" s="62">
        <f t="shared" si="265"/>
        <v>9450</v>
      </c>
      <c r="Z367" s="62">
        <f t="shared" si="265"/>
        <v>9450</v>
      </c>
      <c r="AA367" s="62">
        <f t="shared" si="265"/>
        <v>9450</v>
      </c>
      <c r="AB367" s="62">
        <f t="shared" si="265"/>
        <v>9450</v>
      </c>
      <c r="AC367" s="62">
        <f t="shared" si="265"/>
        <v>9450</v>
      </c>
    </row>
    <row r="368" spans="1:29" x14ac:dyDescent="0.3">
      <c r="A368" s="30" t="str">
        <f t="shared" si="233"/>
        <v>Market failure (av. utilization)</v>
      </c>
      <c r="B368" s="62">
        <f t="shared" ref="B368:K369" si="266">($B348+($C348-$B348)*(1-Q348))*B$44</f>
        <v>4819.5</v>
      </c>
      <c r="C368" s="62">
        <f t="shared" si="266"/>
        <v>4819.5</v>
      </c>
      <c r="D368" s="62">
        <f t="shared" si="266"/>
        <v>4819.5</v>
      </c>
      <c r="E368" s="62">
        <f t="shared" si="266"/>
        <v>4819.5</v>
      </c>
      <c r="F368" s="62">
        <f t="shared" si="266"/>
        <v>4819.5</v>
      </c>
      <c r="G368" s="62">
        <f t="shared" si="266"/>
        <v>4819.5</v>
      </c>
      <c r="H368" s="62">
        <f t="shared" si="266"/>
        <v>4819.5</v>
      </c>
      <c r="I368" s="62">
        <f t="shared" si="266"/>
        <v>4819.5</v>
      </c>
      <c r="J368" s="62">
        <f t="shared" si="266"/>
        <v>4819.5</v>
      </c>
      <c r="K368" s="62">
        <f t="shared" si="266"/>
        <v>4819.5</v>
      </c>
      <c r="L368" s="62">
        <f t="shared" ref="L368:U369" si="267">($B348+($C348-$B348)*(1-AA348))*L$44</f>
        <v>4819.5</v>
      </c>
      <c r="M368" s="62">
        <f t="shared" si="267"/>
        <v>4819.5</v>
      </c>
      <c r="N368" s="62">
        <f t="shared" si="267"/>
        <v>4819.5</v>
      </c>
      <c r="O368" s="62">
        <f t="shared" si="267"/>
        <v>4819.5</v>
      </c>
      <c r="P368" s="62">
        <f t="shared" si="267"/>
        <v>4819.5</v>
      </c>
      <c r="Q368" s="62">
        <f t="shared" si="267"/>
        <v>4819.5</v>
      </c>
      <c r="R368" s="62">
        <f t="shared" si="267"/>
        <v>4819.5</v>
      </c>
      <c r="S368" s="62">
        <f t="shared" si="267"/>
        <v>4819.5</v>
      </c>
      <c r="T368" s="62">
        <f t="shared" si="267"/>
        <v>4819.5</v>
      </c>
      <c r="U368" s="62">
        <f t="shared" si="267"/>
        <v>4819.5</v>
      </c>
      <c r="V368" s="62">
        <f t="shared" ref="V368:AC369" si="268">($B348+($C348-$B348)*(1-AK348))*V$44</f>
        <v>4819.5</v>
      </c>
      <c r="W368" s="62">
        <f t="shared" si="268"/>
        <v>4819.5</v>
      </c>
      <c r="X368" s="62">
        <f t="shared" si="268"/>
        <v>4819.5</v>
      </c>
      <c r="Y368" s="62">
        <f t="shared" si="268"/>
        <v>4819.5</v>
      </c>
      <c r="Z368" s="62">
        <f t="shared" si="268"/>
        <v>4819.5</v>
      </c>
      <c r="AA368" s="62">
        <f t="shared" si="268"/>
        <v>4819.5</v>
      </c>
      <c r="AB368" s="62">
        <f t="shared" si="268"/>
        <v>4819.5</v>
      </c>
      <c r="AC368" s="62">
        <f t="shared" si="268"/>
        <v>4819.5</v>
      </c>
    </row>
    <row r="369" spans="1:29" x14ac:dyDescent="0.3">
      <c r="A369" s="30" t="s">
        <v>73</v>
      </c>
      <c r="B369" s="62">
        <f t="shared" si="266"/>
        <v>0</v>
      </c>
      <c r="C369" s="62">
        <f t="shared" si="266"/>
        <v>0</v>
      </c>
      <c r="D369" s="62">
        <f t="shared" si="266"/>
        <v>0</v>
      </c>
      <c r="E369" s="62">
        <f t="shared" si="266"/>
        <v>0</v>
      </c>
      <c r="F369" s="62">
        <f t="shared" si="266"/>
        <v>0</v>
      </c>
      <c r="G369" s="62">
        <f t="shared" si="266"/>
        <v>0</v>
      </c>
      <c r="H369" s="62">
        <f t="shared" si="266"/>
        <v>0</v>
      </c>
      <c r="I369" s="62">
        <f t="shared" si="266"/>
        <v>0</v>
      </c>
      <c r="J369" s="62">
        <f t="shared" si="266"/>
        <v>0</v>
      </c>
      <c r="K369" s="62">
        <f t="shared" si="266"/>
        <v>0</v>
      </c>
      <c r="L369" s="62">
        <f t="shared" si="267"/>
        <v>0</v>
      </c>
      <c r="M369" s="62">
        <f t="shared" si="267"/>
        <v>0</v>
      </c>
      <c r="N369" s="62">
        <f t="shared" si="267"/>
        <v>0</v>
      </c>
      <c r="O369" s="62">
        <f t="shared" si="267"/>
        <v>0</v>
      </c>
      <c r="P369" s="62">
        <f t="shared" si="267"/>
        <v>0</v>
      </c>
      <c r="Q369" s="62">
        <f t="shared" si="267"/>
        <v>0</v>
      </c>
      <c r="R369" s="62">
        <f t="shared" si="267"/>
        <v>0</v>
      </c>
      <c r="S369" s="62">
        <f t="shared" si="267"/>
        <v>0</v>
      </c>
      <c r="T369" s="62">
        <f t="shared" si="267"/>
        <v>0</v>
      </c>
      <c r="U369" s="62">
        <f t="shared" si="267"/>
        <v>0</v>
      </c>
      <c r="V369" s="62">
        <f t="shared" si="268"/>
        <v>0</v>
      </c>
      <c r="W369" s="62">
        <f t="shared" si="268"/>
        <v>0</v>
      </c>
      <c r="X369" s="62">
        <f t="shared" si="268"/>
        <v>0</v>
      </c>
      <c r="Y369" s="62">
        <f t="shared" si="268"/>
        <v>0</v>
      </c>
      <c r="Z369" s="62">
        <f t="shared" si="268"/>
        <v>0</v>
      </c>
      <c r="AA369" s="62">
        <f t="shared" si="268"/>
        <v>0</v>
      </c>
      <c r="AB369" s="62">
        <f t="shared" si="268"/>
        <v>0</v>
      </c>
      <c r="AC369" s="62">
        <f t="shared" si="268"/>
        <v>0</v>
      </c>
    </row>
    <row r="370" spans="1:29" x14ac:dyDescent="0.3">
      <c r="A370" s="30" t="str">
        <f>A350</f>
        <v>Annual Mileage</v>
      </c>
      <c r="B370" s="62">
        <f t="shared" ref="B370:AC370" si="269">$B350+($C350-$B350)*(1-Q350)</f>
        <v>120000</v>
      </c>
      <c r="C370" s="62">
        <f t="shared" si="269"/>
        <v>120000</v>
      </c>
      <c r="D370" s="62">
        <f t="shared" si="269"/>
        <v>120000</v>
      </c>
      <c r="E370" s="62">
        <f t="shared" si="269"/>
        <v>120000</v>
      </c>
      <c r="F370" s="62">
        <f t="shared" si="269"/>
        <v>120000</v>
      </c>
      <c r="G370" s="62">
        <f t="shared" si="269"/>
        <v>120000</v>
      </c>
      <c r="H370" s="62">
        <f t="shared" si="269"/>
        <v>120000</v>
      </c>
      <c r="I370" s="62">
        <f t="shared" si="269"/>
        <v>120000</v>
      </c>
      <c r="J370" s="62">
        <f t="shared" si="269"/>
        <v>120000</v>
      </c>
      <c r="K370" s="62">
        <f t="shared" si="269"/>
        <v>120000</v>
      </c>
      <c r="L370" s="62">
        <f t="shared" si="269"/>
        <v>120000</v>
      </c>
      <c r="M370" s="62">
        <f t="shared" si="269"/>
        <v>120000</v>
      </c>
      <c r="N370" s="62">
        <f t="shared" si="269"/>
        <v>120000</v>
      </c>
      <c r="O370" s="62">
        <f t="shared" si="269"/>
        <v>120000</v>
      </c>
      <c r="P370" s="62">
        <f t="shared" si="269"/>
        <v>120000</v>
      </c>
      <c r="Q370" s="62">
        <f t="shared" si="269"/>
        <v>120000</v>
      </c>
      <c r="R370" s="62">
        <f t="shared" si="269"/>
        <v>120000</v>
      </c>
      <c r="S370" s="62">
        <f t="shared" si="269"/>
        <v>120000</v>
      </c>
      <c r="T370" s="62">
        <f t="shared" si="269"/>
        <v>120000</v>
      </c>
      <c r="U370" s="62">
        <f t="shared" si="269"/>
        <v>120000</v>
      </c>
      <c r="V370" s="62">
        <f t="shared" si="269"/>
        <v>120000</v>
      </c>
      <c r="W370" s="62">
        <f t="shared" si="269"/>
        <v>120000</v>
      </c>
      <c r="X370" s="62">
        <f t="shared" si="269"/>
        <v>120000</v>
      </c>
      <c r="Y370" s="62">
        <f t="shared" si="269"/>
        <v>120000</v>
      </c>
      <c r="Z370" s="62">
        <f t="shared" si="269"/>
        <v>120000</v>
      </c>
      <c r="AA370" s="62">
        <f t="shared" si="269"/>
        <v>120000</v>
      </c>
      <c r="AB370" s="62">
        <f t="shared" si="269"/>
        <v>120000</v>
      </c>
      <c r="AC370" s="62">
        <f t="shared" si="269"/>
        <v>120000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1173400.7731841092</v>
      </c>
      <c r="C373" s="63">
        <f t="shared" ref="C373:AC373" si="270">((1+C358)^C365)*C358/(((1+C358)^C365)-1)*(C354)</f>
        <v>1173400.7731841092</v>
      </c>
      <c r="D373" s="63">
        <f t="shared" si="270"/>
        <v>1173400.7731841092</v>
      </c>
      <c r="E373" s="63">
        <f t="shared" si="270"/>
        <v>1173400.7731841092</v>
      </c>
      <c r="F373" s="63">
        <f t="shared" si="270"/>
        <v>1173400.7731841092</v>
      </c>
      <c r="G373" s="63">
        <f t="shared" si="270"/>
        <v>1173400.7731841092</v>
      </c>
      <c r="H373" s="63">
        <f t="shared" si="270"/>
        <v>1173400.7731841092</v>
      </c>
      <c r="I373" s="63">
        <f t="shared" si="270"/>
        <v>1173400.7731841092</v>
      </c>
      <c r="J373" s="63">
        <f t="shared" si="270"/>
        <v>1173400.7731841092</v>
      </c>
      <c r="K373" s="63">
        <f t="shared" si="270"/>
        <v>1173400.7731841092</v>
      </c>
      <c r="L373" s="63">
        <f t="shared" si="270"/>
        <v>1173400.7731841092</v>
      </c>
      <c r="M373" s="63">
        <f t="shared" si="270"/>
        <v>1173400.7731841092</v>
      </c>
      <c r="N373" s="63">
        <f t="shared" si="270"/>
        <v>1173400.7731841092</v>
      </c>
      <c r="O373" s="63">
        <f t="shared" si="270"/>
        <v>1173400.7731841092</v>
      </c>
      <c r="P373" s="63">
        <f t="shared" si="270"/>
        <v>1173400.7731841092</v>
      </c>
      <c r="Q373" s="63">
        <f t="shared" si="270"/>
        <v>1173400.7731841092</v>
      </c>
      <c r="R373" s="63">
        <f t="shared" si="270"/>
        <v>1173400.7731841092</v>
      </c>
      <c r="S373" s="63">
        <f t="shared" si="270"/>
        <v>1173400.7731841092</v>
      </c>
      <c r="T373" s="63">
        <f t="shared" si="270"/>
        <v>1173400.7731841092</v>
      </c>
      <c r="U373" s="63">
        <f t="shared" si="270"/>
        <v>1173400.7731841092</v>
      </c>
      <c r="V373" s="63">
        <f t="shared" si="270"/>
        <v>1173400.7731841092</v>
      </c>
      <c r="W373" s="63">
        <f t="shared" si="270"/>
        <v>1173400.7731841092</v>
      </c>
      <c r="X373" s="63">
        <f t="shared" si="270"/>
        <v>1173400.7731841092</v>
      </c>
      <c r="Y373" s="63">
        <f t="shared" si="270"/>
        <v>1173400.7731841092</v>
      </c>
      <c r="Z373" s="63">
        <f t="shared" si="270"/>
        <v>1173400.7731841092</v>
      </c>
      <c r="AA373" s="63">
        <f t="shared" si="270"/>
        <v>1173400.7731841092</v>
      </c>
      <c r="AB373" s="63">
        <f t="shared" si="270"/>
        <v>1173400.7731841092</v>
      </c>
      <c r="AC373" s="63">
        <f t="shared" si="270"/>
        <v>1173400.7731841092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-117211.22297816433</v>
      </c>
      <c r="C374" s="62">
        <f t="shared" ref="C374:AC374" si="271">((1+C358)^C365)*C358/(((1+C358)^C365)-1)*(C355)</f>
        <v>-117155.47750703427</v>
      </c>
      <c r="D374" s="62">
        <f t="shared" si="271"/>
        <v>-117075.67910674184</v>
      </c>
      <c r="E374" s="62">
        <f t="shared" si="271"/>
        <v>-116961.52188344915</v>
      </c>
      <c r="F374" s="62">
        <f t="shared" si="271"/>
        <v>-116798.36602132194</v>
      </c>
      <c r="G374" s="62">
        <f t="shared" si="271"/>
        <v>-116565.50734662244</v>
      </c>
      <c r="H374" s="62">
        <f t="shared" si="271"/>
        <v>-116233.85946736432</v>
      </c>
      <c r="I374" s="62">
        <f t="shared" si="271"/>
        <v>-115762.96702113429</v>
      </c>
      <c r="J374" s="62">
        <f t="shared" si="271"/>
        <v>-115097.40579826315</v>
      </c>
      <c r="K374" s="62">
        <f t="shared" si="271"/>
        <v>-114162.96984907117</v>
      </c>
      <c r="L374" s="62">
        <f t="shared" si="271"/>
        <v>-112863.76466894078</v>
      </c>
      <c r="M374" s="62">
        <f t="shared" si="271"/>
        <v>-111082.60297034449</v>
      </c>
      <c r="N374" s="62">
        <f t="shared" si="271"/>
        <v>-108688.91250900239</v>
      </c>
      <c r="O374" s="62">
        <f t="shared" si="271"/>
        <v>-105559.89664903973</v>
      </c>
      <c r="P374" s="62">
        <f t="shared" si="271"/>
        <v>-101619.43004574107</v>
      </c>
      <c r="Q374" s="62">
        <f t="shared" si="271"/>
        <v>-96890.983232894243</v>
      </c>
      <c r="R374" s="62">
        <f t="shared" si="271"/>
        <v>-91544.180152521745</v>
      </c>
      <c r="S374" s="62">
        <f t="shared" si="271"/>
        <v>-85899.582077953528</v>
      </c>
      <c r="T374" s="62">
        <f t="shared" si="271"/>
        <v>-80366.059135568226</v>
      </c>
      <c r="U374" s="62">
        <f t="shared" si="271"/>
        <v>-75328.779301543953</v>
      </c>
      <c r="V374" s="62">
        <f t="shared" si="271"/>
        <v>-71047.808765066002</v>
      </c>
      <c r="W374" s="62">
        <f t="shared" si="271"/>
        <v>-67619.518043732241</v>
      </c>
      <c r="X374" s="62">
        <f t="shared" si="271"/>
        <v>-65003.580064954105</v>
      </c>
      <c r="Y374" s="62">
        <f t="shared" si="271"/>
        <v>-63080.655852023017</v>
      </c>
      <c r="Z374" s="62">
        <f t="shared" si="271"/>
        <v>-61705.792858076449</v>
      </c>
      <c r="AA374" s="62">
        <f t="shared" si="271"/>
        <v>-60742.216938606354</v>
      </c>
      <c r="AB374" s="62">
        <f t="shared" si="271"/>
        <v>-60076.3267522479</v>
      </c>
      <c r="AC374" s="62">
        <f t="shared" si="271"/>
        <v>-59620.624915142049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2">((1+C358)^C366)*C358/(((1+C358)^C366)-1)*(C356)</f>
        <v>78226.718212273947</v>
      </c>
      <c r="D375" s="62">
        <f t="shared" si="272"/>
        <v>78226.718212273947</v>
      </c>
      <c r="E375" s="62">
        <f t="shared" si="272"/>
        <v>78226.718212273947</v>
      </c>
      <c r="F375" s="62">
        <f t="shared" si="272"/>
        <v>78226.718212273947</v>
      </c>
      <c r="G375" s="62">
        <f t="shared" si="272"/>
        <v>78226.718212273947</v>
      </c>
      <c r="H375" s="62">
        <f t="shared" si="272"/>
        <v>78226.718212273947</v>
      </c>
      <c r="I375" s="62">
        <f t="shared" si="272"/>
        <v>78226.718212273947</v>
      </c>
      <c r="J375" s="62">
        <f t="shared" si="272"/>
        <v>78226.718212273947</v>
      </c>
      <c r="K375" s="62">
        <f t="shared" si="272"/>
        <v>78226.718212273947</v>
      </c>
      <c r="L375" s="62">
        <f t="shared" si="272"/>
        <v>78226.718212273947</v>
      </c>
      <c r="M375" s="62">
        <f t="shared" si="272"/>
        <v>78226.718212273947</v>
      </c>
      <c r="N375" s="62">
        <f t="shared" si="272"/>
        <v>78226.718212273947</v>
      </c>
      <c r="O375" s="62">
        <f t="shared" si="272"/>
        <v>78226.718212273947</v>
      </c>
      <c r="P375" s="62">
        <f t="shared" si="272"/>
        <v>78226.718212273947</v>
      </c>
      <c r="Q375" s="62">
        <f t="shared" si="272"/>
        <v>78226.718212273947</v>
      </c>
      <c r="R375" s="62">
        <f t="shared" si="272"/>
        <v>78226.718212273947</v>
      </c>
      <c r="S375" s="62">
        <f t="shared" si="272"/>
        <v>78226.718212273947</v>
      </c>
      <c r="T375" s="62">
        <f t="shared" si="272"/>
        <v>78226.718212273947</v>
      </c>
      <c r="U375" s="62">
        <f t="shared" si="272"/>
        <v>78226.718212273947</v>
      </c>
      <c r="V375" s="62">
        <f t="shared" si="272"/>
        <v>78226.718212273947</v>
      </c>
      <c r="W375" s="62">
        <f t="shared" si="272"/>
        <v>78226.718212273947</v>
      </c>
      <c r="X375" s="62">
        <f t="shared" si="272"/>
        <v>78226.718212273947</v>
      </c>
      <c r="Y375" s="62">
        <f t="shared" si="272"/>
        <v>78226.718212273947</v>
      </c>
      <c r="Z375" s="62">
        <f t="shared" si="272"/>
        <v>78226.718212273947</v>
      </c>
      <c r="AA375" s="62">
        <f t="shared" si="272"/>
        <v>78226.718212273947</v>
      </c>
      <c r="AB375" s="62">
        <f t="shared" si="272"/>
        <v>78226.718212273947</v>
      </c>
      <c r="AC375" s="62">
        <f t="shared" si="272"/>
        <v>78226.718212273947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73">((1+C358)^C366)*C358/(((1+C358)^C366)-1)*(C357)</f>
        <v>-7822.6718212273945</v>
      </c>
      <c r="D376" s="62">
        <f t="shared" si="273"/>
        <v>-7822.6718212273945</v>
      </c>
      <c r="E376" s="62">
        <f t="shared" si="273"/>
        <v>-7822.6718212273945</v>
      </c>
      <c r="F376" s="62">
        <f t="shared" si="273"/>
        <v>-7822.6718212273945</v>
      </c>
      <c r="G376" s="62">
        <f t="shared" si="273"/>
        <v>-7822.6718212273945</v>
      </c>
      <c r="H376" s="62">
        <f t="shared" si="273"/>
        <v>-7822.6718212273945</v>
      </c>
      <c r="I376" s="62">
        <f t="shared" si="273"/>
        <v>-7822.6718212273945</v>
      </c>
      <c r="J376" s="62">
        <f t="shared" si="273"/>
        <v>-7822.6718212273945</v>
      </c>
      <c r="K376" s="62">
        <f t="shared" si="273"/>
        <v>-7822.6718212273945</v>
      </c>
      <c r="L376" s="62">
        <f t="shared" si="273"/>
        <v>-7822.6718212273945</v>
      </c>
      <c r="M376" s="62">
        <f t="shared" si="273"/>
        <v>-7822.6718212273945</v>
      </c>
      <c r="N376" s="62">
        <f t="shared" si="273"/>
        <v>-7822.6718212273945</v>
      </c>
      <c r="O376" s="62">
        <f t="shared" si="273"/>
        <v>-7822.6718212273945</v>
      </c>
      <c r="P376" s="62">
        <f t="shared" si="273"/>
        <v>-7822.6718212273945</v>
      </c>
      <c r="Q376" s="62">
        <f t="shared" si="273"/>
        <v>-7822.6718212273945</v>
      </c>
      <c r="R376" s="62">
        <f t="shared" si="273"/>
        <v>-7822.6718212273945</v>
      </c>
      <c r="S376" s="62">
        <f t="shared" si="273"/>
        <v>-7822.6718212273945</v>
      </c>
      <c r="T376" s="62">
        <f t="shared" si="273"/>
        <v>-7822.6718212273945</v>
      </c>
      <c r="U376" s="62">
        <f t="shared" si="273"/>
        <v>-7822.6718212273945</v>
      </c>
      <c r="V376" s="62">
        <f t="shared" si="273"/>
        <v>-7822.6718212273945</v>
      </c>
      <c r="W376" s="62">
        <f t="shared" si="273"/>
        <v>-7822.6718212273945</v>
      </c>
      <c r="X376" s="62">
        <f t="shared" si="273"/>
        <v>-7822.6718212273945</v>
      </c>
      <c r="Y376" s="62">
        <f t="shared" si="273"/>
        <v>-7822.6718212273945</v>
      </c>
      <c r="Z376" s="62">
        <f t="shared" si="273"/>
        <v>-7822.6718212273945</v>
      </c>
      <c r="AA376" s="62">
        <f t="shared" si="273"/>
        <v>-7822.6718212273945</v>
      </c>
      <c r="AB376" s="62">
        <f t="shared" si="273"/>
        <v>-7822.6718212273945</v>
      </c>
      <c r="AC376" s="62">
        <f t="shared" si="273"/>
        <v>-7822.6718212273945</v>
      </c>
    </row>
    <row r="377" spans="1:29" x14ac:dyDescent="0.3">
      <c r="A377" s="30" t="str">
        <f t="shared" ref="A377:AC377" si="274">A359</f>
        <v>Opex fix (admin, crew, insurance)</v>
      </c>
      <c r="B377" s="62">
        <f t="shared" si="274"/>
        <v>1208235.294117647</v>
      </c>
      <c r="C377" s="62">
        <f t="shared" si="274"/>
        <v>1208235.294117647</v>
      </c>
      <c r="D377" s="62">
        <f t="shared" si="274"/>
        <v>1208235.294117647</v>
      </c>
      <c r="E377" s="62">
        <f t="shared" si="274"/>
        <v>1208235.294117647</v>
      </c>
      <c r="F377" s="62">
        <f t="shared" si="274"/>
        <v>1208235.294117647</v>
      </c>
      <c r="G377" s="62">
        <f t="shared" si="274"/>
        <v>1208235.294117647</v>
      </c>
      <c r="H377" s="62">
        <f t="shared" si="274"/>
        <v>1208235.294117647</v>
      </c>
      <c r="I377" s="62">
        <f t="shared" si="274"/>
        <v>1208235.294117647</v>
      </c>
      <c r="J377" s="62">
        <f t="shared" si="274"/>
        <v>1208235.294117647</v>
      </c>
      <c r="K377" s="62">
        <f t="shared" si="274"/>
        <v>1208235.294117647</v>
      </c>
      <c r="L377" s="62">
        <f t="shared" si="274"/>
        <v>1208235.294117647</v>
      </c>
      <c r="M377" s="62">
        <f t="shared" si="274"/>
        <v>1208235.294117647</v>
      </c>
      <c r="N377" s="62">
        <f t="shared" si="274"/>
        <v>1208235.294117647</v>
      </c>
      <c r="O377" s="62">
        <f t="shared" si="274"/>
        <v>1208235.294117647</v>
      </c>
      <c r="P377" s="62">
        <f t="shared" si="274"/>
        <v>1208235.294117647</v>
      </c>
      <c r="Q377" s="62">
        <f t="shared" si="274"/>
        <v>1208235.294117647</v>
      </c>
      <c r="R377" s="62">
        <f t="shared" si="274"/>
        <v>1208235.294117647</v>
      </c>
      <c r="S377" s="62">
        <f t="shared" si="274"/>
        <v>1208235.294117647</v>
      </c>
      <c r="T377" s="62">
        <f t="shared" si="274"/>
        <v>1208235.294117647</v>
      </c>
      <c r="U377" s="62">
        <f t="shared" si="274"/>
        <v>1208235.294117647</v>
      </c>
      <c r="V377" s="62">
        <f t="shared" si="274"/>
        <v>1208235.294117647</v>
      </c>
      <c r="W377" s="62">
        <f t="shared" si="274"/>
        <v>1208235.294117647</v>
      </c>
      <c r="X377" s="62">
        <f t="shared" si="274"/>
        <v>1208235.294117647</v>
      </c>
      <c r="Y377" s="62">
        <f t="shared" si="274"/>
        <v>1208235.294117647</v>
      </c>
      <c r="Z377" s="62">
        <f t="shared" si="274"/>
        <v>1208235.294117647</v>
      </c>
      <c r="AA377" s="62">
        <f t="shared" si="274"/>
        <v>1208235.294117647</v>
      </c>
      <c r="AB377" s="62">
        <f t="shared" si="274"/>
        <v>1208235.294117647</v>
      </c>
      <c r="AC377" s="62">
        <f t="shared" si="274"/>
        <v>1208235.294117647</v>
      </c>
    </row>
    <row r="378" spans="1:29" x14ac:dyDescent="0.3">
      <c r="A378" s="30" t="str">
        <f t="shared" ref="A378:AC378" si="275">A360</f>
        <v>Opex maintenance &amp; repair</v>
      </c>
      <c r="B378" s="62">
        <f t="shared" si="275"/>
        <v>488235.29411764705</v>
      </c>
      <c r="C378" s="62">
        <f t="shared" si="275"/>
        <v>488235.29411764705</v>
      </c>
      <c r="D378" s="62">
        <f t="shared" si="275"/>
        <v>488235.29411764705</v>
      </c>
      <c r="E378" s="62">
        <f t="shared" si="275"/>
        <v>488235.29411764705</v>
      </c>
      <c r="F378" s="62">
        <f t="shared" si="275"/>
        <v>488235.29411764705</v>
      </c>
      <c r="G378" s="62">
        <f t="shared" si="275"/>
        <v>488235.29411764705</v>
      </c>
      <c r="H378" s="62">
        <f t="shared" si="275"/>
        <v>488235.29411764705</v>
      </c>
      <c r="I378" s="62">
        <f t="shared" si="275"/>
        <v>488235.29411764705</v>
      </c>
      <c r="J378" s="62">
        <f t="shared" si="275"/>
        <v>488235.29411764705</v>
      </c>
      <c r="K378" s="62">
        <f t="shared" si="275"/>
        <v>488235.29411764705</v>
      </c>
      <c r="L378" s="62">
        <f t="shared" si="275"/>
        <v>488235.29411764705</v>
      </c>
      <c r="M378" s="62">
        <f t="shared" si="275"/>
        <v>488235.29411764705</v>
      </c>
      <c r="N378" s="62">
        <f t="shared" si="275"/>
        <v>488235.29411764705</v>
      </c>
      <c r="O378" s="62">
        <f t="shared" si="275"/>
        <v>488235.29411764705</v>
      </c>
      <c r="P378" s="62">
        <f t="shared" si="275"/>
        <v>488235.29411764705</v>
      </c>
      <c r="Q378" s="62">
        <f t="shared" si="275"/>
        <v>488235.29411764705</v>
      </c>
      <c r="R378" s="62">
        <f t="shared" si="275"/>
        <v>488235.29411764705</v>
      </c>
      <c r="S378" s="62">
        <f t="shared" si="275"/>
        <v>488235.29411764705</v>
      </c>
      <c r="T378" s="62">
        <f t="shared" si="275"/>
        <v>488235.29411764705</v>
      </c>
      <c r="U378" s="62">
        <f t="shared" si="275"/>
        <v>488235.29411764705</v>
      </c>
      <c r="V378" s="62">
        <f t="shared" si="275"/>
        <v>488235.29411764705</v>
      </c>
      <c r="W378" s="62">
        <f t="shared" si="275"/>
        <v>488235.29411764705</v>
      </c>
      <c r="X378" s="62">
        <f t="shared" si="275"/>
        <v>488235.29411764705</v>
      </c>
      <c r="Y378" s="62">
        <f t="shared" si="275"/>
        <v>488235.29411764705</v>
      </c>
      <c r="Z378" s="62">
        <f t="shared" si="275"/>
        <v>488235.29411764705</v>
      </c>
      <c r="AA378" s="62">
        <f t="shared" si="275"/>
        <v>488235.29411764705</v>
      </c>
      <c r="AB378" s="62">
        <f t="shared" si="275"/>
        <v>488235.29411764705</v>
      </c>
      <c r="AC378" s="62">
        <f t="shared" si="275"/>
        <v>488235.29411764705</v>
      </c>
    </row>
    <row r="379" spans="1:29" x14ac:dyDescent="0.3">
      <c r="A379" s="30" t="str">
        <f>A361</f>
        <v>Opex var (mode-fees)</v>
      </c>
      <c r="B379" s="62">
        <f>B361*B370</f>
        <v>97536.682916217906</v>
      </c>
      <c r="C379" s="62">
        <f t="shared" ref="C379:AC379" si="276">C361*C370</f>
        <v>97536.682916217906</v>
      </c>
      <c r="D379" s="62">
        <f t="shared" si="276"/>
        <v>97536.682916217906</v>
      </c>
      <c r="E379" s="62">
        <f t="shared" si="276"/>
        <v>97536.682916217906</v>
      </c>
      <c r="F379" s="62">
        <f t="shared" si="276"/>
        <v>97536.682916217906</v>
      </c>
      <c r="G379" s="62">
        <f t="shared" si="276"/>
        <v>97536.682916217906</v>
      </c>
      <c r="H379" s="62">
        <f t="shared" si="276"/>
        <v>97536.682916217906</v>
      </c>
      <c r="I379" s="62">
        <f t="shared" si="276"/>
        <v>97536.682916217906</v>
      </c>
      <c r="J379" s="62">
        <f t="shared" si="276"/>
        <v>97536.682916217906</v>
      </c>
      <c r="K379" s="62">
        <f t="shared" si="276"/>
        <v>97536.682916217906</v>
      </c>
      <c r="L379" s="62">
        <f t="shared" si="276"/>
        <v>97536.682916217906</v>
      </c>
      <c r="M379" s="62">
        <f t="shared" si="276"/>
        <v>97536.682916217906</v>
      </c>
      <c r="N379" s="62">
        <f t="shared" si="276"/>
        <v>97536.682916217906</v>
      </c>
      <c r="O379" s="62">
        <f t="shared" si="276"/>
        <v>97536.682916217906</v>
      </c>
      <c r="P379" s="62">
        <f t="shared" si="276"/>
        <v>97536.682916217906</v>
      </c>
      <c r="Q379" s="62">
        <f t="shared" si="276"/>
        <v>97536.682916217906</v>
      </c>
      <c r="R379" s="62">
        <f t="shared" si="276"/>
        <v>97536.682916217906</v>
      </c>
      <c r="S379" s="62">
        <f t="shared" si="276"/>
        <v>97536.682916217906</v>
      </c>
      <c r="T379" s="62">
        <f t="shared" si="276"/>
        <v>97536.682916217906</v>
      </c>
      <c r="U379" s="62">
        <f t="shared" si="276"/>
        <v>97536.682916217906</v>
      </c>
      <c r="V379" s="62">
        <f t="shared" si="276"/>
        <v>97536.682916217906</v>
      </c>
      <c r="W379" s="62">
        <f t="shared" si="276"/>
        <v>97536.682916217906</v>
      </c>
      <c r="X379" s="62">
        <f t="shared" si="276"/>
        <v>97536.682916217906</v>
      </c>
      <c r="Y379" s="62">
        <f t="shared" si="276"/>
        <v>97536.682916217906</v>
      </c>
      <c r="Z379" s="62">
        <f t="shared" si="276"/>
        <v>97536.682916217906</v>
      </c>
      <c r="AA379" s="62">
        <f t="shared" si="276"/>
        <v>97536.682916217906</v>
      </c>
      <c r="AB379" s="62">
        <f t="shared" si="276"/>
        <v>97536.682916217906</v>
      </c>
      <c r="AC379" s="62">
        <f t="shared" si="276"/>
        <v>97536.682916217906</v>
      </c>
    </row>
    <row r="380" spans="1:29" x14ac:dyDescent="0.3">
      <c r="A380" s="30" t="str">
        <f>A363</f>
        <v>Fuel Cost</v>
      </c>
      <c r="B380" s="62">
        <f>B362*B363*B370</f>
        <v>4657656.7874551304</v>
      </c>
      <c r="C380" s="62">
        <f t="shared" ref="C380:AC380" si="277">C362*C363*C370</f>
        <v>4657335.2559228269</v>
      </c>
      <c r="D380" s="62">
        <f t="shared" si="277"/>
        <v>4656874.9906958723</v>
      </c>
      <c r="E380" s="62">
        <f t="shared" si="277"/>
        <v>4656216.5489214156</v>
      </c>
      <c r="F380" s="62">
        <f t="shared" si="277"/>
        <v>4655275.4903333243</v>
      </c>
      <c r="G380" s="62">
        <f t="shared" si="277"/>
        <v>4653932.3963569254</v>
      </c>
      <c r="H380" s="62">
        <f t="shared" si="277"/>
        <v>4652019.501037512</v>
      </c>
      <c r="I380" s="62">
        <f t="shared" si="277"/>
        <v>4649303.4639009116</v>
      </c>
      <c r="J380" s="62">
        <f t="shared" si="277"/>
        <v>4645464.6064028293</v>
      </c>
      <c r="K380" s="62">
        <f t="shared" si="277"/>
        <v>4640074.9197342508</v>
      </c>
      <c r="L380" s="62">
        <f t="shared" si="277"/>
        <v>4632581.2987480788</v>
      </c>
      <c r="M380" s="62">
        <f t="shared" si="277"/>
        <v>4622307.8247129563</v>
      </c>
      <c r="N380" s="62">
        <f t="shared" si="277"/>
        <v>4608501.3764707223</v>
      </c>
      <c r="O380" s="62">
        <f t="shared" si="277"/>
        <v>4590453.6814084789</v>
      </c>
      <c r="P380" s="62">
        <f t="shared" si="277"/>
        <v>4567725.6599339778</v>
      </c>
      <c r="Q380" s="62">
        <f t="shared" si="277"/>
        <v>4540452.686572534</v>
      </c>
      <c r="R380" s="62">
        <f t="shared" si="277"/>
        <v>4509613.1268287944</v>
      </c>
      <c r="S380" s="62">
        <f t="shared" si="277"/>
        <v>4477055.930138859</v>
      </c>
      <c r="T380" s="62">
        <f t="shared" si="277"/>
        <v>4445139.3981832527</v>
      </c>
      <c r="U380" s="62">
        <f t="shared" si="277"/>
        <v>4416085.1221883893</v>
      </c>
      <c r="V380" s="62">
        <f t="shared" si="277"/>
        <v>4391393.1250012219</v>
      </c>
      <c r="W380" s="62">
        <f t="shared" si="277"/>
        <v>4371619.2573404536</v>
      </c>
      <c r="X380" s="62">
        <f t="shared" si="277"/>
        <v>4356530.9186884109</v>
      </c>
      <c r="Y380" s="62">
        <f t="shared" si="277"/>
        <v>4345439.7796926498</v>
      </c>
      <c r="Z380" s="62">
        <f t="shared" si="277"/>
        <v>4337509.7757624658</v>
      </c>
      <c r="AA380" s="62">
        <f t="shared" si="277"/>
        <v>4331952.0141076175</v>
      </c>
      <c r="AB380" s="62">
        <f t="shared" si="277"/>
        <v>4328111.2591973878</v>
      </c>
      <c r="AC380" s="62">
        <f t="shared" si="277"/>
        <v>4325482.8392201588</v>
      </c>
    </row>
    <row r="381" spans="1:29" ht="15" thickBot="1" x14ac:dyDescent="0.35">
      <c r="A381" s="59" t="str">
        <f>A344</f>
        <v>Emission Cost</v>
      </c>
      <c r="B381" s="62">
        <f>B364*B370</f>
        <v>2080174.2343043815</v>
      </c>
      <c r="C381" s="62">
        <f t="shared" ref="C381:AC381" si="278">C364*C370</f>
        <v>2084591.1334600765</v>
      </c>
      <c r="D381" s="62">
        <f t="shared" si="278"/>
        <v>2090913.8262229576</v>
      </c>
      <c r="E381" s="62">
        <f t="shared" si="278"/>
        <v>2099958.8828518903</v>
      </c>
      <c r="F381" s="62">
        <f t="shared" si="278"/>
        <v>2112886.2646654733</v>
      </c>
      <c r="G381" s="62">
        <f t="shared" si="278"/>
        <v>2131336.4322365182</v>
      </c>
      <c r="H381" s="62">
        <f t="shared" si="278"/>
        <v>2157613.9971792493</v>
      </c>
      <c r="I381" s="62">
        <f t="shared" si="278"/>
        <v>2194924.3724620044</v>
      </c>
      <c r="J381" s="62">
        <f t="shared" si="278"/>
        <v>2247659.002626026</v>
      </c>
      <c r="K381" s="62">
        <f t="shared" si="278"/>
        <v>2321697.4719647751</v>
      </c>
      <c r="L381" s="62">
        <f t="shared" si="278"/>
        <v>2424637.8211422721</v>
      </c>
      <c r="M381" s="62">
        <f t="shared" si="278"/>
        <v>2565765.1888584979</v>
      </c>
      <c r="N381" s="62">
        <f t="shared" si="278"/>
        <v>2755425.248471769</v>
      </c>
      <c r="O381" s="62">
        <f t="shared" si="278"/>
        <v>3003347.5860152184</v>
      </c>
      <c r="P381" s="62">
        <f t="shared" si="278"/>
        <v>3315563.8658372555</v>
      </c>
      <c r="Q381" s="62">
        <f t="shared" si="278"/>
        <v>3690214.4394539841</v>
      </c>
      <c r="R381" s="62">
        <f t="shared" si="278"/>
        <v>4113859.4375609229</v>
      </c>
      <c r="S381" s="62">
        <f t="shared" si="278"/>
        <v>4561099.7238907274</v>
      </c>
      <c r="T381" s="62">
        <f t="shared" si="278"/>
        <v>4999539.1579250544</v>
      </c>
      <c r="U381" s="62">
        <f t="shared" si="278"/>
        <v>5398659.5993684782</v>
      </c>
      <c r="V381" s="62">
        <f t="shared" si="278"/>
        <v>5737855.1387515571</v>
      </c>
      <c r="W381" s="62">
        <f t="shared" si="278"/>
        <v>6009490.0193180386</v>
      </c>
      <c r="X381" s="62">
        <f t="shared" si="278"/>
        <v>6216759.4892065981</v>
      </c>
      <c r="Y381" s="62">
        <f t="shared" si="278"/>
        <v>6369119.1726102037</v>
      </c>
      <c r="Z381" s="62">
        <f t="shared" si="278"/>
        <v>6478054.1421073815</v>
      </c>
      <c r="AA381" s="62">
        <f t="shared" si="278"/>
        <v>6554401.4682466788</v>
      </c>
      <c r="AB381" s="62">
        <f t="shared" si="278"/>
        <v>6607162.1632823376</v>
      </c>
      <c r="AC381" s="62">
        <f t="shared" si="278"/>
        <v>6643268.9360615192</v>
      </c>
    </row>
    <row r="382" spans="1:29" ht="15" thickBot="1" x14ac:dyDescent="0.35">
      <c r="A382" s="31" t="s">
        <v>209</v>
      </c>
      <c r="B382" s="64">
        <f>B373+B374+B375+B376+B377+B378+B379+B380+B381</f>
        <v>9658431.8895080164</v>
      </c>
      <c r="C382" s="64">
        <f t="shared" ref="C382:AC382" si="279">C373+C374+C375+C376+C377+C378+C379+C380+C381</f>
        <v>9662583.0026025362</v>
      </c>
      <c r="D382" s="64">
        <f t="shared" si="279"/>
        <v>9668525.2285387572</v>
      </c>
      <c r="E382" s="64">
        <f t="shared" si="279"/>
        <v>9677026.0006165244</v>
      </c>
      <c r="F382" s="64">
        <f t="shared" si="279"/>
        <v>9689175.4797041435</v>
      </c>
      <c r="G382" s="64">
        <f t="shared" si="279"/>
        <v>9706515.4119734894</v>
      </c>
      <c r="H382" s="64">
        <f t="shared" si="279"/>
        <v>9731211.7294760644</v>
      </c>
      <c r="I382" s="64">
        <f t="shared" si="279"/>
        <v>9766276.9600684494</v>
      </c>
      <c r="J382" s="64">
        <f t="shared" si="279"/>
        <v>9815838.2939572595</v>
      </c>
      <c r="K382" s="64">
        <f t="shared" si="279"/>
        <v>9885421.5125766229</v>
      </c>
      <c r="L382" s="64">
        <f t="shared" si="279"/>
        <v>9982167.4459480792</v>
      </c>
      <c r="M382" s="64">
        <f t="shared" si="279"/>
        <v>10114802.501327777</v>
      </c>
      <c r="N382" s="64">
        <f t="shared" si="279"/>
        <v>10293049.803160157</v>
      </c>
      <c r="O382" s="64">
        <f t="shared" si="279"/>
        <v>10526053.461501326</v>
      </c>
      <c r="P382" s="64">
        <f t="shared" si="279"/>
        <v>10819482.18645216</v>
      </c>
      <c r="Q382" s="64">
        <f t="shared" si="279"/>
        <v>11171588.233520292</v>
      </c>
      <c r="R382" s="64">
        <f t="shared" si="279"/>
        <v>11569740.474963864</v>
      </c>
      <c r="S382" s="64">
        <f t="shared" si="279"/>
        <v>11990068.162678301</v>
      </c>
      <c r="T382" s="64">
        <f t="shared" si="279"/>
        <v>12402124.587699406</v>
      </c>
      <c r="U382" s="64">
        <f t="shared" si="279"/>
        <v>12777228.032981992</v>
      </c>
      <c r="V382" s="64">
        <f t="shared" si="279"/>
        <v>13096012.54571438</v>
      </c>
      <c r="W382" s="64">
        <f t="shared" si="279"/>
        <v>13351301.849341428</v>
      </c>
      <c r="X382" s="64">
        <f t="shared" si="279"/>
        <v>13546098.918556724</v>
      </c>
      <c r="Y382" s="64">
        <f t="shared" si="279"/>
        <v>13689290.387177497</v>
      </c>
      <c r="Z382" s="64">
        <f t="shared" si="279"/>
        <v>13791670.215738438</v>
      </c>
      <c r="AA382" s="64">
        <f t="shared" si="279"/>
        <v>13863423.356142357</v>
      </c>
      <c r="AB382" s="64">
        <f t="shared" si="279"/>
        <v>13913009.186454147</v>
      </c>
      <c r="AC382" s="64">
        <f t="shared" si="279"/>
        <v>13946943.241093203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80">A373</f>
        <v>Capex vehicle</v>
      </c>
      <c r="B385" s="65">
        <f>((1+B358)^B365)*B358/(((1+B358)^B365)-1)*(B354)/B370</f>
        <v>9.7783397765342439</v>
      </c>
      <c r="C385" s="65">
        <f t="shared" ref="C385:AC385" si="281">((1+C358)^C365)*C358/(((1+C358)^C365)-1)*(C354)/C370</f>
        <v>9.7783397765342439</v>
      </c>
      <c r="D385" s="65">
        <f t="shared" si="281"/>
        <v>9.7783397765342439</v>
      </c>
      <c r="E385" s="65">
        <f t="shared" si="281"/>
        <v>9.7783397765342439</v>
      </c>
      <c r="F385" s="65">
        <f t="shared" si="281"/>
        <v>9.7783397765342439</v>
      </c>
      <c r="G385" s="65">
        <f t="shared" si="281"/>
        <v>9.7783397765342439</v>
      </c>
      <c r="H385" s="65">
        <f t="shared" si="281"/>
        <v>9.7783397765342439</v>
      </c>
      <c r="I385" s="65">
        <f t="shared" si="281"/>
        <v>9.7783397765342439</v>
      </c>
      <c r="J385" s="65">
        <f t="shared" si="281"/>
        <v>9.7783397765342439</v>
      </c>
      <c r="K385" s="65">
        <f t="shared" si="281"/>
        <v>9.7783397765342439</v>
      </c>
      <c r="L385" s="65">
        <f t="shared" si="281"/>
        <v>9.7783397765342439</v>
      </c>
      <c r="M385" s="65">
        <f t="shared" si="281"/>
        <v>9.7783397765342439</v>
      </c>
      <c r="N385" s="65">
        <f t="shared" si="281"/>
        <v>9.7783397765342439</v>
      </c>
      <c r="O385" s="65">
        <f t="shared" si="281"/>
        <v>9.7783397765342439</v>
      </c>
      <c r="P385" s="65">
        <f t="shared" si="281"/>
        <v>9.7783397765342439</v>
      </c>
      <c r="Q385" s="65">
        <f t="shared" si="281"/>
        <v>9.7783397765342439</v>
      </c>
      <c r="R385" s="65">
        <f t="shared" si="281"/>
        <v>9.7783397765342439</v>
      </c>
      <c r="S385" s="65">
        <f t="shared" si="281"/>
        <v>9.7783397765342439</v>
      </c>
      <c r="T385" s="65">
        <f t="shared" si="281"/>
        <v>9.7783397765342439</v>
      </c>
      <c r="U385" s="65">
        <f t="shared" si="281"/>
        <v>9.7783397765342439</v>
      </c>
      <c r="V385" s="65">
        <f t="shared" si="281"/>
        <v>9.7783397765342439</v>
      </c>
      <c r="W385" s="65">
        <f t="shared" si="281"/>
        <v>9.7783397765342439</v>
      </c>
      <c r="X385" s="65">
        <f t="shared" si="281"/>
        <v>9.7783397765342439</v>
      </c>
      <c r="Y385" s="65">
        <f t="shared" si="281"/>
        <v>9.7783397765342439</v>
      </c>
      <c r="Z385" s="65">
        <f t="shared" si="281"/>
        <v>9.7783397765342439</v>
      </c>
      <c r="AA385" s="65">
        <f t="shared" si="281"/>
        <v>9.7783397765342439</v>
      </c>
      <c r="AB385" s="65">
        <f t="shared" si="281"/>
        <v>9.7783397765342439</v>
      </c>
      <c r="AC385" s="65">
        <f t="shared" si="281"/>
        <v>9.7783397765342439</v>
      </c>
    </row>
    <row r="386" spans="1:29" x14ac:dyDescent="0.3">
      <c r="A386" s="30" t="str">
        <f t="shared" si="280"/>
        <v>Residual value (vehicle)</v>
      </c>
      <c r="B386" s="66">
        <f>((1+B358)^B365)*B358/(((1+B358)^B365)-1)*(B355)/B370</f>
        <v>-0.97676019148470272</v>
      </c>
      <c r="C386" s="66">
        <f t="shared" ref="C386:AC386" si="282">((1+C358)^C365)*C358/(((1+C358)^C365)-1)*(C355)/C370</f>
        <v>-0.97629564589195228</v>
      </c>
      <c r="D386" s="66">
        <f t="shared" si="282"/>
        <v>-0.97563065922284864</v>
      </c>
      <c r="E386" s="66">
        <f t="shared" si="282"/>
        <v>-0.97467934902874298</v>
      </c>
      <c r="F386" s="66">
        <f t="shared" si="282"/>
        <v>-0.97331971684434948</v>
      </c>
      <c r="G386" s="66">
        <f t="shared" si="282"/>
        <v>-0.97137922788852038</v>
      </c>
      <c r="H386" s="66">
        <f t="shared" si="282"/>
        <v>-0.96861549556136939</v>
      </c>
      <c r="I386" s="66">
        <f t="shared" si="282"/>
        <v>-0.96469139184278574</v>
      </c>
      <c r="J386" s="66">
        <f t="shared" si="282"/>
        <v>-0.95914504831885961</v>
      </c>
      <c r="K386" s="66">
        <f t="shared" si="282"/>
        <v>-0.95135808207559314</v>
      </c>
      <c r="L386" s="66">
        <f t="shared" si="282"/>
        <v>-0.94053137224117322</v>
      </c>
      <c r="M386" s="66">
        <f t="shared" si="282"/>
        <v>-0.92568835808620409</v>
      </c>
      <c r="N386" s="66">
        <f t="shared" si="282"/>
        <v>-0.90574093757501994</v>
      </c>
      <c r="O386" s="66">
        <f t="shared" si="282"/>
        <v>-0.87966580540866446</v>
      </c>
      <c r="P386" s="66">
        <f t="shared" si="282"/>
        <v>-0.84682858371450898</v>
      </c>
      <c r="Q386" s="66">
        <f t="shared" si="282"/>
        <v>-0.80742486027411864</v>
      </c>
      <c r="R386" s="66">
        <f t="shared" si="282"/>
        <v>-0.7628681679376812</v>
      </c>
      <c r="S386" s="66">
        <f t="shared" si="282"/>
        <v>-0.71582985064961269</v>
      </c>
      <c r="T386" s="66">
        <f t="shared" si="282"/>
        <v>-0.66971715946306853</v>
      </c>
      <c r="U386" s="66">
        <f t="shared" si="282"/>
        <v>-0.62773982751286628</v>
      </c>
      <c r="V386" s="66">
        <f t="shared" si="282"/>
        <v>-0.59206507304221667</v>
      </c>
      <c r="W386" s="66">
        <f t="shared" si="282"/>
        <v>-0.56349598369776865</v>
      </c>
      <c r="X386" s="66">
        <f t="shared" si="282"/>
        <v>-0.54169650054128426</v>
      </c>
      <c r="Y386" s="66">
        <f t="shared" si="282"/>
        <v>-0.52567213210019181</v>
      </c>
      <c r="Z386" s="66">
        <f t="shared" si="282"/>
        <v>-0.51421494048397043</v>
      </c>
      <c r="AA386" s="66">
        <f t="shared" si="282"/>
        <v>-0.50618514115505298</v>
      </c>
      <c r="AB386" s="66">
        <f t="shared" si="282"/>
        <v>-0.50063605626873253</v>
      </c>
      <c r="AC386" s="66">
        <f t="shared" si="282"/>
        <v>-0.49683854095951707</v>
      </c>
    </row>
    <row r="387" spans="1:29" x14ac:dyDescent="0.3">
      <c r="A387" s="30" t="str">
        <f t="shared" si="280"/>
        <v>Capex costumization</v>
      </c>
      <c r="B387" s="66">
        <f>((1+B358)^B366)*B358/(((1+B358)^B366)-1)*(B356)/B370</f>
        <v>0.65188931843561626</v>
      </c>
      <c r="C387" s="66">
        <f t="shared" ref="C387:AC387" si="283">((1+C358)^C366)*C358/(((1+C358)^C366)-1)*(C356)/C370</f>
        <v>0.65188931843561626</v>
      </c>
      <c r="D387" s="66">
        <f t="shared" si="283"/>
        <v>0.65188931843561626</v>
      </c>
      <c r="E387" s="66">
        <f t="shared" si="283"/>
        <v>0.65188931843561626</v>
      </c>
      <c r="F387" s="66">
        <f t="shared" si="283"/>
        <v>0.65188931843561626</v>
      </c>
      <c r="G387" s="66">
        <f t="shared" si="283"/>
        <v>0.65188931843561626</v>
      </c>
      <c r="H387" s="66">
        <f t="shared" si="283"/>
        <v>0.65188931843561626</v>
      </c>
      <c r="I387" s="66">
        <f t="shared" si="283"/>
        <v>0.65188931843561626</v>
      </c>
      <c r="J387" s="66">
        <f t="shared" si="283"/>
        <v>0.65188931843561626</v>
      </c>
      <c r="K387" s="66">
        <f t="shared" si="283"/>
        <v>0.65188931843561626</v>
      </c>
      <c r="L387" s="66">
        <f t="shared" si="283"/>
        <v>0.65188931843561626</v>
      </c>
      <c r="M387" s="66">
        <f t="shared" si="283"/>
        <v>0.65188931843561626</v>
      </c>
      <c r="N387" s="66">
        <f t="shared" si="283"/>
        <v>0.65188931843561626</v>
      </c>
      <c r="O387" s="66">
        <f t="shared" si="283"/>
        <v>0.65188931843561626</v>
      </c>
      <c r="P387" s="66">
        <f t="shared" si="283"/>
        <v>0.65188931843561626</v>
      </c>
      <c r="Q387" s="66">
        <f t="shared" si="283"/>
        <v>0.65188931843561626</v>
      </c>
      <c r="R387" s="66">
        <f t="shared" si="283"/>
        <v>0.65188931843561626</v>
      </c>
      <c r="S387" s="66">
        <f t="shared" si="283"/>
        <v>0.65188931843561626</v>
      </c>
      <c r="T387" s="66">
        <f t="shared" si="283"/>
        <v>0.65188931843561626</v>
      </c>
      <c r="U387" s="66">
        <f t="shared" si="283"/>
        <v>0.65188931843561626</v>
      </c>
      <c r="V387" s="66">
        <f t="shared" si="283"/>
        <v>0.65188931843561626</v>
      </c>
      <c r="W387" s="66">
        <f t="shared" si="283"/>
        <v>0.65188931843561626</v>
      </c>
      <c r="X387" s="66">
        <f t="shared" si="283"/>
        <v>0.65188931843561626</v>
      </c>
      <c r="Y387" s="66">
        <f t="shared" si="283"/>
        <v>0.65188931843561626</v>
      </c>
      <c r="Z387" s="66">
        <f t="shared" si="283"/>
        <v>0.65188931843561626</v>
      </c>
      <c r="AA387" s="66">
        <f t="shared" si="283"/>
        <v>0.65188931843561626</v>
      </c>
      <c r="AB387" s="66">
        <f t="shared" si="283"/>
        <v>0.65188931843561626</v>
      </c>
      <c r="AC387" s="66">
        <f t="shared" si="283"/>
        <v>0.65188931843561626</v>
      </c>
    </row>
    <row r="388" spans="1:29" x14ac:dyDescent="0.3">
      <c r="A388" s="30" t="str">
        <f t="shared" si="280"/>
        <v>Residual value (costumization)</v>
      </c>
      <c r="B388" s="66">
        <f>((1+B358)^B366)*B358/(((1+B358)^B366)-1)*(B357)/B370</f>
        <v>-6.5188931843561615E-2</v>
      </c>
      <c r="C388" s="66">
        <f t="shared" ref="C388:AC388" si="284">((1+C358)^C366)*C358/(((1+C358)^C366)-1)*(C357)/C370</f>
        <v>-6.5188931843561615E-2</v>
      </c>
      <c r="D388" s="66">
        <f t="shared" si="284"/>
        <v>-6.5188931843561615E-2</v>
      </c>
      <c r="E388" s="66">
        <f t="shared" si="284"/>
        <v>-6.5188931843561615E-2</v>
      </c>
      <c r="F388" s="66">
        <f t="shared" si="284"/>
        <v>-6.5188931843561615E-2</v>
      </c>
      <c r="G388" s="66">
        <f t="shared" si="284"/>
        <v>-6.5188931843561615E-2</v>
      </c>
      <c r="H388" s="66">
        <f t="shared" si="284"/>
        <v>-6.5188931843561615E-2</v>
      </c>
      <c r="I388" s="66">
        <f t="shared" si="284"/>
        <v>-6.5188931843561615E-2</v>
      </c>
      <c r="J388" s="66">
        <f t="shared" si="284"/>
        <v>-6.5188931843561615E-2</v>
      </c>
      <c r="K388" s="66">
        <f t="shared" si="284"/>
        <v>-6.5188931843561615E-2</v>
      </c>
      <c r="L388" s="66">
        <f t="shared" si="284"/>
        <v>-6.5188931843561615E-2</v>
      </c>
      <c r="M388" s="66">
        <f t="shared" si="284"/>
        <v>-6.5188931843561615E-2</v>
      </c>
      <c r="N388" s="66">
        <f t="shared" si="284"/>
        <v>-6.5188931843561615E-2</v>
      </c>
      <c r="O388" s="66">
        <f t="shared" si="284"/>
        <v>-6.5188931843561615E-2</v>
      </c>
      <c r="P388" s="66">
        <f t="shared" si="284"/>
        <v>-6.5188931843561615E-2</v>
      </c>
      <c r="Q388" s="66">
        <f t="shared" si="284"/>
        <v>-6.5188931843561615E-2</v>
      </c>
      <c r="R388" s="66">
        <f t="shared" si="284"/>
        <v>-6.5188931843561615E-2</v>
      </c>
      <c r="S388" s="66">
        <f t="shared" si="284"/>
        <v>-6.5188931843561615E-2</v>
      </c>
      <c r="T388" s="66">
        <f t="shared" si="284"/>
        <v>-6.5188931843561615E-2</v>
      </c>
      <c r="U388" s="66">
        <f t="shared" si="284"/>
        <v>-6.5188931843561615E-2</v>
      </c>
      <c r="V388" s="66">
        <f t="shared" si="284"/>
        <v>-6.5188931843561615E-2</v>
      </c>
      <c r="W388" s="66">
        <f t="shared" si="284"/>
        <v>-6.5188931843561615E-2</v>
      </c>
      <c r="X388" s="66">
        <f t="shared" si="284"/>
        <v>-6.5188931843561615E-2</v>
      </c>
      <c r="Y388" s="66">
        <f t="shared" si="284"/>
        <v>-6.5188931843561615E-2</v>
      </c>
      <c r="Z388" s="66">
        <f t="shared" si="284"/>
        <v>-6.5188931843561615E-2</v>
      </c>
      <c r="AA388" s="66">
        <f t="shared" si="284"/>
        <v>-6.5188931843561615E-2</v>
      </c>
      <c r="AB388" s="66">
        <f t="shared" si="284"/>
        <v>-6.5188931843561615E-2</v>
      </c>
      <c r="AC388" s="66">
        <f t="shared" si="284"/>
        <v>-6.5188931843561615E-2</v>
      </c>
    </row>
    <row r="389" spans="1:29" x14ac:dyDescent="0.3">
      <c r="A389" s="30" t="str">
        <f t="shared" si="280"/>
        <v>Opex fix (admin, crew, insurance)</v>
      </c>
      <c r="B389" s="66">
        <f>B359/B370</f>
        <v>10.068627450980392</v>
      </c>
      <c r="C389" s="66">
        <f t="shared" ref="C389:AC389" si="285">C359/C370</f>
        <v>10.068627450980392</v>
      </c>
      <c r="D389" s="66">
        <f t="shared" si="285"/>
        <v>10.068627450980392</v>
      </c>
      <c r="E389" s="66">
        <f t="shared" si="285"/>
        <v>10.068627450980392</v>
      </c>
      <c r="F389" s="66">
        <f t="shared" si="285"/>
        <v>10.068627450980392</v>
      </c>
      <c r="G389" s="66">
        <f t="shared" si="285"/>
        <v>10.068627450980392</v>
      </c>
      <c r="H389" s="66">
        <f t="shared" si="285"/>
        <v>10.068627450980392</v>
      </c>
      <c r="I389" s="66">
        <f t="shared" si="285"/>
        <v>10.068627450980392</v>
      </c>
      <c r="J389" s="66">
        <f t="shared" si="285"/>
        <v>10.068627450980392</v>
      </c>
      <c r="K389" s="66">
        <f t="shared" si="285"/>
        <v>10.068627450980392</v>
      </c>
      <c r="L389" s="66">
        <f t="shared" si="285"/>
        <v>10.068627450980392</v>
      </c>
      <c r="M389" s="66">
        <f t="shared" si="285"/>
        <v>10.068627450980392</v>
      </c>
      <c r="N389" s="66">
        <f t="shared" si="285"/>
        <v>10.068627450980392</v>
      </c>
      <c r="O389" s="66">
        <f t="shared" si="285"/>
        <v>10.068627450980392</v>
      </c>
      <c r="P389" s="66">
        <f t="shared" si="285"/>
        <v>10.068627450980392</v>
      </c>
      <c r="Q389" s="66">
        <f t="shared" si="285"/>
        <v>10.068627450980392</v>
      </c>
      <c r="R389" s="66">
        <f t="shared" si="285"/>
        <v>10.068627450980392</v>
      </c>
      <c r="S389" s="66">
        <f t="shared" si="285"/>
        <v>10.068627450980392</v>
      </c>
      <c r="T389" s="66">
        <f t="shared" si="285"/>
        <v>10.068627450980392</v>
      </c>
      <c r="U389" s="66">
        <f t="shared" si="285"/>
        <v>10.068627450980392</v>
      </c>
      <c r="V389" s="66">
        <f t="shared" si="285"/>
        <v>10.068627450980392</v>
      </c>
      <c r="W389" s="66">
        <f t="shared" si="285"/>
        <v>10.068627450980392</v>
      </c>
      <c r="X389" s="66">
        <f t="shared" si="285"/>
        <v>10.068627450980392</v>
      </c>
      <c r="Y389" s="66">
        <f t="shared" si="285"/>
        <v>10.068627450980392</v>
      </c>
      <c r="Z389" s="66">
        <f t="shared" si="285"/>
        <v>10.068627450980392</v>
      </c>
      <c r="AA389" s="66">
        <f t="shared" si="285"/>
        <v>10.068627450980392</v>
      </c>
      <c r="AB389" s="66">
        <f t="shared" si="285"/>
        <v>10.068627450980392</v>
      </c>
      <c r="AC389" s="66">
        <f t="shared" si="285"/>
        <v>10.068627450980392</v>
      </c>
    </row>
    <row r="390" spans="1:29" x14ac:dyDescent="0.3">
      <c r="A390" s="30" t="str">
        <f t="shared" si="280"/>
        <v>Opex maintenance &amp; repair</v>
      </c>
      <c r="B390" s="66">
        <f>B360/B370</f>
        <v>4.0686274509803919</v>
      </c>
      <c r="C390" s="66">
        <f t="shared" ref="C390:AC390" si="286">C360/C370</f>
        <v>4.0686274509803919</v>
      </c>
      <c r="D390" s="66">
        <f t="shared" si="286"/>
        <v>4.0686274509803919</v>
      </c>
      <c r="E390" s="66">
        <f t="shared" si="286"/>
        <v>4.0686274509803919</v>
      </c>
      <c r="F390" s="66">
        <f t="shared" si="286"/>
        <v>4.0686274509803919</v>
      </c>
      <c r="G390" s="66">
        <f t="shared" si="286"/>
        <v>4.0686274509803919</v>
      </c>
      <c r="H390" s="66">
        <f t="shared" si="286"/>
        <v>4.0686274509803919</v>
      </c>
      <c r="I390" s="66">
        <f t="shared" si="286"/>
        <v>4.0686274509803919</v>
      </c>
      <c r="J390" s="66">
        <f t="shared" si="286"/>
        <v>4.0686274509803919</v>
      </c>
      <c r="K390" s="66">
        <f t="shared" si="286"/>
        <v>4.0686274509803919</v>
      </c>
      <c r="L390" s="66">
        <f t="shared" si="286"/>
        <v>4.0686274509803919</v>
      </c>
      <c r="M390" s="66">
        <f t="shared" si="286"/>
        <v>4.0686274509803919</v>
      </c>
      <c r="N390" s="66">
        <f t="shared" si="286"/>
        <v>4.0686274509803919</v>
      </c>
      <c r="O390" s="66">
        <f t="shared" si="286"/>
        <v>4.0686274509803919</v>
      </c>
      <c r="P390" s="66">
        <f t="shared" si="286"/>
        <v>4.0686274509803919</v>
      </c>
      <c r="Q390" s="66">
        <f t="shared" si="286"/>
        <v>4.0686274509803919</v>
      </c>
      <c r="R390" s="66">
        <f t="shared" si="286"/>
        <v>4.0686274509803919</v>
      </c>
      <c r="S390" s="66">
        <f t="shared" si="286"/>
        <v>4.0686274509803919</v>
      </c>
      <c r="T390" s="66">
        <f t="shared" si="286"/>
        <v>4.0686274509803919</v>
      </c>
      <c r="U390" s="66">
        <f t="shared" si="286"/>
        <v>4.0686274509803919</v>
      </c>
      <c r="V390" s="66">
        <f t="shared" si="286"/>
        <v>4.0686274509803919</v>
      </c>
      <c r="W390" s="66">
        <f t="shared" si="286"/>
        <v>4.0686274509803919</v>
      </c>
      <c r="X390" s="66">
        <f t="shared" si="286"/>
        <v>4.0686274509803919</v>
      </c>
      <c r="Y390" s="66">
        <f t="shared" si="286"/>
        <v>4.0686274509803919</v>
      </c>
      <c r="Z390" s="66">
        <f t="shared" si="286"/>
        <v>4.0686274509803919</v>
      </c>
      <c r="AA390" s="66">
        <f t="shared" si="286"/>
        <v>4.0686274509803919</v>
      </c>
      <c r="AB390" s="66">
        <f t="shared" si="286"/>
        <v>4.0686274509803919</v>
      </c>
      <c r="AC390" s="66">
        <f t="shared" si="286"/>
        <v>4.0686274509803919</v>
      </c>
    </row>
    <row r="391" spans="1:29" x14ac:dyDescent="0.3">
      <c r="A391" s="30" t="str">
        <f t="shared" si="280"/>
        <v>Opex var (mode-fees)</v>
      </c>
      <c r="B391" s="66">
        <f>B361*B370/B370</f>
        <v>0.81280569096848254</v>
      </c>
      <c r="C391" s="66">
        <f t="shared" ref="C391:AC391" si="287">C361*C370/C370</f>
        <v>0.81280569096848254</v>
      </c>
      <c r="D391" s="66">
        <f t="shared" si="287"/>
        <v>0.81280569096848254</v>
      </c>
      <c r="E391" s="66">
        <f t="shared" si="287"/>
        <v>0.81280569096848254</v>
      </c>
      <c r="F391" s="66">
        <f t="shared" si="287"/>
        <v>0.81280569096848254</v>
      </c>
      <c r="G391" s="66">
        <f t="shared" si="287"/>
        <v>0.81280569096848254</v>
      </c>
      <c r="H391" s="66">
        <f t="shared" si="287"/>
        <v>0.81280569096848254</v>
      </c>
      <c r="I391" s="66">
        <f t="shared" si="287"/>
        <v>0.81280569096848254</v>
      </c>
      <c r="J391" s="66">
        <f t="shared" si="287"/>
        <v>0.81280569096848254</v>
      </c>
      <c r="K391" s="66">
        <f t="shared" si="287"/>
        <v>0.81280569096848254</v>
      </c>
      <c r="L391" s="66">
        <f t="shared" si="287"/>
        <v>0.81280569096848254</v>
      </c>
      <c r="M391" s="66">
        <f t="shared" si="287"/>
        <v>0.81280569096848254</v>
      </c>
      <c r="N391" s="66">
        <f t="shared" si="287"/>
        <v>0.81280569096848254</v>
      </c>
      <c r="O391" s="66">
        <f t="shared" si="287"/>
        <v>0.81280569096848254</v>
      </c>
      <c r="P391" s="66">
        <f t="shared" si="287"/>
        <v>0.81280569096848254</v>
      </c>
      <c r="Q391" s="66">
        <f t="shared" si="287"/>
        <v>0.81280569096848254</v>
      </c>
      <c r="R391" s="66">
        <f t="shared" si="287"/>
        <v>0.81280569096848254</v>
      </c>
      <c r="S391" s="66">
        <f t="shared" si="287"/>
        <v>0.81280569096848254</v>
      </c>
      <c r="T391" s="66">
        <f t="shared" si="287"/>
        <v>0.81280569096848254</v>
      </c>
      <c r="U391" s="66">
        <f t="shared" si="287"/>
        <v>0.81280569096848254</v>
      </c>
      <c r="V391" s="66">
        <f t="shared" si="287"/>
        <v>0.81280569096848254</v>
      </c>
      <c r="W391" s="66">
        <f t="shared" si="287"/>
        <v>0.81280569096848254</v>
      </c>
      <c r="X391" s="66">
        <f t="shared" si="287"/>
        <v>0.81280569096848254</v>
      </c>
      <c r="Y391" s="66">
        <f t="shared" si="287"/>
        <v>0.81280569096848254</v>
      </c>
      <c r="Z391" s="66">
        <f t="shared" si="287"/>
        <v>0.81280569096848254</v>
      </c>
      <c r="AA391" s="66">
        <f t="shared" si="287"/>
        <v>0.81280569096848254</v>
      </c>
      <c r="AB391" s="66">
        <f t="shared" si="287"/>
        <v>0.81280569096848254</v>
      </c>
      <c r="AC391" s="66">
        <f t="shared" si="287"/>
        <v>0.81280569096848254</v>
      </c>
    </row>
    <row r="392" spans="1:29" x14ac:dyDescent="0.3">
      <c r="A392" s="30" t="str">
        <f t="shared" si="280"/>
        <v>Fuel Cost</v>
      </c>
      <c r="B392" s="66">
        <f>B362*B363*B370/B370</f>
        <v>38.813806562126089</v>
      </c>
      <c r="C392" s="66">
        <f t="shared" ref="C392:AC392" si="288">C362*C363*C370/C370</f>
        <v>38.811127132690224</v>
      </c>
      <c r="D392" s="66">
        <f t="shared" si="288"/>
        <v>38.807291589132269</v>
      </c>
      <c r="E392" s="66">
        <f t="shared" si="288"/>
        <v>38.801804574345127</v>
      </c>
      <c r="F392" s="66">
        <f t="shared" si="288"/>
        <v>38.79396241944437</v>
      </c>
      <c r="G392" s="66">
        <f t="shared" si="288"/>
        <v>38.782769969641045</v>
      </c>
      <c r="H392" s="66">
        <f t="shared" si="288"/>
        <v>38.766829175312601</v>
      </c>
      <c r="I392" s="66">
        <f t="shared" si="288"/>
        <v>38.744195532507597</v>
      </c>
      <c r="J392" s="66">
        <f t="shared" si="288"/>
        <v>38.712205053356911</v>
      </c>
      <c r="K392" s="66">
        <f t="shared" si="288"/>
        <v>38.667290997785422</v>
      </c>
      <c r="L392" s="66">
        <f t="shared" si="288"/>
        <v>38.604844156233987</v>
      </c>
      <c r="M392" s="66">
        <f t="shared" si="288"/>
        <v>38.519231872607968</v>
      </c>
      <c r="N392" s="66">
        <f t="shared" si="288"/>
        <v>38.404178137256018</v>
      </c>
      <c r="O392" s="66">
        <f t="shared" si="288"/>
        <v>38.253780678403992</v>
      </c>
      <c r="P392" s="66">
        <f t="shared" si="288"/>
        <v>38.064380499449811</v>
      </c>
      <c r="Q392" s="66">
        <f t="shared" si="288"/>
        <v>37.837105721437787</v>
      </c>
      <c r="R392" s="66">
        <f t="shared" si="288"/>
        <v>37.580109390239954</v>
      </c>
      <c r="S392" s="66">
        <f t="shared" si="288"/>
        <v>37.308799417823828</v>
      </c>
      <c r="T392" s="66">
        <f t="shared" si="288"/>
        <v>37.04282831819377</v>
      </c>
      <c r="U392" s="66">
        <f t="shared" si="288"/>
        <v>36.800709351569914</v>
      </c>
      <c r="V392" s="66">
        <f t="shared" si="288"/>
        <v>36.594942708343517</v>
      </c>
      <c r="W392" s="66">
        <f t="shared" si="288"/>
        <v>36.430160477837113</v>
      </c>
      <c r="X392" s="66">
        <f t="shared" si="288"/>
        <v>36.304424322403428</v>
      </c>
      <c r="Y392" s="66">
        <f t="shared" si="288"/>
        <v>36.211998164105417</v>
      </c>
      <c r="Z392" s="66">
        <f t="shared" si="288"/>
        <v>36.145914798020549</v>
      </c>
      <c r="AA392" s="66">
        <f t="shared" si="288"/>
        <v>36.099600117563483</v>
      </c>
      <c r="AB392" s="66">
        <f t="shared" si="288"/>
        <v>36.067593826644895</v>
      </c>
      <c r="AC392" s="66">
        <f t="shared" si="288"/>
        <v>36.045690326834659</v>
      </c>
    </row>
    <row r="393" spans="1:29" ht="15" thickBot="1" x14ac:dyDescent="0.35">
      <c r="A393" s="59" t="str">
        <f>A344</f>
        <v>Emission Cost</v>
      </c>
      <c r="B393" s="66">
        <f>B364</f>
        <v>17.334785285869845</v>
      </c>
      <c r="C393" s="66">
        <f t="shared" ref="C393:AC393" si="289">C364</f>
        <v>17.371592778833971</v>
      </c>
      <c r="D393" s="66">
        <f t="shared" si="289"/>
        <v>17.424281885191313</v>
      </c>
      <c r="E393" s="66">
        <f t="shared" si="289"/>
        <v>17.499657357099085</v>
      </c>
      <c r="F393" s="66">
        <f t="shared" si="289"/>
        <v>17.607385538878944</v>
      </c>
      <c r="G393" s="66">
        <f t="shared" si="289"/>
        <v>17.761136935304318</v>
      </c>
      <c r="H393" s="66">
        <f t="shared" si="289"/>
        <v>17.980116643160411</v>
      </c>
      <c r="I393" s="66">
        <f t="shared" si="289"/>
        <v>18.291036437183369</v>
      </c>
      <c r="J393" s="66">
        <f t="shared" si="289"/>
        <v>18.730491688550217</v>
      </c>
      <c r="K393" s="66">
        <f t="shared" si="289"/>
        <v>19.347478933039792</v>
      </c>
      <c r="L393" s="66">
        <f t="shared" si="289"/>
        <v>20.2053151761856</v>
      </c>
      <c r="M393" s="66">
        <f t="shared" si="289"/>
        <v>21.381376573820816</v>
      </c>
      <c r="N393" s="66">
        <f t="shared" si="289"/>
        <v>22.961877070598074</v>
      </c>
      <c r="O393" s="66">
        <f t="shared" si="289"/>
        <v>25.027896550126819</v>
      </c>
      <c r="P393" s="66">
        <f t="shared" si="289"/>
        <v>27.629698881977127</v>
      </c>
      <c r="Q393" s="66">
        <f t="shared" si="289"/>
        <v>30.751786995449869</v>
      </c>
      <c r="R393" s="66">
        <f t="shared" si="289"/>
        <v>34.282161979674356</v>
      </c>
      <c r="S393" s="66">
        <f t="shared" si="289"/>
        <v>38.009164365756064</v>
      </c>
      <c r="T393" s="66">
        <f t="shared" si="289"/>
        <v>41.662826316042121</v>
      </c>
      <c r="U393" s="66">
        <f t="shared" si="289"/>
        <v>44.988829994737316</v>
      </c>
      <c r="V393" s="66">
        <f t="shared" si="289"/>
        <v>47.815459489596307</v>
      </c>
      <c r="W393" s="66">
        <f t="shared" si="289"/>
        <v>50.07908349431699</v>
      </c>
      <c r="X393" s="66">
        <f t="shared" si="289"/>
        <v>51.806329076721653</v>
      </c>
      <c r="Y393" s="66">
        <f t="shared" si="289"/>
        <v>53.075993105085033</v>
      </c>
      <c r="Z393" s="66">
        <f t="shared" si="289"/>
        <v>53.98378451756151</v>
      </c>
      <c r="AA393" s="66">
        <f t="shared" si="289"/>
        <v>54.620012235388991</v>
      </c>
      <c r="AB393" s="66">
        <f t="shared" si="289"/>
        <v>55.059684694019481</v>
      </c>
      <c r="AC393" s="66">
        <f t="shared" si="289"/>
        <v>55.360574467179326</v>
      </c>
    </row>
    <row r="394" spans="1:29" ht="15" thickBot="1" x14ac:dyDescent="0.35">
      <c r="A394" s="31" t="s">
        <v>63</v>
      </c>
      <c r="B394" s="76">
        <f>B385+B386+B387-B388+B389+B390+B391+B392+B393</f>
        <v>80.617310276253917</v>
      </c>
      <c r="C394" s="76">
        <f t="shared" ref="C394:AC394" si="290">C385+C386+C387-C388+C389+C390+C391+C392+C393</f>
        <v>80.651902885374938</v>
      </c>
      <c r="D394" s="76">
        <f t="shared" si="290"/>
        <v>80.701421434843411</v>
      </c>
      <c r="E394" s="76">
        <f t="shared" si="290"/>
        <v>80.772261202158163</v>
      </c>
      <c r="F394" s="76">
        <f t="shared" si="290"/>
        <v>80.873506861221642</v>
      </c>
      <c r="G394" s="76">
        <f t="shared" si="290"/>
        <v>81.018006296799527</v>
      </c>
      <c r="H394" s="76">
        <f t="shared" si="290"/>
        <v>81.22380894265433</v>
      </c>
      <c r="I394" s="76">
        <f t="shared" si="290"/>
        <v>81.516019197590865</v>
      </c>
      <c r="J394" s="76">
        <f t="shared" si="290"/>
        <v>81.929030313330955</v>
      </c>
      <c r="K394" s="76">
        <f t="shared" si="290"/>
        <v>82.508890468492311</v>
      </c>
      <c r="L394" s="76">
        <f t="shared" si="290"/>
        <v>83.315106579921093</v>
      </c>
      <c r="M394" s="76">
        <f t="shared" si="290"/>
        <v>84.420398708085258</v>
      </c>
      <c r="N394" s="76">
        <f t="shared" si="290"/>
        <v>85.905792890021758</v>
      </c>
      <c r="O394" s="76">
        <f t="shared" si="290"/>
        <v>87.847490042864834</v>
      </c>
      <c r="P394" s="76">
        <f t="shared" si="290"/>
        <v>90.292729417455121</v>
      </c>
      <c r="Q394" s="76">
        <f t="shared" si="290"/>
        <v>93.226946476356233</v>
      </c>
      <c r="R394" s="76">
        <f t="shared" si="290"/>
        <v>96.544881821719315</v>
      </c>
      <c r="S394" s="76">
        <f t="shared" si="290"/>
        <v>100.04761255267297</v>
      </c>
      <c r="T394" s="76">
        <f t="shared" si="290"/>
        <v>103.48141609451551</v>
      </c>
      <c r="U394" s="76">
        <f t="shared" si="290"/>
        <v>106.60727813853705</v>
      </c>
      <c r="V394" s="76">
        <f t="shared" si="290"/>
        <v>109.2638157446403</v>
      </c>
      <c r="W394" s="76">
        <f t="shared" si="290"/>
        <v>111.39122660819902</v>
      </c>
      <c r="X394" s="76">
        <f t="shared" si="290"/>
        <v>113.01453551832648</v>
      </c>
      <c r="Y394" s="76">
        <f t="shared" si="290"/>
        <v>114.20779775683295</v>
      </c>
      <c r="Z394" s="76">
        <f t="shared" si="290"/>
        <v>115.06096299484078</v>
      </c>
      <c r="AA394" s="76">
        <f t="shared" si="290"/>
        <v>115.65890583154011</v>
      </c>
      <c r="AB394" s="76">
        <f t="shared" si="290"/>
        <v>116.07212108413833</v>
      </c>
      <c r="AC394" s="76">
        <f t="shared" si="290"/>
        <v>116.35490487279716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291">A373</f>
        <v>Capex vehicle</v>
      </c>
      <c r="B397" s="65">
        <f>((1+B358)^B365)*B358/(((1+B358)^B365)-1)*(B354)/B370/(B367)</f>
        <v>1.0347449498978036E-3</v>
      </c>
      <c r="C397" s="65">
        <f t="shared" ref="C397:AC397" si="292">((1+C358)^C365)*C358/(((1+C358)^C365)-1)*(C354)/C370/(C367)</f>
        <v>1.0347449498978036E-3</v>
      </c>
      <c r="D397" s="65">
        <f t="shared" si="292"/>
        <v>1.0347449498978036E-3</v>
      </c>
      <c r="E397" s="65">
        <f t="shared" si="292"/>
        <v>1.0347449498978036E-3</v>
      </c>
      <c r="F397" s="65">
        <f t="shared" si="292"/>
        <v>1.0347449498978036E-3</v>
      </c>
      <c r="G397" s="65">
        <f t="shared" si="292"/>
        <v>1.0347449498978036E-3</v>
      </c>
      <c r="H397" s="65">
        <f t="shared" si="292"/>
        <v>1.0347449498978036E-3</v>
      </c>
      <c r="I397" s="65">
        <f t="shared" si="292"/>
        <v>1.0347449498978036E-3</v>
      </c>
      <c r="J397" s="65">
        <f t="shared" si="292"/>
        <v>1.0347449498978036E-3</v>
      </c>
      <c r="K397" s="65">
        <f t="shared" si="292"/>
        <v>1.0347449498978036E-3</v>
      </c>
      <c r="L397" s="65">
        <f t="shared" si="292"/>
        <v>1.0347449498978036E-3</v>
      </c>
      <c r="M397" s="65">
        <f t="shared" si="292"/>
        <v>1.0347449498978036E-3</v>
      </c>
      <c r="N397" s="65">
        <f t="shared" si="292"/>
        <v>1.0347449498978036E-3</v>
      </c>
      <c r="O397" s="65">
        <f t="shared" si="292"/>
        <v>1.0347449498978036E-3</v>
      </c>
      <c r="P397" s="65">
        <f t="shared" si="292"/>
        <v>1.0347449498978036E-3</v>
      </c>
      <c r="Q397" s="65">
        <f t="shared" si="292"/>
        <v>1.0347449498978036E-3</v>
      </c>
      <c r="R397" s="65">
        <f t="shared" si="292"/>
        <v>1.0347449498978036E-3</v>
      </c>
      <c r="S397" s="65">
        <f t="shared" si="292"/>
        <v>1.0347449498978036E-3</v>
      </c>
      <c r="T397" s="65">
        <f t="shared" si="292"/>
        <v>1.0347449498978036E-3</v>
      </c>
      <c r="U397" s="65">
        <f t="shared" si="292"/>
        <v>1.0347449498978036E-3</v>
      </c>
      <c r="V397" s="65">
        <f t="shared" si="292"/>
        <v>1.0347449498978036E-3</v>
      </c>
      <c r="W397" s="65">
        <f t="shared" si="292"/>
        <v>1.0347449498978036E-3</v>
      </c>
      <c r="X397" s="65">
        <f t="shared" si="292"/>
        <v>1.0347449498978036E-3</v>
      </c>
      <c r="Y397" s="65">
        <f t="shared" si="292"/>
        <v>1.0347449498978036E-3</v>
      </c>
      <c r="Z397" s="65">
        <f t="shared" si="292"/>
        <v>1.0347449498978036E-3</v>
      </c>
      <c r="AA397" s="65">
        <f t="shared" si="292"/>
        <v>1.0347449498978036E-3</v>
      </c>
      <c r="AB397" s="65">
        <f t="shared" si="292"/>
        <v>1.0347449498978036E-3</v>
      </c>
      <c r="AC397" s="65">
        <f t="shared" si="292"/>
        <v>1.0347449498978036E-3</v>
      </c>
    </row>
    <row r="398" spans="1:29" x14ac:dyDescent="0.3">
      <c r="A398" s="30" t="str">
        <f t="shared" si="291"/>
        <v>Residual value (vehicle)</v>
      </c>
      <c r="B398" s="68">
        <f>((1+B358)^B365)*B358/(((1+B358)^B365)-1)*(B355)/B370/(B367)</f>
        <v>-1.0336086682377807E-4</v>
      </c>
      <c r="C398" s="68">
        <f t="shared" ref="C398:AC398" si="293">((1+C358)^C365)*C358/(((1+C358)^C365)-1)*(C355)/C370/(C367)</f>
        <v>-1.0331170855999495E-4</v>
      </c>
      <c r="D398" s="68">
        <f t="shared" si="293"/>
        <v>-1.0324133960030145E-4</v>
      </c>
      <c r="E398" s="68">
        <f t="shared" si="293"/>
        <v>-1.0314067185489343E-4</v>
      </c>
      <c r="F398" s="68">
        <f t="shared" si="293"/>
        <v>-1.0299679543326449E-4</v>
      </c>
      <c r="G398" s="68">
        <f t="shared" si="293"/>
        <v>-1.0279145268661591E-4</v>
      </c>
      <c r="H398" s="68">
        <f t="shared" si="293"/>
        <v>-1.0249899423929835E-4</v>
      </c>
      <c r="I398" s="68">
        <f t="shared" si="293"/>
        <v>-1.0208374516854875E-4</v>
      </c>
      <c r="J398" s="68">
        <f t="shared" si="293"/>
        <v>-1.0149683050993223E-4</v>
      </c>
      <c r="K398" s="68">
        <f t="shared" si="293"/>
        <v>-1.0067281291805218E-4</v>
      </c>
      <c r="L398" s="68">
        <f t="shared" si="293"/>
        <v>-9.9527129337690295E-5</v>
      </c>
      <c r="M398" s="68">
        <f t="shared" si="293"/>
        <v>-9.7956440009122124E-5</v>
      </c>
      <c r="N398" s="68">
        <f t="shared" si="293"/>
        <v>-9.5845601859790468E-5</v>
      </c>
      <c r="O398" s="68">
        <f t="shared" si="293"/>
        <v>-9.3086328614673487E-5</v>
      </c>
      <c r="P398" s="68">
        <f t="shared" si="293"/>
        <v>-8.9611490340159677E-5</v>
      </c>
      <c r="Q398" s="68">
        <f t="shared" si="293"/>
        <v>-8.5441784155991385E-5</v>
      </c>
      <c r="R398" s="68">
        <f t="shared" si="293"/>
        <v>-8.0726790257955685E-5</v>
      </c>
      <c r="S398" s="68">
        <f t="shared" si="293"/>
        <v>-7.5749190544932557E-5</v>
      </c>
      <c r="T398" s="68">
        <f t="shared" si="293"/>
        <v>-7.086954068392259E-5</v>
      </c>
      <c r="U398" s="68">
        <f t="shared" si="293"/>
        <v>-6.6427494974906487E-5</v>
      </c>
      <c r="V398" s="68">
        <f t="shared" si="293"/>
        <v>-6.2652388681716054E-5</v>
      </c>
      <c r="W398" s="68">
        <f t="shared" si="293"/>
        <v>-5.9629204624102501E-5</v>
      </c>
      <c r="X398" s="68">
        <f t="shared" si="293"/>
        <v>-5.7322381009659713E-5</v>
      </c>
      <c r="Y398" s="68">
        <f t="shared" si="293"/>
        <v>-5.5626680645522941E-5</v>
      </c>
      <c r="Z398" s="68">
        <f t="shared" si="293"/>
        <v>-5.4414279416293167E-5</v>
      </c>
      <c r="AA398" s="68">
        <f t="shared" si="293"/>
        <v>-5.3564565201592909E-5</v>
      </c>
      <c r="AB398" s="68">
        <f t="shared" si="293"/>
        <v>-5.2977360451717727E-5</v>
      </c>
      <c r="AC398" s="68">
        <f t="shared" si="293"/>
        <v>-5.2575506979843073E-5</v>
      </c>
    </row>
    <row r="399" spans="1:29" x14ac:dyDescent="0.3">
      <c r="A399" s="30" t="str">
        <f t="shared" si="291"/>
        <v>Capex costumization</v>
      </c>
      <c r="B399" s="66">
        <f>((1+B358)^B366)*B358/(((1+B358)^B366)-1)*(B356)/B370/(B367)</f>
        <v>6.8982996659853576E-5</v>
      </c>
      <c r="C399" s="66">
        <f t="shared" ref="C399:AC399" si="294">((1+C358)^C366)*C358/(((1+C358)^C366)-1)*(C356)/C370/(C367)</f>
        <v>6.8982996659853576E-5</v>
      </c>
      <c r="D399" s="66">
        <f t="shared" si="294"/>
        <v>6.8982996659853576E-5</v>
      </c>
      <c r="E399" s="66">
        <f t="shared" si="294"/>
        <v>6.8982996659853576E-5</v>
      </c>
      <c r="F399" s="66">
        <f t="shared" si="294"/>
        <v>6.8982996659853576E-5</v>
      </c>
      <c r="G399" s="66">
        <f t="shared" si="294"/>
        <v>6.8982996659853576E-5</v>
      </c>
      <c r="H399" s="66">
        <f t="shared" si="294"/>
        <v>6.8982996659853576E-5</v>
      </c>
      <c r="I399" s="66">
        <f t="shared" si="294"/>
        <v>6.8982996659853576E-5</v>
      </c>
      <c r="J399" s="66">
        <f t="shared" si="294"/>
        <v>6.8982996659853576E-5</v>
      </c>
      <c r="K399" s="66">
        <f t="shared" si="294"/>
        <v>6.8982996659853576E-5</v>
      </c>
      <c r="L399" s="66">
        <f t="shared" si="294"/>
        <v>6.8982996659853576E-5</v>
      </c>
      <c r="M399" s="66">
        <f t="shared" si="294"/>
        <v>6.8982996659853576E-5</v>
      </c>
      <c r="N399" s="66">
        <f t="shared" si="294"/>
        <v>6.8982996659853576E-5</v>
      </c>
      <c r="O399" s="66">
        <f t="shared" si="294"/>
        <v>6.8982996659853576E-5</v>
      </c>
      <c r="P399" s="66">
        <f t="shared" si="294"/>
        <v>6.8982996659853576E-5</v>
      </c>
      <c r="Q399" s="66">
        <f t="shared" si="294"/>
        <v>6.8982996659853576E-5</v>
      </c>
      <c r="R399" s="66">
        <f t="shared" si="294"/>
        <v>6.8982996659853576E-5</v>
      </c>
      <c r="S399" s="66">
        <f t="shared" si="294"/>
        <v>6.8982996659853576E-5</v>
      </c>
      <c r="T399" s="66">
        <f t="shared" si="294"/>
        <v>6.8982996659853576E-5</v>
      </c>
      <c r="U399" s="66">
        <f t="shared" si="294"/>
        <v>6.8982996659853576E-5</v>
      </c>
      <c r="V399" s="66">
        <f t="shared" si="294"/>
        <v>6.8982996659853576E-5</v>
      </c>
      <c r="W399" s="66">
        <f t="shared" si="294"/>
        <v>6.8982996659853576E-5</v>
      </c>
      <c r="X399" s="66">
        <f t="shared" si="294"/>
        <v>6.8982996659853576E-5</v>
      </c>
      <c r="Y399" s="66">
        <f t="shared" si="294"/>
        <v>6.8982996659853576E-5</v>
      </c>
      <c r="Z399" s="66">
        <f t="shared" si="294"/>
        <v>6.8982996659853576E-5</v>
      </c>
      <c r="AA399" s="66">
        <f t="shared" si="294"/>
        <v>6.8982996659853576E-5</v>
      </c>
      <c r="AB399" s="66">
        <f t="shared" si="294"/>
        <v>6.8982996659853576E-5</v>
      </c>
      <c r="AC399" s="66">
        <f t="shared" si="294"/>
        <v>6.8982996659853576E-5</v>
      </c>
    </row>
    <row r="400" spans="1:29" x14ac:dyDescent="0.3">
      <c r="A400" s="30" t="str">
        <f t="shared" si="291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295">((1+C358)^C366)*C358/(((1+C358)^C366)-1)*(C357)/C370/(C367)</f>
        <v>-6.8982996659853564E-6</v>
      </c>
      <c r="D400" s="69">
        <f t="shared" si="295"/>
        <v>-6.8982996659853564E-6</v>
      </c>
      <c r="E400" s="69">
        <f t="shared" si="295"/>
        <v>-6.8982996659853564E-6</v>
      </c>
      <c r="F400" s="69">
        <f t="shared" si="295"/>
        <v>-6.8982996659853564E-6</v>
      </c>
      <c r="G400" s="69">
        <f t="shared" si="295"/>
        <v>-6.8982996659853564E-6</v>
      </c>
      <c r="H400" s="69">
        <f t="shared" si="295"/>
        <v>-6.8982996659853564E-6</v>
      </c>
      <c r="I400" s="69">
        <f t="shared" si="295"/>
        <v>-6.8982996659853564E-6</v>
      </c>
      <c r="J400" s="69">
        <f t="shared" si="295"/>
        <v>-6.8982996659853564E-6</v>
      </c>
      <c r="K400" s="69">
        <f t="shared" si="295"/>
        <v>-6.8982996659853564E-6</v>
      </c>
      <c r="L400" s="69">
        <f t="shared" si="295"/>
        <v>-6.8982996659853564E-6</v>
      </c>
      <c r="M400" s="69">
        <f t="shared" si="295"/>
        <v>-6.8982996659853564E-6</v>
      </c>
      <c r="N400" s="69">
        <f t="shared" si="295"/>
        <v>-6.8982996659853564E-6</v>
      </c>
      <c r="O400" s="69">
        <f t="shared" si="295"/>
        <v>-6.8982996659853564E-6</v>
      </c>
      <c r="P400" s="69">
        <f t="shared" si="295"/>
        <v>-6.8982996659853564E-6</v>
      </c>
      <c r="Q400" s="69">
        <f t="shared" si="295"/>
        <v>-6.8982996659853564E-6</v>
      </c>
      <c r="R400" s="69">
        <f t="shared" si="295"/>
        <v>-6.8982996659853564E-6</v>
      </c>
      <c r="S400" s="69">
        <f t="shared" si="295"/>
        <v>-6.8982996659853564E-6</v>
      </c>
      <c r="T400" s="69">
        <f t="shared" si="295"/>
        <v>-6.8982996659853564E-6</v>
      </c>
      <c r="U400" s="69">
        <f t="shared" si="295"/>
        <v>-6.8982996659853564E-6</v>
      </c>
      <c r="V400" s="69">
        <f t="shared" si="295"/>
        <v>-6.8982996659853564E-6</v>
      </c>
      <c r="W400" s="69">
        <f t="shared" si="295"/>
        <v>-6.8982996659853564E-6</v>
      </c>
      <c r="X400" s="69">
        <f t="shared" si="295"/>
        <v>-6.8982996659853564E-6</v>
      </c>
      <c r="Y400" s="69">
        <f t="shared" si="295"/>
        <v>-6.8982996659853564E-6</v>
      </c>
      <c r="Z400" s="69">
        <f t="shared" si="295"/>
        <v>-6.8982996659853564E-6</v>
      </c>
      <c r="AA400" s="69">
        <f t="shared" si="295"/>
        <v>-6.8982996659853564E-6</v>
      </c>
      <c r="AB400" s="69">
        <f t="shared" si="295"/>
        <v>-6.8982996659853564E-6</v>
      </c>
      <c r="AC400" s="69">
        <f t="shared" si="295"/>
        <v>-6.8982996659853564E-6</v>
      </c>
    </row>
    <row r="401" spans="1:29" x14ac:dyDescent="0.3">
      <c r="A401" s="30" t="str">
        <f t="shared" si="291"/>
        <v>Opex fix (admin, crew, insurance)</v>
      </c>
      <c r="B401" s="66">
        <f>B359/B370/(B367)</f>
        <v>1.0654632223259673E-3</v>
      </c>
      <c r="C401" s="66">
        <f t="shared" ref="C401:AC401" si="296">C359/C370/(C367)</f>
        <v>1.0654632223259673E-3</v>
      </c>
      <c r="D401" s="66">
        <f t="shared" si="296"/>
        <v>1.0654632223259673E-3</v>
      </c>
      <c r="E401" s="66">
        <f t="shared" si="296"/>
        <v>1.0654632223259673E-3</v>
      </c>
      <c r="F401" s="66">
        <f t="shared" si="296"/>
        <v>1.0654632223259673E-3</v>
      </c>
      <c r="G401" s="66">
        <f t="shared" si="296"/>
        <v>1.0654632223259673E-3</v>
      </c>
      <c r="H401" s="66">
        <f t="shared" si="296"/>
        <v>1.0654632223259673E-3</v>
      </c>
      <c r="I401" s="66">
        <f t="shared" si="296"/>
        <v>1.0654632223259673E-3</v>
      </c>
      <c r="J401" s="66">
        <f t="shared" si="296"/>
        <v>1.0654632223259673E-3</v>
      </c>
      <c r="K401" s="66">
        <f t="shared" si="296"/>
        <v>1.0654632223259673E-3</v>
      </c>
      <c r="L401" s="66">
        <f t="shared" si="296"/>
        <v>1.0654632223259673E-3</v>
      </c>
      <c r="M401" s="66">
        <f t="shared" si="296"/>
        <v>1.0654632223259673E-3</v>
      </c>
      <c r="N401" s="66">
        <f t="shared" si="296"/>
        <v>1.0654632223259673E-3</v>
      </c>
      <c r="O401" s="66">
        <f t="shared" si="296"/>
        <v>1.0654632223259673E-3</v>
      </c>
      <c r="P401" s="66">
        <f t="shared" si="296"/>
        <v>1.0654632223259673E-3</v>
      </c>
      <c r="Q401" s="66">
        <f t="shared" si="296"/>
        <v>1.0654632223259673E-3</v>
      </c>
      <c r="R401" s="66">
        <f t="shared" si="296"/>
        <v>1.0654632223259673E-3</v>
      </c>
      <c r="S401" s="66">
        <f t="shared" si="296"/>
        <v>1.0654632223259673E-3</v>
      </c>
      <c r="T401" s="66">
        <f t="shared" si="296"/>
        <v>1.0654632223259673E-3</v>
      </c>
      <c r="U401" s="66">
        <f t="shared" si="296"/>
        <v>1.0654632223259673E-3</v>
      </c>
      <c r="V401" s="66">
        <f t="shared" si="296"/>
        <v>1.0654632223259673E-3</v>
      </c>
      <c r="W401" s="66">
        <f t="shared" si="296"/>
        <v>1.0654632223259673E-3</v>
      </c>
      <c r="X401" s="66">
        <f t="shared" si="296"/>
        <v>1.0654632223259673E-3</v>
      </c>
      <c r="Y401" s="66">
        <f t="shared" si="296"/>
        <v>1.0654632223259673E-3</v>
      </c>
      <c r="Z401" s="66">
        <f t="shared" si="296"/>
        <v>1.0654632223259673E-3</v>
      </c>
      <c r="AA401" s="66">
        <f t="shared" si="296"/>
        <v>1.0654632223259673E-3</v>
      </c>
      <c r="AB401" s="66">
        <f t="shared" si="296"/>
        <v>1.0654632223259673E-3</v>
      </c>
      <c r="AC401" s="66">
        <f t="shared" si="296"/>
        <v>1.0654632223259673E-3</v>
      </c>
    </row>
    <row r="402" spans="1:29" x14ac:dyDescent="0.3">
      <c r="A402" s="30" t="str">
        <f t="shared" si="291"/>
        <v>Opex maintenance &amp; repair</v>
      </c>
      <c r="B402" s="66">
        <f>B360/B370/(B367)</f>
        <v>4.305425874053325E-4</v>
      </c>
      <c r="C402" s="66">
        <f t="shared" ref="C402:AC402" si="297">C360/C370/(C367)</f>
        <v>4.305425874053325E-4</v>
      </c>
      <c r="D402" s="66">
        <f t="shared" si="297"/>
        <v>4.305425874053325E-4</v>
      </c>
      <c r="E402" s="66">
        <f t="shared" si="297"/>
        <v>4.305425874053325E-4</v>
      </c>
      <c r="F402" s="66">
        <f t="shared" si="297"/>
        <v>4.305425874053325E-4</v>
      </c>
      <c r="G402" s="66">
        <f t="shared" si="297"/>
        <v>4.305425874053325E-4</v>
      </c>
      <c r="H402" s="66">
        <f t="shared" si="297"/>
        <v>4.305425874053325E-4</v>
      </c>
      <c r="I402" s="66">
        <f t="shared" si="297"/>
        <v>4.305425874053325E-4</v>
      </c>
      <c r="J402" s="66">
        <f t="shared" si="297"/>
        <v>4.305425874053325E-4</v>
      </c>
      <c r="K402" s="66">
        <f t="shared" si="297"/>
        <v>4.305425874053325E-4</v>
      </c>
      <c r="L402" s="66">
        <f t="shared" si="297"/>
        <v>4.305425874053325E-4</v>
      </c>
      <c r="M402" s="66">
        <f t="shared" si="297"/>
        <v>4.305425874053325E-4</v>
      </c>
      <c r="N402" s="66">
        <f t="shared" si="297"/>
        <v>4.305425874053325E-4</v>
      </c>
      <c r="O402" s="66">
        <f t="shared" si="297"/>
        <v>4.305425874053325E-4</v>
      </c>
      <c r="P402" s="66">
        <f t="shared" si="297"/>
        <v>4.305425874053325E-4</v>
      </c>
      <c r="Q402" s="66">
        <f t="shared" si="297"/>
        <v>4.305425874053325E-4</v>
      </c>
      <c r="R402" s="66">
        <f t="shared" si="297"/>
        <v>4.305425874053325E-4</v>
      </c>
      <c r="S402" s="66">
        <f t="shared" si="297"/>
        <v>4.305425874053325E-4</v>
      </c>
      <c r="T402" s="66">
        <f t="shared" si="297"/>
        <v>4.305425874053325E-4</v>
      </c>
      <c r="U402" s="66">
        <f t="shared" si="297"/>
        <v>4.305425874053325E-4</v>
      </c>
      <c r="V402" s="66">
        <f t="shared" si="297"/>
        <v>4.305425874053325E-4</v>
      </c>
      <c r="W402" s="66">
        <f t="shared" si="297"/>
        <v>4.305425874053325E-4</v>
      </c>
      <c r="X402" s="66">
        <f t="shared" si="297"/>
        <v>4.305425874053325E-4</v>
      </c>
      <c r="Y402" s="66">
        <f t="shared" si="297"/>
        <v>4.305425874053325E-4</v>
      </c>
      <c r="Z402" s="66">
        <f t="shared" si="297"/>
        <v>4.305425874053325E-4</v>
      </c>
      <c r="AA402" s="66">
        <f t="shared" si="297"/>
        <v>4.305425874053325E-4</v>
      </c>
      <c r="AB402" s="66">
        <f t="shared" si="297"/>
        <v>4.305425874053325E-4</v>
      </c>
      <c r="AC402" s="66">
        <f t="shared" si="297"/>
        <v>4.305425874053325E-4</v>
      </c>
    </row>
    <row r="403" spans="1:29" x14ac:dyDescent="0.3">
      <c r="A403" s="30" t="str">
        <f t="shared" si="291"/>
        <v>Opex var (mode-fees)</v>
      </c>
      <c r="B403" s="66">
        <f>B361*B370/B370/(B367)</f>
        <v>8.6011184229469056E-5</v>
      </c>
      <c r="C403" s="66">
        <f t="shared" ref="C403:AC403" si="298">C361*C370/C370/(C367)</f>
        <v>8.6011184229469056E-5</v>
      </c>
      <c r="D403" s="66">
        <f t="shared" si="298"/>
        <v>8.6011184229469056E-5</v>
      </c>
      <c r="E403" s="66">
        <f t="shared" si="298"/>
        <v>8.6011184229469056E-5</v>
      </c>
      <c r="F403" s="66">
        <f t="shared" si="298"/>
        <v>8.6011184229469056E-5</v>
      </c>
      <c r="G403" s="66">
        <f t="shared" si="298"/>
        <v>8.6011184229469056E-5</v>
      </c>
      <c r="H403" s="66">
        <f t="shared" si="298"/>
        <v>8.6011184229469056E-5</v>
      </c>
      <c r="I403" s="66">
        <f t="shared" si="298"/>
        <v>8.6011184229469056E-5</v>
      </c>
      <c r="J403" s="66">
        <f t="shared" si="298"/>
        <v>8.6011184229469056E-5</v>
      </c>
      <c r="K403" s="66">
        <f t="shared" si="298"/>
        <v>8.6011184229469056E-5</v>
      </c>
      <c r="L403" s="66">
        <f t="shared" si="298"/>
        <v>8.6011184229469056E-5</v>
      </c>
      <c r="M403" s="66">
        <f t="shared" si="298"/>
        <v>8.6011184229469056E-5</v>
      </c>
      <c r="N403" s="66">
        <f t="shared" si="298"/>
        <v>8.6011184229469056E-5</v>
      </c>
      <c r="O403" s="66">
        <f t="shared" si="298"/>
        <v>8.6011184229469056E-5</v>
      </c>
      <c r="P403" s="66">
        <f t="shared" si="298"/>
        <v>8.6011184229469056E-5</v>
      </c>
      <c r="Q403" s="66">
        <f t="shared" si="298"/>
        <v>8.6011184229469056E-5</v>
      </c>
      <c r="R403" s="66">
        <f t="shared" si="298"/>
        <v>8.6011184229469056E-5</v>
      </c>
      <c r="S403" s="66">
        <f t="shared" si="298"/>
        <v>8.6011184229469056E-5</v>
      </c>
      <c r="T403" s="66">
        <f t="shared" si="298"/>
        <v>8.6011184229469056E-5</v>
      </c>
      <c r="U403" s="66">
        <f t="shared" si="298"/>
        <v>8.6011184229469056E-5</v>
      </c>
      <c r="V403" s="66">
        <f t="shared" si="298"/>
        <v>8.6011184229469056E-5</v>
      </c>
      <c r="W403" s="66">
        <f t="shared" si="298"/>
        <v>8.6011184229469056E-5</v>
      </c>
      <c r="X403" s="66">
        <f t="shared" si="298"/>
        <v>8.6011184229469056E-5</v>
      </c>
      <c r="Y403" s="66">
        <f t="shared" si="298"/>
        <v>8.6011184229469056E-5</v>
      </c>
      <c r="Z403" s="66">
        <f t="shared" si="298"/>
        <v>8.6011184229469056E-5</v>
      </c>
      <c r="AA403" s="66">
        <f t="shared" si="298"/>
        <v>8.6011184229469056E-5</v>
      </c>
      <c r="AB403" s="66">
        <f t="shared" si="298"/>
        <v>8.6011184229469056E-5</v>
      </c>
      <c r="AC403" s="66">
        <f t="shared" si="298"/>
        <v>8.6011184229469056E-5</v>
      </c>
    </row>
    <row r="404" spans="1:29" x14ac:dyDescent="0.3">
      <c r="A404" s="30" t="str">
        <f t="shared" si="291"/>
        <v>Fuel Cost</v>
      </c>
      <c r="B404" s="66">
        <f>B362*B363*B370/B370/(B367)</f>
        <v>4.1072811176853007E-3</v>
      </c>
      <c r="C404" s="66">
        <f t="shared" ref="C404:AC404" si="299">C362*C363*C370/C370/(C367)</f>
        <v>4.1069975801788601E-3</v>
      </c>
      <c r="D404" s="66">
        <f t="shared" si="299"/>
        <v>4.106591702553679E-3</v>
      </c>
      <c r="E404" s="66">
        <f t="shared" si="299"/>
        <v>4.1060110660682677E-3</v>
      </c>
      <c r="F404" s="66">
        <f t="shared" si="299"/>
        <v>4.1051812084068112E-3</v>
      </c>
      <c r="G404" s="66">
        <f t="shared" si="299"/>
        <v>4.1039968221842377E-3</v>
      </c>
      <c r="H404" s="66">
        <f t="shared" si="299"/>
        <v>4.1023099656415452E-3</v>
      </c>
      <c r="I404" s="66">
        <f t="shared" si="299"/>
        <v>4.0999148711648248E-3</v>
      </c>
      <c r="J404" s="66">
        <f t="shared" si="299"/>
        <v>4.0965296352758638E-3</v>
      </c>
      <c r="K404" s="66">
        <f t="shared" si="299"/>
        <v>4.0917768251624784E-3</v>
      </c>
      <c r="L404" s="66">
        <f t="shared" si="299"/>
        <v>4.0851686937813745E-3</v>
      </c>
      <c r="M404" s="66">
        <f t="shared" si="299"/>
        <v>4.076109192868568E-3</v>
      </c>
      <c r="N404" s="66">
        <f t="shared" si="299"/>
        <v>4.0639341944186261E-3</v>
      </c>
      <c r="O404" s="66">
        <f t="shared" si="299"/>
        <v>4.0480191194078299E-3</v>
      </c>
      <c r="P404" s="66">
        <f t="shared" si="299"/>
        <v>4.0279767724285516E-3</v>
      </c>
      <c r="Q404" s="66">
        <f t="shared" si="299"/>
        <v>4.0039265313690777E-3</v>
      </c>
      <c r="R404" s="66">
        <f t="shared" si="299"/>
        <v>3.9767311524063443E-3</v>
      </c>
      <c r="S404" s="66">
        <f t="shared" si="299"/>
        <v>3.9480211024152199E-3</v>
      </c>
      <c r="T404" s="66">
        <f t="shared" si="299"/>
        <v>3.9198760125072774E-3</v>
      </c>
      <c r="U404" s="66">
        <f t="shared" si="299"/>
        <v>3.894254957838086E-3</v>
      </c>
      <c r="V404" s="66">
        <f t="shared" si="299"/>
        <v>3.8724807098776209E-3</v>
      </c>
      <c r="W404" s="66">
        <f t="shared" si="299"/>
        <v>3.8550434368081602E-3</v>
      </c>
      <c r="X404" s="66">
        <f t="shared" si="299"/>
        <v>3.8417380235347544E-3</v>
      </c>
      <c r="Y404" s="66">
        <f t="shared" si="299"/>
        <v>3.8319574776831127E-3</v>
      </c>
      <c r="Z404" s="66">
        <f t="shared" si="299"/>
        <v>3.8249645288910635E-3</v>
      </c>
      <c r="AA404" s="66">
        <f t="shared" si="299"/>
        <v>3.8200635045040725E-3</v>
      </c>
      <c r="AB404" s="66">
        <f t="shared" si="299"/>
        <v>3.8166765954121581E-3</v>
      </c>
      <c r="AC404" s="66">
        <f t="shared" si="299"/>
        <v>3.8143587647444083E-3</v>
      </c>
    </row>
    <row r="405" spans="1:29" x14ac:dyDescent="0.3">
      <c r="A405" s="59" t="str">
        <f>A368</f>
        <v>Market failure (av. utilization)</v>
      </c>
      <c r="B405" s="66">
        <f t="shared" ref="B405:AC405" si="300">B394/B368-B394/B367</f>
        <v>8.1963859394884164E-3</v>
      </c>
      <c r="C405" s="66">
        <f t="shared" si="300"/>
        <v>8.1999029803576547E-3</v>
      </c>
      <c r="D405" s="66">
        <f t="shared" si="300"/>
        <v>8.2049375460261989E-3</v>
      </c>
      <c r="E405" s="66">
        <f t="shared" si="300"/>
        <v>8.212139846261542E-3</v>
      </c>
      <c r="F405" s="66">
        <f t="shared" si="300"/>
        <v>8.2224335225642934E-3</v>
      </c>
      <c r="G405" s="66">
        <f t="shared" si="300"/>
        <v>8.2371248232040208E-3</v>
      </c>
      <c r="H405" s="66">
        <f t="shared" si="300"/>
        <v>8.2580488394855545E-3</v>
      </c>
      <c r="I405" s="66">
        <f t="shared" si="300"/>
        <v>8.2877579431101835E-3</v>
      </c>
      <c r="J405" s="66">
        <f t="shared" si="300"/>
        <v>8.3297489062210128E-3</v>
      </c>
      <c r="K405" s="66">
        <f t="shared" si="300"/>
        <v>8.3887034608488911E-3</v>
      </c>
      <c r="L405" s="66">
        <f t="shared" si="300"/>
        <v>8.4706716929476792E-3</v>
      </c>
      <c r="M405" s="66">
        <f t="shared" si="300"/>
        <v>8.583047072717457E-3</v>
      </c>
      <c r="N405" s="66">
        <f t="shared" si="300"/>
        <v>8.7340675414691715E-3</v>
      </c>
      <c r="O405" s="66">
        <f t="shared" si="300"/>
        <v>8.9314804691365841E-3</v>
      </c>
      <c r="P405" s="66">
        <f t="shared" si="300"/>
        <v>9.1800886844180963E-3</v>
      </c>
      <c r="Q405" s="66">
        <f t="shared" si="300"/>
        <v>9.4784114064559721E-3</v>
      </c>
      <c r="R405" s="66">
        <f t="shared" si="300"/>
        <v>9.8157468809300687E-3</v>
      </c>
      <c r="S405" s="66">
        <f t="shared" si="300"/>
        <v>1.0171870557279751E-2</v>
      </c>
      <c r="T405" s="66">
        <f t="shared" si="300"/>
        <v>1.0520986385789521E-2</v>
      </c>
      <c r="U405" s="66">
        <f t="shared" si="300"/>
        <v>1.0838793710526642E-2</v>
      </c>
      <c r="V405" s="66">
        <f t="shared" si="300"/>
        <v>1.1108884679919856E-2</v>
      </c>
      <c r="W405" s="66">
        <f t="shared" si="300"/>
        <v>1.1325179175851751E-2</v>
      </c>
      <c r="X405" s="66">
        <f t="shared" si="300"/>
        <v>1.1490221476082576E-2</v>
      </c>
      <c r="Y405" s="66">
        <f t="shared" si="300"/>
        <v>1.1611540803163843E-2</v>
      </c>
      <c r="Z405" s="66">
        <f t="shared" si="300"/>
        <v>1.1698282366940966E-2</v>
      </c>
      <c r="AA405" s="66">
        <f t="shared" si="300"/>
        <v>1.1759075393184907E-2</v>
      </c>
      <c r="AB405" s="66">
        <f t="shared" si="300"/>
        <v>1.1801087110950886E-2</v>
      </c>
      <c r="AC405" s="66">
        <f t="shared" si="300"/>
        <v>1.1829837822942339E-2</v>
      </c>
    </row>
    <row r="406" spans="1:29" x14ac:dyDescent="0.3">
      <c r="A406" s="59" t="str">
        <f>A369</f>
        <v>Payload loss (fuel)</v>
      </c>
      <c r="B406" s="66">
        <f>B394/(B367-B369)-B394/B367</f>
        <v>0</v>
      </c>
      <c r="C406" s="66">
        <f t="shared" ref="C406:AC406" si="301">C394/(C367-C369)-C394/C367</f>
        <v>0</v>
      </c>
      <c r="D406" s="66">
        <f t="shared" si="301"/>
        <v>0</v>
      </c>
      <c r="E406" s="66">
        <f t="shared" si="301"/>
        <v>0</v>
      </c>
      <c r="F406" s="66">
        <f t="shared" si="301"/>
        <v>0</v>
      </c>
      <c r="G406" s="66">
        <f t="shared" si="301"/>
        <v>0</v>
      </c>
      <c r="H406" s="66">
        <f t="shared" si="301"/>
        <v>0</v>
      </c>
      <c r="I406" s="66">
        <f t="shared" si="301"/>
        <v>0</v>
      </c>
      <c r="J406" s="66">
        <f t="shared" si="301"/>
        <v>0</v>
      </c>
      <c r="K406" s="66">
        <f t="shared" si="301"/>
        <v>0</v>
      </c>
      <c r="L406" s="66">
        <f t="shared" si="301"/>
        <v>0</v>
      </c>
      <c r="M406" s="66">
        <f t="shared" si="301"/>
        <v>0</v>
      </c>
      <c r="N406" s="66">
        <f t="shared" si="301"/>
        <v>0</v>
      </c>
      <c r="O406" s="66">
        <f t="shared" si="301"/>
        <v>0</v>
      </c>
      <c r="P406" s="66">
        <f t="shared" si="301"/>
        <v>0</v>
      </c>
      <c r="Q406" s="66">
        <f t="shared" si="301"/>
        <v>0</v>
      </c>
      <c r="R406" s="66">
        <f t="shared" si="301"/>
        <v>0</v>
      </c>
      <c r="S406" s="66">
        <f t="shared" si="301"/>
        <v>0</v>
      </c>
      <c r="T406" s="66">
        <f t="shared" si="301"/>
        <v>0</v>
      </c>
      <c r="U406" s="66">
        <f t="shared" si="301"/>
        <v>0</v>
      </c>
      <c r="V406" s="66">
        <f t="shared" si="301"/>
        <v>0</v>
      </c>
      <c r="W406" s="66">
        <f t="shared" si="301"/>
        <v>0</v>
      </c>
      <c r="X406" s="66">
        <f t="shared" si="301"/>
        <v>0</v>
      </c>
      <c r="Y406" s="66">
        <f t="shared" si="301"/>
        <v>0</v>
      </c>
      <c r="Z406" s="66">
        <f t="shared" si="301"/>
        <v>0</v>
      </c>
      <c r="AA406" s="66">
        <f t="shared" si="301"/>
        <v>0</v>
      </c>
      <c r="AB406" s="66">
        <f t="shared" si="301"/>
        <v>0</v>
      </c>
      <c r="AC406" s="66">
        <f t="shared" si="301"/>
        <v>0</v>
      </c>
    </row>
    <row r="407" spans="1:29" ht="15" thickBot="1" x14ac:dyDescent="0.35">
      <c r="A407" s="59" t="str">
        <f>A344</f>
        <v>Emission Cost</v>
      </c>
      <c r="B407" s="68">
        <f>B364*B370/B370/(B367)</f>
        <v>1.8343688133195604E-3</v>
      </c>
      <c r="C407" s="68">
        <f t="shared" ref="C407:AC407" si="302">C364*C370/C370/(C367)</f>
        <v>1.8382637861199969E-3</v>
      </c>
      <c r="D407" s="68">
        <f t="shared" si="302"/>
        <v>1.8438393529302977E-3</v>
      </c>
      <c r="E407" s="68">
        <f t="shared" si="302"/>
        <v>1.8518155933438187E-3</v>
      </c>
      <c r="F407" s="68">
        <f t="shared" si="302"/>
        <v>1.8632154009395707E-3</v>
      </c>
      <c r="G407" s="68">
        <f t="shared" si="302"/>
        <v>1.879485389979293E-3</v>
      </c>
      <c r="H407" s="68">
        <f t="shared" si="302"/>
        <v>1.9026578458370806E-3</v>
      </c>
      <c r="I407" s="68">
        <f t="shared" si="302"/>
        <v>1.9355594113421553E-3</v>
      </c>
      <c r="J407" s="68">
        <f t="shared" si="302"/>
        <v>1.9820626125449966E-3</v>
      </c>
      <c r="K407" s="68">
        <f t="shared" si="302"/>
        <v>2.0473522680465386E-3</v>
      </c>
      <c r="L407" s="68">
        <f t="shared" si="302"/>
        <v>2.1381285900725503E-3</v>
      </c>
      <c r="M407" s="68">
        <f t="shared" si="302"/>
        <v>2.2625795316212503E-3</v>
      </c>
      <c r="N407" s="68">
        <f t="shared" si="302"/>
        <v>2.4298282614389497E-3</v>
      </c>
      <c r="O407" s="68">
        <f t="shared" si="302"/>
        <v>2.6484546613890813E-3</v>
      </c>
      <c r="P407" s="68">
        <f t="shared" si="302"/>
        <v>2.9237776594684796E-3</v>
      </c>
      <c r="Q407" s="68">
        <f t="shared" si="302"/>
        <v>3.2541573540158593E-3</v>
      </c>
      <c r="R407" s="68">
        <f t="shared" si="302"/>
        <v>3.6277420084311488E-3</v>
      </c>
      <c r="S407" s="68">
        <f t="shared" si="302"/>
        <v>4.022133795318102E-3</v>
      </c>
      <c r="T407" s="68">
        <f t="shared" si="302"/>
        <v>4.4087646895282669E-3</v>
      </c>
      <c r="U407" s="68">
        <f t="shared" si="302"/>
        <v>4.7607227507658533E-3</v>
      </c>
      <c r="V407" s="68">
        <f t="shared" si="302"/>
        <v>5.059836983026064E-3</v>
      </c>
      <c r="W407" s="68">
        <f t="shared" si="302"/>
        <v>5.2993739147425382E-3</v>
      </c>
      <c r="X407" s="68">
        <f t="shared" si="302"/>
        <v>5.4821512250499103E-3</v>
      </c>
      <c r="Y407" s="68">
        <f t="shared" si="302"/>
        <v>5.6165072068873048E-3</v>
      </c>
      <c r="Z407" s="68">
        <f t="shared" si="302"/>
        <v>5.7125697902181494E-3</v>
      </c>
      <c r="AA407" s="68">
        <f t="shared" si="302"/>
        <v>5.7798954746443379E-3</v>
      </c>
      <c r="AB407" s="68">
        <f t="shared" si="302"/>
        <v>5.8264216607428025E-3</v>
      </c>
      <c r="AC407" s="68">
        <f t="shared" si="302"/>
        <v>5.8582618483787648E-3</v>
      </c>
    </row>
    <row r="408" spans="1:29" ht="15" thickBot="1" x14ac:dyDescent="0.35">
      <c r="A408" s="31" t="s">
        <v>210</v>
      </c>
      <c r="B408" s="76">
        <f>B397+B398+B399+B400+B401+B402+B403+B404+B405+B406+B407</f>
        <v>1.6713521644521938E-2</v>
      </c>
      <c r="C408" s="67">
        <f t="shared" ref="C408:AC408" si="303">C397+C398+C399+C400+C401+C402+C403+C404+C405+C406+C407</f>
        <v>1.672069927894896E-2</v>
      </c>
      <c r="D408" s="67">
        <f t="shared" si="303"/>
        <v>1.6730973902762312E-2</v>
      </c>
      <c r="E408" s="67">
        <f t="shared" si="303"/>
        <v>1.6745672474671177E-2</v>
      </c>
      <c r="F408" s="67">
        <f t="shared" si="303"/>
        <v>1.6766679977329852E-2</v>
      </c>
      <c r="G408" s="67">
        <f t="shared" si="303"/>
        <v>1.6796662223533376E-2</v>
      </c>
      <c r="H408" s="67">
        <f t="shared" si="303"/>
        <v>1.6839364297577323E-2</v>
      </c>
      <c r="I408" s="67">
        <f t="shared" si="303"/>
        <v>1.6899995121301057E-2</v>
      </c>
      <c r="J408" s="67">
        <f t="shared" si="303"/>
        <v>1.6985690964384383E-2</v>
      </c>
      <c r="K408" s="67">
        <f t="shared" si="303"/>
        <v>1.7106006381992295E-2</v>
      </c>
      <c r="L408" s="67">
        <f t="shared" si="303"/>
        <v>1.7273288488316354E-2</v>
      </c>
      <c r="M408" s="67">
        <f t="shared" si="303"/>
        <v>1.7502625998050594E-2</v>
      </c>
      <c r="N408" s="67">
        <f t="shared" si="303"/>
        <v>1.7810831036319398E-2</v>
      </c>
      <c r="O408" s="67">
        <f t="shared" si="303"/>
        <v>1.8213714562171263E-2</v>
      </c>
      <c r="P408" s="67">
        <f t="shared" si="303"/>
        <v>1.8721078266827406E-2</v>
      </c>
      <c r="Q408" s="67">
        <f t="shared" si="303"/>
        <v>1.932990014853736E-2</v>
      </c>
      <c r="R408" s="67">
        <f t="shared" si="303"/>
        <v>2.0018339892362045E-2</v>
      </c>
      <c r="S408" s="67">
        <f t="shared" si="303"/>
        <v>2.074512290532058E-2</v>
      </c>
      <c r="T408" s="67">
        <f t="shared" si="303"/>
        <v>2.1457604187993584E-2</v>
      </c>
      <c r="U408" s="67">
        <f t="shared" si="303"/>
        <v>2.2106190565008114E-2</v>
      </c>
      <c r="V408" s="67">
        <f t="shared" si="303"/>
        <v>2.2657396624994264E-2</v>
      </c>
      <c r="W408" s="67">
        <f t="shared" si="303"/>
        <v>2.3098813963630786E-2</v>
      </c>
      <c r="X408" s="67">
        <f t="shared" si="303"/>
        <v>2.3435634984510022E-2</v>
      </c>
      <c r="Y408" s="67">
        <f t="shared" si="303"/>
        <v>2.3683225447941179E-2</v>
      </c>
      <c r="Z408" s="67">
        <f t="shared" si="303"/>
        <v>2.3860249047486327E-2</v>
      </c>
      <c r="AA408" s="67">
        <f t="shared" si="303"/>
        <v>2.3984316447984166E-2</v>
      </c>
      <c r="AB408" s="67">
        <f t="shared" si="303"/>
        <v>2.407005464750657E-2</v>
      </c>
      <c r="AC408" s="67">
        <f t="shared" si="303"/>
        <v>2.4128729569938112E-2</v>
      </c>
    </row>
    <row r="410" spans="1:29" x14ac:dyDescent="0.3">
      <c r="B410" s="40"/>
    </row>
  </sheetData>
  <conditionalFormatting sqref="Q11:AR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33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41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50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EF2AE-89C5-430D-A662-BB36471F229F}">
  <sheetPr>
    <tabColor theme="5"/>
  </sheetPr>
  <dimension ref="A1:AR410"/>
  <sheetViews>
    <sheetView topLeftCell="A4" zoomScale="80" zoomScaleNormal="80" workbookViewId="0">
      <selection activeCell="A341" sqref="A341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Input'!A141</f>
        <v>Short-sea: Dry bulk</v>
      </c>
    </row>
    <row r="2" spans="1:44" s="3" customFormat="1" ht="21" x14ac:dyDescent="0.4">
      <c r="A2" s="2" t="s">
        <v>103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Input'!$L$167</f>
        <v>30000000</v>
      </c>
      <c r="C11" s="42">
        <f>'Parameter Input'!$M$167</f>
        <v>19500000</v>
      </c>
      <c r="D11" s="1" t="s">
        <v>15</v>
      </c>
      <c r="L11" s="51">
        <f>'Parameter Input'!$O$167</f>
        <v>17</v>
      </c>
      <c r="M11" s="52">
        <v>0</v>
      </c>
      <c r="N11" s="52">
        <v>1</v>
      </c>
      <c r="O11" s="52">
        <f>'Parameter Input'!$P$167</f>
        <v>0.9</v>
      </c>
      <c r="P11" s="53">
        <f>'Parameter Input'!$Q$167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3">
      <c r="A12" s="24" t="s">
        <v>28</v>
      </c>
      <c r="B12" s="60">
        <f>'Parameter Input'!$L$168</f>
        <v>-1500000</v>
      </c>
      <c r="C12" s="61">
        <f>'Parameter Input'!$M$168</f>
        <v>-1950000</v>
      </c>
      <c r="D12" s="1" t="s">
        <v>15</v>
      </c>
      <c r="L12" s="54">
        <f>'Parameter Input'!$O$168</f>
        <v>17</v>
      </c>
      <c r="M12" s="37">
        <v>0</v>
      </c>
      <c r="N12" s="37">
        <v>1</v>
      </c>
      <c r="O12" s="37">
        <f>'Parameter Input'!$P$168</f>
        <v>0.9</v>
      </c>
      <c r="P12" s="55">
        <f>'Parameter Input'!$Q$168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3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3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3">
      <c r="A15" s="24" t="s">
        <v>79</v>
      </c>
      <c r="B15" s="92">
        <f>'Parameter Input'!$L$174</f>
        <v>0.06</v>
      </c>
      <c r="C15" s="91">
        <f>'Parameter Input'!$M$174</f>
        <v>0.06</v>
      </c>
      <c r="D15" s="1" t="s">
        <v>57</v>
      </c>
      <c r="L15" s="54">
        <f>'Parameter Input'!$O$174</f>
        <v>17</v>
      </c>
      <c r="M15" s="37">
        <v>0</v>
      </c>
      <c r="N15" s="37">
        <v>1</v>
      </c>
      <c r="O15" s="37">
        <f>'Parameter Input'!$P$174</f>
        <v>0.9</v>
      </c>
      <c r="P15" s="55">
        <f>'Parameter Input'!$Q$174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3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3">
      <c r="A17" s="24" t="s">
        <v>52</v>
      </c>
      <c r="B17" s="60">
        <f>'Parameter Input'!$L$170</f>
        <v>338823.5294117647</v>
      </c>
      <c r="C17" s="61">
        <f>'Parameter Input'!$M$170</f>
        <v>338823.5294117647</v>
      </c>
      <c r="D17" s="1" t="s">
        <v>38</v>
      </c>
      <c r="L17" s="54">
        <f>'Parameter Input'!$O$170</f>
        <v>17</v>
      </c>
      <c r="M17" s="37">
        <v>0</v>
      </c>
      <c r="N17" s="37">
        <v>1</v>
      </c>
      <c r="O17" s="37">
        <f>'Parameter Input'!$P$170</f>
        <v>0.9</v>
      </c>
      <c r="P17" s="55">
        <f>'Parameter Input'!$Q$170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3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3">
      <c r="A19" s="24" t="s">
        <v>59</v>
      </c>
      <c r="B19" s="60">
        <f>'Parameter Input'!$L$171</f>
        <v>589</v>
      </c>
      <c r="C19" s="61">
        <f>'Parameter Input'!$M$171</f>
        <v>519</v>
      </c>
      <c r="D19" s="1" t="s">
        <v>60</v>
      </c>
      <c r="L19" s="54">
        <f>'Parameter Input'!$O$171</f>
        <v>17</v>
      </c>
      <c r="M19" s="37">
        <v>0</v>
      </c>
      <c r="N19" s="37">
        <v>1</v>
      </c>
      <c r="O19" s="37">
        <f>'Parameter Input'!$P$171</f>
        <v>0.9</v>
      </c>
      <c r="P19" s="55">
        <f>'Parameter Input'!$Q$171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3">
      <c r="A20" s="24" t="s">
        <v>67</v>
      </c>
      <c r="B20" s="78">
        <f>'Parameter Input'!$L$172</f>
        <v>0.209841767378764</v>
      </c>
      <c r="C20" s="61">
        <f>'Parameter Input'!$M$172</f>
        <v>9.7564585532605996E-2</v>
      </c>
      <c r="D20" s="1" t="s">
        <v>68</v>
      </c>
      <c r="L20" s="54">
        <f>'Parameter Input'!$O$172</f>
        <v>17</v>
      </c>
      <c r="M20" s="37">
        <v>0</v>
      </c>
      <c r="N20" s="37">
        <v>1</v>
      </c>
      <c r="O20" s="37">
        <f>'Parameter Input'!$P$172</f>
        <v>0.9</v>
      </c>
      <c r="P20" s="55">
        <f>'Parameter Input'!$Q$172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3">
      <c r="A21" s="24" t="s">
        <v>206</v>
      </c>
      <c r="B21" s="115">
        <f>'Parameter Input'!$L$175</f>
        <v>2.4449056603773585</v>
      </c>
      <c r="C21" s="116">
        <f>'Parameter Input'!$M$175</f>
        <v>0</v>
      </c>
      <c r="D21" s="1" t="s">
        <v>76</v>
      </c>
      <c r="L21" s="54">
        <f>'Parameter Input'!$O$175</f>
        <v>17</v>
      </c>
      <c r="M21" s="37">
        <v>0</v>
      </c>
      <c r="N21" s="37">
        <v>1</v>
      </c>
      <c r="O21" s="37">
        <f>'Parameter Input'!$P$175</f>
        <v>0.9</v>
      </c>
      <c r="P21" s="55">
        <f>'Parameter Input'!$Q$175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60">
        <f>'Parameter Input'!$L$169</f>
        <v>25</v>
      </c>
      <c r="C22" s="61">
        <f>'Parameter Input'!$M$169</f>
        <v>25</v>
      </c>
      <c r="D22" s="1" t="s">
        <v>42</v>
      </c>
      <c r="L22" s="54">
        <f>'Parameter Input'!$O$169</f>
        <v>17</v>
      </c>
      <c r="M22" s="37">
        <v>0</v>
      </c>
      <c r="N22" s="37">
        <v>1</v>
      </c>
      <c r="O22" s="37">
        <f>'Parameter Input'!$P$169</f>
        <v>0.9</v>
      </c>
      <c r="P22" s="55">
        <f>'Parameter Input'!$Q$169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3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3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3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3">
      <c r="A26" s="24" t="s">
        <v>73</v>
      </c>
      <c r="B26" s="45">
        <f>'Parameter Input'!$L$173</f>
        <v>0.1</v>
      </c>
      <c r="C26" s="46">
        <f>'Parameter Input'!$M$173</f>
        <v>0.08</v>
      </c>
      <c r="D26" s="1" t="s">
        <v>57</v>
      </c>
      <c r="L26" s="54">
        <f>'Parameter Input'!$O$173</f>
        <v>17</v>
      </c>
      <c r="M26" s="37">
        <v>0</v>
      </c>
      <c r="N26" s="37">
        <v>1</v>
      </c>
      <c r="O26" s="37">
        <f>'Parameter Input'!$P$173</f>
        <v>0.9</v>
      </c>
      <c r="P26" s="55">
        <f>'Parameter Input'!$Q$173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" thickBot="1" x14ac:dyDescent="0.35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0" si="4">A11</f>
        <v>Capex vehicle</v>
      </c>
      <c r="B31" s="62">
        <f t="shared" ref="B31:B39" si="5">$B11+($C11-$B11)*(1-Q11)</f>
        <v>29976939.327065244</v>
      </c>
      <c r="C31" s="62">
        <f t="shared" ref="C31:C39" si="6">$B11+($C11-$B11)*(1-R11)</f>
        <v>29966962.72810192</v>
      </c>
      <c r="D31" s="62">
        <f t="shared" ref="D31:D39" si="7">$B11+($C11-$B11)*(1-S11)</f>
        <v>29952681.448896747</v>
      </c>
      <c r="E31" s="62">
        <f t="shared" ref="E31:E39" si="8">$B11+($C11-$B11)*(1-T11)</f>
        <v>29932251.074689295</v>
      </c>
      <c r="F31" s="62">
        <f t="shared" ref="F31:F39" si="9">$B11+($C11-$B11)*(1-U11)</f>
        <v>29903051.561760955</v>
      </c>
      <c r="G31" s="62">
        <f t="shared" ref="G31:G39" si="10">$B11+($C11-$B11)*(1-V11)</f>
        <v>29861377.546535794</v>
      </c>
      <c r="H31" s="62">
        <f t="shared" ref="H31:H39" si="11">$B11+($C11-$B11)*(1-W11)</f>
        <v>29802023.525100116</v>
      </c>
      <c r="I31" s="62">
        <f t="shared" ref="I31:I39" si="12">$B11+($C11-$B11)*(1-X11)</f>
        <v>29717749.323166564</v>
      </c>
      <c r="J31" s="62">
        <f t="shared" ref="J31:J39" si="13">$B11+($C11-$B11)*(1-Y11)</f>
        <v>29598635.836967241</v>
      </c>
      <c r="K31" s="62">
        <f t="shared" ref="K31:K39" si="14">$B11+($C11-$B11)*(1-Z11)</f>
        <v>29431402.651328694</v>
      </c>
      <c r="L31" s="62">
        <f t="shared" ref="L31:L39" si="15">$B11+($C11-$B11)*(1-AA11)</f>
        <v>29198887.815764856</v>
      </c>
      <c r="M31" s="62">
        <f t="shared" ref="M31:M39" si="16">$B11+($C11-$B11)*(1-AB11)</f>
        <v>28880118.674604136</v>
      </c>
      <c r="N31" s="62">
        <f t="shared" ref="N31:N39" si="17">$B11+($C11-$B11)*(1-AC11)</f>
        <v>28451727.106804334</v>
      </c>
      <c r="O31" s="62">
        <f t="shared" ref="O31:O39" si="18">$B11+($C11-$B11)*(1-AD11)</f>
        <v>27891736.568525508</v>
      </c>
      <c r="P31" s="62">
        <f t="shared" ref="P31:P39" si="19">$B11+($C11-$B11)*(1-AE11)</f>
        <v>27186523.136249304</v>
      </c>
      <c r="Q31" s="62">
        <f t="shared" ref="Q31:Q39" si="20">$B11+($C11-$B11)*(1-AF11)</f>
        <v>26340287.260672603</v>
      </c>
      <c r="R31" s="62">
        <f t="shared" ref="R31:R39" si="21">$B11+($C11-$B11)*(1-AG11)</f>
        <v>25383386.027489204</v>
      </c>
      <c r="S31" s="62">
        <f t="shared" ref="S31:S39" si="22">$B11+($C11-$B11)*(1-AH11)</f>
        <v>24373189.321684461</v>
      </c>
      <c r="T31" s="62">
        <f t="shared" ref="T31:T39" si="23">$B11+($C11-$B11)*(1-AI11)</f>
        <v>23382871.397530012</v>
      </c>
      <c r="U31" s="62">
        <f t="shared" ref="U31:U39" si="24">$B11+($C11-$B11)*(1-AJ11)</f>
        <v>22481364.606909275</v>
      </c>
      <c r="V31" s="62">
        <f t="shared" ref="V31:V39" si="25">$B11+($C11-$B11)*(1-AK11)</f>
        <v>21715212.211917363</v>
      </c>
      <c r="W31" s="62">
        <f t="shared" ref="W31:W39" si="26">$B11+($C11-$B11)*(1-AL11)</f>
        <v>21101661.353648812</v>
      </c>
      <c r="X31" s="62">
        <f t="shared" ref="X31:X39" si="27">$B11+($C11-$B11)*(1-AM11)</f>
        <v>20633494.81745955</v>
      </c>
      <c r="Y31" s="62">
        <f t="shared" ref="Y31:Y39" si="28">$B11+($C11-$B11)*(1-AN11)</f>
        <v>20289354.866349965</v>
      </c>
      <c r="Z31" s="62">
        <f t="shared" ref="Z31:Z39" si="29">$B11+($C11-$B11)*(1-AO11)</f>
        <v>20043299.779863775</v>
      </c>
      <c r="AA31" s="62">
        <f t="shared" ref="AA31:AA39" si="30">$B11+($C11-$B11)*(1-AP11)</f>
        <v>19870851.501566134</v>
      </c>
      <c r="AB31" s="62">
        <f t="shared" ref="AB31:AB39" si="31">$B11+($C11-$B11)*(1-AQ11)</f>
        <v>19751679.141762912</v>
      </c>
      <c r="AC31" s="62">
        <f t="shared" ref="AC31:AC39" si="32">$B11+($C11-$B11)*(1-AR11)</f>
        <v>19670123.557363093</v>
      </c>
    </row>
    <row r="32" spans="1:44" x14ac:dyDescent="0.3">
      <c r="A32" s="30" t="str">
        <f t="shared" si="4"/>
        <v>Residual value (vehicle)</v>
      </c>
      <c r="B32" s="62">
        <f t="shared" si="5"/>
        <v>-1500988.3145543465</v>
      </c>
      <c r="C32" s="62">
        <f t="shared" si="6"/>
        <v>-1501415.8830813463</v>
      </c>
      <c r="D32" s="62">
        <f t="shared" si="7"/>
        <v>-1502027.9379044252</v>
      </c>
      <c r="E32" s="62">
        <f t="shared" si="8"/>
        <v>-1502903.5253704586</v>
      </c>
      <c r="F32" s="62">
        <f t="shared" si="9"/>
        <v>-1504154.9330673877</v>
      </c>
      <c r="G32" s="62">
        <f t="shared" si="10"/>
        <v>-1505940.9622913231</v>
      </c>
      <c r="H32" s="62">
        <f t="shared" si="11"/>
        <v>-1508484.7060671379</v>
      </c>
      <c r="I32" s="62">
        <f t="shared" si="12"/>
        <v>-1512096.4575785759</v>
      </c>
      <c r="J32" s="62">
        <f t="shared" si="13"/>
        <v>-1517201.3212728326</v>
      </c>
      <c r="K32" s="62">
        <f t="shared" si="14"/>
        <v>-1524368.4578001988</v>
      </c>
      <c r="L32" s="62">
        <f t="shared" si="15"/>
        <v>-1534333.3793243633</v>
      </c>
      <c r="M32" s="62">
        <f t="shared" si="16"/>
        <v>-1547994.9139455371</v>
      </c>
      <c r="N32" s="62">
        <f t="shared" si="17"/>
        <v>-1566354.5525655285</v>
      </c>
      <c r="O32" s="62">
        <f t="shared" si="18"/>
        <v>-1590354.1470631924</v>
      </c>
      <c r="P32" s="62">
        <f t="shared" si="19"/>
        <v>-1620577.5798750299</v>
      </c>
      <c r="Q32" s="62">
        <f t="shared" si="20"/>
        <v>-1656844.8316854599</v>
      </c>
      <c r="R32" s="62">
        <f t="shared" si="21"/>
        <v>-1697854.8845361769</v>
      </c>
      <c r="S32" s="62">
        <f t="shared" si="22"/>
        <v>-1741149.0290706661</v>
      </c>
      <c r="T32" s="62">
        <f t="shared" si="23"/>
        <v>-1783591.2258201423</v>
      </c>
      <c r="U32" s="62">
        <f t="shared" si="24"/>
        <v>-1822227.2311324596</v>
      </c>
      <c r="V32" s="62">
        <f t="shared" si="25"/>
        <v>-1855062.3337749701</v>
      </c>
      <c r="W32" s="62">
        <f t="shared" si="26"/>
        <v>-1881357.370557908</v>
      </c>
      <c r="X32" s="62">
        <f t="shared" si="27"/>
        <v>-1901421.650680305</v>
      </c>
      <c r="Y32" s="62">
        <f t="shared" si="28"/>
        <v>-1916170.5057278587</v>
      </c>
      <c r="Z32" s="62">
        <f t="shared" si="29"/>
        <v>-1926715.723720124</v>
      </c>
      <c r="AA32" s="62">
        <f t="shared" si="30"/>
        <v>-1934106.3642185943</v>
      </c>
      <c r="AB32" s="62">
        <f t="shared" si="31"/>
        <v>-1939213.7510673038</v>
      </c>
      <c r="AC32" s="62">
        <f t="shared" si="32"/>
        <v>-1942708.9903987246</v>
      </c>
    </row>
    <row r="33" spans="1:29" x14ac:dyDescent="0.3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3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3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3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3">
      <c r="A37" s="30" t="str">
        <f t="shared" si="4"/>
        <v>Opex maintenance &amp; repair</v>
      </c>
      <c r="B37" s="62">
        <f t="shared" si="5"/>
        <v>338823.5294117647</v>
      </c>
      <c r="C37" s="62">
        <f t="shared" si="6"/>
        <v>338823.5294117647</v>
      </c>
      <c r="D37" s="62">
        <f t="shared" si="7"/>
        <v>338823.5294117647</v>
      </c>
      <c r="E37" s="62">
        <f t="shared" si="8"/>
        <v>338823.5294117647</v>
      </c>
      <c r="F37" s="62">
        <f t="shared" si="9"/>
        <v>338823.5294117647</v>
      </c>
      <c r="G37" s="62">
        <f t="shared" si="10"/>
        <v>338823.5294117647</v>
      </c>
      <c r="H37" s="62">
        <f t="shared" si="11"/>
        <v>338823.5294117647</v>
      </c>
      <c r="I37" s="62">
        <f t="shared" si="12"/>
        <v>338823.5294117647</v>
      </c>
      <c r="J37" s="62">
        <f t="shared" si="13"/>
        <v>338823.5294117647</v>
      </c>
      <c r="K37" s="62">
        <f t="shared" si="14"/>
        <v>338823.5294117647</v>
      </c>
      <c r="L37" s="62">
        <f t="shared" si="15"/>
        <v>338823.5294117647</v>
      </c>
      <c r="M37" s="62">
        <f t="shared" si="16"/>
        <v>338823.5294117647</v>
      </c>
      <c r="N37" s="62">
        <f t="shared" si="17"/>
        <v>338823.5294117647</v>
      </c>
      <c r="O37" s="62">
        <f t="shared" si="18"/>
        <v>338823.5294117647</v>
      </c>
      <c r="P37" s="62">
        <f t="shared" si="19"/>
        <v>338823.5294117647</v>
      </c>
      <c r="Q37" s="62">
        <f t="shared" si="20"/>
        <v>338823.5294117647</v>
      </c>
      <c r="R37" s="62">
        <f t="shared" si="21"/>
        <v>338823.5294117647</v>
      </c>
      <c r="S37" s="62">
        <f t="shared" si="22"/>
        <v>338823.5294117647</v>
      </c>
      <c r="T37" s="62">
        <f t="shared" si="23"/>
        <v>338823.5294117647</v>
      </c>
      <c r="U37" s="62">
        <f t="shared" si="24"/>
        <v>338823.5294117647</v>
      </c>
      <c r="V37" s="62">
        <f t="shared" si="25"/>
        <v>338823.5294117647</v>
      </c>
      <c r="W37" s="62">
        <f t="shared" si="26"/>
        <v>338823.5294117647</v>
      </c>
      <c r="X37" s="62">
        <f t="shared" si="27"/>
        <v>338823.5294117647</v>
      </c>
      <c r="Y37" s="62">
        <f t="shared" si="28"/>
        <v>338823.5294117647</v>
      </c>
      <c r="Z37" s="62">
        <f t="shared" si="29"/>
        <v>338823.5294117647</v>
      </c>
      <c r="AA37" s="62">
        <f t="shared" si="30"/>
        <v>338823.5294117647</v>
      </c>
      <c r="AB37" s="62">
        <f t="shared" si="31"/>
        <v>338823.5294117647</v>
      </c>
      <c r="AC37" s="62">
        <f t="shared" si="32"/>
        <v>338823.5294117647</v>
      </c>
    </row>
    <row r="38" spans="1:29" x14ac:dyDescent="0.3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3">
      <c r="A39" s="30" t="str">
        <f t="shared" si="4"/>
        <v>Fuel Economy</v>
      </c>
      <c r="B39" s="62">
        <f t="shared" si="5"/>
        <v>588.84626218043502</v>
      </c>
      <c r="C39" s="62">
        <f t="shared" si="6"/>
        <v>588.7797515206795</v>
      </c>
      <c r="D39" s="62">
        <f t="shared" si="7"/>
        <v>588.68454299264499</v>
      </c>
      <c r="E39" s="62">
        <f t="shared" si="8"/>
        <v>588.54834049792862</v>
      </c>
      <c r="F39" s="62">
        <f t="shared" si="9"/>
        <v>588.35367707840635</v>
      </c>
      <c r="G39" s="62">
        <f t="shared" si="10"/>
        <v>588.07585031023859</v>
      </c>
      <c r="H39" s="62">
        <f t="shared" si="11"/>
        <v>587.68015683400074</v>
      </c>
      <c r="I39" s="62">
        <f t="shared" si="12"/>
        <v>587.11832882111048</v>
      </c>
      <c r="J39" s="62">
        <f t="shared" si="13"/>
        <v>586.32423891311498</v>
      </c>
      <c r="K39" s="62">
        <f t="shared" si="14"/>
        <v>585.20935100885799</v>
      </c>
      <c r="L39" s="62">
        <f t="shared" si="15"/>
        <v>583.65925210509909</v>
      </c>
      <c r="M39" s="62">
        <f t="shared" si="16"/>
        <v>581.53412449736095</v>
      </c>
      <c r="N39" s="62">
        <f t="shared" si="17"/>
        <v>578.67818071202885</v>
      </c>
      <c r="O39" s="62">
        <f t="shared" si="18"/>
        <v>574.94491045683674</v>
      </c>
      <c r="P39" s="62">
        <f t="shared" si="19"/>
        <v>570.24348757499536</v>
      </c>
      <c r="Q39" s="62">
        <f t="shared" si="20"/>
        <v>564.60191507115064</v>
      </c>
      <c r="R39" s="62">
        <f t="shared" si="21"/>
        <v>558.22257351659471</v>
      </c>
      <c r="S39" s="62">
        <f t="shared" si="22"/>
        <v>551.48792881122972</v>
      </c>
      <c r="T39" s="62">
        <f t="shared" si="23"/>
        <v>544.8858093168667</v>
      </c>
      <c r="U39" s="62">
        <f t="shared" si="24"/>
        <v>538.87576404606182</v>
      </c>
      <c r="V39" s="62">
        <f t="shared" si="25"/>
        <v>533.76808141278241</v>
      </c>
      <c r="W39" s="62">
        <f t="shared" si="26"/>
        <v>529.67774235765876</v>
      </c>
      <c r="X39" s="62">
        <f t="shared" si="27"/>
        <v>526.55663211639694</v>
      </c>
      <c r="Y39" s="62">
        <f t="shared" si="28"/>
        <v>524.26236577566647</v>
      </c>
      <c r="Z39" s="62">
        <f t="shared" si="29"/>
        <v>522.6219985324251</v>
      </c>
      <c r="AA39" s="62">
        <f t="shared" si="30"/>
        <v>521.47234334377424</v>
      </c>
      <c r="AB39" s="62">
        <f t="shared" si="31"/>
        <v>520.67786094508608</v>
      </c>
      <c r="AC39" s="62">
        <f t="shared" si="32"/>
        <v>520.13415704908732</v>
      </c>
    </row>
    <row r="40" spans="1:29" x14ac:dyDescent="0.3">
      <c r="A40" s="30" t="str">
        <f t="shared" si="4"/>
        <v>Fuel Cost</v>
      </c>
      <c r="B40" s="62">
        <f>$B20+($C20-$B20)*(1-Q20)</f>
        <v>0.20959517810556494</v>
      </c>
      <c r="C40" s="62">
        <f>$B20+($C20-$B20)*(1-R20)</f>
        <v>0.20948849768499242</v>
      </c>
      <c r="D40" s="62">
        <f>$B20+($C20-$B20)*(1-S20)</f>
        <v>0.20933578703905767</v>
      </c>
      <c r="E40" s="62">
        <f t="shared" ref="E40:AC40" si="33">$B20+($C20-$B20)*(1-T20)</f>
        <v>0.20911732372095529</v>
      </c>
      <c r="F40" s="62">
        <f t="shared" si="33"/>
        <v>0.20880509143306247</v>
      </c>
      <c r="G40" s="62">
        <f t="shared" si="33"/>
        <v>0.20835946848204387</v>
      </c>
      <c r="H40" s="62">
        <f t="shared" si="33"/>
        <v>0.20772479207651681</v>
      </c>
      <c r="I40" s="62">
        <f t="shared" si="33"/>
        <v>0.20682364256266603</v>
      </c>
      <c r="J40" s="62">
        <f t="shared" si="33"/>
        <v>0.20554995431977732</v>
      </c>
      <c r="K40" s="62">
        <f t="shared" si="33"/>
        <v>0.20376171900600099</v>
      </c>
      <c r="L40" s="62">
        <f t="shared" si="33"/>
        <v>0.20127542277033145</v>
      </c>
      <c r="M40" s="62">
        <f t="shared" si="33"/>
        <v>0.19786680364375564</v>
      </c>
      <c r="N40" s="62">
        <f t="shared" si="33"/>
        <v>0.19328598479049669</v>
      </c>
      <c r="O40" s="62">
        <f t="shared" si="33"/>
        <v>0.18729796960016717</v>
      </c>
      <c r="P40" s="62">
        <f t="shared" si="33"/>
        <v>0.17975707657387874</v>
      </c>
      <c r="Q40" s="62">
        <f t="shared" si="33"/>
        <v>0.17070822140370084</v>
      </c>
      <c r="R40" s="62">
        <f t="shared" si="33"/>
        <v>0.16047601437827749</v>
      </c>
      <c r="S40" s="62">
        <f t="shared" si="33"/>
        <v>0.14967391540322711</v>
      </c>
      <c r="T40" s="62">
        <f t="shared" si="33"/>
        <v>0.13908438153124628</v>
      </c>
      <c r="U40" s="62">
        <f t="shared" si="33"/>
        <v>0.12944451087733477</v>
      </c>
      <c r="V40" s="62">
        <f t="shared" si="33"/>
        <v>0.12125199356548938</v>
      </c>
      <c r="W40" s="62">
        <f t="shared" si="33"/>
        <v>0.1146912543954242</v>
      </c>
      <c r="X40" s="62">
        <f t="shared" si="33"/>
        <v>0.10968511922228061</v>
      </c>
      <c r="Y40" s="62">
        <f t="shared" si="33"/>
        <v>0.10600520837739882</v>
      </c>
      <c r="Z40" s="62">
        <f t="shared" si="33"/>
        <v>0.10337412535934337</v>
      </c>
      <c r="AA40" s="62">
        <f t="shared" si="33"/>
        <v>0.10153012472110708</v>
      </c>
      <c r="AB40" s="62">
        <f t="shared" si="33"/>
        <v>0.10025580693894878</v>
      </c>
      <c r="AC40" s="62">
        <f t="shared" si="33"/>
        <v>9.9383727778927067E-2</v>
      </c>
    </row>
    <row r="41" spans="1:29" x14ac:dyDescent="0.3">
      <c r="A41" s="30" t="str">
        <f t="shared" ref="A41" si="34">A21</f>
        <v>Emission Cost</v>
      </c>
      <c r="B41" s="66">
        <f>$B21+($C21-$B21)*(1-Q21)</f>
        <v>2.4395360251592355</v>
      </c>
      <c r="C41" s="66">
        <f t="shared" ref="C41:AC41" si="35">$B21+($C21-$B21)*(1-R21)</f>
        <v>2.437212992466212</v>
      </c>
      <c r="D41" s="66">
        <f t="shared" si="35"/>
        <v>2.4338876229075299</v>
      </c>
      <c r="E41" s="66">
        <f t="shared" si="35"/>
        <v>2.4291304479033946</v>
      </c>
      <c r="F41" s="66">
        <f t="shared" si="35"/>
        <v>2.422331395099703</v>
      </c>
      <c r="G41" s="66">
        <f t="shared" si="35"/>
        <v>2.4126276774125932</v>
      </c>
      <c r="H41" s="66">
        <f t="shared" si="35"/>
        <v>2.3988072028436171</v>
      </c>
      <c r="I41" s="66">
        <f t="shared" si="35"/>
        <v>2.379184110145415</v>
      </c>
      <c r="J41" s="66">
        <f t="shared" si="35"/>
        <v>2.3514487542753191</v>
      </c>
      <c r="K41" s="66">
        <f t="shared" si="35"/>
        <v>2.3125088150209741</v>
      </c>
      <c r="L41" s="66">
        <f t="shared" si="35"/>
        <v>2.2583681638217614</v>
      </c>
      <c r="M41" s="66">
        <f t="shared" si="35"/>
        <v>2.1841433564334305</v>
      </c>
      <c r="N41" s="66">
        <f t="shared" si="35"/>
        <v>2.0843931689123196</v>
      </c>
      <c r="O41" s="66">
        <f t="shared" si="35"/>
        <v>1.9540004035032079</v>
      </c>
      <c r="P41" s="66">
        <f t="shared" si="35"/>
        <v>1.7897927547083285</v>
      </c>
      <c r="Q41" s="66">
        <f t="shared" si="35"/>
        <v>1.5927482897357697</v>
      </c>
      <c r="R41" s="66">
        <f t="shared" si="35"/>
        <v>1.3699356000755636</v>
      </c>
      <c r="S41" s="66">
        <f t="shared" si="35"/>
        <v>1.1347131577787466</v>
      </c>
      <c r="T41" s="66">
        <f t="shared" si="35"/>
        <v>0.90411945317509268</v>
      </c>
      <c r="U41" s="66">
        <f t="shared" si="35"/>
        <v>0.69420525743630557</v>
      </c>
      <c r="V41" s="66">
        <f t="shared" si="35"/>
        <v>0.51580808341464834</v>
      </c>
      <c r="W41" s="66">
        <f t="shared" si="35"/>
        <v>0.37294389614701329</v>
      </c>
      <c r="X41" s="66">
        <f t="shared" si="35"/>
        <v>0.26393218049669054</v>
      </c>
      <c r="Y41" s="66">
        <f t="shared" si="35"/>
        <v>0.18379982674147044</v>
      </c>
      <c r="Z41" s="66">
        <f t="shared" si="35"/>
        <v>0.12650635305435332</v>
      </c>
      <c r="AA41" s="66">
        <f t="shared" si="35"/>
        <v>8.6352089079855254E-2</v>
      </c>
      <c r="AB41" s="66">
        <f t="shared" si="35"/>
        <v>5.8603024599529263E-2</v>
      </c>
      <c r="AC41" s="66">
        <f t="shared" si="35"/>
        <v>3.9612956986719627E-2</v>
      </c>
    </row>
    <row r="42" spans="1:29" x14ac:dyDescent="0.3">
      <c r="A42" s="30" t="str">
        <f>A22</f>
        <v>Lifetime vehicle</v>
      </c>
      <c r="B42" s="62">
        <f>$B22+($C22-$B22)*(1-Q22)</f>
        <v>25</v>
      </c>
      <c r="C42" s="62">
        <f t="shared" ref="C42:L44" si="36">$B22+($C22-$B22)*(1-R22)</f>
        <v>25</v>
      </c>
      <c r="D42" s="62">
        <f t="shared" si="36"/>
        <v>25</v>
      </c>
      <c r="E42" s="62">
        <f t="shared" si="36"/>
        <v>25</v>
      </c>
      <c r="F42" s="62">
        <f t="shared" si="36"/>
        <v>25</v>
      </c>
      <c r="G42" s="62">
        <f t="shared" si="36"/>
        <v>25</v>
      </c>
      <c r="H42" s="62">
        <f t="shared" si="36"/>
        <v>25</v>
      </c>
      <c r="I42" s="62">
        <f t="shared" si="36"/>
        <v>25</v>
      </c>
      <c r="J42" s="62">
        <f t="shared" si="36"/>
        <v>25</v>
      </c>
      <c r="K42" s="62">
        <f t="shared" si="36"/>
        <v>25</v>
      </c>
      <c r="L42" s="62">
        <f t="shared" si="36"/>
        <v>25</v>
      </c>
      <c r="M42" s="62">
        <f t="shared" ref="M42:V44" si="37">$B22+($C22-$B22)*(1-AB22)</f>
        <v>25</v>
      </c>
      <c r="N42" s="62">
        <f t="shared" si="37"/>
        <v>25</v>
      </c>
      <c r="O42" s="62">
        <f t="shared" si="37"/>
        <v>25</v>
      </c>
      <c r="P42" s="62">
        <f t="shared" si="37"/>
        <v>25</v>
      </c>
      <c r="Q42" s="62">
        <f t="shared" si="37"/>
        <v>25</v>
      </c>
      <c r="R42" s="62">
        <f t="shared" si="37"/>
        <v>25</v>
      </c>
      <c r="S42" s="62">
        <f t="shared" si="37"/>
        <v>25</v>
      </c>
      <c r="T42" s="62">
        <f t="shared" si="37"/>
        <v>25</v>
      </c>
      <c r="U42" s="62">
        <f t="shared" si="37"/>
        <v>25</v>
      </c>
      <c r="V42" s="62">
        <f t="shared" si="37"/>
        <v>25</v>
      </c>
      <c r="W42" s="62">
        <f t="shared" ref="W42:AC44" si="38">$B22+($C22-$B22)*(1-AL22)</f>
        <v>25</v>
      </c>
      <c r="X42" s="62">
        <f t="shared" si="38"/>
        <v>25</v>
      </c>
      <c r="Y42" s="62">
        <f t="shared" si="38"/>
        <v>25</v>
      </c>
      <c r="Z42" s="62">
        <f t="shared" si="38"/>
        <v>25</v>
      </c>
      <c r="AA42" s="62">
        <f t="shared" si="38"/>
        <v>25</v>
      </c>
      <c r="AB42" s="62">
        <f t="shared" si="38"/>
        <v>25</v>
      </c>
      <c r="AC42" s="62">
        <f t="shared" si="38"/>
        <v>25</v>
      </c>
    </row>
    <row r="43" spans="1:29" x14ac:dyDescent="0.3">
      <c r="A43" s="30" t="str">
        <f>A23</f>
        <v>Lifetime costumization</v>
      </c>
      <c r="B43" s="62">
        <f>$B23+($C23-$B23)*(1-Q23)</f>
        <v>25</v>
      </c>
      <c r="C43" s="62">
        <f t="shared" si="36"/>
        <v>25</v>
      </c>
      <c r="D43" s="62">
        <f t="shared" si="36"/>
        <v>25</v>
      </c>
      <c r="E43" s="62">
        <f t="shared" si="36"/>
        <v>25</v>
      </c>
      <c r="F43" s="62">
        <f t="shared" si="36"/>
        <v>25</v>
      </c>
      <c r="G43" s="62">
        <f t="shared" si="36"/>
        <v>25</v>
      </c>
      <c r="H43" s="62">
        <f t="shared" si="36"/>
        <v>25</v>
      </c>
      <c r="I43" s="62">
        <f t="shared" si="36"/>
        <v>25</v>
      </c>
      <c r="J43" s="62">
        <f t="shared" si="36"/>
        <v>25</v>
      </c>
      <c r="K43" s="62">
        <f t="shared" si="36"/>
        <v>25</v>
      </c>
      <c r="L43" s="62">
        <f t="shared" si="36"/>
        <v>25</v>
      </c>
      <c r="M43" s="62">
        <f t="shared" si="37"/>
        <v>25</v>
      </c>
      <c r="N43" s="62">
        <f t="shared" si="37"/>
        <v>25</v>
      </c>
      <c r="O43" s="62">
        <f t="shared" si="37"/>
        <v>25</v>
      </c>
      <c r="P43" s="62">
        <f t="shared" si="37"/>
        <v>25</v>
      </c>
      <c r="Q43" s="62">
        <f t="shared" si="37"/>
        <v>25</v>
      </c>
      <c r="R43" s="62">
        <f t="shared" si="37"/>
        <v>25</v>
      </c>
      <c r="S43" s="62">
        <f t="shared" si="37"/>
        <v>25</v>
      </c>
      <c r="T43" s="62">
        <f t="shared" si="37"/>
        <v>25</v>
      </c>
      <c r="U43" s="62">
        <f t="shared" si="37"/>
        <v>25</v>
      </c>
      <c r="V43" s="62">
        <f t="shared" si="37"/>
        <v>25</v>
      </c>
      <c r="W43" s="62">
        <f t="shared" si="38"/>
        <v>25</v>
      </c>
      <c r="X43" s="62">
        <f t="shared" si="38"/>
        <v>25</v>
      </c>
      <c r="Y43" s="62">
        <f t="shared" si="38"/>
        <v>25</v>
      </c>
      <c r="Z43" s="62">
        <f t="shared" si="38"/>
        <v>25</v>
      </c>
      <c r="AA43" s="62">
        <f t="shared" si="38"/>
        <v>25</v>
      </c>
      <c r="AB43" s="62">
        <f t="shared" si="38"/>
        <v>25</v>
      </c>
      <c r="AC43" s="62">
        <f t="shared" si="38"/>
        <v>25</v>
      </c>
    </row>
    <row r="44" spans="1:29" x14ac:dyDescent="0.3">
      <c r="A44" s="30" t="str">
        <f>A24</f>
        <v>Tonnage .</v>
      </c>
      <c r="B44" s="62">
        <f>$B24+($C24-$B24)*(1-Q24)</f>
        <v>9450</v>
      </c>
      <c r="C44" s="62">
        <f t="shared" si="36"/>
        <v>9450</v>
      </c>
      <c r="D44" s="62">
        <f t="shared" si="36"/>
        <v>9450</v>
      </c>
      <c r="E44" s="62">
        <f t="shared" si="36"/>
        <v>9450</v>
      </c>
      <c r="F44" s="62">
        <f t="shared" si="36"/>
        <v>9450</v>
      </c>
      <c r="G44" s="62">
        <f t="shared" si="36"/>
        <v>9450</v>
      </c>
      <c r="H44" s="62">
        <f t="shared" si="36"/>
        <v>9450</v>
      </c>
      <c r="I44" s="62">
        <f t="shared" si="36"/>
        <v>9450</v>
      </c>
      <c r="J44" s="62">
        <f t="shared" si="36"/>
        <v>9450</v>
      </c>
      <c r="K44" s="62">
        <f t="shared" si="36"/>
        <v>9450</v>
      </c>
      <c r="L44" s="62">
        <f t="shared" si="36"/>
        <v>9450</v>
      </c>
      <c r="M44" s="62">
        <f t="shared" si="37"/>
        <v>9450</v>
      </c>
      <c r="N44" s="62">
        <f t="shared" si="37"/>
        <v>9450</v>
      </c>
      <c r="O44" s="62">
        <f t="shared" si="37"/>
        <v>9450</v>
      </c>
      <c r="P44" s="62">
        <f t="shared" si="37"/>
        <v>9450</v>
      </c>
      <c r="Q44" s="62">
        <f t="shared" si="37"/>
        <v>9450</v>
      </c>
      <c r="R44" s="62">
        <f t="shared" si="37"/>
        <v>9450</v>
      </c>
      <c r="S44" s="62">
        <f t="shared" si="37"/>
        <v>9450</v>
      </c>
      <c r="T44" s="62">
        <f t="shared" si="37"/>
        <v>9450</v>
      </c>
      <c r="U44" s="62">
        <f t="shared" si="37"/>
        <v>9450</v>
      </c>
      <c r="V44" s="62">
        <f t="shared" si="37"/>
        <v>9450</v>
      </c>
      <c r="W44" s="62">
        <f t="shared" si="38"/>
        <v>9450</v>
      </c>
      <c r="X44" s="62">
        <f t="shared" si="38"/>
        <v>9450</v>
      </c>
      <c r="Y44" s="62">
        <f t="shared" si="38"/>
        <v>9450</v>
      </c>
      <c r="Z44" s="62">
        <f t="shared" si="38"/>
        <v>9450</v>
      </c>
      <c r="AA44" s="62">
        <f t="shared" si="38"/>
        <v>9450</v>
      </c>
      <c r="AB44" s="62">
        <f t="shared" si="38"/>
        <v>9450</v>
      </c>
      <c r="AC44" s="62">
        <f t="shared" si="38"/>
        <v>9450</v>
      </c>
    </row>
    <row r="45" spans="1:29" x14ac:dyDescent="0.3">
      <c r="A45" s="30" t="str">
        <f>A25</f>
        <v>Market failure (av. utilization)</v>
      </c>
      <c r="B45" s="62">
        <f t="shared" ref="B45:K46" si="39">($B25+($C25-$B25)*(1-Q25))*B$44</f>
        <v>4819.5</v>
      </c>
      <c r="C45" s="62">
        <f t="shared" si="39"/>
        <v>4819.5</v>
      </c>
      <c r="D45" s="62">
        <f t="shared" si="39"/>
        <v>4819.5</v>
      </c>
      <c r="E45" s="62">
        <f t="shared" si="39"/>
        <v>4819.5</v>
      </c>
      <c r="F45" s="62">
        <f t="shared" si="39"/>
        <v>4819.5</v>
      </c>
      <c r="G45" s="62">
        <f t="shared" si="39"/>
        <v>4819.5</v>
      </c>
      <c r="H45" s="62">
        <f t="shared" si="39"/>
        <v>4819.5</v>
      </c>
      <c r="I45" s="62">
        <f t="shared" si="39"/>
        <v>4819.5</v>
      </c>
      <c r="J45" s="62">
        <f t="shared" si="39"/>
        <v>4819.5</v>
      </c>
      <c r="K45" s="62">
        <f t="shared" si="39"/>
        <v>4819.5</v>
      </c>
      <c r="L45" s="62">
        <f t="shared" ref="L45:U46" si="40">($B25+($C25-$B25)*(1-AA25))*L$44</f>
        <v>4819.5</v>
      </c>
      <c r="M45" s="62">
        <f t="shared" si="40"/>
        <v>4819.5</v>
      </c>
      <c r="N45" s="62">
        <f t="shared" si="40"/>
        <v>4819.5</v>
      </c>
      <c r="O45" s="62">
        <f t="shared" si="40"/>
        <v>4819.5</v>
      </c>
      <c r="P45" s="62">
        <f t="shared" si="40"/>
        <v>4819.5</v>
      </c>
      <c r="Q45" s="62">
        <f t="shared" si="40"/>
        <v>4819.5</v>
      </c>
      <c r="R45" s="62">
        <f t="shared" si="40"/>
        <v>4819.5</v>
      </c>
      <c r="S45" s="62">
        <f t="shared" si="40"/>
        <v>4819.5</v>
      </c>
      <c r="T45" s="62">
        <f t="shared" si="40"/>
        <v>4819.5</v>
      </c>
      <c r="U45" s="62">
        <f t="shared" si="40"/>
        <v>4819.5</v>
      </c>
      <c r="V45" s="62">
        <f t="shared" ref="V45:AC46" si="41">($B25+($C25-$B25)*(1-AK25))*V$44</f>
        <v>4819.5</v>
      </c>
      <c r="W45" s="62">
        <f t="shared" si="41"/>
        <v>4819.5</v>
      </c>
      <c r="X45" s="62">
        <f t="shared" si="41"/>
        <v>4819.5</v>
      </c>
      <c r="Y45" s="62">
        <f t="shared" si="41"/>
        <v>4819.5</v>
      </c>
      <c r="Z45" s="62">
        <f t="shared" si="41"/>
        <v>4819.5</v>
      </c>
      <c r="AA45" s="62">
        <f t="shared" si="41"/>
        <v>4819.5</v>
      </c>
      <c r="AB45" s="62">
        <f t="shared" si="41"/>
        <v>4819.5</v>
      </c>
      <c r="AC45" s="62">
        <f t="shared" si="41"/>
        <v>4819.5</v>
      </c>
    </row>
    <row r="46" spans="1:29" x14ac:dyDescent="0.3">
      <c r="A46" s="30" t="s">
        <v>73</v>
      </c>
      <c r="B46" s="62">
        <f t="shared" si="39"/>
        <v>944.5849078871745</v>
      </c>
      <c r="C46" s="62">
        <f t="shared" si="39"/>
        <v>944.40532910583465</v>
      </c>
      <c r="D46" s="62">
        <f t="shared" si="39"/>
        <v>944.14826608014141</v>
      </c>
      <c r="E46" s="62">
        <f t="shared" si="39"/>
        <v>943.78051934440748</v>
      </c>
      <c r="F46" s="62">
        <f t="shared" si="39"/>
        <v>943.25492811169715</v>
      </c>
      <c r="G46" s="62">
        <f t="shared" si="39"/>
        <v>942.50479583764434</v>
      </c>
      <c r="H46" s="62">
        <f t="shared" si="39"/>
        <v>941.43642345180217</v>
      </c>
      <c r="I46" s="62">
        <f t="shared" si="39"/>
        <v>939.91948781699818</v>
      </c>
      <c r="J46" s="62">
        <f t="shared" si="39"/>
        <v>937.77544506541028</v>
      </c>
      <c r="K46" s="62">
        <f t="shared" si="39"/>
        <v>934.76524772391656</v>
      </c>
      <c r="L46" s="62">
        <f t="shared" si="40"/>
        <v>930.57998068376753</v>
      </c>
      <c r="M46" s="62">
        <f t="shared" si="40"/>
        <v>924.84213614287444</v>
      </c>
      <c r="N46" s="62">
        <f t="shared" si="40"/>
        <v>917.13108792247806</v>
      </c>
      <c r="O46" s="62">
        <f t="shared" si="40"/>
        <v>907.05125823345929</v>
      </c>
      <c r="P46" s="62">
        <f t="shared" si="40"/>
        <v>894.35741645248754</v>
      </c>
      <c r="Q46" s="62">
        <f t="shared" si="40"/>
        <v>879.12517069210696</v>
      </c>
      <c r="R46" s="62">
        <f t="shared" si="40"/>
        <v>861.90094849480568</v>
      </c>
      <c r="S46" s="62">
        <f t="shared" si="40"/>
        <v>843.71740779032029</v>
      </c>
      <c r="T46" s="62">
        <f t="shared" si="40"/>
        <v>825.89168515554024</v>
      </c>
      <c r="U46" s="62">
        <f t="shared" si="40"/>
        <v>809.66456292436703</v>
      </c>
      <c r="V46" s="62">
        <f t="shared" si="41"/>
        <v>795.87381981451244</v>
      </c>
      <c r="W46" s="62">
        <f t="shared" si="41"/>
        <v>784.82990436567866</v>
      </c>
      <c r="X46" s="62">
        <f t="shared" si="41"/>
        <v>776.40290671427192</v>
      </c>
      <c r="Y46" s="62">
        <f t="shared" si="41"/>
        <v>770.20838759429932</v>
      </c>
      <c r="Z46" s="62">
        <f t="shared" si="41"/>
        <v>765.77939603754794</v>
      </c>
      <c r="AA46" s="62">
        <f t="shared" si="41"/>
        <v>762.6753270281904</v>
      </c>
      <c r="AB46" s="62">
        <f t="shared" si="41"/>
        <v>760.53022455173243</v>
      </c>
      <c r="AC46" s="62">
        <f t="shared" si="41"/>
        <v>759.0622240325356</v>
      </c>
    </row>
    <row r="47" spans="1:29" x14ac:dyDescent="0.3">
      <c r="A47" s="30" t="str">
        <f>A27</f>
        <v>Annual Mileage</v>
      </c>
      <c r="B47" s="62">
        <f t="shared" ref="B47:AC47" si="42">$B27+($C27-$B27)*(1-Q27)</f>
        <v>120000</v>
      </c>
      <c r="C47" s="62">
        <f t="shared" si="42"/>
        <v>120000</v>
      </c>
      <c r="D47" s="62">
        <f t="shared" si="42"/>
        <v>120000</v>
      </c>
      <c r="E47" s="62">
        <f t="shared" si="42"/>
        <v>120000</v>
      </c>
      <c r="F47" s="62">
        <f t="shared" si="42"/>
        <v>120000</v>
      </c>
      <c r="G47" s="62">
        <f t="shared" si="42"/>
        <v>120000</v>
      </c>
      <c r="H47" s="62">
        <f t="shared" si="42"/>
        <v>120000</v>
      </c>
      <c r="I47" s="62">
        <f t="shared" si="42"/>
        <v>120000</v>
      </c>
      <c r="J47" s="62">
        <f t="shared" si="42"/>
        <v>120000</v>
      </c>
      <c r="K47" s="62">
        <f t="shared" si="42"/>
        <v>120000</v>
      </c>
      <c r="L47" s="62">
        <f t="shared" si="42"/>
        <v>120000</v>
      </c>
      <c r="M47" s="62">
        <f t="shared" si="42"/>
        <v>120000</v>
      </c>
      <c r="N47" s="62">
        <f t="shared" si="42"/>
        <v>120000</v>
      </c>
      <c r="O47" s="62">
        <f t="shared" si="42"/>
        <v>120000</v>
      </c>
      <c r="P47" s="62">
        <f t="shared" si="42"/>
        <v>120000</v>
      </c>
      <c r="Q47" s="62">
        <f t="shared" si="42"/>
        <v>120000</v>
      </c>
      <c r="R47" s="62">
        <f t="shared" si="42"/>
        <v>120000</v>
      </c>
      <c r="S47" s="62">
        <f t="shared" si="42"/>
        <v>120000</v>
      </c>
      <c r="T47" s="62">
        <f t="shared" si="42"/>
        <v>120000</v>
      </c>
      <c r="U47" s="62">
        <f t="shared" si="42"/>
        <v>120000</v>
      </c>
      <c r="V47" s="62">
        <f t="shared" si="42"/>
        <v>120000</v>
      </c>
      <c r="W47" s="62">
        <f t="shared" si="42"/>
        <v>120000</v>
      </c>
      <c r="X47" s="62">
        <f t="shared" si="42"/>
        <v>120000</v>
      </c>
      <c r="Y47" s="62">
        <f t="shared" si="42"/>
        <v>120000</v>
      </c>
      <c r="Z47" s="62">
        <f t="shared" si="42"/>
        <v>120000</v>
      </c>
      <c r="AA47" s="62">
        <f t="shared" si="42"/>
        <v>120000</v>
      </c>
      <c r="AB47" s="62">
        <f t="shared" si="42"/>
        <v>120000</v>
      </c>
      <c r="AC47" s="62">
        <f t="shared" si="42"/>
        <v>120000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2344997.5856047659</v>
      </c>
      <c r="C50" s="63">
        <f t="shared" ref="C50:AC50" si="43">((1+C35)^C42)*C35/(((1+C35)^C42)-1)*(C31)</f>
        <v>2344217.1490089451</v>
      </c>
      <c r="D50" s="63">
        <f t="shared" si="43"/>
        <v>2343099.9714048514</v>
      </c>
      <c r="E50" s="63">
        <f t="shared" si="43"/>
        <v>2341501.7702787537</v>
      </c>
      <c r="F50" s="63">
        <f t="shared" si="43"/>
        <v>2339217.5882089725</v>
      </c>
      <c r="G50" s="63">
        <f t="shared" si="43"/>
        <v>2335957.5667631798</v>
      </c>
      <c r="H50" s="63">
        <f t="shared" si="43"/>
        <v>2331314.496453566</v>
      </c>
      <c r="I50" s="63">
        <f t="shared" si="43"/>
        <v>2324722.0022063456</v>
      </c>
      <c r="J50" s="63">
        <f t="shared" si="43"/>
        <v>2315404.1450861497</v>
      </c>
      <c r="K50" s="63">
        <f t="shared" si="43"/>
        <v>2302322.0417974619</v>
      </c>
      <c r="L50" s="63">
        <f t="shared" si="43"/>
        <v>2284133.1692756363</v>
      </c>
      <c r="M50" s="63">
        <f t="shared" si="43"/>
        <v>2259196.9054952883</v>
      </c>
      <c r="N50" s="63">
        <f t="shared" si="43"/>
        <v>2225685.2390364991</v>
      </c>
      <c r="O50" s="63">
        <f t="shared" si="43"/>
        <v>2181879.0169970216</v>
      </c>
      <c r="P50" s="63">
        <f t="shared" si="43"/>
        <v>2126712.4845508407</v>
      </c>
      <c r="Q50" s="63">
        <f t="shared" si="43"/>
        <v>2060514.2291709851</v>
      </c>
      <c r="R50" s="63">
        <f t="shared" si="43"/>
        <v>1985658.9860457699</v>
      </c>
      <c r="S50" s="63">
        <f t="shared" si="43"/>
        <v>1906634.6130018148</v>
      </c>
      <c r="T50" s="63">
        <f t="shared" si="43"/>
        <v>1829165.2918084206</v>
      </c>
      <c r="U50" s="63">
        <f t="shared" si="43"/>
        <v>1758643.3741320807</v>
      </c>
      <c r="V50" s="63">
        <f t="shared" si="43"/>
        <v>1698709.7866213897</v>
      </c>
      <c r="W50" s="63">
        <f t="shared" si="43"/>
        <v>1650713.7165227169</v>
      </c>
      <c r="X50" s="63">
        <f t="shared" si="43"/>
        <v>1614090.584819823</v>
      </c>
      <c r="Y50" s="63">
        <f t="shared" si="43"/>
        <v>1587169.645838788</v>
      </c>
      <c r="Z50" s="63">
        <f t="shared" si="43"/>
        <v>1567921.5639235359</v>
      </c>
      <c r="AA50" s="63">
        <f t="shared" si="43"/>
        <v>1554431.5010509547</v>
      </c>
      <c r="AB50" s="63">
        <f t="shared" si="43"/>
        <v>1545109.0384419363</v>
      </c>
      <c r="AC50" s="63">
        <f t="shared" si="43"/>
        <v>1538729.2127224542</v>
      </c>
    </row>
    <row r="51" spans="1:29" x14ac:dyDescent="0.3">
      <c r="A51" s="30" t="str">
        <f>A32</f>
        <v>Residual value (vehicle)</v>
      </c>
      <c r="B51" s="62">
        <f>((1+B35)^B42)*B35/(((1+B35)^B42)-1)*(B32)</f>
        <v>-117417.38992255888</v>
      </c>
      <c r="C51" s="62">
        <f t="shared" ref="C51:AC51" si="44">((1+C35)^C42)*C35/(((1+C35)^C42)-1)*(C32)</f>
        <v>-117450.83720523692</v>
      </c>
      <c r="D51" s="62">
        <f t="shared" si="44"/>
        <v>-117498.71624541239</v>
      </c>
      <c r="E51" s="62">
        <f t="shared" si="44"/>
        <v>-117567.21057938797</v>
      </c>
      <c r="F51" s="62">
        <f t="shared" si="44"/>
        <v>-117665.10409666432</v>
      </c>
      <c r="G51" s="62">
        <f t="shared" si="44"/>
        <v>-117804.81930148401</v>
      </c>
      <c r="H51" s="62">
        <f t="shared" si="44"/>
        <v>-118003.80802903889</v>
      </c>
      <c r="I51" s="62">
        <f t="shared" si="44"/>
        <v>-118286.34349677691</v>
      </c>
      <c r="J51" s="62">
        <f t="shared" si="44"/>
        <v>-118685.68023049959</v>
      </c>
      <c r="K51" s="62">
        <f t="shared" si="44"/>
        <v>-119246.34180001476</v>
      </c>
      <c r="L51" s="62">
        <f t="shared" si="44"/>
        <v>-120025.864908093</v>
      </c>
      <c r="M51" s="62">
        <f t="shared" si="44"/>
        <v>-121094.56192725079</v>
      </c>
      <c r="N51" s="62">
        <f t="shared" si="44"/>
        <v>-122530.77620405605</v>
      </c>
      <c r="O51" s="62">
        <f t="shared" si="44"/>
        <v>-124408.18572003364</v>
      </c>
      <c r="P51" s="62">
        <f t="shared" si="44"/>
        <v>-126772.46568201284</v>
      </c>
      <c r="Q51" s="62">
        <f t="shared" si="44"/>
        <v>-129609.53376972093</v>
      </c>
      <c r="R51" s="62">
        <f t="shared" si="44"/>
        <v>-132817.61561794442</v>
      </c>
      <c r="S51" s="62">
        <f t="shared" si="44"/>
        <v>-136204.37446268537</v>
      </c>
      <c r="T51" s="62">
        <f t="shared" si="44"/>
        <v>-139524.48822811653</v>
      </c>
      <c r="U51" s="62">
        <f t="shared" si="44"/>
        <v>-142546.8561285311</v>
      </c>
      <c r="V51" s="62">
        <f t="shared" si="44"/>
        <v>-145115.43845041786</v>
      </c>
      <c r="W51" s="62">
        <f t="shared" si="44"/>
        <v>-147172.41288321812</v>
      </c>
      <c r="X51" s="62">
        <f t="shared" si="44"/>
        <v>-148741.975670485</v>
      </c>
      <c r="Y51" s="62">
        <f t="shared" si="44"/>
        <v>-149895.73019824366</v>
      </c>
      <c r="Z51" s="62">
        <f t="shared" si="44"/>
        <v>-150720.64799461162</v>
      </c>
      <c r="AA51" s="62">
        <f t="shared" si="44"/>
        <v>-151298.79354629366</v>
      </c>
      <c r="AB51" s="62">
        <f t="shared" si="44"/>
        <v>-151698.32765810873</v>
      </c>
      <c r="AC51" s="62">
        <f t="shared" si="44"/>
        <v>-151971.74876037225</v>
      </c>
    </row>
    <row r="52" spans="1:29" x14ac:dyDescent="0.3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5">((1+C35)^C43)*C35/(((1+C35)^C43)-1)*(C33)</f>
        <v>78226.718212273947</v>
      </c>
      <c r="D52" s="62">
        <f t="shared" si="45"/>
        <v>78226.718212273947</v>
      </c>
      <c r="E52" s="62">
        <f t="shared" si="45"/>
        <v>78226.718212273947</v>
      </c>
      <c r="F52" s="62">
        <f t="shared" si="45"/>
        <v>78226.718212273947</v>
      </c>
      <c r="G52" s="62">
        <f t="shared" si="45"/>
        <v>78226.718212273947</v>
      </c>
      <c r="H52" s="62">
        <f t="shared" si="45"/>
        <v>78226.718212273947</v>
      </c>
      <c r="I52" s="62">
        <f t="shared" si="45"/>
        <v>78226.718212273947</v>
      </c>
      <c r="J52" s="62">
        <f t="shared" si="45"/>
        <v>78226.718212273947</v>
      </c>
      <c r="K52" s="62">
        <f t="shared" si="45"/>
        <v>78226.718212273947</v>
      </c>
      <c r="L52" s="62">
        <f t="shared" si="45"/>
        <v>78226.718212273947</v>
      </c>
      <c r="M52" s="62">
        <f t="shared" si="45"/>
        <v>78226.718212273947</v>
      </c>
      <c r="N52" s="62">
        <f t="shared" si="45"/>
        <v>78226.718212273947</v>
      </c>
      <c r="O52" s="62">
        <f t="shared" si="45"/>
        <v>78226.718212273947</v>
      </c>
      <c r="P52" s="62">
        <f t="shared" si="45"/>
        <v>78226.718212273947</v>
      </c>
      <c r="Q52" s="62">
        <f t="shared" si="45"/>
        <v>78226.718212273947</v>
      </c>
      <c r="R52" s="62">
        <f t="shared" si="45"/>
        <v>78226.718212273947</v>
      </c>
      <c r="S52" s="62">
        <f t="shared" si="45"/>
        <v>78226.718212273947</v>
      </c>
      <c r="T52" s="62">
        <f t="shared" si="45"/>
        <v>78226.718212273947</v>
      </c>
      <c r="U52" s="62">
        <f t="shared" si="45"/>
        <v>78226.718212273947</v>
      </c>
      <c r="V52" s="62">
        <f t="shared" si="45"/>
        <v>78226.718212273947</v>
      </c>
      <c r="W52" s="62">
        <f t="shared" si="45"/>
        <v>78226.718212273947</v>
      </c>
      <c r="X52" s="62">
        <f t="shared" si="45"/>
        <v>78226.718212273947</v>
      </c>
      <c r="Y52" s="62">
        <f t="shared" si="45"/>
        <v>78226.718212273947</v>
      </c>
      <c r="Z52" s="62">
        <f t="shared" si="45"/>
        <v>78226.718212273947</v>
      </c>
      <c r="AA52" s="62">
        <f t="shared" si="45"/>
        <v>78226.718212273947</v>
      </c>
      <c r="AB52" s="62">
        <f t="shared" si="45"/>
        <v>78226.718212273947</v>
      </c>
      <c r="AC52" s="62">
        <f t="shared" si="45"/>
        <v>78226.718212273947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6">((1+C35)^C43)*C35/(((1+C35)^C43)-1)*(C34)</f>
        <v>-7822.6718212273945</v>
      </c>
      <c r="D53" s="62">
        <f t="shared" si="46"/>
        <v>-7822.6718212273945</v>
      </c>
      <c r="E53" s="62">
        <f t="shared" si="46"/>
        <v>-7822.6718212273945</v>
      </c>
      <c r="F53" s="62">
        <f t="shared" si="46"/>
        <v>-7822.6718212273945</v>
      </c>
      <c r="G53" s="62">
        <f t="shared" si="46"/>
        <v>-7822.6718212273945</v>
      </c>
      <c r="H53" s="62">
        <f t="shared" si="46"/>
        <v>-7822.6718212273945</v>
      </c>
      <c r="I53" s="62">
        <f t="shared" si="46"/>
        <v>-7822.6718212273945</v>
      </c>
      <c r="J53" s="62">
        <f t="shared" si="46"/>
        <v>-7822.6718212273945</v>
      </c>
      <c r="K53" s="62">
        <f t="shared" si="46"/>
        <v>-7822.6718212273945</v>
      </c>
      <c r="L53" s="62">
        <f t="shared" si="46"/>
        <v>-7822.6718212273945</v>
      </c>
      <c r="M53" s="62">
        <f t="shared" si="46"/>
        <v>-7822.6718212273945</v>
      </c>
      <c r="N53" s="62">
        <f t="shared" si="46"/>
        <v>-7822.6718212273945</v>
      </c>
      <c r="O53" s="62">
        <f t="shared" si="46"/>
        <v>-7822.6718212273945</v>
      </c>
      <c r="P53" s="62">
        <f t="shared" si="46"/>
        <v>-7822.6718212273945</v>
      </c>
      <c r="Q53" s="62">
        <f t="shared" si="46"/>
        <v>-7822.6718212273945</v>
      </c>
      <c r="R53" s="62">
        <f t="shared" si="46"/>
        <v>-7822.6718212273945</v>
      </c>
      <c r="S53" s="62">
        <f t="shared" si="46"/>
        <v>-7822.6718212273945</v>
      </c>
      <c r="T53" s="62">
        <f t="shared" si="46"/>
        <v>-7822.6718212273945</v>
      </c>
      <c r="U53" s="62">
        <f t="shared" si="46"/>
        <v>-7822.6718212273945</v>
      </c>
      <c r="V53" s="62">
        <f t="shared" si="46"/>
        <v>-7822.6718212273945</v>
      </c>
      <c r="W53" s="62">
        <f t="shared" si="46"/>
        <v>-7822.6718212273945</v>
      </c>
      <c r="X53" s="62">
        <f t="shared" si="46"/>
        <v>-7822.6718212273945</v>
      </c>
      <c r="Y53" s="62">
        <f t="shared" si="46"/>
        <v>-7822.6718212273945</v>
      </c>
      <c r="Z53" s="62">
        <f t="shared" si="46"/>
        <v>-7822.6718212273945</v>
      </c>
      <c r="AA53" s="62">
        <f t="shared" si="46"/>
        <v>-7822.6718212273945</v>
      </c>
      <c r="AB53" s="62">
        <f t="shared" si="46"/>
        <v>-7822.6718212273945</v>
      </c>
      <c r="AC53" s="62">
        <f t="shared" si="46"/>
        <v>-7822.6718212273945</v>
      </c>
    </row>
    <row r="54" spans="1:29" x14ac:dyDescent="0.3">
      <c r="A54" s="30" t="str">
        <f t="shared" ref="A54:AC54" si="47">A36</f>
        <v>Opex fix (admin, crew, insurance)</v>
      </c>
      <c r="B54" s="62">
        <f t="shared" si="47"/>
        <v>1208235.294117647</v>
      </c>
      <c r="C54" s="62">
        <f t="shared" si="47"/>
        <v>1208235.294117647</v>
      </c>
      <c r="D54" s="62">
        <f t="shared" si="47"/>
        <v>1208235.294117647</v>
      </c>
      <c r="E54" s="62">
        <f t="shared" si="47"/>
        <v>1208235.294117647</v>
      </c>
      <c r="F54" s="62">
        <f t="shared" si="47"/>
        <v>1208235.294117647</v>
      </c>
      <c r="G54" s="62">
        <f t="shared" si="47"/>
        <v>1208235.294117647</v>
      </c>
      <c r="H54" s="62">
        <f t="shared" si="47"/>
        <v>1208235.294117647</v>
      </c>
      <c r="I54" s="62">
        <f t="shared" si="47"/>
        <v>1208235.294117647</v>
      </c>
      <c r="J54" s="62">
        <f t="shared" si="47"/>
        <v>1208235.294117647</v>
      </c>
      <c r="K54" s="62">
        <f t="shared" si="47"/>
        <v>1208235.294117647</v>
      </c>
      <c r="L54" s="62">
        <f t="shared" si="47"/>
        <v>1208235.294117647</v>
      </c>
      <c r="M54" s="62">
        <f t="shared" si="47"/>
        <v>1208235.294117647</v>
      </c>
      <c r="N54" s="62">
        <f t="shared" si="47"/>
        <v>1208235.294117647</v>
      </c>
      <c r="O54" s="62">
        <f t="shared" si="47"/>
        <v>1208235.294117647</v>
      </c>
      <c r="P54" s="62">
        <f t="shared" si="47"/>
        <v>1208235.294117647</v>
      </c>
      <c r="Q54" s="62">
        <f t="shared" si="47"/>
        <v>1208235.294117647</v>
      </c>
      <c r="R54" s="62">
        <f t="shared" si="47"/>
        <v>1208235.294117647</v>
      </c>
      <c r="S54" s="62">
        <f t="shared" si="47"/>
        <v>1208235.294117647</v>
      </c>
      <c r="T54" s="62">
        <f t="shared" si="47"/>
        <v>1208235.294117647</v>
      </c>
      <c r="U54" s="62">
        <f t="shared" si="47"/>
        <v>1208235.294117647</v>
      </c>
      <c r="V54" s="62">
        <f t="shared" si="47"/>
        <v>1208235.294117647</v>
      </c>
      <c r="W54" s="62">
        <f t="shared" si="47"/>
        <v>1208235.294117647</v>
      </c>
      <c r="X54" s="62">
        <f t="shared" si="47"/>
        <v>1208235.294117647</v>
      </c>
      <c r="Y54" s="62">
        <f t="shared" si="47"/>
        <v>1208235.294117647</v>
      </c>
      <c r="Z54" s="62">
        <f t="shared" si="47"/>
        <v>1208235.294117647</v>
      </c>
      <c r="AA54" s="62">
        <f t="shared" si="47"/>
        <v>1208235.294117647</v>
      </c>
      <c r="AB54" s="62">
        <f t="shared" si="47"/>
        <v>1208235.294117647</v>
      </c>
      <c r="AC54" s="62">
        <f t="shared" si="47"/>
        <v>1208235.294117647</v>
      </c>
    </row>
    <row r="55" spans="1:29" x14ac:dyDescent="0.3">
      <c r="A55" s="30" t="str">
        <f t="shared" ref="A55:AC55" si="48">A37</f>
        <v>Opex maintenance &amp; repair</v>
      </c>
      <c r="B55" s="62">
        <f t="shared" si="48"/>
        <v>338823.5294117647</v>
      </c>
      <c r="C55" s="62">
        <f t="shared" si="48"/>
        <v>338823.5294117647</v>
      </c>
      <c r="D55" s="62">
        <f t="shared" si="48"/>
        <v>338823.5294117647</v>
      </c>
      <c r="E55" s="62">
        <f t="shared" si="48"/>
        <v>338823.5294117647</v>
      </c>
      <c r="F55" s="62">
        <f t="shared" si="48"/>
        <v>338823.5294117647</v>
      </c>
      <c r="G55" s="62">
        <f t="shared" si="48"/>
        <v>338823.5294117647</v>
      </c>
      <c r="H55" s="62">
        <f t="shared" si="48"/>
        <v>338823.5294117647</v>
      </c>
      <c r="I55" s="62">
        <f t="shared" si="48"/>
        <v>338823.5294117647</v>
      </c>
      <c r="J55" s="62">
        <f t="shared" si="48"/>
        <v>338823.5294117647</v>
      </c>
      <c r="K55" s="62">
        <f t="shared" si="48"/>
        <v>338823.5294117647</v>
      </c>
      <c r="L55" s="62">
        <f t="shared" si="48"/>
        <v>338823.5294117647</v>
      </c>
      <c r="M55" s="62">
        <f t="shared" si="48"/>
        <v>338823.5294117647</v>
      </c>
      <c r="N55" s="62">
        <f t="shared" si="48"/>
        <v>338823.5294117647</v>
      </c>
      <c r="O55" s="62">
        <f t="shared" si="48"/>
        <v>338823.5294117647</v>
      </c>
      <c r="P55" s="62">
        <f t="shared" si="48"/>
        <v>338823.5294117647</v>
      </c>
      <c r="Q55" s="62">
        <f t="shared" si="48"/>
        <v>338823.5294117647</v>
      </c>
      <c r="R55" s="62">
        <f t="shared" si="48"/>
        <v>338823.5294117647</v>
      </c>
      <c r="S55" s="62">
        <f t="shared" si="48"/>
        <v>338823.5294117647</v>
      </c>
      <c r="T55" s="62">
        <f t="shared" si="48"/>
        <v>338823.5294117647</v>
      </c>
      <c r="U55" s="62">
        <f t="shared" si="48"/>
        <v>338823.5294117647</v>
      </c>
      <c r="V55" s="62">
        <f t="shared" si="48"/>
        <v>338823.5294117647</v>
      </c>
      <c r="W55" s="62">
        <f t="shared" si="48"/>
        <v>338823.5294117647</v>
      </c>
      <c r="X55" s="62">
        <f t="shared" si="48"/>
        <v>338823.5294117647</v>
      </c>
      <c r="Y55" s="62">
        <f t="shared" si="48"/>
        <v>338823.5294117647</v>
      </c>
      <c r="Z55" s="62">
        <f t="shared" si="48"/>
        <v>338823.5294117647</v>
      </c>
      <c r="AA55" s="62">
        <f t="shared" si="48"/>
        <v>338823.5294117647</v>
      </c>
      <c r="AB55" s="62">
        <f t="shared" si="48"/>
        <v>338823.5294117647</v>
      </c>
      <c r="AC55" s="62">
        <f t="shared" si="48"/>
        <v>338823.5294117647</v>
      </c>
    </row>
    <row r="56" spans="1:29" x14ac:dyDescent="0.3">
      <c r="A56" s="30" t="str">
        <f>A38</f>
        <v>Opex var (mode-fees)</v>
      </c>
      <c r="B56" s="62">
        <f>B38*B47</f>
        <v>101496.22349468413</v>
      </c>
      <c r="C56" s="62">
        <f t="shared" ref="C56:AC56" si="49">C38*C47</f>
        <v>101496.22349468413</v>
      </c>
      <c r="D56" s="62">
        <f t="shared" si="49"/>
        <v>101496.22349468413</v>
      </c>
      <c r="E56" s="62">
        <f t="shared" si="49"/>
        <v>101496.22349468413</v>
      </c>
      <c r="F56" s="62">
        <f t="shared" si="49"/>
        <v>101496.22349468413</v>
      </c>
      <c r="G56" s="62">
        <f t="shared" si="49"/>
        <v>101496.22349468413</v>
      </c>
      <c r="H56" s="62">
        <f t="shared" si="49"/>
        <v>101496.22349468413</v>
      </c>
      <c r="I56" s="62">
        <f t="shared" si="49"/>
        <v>101496.22349468413</v>
      </c>
      <c r="J56" s="62">
        <f t="shared" si="49"/>
        <v>101496.22349468413</v>
      </c>
      <c r="K56" s="62">
        <f t="shared" si="49"/>
        <v>101496.22349468413</v>
      </c>
      <c r="L56" s="62">
        <f t="shared" si="49"/>
        <v>101496.22349468413</v>
      </c>
      <c r="M56" s="62">
        <f t="shared" si="49"/>
        <v>101496.22349468413</v>
      </c>
      <c r="N56" s="62">
        <f t="shared" si="49"/>
        <v>101496.22349468413</v>
      </c>
      <c r="O56" s="62">
        <f t="shared" si="49"/>
        <v>101496.22349468413</v>
      </c>
      <c r="P56" s="62">
        <f t="shared" si="49"/>
        <v>101496.22349468413</v>
      </c>
      <c r="Q56" s="62">
        <f t="shared" si="49"/>
        <v>101496.22349468413</v>
      </c>
      <c r="R56" s="62">
        <f t="shared" si="49"/>
        <v>101496.22349468413</v>
      </c>
      <c r="S56" s="62">
        <f t="shared" si="49"/>
        <v>101496.22349468413</v>
      </c>
      <c r="T56" s="62">
        <f t="shared" si="49"/>
        <v>101496.22349468413</v>
      </c>
      <c r="U56" s="62">
        <f t="shared" si="49"/>
        <v>101496.22349468413</v>
      </c>
      <c r="V56" s="62">
        <f t="shared" si="49"/>
        <v>101496.22349468413</v>
      </c>
      <c r="W56" s="62">
        <f t="shared" si="49"/>
        <v>101496.22349468413</v>
      </c>
      <c r="X56" s="62">
        <f t="shared" si="49"/>
        <v>101496.22349468413</v>
      </c>
      <c r="Y56" s="62">
        <f t="shared" si="49"/>
        <v>101496.22349468413</v>
      </c>
      <c r="Z56" s="62">
        <f t="shared" si="49"/>
        <v>101496.22349468413</v>
      </c>
      <c r="AA56" s="62">
        <f t="shared" si="49"/>
        <v>101496.22349468413</v>
      </c>
      <c r="AB56" s="62">
        <f t="shared" si="49"/>
        <v>101496.22349468413</v>
      </c>
      <c r="AC56" s="62">
        <f t="shared" si="49"/>
        <v>101496.22349468413</v>
      </c>
    </row>
    <row r="57" spans="1:29" x14ac:dyDescent="0.3">
      <c r="A57" s="30" t="str">
        <f>A40</f>
        <v>Fuel Cost</v>
      </c>
      <c r="B57" s="62">
        <f>B39*B40*B47</f>
        <v>14810320.463820536</v>
      </c>
      <c r="C57" s="62">
        <f t="shared" ref="C57:AC57" si="50">C39*C40*C47</f>
        <v>14801110.273609234</v>
      </c>
      <c r="D57" s="62">
        <f t="shared" si="50"/>
        <v>14787929.0550112</v>
      </c>
      <c r="E57" s="62">
        <f t="shared" si="50"/>
        <v>14769078.461440364</v>
      </c>
      <c r="F57" s="62">
        <f t="shared" si="50"/>
        <v>14742149.200480217</v>
      </c>
      <c r="G57" s="62">
        <f t="shared" si="50"/>
        <v>14703740.591732077</v>
      </c>
      <c r="H57" s="62">
        <f t="shared" si="50"/>
        <v>14649088.606300512</v>
      </c>
      <c r="I57" s="62">
        <f t="shared" si="50"/>
        <v>14571594.165850461</v>
      </c>
      <c r="J57" s="62">
        <f t="shared" si="50"/>
        <v>14462270.46302028</v>
      </c>
      <c r="K57" s="62">
        <f t="shared" si="50"/>
        <v>14309191.600794135</v>
      </c>
      <c r="L57" s="62">
        <f t="shared" si="50"/>
        <v>14097151.526552314</v>
      </c>
      <c r="M57" s="62">
        <f t="shared" si="50"/>
        <v>13807955.810887519</v>
      </c>
      <c r="N57" s="62">
        <f t="shared" si="50"/>
        <v>13422045.8442837</v>
      </c>
      <c r="O57" s="62">
        <f t="shared" si="50"/>
        <v>12922321.723261854</v>
      </c>
      <c r="P57" s="62">
        <f t="shared" si="50"/>
        <v>12300636.271412892</v>
      </c>
      <c r="Q57" s="62">
        <f t="shared" si="50"/>
        <v>11565862.646750338</v>
      </c>
      <c r="R57" s="62">
        <f t="shared" si="50"/>
        <v>10749760.048071375</v>
      </c>
      <c r="S57" s="62">
        <f t="shared" si="50"/>
        <v>9905202.9123351518</v>
      </c>
      <c r="T57" s="62">
        <f t="shared" si="50"/>
        <v>9094212.6952786781</v>
      </c>
      <c r="U57" s="62">
        <f t="shared" si="50"/>
        <v>8370541.1640711045</v>
      </c>
      <c r="V57" s="62">
        <f t="shared" si="50"/>
        <v>7766453.2767511569</v>
      </c>
      <c r="W57" s="62">
        <f t="shared" si="50"/>
        <v>7289928.5635603443</v>
      </c>
      <c r="X57" s="62">
        <f t="shared" si="50"/>
        <v>6930651.2365163462</v>
      </c>
      <c r="Y57" s="62">
        <f t="shared" si="50"/>
        <v>6668944.9594173133</v>
      </c>
      <c r="Z57" s="62">
        <f t="shared" si="50"/>
        <v>6483071.0390209779</v>
      </c>
      <c r="AA57" s="62">
        <f t="shared" si="50"/>
        <v>6353418.2469961643</v>
      </c>
      <c r="AB57" s="62">
        <f t="shared" si="50"/>
        <v>6264117.4925154448</v>
      </c>
      <c r="AC57" s="62">
        <f t="shared" si="50"/>
        <v>6203144.5767225837</v>
      </c>
    </row>
    <row r="58" spans="1:29" ht="15" thickBot="1" x14ac:dyDescent="0.35">
      <c r="A58" s="59" t="str">
        <f>A21</f>
        <v>Emission Cost</v>
      </c>
      <c r="B58" s="62">
        <f>B41*B47</f>
        <v>292744.32301910827</v>
      </c>
      <c r="C58" s="62">
        <f t="shared" ref="C58:AC58" si="51">C41*C47</f>
        <v>292465.55909594544</v>
      </c>
      <c r="D58" s="62">
        <f t="shared" si="51"/>
        <v>292066.51474890357</v>
      </c>
      <c r="E58" s="62">
        <f t="shared" si="51"/>
        <v>291495.65374840738</v>
      </c>
      <c r="F58" s="62">
        <f t="shared" si="51"/>
        <v>290679.76741196436</v>
      </c>
      <c r="G58" s="62">
        <f t="shared" si="51"/>
        <v>289515.32128951116</v>
      </c>
      <c r="H58" s="62">
        <f t="shared" si="51"/>
        <v>287856.86434123403</v>
      </c>
      <c r="I58" s="62">
        <f t="shared" si="51"/>
        <v>285502.09321744979</v>
      </c>
      <c r="J58" s="62">
        <f t="shared" si="51"/>
        <v>282173.85051303828</v>
      </c>
      <c r="K58" s="62">
        <f t="shared" si="51"/>
        <v>277501.05780251691</v>
      </c>
      <c r="L58" s="62">
        <f t="shared" si="51"/>
        <v>271004.17965861136</v>
      </c>
      <c r="M58" s="62">
        <f t="shared" si="51"/>
        <v>262097.20277201166</v>
      </c>
      <c r="N58" s="62">
        <f t="shared" si="51"/>
        <v>250127.18026947835</v>
      </c>
      <c r="O58" s="62">
        <f t="shared" si="51"/>
        <v>234480.04842038496</v>
      </c>
      <c r="P58" s="62">
        <f t="shared" si="51"/>
        <v>214775.13056499942</v>
      </c>
      <c r="Q58" s="62">
        <f t="shared" si="51"/>
        <v>191129.79476829237</v>
      </c>
      <c r="R58" s="62">
        <f t="shared" si="51"/>
        <v>164392.27200906764</v>
      </c>
      <c r="S58" s="62">
        <f t="shared" si="51"/>
        <v>136165.57893344958</v>
      </c>
      <c r="T58" s="62">
        <f t="shared" si="51"/>
        <v>108494.33438101113</v>
      </c>
      <c r="U58" s="62">
        <f t="shared" si="51"/>
        <v>83304.630892356668</v>
      </c>
      <c r="V58" s="62">
        <f t="shared" si="51"/>
        <v>61896.970009757802</v>
      </c>
      <c r="W58" s="62">
        <f t="shared" si="51"/>
        <v>44753.267537641594</v>
      </c>
      <c r="X58" s="62">
        <f t="shared" si="51"/>
        <v>31671.861659602866</v>
      </c>
      <c r="Y58" s="62">
        <f t="shared" si="51"/>
        <v>22055.979208976452</v>
      </c>
      <c r="Z58" s="62">
        <f t="shared" si="51"/>
        <v>15180.762366522398</v>
      </c>
      <c r="AA58" s="62">
        <f t="shared" si="51"/>
        <v>10362.25068958263</v>
      </c>
      <c r="AB58" s="62">
        <f t="shared" si="51"/>
        <v>7032.3629519435117</v>
      </c>
      <c r="AC58" s="62">
        <f t="shared" si="51"/>
        <v>4753.554838406355</v>
      </c>
    </row>
    <row r="59" spans="1:29" ht="15" thickBot="1" x14ac:dyDescent="0.35">
      <c r="A59" s="31" t="s">
        <v>209</v>
      </c>
      <c r="B59" s="64">
        <f>B50+B51+B52+B53+B54+B55+B56+B57+B58</f>
        <v>19049604.075936995</v>
      </c>
      <c r="C59" s="64">
        <f t="shared" ref="C59:AC59" si="52">C50+C51+C52+C53+C54+C55+C56+C57+C58</f>
        <v>19039301.237924028</v>
      </c>
      <c r="D59" s="64">
        <f t="shared" si="52"/>
        <v>19024555.918334685</v>
      </c>
      <c r="E59" s="64">
        <f t="shared" si="52"/>
        <v>19003467.768303283</v>
      </c>
      <c r="F59" s="64">
        <f t="shared" si="52"/>
        <v>18973340.545419633</v>
      </c>
      <c r="G59" s="64">
        <f t="shared" si="52"/>
        <v>18930367.753898427</v>
      </c>
      <c r="H59" s="64">
        <f t="shared" si="52"/>
        <v>18869215.252481416</v>
      </c>
      <c r="I59" s="64">
        <f t="shared" si="52"/>
        <v>18782491.011192624</v>
      </c>
      <c r="J59" s="64">
        <f t="shared" si="52"/>
        <v>18660121.871804111</v>
      </c>
      <c r="K59" s="64">
        <f t="shared" si="52"/>
        <v>18488727.452009242</v>
      </c>
      <c r="L59" s="64">
        <f t="shared" si="52"/>
        <v>18251222.10399361</v>
      </c>
      <c r="M59" s="64">
        <f t="shared" si="52"/>
        <v>17927114.450642709</v>
      </c>
      <c r="N59" s="64">
        <f t="shared" si="52"/>
        <v>17494286.580800764</v>
      </c>
      <c r="O59" s="64">
        <f t="shared" si="52"/>
        <v>16933231.696374368</v>
      </c>
      <c r="P59" s="64">
        <f t="shared" si="52"/>
        <v>16234310.51426186</v>
      </c>
      <c r="Q59" s="64">
        <f t="shared" si="52"/>
        <v>15406856.230335038</v>
      </c>
      <c r="R59" s="64">
        <f t="shared" si="52"/>
        <v>14485952.78392341</v>
      </c>
      <c r="S59" s="64">
        <f t="shared" si="52"/>
        <v>13530757.823222874</v>
      </c>
      <c r="T59" s="64">
        <f t="shared" si="52"/>
        <v>12611306.926655136</v>
      </c>
      <c r="U59" s="64">
        <f t="shared" si="52"/>
        <v>11788901.406382153</v>
      </c>
      <c r="V59" s="64">
        <f t="shared" si="52"/>
        <v>11100903.688347029</v>
      </c>
      <c r="W59" s="64">
        <f t="shared" si="52"/>
        <v>10557182.228152629</v>
      </c>
      <c r="X59" s="64">
        <f t="shared" si="52"/>
        <v>10146630.80074043</v>
      </c>
      <c r="Y59" s="64">
        <f t="shared" si="52"/>
        <v>9847233.9476819765</v>
      </c>
      <c r="Z59" s="64">
        <f t="shared" si="52"/>
        <v>9634411.8107315674</v>
      </c>
      <c r="AA59" s="64">
        <f t="shared" si="52"/>
        <v>9485872.2986055519</v>
      </c>
      <c r="AB59" s="64">
        <f t="shared" si="52"/>
        <v>9383519.6596663576</v>
      </c>
      <c r="AC59" s="64">
        <f t="shared" si="52"/>
        <v>9313614.6889382135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53">A50</f>
        <v>Capex vehicle</v>
      </c>
      <c r="B62" s="65">
        <f>((1+B35)^B42)*B35/(((1+B35)^B42)-1)*(B31)/B47</f>
        <v>19.541646546706382</v>
      </c>
      <c r="C62" s="65">
        <f t="shared" ref="C62:AC62" si="54">((1+C35)^C42)*C35/(((1+C35)^C42)-1)*(C31)/C47</f>
        <v>19.535142908407877</v>
      </c>
      <c r="D62" s="65">
        <f t="shared" si="54"/>
        <v>19.525833095040429</v>
      </c>
      <c r="E62" s="65">
        <f t="shared" si="54"/>
        <v>19.512514752322947</v>
      </c>
      <c r="F62" s="65">
        <f t="shared" si="54"/>
        <v>19.493479901741438</v>
      </c>
      <c r="G62" s="65">
        <f t="shared" si="54"/>
        <v>19.466313056359834</v>
      </c>
      <c r="H62" s="65">
        <f t="shared" si="54"/>
        <v>19.427620803779718</v>
      </c>
      <c r="I62" s="65">
        <f t="shared" si="54"/>
        <v>19.372683351719548</v>
      </c>
      <c r="J62" s="65">
        <f t="shared" si="54"/>
        <v>19.295034542384581</v>
      </c>
      <c r="K62" s="65">
        <f t="shared" si="54"/>
        <v>19.186017014978848</v>
      </c>
      <c r="L62" s="65">
        <f t="shared" si="54"/>
        <v>19.03444307729697</v>
      </c>
      <c r="M62" s="65">
        <f t="shared" si="54"/>
        <v>18.826640879127403</v>
      </c>
      <c r="N62" s="65">
        <f t="shared" si="54"/>
        <v>18.547376991970825</v>
      </c>
      <c r="O62" s="65">
        <f t="shared" si="54"/>
        <v>18.182325141641847</v>
      </c>
      <c r="P62" s="65">
        <f t="shared" si="54"/>
        <v>17.722604037923674</v>
      </c>
      <c r="Q62" s="65">
        <f t="shared" si="54"/>
        <v>17.170951909758209</v>
      </c>
      <c r="R62" s="65">
        <f t="shared" si="54"/>
        <v>16.547158217048082</v>
      </c>
      <c r="S62" s="65">
        <f t="shared" si="54"/>
        <v>15.888621775015123</v>
      </c>
      <c r="T62" s="65">
        <f t="shared" si="54"/>
        <v>15.243044098403505</v>
      </c>
      <c r="U62" s="65">
        <f t="shared" si="54"/>
        <v>14.655361451100672</v>
      </c>
      <c r="V62" s="65">
        <f t="shared" si="54"/>
        <v>14.15591488851158</v>
      </c>
      <c r="W62" s="65">
        <f t="shared" si="54"/>
        <v>13.755947637689308</v>
      </c>
      <c r="X62" s="65">
        <f t="shared" si="54"/>
        <v>13.450754873498525</v>
      </c>
      <c r="Y62" s="65">
        <f t="shared" si="54"/>
        <v>13.226413715323233</v>
      </c>
      <c r="Z62" s="65">
        <f t="shared" si="54"/>
        <v>13.066013032696132</v>
      </c>
      <c r="AA62" s="65">
        <f t="shared" si="54"/>
        <v>12.953595842091289</v>
      </c>
      <c r="AB62" s="65">
        <f t="shared" si="54"/>
        <v>12.875908653682803</v>
      </c>
      <c r="AC62" s="65">
        <f t="shared" si="54"/>
        <v>12.822743439353784</v>
      </c>
    </row>
    <row r="63" spans="1:29" x14ac:dyDescent="0.3">
      <c r="A63" s="30" t="str">
        <f t="shared" si="53"/>
        <v>Residual value (vehicle)</v>
      </c>
      <c r="B63" s="66">
        <f>((1+B35)^B42)*B35/(((1+B35)^B42)-1)*(B32)/B47</f>
        <v>-0.97847824935465733</v>
      </c>
      <c r="C63" s="66">
        <f t="shared" ref="C63:AC63" si="55">((1+C35)^C42)*C35/(((1+C35)^C42)-1)*(C32)/C47</f>
        <v>-0.9787569767103077</v>
      </c>
      <c r="D63" s="66">
        <f t="shared" si="55"/>
        <v>-0.97915596871176991</v>
      </c>
      <c r="E63" s="66">
        <f t="shared" si="55"/>
        <v>-0.97972675482823313</v>
      </c>
      <c r="F63" s="66">
        <f t="shared" si="55"/>
        <v>-0.98054253413886938</v>
      </c>
      <c r="G63" s="66">
        <f t="shared" si="55"/>
        <v>-0.98170682751236671</v>
      </c>
      <c r="H63" s="66">
        <f t="shared" si="55"/>
        <v>-0.98336506690865744</v>
      </c>
      <c r="I63" s="66">
        <f t="shared" si="55"/>
        <v>-0.98571952913980765</v>
      </c>
      <c r="J63" s="66">
        <f t="shared" si="55"/>
        <v>-0.98904733525416333</v>
      </c>
      <c r="K63" s="66">
        <f t="shared" si="55"/>
        <v>-0.99371951500012301</v>
      </c>
      <c r="L63" s="66">
        <f t="shared" si="55"/>
        <v>-1.0002155409007751</v>
      </c>
      <c r="M63" s="66">
        <f t="shared" si="55"/>
        <v>-1.0091213493937565</v>
      </c>
      <c r="N63" s="66">
        <f t="shared" si="55"/>
        <v>-1.021089801700467</v>
      </c>
      <c r="O63" s="66">
        <f t="shared" si="55"/>
        <v>-1.0367348810002803</v>
      </c>
      <c r="P63" s="66">
        <f t="shared" si="55"/>
        <v>-1.0564372140167737</v>
      </c>
      <c r="Q63" s="66">
        <f t="shared" si="55"/>
        <v>-1.0800794480810079</v>
      </c>
      <c r="R63" s="66">
        <f t="shared" si="55"/>
        <v>-1.1068134634828701</v>
      </c>
      <c r="S63" s="66">
        <f t="shared" si="55"/>
        <v>-1.1350364538557114</v>
      </c>
      <c r="T63" s="66">
        <f t="shared" si="55"/>
        <v>-1.1627040685676377</v>
      </c>
      <c r="U63" s="66">
        <f t="shared" si="55"/>
        <v>-1.1878904677377591</v>
      </c>
      <c r="V63" s="66">
        <f t="shared" si="55"/>
        <v>-1.2092953204201489</v>
      </c>
      <c r="W63" s="66">
        <f t="shared" si="55"/>
        <v>-1.2264367740268176</v>
      </c>
      <c r="X63" s="66">
        <f t="shared" si="55"/>
        <v>-1.2395164639207084</v>
      </c>
      <c r="Y63" s="66">
        <f t="shared" si="55"/>
        <v>-1.2491310849853638</v>
      </c>
      <c r="Z63" s="66">
        <f t="shared" si="55"/>
        <v>-1.2560053999550969</v>
      </c>
      <c r="AA63" s="66">
        <f t="shared" si="55"/>
        <v>-1.2608232795524472</v>
      </c>
      <c r="AB63" s="66">
        <f t="shared" si="55"/>
        <v>-1.2641527304842395</v>
      </c>
      <c r="AC63" s="66">
        <f t="shared" si="55"/>
        <v>-1.2664312396697688</v>
      </c>
    </row>
    <row r="64" spans="1:29" x14ac:dyDescent="0.3">
      <c r="A64" s="30" t="str">
        <f t="shared" si="53"/>
        <v>Capex costumization</v>
      </c>
      <c r="B64" s="66">
        <f>((1+B35)^B43)*B35/(((1+B35)^B43)-1)*(B33)/B47</f>
        <v>0.65188931843561626</v>
      </c>
      <c r="C64" s="66">
        <f t="shared" ref="C64:AC64" si="56">((1+C35)^C43)*C35/(((1+C35)^C43)-1)*(C33)/C47</f>
        <v>0.65188931843561626</v>
      </c>
      <c r="D64" s="66">
        <f t="shared" si="56"/>
        <v>0.65188931843561626</v>
      </c>
      <c r="E64" s="66">
        <f t="shared" si="56"/>
        <v>0.65188931843561626</v>
      </c>
      <c r="F64" s="66">
        <f t="shared" si="56"/>
        <v>0.65188931843561626</v>
      </c>
      <c r="G64" s="66">
        <f t="shared" si="56"/>
        <v>0.65188931843561626</v>
      </c>
      <c r="H64" s="66">
        <f t="shared" si="56"/>
        <v>0.65188931843561626</v>
      </c>
      <c r="I64" s="66">
        <f t="shared" si="56"/>
        <v>0.65188931843561626</v>
      </c>
      <c r="J64" s="66">
        <f t="shared" si="56"/>
        <v>0.65188931843561626</v>
      </c>
      <c r="K64" s="66">
        <f t="shared" si="56"/>
        <v>0.65188931843561626</v>
      </c>
      <c r="L64" s="66">
        <f t="shared" si="56"/>
        <v>0.65188931843561626</v>
      </c>
      <c r="M64" s="66">
        <f t="shared" si="56"/>
        <v>0.65188931843561626</v>
      </c>
      <c r="N64" s="66">
        <f t="shared" si="56"/>
        <v>0.65188931843561626</v>
      </c>
      <c r="O64" s="66">
        <f t="shared" si="56"/>
        <v>0.65188931843561626</v>
      </c>
      <c r="P64" s="66">
        <f t="shared" si="56"/>
        <v>0.65188931843561626</v>
      </c>
      <c r="Q64" s="66">
        <f t="shared" si="56"/>
        <v>0.65188931843561626</v>
      </c>
      <c r="R64" s="66">
        <f t="shared" si="56"/>
        <v>0.65188931843561626</v>
      </c>
      <c r="S64" s="66">
        <f t="shared" si="56"/>
        <v>0.65188931843561626</v>
      </c>
      <c r="T64" s="66">
        <f t="shared" si="56"/>
        <v>0.65188931843561626</v>
      </c>
      <c r="U64" s="66">
        <f t="shared" si="56"/>
        <v>0.65188931843561626</v>
      </c>
      <c r="V64" s="66">
        <f t="shared" si="56"/>
        <v>0.65188931843561626</v>
      </c>
      <c r="W64" s="66">
        <f t="shared" si="56"/>
        <v>0.65188931843561626</v>
      </c>
      <c r="X64" s="66">
        <f t="shared" si="56"/>
        <v>0.65188931843561626</v>
      </c>
      <c r="Y64" s="66">
        <f t="shared" si="56"/>
        <v>0.65188931843561626</v>
      </c>
      <c r="Z64" s="66">
        <f t="shared" si="56"/>
        <v>0.65188931843561626</v>
      </c>
      <c r="AA64" s="66">
        <f t="shared" si="56"/>
        <v>0.65188931843561626</v>
      </c>
      <c r="AB64" s="66">
        <f t="shared" si="56"/>
        <v>0.65188931843561626</v>
      </c>
      <c r="AC64" s="66">
        <f t="shared" si="56"/>
        <v>0.65188931843561626</v>
      </c>
    </row>
    <row r="65" spans="1:29" x14ac:dyDescent="0.3">
      <c r="A65" s="30" t="str">
        <f t="shared" si="53"/>
        <v>Residual value (costumization)</v>
      </c>
      <c r="B65" s="66">
        <f>((1+B35)^B43)*B35/(((1+B35)^B43)-1)*(B34)/B47</f>
        <v>-6.5188931843561615E-2</v>
      </c>
      <c r="C65" s="66">
        <f t="shared" ref="C65:AC65" si="57">((1+C35)^C43)*C35/(((1+C35)^C43)-1)*(C34)/C47</f>
        <v>-6.5188931843561615E-2</v>
      </c>
      <c r="D65" s="66">
        <f t="shared" si="57"/>
        <v>-6.5188931843561615E-2</v>
      </c>
      <c r="E65" s="66">
        <f t="shared" si="57"/>
        <v>-6.5188931843561615E-2</v>
      </c>
      <c r="F65" s="66">
        <f t="shared" si="57"/>
        <v>-6.5188931843561615E-2</v>
      </c>
      <c r="G65" s="66">
        <f t="shared" si="57"/>
        <v>-6.5188931843561615E-2</v>
      </c>
      <c r="H65" s="66">
        <f t="shared" si="57"/>
        <v>-6.5188931843561615E-2</v>
      </c>
      <c r="I65" s="66">
        <f t="shared" si="57"/>
        <v>-6.5188931843561615E-2</v>
      </c>
      <c r="J65" s="66">
        <f t="shared" si="57"/>
        <v>-6.5188931843561615E-2</v>
      </c>
      <c r="K65" s="66">
        <f t="shared" si="57"/>
        <v>-6.5188931843561615E-2</v>
      </c>
      <c r="L65" s="66">
        <f t="shared" si="57"/>
        <v>-6.5188931843561615E-2</v>
      </c>
      <c r="M65" s="66">
        <f t="shared" si="57"/>
        <v>-6.5188931843561615E-2</v>
      </c>
      <c r="N65" s="66">
        <f t="shared" si="57"/>
        <v>-6.5188931843561615E-2</v>
      </c>
      <c r="O65" s="66">
        <f t="shared" si="57"/>
        <v>-6.5188931843561615E-2</v>
      </c>
      <c r="P65" s="66">
        <f t="shared" si="57"/>
        <v>-6.5188931843561615E-2</v>
      </c>
      <c r="Q65" s="66">
        <f t="shared" si="57"/>
        <v>-6.5188931843561615E-2</v>
      </c>
      <c r="R65" s="66">
        <f t="shared" si="57"/>
        <v>-6.5188931843561615E-2</v>
      </c>
      <c r="S65" s="66">
        <f t="shared" si="57"/>
        <v>-6.5188931843561615E-2</v>
      </c>
      <c r="T65" s="66">
        <f t="shared" si="57"/>
        <v>-6.5188931843561615E-2</v>
      </c>
      <c r="U65" s="66">
        <f t="shared" si="57"/>
        <v>-6.5188931843561615E-2</v>
      </c>
      <c r="V65" s="66">
        <f t="shared" si="57"/>
        <v>-6.5188931843561615E-2</v>
      </c>
      <c r="W65" s="66">
        <f t="shared" si="57"/>
        <v>-6.5188931843561615E-2</v>
      </c>
      <c r="X65" s="66">
        <f t="shared" si="57"/>
        <v>-6.5188931843561615E-2</v>
      </c>
      <c r="Y65" s="66">
        <f t="shared" si="57"/>
        <v>-6.5188931843561615E-2</v>
      </c>
      <c r="Z65" s="66">
        <f t="shared" si="57"/>
        <v>-6.5188931843561615E-2</v>
      </c>
      <c r="AA65" s="66">
        <f t="shared" si="57"/>
        <v>-6.5188931843561615E-2</v>
      </c>
      <c r="AB65" s="66">
        <f t="shared" si="57"/>
        <v>-6.5188931843561615E-2</v>
      </c>
      <c r="AC65" s="66">
        <f t="shared" si="57"/>
        <v>-6.5188931843561615E-2</v>
      </c>
    </row>
    <row r="66" spans="1:29" x14ac:dyDescent="0.3">
      <c r="A66" s="30" t="str">
        <f t="shared" si="53"/>
        <v>Opex fix (admin, crew, insurance)</v>
      </c>
      <c r="B66" s="66">
        <f>B36/B47</f>
        <v>10.068627450980392</v>
      </c>
      <c r="C66" s="66">
        <f t="shared" ref="C66:AC66" si="58">C36/C47</f>
        <v>10.068627450980392</v>
      </c>
      <c r="D66" s="66">
        <f t="shared" si="58"/>
        <v>10.068627450980392</v>
      </c>
      <c r="E66" s="66">
        <f t="shared" si="58"/>
        <v>10.068627450980392</v>
      </c>
      <c r="F66" s="66">
        <f t="shared" si="58"/>
        <v>10.068627450980392</v>
      </c>
      <c r="G66" s="66">
        <f t="shared" si="58"/>
        <v>10.068627450980392</v>
      </c>
      <c r="H66" s="66">
        <f t="shared" si="58"/>
        <v>10.068627450980392</v>
      </c>
      <c r="I66" s="66">
        <f t="shared" si="58"/>
        <v>10.068627450980392</v>
      </c>
      <c r="J66" s="66">
        <f t="shared" si="58"/>
        <v>10.068627450980392</v>
      </c>
      <c r="K66" s="66">
        <f t="shared" si="58"/>
        <v>10.068627450980392</v>
      </c>
      <c r="L66" s="66">
        <f t="shared" si="58"/>
        <v>10.068627450980392</v>
      </c>
      <c r="M66" s="66">
        <f t="shared" si="58"/>
        <v>10.068627450980392</v>
      </c>
      <c r="N66" s="66">
        <f t="shared" si="58"/>
        <v>10.068627450980392</v>
      </c>
      <c r="O66" s="66">
        <f t="shared" si="58"/>
        <v>10.068627450980392</v>
      </c>
      <c r="P66" s="66">
        <f t="shared" si="58"/>
        <v>10.068627450980392</v>
      </c>
      <c r="Q66" s="66">
        <f t="shared" si="58"/>
        <v>10.068627450980392</v>
      </c>
      <c r="R66" s="66">
        <f t="shared" si="58"/>
        <v>10.068627450980392</v>
      </c>
      <c r="S66" s="66">
        <f t="shared" si="58"/>
        <v>10.068627450980392</v>
      </c>
      <c r="T66" s="66">
        <f t="shared" si="58"/>
        <v>10.068627450980392</v>
      </c>
      <c r="U66" s="66">
        <f t="shared" si="58"/>
        <v>10.068627450980392</v>
      </c>
      <c r="V66" s="66">
        <f t="shared" si="58"/>
        <v>10.068627450980392</v>
      </c>
      <c r="W66" s="66">
        <f t="shared" si="58"/>
        <v>10.068627450980392</v>
      </c>
      <c r="X66" s="66">
        <f t="shared" si="58"/>
        <v>10.068627450980392</v>
      </c>
      <c r="Y66" s="66">
        <f t="shared" si="58"/>
        <v>10.068627450980392</v>
      </c>
      <c r="Z66" s="66">
        <f t="shared" si="58"/>
        <v>10.068627450980392</v>
      </c>
      <c r="AA66" s="66">
        <f t="shared" si="58"/>
        <v>10.068627450980392</v>
      </c>
      <c r="AB66" s="66">
        <f t="shared" si="58"/>
        <v>10.068627450980392</v>
      </c>
      <c r="AC66" s="66">
        <f t="shared" si="58"/>
        <v>10.068627450980392</v>
      </c>
    </row>
    <row r="67" spans="1:29" x14ac:dyDescent="0.3">
      <c r="A67" s="30" t="str">
        <f t="shared" si="53"/>
        <v>Opex maintenance &amp; repair</v>
      </c>
      <c r="B67" s="66">
        <f>B37/B47</f>
        <v>2.8235294117647056</v>
      </c>
      <c r="C67" s="66">
        <f t="shared" ref="C67:AC67" si="59">C37/C47</f>
        <v>2.8235294117647056</v>
      </c>
      <c r="D67" s="66">
        <f t="shared" si="59"/>
        <v>2.8235294117647056</v>
      </c>
      <c r="E67" s="66">
        <f t="shared" si="59"/>
        <v>2.8235294117647056</v>
      </c>
      <c r="F67" s="66">
        <f t="shared" si="59"/>
        <v>2.8235294117647056</v>
      </c>
      <c r="G67" s="66">
        <f t="shared" si="59"/>
        <v>2.8235294117647056</v>
      </c>
      <c r="H67" s="66">
        <f t="shared" si="59"/>
        <v>2.8235294117647056</v>
      </c>
      <c r="I67" s="66">
        <f t="shared" si="59"/>
        <v>2.8235294117647056</v>
      </c>
      <c r="J67" s="66">
        <f t="shared" si="59"/>
        <v>2.8235294117647056</v>
      </c>
      <c r="K67" s="66">
        <f t="shared" si="59"/>
        <v>2.8235294117647056</v>
      </c>
      <c r="L67" s="66">
        <f t="shared" si="59"/>
        <v>2.8235294117647056</v>
      </c>
      <c r="M67" s="66">
        <f t="shared" si="59"/>
        <v>2.8235294117647056</v>
      </c>
      <c r="N67" s="66">
        <f t="shared" si="59"/>
        <v>2.8235294117647056</v>
      </c>
      <c r="O67" s="66">
        <f t="shared" si="59"/>
        <v>2.8235294117647056</v>
      </c>
      <c r="P67" s="66">
        <f t="shared" si="59"/>
        <v>2.8235294117647056</v>
      </c>
      <c r="Q67" s="66">
        <f t="shared" si="59"/>
        <v>2.8235294117647056</v>
      </c>
      <c r="R67" s="66">
        <f t="shared" si="59"/>
        <v>2.8235294117647056</v>
      </c>
      <c r="S67" s="66">
        <f t="shared" si="59"/>
        <v>2.8235294117647056</v>
      </c>
      <c r="T67" s="66">
        <f t="shared" si="59"/>
        <v>2.8235294117647056</v>
      </c>
      <c r="U67" s="66">
        <f t="shared" si="59"/>
        <v>2.8235294117647056</v>
      </c>
      <c r="V67" s="66">
        <f t="shared" si="59"/>
        <v>2.8235294117647056</v>
      </c>
      <c r="W67" s="66">
        <f t="shared" si="59"/>
        <v>2.8235294117647056</v>
      </c>
      <c r="X67" s="66">
        <f t="shared" si="59"/>
        <v>2.8235294117647056</v>
      </c>
      <c r="Y67" s="66">
        <f t="shared" si="59"/>
        <v>2.8235294117647056</v>
      </c>
      <c r="Z67" s="66">
        <f t="shared" si="59"/>
        <v>2.8235294117647056</v>
      </c>
      <c r="AA67" s="66">
        <f t="shared" si="59"/>
        <v>2.8235294117647056</v>
      </c>
      <c r="AB67" s="66">
        <f t="shared" si="59"/>
        <v>2.8235294117647056</v>
      </c>
      <c r="AC67" s="66">
        <f t="shared" si="59"/>
        <v>2.8235294117647056</v>
      </c>
    </row>
    <row r="68" spans="1:29" x14ac:dyDescent="0.3">
      <c r="A68" s="30" t="str">
        <f t="shared" si="53"/>
        <v>Opex var (mode-fees)</v>
      </c>
      <c r="B68" s="66">
        <f>B38*B47/B47</f>
        <v>0.8458018624557011</v>
      </c>
      <c r="C68" s="66">
        <f t="shared" ref="C68:AC68" si="60">C38*C47/C47</f>
        <v>0.8458018624557011</v>
      </c>
      <c r="D68" s="66">
        <f t="shared" si="60"/>
        <v>0.8458018624557011</v>
      </c>
      <c r="E68" s="66">
        <f t="shared" si="60"/>
        <v>0.8458018624557011</v>
      </c>
      <c r="F68" s="66">
        <f t="shared" si="60"/>
        <v>0.8458018624557011</v>
      </c>
      <c r="G68" s="66">
        <f t="shared" si="60"/>
        <v>0.8458018624557011</v>
      </c>
      <c r="H68" s="66">
        <f t="shared" si="60"/>
        <v>0.8458018624557011</v>
      </c>
      <c r="I68" s="66">
        <f t="shared" si="60"/>
        <v>0.8458018624557011</v>
      </c>
      <c r="J68" s="66">
        <f t="shared" si="60"/>
        <v>0.8458018624557011</v>
      </c>
      <c r="K68" s="66">
        <f t="shared" si="60"/>
        <v>0.8458018624557011</v>
      </c>
      <c r="L68" s="66">
        <f t="shared" si="60"/>
        <v>0.8458018624557011</v>
      </c>
      <c r="M68" s="66">
        <f t="shared" si="60"/>
        <v>0.8458018624557011</v>
      </c>
      <c r="N68" s="66">
        <f t="shared" si="60"/>
        <v>0.8458018624557011</v>
      </c>
      <c r="O68" s="66">
        <f t="shared" si="60"/>
        <v>0.8458018624557011</v>
      </c>
      <c r="P68" s="66">
        <f t="shared" si="60"/>
        <v>0.8458018624557011</v>
      </c>
      <c r="Q68" s="66">
        <f t="shared" si="60"/>
        <v>0.8458018624557011</v>
      </c>
      <c r="R68" s="66">
        <f t="shared" si="60"/>
        <v>0.8458018624557011</v>
      </c>
      <c r="S68" s="66">
        <f t="shared" si="60"/>
        <v>0.8458018624557011</v>
      </c>
      <c r="T68" s="66">
        <f t="shared" si="60"/>
        <v>0.8458018624557011</v>
      </c>
      <c r="U68" s="66">
        <f t="shared" si="60"/>
        <v>0.8458018624557011</v>
      </c>
      <c r="V68" s="66">
        <f t="shared" si="60"/>
        <v>0.8458018624557011</v>
      </c>
      <c r="W68" s="66">
        <f t="shared" si="60"/>
        <v>0.8458018624557011</v>
      </c>
      <c r="X68" s="66">
        <f t="shared" si="60"/>
        <v>0.8458018624557011</v>
      </c>
      <c r="Y68" s="66">
        <f t="shared" si="60"/>
        <v>0.8458018624557011</v>
      </c>
      <c r="Z68" s="66">
        <f t="shared" si="60"/>
        <v>0.8458018624557011</v>
      </c>
      <c r="AA68" s="66">
        <f t="shared" si="60"/>
        <v>0.8458018624557011</v>
      </c>
      <c r="AB68" s="66">
        <f t="shared" si="60"/>
        <v>0.8458018624557011</v>
      </c>
      <c r="AC68" s="66">
        <f t="shared" si="60"/>
        <v>0.8458018624557011</v>
      </c>
    </row>
    <row r="69" spans="1:29" x14ac:dyDescent="0.3">
      <c r="A69" s="30" t="str">
        <f t="shared" si="53"/>
        <v>Fuel Cost</v>
      </c>
      <c r="B69" s="66">
        <f>B39*B40*B47/B47</f>
        <v>123.41933719850446</v>
      </c>
      <c r="C69" s="66">
        <f t="shared" ref="C69:AC69" si="61">C39*C40*C47/C47</f>
        <v>123.34258561341028</v>
      </c>
      <c r="D69" s="66">
        <f t="shared" si="61"/>
        <v>123.23274212509334</v>
      </c>
      <c r="E69" s="66">
        <f t="shared" si="61"/>
        <v>123.07565384533636</v>
      </c>
      <c r="F69" s="66">
        <f t="shared" si="61"/>
        <v>122.85124333733515</v>
      </c>
      <c r="G69" s="66">
        <f t="shared" si="61"/>
        <v>122.53117159776731</v>
      </c>
      <c r="H69" s="66">
        <f t="shared" si="61"/>
        <v>122.0757383858376</v>
      </c>
      <c r="I69" s="66">
        <f t="shared" si="61"/>
        <v>121.42995138208717</v>
      </c>
      <c r="J69" s="66">
        <f t="shared" si="61"/>
        <v>120.51892052516899</v>
      </c>
      <c r="K69" s="66">
        <f t="shared" si="61"/>
        <v>119.24326333995113</v>
      </c>
      <c r="L69" s="66">
        <f t="shared" si="61"/>
        <v>117.47626272126928</v>
      </c>
      <c r="M69" s="66">
        <f t="shared" si="61"/>
        <v>115.06629842406267</v>
      </c>
      <c r="N69" s="66">
        <f t="shared" si="61"/>
        <v>111.85038203569751</v>
      </c>
      <c r="O69" s="66">
        <f t="shared" si="61"/>
        <v>107.68601436051544</v>
      </c>
      <c r="P69" s="66">
        <f t="shared" si="61"/>
        <v>102.5053022617741</v>
      </c>
      <c r="Q69" s="66">
        <f t="shared" si="61"/>
        <v>96.38218872291948</v>
      </c>
      <c r="R69" s="66">
        <f t="shared" si="61"/>
        <v>89.581333733928119</v>
      </c>
      <c r="S69" s="66">
        <f t="shared" si="61"/>
        <v>82.543357602792938</v>
      </c>
      <c r="T69" s="66">
        <f t="shared" si="61"/>
        <v>75.78510579398899</v>
      </c>
      <c r="U69" s="66">
        <f t="shared" si="61"/>
        <v>69.754509700592536</v>
      </c>
      <c r="V69" s="66">
        <f t="shared" si="61"/>
        <v>64.720443972926304</v>
      </c>
      <c r="W69" s="66">
        <f t="shared" si="61"/>
        <v>60.7494046963362</v>
      </c>
      <c r="X69" s="66">
        <f t="shared" si="61"/>
        <v>57.755426970969552</v>
      </c>
      <c r="Y69" s="66">
        <f t="shared" si="61"/>
        <v>55.574541328477608</v>
      </c>
      <c r="Z69" s="66">
        <f t="shared" si="61"/>
        <v>54.02559199184148</v>
      </c>
      <c r="AA69" s="66">
        <f t="shared" si="61"/>
        <v>52.945152058301368</v>
      </c>
      <c r="AB69" s="66">
        <f t="shared" si="61"/>
        <v>52.200979104295371</v>
      </c>
      <c r="AC69" s="66">
        <f t="shared" si="61"/>
        <v>51.692871472688196</v>
      </c>
    </row>
    <row r="70" spans="1:29" ht="15" thickBot="1" x14ac:dyDescent="0.35">
      <c r="A70" s="59" t="str">
        <f t="shared" ref="A70" si="62">A58</f>
        <v>Emission Cost</v>
      </c>
      <c r="B70" s="66">
        <f>B41</f>
        <v>2.4395360251592355</v>
      </c>
      <c r="C70" s="66">
        <f t="shared" ref="C70:AC70" si="63">C41</f>
        <v>2.437212992466212</v>
      </c>
      <c r="D70" s="66">
        <f t="shared" si="63"/>
        <v>2.4338876229075299</v>
      </c>
      <c r="E70" s="66">
        <f t="shared" si="63"/>
        <v>2.4291304479033946</v>
      </c>
      <c r="F70" s="66">
        <f t="shared" si="63"/>
        <v>2.422331395099703</v>
      </c>
      <c r="G70" s="66">
        <f t="shared" si="63"/>
        <v>2.4126276774125932</v>
      </c>
      <c r="H70" s="66">
        <f t="shared" si="63"/>
        <v>2.3988072028436171</v>
      </c>
      <c r="I70" s="66">
        <f t="shared" si="63"/>
        <v>2.379184110145415</v>
      </c>
      <c r="J70" s="66">
        <f t="shared" si="63"/>
        <v>2.3514487542753191</v>
      </c>
      <c r="K70" s="66">
        <f t="shared" si="63"/>
        <v>2.3125088150209741</v>
      </c>
      <c r="L70" s="66">
        <f t="shared" si="63"/>
        <v>2.2583681638217614</v>
      </c>
      <c r="M70" s="66">
        <f t="shared" si="63"/>
        <v>2.1841433564334305</v>
      </c>
      <c r="N70" s="66">
        <f t="shared" si="63"/>
        <v>2.0843931689123196</v>
      </c>
      <c r="O70" s="66">
        <f t="shared" si="63"/>
        <v>1.9540004035032079</v>
      </c>
      <c r="P70" s="66">
        <f t="shared" si="63"/>
        <v>1.7897927547083285</v>
      </c>
      <c r="Q70" s="66">
        <f t="shared" si="63"/>
        <v>1.5927482897357697</v>
      </c>
      <c r="R70" s="66">
        <f t="shared" si="63"/>
        <v>1.3699356000755636</v>
      </c>
      <c r="S70" s="66">
        <f t="shared" si="63"/>
        <v>1.1347131577787466</v>
      </c>
      <c r="T70" s="66">
        <f t="shared" si="63"/>
        <v>0.90411945317509268</v>
      </c>
      <c r="U70" s="66">
        <f t="shared" si="63"/>
        <v>0.69420525743630557</v>
      </c>
      <c r="V70" s="66">
        <f t="shared" si="63"/>
        <v>0.51580808341464834</v>
      </c>
      <c r="W70" s="66">
        <f t="shared" si="63"/>
        <v>0.37294389614701329</v>
      </c>
      <c r="X70" s="66">
        <f t="shared" si="63"/>
        <v>0.26393218049669054</v>
      </c>
      <c r="Y70" s="66">
        <f t="shared" si="63"/>
        <v>0.18379982674147044</v>
      </c>
      <c r="Z70" s="66">
        <f t="shared" si="63"/>
        <v>0.12650635305435332</v>
      </c>
      <c r="AA70" s="66">
        <f t="shared" si="63"/>
        <v>8.6352089079855254E-2</v>
      </c>
      <c r="AB70" s="66">
        <f t="shared" si="63"/>
        <v>5.8603024599529263E-2</v>
      </c>
      <c r="AC70" s="66">
        <f t="shared" si="63"/>
        <v>3.9612956986719627E-2</v>
      </c>
    </row>
    <row r="71" spans="1:29" ht="15" thickBot="1" x14ac:dyDescent="0.35">
      <c r="A71" s="31" t="s">
        <v>63</v>
      </c>
      <c r="B71" s="76">
        <f>B62+B63+B64-B65+B66+B67+B68+B69+B70</f>
        <v>158.87707849649539</v>
      </c>
      <c r="C71" s="76">
        <f t="shared" ref="C71:AC71" si="64">C62+C63+C64-C65+C66+C67+C68+C69+C70</f>
        <v>158.79122151305404</v>
      </c>
      <c r="D71" s="76">
        <f t="shared" si="64"/>
        <v>158.66834384980947</v>
      </c>
      <c r="E71" s="76">
        <f t="shared" si="64"/>
        <v>158.49260926621443</v>
      </c>
      <c r="F71" s="76">
        <f t="shared" si="64"/>
        <v>158.24154907551738</v>
      </c>
      <c r="G71" s="76">
        <f t="shared" si="64"/>
        <v>157.88344247950735</v>
      </c>
      <c r="H71" s="76">
        <f t="shared" si="64"/>
        <v>157.37383830103224</v>
      </c>
      <c r="I71" s="76">
        <f t="shared" si="64"/>
        <v>156.6511362902923</v>
      </c>
      <c r="J71" s="76">
        <f t="shared" si="64"/>
        <v>155.63139346205469</v>
      </c>
      <c r="K71" s="76">
        <f t="shared" si="64"/>
        <v>154.2031066304308</v>
      </c>
      <c r="L71" s="76">
        <f t="shared" si="64"/>
        <v>152.22389539696721</v>
      </c>
      <c r="M71" s="76">
        <f t="shared" si="64"/>
        <v>149.52299828570972</v>
      </c>
      <c r="N71" s="76">
        <f t="shared" si="64"/>
        <v>145.91609937036017</v>
      </c>
      <c r="O71" s="76">
        <f t="shared" si="64"/>
        <v>141.24064200014021</v>
      </c>
      <c r="P71" s="76">
        <f t="shared" si="64"/>
        <v>135.41629881586928</v>
      </c>
      <c r="Q71" s="76">
        <f t="shared" si="64"/>
        <v>128.52084644981244</v>
      </c>
      <c r="R71" s="76">
        <f t="shared" si="64"/>
        <v>120.84665106304887</v>
      </c>
      <c r="S71" s="76">
        <f t="shared" si="64"/>
        <v>112.88669305721108</v>
      </c>
      <c r="T71" s="76">
        <f t="shared" si="64"/>
        <v>105.22460225247994</v>
      </c>
      <c r="U71" s="76">
        <f t="shared" si="64"/>
        <v>98.37122291687173</v>
      </c>
      <c r="V71" s="76">
        <f t="shared" si="64"/>
        <v>92.637908599912365</v>
      </c>
      <c r="W71" s="76">
        <f t="shared" si="64"/>
        <v>88.106896431625671</v>
      </c>
      <c r="X71" s="76">
        <f t="shared" si="64"/>
        <v>84.685634536524034</v>
      </c>
      <c r="Y71" s="76">
        <f t="shared" si="64"/>
        <v>82.190660761036924</v>
      </c>
      <c r="Z71" s="76">
        <f t="shared" si="64"/>
        <v>80.417142953116851</v>
      </c>
      <c r="AA71" s="76">
        <f t="shared" si="64"/>
        <v>79.179313685400032</v>
      </c>
      <c r="AB71" s="76">
        <f t="shared" si="64"/>
        <v>78.326375027573448</v>
      </c>
      <c r="AC71" s="76">
        <f t="shared" si="64"/>
        <v>77.743833604838912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5">A50</f>
        <v>Capex vehicle</v>
      </c>
      <c r="B74" s="65">
        <f>((1+B35)^B42)*B35/(((1+B35)^B42)-1)*(B31)/B47/(B44)</f>
        <v>2.0678991054715748E-3</v>
      </c>
      <c r="C74" s="65">
        <f t="shared" ref="C74:AC74" si="66">((1+C35)^C42)*C35/(((1+C35)^C42)-1)*(C31)/C47/(C44)</f>
        <v>2.0672108897786113E-3</v>
      </c>
      <c r="D74" s="65">
        <f t="shared" si="66"/>
        <v>2.0662257243429026E-3</v>
      </c>
      <c r="E74" s="65">
        <f t="shared" si="66"/>
        <v>2.0648163759071901E-3</v>
      </c>
      <c r="F74" s="65">
        <f t="shared" si="66"/>
        <v>2.0628021060043848E-3</v>
      </c>
      <c r="G74" s="65">
        <f t="shared" si="66"/>
        <v>2.0599273075513052E-3</v>
      </c>
      <c r="H74" s="65">
        <f t="shared" si="66"/>
        <v>2.0558328892888592E-3</v>
      </c>
      <c r="I74" s="65">
        <f t="shared" si="66"/>
        <v>2.0500194022983649E-3</v>
      </c>
      <c r="J74" s="65">
        <f t="shared" si="66"/>
        <v>2.0418025970777333E-3</v>
      </c>
      <c r="K74" s="65">
        <f t="shared" si="66"/>
        <v>2.0302663507914126E-3</v>
      </c>
      <c r="L74" s="65">
        <f t="shared" si="66"/>
        <v>2.0142267806663458E-3</v>
      </c>
      <c r="M74" s="65">
        <f t="shared" si="66"/>
        <v>1.9922371300663917E-3</v>
      </c>
      <c r="N74" s="65">
        <f t="shared" si="66"/>
        <v>1.9626853959757488E-3</v>
      </c>
      <c r="O74" s="65">
        <f t="shared" si="66"/>
        <v>1.9240555705441109E-3</v>
      </c>
      <c r="P74" s="65">
        <f t="shared" si="66"/>
        <v>1.8754078347009179E-3</v>
      </c>
      <c r="Q74" s="65">
        <f t="shared" si="66"/>
        <v>1.8170319481225618E-3</v>
      </c>
      <c r="R74" s="65">
        <f t="shared" si="66"/>
        <v>1.7510220335500617E-3</v>
      </c>
      <c r="S74" s="65">
        <f t="shared" si="66"/>
        <v>1.6813356375677379E-3</v>
      </c>
      <c r="T74" s="65">
        <f t="shared" si="66"/>
        <v>1.6130205395135985E-3</v>
      </c>
      <c r="U74" s="65">
        <f t="shared" si="66"/>
        <v>1.5508318995873728E-3</v>
      </c>
      <c r="V74" s="65">
        <f t="shared" si="66"/>
        <v>1.497980411482707E-3</v>
      </c>
      <c r="W74" s="65">
        <f t="shared" si="66"/>
        <v>1.4556558346761172E-3</v>
      </c>
      <c r="X74" s="65">
        <f t="shared" si="66"/>
        <v>1.423360304073918E-3</v>
      </c>
      <c r="Y74" s="65">
        <f t="shared" si="66"/>
        <v>1.3996204989760034E-3</v>
      </c>
      <c r="Z74" s="65">
        <f t="shared" si="66"/>
        <v>1.3826468817667865E-3</v>
      </c>
      <c r="AA74" s="65">
        <f t="shared" si="66"/>
        <v>1.370750882760983E-3</v>
      </c>
      <c r="AB74" s="65">
        <f t="shared" si="66"/>
        <v>1.3625300162627306E-3</v>
      </c>
      <c r="AC74" s="65">
        <f t="shared" si="66"/>
        <v>1.3569040676564852E-3</v>
      </c>
    </row>
    <row r="75" spans="1:29" x14ac:dyDescent="0.3">
      <c r="A75" s="30" t="str">
        <f t="shared" si="65"/>
        <v>Residual value (vehicle)</v>
      </c>
      <c r="B75" s="68">
        <f>((1+B35)^B42)*B35/(((1+B35)^B42)-1)*(B32)/B47/(B44)</f>
        <v>-1.0354267188938173E-4</v>
      </c>
      <c r="C75" s="68">
        <f t="shared" ref="C75:AC75" si="67">((1+C35)^C42)*C35/(((1+C35)^C42)-1)*(C32)/C47/(C44)</f>
        <v>-1.0357216684765161E-4</v>
      </c>
      <c r="D75" s="68">
        <f t="shared" si="67"/>
        <v>-1.0361438822346771E-4</v>
      </c>
      <c r="E75" s="68">
        <f t="shared" si="67"/>
        <v>-1.036747888707125E-4</v>
      </c>
      <c r="F75" s="68">
        <f t="shared" si="67"/>
        <v>-1.0376111472368988E-4</v>
      </c>
      <c r="G75" s="68">
        <f t="shared" si="67"/>
        <v>-1.0388432037167901E-4</v>
      </c>
      <c r="H75" s="68">
        <f t="shared" si="67"/>
        <v>-1.0405979544006957E-4</v>
      </c>
      <c r="I75" s="68">
        <f t="shared" si="67"/>
        <v>-1.0430894488251933E-4</v>
      </c>
      <c r="J75" s="68">
        <f t="shared" si="67"/>
        <v>-1.0466109367768924E-4</v>
      </c>
      <c r="K75" s="68">
        <f t="shared" si="67"/>
        <v>-1.0515550423281725E-4</v>
      </c>
      <c r="L75" s="68">
        <f t="shared" si="67"/>
        <v>-1.0584291438103441E-4</v>
      </c>
      <c r="M75" s="68">
        <f t="shared" si="67"/>
        <v>-1.067853279781753E-4</v>
      </c>
      <c r="N75" s="68">
        <f t="shared" si="67"/>
        <v>-1.0805183086777429E-4</v>
      </c>
      <c r="O75" s="68">
        <f t="shared" si="67"/>
        <v>-1.0970739481484449E-4</v>
      </c>
      <c r="P75" s="68">
        <f t="shared" si="67"/>
        <v>-1.1179229777955277E-4</v>
      </c>
      <c r="Q75" s="68">
        <f t="shared" si="67"/>
        <v>-1.1429412149005375E-4</v>
      </c>
      <c r="R75" s="68">
        <f t="shared" si="67"/>
        <v>-1.1712311782887515E-4</v>
      </c>
      <c r="S75" s="68">
        <f t="shared" si="67"/>
        <v>-1.2010967765668903E-4</v>
      </c>
      <c r="T75" s="68">
        <f t="shared" si="67"/>
        <v>-1.2303746757329499E-4</v>
      </c>
      <c r="U75" s="68">
        <f t="shared" si="67"/>
        <v>-1.2570269499870466E-4</v>
      </c>
      <c r="V75" s="68">
        <f t="shared" si="67"/>
        <v>-1.2796775877461892E-4</v>
      </c>
      <c r="W75" s="68">
        <f t="shared" si="67"/>
        <v>-1.2978166920918704E-4</v>
      </c>
      <c r="X75" s="68">
        <f t="shared" si="67"/>
        <v>-1.3116576337785275E-4</v>
      </c>
      <c r="Y75" s="68">
        <f t="shared" si="67"/>
        <v>-1.321831835963348E-4</v>
      </c>
      <c r="Z75" s="68">
        <f t="shared" si="67"/>
        <v>-1.3291062433387269E-4</v>
      </c>
      <c r="AA75" s="68">
        <f t="shared" si="67"/>
        <v>-1.3342045286269283E-4</v>
      </c>
      <c r="AB75" s="68">
        <f t="shared" si="67"/>
        <v>-1.3377277571261794E-4</v>
      </c>
      <c r="AC75" s="68">
        <f t="shared" si="67"/>
        <v>-1.3401388779574273E-4</v>
      </c>
    </row>
    <row r="76" spans="1:29" x14ac:dyDescent="0.3">
      <c r="A76" s="30" t="str">
        <f t="shared" si="65"/>
        <v>Capex costumization</v>
      </c>
      <c r="B76" s="66">
        <f>((1+B35)^B43)*B35/(((1+B35)^B43)-1)*(B33)/B47/(B44)</f>
        <v>6.8982996659853576E-5</v>
      </c>
      <c r="C76" s="66">
        <f t="shared" ref="C76:AC76" si="68">((1+C35)^C43)*C35/(((1+C35)^C43)-1)*(C33)/C47/(C44)</f>
        <v>6.8982996659853576E-5</v>
      </c>
      <c r="D76" s="66">
        <f t="shared" si="68"/>
        <v>6.8982996659853576E-5</v>
      </c>
      <c r="E76" s="66">
        <f t="shared" si="68"/>
        <v>6.8982996659853576E-5</v>
      </c>
      <c r="F76" s="66">
        <f t="shared" si="68"/>
        <v>6.8982996659853576E-5</v>
      </c>
      <c r="G76" s="66">
        <f t="shared" si="68"/>
        <v>6.8982996659853576E-5</v>
      </c>
      <c r="H76" s="66">
        <f t="shared" si="68"/>
        <v>6.8982996659853576E-5</v>
      </c>
      <c r="I76" s="66">
        <f t="shared" si="68"/>
        <v>6.8982996659853576E-5</v>
      </c>
      <c r="J76" s="66">
        <f t="shared" si="68"/>
        <v>6.8982996659853576E-5</v>
      </c>
      <c r="K76" s="66">
        <f t="shared" si="68"/>
        <v>6.8982996659853576E-5</v>
      </c>
      <c r="L76" s="66">
        <f t="shared" si="68"/>
        <v>6.8982996659853576E-5</v>
      </c>
      <c r="M76" s="66">
        <f t="shared" si="68"/>
        <v>6.8982996659853576E-5</v>
      </c>
      <c r="N76" s="66">
        <f t="shared" si="68"/>
        <v>6.8982996659853576E-5</v>
      </c>
      <c r="O76" s="66">
        <f t="shared" si="68"/>
        <v>6.8982996659853576E-5</v>
      </c>
      <c r="P76" s="66">
        <f t="shared" si="68"/>
        <v>6.8982996659853576E-5</v>
      </c>
      <c r="Q76" s="66">
        <f t="shared" si="68"/>
        <v>6.8982996659853576E-5</v>
      </c>
      <c r="R76" s="66">
        <f t="shared" si="68"/>
        <v>6.8982996659853576E-5</v>
      </c>
      <c r="S76" s="66">
        <f t="shared" si="68"/>
        <v>6.8982996659853576E-5</v>
      </c>
      <c r="T76" s="66">
        <f t="shared" si="68"/>
        <v>6.8982996659853576E-5</v>
      </c>
      <c r="U76" s="66">
        <f t="shared" si="68"/>
        <v>6.8982996659853576E-5</v>
      </c>
      <c r="V76" s="66">
        <f t="shared" si="68"/>
        <v>6.8982996659853576E-5</v>
      </c>
      <c r="W76" s="66">
        <f t="shared" si="68"/>
        <v>6.8982996659853576E-5</v>
      </c>
      <c r="X76" s="66">
        <f t="shared" si="68"/>
        <v>6.8982996659853576E-5</v>
      </c>
      <c r="Y76" s="66">
        <f t="shared" si="68"/>
        <v>6.8982996659853576E-5</v>
      </c>
      <c r="Z76" s="66">
        <f t="shared" si="68"/>
        <v>6.8982996659853576E-5</v>
      </c>
      <c r="AA76" s="66">
        <f t="shared" si="68"/>
        <v>6.8982996659853576E-5</v>
      </c>
      <c r="AB76" s="66">
        <f t="shared" si="68"/>
        <v>6.8982996659853576E-5</v>
      </c>
      <c r="AC76" s="66">
        <f t="shared" si="68"/>
        <v>6.8982996659853576E-5</v>
      </c>
    </row>
    <row r="77" spans="1:29" x14ac:dyDescent="0.3">
      <c r="A77" s="30" t="str">
        <f t="shared" si="65"/>
        <v>Residual value (costumization)</v>
      </c>
      <c r="B77" s="69">
        <f>((1+B35)^B43)*B35/(((1+B35)^B43)-1)*(B34)/B47/(B44)</f>
        <v>-6.8982996659853564E-6</v>
      </c>
      <c r="C77" s="69">
        <f t="shared" ref="C77:AC77" si="69">((1+C35)^C43)*C35/(((1+C35)^C43)-1)*(C34)/C47/(C44)</f>
        <v>-6.8982996659853564E-6</v>
      </c>
      <c r="D77" s="69">
        <f t="shared" si="69"/>
        <v>-6.8982996659853564E-6</v>
      </c>
      <c r="E77" s="69">
        <f t="shared" si="69"/>
        <v>-6.8982996659853564E-6</v>
      </c>
      <c r="F77" s="69">
        <f t="shared" si="69"/>
        <v>-6.8982996659853564E-6</v>
      </c>
      <c r="G77" s="69">
        <f t="shared" si="69"/>
        <v>-6.8982996659853564E-6</v>
      </c>
      <c r="H77" s="69">
        <f t="shared" si="69"/>
        <v>-6.8982996659853564E-6</v>
      </c>
      <c r="I77" s="69">
        <f t="shared" si="69"/>
        <v>-6.8982996659853564E-6</v>
      </c>
      <c r="J77" s="69">
        <f t="shared" si="69"/>
        <v>-6.8982996659853564E-6</v>
      </c>
      <c r="K77" s="69">
        <f t="shared" si="69"/>
        <v>-6.8982996659853564E-6</v>
      </c>
      <c r="L77" s="69">
        <f t="shared" si="69"/>
        <v>-6.8982996659853564E-6</v>
      </c>
      <c r="M77" s="69">
        <f t="shared" si="69"/>
        <v>-6.8982996659853564E-6</v>
      </c>
      <c r="N77" s="69">
        <f t="shared" si="69"/>
        <v>-6.8982996659853564E-6</v>
      </c>
      <c r="O77" s="69">
        <f t="shared" si="69"/>
        <v>-6.8982996659853564E-6</v>
      </c>
      <c r="P77" s="69">
        <f t="shared" si="69"/>
        <v>-6.8982996659853564E-6</v>
      </c>
      <c r="Q77" s="69">
        <f t="shared" si="69"/>
        <v>-6.8982996659853564E-6</v>
      </c>
      <c r="R77" s="69">
        <f t="shared" si="69"/>
        <v>-6.8982996659853564E-6</v>
      </c>
      <c r="S77" s="69">
        <f t="shared" si="69"/>
        <v>-6.8982996659853564E-6</v>
      </c>
      <c r="T77" s="69">
        <f t="shared" si="69"/>
        <v>-6.8982996659853564E-6</v>
      </c>
      <c r="U77" s="69">
        <f t="shared" si="69"/>
        <v>-6.8982996659853564E-6</v>
      </c>
      <c r="V77" s="69">
        <f t="shared" si="69"/>
        <v>-6.8982996659853564E-6</v>
      </c>
      <c r="W77" s="69">
        <f t="shared" si="69"/>
        <v>-6.8982996659853564E-6</v>
      </c>
      <c r="X77" s="69">
        <f t="shared" si="69"/>
        <v>-6.8982996659853564E-6</v>
      </c>
      <c r="Y77" s="69">
        <f t="shared" si="69"/>
        <v>-6.8982996659853564E-6</v>
      </c>
      <c r="Z77" s="69">
        <f t="shared" si="69"/>
        <v>-6.8982996659853564E-6</v>
      </c>
      <c r="AA77" s="69">
        <f t="shared" si="69"/>
        <v>-6.8982996659853564E-6</v>
      </c>
      <c r="AB77" s="69">
        <f t="shared" si="69"/>
        <v>-6.8982996659853564E-6</v>
      </c>
      <c r="AC77" s="69">
        <f t="shared" si="69"/>
        <v>-6.8982996659853564E-6</v>
      </c>
    </row>
    <row r="78" spans="1:29" x14ac:dyDescent="0.3">
      <c r="A78" s="30" t="str">
        <f t="shared" si="65"/>
        <v>Opex fix (admin, crew, insurance)</v>
      </c>
      <c r="B78" s="66">
        <f>B36/B47/(B44)</f>
        <v>1.0654632223259673E-3</v>
      </c>
      <c r="C78" s="66">
        <f t="shared" ref="C78:AC78" si="70">C36/C47/(C44)</f>
        <v>1.0654632223259673E-3</v>
      </c>
      <c r="D78" s="66">
        <f t="shared" si="70"/>
        <v>1.0654632223259673E-3</v>
      </c>
      <c r="E78" s="66">
        <f t="shared" si="70"/>
        <v>1.0654632223259673E-3</v>
      </c>
      <c r="F78" s="66">
        <f t="shared" si="70"/>
        <v>1.0654632223259673E-3</v>
      </c>
      <c r="G78" s="66">
        <f t="shared" si="70"/>
        <v>1.0654632223259673E-3</v>
      </c>
      <c r="H78" s="66">
        <f t="shared" si="70"/>
        <v>1.0654632223259673E-3</v>
      </c>
      <c r="I78" s="66">
        <f t="shared" si="70"/>
        <v>1.0654632223259673E-3</v>
      </c>
      <c r="J78" s="66">
        <f t="shared" si="70"/>
        <v>1.0654632223259673E-3</v>
      </c>
      <c r="K78" s="66">
        <f t="shared" si="70"/>
        <v>1.0654632223259673E-3</v>
      </c>
      <c r="L78" s="66">
        <f t="shared" si="70"/>
        <v>1.0654632223259673E-3</v>
      </c>
      <c r="M78" s="66">
        <f t="shared" si="70"/>
        <v>1.0654632223259673E-3</v>
      </c>
      <c r="N78" s="66">
        <f t="shared" si="70"/>
        <v>1.0654632223259673E-3</v>
      </c>
      <c r="O78" s="66">
        <f t="shared" si="70"/>
        <v>1.0654632223259673E-3</v>
      </c>
      <c r="P78" s="66">
        <f t="shared" si="70"/>
        <v>1.0654632223259673E-3</v>
      </c>
      <c r="Q78" s="66">
        <f t="shared" si="70"/>
        <v>1.0654632223259673E-3</v>
      </c>
      <c r="R78" s="66">
        <f t="shared" si="70"/>
        <v>1.0654632223259673E-3</v>
      </c>
      <c r="S78" s="66">
        <f t="shared" si="70"/>
        <v>1.0654632223259673E-3</v>
      </c>
      <c r="T78" s="66">
        <f t="shared" si="70"/>
        <v>1.0654632223259673E-3</v>
      </c>
      <c r="U78" s="66">
        <f t="shared" si="70"/>
        <v>1.0654632223259673E-3</v>
      </c>
      <c r="V78" s="66">
        <f t="shared" si="70"/>
        <v>1.0654632223259673E-3</v>
      </c>
      <c r="W78" s="66">
        <f t="shared" si="70"/>
        <v>1.0654632223259673E-3</v>
      </c>
      <c r="X78" s="66">
        <f t="shared" si="70"/>
        <v>1.0654632223259673E-3</v>
      </c>
      <c r="Y78" s="66">
        <f t="shared" si="70"/>
        <v>1.0654632223259673E-3</v>
      </c>
      <c r="Z78" s="66">
        <f t="shared" si="70"/>
        <v>1.0654632223259673E-3</v>
      </c>
      <c r="AA78" s="66">
        <f t="shared" si="70"/>
        <v>1.0654632223259673E-3</v>
      </c>
      <c r="AB78" s="66">
        <f t="shared" si="70"/>
        <v>1.0654632223259673E-3</v>
      </c>
      <c r="AC78" s="66">
        <f t="shared" si="70"/>
        <v>1.0654632223259673E-3</v>
      </c>
    </row>
    <row r="79" spans="1:29" x14ac:dyDescent="0.3">
      <c r="A79" s="30" t="str">
        <f t="shared" si="65"/>
        <v>Opex maintenance &amp; repair</v>
      </c>
      <c r="B79" s="66">
        <f>B37/B47/(B44)</f>
        <v>2.9878618113912231E-4</v>
      </c>
      <c r="C79" s="66">
        <f t="shared" ref="C79:AC79" si="71">C37/C47/(C44)</f>
        <v>2.9878618113912231E-4</v>
      </c>
      <c r="D79" s="66">
        <f t="shared" si="71"/>
        <v>2.9878618113912231E-4</v>
      </c>
      <c r="E79" s="66">
        <f t="shared" si="71"/>
        <v>2.9878618113912231E-4</v>
      </c>
      <c r="F79" s="66">
        <f t="shared" si="71"/>
        <v>2.9878618113912231E-4</v>
      </c>
      <c r="G79" s="66">
        <f t="shared" si="71"/>
        <v>2.9878618113912231E-4</v>
      </c>
      <c r="H79" s="66">
        <f t="shared" si="71"/>
        <v>2.9878618113912231E-4</v>
      </c>
      <c r="I79" s="66">
        <f t="shared" si="71"/>
        <v>2.9878618113912231E-4</v>
      </c>
      <c r="J79" s="66">
        <f t="shared" si="71"/>
        <v>2.9878618113912231E-4</v>
      </c>
      <c r="K79" s="66">
        <f t="shared" si="71"/>
        <v>2.9878618113912231E-4</v>
      </c>
      <c r="L79" s="66">
        <f t="shared" si="71"/>
        <v>2.9878618113912231E-4</v>
      </c>
      <c r="M79" s="66">
        <f t="shared" si="71"/>
        <v>2.9878618113912231E-4</v>
      </c>
      <c r="N79" s="66">
        <f t="shared" si="71"/>
        <v>2.9878618113912231E-4</v>
      </c>
      <c r="O79" s="66">
        <f t="shared" si="71"/>
        <v>2.9878618113912231E-4</v>
      </c>
      <c r="P79" s="66">
        <f t="shared" si="71"/>
        <v>2.9878618113912231E-4</v>
      </c>
      <c r="Q79" s="66">
        <f t="shared" si="71"/>
        <v>2.9878618113912231E-4</v>
      </c>
      <c r="R79" s="66">
        <f t="shared" si="71"/>
        <v>2.9878618113912231E-4</v>
      </c>
      <c r="S79" s="66">
        <f t="shared" si="71"/>
        <v>2.9878618113912231E-4</v>
      </c>
      <c r="T79" s="66">
        <f t="shared" si="71"/>
        <v>2.9878618113912231E-4</v>
      </c>
      <c r="U79" s="66">
        <f t="shared" si="71"/>
        <v>2.9878618113912231E-4</v>
      </c>
      <c r="V79" s="66">
        <f t="shared" si="71"/>
        <v>2.9878618113912231E-4</v>
      </c>
      <c r="W79" s="66">
        <f t="shared" si="71"/>
        <v>2.9878618113912231E-4</v>
      </c>
      <c r="X79" s="66">
        <f t="shared" si="71"/>
        <v>2.9878618113912231E-4</v>
      </c>
      <c r="Y79" s="66">
        <f t="shared" si="71"/>
        <v>2.9878618113912231E-4</v>
      </c>
      <c r="Z79" s="66">
        <f t="shared" si="71"/>
        <v>2.9878618113912231E-4</v>
      </c>
      <c r="AA79" s="66">
        <f t="shared" si="71"/>
        <v>2.9878618113912231E-4</v>
      </c>
      <c r="AB79" s="66">
        <f t="shared" si="71"/>
        <v>2.9878618113912231E-4</v>
      </c>
      <c r="AC79" s="66">
        <f t="shared" si="71"/>
        <v>2.9878618113912231E-4</v>
      </c>
    </row>
    <row r="80" spans="1:29" x14ac:dyDescent="0.3">
      <c r="A80" s="30" t="str">
        <f t="shared" si="65"/>
        <v>Opex var (mode-fees)</v>
      </c>
      <c r="B80" s="66">
        <f>B38*B47/B47/(B44)</f>
        <v>8.9502842587904882E-5</v>
      </c>
      <c r="C80" s="66">
        <f t="shared" ref="C80:AC80" si="72">C38*C47/C47/(C44)</f>
        <v>8.9502842587904882E-5</v>
      </c>
      <c r="D80" s="66">
        <f t="shared" si="72"/>
        <v>8.9502842587904882E-5</v>
      </c>
      <c r="E80" s="66">
        <f t="shared" si="72"/>
        <v>8.9502842587904882E-5</v>
      </c>
      <c r="F80" s="66">
        <f t="shared" si="72"/>
        <v>8.9502842587904882E-5</v>
      </c>
      <c r="G80" s="66">
        <f t="shared" si="72"/>
        <v>8.9502842587904882E-5</v>
      </c>
      <c r="H80" s="66">
        <f t="shared" si="72"/>
        <v>8.9502842587904882E-5</v>
      </c>
      <c r="I80" s="66">
        <f t="shared" si="72"/>
        <v>8.9502842587904882E-5</v>
      </c>
      <c r="J80" s="66">
        <f t="shared" si="72"/>
        <v>8.9502842587904882E-5</v>
      </c>
      <c r="K80" s="66">
        <f t="shared" si="72"/>
        <v>8.9502842587904882E-5</v>
      </c>
      <c r="L80" s="66">
        <f t="shared" si="72"/>
        <v>8.9502842587904882E-5</v>
      </c>
      <c r="M80" s="66">
        <f t="shared" si="72"/>
        <v>8.9502842587904882E-5</v>
      </c>
      <c r="N80" s="66">
        <f t="shared" si="72"/>
        <v>8.9502842587904882E-5</v>
      </c>
      <c r="O80" s="66">
        <f t="shared" si="72"/>
        <v>8.9502842587904882E-5</v>
      </c>
      <c r="P80" s="66">
        <f t="shared" si="72"/>
        <v>8.9502842587904882E-5</v>
      </c>
      <c r="Q80" s="66">
        <f t="shared" si="72"/>
        <v>8.9502842587904882E-5</v>
      </c>
      <c r="R80" s="66">
        <f t="shared" si="72"/>
        <v>8.9502842587904882E-5</v>
      </c>
      <c r="S80" s="66">
        <f t="shared" si="72"/>
        <v>8.9502842587904882E-5</v>
      </c>
      <c r="T80" s="66">
        <f t="shared" si="72"/>
        <v>8.9502842587904882E-5</v>
      </c>
      <c r="U80" s="66">
        <f t="shared" si="72"/>
        <v>8.9502842587904882E-5</v>
      </c>
      <c r="V80" s="66">
        <f t="shared" si="72"/>
        <v>8.9502842587904882E-5</v>
      </c>
      <c r="W80" s="66">
        <f t="shared" si="72"/>
        <v>8.9502842587904882E-5</v>
      </c>
      <c r="X80" s="66">
        <f t="shared" si="72"/>
        <v>8.9502842587904882E-5</v>
      </c>
      <c r="Y80" s="66">
        <f t="shared" si="72"/>
        <v>8.9502842587904882E-5</v>
      </c>
      <c r="Z80" s="66">
        <f t="shared" si="72"/>
        <v>8.9502842587904882E-5</v>
      </c>
      <c r="AA80" s="66">
        <f t="shared" si="72"/>
        <v>8.9502842587904882E-5</v>
      </c>
      <c r="AB80" s="66">
        <f t="shared" si="72"/>
        <v>8.9502842587904882E-5</v>
      </c>
      <c r="AC80" s="66">
        <f t="shared" si="72"/>
        <v>8.9502842587904882E-5</v>
      </c>
    </row>
    <row r="81" spans="1:29" x14ac:dyDescent="0.3">
      <c r="A81" s="30" t="str">
        <f t="shared" si="65"/>
        <v>Fuel Cost</v>
      </c>
      <c r="B81" s="66">
        <f>B39*B40*B47/B47/(B44)</f>
        <v>1.3060247322593066E-2</v>
      </c>
      <c r="C81" s="66">
        <f t="shared" ref="C81:AC81" si="73">C39*C40*C47/C47/(C44)</f>
        <v>1.3052125461736537E-2</v>
      </c>
      <c r="D81" s="66">
        <f t="shared" si="73"/>
        <v>1.304050181217919E-2</v>
      </c>
      <c r="E81" s="66">
        <f t="shared" si="73"/>
        <v>1.3023878713792207E-2</v>
      </c>
      <c r="F81" s="66">
        <f t="shared" si="73"/>
        <v>1.3000131570088376E-2</v>
      </c>
      <c r="G81" s="66">
        <f t="shared" si="73"/>
        <v>1.2966261544737281E-2</v>
      </c>
      <c r="H81" s="66">
        <f t="shared" si="73"/>
        <v>1.2918067554056889E-2</v>
      </c>
      <c r="I81" s="66">
        <f t="shared" si="73"/>
        <v>1.2849730304982768E-2</v>
      </c>
      <c r="J81" s="66">
        <f t="shared" si="73"/>
        <v>1.2753324923298306E-2</v>
      </c>
      <c r="K81" s="66">
        <f t="shared" si="73"/>
        <v>1.2618334744968374E-2</v>
      </c>
      <c r="L81" s="66">
        <f t="shared" si="73"/>
        <v>1.2431350552515267E-2</v>
      </c>
      <c r="M81" s="66">
        <f t="shared" si="73"/>
        <v>1.2176327875562188E-2</v>
      </c>
      <c r="N81" s="66">
        <f t="shared" si="73"/>
        <v>1.1836019263036773E-2</v>
      </c>
      <c r="O81" s="66">
        <f t="shared" si="73"/>
        <v>1.1395345434975179E-2</v>
      </c>
      <c r="P81" s="66">
        <f t="shared" si="73"/>
        <v>1.0847121932462869E-2</v>
      </c>
      <c r="Q81" s="66">
        <f t="shared" si="73"/>
        <v>1.019917340983275E-2</v>
      </c>
      <c r="R81" s="66">
        <f t="shared" si="73"/>
        <v>9.4795062152304883E-3</v>
      </c>
      <c r="S81" s="66">
        <f t="shared" si="73"/>
        <v>8.7347468362743846E-3</v>
      </c>
      <c r="T81" s="66">
        <f t="shared" si="73"/>
        <v>8.0195879147078302E-3</v>
      </c>
      <c r="U81" s="66">
        <f t="shared" si="73"/>
        <v>7.3814295979463002E-3</v>
      </c>
      <c r="V81" s="66">
        <f t="shared" si="73"/>
        <v>6.8487242299392912E-3</v>
      </c>
      <c r="W81" s="66">
        <f t="shared" si="73"/>
        <v>6.4285084334747304E-3</v>
      </c>
      <c r="X81" s="66">
        <f t="shared" si="73"/>
        <v>6.1116853937533914E-3</v>
      </c>
      <c r="Y81" s="66">
        <f t="shared" si="73"/>
        <v>5.8809038442833445E-3</v>
      </c>
      <c r="Z81" s="66">
        <f t="shared" si="73"/>
        <v>5.7169938615705268E-3</v>
      </c>
      <c r="AA81" s="66">
        <f t="shared" si="73"/>
        <v>5.6026615934710441E-3</v>
      </c>
      <c r="AB81" s="66">
        <f t="shared" si="73"/>
        <v>5.5239131327296685E-3</v>
      </c>
      <c r="AC81" s="66">
        <f t="shared" si="73"/>
        <v>5.4701451293849941E-3</v>
      </c>
    </row>
    <row r="82" spans="1:29" x14ac:dyDescent="0.3">
      <c r="A82" s="59" t="str">
        <f>A45</f>
        <v>Market failure (av. utilization)</v>
      </c>
      <c r="B82" s="66">
        <f t="shared" ref="B82:AC82" si="74">B71/B45-B71/B44</f>
        <v>1.6153079876186895E-2</v>
      </c>
      <c r="C82" s="66">
        <f t="shared" si="74"/>
        <v>1.6144350771116606E-2</v>
      </c>
      <c r="D82" s="66">
        <f t="shared" si="74"/>
        <v>1.6131857762507865E-2</v>
      </c>
      <c r="E82" s="66">
        <f t="shared" si="74"/>
        <v>1.6113990775069007E-2</v>
      </c>
      <c r="F82" s="66">
        <f t="shared" si="74"/>
        <v>1.6088465410727983E-2</v>
      </c>
      <c r="G82" s="66">
        <f t="shared" si="74"/>
        <v>1.605205660648586E-2</v>
      </c>
      <c r="H82" s="66">
        <f t="shared" si="74"/>
        <v>1.6000244997926301E-2</v>
      </c>
      <c r="I82" s="66">
        <f t="shared" si="74"/>
        <v>1.5926767669310761E-2</v>
      </c>
      <c r="J82" s="66">
        <f t="shared" si="74"/>
        <v>1.5823090112336718E-2</v>
      </c>
      <c r="K82" s="66">
        <f t="shared" si="74"/>
        <v>1.5677875764894926E-2</v>
      </c>
      <c r="L82" s="66">
        <f t="shared" si="74"/>
        <v>1.5476648769481051E-2</v>
      </c>
      <c r="M82" s="66">
        <f t="shared" si="74"/>
        <v>1.5202047755990818E-2</v>
      </c>
      <c r="N82" s="66">
        <f t="shared" si="74"/>
        <v>1.4835333269317663E-2</v>
      </c>
      <c r="O82" s="66">
        <f t="shared" si="74"/>
        <v>1.435997812637591E-2</v>
      </c>
      <c r="P82" s="66">
        <f t="shared" si="74"/>
        <v>1.3767815420640303E-2</v>
      </c>
      <c r="Q82" s="66">
        <f t="shared" si="74"/>
        <v>1.3066752725471127E-2</v>
      </c>
      <c r="R82" s="66">
        <f t="shared" si="74"/>
        <v>1.2286514995516952E-2</v>
      </c>
      <c r="S82" s="66">
        <f t="shared" si="74"/>
        <v>1.1477223694996043E-2</v>
      </c>
      <c r="T82" s="66">
        <f t="shared" si="74"/>
        <v>1.0698216641501231E-2</v>
      </c>
      <c r="U82" s="66">
        <f t="shared" si="74"/>
        <v>1.0001431523864956E-2</v>
      </c>
      <c r="V82" s="66">
        <f t="shared" si="74"/>
        <v>9.4185237501726461E-3</v>
      </c>
      <c r="W82" s="66">
        <f t="shared" si="74"/>
        <v>8.9578543939198216E-3</v>
      </c>
      <c r="X82" s="66">
        <f t="shared" si="74"/>
        <v>8.6100136783684566E-3</v>
      </c>
      <c r="Y82" s="66">
        <f t="shared" si="74"/>
        <v>8.3563489517394125E-3</v>
      </c>
      <c r="Z82" s="66">
        <f t="shared" si="74"/>
        <v>8.1760348681455038E-3</v>
      </c>
      <c r="AA82" s="66">
        <f t="shared" si="74"/>
        <v>8.0501843979346437E-3</v>
      </c>
      <c r="AB82" s="66">
        <f t="shared" si="74"/>
        <v>7.9634658706320138E-3</v>
      </c>
      <c r="AC82" s="66">
        <f t="shared" si="74"/>
        <v>7.9042387107316255E-3</v>
      </c>
    </row>
    <row r="83" spans="1:29" x14ac:dyDescent="0.3">
      <c r="A83" s="59" t="str">
        <f>A46</f>
        <v>Payload loss (fuel)</v>
      </c>
      <c r="B83" s="66">
        <f>B71/(B44-B46)-B71/B44</f>
        <v>1.8671315847002927E-3</v>
      </c>
      <c r="C83" s="66">
        <f t="shared" ref="C83:AC83" si="75">C71/(C44-C46)-C71/C44</f>
        <v>1.8657284210680004E-3</v>
      </c>
      <c r="D83" s="66">
        <f t="shared" si="75"/>
        <v>1.8637208844037995E-3</v>
      </c>
      <c r="E83" s="66">
        <f t="shared" si="75"/>
        <v>1.8608511328910282E-3</v>
      </c>
      <c r="F83" s="66">
        <f t="shared" si="75"/>
        <v>1.8567540587394044E-3</v>
      </c>
      <c r="G83" s="66">
        <f t="shared" si="75"/>
        <v>1.8509156795049921E-3</v>
      </c>
      <c r="H83" s="66">
        <f t="shared" si="75"/>
        <v>1.8426187125376026E-3</v>
      </c>
      <c r="I83" s="66">
        <f t="shared" si="75"/>
        <v>1.8308751333277265E-3</v>
      </c>
      <c r="J83" s="66">
        <f t="shared" si="75"/>
        <v>1.8143504736326498E-3</v>
      </c>
      <c r="K83" s="66">
        <f t="shared" si="75"/>
        <v>1.7912955518024805E-3</v>
      </c>
      <c r="L83" s="66">
        <f t="shared" si="75"/>
        <v>1.7595219869457231E-3</v>
      </c>
      <c r="M83" s="66">
        <f t="shared" si="75"/>
        <v>1.7164903530375655E-3</v>
      </c>
      <c r="N83" s="66">
        <f t="shared" si="75"/>
        <v>1.6596165011667965E-3</v>
      </c>
      <c r="O83" s="66">
        <f t="shared" si="75"/>
        <v>1.5869085643068544E-3</v>
      </c>
      <c r="P83" s="66">
        <f t="shared" si="75"/>
        <v>1.4979510107340915E-3</v>
      </c>
      <c r="Q83" s="66">
        <f t="shared" si="75"/>
        <v>1.3949779111239353E-3</v>
      </c>
      <c r="R83" s="66">
        <f t="shared" si="75"/>
        <v>1.2834032211935416E-3</v>
      </c>
      <c r="S83" s="66">
        <f t="shared" si="75"/>
        <v>1.1710956012439492E-3</v>
      </c>
      <c r="T83" s="66">
        <f t="shared" si="75"/>
        <v>1.0663367469420613E-3</v>
      </c>
      <c r="U83" s="66">
        <f t="shared" si="75"/>
        <v>9.7546297651367707E-4</v>
      </c>
      <c r="V83" s="66">
        <f t="shared" si="75"/>
        <v>9.0152532083846194E-4</v>
      </c>
      <c r="W83" s="66">
        <f t="shared" si="75"/>
        <v>8.4445506578072031E-4</v>
      </c>
      <c r="X83" s="66">
        <f t="shared" si="75"/>
        <v>8.0216894671609855E-4</v>
      </c>
      <c r="Y83" s="66">
        <f t="shared" si="75"/>
        <v>7.7177304908197103E-4</v>
      </c>
      <c r="Z83" s="66">
        <f t="shared" si="75"/>
        <v>7.5039453216442335E-4</v>
      </c>
      <c r="AA83" s="66">
        <f t="shared" si="75"/>
        <v>7.3558619262686573E-4</v>
      </c>
      <c r="AB83" s="66">
        <f t="shared" si="75"/>
        <v>7.2543652895787694E-4</v>
      </c>
      <c r="AC83" s="66">
        <f t="shared" si="75"/>
        <v>7.1852996073677906E-4</v>
      </c>
    </row>
    <row r="84" spans="1:29" ht="15" thickBot="1" x14ac:dyDescent="0.35">
      <c r="A84" s="59" t="str">
        <f>A21</f>
        <v>Emission Cost</v>
      </c>
      <c r="B84" s="68">
        <f>B41*B47/B47/(B44)</f>
        <v>2.5815196033431064E-4</v>
      </c>
      <c r="C84" s="68">
        <f t="shared" ref="C84:AC84" si="76">C41*C47/C47/(C44)</f>
        <v>2.5790613676891132E-4</v>
      </c>
      <c r="D84" s="68">
        <f t="shared" si="76"/>
        <v>2.5755424581032062E-4</v>
      </c>
      <c r="E84" s="68">
        <f t="shared" si="76"/>
        <v>2.5705084104797826E-4</v>
      </c>
      <c r="F84" s="68">
        <f t="shared" si="76"/>
        <v>2.5633136456081513E-4</v>
      </c>
      <c r="G84" s="68">
        <f t="shared" si="76"/>
        <v>2.5530451612831671E-4</v>
      </c>
      <c r="H84" s="68">
        <f t="shared" si="76"/>
        <v>2.538420320469436E-4</v>
      </c>
      <c r="I84" s="68">
        <f t="shared" si="76"/>
        <v>2.5176551430110213E-4</v>
      </c>
      <c r="J84" s="68">
        <f t="shared" si="76"/>
        <v>2.4883055600797026E-4</v>
      </c>
      <c r="K84" s="68">
        <f t="shared" si="76"/>
        <v>2.4470992751544701E-4</v>
      </c>
      <c r="L84" s="68">
        <f t="shared" si="76"/>
        <v>2.3898075807637687E-4</v>
      </c>
      <c r="M84" s="68">
        <f t="shared" si="76"/>
        <v>2.3112628110406671E-4</v>
      </c>
      <c r="N84" s="68">
        <f t="shared" si="76"/>
        <v>2.2057070570500738E-4</v>
      </c>
      <c r="O84" s="68">
        <f t="shared" si="76"/>
        <v>2.0677252947123894E-4</v>
      </c>
      <c r="P84" s="68">
        <f t="shared" si="76"/>
        <v>1.8939605869929403E-4</v>
      </c>
      <c r="Q84" s="68">
        <f t="shared" si="76"/>
        <v>1.685447925646317E-4</v>
      </c>
      <c r="R84" s="68">
        <f t="shared" si="76"/>
        <v>1.4496673016672632E-4</v>
      </c>
      <c r="S84" s="68">
        <f t="shared" si="76"/>
        <v>1.2007546643161339E-4</v>
      </c>
      <c r="T84" s="68">
        <f t="shared" si="76"/>
        <v>9.5674016209004522E-5</v>
      </c>
      <c r="U84" s="68">
        <f t="shared" si="76"/>
        <v>7.3460873802783661E-5</v>
      </c>
      <c r="V84" s="68">
        <f t="shared" si="76"/>
        <v>5.4582865969804057E-5</v>
      </c>
      <c r="W84" s="68">
        <f t="shared" si="76"/>
        <v>3.9464962555239501E-5</v>
      </c>
      <c r="X84" s="68">
        <f t="shared" si="76"/>
        <v>2.7929331269491062E-5</v>
      </c>
      <c r="Y84" s="68">
        <f t="shared" si="76"/>
        <v>1.9449717115499516E-5</v>
      </c>
      <c r="Z84" s="68">
        <f t="shared" si="76"/>
        <v>1.3386915667127335E-5</v>
      </c>
      <c r="AA84" s="68">
        <f t="shared" si="76"/>
        <v>9.1377872042174873E-6</v>
      </c>
      <c r="AB84" s="68">
        <f t="shared" si="76"/>
        <v>6.2013782645004512E-6</v>
      </c>
      <c r="AC84" s="68">
        <f t="shared" si="76"/>
        <v>4.1918473001819709E-6</v>
      </c>
    </row>
    <row r="85" spans="1:29" ht="15" thickBot="1" x14ac:dyDescent="0.35">
      <c r="A85" s="31" t="s">
        <v>210</v>
      </c>
      <c r="B85" s="67">
        <f>B74+B75+B76+B77+B78+B79+B80+B81+B82+B83+B84</f>
        <v>3.4818804120443622E-2</v>
      </c>
      <c r="C85" s="67">
        <f t="shared" ref="C85:AC85" si="77">C74+C75+C76+C77+C78+C79+C80+C81+C82+C83+C84</f>
        <v>3.4799586456667871E-2</v>
      </c>
      <c r="D85" s="67">
        <f t="shared" si="77"/>
        <v>3.4772082984067476E-2</v>
      </c>
      <c r="E85" s="67">
        <f t="shared" si="77"/>
        <v>3.473274999288356E-2</v>
      </c>
      <c r="F85" s="67">
        <f t="shared" si="77"/>
        <v>3.4676560338444136E-2</v>
      </c>
      <c r="G85" s="67">
        <f t="shared" si="77"/>
        <v>3.4596418277082944E-2</v>
      </c>
      <c r="H85" s="67">
        <f t="shared" si="77"/>
        <v>3.4482383333463394E-2</v>
      </c>
      <c r="I85" s="67">
        <f t="shared" si="77"/>
        <v>3.4320686022385069E-2</v>
      </c>
      <c r="J85" s="67">
        <f t="shared" si="77"/>
        <v>3.4092574511722554E-2</v>
      </c>
      <c r="K85" s="67">
        <f t="shared" si="77"/>
        <v>3.3773163778786683E-2</v>
      </c>
      <c r="L85" s="67">
        <f t="shared" si="77"/>
        <v>3.3330722876350596E-2</v>
      </c>
      <c r="M85" s="67">
        <f t="shared" si="77"/>
        <v>3.2727281010829723E-2</v>
      </c>
      <c r="N85" s="67">
        <f t="shared" si="77"/>
        <v>3.1922010247381075E-2</v>
      </c>
      <c r="O85" s="67">
        <f t="shared" si="77"/>
        <v>3.0879189773905309E-2</v>
      </c>
      <c r="P85" s="67">
        <f t="shared" si="77"/>
        <v>2.9581736902504784E-2</v>
      </c>
      <c r="Q85" s="67">
        <f t="shared" si="77"/>
        <v>2.8048023608671816E-2</v>
      </c>
      <c r="R85" s="67">
        <f t="shared" si="77"/>
        <v>2.6344127020875758E-2</v>
      </c>
      <c r="S85" s="67">
        <f t="shared" si="77"/>
        <v>2.4580204501903902E-2</v>
      </c>
      <c r="T85" s="67">
        <f t="shared" si="77"/>
        <v>2.2885635334347291E-2</v>
      </c>
      <c r="U85" s="67">
        <f t="shared" si="77"/>
        <v>2.137275111976325E-2</v>
      </c>
      <c r="V85" s="67">
        <f t="shared" si="77"/>
        <v>2.0109205762675154E-2</v>
      </c>
      <c r="W85" s="67">
        <f t="shared" si="77"/>
        <v>1.9111993964244303E-2</v>
      </c>
      <c r="X85" s="67">
        <f t="shared" si="77"/>
        <v>1.8359828833850369E-2</v>
      </c>
      <c r="Y85" s="67">
        <f t="shared" si="77"/>
        <v>1.7811749820646761E-2</v>
      </c>
      <c r="Z85" s="67">
        <f t="shared" si="77"/>
        <v>1.7422383378027356E-2</v>
      </c>
      <c r="AA85" s="67">
        <f t="shared" si="77"/>
        <v>1.7150737344181922E-2</v>
      </c>
      <c r="AB85" s="67">
        <f t="shared" si="77"/>
        <v>1.6963611094181034E-2</v>
      </c>
      <c r="AC85" s="67">
        <f t="shared" si="77"/>
        <v>1.6835832771061182E-2</v>
      </c>
    </row>
    <row r="87" spans="1:29" x14ac:dyDescent="0.3">
      <c r="B87" s="40"/>
    </row>
    <row r="107" spans="1:2" s="3" customFormat="1" ht="21" x14ac:dyDescent="0.4">
      <c r="A107" s="2" t="str">
        <f>'Parameter Input'!A153</f>
        <v>Short-sea: Container</v>
      </c>
    </row>
    <row r="108" spans="1:2" s="3" customFormat="1" ht="21" x14ac:dyDescent="0.4">
      <c r="A108" s="2" t="s">
        <v>103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Input'!$L$167</f>
        <v>30000000</v>
      </c>
      <c r="C117" s="42">
        <f>'Parameter Input'!$M$167</f>
        <v>19500000</v>
      </c>
      <c r="D117" s="1" t="s">
        <v>15</v>
      </c>
      <c r="L117" s="51">
        <f>'Parameter Input'!$O$167</f>
        <v>17</v>
      </c>
      <c r="M117" s="52">
        <v>0</v>
      </c>
      <c r="N117" s="52">
        <v>1</v>
      </c>
      <c r="O117" s="52">
        <f>'Parameter Input'!$P$167</f>
        <v>0.9</v>
      </c>
      <c r="P117" s="53">
        <f>'Parameter Input'!$Q$167</f>
        <v>0.4</v>
      </c>
      <c r="Q117" s="4">
        <f t="shared" ref="Q117:AR126" si="78">$N117+($M117-$N117)*((1/(1+EXP(-$P117*(Q$9-$L117)))^$O117))</f>
        <v>0.99780374543478534</v>
      </c>
      <c r="R117" s="4">
        <f t="shared" si="78"/>
        <v>0.99685359315256394</v>
      </c>
      <c r="S117" s="4">
        <f t="shared" si="78"/>
        <v>0.99549347132349975</v>
      </c>
      <c r="T117" s="4">
        <f t="shared" si="78"/>
        <v>0.99354772139898062</v>
      </c>
      <c r="U117" s="4">
        <f t="shared" si="78"/>
        <v>0.99076681540580536</v>
      </c>
      <c r="V117" s="4">
        <f t="shared" si="78"/>
        <v>0.9867978615748374</v>
      </c>
      <c r="W117" s="4">
        <f t="shared" si="78"/>
        <v>0.98114509762858249</v>
      </c>
      <c r="X117" s="4">
        <f t="shared" si="78"/>
        <v>0.97311898315872036</v>
      </c>
      <c r="Y117" s="4">
        <f t="shared" si="78"/>
        <v>0.96177484161592774</v>
      </c>
      <c r="Z117" s="4">
        <f t="shared" si="78"/>
        <v>0.94584787155511363</v>
      </c>
      <c r="AA117" s="4">
        <f t="shared" si="78"/>
        <v>0.92370360150141495</v>
      </c>
      <c r="AB117" s="4">
        <f t="shared" si="78"/>
        <v>0.89334463567658451</v>
      </c>
      <c r="AC117" s="4">
        <f t="shared" si="78"/>
        <v>0.85254543874327005</v>
      </c>
      <c r="AD117" s="4">
        <f t="shared" si="78"/>
        <v>0.79921300652623883</v>
      </c>
      <c r="AE117" s="4">
        <f t="shared" si="78"/>
        <v>0.73204982249993378</v>
      </c>
      <c r="AF117" s="4">
        <f t="shared" si="78"/>
        <v>0.65145592958786691</v>
      </c>
      <c r="AG117" s="4">
        <f t="shared" si="78"/>
        <v>0.56032247880849573</v>
      </c>
      <c r="AH117" s="4">
        <f t="shared" si="78"/>
        <v>0.46411326873185343</v>
      </c>
      <c r="AI117" s="4">
        <f t="shared" si="78"/>
        <v>0.36979727595523937</v>
      </c>
      <c r="AJ117" s="4">
        <f t="shared" si="78"/>
        <v>0.28393948637231203</v>
      </c>
      <c r="AK117" s="4">
        <f t="shared" si="78"/>
        <v>0.21097259161117732</v>
      </c>
      <c r="AL117" s="4">
        <f t="shared" si="78"/>
        <v>0.15253917653798199</v>
      </c>
      <c r="AM117" s="4">
        <f t="shared" si="78"/>
        <v>0.10795188737709993</v>
      </c>
      <c r="AN117" s="4">
        <f t="shared" si="78"/>
        <v>7.5176653938091809E-2</v>
      </c>
      <c r="AO117" s="4">
        <f t="shared" si="78"/>
        <v>5.1742836177502194E-2</v>
      </c>
      <c r="AP117" s="4">
        <f t="shared" si="78"/>
        <v>3.5319190625345942E-2</v>
      </c>
      <c r="AQ117" s="4">
        <f t="shared" si="78"/>
        <v>2.3969442072658165E-2</v>
      </c>
      <c r="AR117" s="4">
        <f t="shared" si="78"/>
        <v>1.6202243558389728E-2</v>
      </c>
    </row>
    <row r="118" spans="1:44" x14ac:dyDescent="0.3">
      <c r="A118" s="24" t="s">
        <v>28</v>
      </c>
      <c r="B118" s="60">
        <f>'Parameter Input'!$L$168</f>
        <v>-1500000</v>
      </c>
      <c r="C118" s="61">
        <f>'Parameter Input'!$M$168</f>
        <v>-1950000</v>
      </c>
      <c r="D118" s="1" t="s">
        <v>15</v>
      </c>
      <c r="L118" s="54">
        <f>'Parameter Input'!$O$168</f>
        <v>17</v>
      </c>
      <c r="M118" s="37">
        <v>0</v>
      </c>
      <c r="N118" s="37">
        <v>1</v>
      </c>
      <c r="O118" s="37">
        <f>'Parameter Input'!$P$168</f>
        <v>0.9</v>
      </c>
      <c r="P118" s="55">
        <f>'Parameter Input'!$Q$168</f>
        <v>0.4</v>
      </c>
      <c r="Q118" s="4">
        <f t="shared" si="78"/>
        <v>0.99780374543478534</v>
      </c>
      <c r="R118" s="4">
        <f t="shared" si="78"/>
        <v>0.99685359315256394</v>
      </c>
      <c r="S118" s="4">
        <f t="shared" si="78"/>
        <v>0.99549347132349975</v>
      </c>
      <c r="T118" s="4">
        <f t="shared" si="78"/>
        <v>0.99354772139898062</v>
      </c>
      <c r="U118" s="4">
        <f t="shared" si="78"/>
        <v>0.99076681540580536</v>
      </c>
      <c r="V118" s="4">
        <f t="shared" si="78"/>
        <v>0.9867978615748374</v>
      </c>
      <c r="W118" s="4">
        <f t="shared" si="78"/>
        <v>0.98114509762858249</v>
      </c>
      <c r="X118" s="4">
        <f t="shared" si="78"/>
        <v>0.97311898315872036</v>
      </c>
      <c r="Y118" s="4">
        <f t="shared" si="78"/>
        <v>0.96177484161592774</v>
      </c>
      <c r="Z118" s="4">
        <f t="shared" si="78"/>
        <v>0.94584787155511363</v>
      </c>
      <c r="AA118" s="4">
        <f t="shared" si="78"/>
        <v>0.92370360150141495</v>
      </c>
      <c r="AB118" s="4">
        <f t="shared" si="78"/>
        <v>0.89334463567658451</v>
      </c>
      <c r="AC118" s="4">
        <f t="shared" si="78"/>
        <v>0.85254543874327005</v>
      </c>
      <c r="AD118" s="4">
        <f t="shared" si="78"/>
        <v>0.79921300652623883</v>
      </c>
      <c r="AE118" s="4">
        <f t="shared" si="78"/>
        <v>0.73204982249993378</v>
      </c>
      <c r="AF118" s="4">
        <f t="shared" si="78"/>
        <v>0.65145592958786691</v>
      </c>
      <c r="AG118" s="4">
        <f t="shared" si="78"/>
        <v>0.56032247880849573</v>
      </c>
      <c r="AH118" s="4">
        <f t="shared" si="78"/>
        <v>0.46411326873185343</v>
      </c>
      <c r="AI118" s="4">
        <f t="shared" si="78"/>
        <v>0.36979727595523937</v>
      </c>
      <c r="AJ118" s="4">
        <f t="shared" si="78"/>
        <v>0.28393948637231203</v>
      </c>
      <c r="AK118" s="4">
        <f t="shared" si="78"/>
        <v>0.21097259161117732</v>
      </c>
      <c r="AL118" s="4">
        <f t="shared" si="78"/>
        <v>0.15253917653798199</v>
      </c>
      <c r="AM118" s="4">
        <f t="shared" si="78"/>
        <v>0.10795188737709993</v>
      </c>
      <c r="AN118" s="4">
        <f t="shared" si="78"/>
        <v>7.5176653938091809E-2</v>
      </c>
      <c r="AO118" s="4">
        <f t="shared" si="78"/>
        <v>5.1742836177502194E-2</v>
      </c>
      <c r="AP118" s="4">
        <f t="shared" si="78"/>
        <v>3.5319190625345942E-2</v>
      </c>
      <c r="AQ118" s="4">
        <f t="shared" si="78"/>
        <v>2.3969442072658165E-2</v>
      </c>
      <c r="AR118" s="4">
        <f t="shared" si="78"/>
        <v>1.6202243558389728E-2</v>
      </c>
    </row>
    <row r="119" spans="1:44" x14ac:dyDescent="0.3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8"/>
        <v>0.99780374543478534</v>
      </c>
      <c r="R119" s="4">
        <f t="shared" si="78"/>
        <v>0.99685359315256394</v>
      </c>
      <c r="S119" s="4">
        <f t="shared" si="78"/>
        <v>0.99549347132349975</v>
      </c>
      <c r="T119" s="4">
        <f t="shared" si="78"/>
        <v>0.99354772139898062</v>
      </c>
      <c r="U119" s="4">
        <f t="shared" si="78"/>
        <v>0.99076681540580536</v>
      </c>
      <c r="V119" s="4">
        <f t="shared" si="78"/>
        <v>0.9867978615748374</v>
      </c>
      <c r="W119" s="4">
        <f t="shared" si="78"/>
        <v>0.98114509762858249</v>
      </c>
      <c r="X119" s="4">
        <f t="shared" si="78"/>
        <v>0.97311898315872036</v>
      </c>
      <c r="Y119" s="4">
        <f t="shared" si="78"/>
        <v>0.96177484161592774</v>
      </c>
      <c r="Z119" s="4">
        <f t="shared" si="78"/>
        <v>0.94584787155511363</v>
      </c>
      <c r="AA119" s="4">
        <f t="shared" si="78"/>
        <v>0.92370360150141495</v>
      </c>
      <c r="AB119" s="4">
        <f t="shared" si="78"/>
        <v>0.89334463567658451</v>
      </c>
      <c r="AC119" s="4">
        <f t="shared" si="78"/>
        <v>0.85254543874327005</v>
      </c>
      <c r="AD119" s="4">
        <f t="shared" si="78"/>
        <v>0.79921300652623883</v>
      </c>
      <c r="AE119" s="4">
        <f t="shared" si="78"/>
        <v>0.73204982249993378</v>
      </c>
      <c r="AF119" s="4">
        <f t="shared" si="78"/>
        <v>0.65145592958786691</v>
      </c>
      <c r="AG119" s="4">
        <f t="shared" si="78"/>
        <v>0.56032247880849573</v>
      </c>
      <c r="AH119" s="4">
        <f t="shared" si="78"/>
        <v>0.46411326873185343</v>
      </c>
      <c r="AI119" s="4">
        <f t="shared" si="78"/>
        <v>0.36979727595523937</v>
      </c>
      <c r="AJ119" s="4">
        <f t="shared" si="78"/>
        <v>0.28393948637231203</v>
      </c>
      <c r="AK119" s="4">
        <f t="shared" si="78"/>
        <v>0.21097259161117732</v>
      </c>
      <c r="AL119" s="4">
        <f t="shared" si="78"/>
        <v>0.15253917653798199</v>
      </c>
      <c r="AM119" s="4">
        <f t="shared" si="78"/>
        <v>0.10795188737709993</v>
      </c>
      <c r="AN119" s="4">
        <f t="shared" si="78"/>
        <v>7.5176653938091809E-2</v>
      </c>
      <c r="AO119" s="4">
        <f t="shared" si="78"/>
        <v>5.1742836177502194E-2</v>
      </c>
      <c r="AP119" s="4">
        <f t="shared" si="78"/>
        <v>3.5319190625345942E-2</v>
      </c>
      <c r="AQ119" s="4">
        <f t="shared" si="78"/>
        <v>2.3969442072658165E-2</v>
      </c>
      <c r="AR119" s="4">
        <f t="shared" si="78"/>
        <v>1.6202243558389728E-2</v>
      </c>
    </row>
    <row r="120" spans="1:44" x14ac:dyDescent="0.3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8"/>
        <v>0.99780374543478534</v>
      </c>
      <c r="R120" s="4">
        <f t="shared" si="78"/>
        <v>0.99685359315256394</v>
      </c>
      <c r="S120" s="4">
        <f t="shared" si="78"/>
        <v>0.99549347132349975</v>
      </c>
      <c r="T120" s="4">
        <f t="shared" si="78"/>
        <v>0.99354772139898062</v>
      </c>
      <c r="U120" s="4">
        <f t="shared" si="78"/>
        <v>0.99076681540580536</v>
      </c>
      <c r="V120" s="4">
        <f t="shared" si="78"/>
        <v>0.9867978615748374</v>
      </c>
      <c r="W120" s="4">
        <f t="shared" si="78"/>
        <v>0.98114509762858249</v>
      </c>
      <c r="X120" s="4">
        <f t="shared" si="78"/>
        <v>0.97311898315872036</v>
      </c>
      <c r="Y120" s="4">
        <f t="shared" si="78"/>
        <v>0.96177484161592774</v>
      </c>
      <c r="Z120" s="4">
        <f t="shared" si="78"/>
        <v>0.94584787155511363</v>
      </c>
      <c r="AA120" s="4">
        <f t="shared" si="78"/>
        <v>0.92370360150141495</v>
      </c>
      <c r="AB120" s="4">
        <f t="shared" si="78"/>
        <v>0.89334463567658451</v>
      </c>
      <c r="AC120" s="4">
        <f t="shared" si="78"/>
        <v>0.85254543874327005</v>
      </c>
      <c r="AD120" s="4">
        <f t="shared" si="78"/>
        <v>0.79921300652623883</v>
      </c>
      <c r="AE120" s="4">
        <f t="shared" si="78"/>
        <v>0.73204982249993378</v>
      </c>
      <c r="AF120" s="4">
        <f t="shared" si="78"/>
        <v>0.65145592958786691</v>
      </c>
      <c r="AG120" s="4">
        <f t="shared" si="78"/>
        <v>0.56032247880849573</v>
      </c>
      <c r="AH120" s="4">
        <f t="shared" si="78"/>
        <v>0.46411326873185343</v>
      </c>
      <c r="AI120" s="4">
        <f t="shared" si="78"/>
        <v>0.36979727595523937</v>
      </c>
      <c r="AJ120" s="4">
        <f t="shared" si="78"/>
        <v>0.28393948637231203</v>
      </c>
      <c r="AK120" s="4">
        <f t="shared" si="78"/>
        <v>0.21097259161117732</v>
      </c>
      <c r="AL120" s="4">
        <f t="shared" si="78"/>
        <v>0.15253917653798199</v>
      </c>
      <c r="AM120" s="4">
        <f t="shared" si="78"/>
        <v>0.10795188737709993</v>
      </c>
      <c r="AN120" s="4">
        <f t="shared" si="78"/>
        <v>7.5176653938091809E-2</v>
      </c>
      <c r="AO120" s="4">
        <f t="shared" si="78"/>
        <v>5.1742836177502194E-2</v>
      </c>
      <c r="AP120" s="4">
        <f t="shared" si="78"/>
        <v>3.5319190625345942E-2</v>
      </c>
      <c r="AQ120" s="4">
        <f t="shared" si="78"/>
        <v>2.3969442072658165E-2</v>
      </c>
      <c r="AR120" s="4">
        <f t="shared" si="78"/>
        <v>1.6202243558389728E-2</v>
      </c>
    </row>
    <row r="121" spans="1:44" x14ac:dyDescent="0.3">
      <c r="A121" s="24" t="s">
        <v>79</v>
      </c>
      <c r="B121" s="92">
        <f>'Parameter Input'!$L$174</f>
        <v>0.06</v>
      </c>
      <c r="C121" s="91">
        <f>'Parameter Input'!$M$174</f>
        <v>0.06</v>
      </c>
      <c r="D121" s="1" t="s">
        <v>57</v>
      </c>
      <c r="L121" s="54">
        <f>'Parameter Input'!$O$174</f>
        <v>17</v>
      </c>
      <c r="M121" s="37">
        <v>0</v>
      </c>
      <c r="N121" s="37">
        <v>1</v>
      </c>
      <c r="O121" s="37">
        <f>'Parameter Input'!$P$174</f>
        <v>0.9</v>
      </c>
      <c r="P121" s="55">
        <f>'Parameter Input'!$Q$174</f>
        <v>0.4</v>
      </c>
      <c r="Q121" s="4">
        <f t="shared" si="78"/>
        <v>0.99780374543478534</v>
      </c>
      <c r="R121" s="4">
        <f t="shared" si="78"/>
        <v>0.99685359315256394</v>
      </c>
      <c r="S121" s="4">
        <f t="shared" si="78"/>
        <v>0.99549347132349975</v>
      </c>
      <c r="T121" s="4">
        <f t="shared" si="78"/>
        <v>0.99354772139898062</v>
      </c>
      <c r="U121" s="4">
        <f t="shared" si="78"/>
        <v>0.99076681540580536</v>
      </c>
      <c r="V121" s="4">
        <f t="shared" si="78"/>
        <v>0.9867978615748374</v>
      </c>
      <c r="W121" s="4">
        <f t="shared" si="78"/>
        <v>0.98114509762858249</v>
      </c>
      <c r="X121" s="4">
        <f t="shared" si="78"/>
        <v>0.97311898315872036</v>
      </c>
      <c r="Y121" s="4">
        <f t="shared" si="78"/>
        <v>0.96177484161592774</v>
      </c>
      <c r="Z121" s="4">
        <f t="shared" si="78"/>
        <v>0.94584787155511363</v>
      </c>
      <c r="AA121" s="4">
        <f t="shared" si="78"/>
        <v>0.92370360150141495</v>
      </c>
      <c r="AB121" s="4">
        <f t="shared" si="78"/>
        <v>0.89334463567658451</v>
      </c>
      <c r="AC121" s="4">
        <f t="shared" si="78"/>
        <v>0.85254543874327005</v>
      </c>
      <c r="AD121" s="4">
        <f t="shared" si="78"/>
        <v>0.79921300652623883</v>
      </c>
      <c r="AE121" s="4">
        <f t="shared" si="78"/>
        <v>0.73204982249993378</v>
      </c>
      <c r="AF121" s="4">
        <f t="shared" si="78"/>
        <v>0.65145592958786691</v>
      </c>
      <c r="AG121" s="4">
        <f t="shared" si="78"/>
        <v>0.56032247880849573</v>
      </c>
      <c r="AH121" s="4">
        <f t="shared" si="78"/>
        <v>0.46411326873185343</v>
      </c>
      <c r="AI121" s="4">
        <f t="shared" si="78"/>
        <v>0.36979727595523937</v>
      </c>
      <c r="AJ121" s="4">
        <f t="shared" si="78"/>
        <v>0.28393948637231203</v>
      </c>
      <c r="AK121" s="4">
        <f t="shared" si="78"/>
        <v>0.21097259161117732</v>
      </c>
      <c r="AL121" s="4">
        <f t="shared" si="78"/>
        <v>0.15253917653798199</v>
      </c>
      <c r="AM121" s="4">
        <f t="shared" si="78"/>
        <v>0.10795188737709993</v>
      </c>
      <c r="AN121" s="4">
        <f t="shared" si="78"/>
        <v>7.5176653938091809E-2</v>
      </c>
      <c r="AO121" s="4">
        <f t="shared" si="78"/>
        <v>5.1742836177502194E-2</v>
      </c>
      <c r="AP121" s="4">
        <f t="shared" si="78"/>
        <v>3.5319190625345942E-2</v>
      </c>
      <c r="AQ121" s="4">
        <f t="shared" si="78"/>
        <v>2.3969442072658165E-2</v>
      </c>
      <c r="AR121" s="4">
        <f t="shared" si="78"/>
        <v>1.6202243558389728E-2</v>
      </c>
    </row>
    <row r="122" spans="1:44" x14ac:dyDescent="0.3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8"/>
        <v>0.99780374543478534</v>
      </c>
      <c r="R122" s="4">
        <f t="shared" si="78"/>
        <v>0.99685359315256394</v>
      </c>
      <c r="S122" s="4">
        <f t="shared" si="78"/>
        <v>0.99549347132349975</v>
      </c>
      <c r="T122" s="4">
        <f t="shared" si="78"/>
        <v>0.99354772139898062</v>
      </c>
      <c r="U122" s="4">
        <f t="shared" si="78"/>
        <v>0.99076681540580536</v>
      </c>
      <c r="V122" s="4">
        <f t="shared" si="78"/>
        <v>0.9867978615748374</v>
      </c>
      <c r="W122" s="4">
        <f t="shared" si="78"/>
        <v>0.98114509762858249</v>
      </c>
      <c r="X122" s="4">
        <f t="shared" si="78"/>
        <v>0.97311898315872036</v>
      </c>
      <c r="Y122" s="4">
        <f t="shared" si="78"/>
        <v>0.96177484161592774</v>
      </c>
      <c r="Z122" s="4">
        <f t="shared" si="78"/>
        <v>0.94584787155511363</v>
      </c>
      <c r="AA122" s="4">
        <f t="shared" si="78"/>
        <v>0.92370360150141495</v>
      </c>
      <c r="AB122" s="4">
        <f t="shared" si="78"/>
        <v>0.89334463567658451</v>
      </c>
      <c r="AC122" s="4">
        <f t="shared" si="78"/>
        <v>0.85254543874327005</v>
      </c>
      <c r="AD122" s="4">
        <f t="shared" si="78"/>
        <v>0.79921300652623883</v>
      </c>
      <c r="AE122" s="4">
        <f t="shared" si="78"/>
        <v>0.73204982249993378</v>
      </c>
      <c r="AF122" s="4">
        <f t="shared" si="78"/>
        <v>0.65145592958786691</v>
      </c>
      <c r="AG122" s="4">
        <f t="shared" si="78"/>
        <v>0.56032247880849573</v>
      </c>
      <c r="AH122" s="4">
        <f t="shared" si="78"/>
        <v>0.46411326873185343</v>
      </c>
      <c r="AI122" s="4">
        <f t="shared" si="78"/>
        <v>0.36979727595523937</v>
      </c>
      <c r="AJ122" s="4">
        <f t="shared" si="78"/>
        <v>0.28393948637231203</v>
      </c>
      <c r="AK122" s="4">
        <f t="shared" si="78"/>
        <v>0.21097259161117732</v>
      </c>
      <c r="AL122" s="4">
        <f t="shared" si="78"/>
        <v>0.15253917653798199</v>
      </c>
      <c r="AM122" s="4">
        <f t="shared" si="78"/>
        <v>0.10795188737709993</v>
      </c>
      <c r="AN122" s="4">
        <f t="shared" si="78"/>
        <v>7.5176653938091809E-2</v>
      </c>
      <c r="AO122" s="4">
        <f t="shared" si="78"/>
        <v>5.1742836177502194E-2</v>
      </c>
      <c r="AP122" s="4">
        <f t="shared" si="78"/>
        <v>3.5319190625345942E-2</v>
      </c>
      <c r="AQ122" s="4">
        <f t="shared" si="78"/>
        <v>2.3969442072658165E-2</v>
      </c>
      <c r="AR122" s="4">
        <f t="shared" si="78"/>
        <v>1.6202243558389728E-2</v>
      </c>
    </row>
    <row r="123" spans="1:44" x14ac:dyDescent="0.3">
      <c r="A123" s="24" t="s">
        <v>52</v>
      </c>
      <c r="B123" s="60">
        <f>'Parameter Input'!$L$170</f>
        <v>338823.5294117647</v>
      </c>
      <c r="C123" s="61">
        <f>'Parameter Input'!$M$170</f>
        <v>338823.5294117647</v>
      </c>
      <c r="D123" s="1" t="s">
        <v>38</v>
      </c>
      <c r="L123" s="54">
        <f>'Parameter Input'!$O$170</f>
        <v>17</v>
      </c>
      <c r="M123" s="37">
        <v>0</v>
      </c>
      <c r="N123" s="37">
        <v>1</v>
      </c>
      <c r="O123" s="37">
        <f>'Parameter Input'!$P$170</f>
        <v>0.9</v>
      </c>
      <c r="P123" s="55">
        <f>'Parameter Input'!$Q$170</f>
        <v>0.4</v>
      </c>
      <c r="Q123" s="4">
        <f t="shared" si="78"/>
        <v>0.99780374543478534</v>
      </c>
      <c r="R123" s="4">
        <f t="shared" si="78"/>
        <v>0.99685359315256394</v>
      </c>
      <c r="S123" s="4">
        <f t="shared" si="78"/>
        <v>0.99549347132349975</v>
      </c>
      <c r="T123" s="4">
        <f t="shared" si="78"/>
        <v>0.99354772139898062</v>
      </c>
      <c r="U123" s="4">
        <f t="shared" si="78"/>
        <v>0.99076681540580536</v>
      </c>
      <c r="V123" s="4">
        <f t="shared" si="78"/>
        <v>0.9867978615748374</v>
      </c>
      <c r="W123" s="4">
        <f t="shared" si="78"/>
        <v>0.98114509762858249</v>
      </c>
      <c r="X123" s="4">
        <f t="shared" si="78"/>
        <v>0.97311898315872036</v>
      </c>
      <c r="Y123" s="4">
        <f t="shared" si="78"/>
        <v>0.96177484161592774</v>
      </c>
      <c r="Z123" s="4">
        <f t="shared" si="78"/>
        <v>0.94584787155511363</v>
      </c>
      <c r="AA123" s="4">
        <f t="shared" si="78"/>
        <v>0.92370360150141495</v>
      </c>
      <c r="AB123" s="4">
        <f t="shared" si="78"/>
        <v>0.89334463567658451</v>
      </c>
      <c r="AC123" s="4">
        <f t="shared" si="78"/>
        <v>0.85254543874327005</v>
      </c>
      <c r="AD123" s="4">
        <f t="shared" si="78"/>
        <v>0.79921300652623883</v>
      </c>
      <c r="AE123" s="4">
        <f t="shared" si="78"/>
        <v>0.73204982249993378</v>
      </c>
      <c r="AF123" s="4">
        <f t="shared" si="78"/>
        <v>0.65145592958786691</v>
      </c>
      <c r="AG123" s="4">
        <f t="shared" si="78"/>
        <v>0.56032247880849573</v>
      </c>
      <c r="AH123" s="4">
        <f t="shared" si="78"/>
        <v>0.46411326873185343</v>
      </c>
      <c r="AI123" s="4">
        <f t="shared" si="78"/>
        <v>0.36979727595523937</v>
      </c>
      <c r="AJ123" s="4">
        <f t="shared" si="78"/>
        <v>0.28393948637231203</v>
      </c>
      <c r="AK123" s="4">
        <f t="shared" si="78"/>
        <v>0.21097259161117732</v>
      </c>
      <c r="AL123" s="4">
        <f t="shared" si="78"/>
        <v>0.15253917653798199</v>
      </c>
      <c r="AM123" s="4">
        <f t="shared" si="78"/>
        <v>0.10795188737709993</v>
      </c>
      <c r="AN123" s="4">
        <f t="shared" si="78"/>
        <v>7.5176653938091809E-2</v>
      </c>
      <c r="AO123" s="4">
        <f t="shared" si="78"/>
        <v>5.1742836177502194E-2</v>
      </c>
      <c r="AP123" s="4">
        <f t="shared" si="78"/>
        <v>3.5319190625345942E-2</v>
      </c>
      <c r="AQ123" s="4">
        <f t="shared" si="78"/>
        <v>2.3969442072658165E-2</v>
      </c>
      <c r="AR123" s="4">
        <f t="shared" si="78"/>
        <v>1.6202243558389728E-2</v>
      </c>
    </row>
    <row r="124" spans="1:44" x14ac:dyDescent="0.3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8"/>
        <v>0.99780374543478534</v>
      </c>
      <c r="R124" s="4">
        <f t="shared" si="78"/>
        <v>0.99685359315256394</v>
      </c>
      <c r="S124" s="4">
        <f t="shared" si="78"/>
        <v>0.99549347132349975</v>
      </c>
      <c r="T124" s="4">
        <f t="shared" si="78"/>
        <v>0.99354772139898062</v>
      </c>
      <c r="U124" s="4">
        <f t="shared" si="78"/>
        <v>0.99076681540580536</v>
      </c>
      <c r="V124" s="4">
        <f t="shared" si="78"/>
        <v>0.9867978615748374</v>
      </c>
      <c r="W124" s="4">
        <f t="shared" si="78"/>
        <v>0.98114509762858249</v>
      </c>
      <c r="X124" s="4">
        <f t="shared" si="78"/>
        <v>0.97311898315872036</v>
      </c>
      <c r="Y124" s="4">
        <f t="shared" si="78"/>
        <v>0.96177484161592774</v>
      </c>
      <c r="Z124" s="4">
        <f t="shared" si="78"/>
        <v>0.94584787155511363</v>
      </c>
      <c r="AA124" s="4">
        <f t="shared" si="78"/>
        <v>0.92370360150141495</v>
      </c>
      <c r="AB124" s="4">
        <f t="shared" si="78"/>
        <v>0.89334463567658451</v>
      </c>
      <c r="AC124" s="4">
        <f t="shared" si="78"/>
        <v>0.85254543874327005</v>
      </c>
      <c r="AD124" s="4">
        <f t="shared" si="78"/>
        <v>0.79921300652623883</v>
      </c>
      <c r="AE124" s="4">
        <f t="shared" si="78"/>
        <v>0.73204982249993378</v>
      </c>
      <c r="AF124" s="4">
        <f t="shared" si="78"/>
        <v>0.65145592958786691</v>
      </c>
      <c r="AG124" s="4">
        <f t="shared" si="78"/>
        <v>0.56032247880849573</v>
      </c>
      <c r="AH124" s="4">
        <f t="shared" si="78"/>
        <v>0.46411326873185343</v>
      </c>
      <c r="AI124" s="4">
        <f t="shared" si="78"/>
        <v>0.36979727595523937</v>
      </c>
      <c r="AJ124" s="4">
        <f t="shared" si="78"/>
        <v>0.28393948637231203</v>
      </c>
      <c r="AK124" s="4">
        <f t="shared" si="78"/>
        <v>0.21097259161117732</v>
      </c>
      <c r="AL124" s="4">
        <f t="shared" si="78"/>
        <v>0.15253917653798199</v>
      </c>
      <c r="AM124" s="4">
        <f t="shared" si="78"/>
        <v>0.10795188737709993</v>
      </c>
      <c r="AN124" s="4">
        <f t="shared" si="78"/>
        <v>7.5176653938091809E-2</v>
      </c>
      <c r="AO124" s="4">
        <f t="shared" si="78"/>
        <v>5.1742836177502194E-2</v>
      </c>
      <c r="AP124" s="4">
        <f t="shared" si="78"/>
        <v>3.5319190625345942E-2</v>
      </c>
      <c r="AQ124" s="4">
        <f t="shared" si="78"/>
        <v>2.3969442072658165E-2</v>
      </c>
      <c r="AR124" s="4">
        <f t="shared" si="78"/>
        <v>1.6202243558389728E-2</v>
      </c>
    </row>
    <row r="125" spans="1:44" x14ac:dyDescent="0.3">
      <c r="A125" s="24" t="s">
        <v>59</v>
      </c>
      <c r="B125" s="60">
        <f>'Parameter Input'!$L$171</f>
        <v>589</v>
      </c>
      <c r="C125" s="61">
        <f>'Parameter Input'!$M$171</f>
        <v>519</v>
      </c>
      <c r="D125" s="1" t="s">
        <v>60</v>
      </c>
      <c r="L125" s="54">
        <f>'Parameter Input'!$O$171</f>
        <v>17</v>
      </c>
      <c r="M125" s="37">
        <v>0</v>
      </c>
      <c r="N125" s="37">
        <v>1</v>
      </c>
      <c r="O125" s="37">
        <f>'Parameter Input'!$P$171</f>
        <v>0.9</v>
      </c>
      <c r="P125" s="55">
        <f>'Parameter Input'!$Q$171</f>
        <v>0.4</v>
      </c>
      <c r="Q125" s="4">
        <f t="shared" si="78"/>
        <v>0.99780374543478534</v>
      </c>
      <c r="R125" s="4">
        <f t="shared" si="78"/>
        <v>0.99685359315256394</v>
      </c>
      <c r="S125" s="4">
        <f t="shared" si="78"/>
        <v>0.99549347132349975</v>
      </c>
      <c r="T125" s="4">
        <f t="shared" si="78"/>
        <v>0.99354772139898062</v>
      </c>
      <c r="U125" s="4">
        <f t="shared" si="78"/>
        <v>0.99076681540580536</v>
      </c>
      <c r="V125" s="4">
        <f t="shared" si="78"/>
        <v>0.9867978615748374</v>
      </c>
      <c r="W125" s="4">
        <f t="shared" si="78"/>
        <v>0.98114509762858249</v>
      </c>
      <c r="X125" s="4">
        <f t="shared" si="78"/>
        <v>0.97311898315872036</v>
      </c>
      <c r="Y125" s="4">
        <f t="shared" si="78"/>
        <v>0.96177484161592774</v>
      </c>
      <c r="Z125" s="4">
        <f t="shared" si="78"/>
        <v>0.94584787155511363</v>
      </c>
      <c r="AA125" s="4">
        <f t="shared" si="78"/>
        <v>0.92370360150141495</v>
      </c>
      <c r="AB125" s="4">
        <f t="shared" si="78"/>
        <v>0.89334463567658451</v>
      </c>
      <c r="AC125" s="4">
        <f t="shared" si="78"/>
        <v>0.85254543874327005</v>
      </c>
      <c r="AD125" s="4">
        <f t="shared" si="78"/>
        <v>0.79921300652623883</v>
      </c>
      <c r="AE125" s="4">
        <f t="shared" si="78"/>
        <v>0.73204982249993378</v>
      </c>
      <c r="AF125" s="4">
        <f t="shared" si="78"/>
        <v>0.65145592958786691</v>
      </c>
      <c r="AG125" s="4">
        <f t="shared" si="78"/>
        <v>0.56032247880849573</v>
      </c>
      <c r="AH125" s="4">
        <f t="shared" si="78"/>
        <v>0.46411326873185343</v>
      </c>
      <c r="AI125" s="4">
        <f t="shared" si="78"/>
        <v>0.36979727595523937</v>
      </c>
      <c r="AJ125" s="4">
        <f t="shared" si="78"/>
        <v>0.28393948637231203</v>
      </c>
      <c r="AK125" s="4">
        <f t="shared" si="78"/>
        <v>0.21097259161117732</v>
      </c>
      <c r="AL125" s="4">
        <f t="shared" si="78"/>
        <v>0.15253917653798199</v>
      </c>
      <c r="AM125" s="4">
        <f t="shared" si="78"/>
        <v>0.10795188737709993</v>
      </c>
      <c r="AN125" s="4">
        <f t="shared" si="78"/>
        <v>7.5176653938091809E-2</v>
      </c>
      <c r="AO125" s="4">
        <f t="shared" si="78"/>
        <v>5.1742836177502194E-2</v>
      </c>
      <c r="AP125" s="4">
        <f t="shared" si="78"/>
        <v>3.5319190625345942E-2</v>
      </c>
      <c r="AQ125" s="4">
        <f t="shared" si="78"/>
        <v>2.3969442072658165E-2</v>
      </c>
      <c r="AR125" s="4">
        <f t="shared" si="78"/>
        <v>1.6202243558389728E-2</v>
      </c>
    </row>
    <row r="126" spans="1:44" x14ac:dyDescent="0.3">
      <c r="A126" s="24" t="s">
        <v>67</v>
      </c>
      <c r="B126" s="78">
        <f>'Parameter Input'!$L$172</f>
        <v>0.209841767378764</v>
      </c>
      <c r="C126" s="61">
        <f>'Parameter Input'!$M$172</f>
        <v>9.7564585532605996E-2</v>
      </c>
      <c r="D126" s="1" t="s">
        <v>68</v>
      </c>
      <c r="L126" s="54">
        <f>'Parameter Input'!$O$172</f>
        <v>17</v>
      </c>
      <c r="M126" s="37">
        <v>0</v>
      </c>
      <c r="N126" s="37">
        <v>1</v>
      </c>
      <c r="O126" s="37">
        <f>'Parameter Input'!$P$172</f>
        <v>0.9</v>
      </c>
      <c r="P126" s="55">
        <f>'Parameter Input'!$Q$172</f>
        <v>0.4</v>
      </c>
      <c r="Q126" s="4">
        <f t="shared" si="78"/>
        <v>0.99780374543478534</v>
      </c>
      <c r="R126" s="4">
        <f t="shared" si="78"/>
        <v>0.99685359315256394</v>
      </c>
      <c r="S126" s="4">
        <f t="shared" si="78"/>
        <v>0.99549347132349975</v>
      </c>
      <c r="T126" s="4">
        <f t="shared" ref="T126:AI133" si="79">$N126+($M126-$N126)*((1/(1+EXP(-$P126*(T$9-$L126)))^$O126))</f>
        <v>0.99354772139898062</v>
      </c>
      <c r="U126" s="4">
        <f t="shared" si="79"/>
        <v>0.99076681540580536</v>
      </c>
      <c r="V126" s="4">
        <f t="shared" si="79"/>
        <v>0.9867978615748374</v>
      </c>
      <c r="W126" s="4">
        <f t="shared" si="79"/>
        <v>0.98114509762858249</v>
      </c>
      <c r="X126" s="4">
        <f t="shared" si="79"/>
        <v>0.97311898315872036</v>
      </c>
      <c r="Y126" s="4">
        <f t="shared" si="79"/>
        <v>0.96177484161592774</v>
      </c>
      <c r="Z126" s="4">
        <f t="shared" si="79"/>
        <v>0.94584787155511363</v>
      </c>
      <c r="AA126" s="4">
        <f t="shared" si="79"/>
        <v>0.92370360150141495</v>
      </c>
      <c r="AB126" s="4">
        <f t="shared" si="79"/>
        <v>0.89334463567658451</v>
      </c>
      <c r="AC126" s="4">
        <f t="shared" si="79"/>
        <v>0.85254543874327005</v>
      </c>
      <c r="AD126" s="4">
        <f t="shared" si="79"/>
        <v>0.79921300652623883</v>
      </c>
      <c r="AE126" s="4">
        <f t="shared" si="79"/>
        <v>0.73204982249993378</v>
      </c>
      <c r="AF126" s="4">
        <f t="shared" si="79"/>
        <v>0.65145592958786691</v>
      </c>
      <c r="AG126" s="4">
        <f t="shared" si="79"/>
        <v>0.56032247880849573</v>
      </c>
      <c r="AH126" s="4">
        <f t="shared" si="79"/>
        <v>0.46411326873185343</v>
      </c>
      <c r="AI126" s="4">
        <f t="shared" si="79"/>
        <v>0.36979727595523937</v>
      </c>
      <c r="AJ126" s="4">
        <f t="shared" ref="AJ126:AR133" si="80">$N126+($M126-$N126)*((1/(1+EXP(-$P126*(AJ$9-$L126)))^$O126))</f>
        <v>0.28393948637231203</v>
      </c>
      <c r="AK126" s="4">
        <f t="shared" si="80"/>
        <v>0.21097259161117732</v>
      </c>
      <c r="AL126" s="4">
        <f t="shared" si="80"/>
        <v>0.15253917653798199</v>
      </c>
      <c r="AM126" s="4">
        <f t="shared" si="80"/>
        <v>0.10795188737709993</v>
      </c>
      <c r="AN126" s="4">
        <f t="shared" si="80"/>
        <v>7.5176653938091809E-2</v>
      </c>
      <c r="AO126" s="4">
        <f t="shared" si="80"/>
        <v>5.1742836177502194E-2</v>
      </c>
      <c r="AP126" s="4">
        <f t="shared" si="80"/>
        <v>3.5319190625345942E-2</v>
      </c>
      <c r="AQ126" s="4">
        <f t="shared" si="80"/>
        <v>2.3969442072658165E-2</v>
      </c>
      <c r="AR126" s="4">
        <f t="shared" si="80"/>
        <v>1.6202243558389728E-2</v>
      </c>
    </row>
    <row r="127" spans="1:44" x14ac:dyDescent="0.3">
      <c r="A127" s="24" t="s">
        <v>206</v>
      </c>
      <c r="B127" s="115">
        <f>'Parameter Input'!$L$175</f>
        <v>2.4449056603773585</v>
      </c>
      <c r="C127" s="116">
        <f>'Parameter Input'!$M$175</f>
        <v>0</v>
      </c>
      <c r="D127" s="1" t="s">
        <v>76</v>
      </c>
      <c r="L127" s="54">
        <f>'Parameter Input'!$O$175</f>
        <v>17</v>
      </c>
      <c r="M127" s="37">
        <v>0</v>
      </c>
      <c r="N127" s="37">
        <v>1</v>
      </c>
      <c r="O127" s="37">
        <f>'Parameter Input'!$P$175</f>
        <v>0.9</v>
      </c>
      <c r="P127" s="55">
        <f>'Parameter Input'!$Q$175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3">
      <c r="A128" s="24" t="s">
        <v>41</v>
      </c>
      <c r="B128" s="60">
        <f>'Parameter Input'!$L$169</f>
        <v>25</v>
      </c>
      <c r="C128" s="61">
        <f>'Parameter Input'!$M$169</f>
        <v>25</v>
      </c>
      <c r="D128" s="1" t="s">
        <v>42</v>
      </c>
      <c r="L128" s="54">
        <f>'Parameter Input'!$O$169</f>
        <v>17</v>
      </c>
      <c r="M128" s="37">
        <v>0</v>
      </c>
      <c r="N128" s="37">
        <v>1</v>
      </c>
      <c r="O128" s="37">
        <f>'Parameter Input'!$P$169</f>
        <v>0.9</v>
      </c>
      <c r="P128" s="55">
        <f>'Parameter Input'!$Q$169</f>
        <v>0.4</v>
      </c>
      <c r="Q128" s="4">
        <f t="shared" ref="Q128:AF133" si="82">$N128+($M128-$N128)*((1/(1+EXP(-$P128*(Q$9-$L128)))^$O128))</f>
        <v>0.99780374543478534</v>
      </c>
      <c r="R128" s="4">
        <f t="shared" si="82"/>
        <v>0.99685359315256394</v>
      </c>
      <c r="S128" s="4">
        <f t="shared" si="82"/>
        <v>0.99549347132349975</v>
      </c>
      <c r="T128" s="4">
        <f t="shared" si="82"/>
        <v>0.99354772139898062</v>
      </c>
      <c r="U128" s="4">
        <f t="shared" si="82"/>
        <v>0.99076681540580536</v>
      </c>
      <c r="V128" s="4">
        <f t="shared" si="82"/>
        <v>0.9867978615748374</v>
      </c>
      <c r="W128" s="4">
        <f t="shared" si="82"/>
        <v>0.98114509762858249</v>
      </c>
      <c r="X128" s="4">
        <f t="shared" si="82"/>
        <v>0.97311898315872036</v>
      </c>
      <c r="Y128" s="4">
        <f t="shared" si="82"/>
        <v>0.96177484161592774</v>
      </c>
      <c r="Z128" s="4">
        <f t="shared" si="82"/>
        <v>0.94584787155511363</v>
      </c>
      <c r="AA128" s="4">
        <f t="shared" si="82"/>
        <v>0.92370360150141495</v>
      </c>
      <c r="AB128" s="4">
        <f t="shared" si="82"/>
        <v>0.89334463567658451</v>
      </c>
      <c r="AC128" s="4">
        <f t="shared" si="82"/>
        <v>0.85254543874327005</v>
      </c>
      <c r="AD128" s="4">
        <f t="shared" si="82"/>
        <v>0.79921300652623883</v>
      </c>
      <c r="AE128" s="4">
        <f t="shared" si="82"/>
        <v>0.73204982249993378</v>
      </c>
      <c r="AF128" s="4">
        <f t="shared" si="82"/>
        <v>0.65145592958786691</v>
      </c>
      <c r="AG128" s="4">
        <f t="shared" si="79"/>
        <v>0.56032247880849573</v>
      </c>
      <c r="AH128" s="4">
        <f t="shared" si="79"/>
        <v>0.46411326873185343</v>
      </c>
      <c r="AI128" s="4">
        <f t="shared" si="79"/>
        <v>0.36979727595523937</v>
      </c>
      <c r="AJ128" s="4">
        <f t="shared" si="80"/>
        <v>0.28393948637231203</v>
      </c>
      <c r="AK128" s="4">
        <f t="shared" si="80"/>
        <v>0.21097259161117732</v>
      </c>
      <c r="AL128" s="4">
        <f t="shared" si="80"/>
        <v>0.15253917653798199</v>
      </c>
      <c r="AM128" s="4">
        <f t="shared" si="80"/>
        <v>0.10795188737709993</v>
      </c>
      <c r="AN128" s="4">
        <f t="shared" si="80"/>
        <v>7.5176653938091809E-2</v>
      </c>
      <c r="AO128" s="4">
        <f t="shared" si="80"/>
        <v>5.1742836177502194E-2</v>
      </c>
      <c r="AP128" s="4">
        <f t="shared" si="80"/>
        <v>3.5319190625345942E-2</v>
      </c>
      <c r="AQ128" s="4">
        <f t="shared" si="80"/>
        <v>2.3969442072658165E-2</v>
      </c>
      <c r="AR128" s="4">
        <f t="shared" si="80"/>
        <v>1.6202243558389728E-2</v>
      </c>
    </row>
    <row r="129" spans="1:44" x14ac:dyDescent="0.3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2"/>
        <v>0.99780374543478534</v>
      </c>
      <c r="R129" s="4">
        <f t="shared" si="82"/>
        <v>0.99685359315256394</v>
      </c>
      <c r="S129" s="4">
        <f t="shared" si="82"/>
        <v>0.99549347132349975</v>
      </c>
      <c r="T129" s="4">
        <f t="shared" si="82"/>
        <v>0.99354772139898062</v>
      </c>
      <c r="U129" s="4">
        <f t="shared" si="82"/>
        <v>0.99076681540580536</v>
      </c>
      <c r="V129" s="4">
        <f t="shared" si="82"/>
        <v>0.9867978615748374</v>
      </c>
      <c r="W129" s="4">
        <f t="shared" si="82"/>
        <v>0.98114509762858249</v>
      </c>
      <c r="X129" s="4">
        <f t="shared" si="82"/>
        <v>0.97311898315872036</v>
      </c>
      <c r="Y129" s="4">
        <f t="shared" si="82"/>
        <v>0.96177484161592774</v>
      </c>
      <c r="Z129" s="4">
        <f t="shared" si="82"/>
        <v>0.94584787155511363</v>
      </c>
      <c r="AA129" s="4">
        <f t="shared" si="82"/>
        <v>0.92370360150141495</v>
      </c>
      <c r="AB129" s="4">
        <f t="shared" si="82"/>
        <v>0.89334463567658451</v>
      </c>
      <c r="AC129" s="4">
        <f t="shared" si="82"/>
        <v>0.85254543874327005</v>
      </c>
      <c r="AD129" s="4">
        <f t="shared" si="82"/>
        <v>0.79921300652623883</v>
      </c>
      <c r="AE129" s="4">
        <f t="shared" si="82"/>
        <v>0.73204982249993378</v>
      </c>
      <c r="AF129" s="4">
        <f t="shared" si="82"/>
        <v>0.65145592958786691</v>
      </c>
      <c r="AG129" s="4">
        <f t="shared" si="79"/>
        <v>0.56032247880849573</v>
      </c>
      <c r="AH129" s="4">
        <f t="shared" si="79"/>
        <v>0.46411326873185343</v>
      </c>
      <c r="AI129" s="4">
        <f t="shared" si="79"/>
        <v>0.36979727595523937</v>
      </c>
      <c r="AJ129" s="4">
        <f t="shared" si="80"/>
        <v>0.28393948637231203</v>
      </c>
      <c r="AK129" s="4">
        <f t="shared" si="80"/>
        <v>0.21097259161117732</v>
      </c>
      <c r="AL129" s="4">
        <f t="shared" si="80"/>
        <v>0.15253917653798199</v>
      </c>
      <c r="AM129" s="4">
        <f t="shared" si="80"/>
        <v>0.10795188737709993</v>
      </c>
      <c r="AN129" s="4">
        <f t="shared" si="80"/>
        <v>7.5176653938091809E-2</v>
      </c>
      <c r="AO129" s="4">
        <f t="shared" si="80"/>
        <v>5.1742836177502194E-2</v>
      </c>
      <c r="AP129" s="4">
        <f t="shared" si="80"/>
        <v>3.5319190625345942E-2</v>
      </c>
      <c r="AQ129" s="4">
        <f t="shared" si="80"/>
        <v>2.3969442072658165E-2</v>
      </c>
      <c r="AR129" s="4">
        <f t="shared" si="80"/>
        <v>1.6202243558389728E-2</v>
      </c>
    </row>
    <row r="130" spans="1:44" x14ac:dyDescent="0.3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2"/>
        <v>0.99780374543478534</v>
      </c>
      <c r="R130" s="4">
        <f t="shared" si="82"/>
        <v>0.99685359315256394</v>
      </c>
      <c r="S130" s="4">
        <f t="shared" si="82"/>
        <v>0.99549347132349975</v>
      </c>
      <c r="T130" s="4">
        <f t="shared" si="82"/>
        <v>0.99354772139898062</v>
      </c>
      <c r="U130" s="4">
        <f t="shared" si="82"/>
        <v>0.99076681540580536</v>
      </c>
      <c r="V130" s="4">
        <f t="shared" si="82"/>
        <v>0.9867978615748374</v>
      </c>
      <c r="W130" s="4">
        <f t="shared" si="82"/>
        <v>0.98114509762858249</v>
      </c>
      <c r="X130" s="4">
        <f t="shared" si="82"/>
        <v>0.97311898315872036</v>
      </c>
      <c r="Y130" s="4">
        <f t="shared" si="82"/>
        <v>0.96177484161592774</v>
      </c>
      <c r="Z130" s="4">
        <f t="shared" si="82"/>
        <v>0.94584787155511363</v>
      </c>
      <c r="AA130" s="4">
        <f t="shared" si="82"/>
        <v>0.92370360150141495</v>
      </c>
      <c r="AB130" s="4">
        <f t="shared" si="82"/>
        <v>0.89334463567658451</v>
      </c>
      <c r="AC130" s="4">
        <f t="shared" si="82"/>
        <v>0.85254543874327005</v>
      </c>
      <c r="AD130" s="4">
        <f t="shared" si="82"/>
        <v>0.79921300652623883</v>
      </c>
      <c r="AE130" s="4">
        <f t="shared" si="82"/>
        <v>0.73204982249993378</v>
      </c>
      <c r="AF130" s="4">
        <f t="shared" si="82"/>
        <v>0.65145592958786691</v>
      </c>
      <c r="AG130" s="4">
        <f t="shared" si="79"/>
        <v>0.56032247880849573</v>
      </c>
      <c r="AH130" s="4">
        <f t="shared" si="79"/>
        <v>0.46411326873185343</v>
      </c>
      <c r="AI130" s="4">
        <f t="shared" si="79"/>
        <v>0.36979727595523937</v>
      </c>
      <c r="AJ130" s="4">
        <f t="shared" si="80"/>
        <v>0.28393948637231203</v>
      </c>
      <c r="AK130" s="4">
        <f t="shared" si="80"/>
        <v>0.21097259161117732</v>
      </c>
      <c r="AL130" s="4">
        <f t="shared" si="80"/>
        <v>0.15253917653798199</v>
      </c>
      <c r="AM130" s="4">
        <f t="shared" si="80"/>
        <v>0.10795188737709993</v>
      </c>
      <c r="AN130" s="4">
        <f t="shared" si="80"/>
        <v>7.5176653938091809E-2</v>
      </c>
      <c r="AO130" s="4">
        <f t="shared" si="80"/>
        <v>5.1742836177502194E-2</v>
      </c>
      <c r="AP130" s="4">
        <f t="shared" si="80"/>
        <v>3.5319190625345942E-2</v>
      </c>
      <c r="AQ130" s="4">
        <f t="shared" si="80"/>
        <v>2.3969442072658165E-2</v>
      </c>
      <c r="AR130" s="4">
        <f t="shared" si="80"/>
        <v>1.6202243558389728E-2</v>
      </c>
    </row>
    <row r="131" spans="1:44" x14ac:dyDescent="0.3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2"/>
        <v>0.99780374543478534</v>
      </c>
      <c r="R131" s="4">
        <f t="shared" si="82"/>
        <v>0.99685359315256394</v>
      </c>
      <c r="S131" s="4">
        <f t="shared" si="82"/>
        <v>0.99549347132349975</v>
      </c>
      <c r="T131" s="4">
        <f t="shared" si="82"/>
        <v>0.99354772139898062</v>
      </c>
      <c r="U131" s="4">
        <f t="shared" si="82"/>
        <v>0.99076681540580536</v>
      </c>
      <c r="V131" s="4">
        <f t="shared" si="82"/>
        <v>0.9867978615748374</v>
      </c>
      <c r="W131" s="4">
        <f t="shared" si="82"/>
        <v>0.98114509762858249</v>
      </c>
      <c r="X131" s="4">
        <f t="shared" si="82"/>
        <v>0.97311898315872036</v>
      </c>
      <c r="Y131" s="4">
        <f t="shared" si="82"/>
        <v>0.96177484161592774</v>
      </c>
      <c r="Z131" s="4">
        <f t="shared" si="82"/>
        <v>0.94584787155511363</v>
      </c>
      <c r="AA131" s="4">
        <f t="shared" si="82"/>
        <v>0.92370360150141495</v>
      </c>
      <c r="AB131" s="4">
        <f t="shared" si="82"/>
        <v>0.89334463567658451</v>
      </c>
      <c r="AC131" s="4">
        <f t="shared" si="82"/>
        <v>0.85254543874327005</v>
      </c>
      <c r="AD131" s="4">
        <f t="shared" si="82"/>
        <v>0.79921300652623883</v>
      </c>
      <c r="AE131" s="4">
        <f t="shared" si="82"/>
        <v>0.73204982249993378</v>
      </c>
      <c r="AF131" s="4">
        <f t="shared" si="82"/>
        <v>0.65145592958786691</v>
      </c>
      <c r="AG131" s="4">
        <f t="shared" si="79"/>
        <v>0.56032247880849573</v>
      </c>
      <c r="AH131" s="4">
        <f t="shared" si="79"/>
        <v>0.46411326873185343</v>
      </c>
      <c r="AI131" s="4">
        <f t="shared" si="79"/>
        <v>0.36979727595523937</v>
      </c>
      <c r="AJ131" s="4">
        <f t="shared" si="80"/>
        <v>0.28393948637231203</v>
      </c>
      <c r="AK131" s="4">
        <f t="shared" si="80"/>
        <v>0.21097259161117732</v>
      </c>
      <c r="AL131" s="4">
        <f t="shared" si="80"/>
        <v>0.15253917653798199</v>
      </c>
      <c r="AM131" s="4">
        <f t="shared" si="80"/>
        <v>0.10795188737709993</v>
      </c>
      <c r="AN131" s="4">
        <f t="shared" si="80"/>
        <v>7.5176653938091809E-2</v>
      </c>
      <c r="AO131" s="4">
        <f t="shared" si="80"/>
        <v>5.1742836177502194E-2</v>
      </c>
      <c r="AP131" s="4">
        <f t="shared" si="80"/>
        <v>3.5319190625345942E-2</v>
      </c>
      <c r="AQ131" s="4">
        <f t="shared" si="80"/>
        <v>2.3969442072658165E-2</v>
      </c>
      <c r="AR131" s="4">
        <f t="shared" si="80"/>
        <v>1.6202243558389728E-2</v>
      </c>
    </row>
    <row r="132" spans="1:44" x14ac:dyDescent="0.3">
      <c r="A132" s="24" t="s">
        <v>73</v>
      </c>
      <c r="B132" s="45">
        <f>'Parameter Input'!$L$173</f>
        <v>0.1</v>
      </c>
      <c r="C132" s="46">
        <f>'Parameter Input'!$M$173</f>
        <v>0.08</v>
      </c>
      <c r="D132" s="1" t="s">
        <v>57</v>
      </c>
      <c r="L132" s="54">
        <f>'Parameter Input'!$O$173</f>
        <v>17</v>
      </c>
      <c r="M132" s="37">
        <v>0</v>
      </c>
      <c r="N132" s="37">
        <v>1</v>
      </c>
      <c r="O132" s="37">
        <f>'Parameter Input'!$P$173</f>
        <v>0.9</v>
      </c>
      <c r="P132" s="55">
        <f>'Parameter Input'!$Q$173</f>
        <v>0.4</v>
      </c>
      <c r="Q132" s="4">
        <f t="shared" si="82"/>
        <v>0.99780374543478534</v>
      </c>
      <c r="R132" s="4">
        <f t="shared" si="82"/>
        <v>0.99685359315256394</v>
      </c>
      <c r="S132" s="4">
        <f t="shared" si="82"/>
        <v>0.99549347132349975</v>
      </c>
      <c r="T132" s="4">
        <f t="shared" si="82"/>
        <v>0.99354772139898062</v>
      </c>
      <c r="U132" s="4">
        <f t="shared" si="82"/>
        <v>0.99076681540580536</v>
      </c>
      <c r="V132" s="4">
        <f t="shared" si="82"/>
        <v>0.9867978615748374</v>
      </c>
      <c r="W132" s="4">
        <f t="shared" si="82"/>
        <v>0.98114509762858249</v>
      </c>
      <c r="X132" s="4">
        <f t="shared" si="82"/>
        <v>0.97311898315872036</v>
      </c>
      <c r="Y132" s="4">
        <f t="shared" si="82"/>
        <v>0.96177484161592774</v>
      </c>
      <c r="Z132" s="4">
        <f t="shared" si="82"/>
        <v>0.94584787155511363</v>
      </c>
      <c r="AA132" s="4">
        <f t="shared" si="82"/>
        <v>0.92370360150141495</v>
      </c>
      <c r="AB132" s="4">
        <f t="shared" si="82"/>
        <v>0.89334463567658451</v>
      </c>
      <c r="AC132" s="4">
        <f t="shared" si="82"/>
        <v>0.85254543874327005</v>
      </c>
      <c r="AD132" s="4">
        <f t="shared" si="82"/>
        <v>0.79921300652623883</v>
      </c>
      <c r="AE132" s="4">
        <f t="shared" si="82"/>
        <v>0.73204982249993378</v>
      </c>
      <c r="AF132" s="4">
        <f t="shared" si="82"/>
        <v>0.65145592958786691</v>
      </c>
      <c r="AG132" s="4">
        <f t="shared" si="79"/>
        <v>0.56032247880849573</v>
      </c>
      <c r="AH132" s="4">
        <f t="shared" si="79"/>
        <v>0.46411326873185343</v>
      </c>
      <c r="AI132" s="4">
        <f t="shared" si="79"/>
        <v>0.36979727595523937</v>
      </c>
      <c r="AJ132" s="4">
        <f t="shared" si="80"/>
        <v>0.28393948637231203</v>
      </c>
      <c r="AK132" s="4">
        <f t="shared" si="80"/>
        <v>0.21097259161117732</v>
      </c>
      <c r="AL132" s="4">
        <f t="shared" si="80"/>
        <v>0.15253917653798199</v>
      </c>
      <c r="AM132" s="4">
        <f t="shared" si="80"/>
        <v>0.10795188737709993</v>
      </c>
      <c r="AN132" s="4">
        <f t="shared" si="80"/>
        <v>7.5176653938091809E-2</v>
      </c>
      <c r="AO132" s="4">
        <f t="shared" si="80"/>
        <v>5.1742836177502194E-2</v>
      </c>
      <c r="AP132" s="4">
        <f t="shared" si="80"/>
        <v>3.5319190625345942E-2</v>
      </c>
      <c r="AQ132" s="4">
        <f t="shared" si="80"/>
        <v>2.3969442072658165E-2</v>
      </c>
      <c r="AR132" s="4">
        <f t="shared" si="80"/>
        <v>1.6202243558389728E-2</v>
      </c>
    </row>
    <row r="133" spans="1:44" ht="15" thickBot="1" x14ac:dyDescent="0.35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2"/>
        <v>0.99780374543478534</v>
      </c>
      <c r="R133" s="4">
        <f t="shared" si="82"/>
        <v>0.99685359315256394</v>
      </c>
      <c r="S133" s="4">
        <f t="shared" si="82"/>
        <v>0.99549347132349975</v>
      </c>
      <c r="T133" s="4">
        <f t="shared" si="82"/>
        <v>0.99354772139898062</v>
      </c>
      <c r="U133" s="4">
        <f t="shared" si="82"/>
        <v>0.99076681540580536</v>
      </c>
      <c r="V133" s="4">
        <f t="shared" si="82"/>
        <v>0.9867978615748374</v>
      </c>
      <c r="W133" s="4">
        <f t="shared" si="82"/>
        <v>0.98114509762858249</v>
      </c>
      <c r="X133" s="4">
        <f t="shared" si="82"/>
        <v>0.97311898315872036</v>
      </c>
      <c r="Y133" s="4">
        <f t="shared" si="82"/>
        <v>0.96177484161592774</v>
      </c>
      <c r="Z133" s="4">
        <f t="shared" si="82"/>
        <v>0.94584787155511363</v>
      </c>
      <c r="AA133" s="4">
        <f t="shared" si="82"/>
        <v>0.92370360150141495</v>
      </c>
      <c r="AB133" s="4">
        <f t="shared" si="82"/>
        <v>0.89334463567658451</v>
      </c>
      <c r="AC133" s="4">
        <f t="shared" si="82"/>
        <v>0.85254543874327005</v>
      </c>
      <c r="AD133" s="4">
        <f t="shared" si="82"/>
        <v>0.79921300652623883</v>
      </c>
      <c r="AE133" s="4">
        <f t="shared" si="82"/>
        <v>0.73204982249993378</v>
      </c>
      <c r="AF133" s="4">
        <f t="shared" si="82"/>
        <v>0.65145592958786691</v>
      </c>
      <c r="AG133" s="4">
        <f t="shared" si="79"/>
        <v>0.56032247880849573</v>
      </c>
      <c r="AH133" s="4">
        <f t="shared" si="79"/>
        <v>0.46411326873185343</v>
      </c>
      <c r="AI133" s="4">
        <f t="shared" si="79"/>
        <v>0.36979727595523937</v>
      </c>
      <c r="AJ133" s="4">
        <f t="shared" si="80"/>
        <v>0.28393948637231203</v>
      </c>
      <c r="AK133" s="4">
        <f t="shared" si="80"/>
        <v>0.21097259161117732</v>
      </c>
      <c r="AL133" s="4">
        <f t="shared" si="80"/>
        <v>0.15253917653798199</v>
      </c>
      <c r="AM133" s="4">
        <f t="shared" si="80"/>
        <v>0.10795188737709993</v>
      </c>
      <c r="AN133" s="4">
        <f t="shared" si="80"/>
        <v>7.5176653938091809E-2</v>
      </c>
      <c r="AO133" s="4">
        <f t="shared" si="80"/>
        <v>5.1742836177502194E-2</v>
      </c>
      <c r="AP133" s="4">
        <f t="shared" si="80"/>
        <v>3.5319190625345942E-2</v>
      </c>
      <c r="AQ133" s="4">
        <f t="shared" si="80"/>
        <v>2.3969442072658165E-2</v>
      </c>
      <c r="AR133" s="4">
        <f t="shared" si="80"/>
        <v>1.6202243558389728E-2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83">A117</f>
        <v>Capex vehicle</v>
      </c>
      <c r="B137" s="62">
        <f t="shared" ref="B137:B146" si="84">$B117+($C117-$B117)*(1-Q117)</f>
        <v>29976939.327065244</v>
      </c>
      <c r="C137" s="62">
        <f t="shared" ref="C137:C146" si="85">$B117+($C117-$B117)*(1-R117)</f>
        <v>29966962.72810192</v>
      </c>
      <c r="D137" s="62">
        <f t="shared" ref="D137:D146" si="86">$B117+($C117-$B117)*(1-S117)</f>
        <v>29952681.448896747</v>
      </c>
      <c r="E137" s="62">
        <f t="shared" ref="E137:E146" si="87">$B117+($C117-$B117)*(1-T117)</f>
        <v>29932251.074689295</v>
      </c>
      <c r="F137" s="62">
        <f t="shared" ref="F137:F146" si="88">$B117+($C117-$B117)*(1-U117)</f>
        <v>29903051.561760955</v>
      </c>
      <c r="G137" s="62">
        <f t="shared" ref="G137:G146" si="89">$B117+($C117-$B117)*(1-V117)</f>
        <v>29861377.546535794</v>
      </c>
      <c r="H137" s="62">
        <f t="shared" ref="H137:H146" si="90">$B117+($C117-$B117)*(1-W117)</f>
        <v>29802023.525100116</v>
      </c>
      <c r="I137" s="62">
        <f t="shared" ref="I137:I146" si="91">$B117+($C117-$B117)*(1-X117)</f>
        <v>29717749.323166564</v>
      </c>
      <c r="J137" s="62">
        <f t="shared" ref="J137:J146" si="92">$B117+($C117-$B117)*(1-Y117)</f>
        <v>29598635.836967241</v>
      </c>
      <c r="K137" s="62">
        <f t="shared" ref="K137:K146" si="93">$B117+($C117-$B117)*(1-Z117)</f>
        <v>29431402.651328694</v>
      </c>
      <c r="L137" s="62">
        <f t="shared" ref="L137:L146" si="94">$B117+($C117-$B117)*(1-AA117)</f>
        <v>29198887.815764856</v>
      </c>
      <c r="M137" s="62">
        <f t="shared" ref="M137:M146" si="95">$B117+($C117-$B117)*(1-AB117)</f>
        <v>28880118.674604136</v>
      </c>
      <c r="N137" s="62">
        <f t="shared" ref="N137:N146" si="96">$B117+($C117-$B117)*(1-AC117)</f>
        <v>28451727.106804334</v>
      </c>
      <c r="O137" s="62">
        <f t="shared" ref="O137:O146" si="97">$B117+($C117-$B117)*(1-AD117)</f>
        <v>27891736.568525508</v>
      </c>
      <c r="P137" s="62">
        <f t="shared" ref="P137:P146" si="98">$B117+($C117-$B117)*(1-AE117)</f>
        <v>27186523.136249304</v>
      </c>
      <c r="Q137" s="62">
        <f t="shared" ref="Q137:Q146" si="99">$B117+($C117-$B117)*(1-AF117)</f>
        <v>26340287.260672603</v>
      </c>
      <c r="R137" s="62">
        <f t="shared" ref="R137:R146" si="100">$B117+($C117-$B117)*(1-AG117)</f>
        <v>25383386.027489204</v>
      </c>
      <c r="S137" s="62">
        <f t="shared" ref="S137:S146" si="101">$B117+($C117-$B117)*(1-AH117)</f>
        <v>24373189.321684461</v>
      </c>
      <c r="T137" s="62">
        <f t="shared" ref="T137:T146" si="102">$B117+($C117-$B117)*(1-AI117)</f>
        <v>23382871.397530012</v>
      </c>
      <c r="U137" s="62">
        <f t="shared" ref="U137:U146" si="103">$B117+($C117-$B117)*(1-AJ117)</f>
        <v>22481364.606909275</v>
      </c>
      <c r="V137" s="62">
        <f t="shared" ref="V137:V146" si="104">$B117+($C117-$B117)*(1-AK117)</f>
        <v>21715212.211917363</v>
      </c>
      <c r="W137" s="62">
        <f t="shared" ref="W137:W146" si="105">$B117+($C117-$B117)*(1-AL117)</f>
        <v>21101661.353648812</v>
      </c>
      <c r="X137" s="62">
        <f t="shared" ref="X137:X146" si="106">$B117+($C117-$B117)*(1-AM117)</f>
        <v>20633494.81745955</v>
      </c>
      <c r="Y137" s="62">
        <f t="shared" ref="Y137:Y146" si="107">$B117+($C117-$B117)*(1-AN117)</f>
        <v>20289354.866349965</v>
      </c>
      <c r="Z137" s="62">
        <f t="shared" ref="Z137:Z146" si="108">$B117+($C117-$B117)*(1-AO117)</f>
        <v>20043299.779863775</v>
      </c>
      <c r="AA137" s="62">
        <f t="shared" ref="AA137:AA146" si="109">$B117+($C117-$B117)*(1-AP117)</f>
        <v>19870851.501566134</v>
      </c>
      <c r="AB137" s="62">
        <f t="shared" ref="AB137:AB146" si="110">$B117+($C117-$B117)*(1-AQ117)</f>
        <v>19751679.141762912</v>
      </c>
      <c r="AC137" s="62">
        <f t="shared" ref="AC137:AC146" si="111">$B117+($C117-$B117)*(1-AR117)</f>
        <v>19670123.557363093</v>
      </c>
    </row>
    <row r="138" spans="1:44" x14ac:dyDescent="0.3">
      <c r="A138" s="30" t="str">
        <f t="shared" si="83"/>
        <v>Residual value (vehicle)</v>
      </c>
      <c r="B138" s="62">
        <f t="shared" si="84"/>
        <v>-1500988.3145543465</v>
      </c>
      <c r="C138" s="62">
        <f t="shared" si="85"/>
        <v>-1501415.8830813463</v>
      </c>
      <c r="D138" s="62">
        <f t="shared" si="86"/>
        <v>-1502027.9379044252</v>
      </c>
      <c r="E138" s="62">
        <f t="shared" si="87"/>
        <v>-1502903.5253704586</v>
      </c>
      <c r="F138" s="62">
        <f t="shared" si="88"/>
        <v>-1504154.9330673877</v>
      </c>
      <c r="G138" s="62">
        <f t="shared" si="89"/>
        <v>-1505940.9622913231</v>
      </c>
      <c r="H138" s="62">
        <f t="shared" si="90"/>
        <v>-1508484.7060671379</v>
      </c>
      <c r="I138" s="62">
        <f t="shared" si="91"/>
        <v>-1512096.4575785759</v>
      </c>
      <c r="J138" s="62">
        <f t="shared" si="92"/>
        <v>-1517201.3212728326</v>
      </c>
      <c r="K138" s="62">
        <f t="shared" si="93"/>
        <v>-1524368.4578001988</v>
      </c>
      <c r="L138" s="62">
        <f t="shared" si="94"/>
        <v>-1534333.3793243633</v>
      </c>
      <c r="M138" s="62">
        <f t="shared" si="95"/>
        <v>-1547994.9139455371</v>
      </c>
      <c r="N138" s="62">
        <f t="shared" si="96"/>
        <v>-1566354.5525655285</v>
      </c>
      <c r="O138" s="62">
        <f t="shared" si="97"/>
        <v>-1590354.1470631924</v>
      </c>
      <c r="P138" s="62">
        <f t="shared" si="98"/>
        <v>-1620577.5798750299</v>
      </c>
      <c r="Q138" s="62">
        <f t="shared" si="99"/>
        <v>-1656844.8316854599</v>
      </c>
      <c r="R138" s="62">
        <f t="shared" si="100"/>
        <v>-1697854.8845361769</v>
      </c>
      <c r="S138" s="62">
        <f t="shared" si="101"/>
        <v>-1741149.0290706661</v>
      </c>
      <c r="T138" s="62">
        <f t="shared" si="102"/>
        <v>-1783591.2258201423</v>
      </c>
      <c r="U138" s="62">
        <f t="shared" si="103"/>
        <v>-1822227.2311324596</v>
      </c>
      <c r="V138" s="62">
        <f t="shared" si="104"/>
        <v>-1855062.3337749701</v>
      </c>
      <c r="W138" s="62">
        <f t="shared" si="105"/>
        <v>-1881357.370557908</v>
      </c>
      <c r="X138" s="62">
        <f t="shared" si="106"/>
        <v>-1901421.650680305</v>
      </c>
      <c r="Y138" s="62">
        <f t="shared" si="107"/>
        <v>-1916170.5057278587</v>
      </c>
      <c r="Z138" s="62">
        <f t="shared" si="108"/>
        <v>-1926715.723720124</v>
      </c>
      <c r="AA138" s="62">
        <f t="shared" si="109"/>
        <v>-1934106.3642185943</v>
      </c>
      <c r="AB138" s="62">
        <f t="shared" si="110"/>
        <v>-1939213.7510673038</v>
      </c>
      <c r="AC138" s="62">
        <f t="shared" si="111"/>
        <v>-1942708.9903987246</v>
      </c>
    </row>
    <row r="139" spans="1:44" x14ac:dyDescent="0.3">
      <c r="A139" s="30" t="str">
        <f t="shared" si="83"/>
        <v>Capex costumization</v>
      </c>
      <c r="B139" s="62">
        <f t="shared" si="84"/>
        <v>5000000</v>
      </c>
      <c r="C139" s="62">
        <f t="shared" si="85"/>
        <v>5000000</v>
      </c>
      <c r="D139" s="62">
        <f t="shared" si="86"/>
        <v>5000000</v>
      </c>
      <c r="E139" s="62">
        <f t="shared" si="87"/>
        <v>5000000</v>
      </c>
      <c r="F139" s="62">
        <f t="shared" si="88"/>
        <v>5000000</v>
      </c>
      <c r="G139" s="62">
        <f t="shared" si="89"/>
        <v>5000000</v>
      </c>
      <c r="H139" s="62">
        <f t="shared" si="90"/>
        <v>5000000</v>
      </c>
      <c r="I139" s="62">
        <f t="shared" si="91"/>
        <v>5000000</v>
      </c>
      <c r="J139" s="62">
        <f t="shared" si="92"/>
        <v>5000000</v>
      </c>
      <c r="K139" s="62">
        <f t="shared" si="93"/>
        <v>5000000</v>
      </c>
      <c r="L139" s="62">
        <f t="shared" si="94"/>
        <v>5000000</v>
      </c>
      <c r="M139" s="62">
        <f t="shared" si="95"/>
        <v>5000000</v>
      </c>
      <c r="N139" s="62">
        <f t="shared" si="96"/>
        <v>5000000</v>
      </c>
      <c r="O139" s="62">
        <f t="shared" si="97"/>
        <v>5000000</v>
      </c>
      <c r="P139" s="62">
        <f t="shared" si="98"/>
        <v>5000000</v>
      </c>
      <c r="Q139" s="62">
        <f t="shared" si="99"/>
        <v>5000000</v>
      </c>
      <c r="R139" s="62">
        <f t="shared" si="100"/>
        <v>5000000</v>
      </c>
      <c r="S139" s="62">
        <f t="shared" si="101"/>
        <v>5000000</v>
      </c>
      <c r="T139" s="62">
        <f t="shared" si="102"/>
        <v>5000000</v>
      </c>
      <c r="U139" s="62">
        <f t="shared" si="103"/>
        <v>5000000</v>
      </c>
      <c r="V139" s="62">
        <f t="shared" si="104"/>
        <v>5000000</v>
      </c>
      <c r="W139" s="62">
        <f t="shared" si="105"/>
        <v>5000000</v>
      </c>
      <c r="X139" s="62">
        <f t="shared" si="106"/>
        <v>5000000</v>
      </c>
      <c r="Y139" s="62">
        <f t="shared" si="107"/>
        <v>5000000</v>
      </c>
      <c r="Z139" s="62">
        <f t="shared" si="108"/>
        <v>5000000</v>
      </c>
      <c r="AA139" s="62">
        <f t="shared" si="109"/>
        <v>5000000</v>
      </c>
      <c r="AB139" s="62">
        <f t="shared" si="110"/>
        <v>5000000</v>
      </c>
      <c r="AC139" s="62">
        <f t="shared" si="111"/>
        <v>5000000</v>
      </c>
    </row>
    <row r="140" spans="1:44" x14ac:dyDescent="0.3">
      <c r="A140" s="30" t="str">
        <f t="shared" si="83"/>
        <v>Residual value (costumization)</v>
      </c>
      <c r="B140" s="62">
        <f t="shared" si="84"/>
        <v>-500000</v>
      </c>
      <c r="C140" s="62">
        <f t="shared" si="85"/>
        <v>-500000</v>
      </c>
      <c r="D140" s="62">
        <f t="shared" si="86"/>
        <v>-500000</v>
      </c>
      <c r="E140" s="62">
        <f t="shared" si="87"/>
        <v>-500000</v>
      </c>
      <c r="F140" s="62">
        <f t="shared" si="88"/>
        <v>-500000</v>
      </c>
      <c r="G140" s="62">
        <f t="shared" si="89"/>
        <v>-500000</v>
      </c>
      <c r="H140" s="62">
        <f t="shared" si="90"/>
        <v>-500000</v>
      </c>
      <c r="I140" s="62">
        <f t="shared" si="91"/>
        <v>-500000</v>
      </c>
      <c r="J140" s="62">
        <f t="shared" si="92"/>
        <v>-500000</v>
      </c>
      <c r="K140" s="62">
        <f t="shared" si="93"/>
        <v>-500000</v>
      </c>
      <c r="L140" s="62">
        <f t="shared" si="94"/>
        <v>-500000</v>
      </c>
      <c r="M140" s="62">
        <f t="shared" si="95"/>
        <v>-500000</v>
      </c>
      <c r="N140" s="62">
        <f t="shared" si="96"/>
        <v>-500000</v>
      </c>
      <c r="O140" s="62">
        <f t="shared" si="97"/>
        <v>-500000</v>
      </c>
      <c r="P140" s="62">
        <f t="shared" si="98"/>
        <v>-500000</v>
      </c>
      <c r="Q140" s="62">
        <f t="shared" si="99"/>
        <v>-500000</v>
      </c>
      <c r="R140" s="62">
        <f t="shared" si="100"/>
        <v>-500000</v>
      </c>
      <c r="S140" s="62">
        <f t="shared" si="101"/>
        <v>-500000</v>
      </c>
      <c r="T140" s="62">
        <f t="shared" si="102"/>
        <v>-500000</v>
      </c>
      <c r="U140" s="62">
        <f t="shared" si="103"/>
        <v>-500000</v>
      </c>
      <c r="V140" s="62">
        <f t="shared" si="104"/>
        <v>-500000</v>
      </c>
      <c r="W140" s="62">
        <f t="shared" si="105"/>
        <v>-500000</v>
      </c>
      <c r="X140" s="62">
        <f t="shared" si="106"/>
        <v>-500000</v>
      </c>
      <c r="Y140" s="62">
        <f t="shared" si="107"/>
        <v>-500000</v>
      </c>
      <c r="Z140" s="62">
        <f t="shared" si="108"/>
        <v>-500000</v>
      </c>
      <c r="AA140" s="62">
        <f t="shared" si="109"/>
        <v>-500000</v>
      </c>
      <c r="AB140" s="62">
        <f t="shared" si="110"/>
        <v>-500000</v>
      </c>
      <c r="AC140" s="62">
        <f t="shared" si="111"/>
        <v>-500000</v>
      </c>
    </row>
    <row r="141" spans="1:44" x14ac:dyDescent="0.3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3">
      <c r="A142" s="30" t="str">
        <f t="shared" si="83"/>
        <v>Opex fix (admin, crew, insurance)</v>
      </c>
      <c r="B142" s="62">
        <f t="shared" si="84"/>
        <v>1208235.294117647</v>
      </c>
      <c r="C142" s="62">
        <f t="shared" si="85"/>
        <v>1208235.294117647</v>
      </c>
      <c r="D142" s="62">
        <f t="shared" si="86"/>
        <v>1208235.294117647</v>
      </c>
      <c r="E142" s="62">
        <f t="shared" si="87"/>
        <v>1208235.294117647</v>
      </c>
      <c r="F142" s="62">
        <f t="shared" si="88"/>
        <v>1208235.294117647</v>
      </c>
      <c r="G142" s="62">
        <f t="shared" si="89"/>
        <v>1208235.294117647</v>
      </c>
      <c r="H142" s="62">
        <f t="shared" si="90"/>
        <v>1208235.294117647</v>
      </c>
      <c r="I142" s="62">
        <f t="shared" si="91"/>
        <v>1208235.294117647</v>
      </c>
      <c r="J142" s="62">
        <f t="shared" si="92"/>
        <v>1208235.294117647</v>
      </c>
      <c r="K142" s="62">
        <f t="shared" si="93"/>
        <v>1208235.294117647</v>
      </c>
      <c r="L142" s="62">
        <f t="shared" si="94"/>
        <v>1208235.294117647</v>
      </c>
      <c r="M142" s="62">
        <f t="shared" si="95"/>
        <v>1208235.294117647</v>
      </c>
      <c r="N142" s="62">
        <f t="shared" si="96"/>
        <v>1208235.294117647</v>
      </c>
      <c r="O142" s="62">
        <f t="shared" si="97"/>
        <v>1208235.294117647</v>
      </c>
      <c r="P142" s="62">
        <f t="shared" si="98"/>
        <v>1208235.294117647</v>
      </c>
      <c r="Q142" s="62">
        <f t="shared" si="99"/>
        <v>1208235.294117647</v>
      </c>
      <c r="R142" s="62">
        <f t="shared" si="100"/>
        <v>1208235.294117647</v>
      </c>
      <c r="S142" s="62">
        <f t="shared" si="101"/>
        <v>1208235.294117647</v>
      </c>
      <c r="T142" s="62">
        <f t="shared" si="102"/>
        <v>1208235.294117647</v>
      </c>
      <c r="U142" s="62">
        <f t="shared" si="103"/>
        <v>1208235.294117647</v>
      </c>
      <c r="V142" s="62">
        <f t="shared" si="104"/>
        <v>1208235.294117647</v>
      </c>
      <c r="W142" s="62">
        <f t="shared" si="105"/>
        <v>1208235.294117647</v>
      </c>
      <c r="X142" s="62">
        <f t="shared" si="106"/>
        <v>1208235.294117647</v>
      </c>
      <c r="Y142" s="62">
        <f t="shared" si="107"/>
        <v>1208235.294117647</v>
      </c>
      <c r="Z142" s="62">
        <f t="shared" si="108"/>
        <v>1208235.294117647</v>
      </c>
      <c r="AA142" s="62">
        <f t="shared" si="109"/>
        <v>1208235.294117647</v>
      </c>
      <c r="AB142" s="62">
        <f t="shared" si="110"/>
        <v>1208235.294117647</v>
      </c>
      <c r="AC142" s="62">
        <f t="shared" si="111"/>
        <v>1208235.294117647</v>
      </c>
    </row>
    <row r="143" spans="1:44" x14ac:dyDescent="0.3">
      <c r="A143" s="30" t="str">
        <f t="shared" si="83"/>
        <v>Opex maintenance &amp; repair</v>
      </c>
      <c r="B143" s="62">
        <f t="shared" si="84"/>
        <v>338823.5294117647</v>
      </c>
      <c r="C143" s="62">
        <f t="shared" si="85"/>
        <v>338823.5294117647</v>
      </c>
      <c r="D143" s="62">
        <f t="shared" si="86"/>
        <v>338823.5294117647</v>
      </c>
      <c r="E143" s="62">
        <f t="shared" si="87"/>
        <v>338823.5294117647</v>
      </c>
      <c r="F143" s="62">
        <f t="shared" si="88"/>
        <v>338823.5294117647</v>
      </c>
      <c r="G143" s="62">
        <f t="shared" si="89"/>
        <v>338823.5294117647</v>
      </c>
      <c r="H143" s="62">
        <f t="shared" si="90"/>
        <v>338823.5294117647</v>
      </c>
      <c r="I143" s="62">
        <f t="shared" si="91"/>
        <v>338823.5294117647</v>
      </c>
      <c r="J143" s="62">
        <f t="shared" si="92"/>
        <v>338823.5294117647</v>
      </c>
      <c r="K143" s="62">
        <f t="shared" si="93"/>
        <v>338823.5294117647</v>
      </c>
      <c r="L143" s="62">
        <f t="shared" si="94"/>
        <v>338823.5294117647</v>
      </c>
      <c r="M143" s="62">
        <f t="shared" si="95"/>
        <v>338823.5294117647</v>
      </c>
      <c r="N143" s="62">
        <f t="shared" si="96"/>
        <v>338823.5294117647</v>
      </c>
      <c r="O143" s="62">
        <f t="shared" si="97"/>
        <v>338823.5294117647</v>
      </c>
      <c r="P143" s="62">
        <f t="shared" si="98"/>
        <v>338823.5294117647</v>
      </c>
      <c r="Q143" s="62">
        <f t="shared" si="99"/>
        <v>338823.5294117647</v>
      </c>
      <c r="R143" s="62">
        <f t="shared" si="100"/>
        <v>338823.5294117647</v>
      </c>
      <c r="S143" s="62">
        <f t="shared" si="101"/>
        <v>338823.5294117647</v>
      </c>
      <c r="T143" s="62">
        <f t="shared" si="102"/>
        <v>338823.5294117647</v>
      </c>
      <c r="U143" s="62">
        <f t="shared" si="103"/>
        <v>338823.5294117647</v>
      </c>
      <c r="V143" s="62">
        <f t="shared" si="104"/>
        <v>338823.5294117647</v>
      </c>
      <c r="W143" s="62">
        <f t="shared" si="105"/>
        <v>338823.5294117647</v>
      </c>
      <c r="X143" s="62">
        <f t="shared" si="106"/>
        <v>338823.5294117647</v>
      </c>
      <c r="Y143" s="62">
        <f t="shared" si="107"/>
        <v>338823.5294117647</v>
      </c>
      <c r="Z143" s="62">
        <f t="shared" si="108"/>
        <v>338823.5294117647</v>
      </c>
      <c r="AA143" s="62">
        <f t="shared" si="109"/>
        <v>338823.5294117647</v>
      </c>
      <c r="AB143" s="62">
        <f t="shared" si="110"/>
        <v>338823.5294117647</v>
      </c>
      <c r="AC143" s="62">
        <f t="shared" si="111"/>
        <v>338823.5294117647</v>
      </c>
    </row>
    <row r="144" spans="1:44" x14ac:dyDescent="0.3">
      <c r="A144" s="30" t="str">
        <f t="shared" si="83"/>
        <v>Opex var (mode-fees)</v>
      </c>
      <c r="B144" s="62">
        <f t="shared" si="84"/>
        <v>1.6886890630966982</v>
      </c>
      <c r="C144" s="62">
        <f t="shared" si="85"/>
        <v>1.6886890630966982</v>
      </c>
      <c r="D144" s="62">
        <f t="shared" si="86"/>
        <v>1.6886890630966982</v>
      </c>
      <c r="E144" s="62">
        <f t="shared" si="87"/>
        <v>1.6886890630966982</v>
      </c>
      <c r="F144" s="62">
        <f t="shared" si="88"/>
        <v>1.6886890630966982</v>
      </c>
      <c r="G144" s="62">
        <f t="shared" si="89"/>
        <v>1.6886890630966982</v>
      </c>
      <c r="H144" s="62">
        <f t="shared" si="90"/>
        <v>1.6886890630966982</v>
      </c>
      <c r="I144" s="62">
        <f t="shared" si="91"/>
        <v>1.6886890630966982</v>
      </c>
      <c r="J144" s="62">
        <f t="shared" si="92"/>
        <v>1.6886890630966982</v>
      </c>
      <c r="K144" s="62">
        <f t="shared" si="93"/>
        <v>1.6886890630966982</v>
      </c>
      <c r="L144" s="62">
        <f t="shared" si="94"/>
        <v>1.6886890630966982</v>
      </c>
      <c r="M144" s="62">
        <f t="shared" si="95"/>
        <v>1.6886890630966982</v>
      </c>
      <c r="N144" s="62">
        <f t="shared" si="96"/>
        <v>1.6886890630966982</v>
      </c>
      <c r="O144" s="62">
        <f t="shared" si="97"/>
        <v>1.6886890630966982</v>
      </c>
      <c r="P144" s="62">
        <f t="shared" si="98"/>
        <v>1.6886890630966982</v>
      </c>
      <c r="Q144" s="62">
        <f t="shared" si="99"/>
        <v>1.6886890630966982</v>
      </c>
      <c r="R144" s="62">
        <f t="shared" si="100"/>
        <v>1.6886890630966982</v>
      </c>
      <c r="S144" s="62">
        <f t="shared" si="101"/>
        <v>1.6886890630966982</v>
      </c>
      <c r="T144" s="62">
        <f t="shared" si="102"/>
        <v>1.6886890630966982</v>
      </c>
      <c r="U144" s="62">
        <f t="shared" si="103"/>
        <v>1.6886890630966982</v>
      </c>
      <c r="V144" s="62">
        <f t="shared" si="104"/>
        <v>1.6886890630966982</v>
      </c>
      <c r="W144" s="62">
        <f t="shared" si="105"/>
        <v>1.6886890630966982</v>
      </c>
      <c r="X144" s="62">
        <f t="shared" si="106"/>
        <v>1.6886890630966982</v>
      </c>
      <c r="Y144" s="62">
        <f t="shared" si="107"/>
        <v>1.6886890630966982</v>
      </c>
      <c r="Z144" s="62">
        <f t="shared" si="108"/>
        <v>1.6886890630966982</v>
      </c>
      <c r="AA144" s="62">
        <f t="shared" si="109"/>
        <v>1.6886890630966982</v>
      </c>
      <c r="AB144" s="62">
        <f t="shared" si="110"/>
        <v>1.6886890630966982</v>
      </c>
      <c r="AC144" s="62">
        <f t="shared" si="111"/>
        <v>1.6886890630966982</v>
      </c>
    </row>
    <row r="145" spans="1:29" x14ac:dyDescent="0.3">
      <c r="A145" s="30" t="str">
        <f t="shared" si="83"/>
        <v>Fuel Economy</v>
      </c>
      <c r="B145" s="62">
        <f t="shared" si="84"/>
        <v>588.84626218043502</v>
      </c>
      <c r="C145" s="62">
        <f t="shared" si="85"/>
        <v>588.7797515206795</v>
      </c>
      <c r="D145" s="62">
        <f t="shared" si="86"/>
        <v>588.68454299264499</v>
      </c>
      <c r="E145" s="62">
        <f t="shared" si="87"/>
        <v>588.54834049792862</v>
      </c>
      <c r="F145" s="62">
        <f t="shared" si="88"/>
        <v>588.35367707840635</v>
      </c>
      <c r="G145" s="62">
        <f t="shared" si="89"/>
        <v>588.07585031023859</v>
      </c>
      <c r="H145" s="62">
        <f t="shared" si="90"/>
        <v>587.68015683400074</v>
      </c>
      <c r="I145" s="62">
        <f t="shared" si="91"/>
        <v>587.11832882111048</v>
      </c>
      <c r="J145" s="62">
        <f t="shared" si="92"/>
        <v>586.32423891311498</v>
      </c>
      <c r="K145" s="62">
        <f t="shared" si="93"/>
        <v>585.20935100885799</v>
      </c>
      <c r="L145" s="62">
        <f t="shared" si="94"/>
        <v>583.65925210509909</v>
      </c>
      <c r="M145" s="62">
        <f t="shared" si="95"/>
        <v>581.53412449736095</v>
      </c>
      <c r="N145" s="62">
        <f t="shared" si="96"/>
        <v>578.67818071202885</v>
      </c>
      <c r="O145" s="62">
        <f t="shared" si="97"/>
        <v>574.94491045683674</v>
      </c>
      <c r="P145" s="62">
        <f t="shared" si="98"/>
        <v>570.24348757499536</v>
      </c>
      <c r="Q145" s="62">
        <f t="shared" si="99"/>
        <v>564.60191507115064</v>
      </c>
      <c r="R145" s="62">
        <f t="shared" si="100"/>
        <v>558.22257351659471</v>
      </c>
      <c r="S145" s="62">
        <f t="shared" si="101"/>
        <v>551.48792881122972</v>
      </c>
      <c r="T145" s="62">
        <f t="shared" si="102"/>
        <v>544.8858093168667</v>
      </c>
      <c r="U145" s="62">
        <f t="shared" si="103"/>
        <v>538.87576404606182</v>
      </c>
      <c r="V145" s="62">
        <f t="shared" si="104"/>
        <v>533.76808141278241</v>
      </c>
      <c r="W145" s="62">
        <f t="shared" si="105"/>
        <v>529.67774235765876</v>
      </c>
      <c r="X145" s="62">
        <f t="shared" si="106"/>
        <v>526.55663211639694</v>
      </c>
      <c r="Y145" s="62">
        <f t="shared" si="107"/>
        <v>524.26236577566647</v>
      </c>
      <c r="Z145" s="62">
        <f t="shared" si="108"/>
        <v>522.6219985324251</v>
      </c>
      <c r="AA145" s="62">
        <f t="shared" si="109"/>
        <v>521.47234334377424</v>
      </c>
      <c r="AB145" s="62">
        <f t="shared" si="110"/>
        <v>520.67786094508608</v>
      </c>
      <c r="AC145" s="62">
        <f t="shared" si="111"/>
        <v>520.13415704908732</v>
      </c>
    </row>
    <row r="146" spans="1:29" x14ac:dyDescent="0.3">
      <c r="A146" s="30" t="str">
        <f t="shared" si="83"/>
        <v>Fuel Cost</v>
      </c>
      <c r="B146" s="62">
        <f t="shared" si="84"/>
        <v>0.20959517810556494</v>
      </c>
      <c r="C146" s="62">
        <f t="shared" si="85"/>
        <v>0.20948849768499242</v>
      </c>
      <c r="D146" s="62">
        <f t="shared" si="86"/>
        <v>0.20933578703905767</v>
      </c>
      <c r="E146" s="62">
        <f t="shared" si="87"/>
        <v>0.20911732372095529</v>
      </c>
      <c r="F146" s="62">
        <f t="shared" si="88"/>
        <v>0.20880509143306247</v>
      </c>
      <c r="G146" s="62">
        <f t="shared" si="89"/>
        <v>0.20835946848204387</v>
      </c>
      <c r="H146" s="62">
        <f t="shared" si="90"/>
        <v>0.20772479207651681</v>
      </c>
      <c r="I146" s="62">
        <f t="shared" si="91"/>
        <v>0.20682364256266603</v>
      </c>
      <c r="J146" s="62">
        <f t="shared" si="92"/>
        <v>0.20554995431977732</v>
      </c>
      <c r="K146" s="62">
        <f t="shared" si="93"/>
        <v>0.20376171900600099</v>
      </c>
      <c r="L146" s="62">
        <f t="shared" si="94"/>
        <v>0.20127542277033145</v>
      </c>
      <c r="M146" s="62">
        <f t="shared" si="95"/>
        <v>0.19786680364375564</v>
      </c>
      <c r="N146" s="62">
        <f t="shared" si="96"/>
        <v>0.19328598479049669</v>
      </c>
      <c r="O146" s="62">
        <f t="shared" si="97"/>
        <v>0.18729796960016717</v>
      </c>
      <c r="P146" s="62">
        <f t="shared" si="98"/>
        <v>0.17975707657387874</v>
      </c>
      <c r="Q146" s="62">
        <f t="shared" si="99"/>
        <v>0.17070822140370084</v>
      </c>
      <c r="R146" s="62">
        <f t="shared" si="100"/>
        <v>0.16047601437827749</v>
      </c>
      <c r="S146" s="62">
        <f t="shared" si="101"/>
        <v>0.14967391540322711</v>
      </c>
      <c r="T146" s="62">
        <f t="shared" si="102"/>
        <v>0.13908438153124628</v>
      </c>
      <c r="U146" s="62">
        <f t="shared" si="103"/>
        <v>0.12944451087733477</v>
      </c>
      <c r="V146" s="62">
        <f t="shared" si="104"/>
        <v>0.12125199356548938</v>
      </c>
      <c r="W146" s="62">
        <f t="shared" si="105"/>
        <v>0.1146912543954242</v>
      </c>
      <c r="X146" s="62">
        <f t="shared" si="106"/>
        <v>0.10968511922228061</v>
      </c>
      <c r="Y146" s="62">
        <f t="shared" si="107"/>
        <v>0.10600520837739882</v>
      </c>
      <c r="Z146" s="62">
        <f t="shared" si="108"/>
        <v>0.10337412535934337</v>
      </c>
      <c r="AA146" s="62">
        <f t="shared" si="109"/>
        <v>0.10153012472110708</v>
      </c>
      <c r="AB146" s="62">
        <f t="shared" si="110"/>
        <v>0.10025580693894878</v>
      </c>
      <c r="AC146" s="62">
        <f t="shared" si="111"/>
        <v>9.9383727778927067E-2</v>
      </c>
    </row>
    <row r="147" spans="1:29" x14ac:dyDescent="0.3">
      <c r="A147" s="30" t="str">
        <f t="shared" ref="A147" si="112">A127</f>
        <v>Emission Cost</v>
      </c>
      <c r="B147" s="66">
        <f>$B127+($C127-$B127)*(1-Q127)</f>
        <v>2.4395360251592355</v>
      </c>
      <c r="C147" s="66">
        <f t="shared" ref="C147:AC147" si="113">$B127+($C127-$B127)*(1-R127)</f>
        <v>2.437212992466212</v>
      </c>
      <c r="D147" s="66">
        <f t="shared" si="113"/>
        <v>2.4338876229075299</v>
      </c>
      <c r="E147" s="66">
        <f t="shared" si="113"/>
        <v>2.4291304479033946</v>
      </c>
      <c r="F147" s="66">
        <f t="shared" si="113"/>
        <v>2.422331395099703</v>
      </c>
      <c r="G147" s="66">
        <f t="shared" si="113"/>
        <v>2.4126276774125932</v>
      </c>
      <c r="H147" s="66">
        <f t="shared" si="113"/>
        <v>2.3988072028436171</v>
      </c>
      <c r="I147" s="66">
        <f t="shared" si="113"/>
        <v>2.379184110145415</v>
      </c>
      <c r="J147" s="66">
        <f t="shared" si="113"/>
        <v>2.3514487542753191</v>
      </c>
      <c r="K147" s="66">
        <f t="shared" si="113"/>
        <v>2.3125088150209741</v>
      </c>
      <c r="L147" s="66">
        <f t="shared" si="113"/>
        <v>2.2583681638217614</v>
      </c>
      <c r="M147" s="66">
        <f t="shared" si="113"/>
        <v>2.1841433564334305</v>
      </c>
      <c r="N147" s="66">
        <f t="shared" si="113"/>
        <v>2.0843931689123196</v>
      </c>
      <c r="O147" s="66">
        <f t="shared" si="113"/>
        <v>1.9540004035032079</v>
      </c>
      <c r="P147" s="66">
        <f t="shared" si="113"/>
        <v>1.7897927547083285</v>
      </c>
      <c r="Q147" s="66">
        <f t="shared" si="113"/>
        <v>1.5927482897357697</v>
      </c>
      <c r="R147" s="66">
        <f t="shared" si="113"/>
        <v>1.3699356000755636</v>
      </c>
      <c r="S147" s="66">
        <f t="shared" si="113"/>
        <v>1.1347131577787466</v>
      </c>
      <c r="T147" s="66">
        <f t="shared" si="113"/>
        <v>0.90411945317509268</v>
      </c>
      <c r="U147" s="66">
        <f t="shared" si="113"/>
        <v>0.69420525743630557</v>
      </c>
      <c r="V147" s="66">
        <f t="shared" si="113"/>
        <v>0.51580808341464834</v>
      </c>
      <c r="W147" s="66">
        <f t="shared" si="113"/>
        <v>0.37294389614701329</v>
      </c>
      <c r="X147" s="66">
        <f t="shared" si="113"/>
        <v>0.26393218049669054</v>
      </c>
      <c r="Y147" s="66">
        <f t="shared" si="113"/>
        <v>0.18379982674147044</v>
      </c>
      <c r="Z147" s="66">
        <f t="shared" si="113"/>
        <v>0.12650635305435332</v>
      </c>
      <c r="AA147" s="66">
        <f t="shared" si="113"/>
        <v>8.6352089079855254E-2</v>
      </c>
      <c r="AB147" s="66">
        <f t="shared" si="113"/>
        <v>5.8603024599529263E-2</v>
      </c>
      <c r="AC147" s="66">
        <f t="shared" si="113"/>
        <v>3.9612956986719627E-2</v>
      </c>
    </row>
    <row r="148" spans="1:29" x14ac:dyDescent="0.3">
      <c r="A148" s="30" t="str">
        <f>A128</f>
        <v>Lifetime vehicle</v>
      </c>
      <c r="B148" s="62">
        <f>$B128+($C128-$B128)*(1-Q128)</f>
        <v>25</v>
      </c>
      <c r="C148" s="62">
        <f t="shared" ref="C148:L150" si="114">$B128+($C128-$B128)*(1-R128)</f>
        <v>25</v>
      </c>
      <c r="D148" s="62">
        <f t="shared" si="114"/>
        <v>25</v>
      </c>
      <c r="E148" s="62">
        <f t="shared" si="114"/>
        <v>25</v>
      </c>
      <c r="F148" s="62">
        <f t="shared" si="114"/>
        <v>25</v>
      </c>
      <c r="G148" s="62">
        <f t="shared" si="114"/>
        <v>25</v>
      </c>
      <c r="H148" s="62">
        <f t="shared" si="114"/>
        <v>25</v>
      </c>
      <c r="I148" s="62">
        <f t="shared" si="114"/>
        <v>25</v>
      </c>
      <c r="J148" s="62">
        <f t="shared" si="114"/>
        <v>25</v>
      </c>
      <c r="K148" s="62">
        <f t="shared" si="114"/>
        <v>25</v>
      </c>
      <c r="L148" s="62">
        <f t="shared" si="114"/>
        <v>25</v>
      </c>
      <c r="M148" s="62">
        <f t="shared" ref="M148:V150" si="115">$B128+($C128-$B128)*(1-AB128)</f>
        <v>25</v>
      </c>
      <c r="N148" s="62">
        <f t="shared" si="115"/>
        <v>25</v>
      </c>
      <c r="O148" s="62">
        <f t="shared" si="115"/>
        <v>25</v>
      </c>
      <c r="P148" s="62">
        <f t="shared" si="115"/>
        <v>25</v>
      </c>
      <c r="Q148" s="62">
        <f t="shared" si="115"/>
        <v>25</v>
      </c>
      <c r="R148" s="62">
        <f t="shared" si="115"/>
        <v>25</v>
      </c>
      <c r="S148" s="62">
        <f t="shared" si="115"/>
        <v>25</v>
      </c>
      <c r="T148" s="62">
        <f t="shared" si="115"/>
        <v>25</v>
      </c>
      <c r="U148" s="62">
        <f t="shared" si="115"/>
        <v>25</v>
      </c>
      <c r="V148" s="62">
        <f t="shared" si="115"/>
        <v>25</v>
      </c>
      <c r="W148" s="62">
        <f t="shared" ref="W148:AC150" si="116">$B128+($C128-$B128)*(1-AL128)</f>
        <v>25</v>
      </c>
      <c r="X148" s="62">
        <f t="shared" si="116"/>
        <v>25</v>
      </c>
      <c r="Y148" s="62">
        <f t="shared" si="116"/>
        <v>25</v>
      </c>
      <c r="Z148" s="62">
        <f t="shared" si="116"/>
        <v>25</v>
      </c>
      <c r="AA148" s="62">
        <f t="shared" si="116"/>
        <v>25</v>
      </c>
      <c r="AB148" s="62">
        <f t="shared" si="116"/>
        <v>25</v>
      </c>
      <c r="AC148" s="62">
        <f t="shared" si="116"/>
        <v>25</v>
      </c>
    </row>
    <row r="149" spans="1:29" x14ac:dyDescent="0.3">
      <c r="A149" s="30" t="str">
        <f>A129</f>
        <v>Lifetime costumization</v>
      </c>
      <c r="B149" s="62">
        <f>$B129+($C129-$B129)*(1-Q129)</f>
        <v>25</v>
      </c>
      <c r="C149" s="62">
        <f t="shared" si="114"/>
        <v>25</v>
      </c>
      <c r="D149" s="62">
        <f t="shared" si="114"/>
        <v>25</v>
      </c>
      <c r="E149" s="62">
        <f t="shared" si="114"/>
        <v>25</v>
      </c>
      <c r="F149" s="62">
        <f t="shared" si="114"/>
        <v>25</v>
      </c>
      <c r="G149" s="62">
        <f t="shared" si="114"/>
        <v>25</v>
      </c>
      <c r="H149" s="62">
        <f t="shared" si="114"/>
        <v>25</v>
      </c>
      <c r="I149" s="62">
        <f t="shared" si="114"/>
        <v>25</v>
      </c>
      <c r="J149" s="62">
        <f t="shared" si="114"/>
        <v>25</v>
      </c>
      <c r="K149" s="62">
        <f t="shared" si="114"/>
        <v>25</v>
      </c>
      <c r="L149" s="62">
        <f t="shared" si="114"/>
        <v>25</v>
      </c>
      <c r="M149" s="62">
        <f t="shared" si="115"/>
        <v>25</v>
      </c>
      <c r="N149" s="62">
        <f t="shared" si="115"/>
        <v>25</v>
      </c>
      <c r="O149" s="62">
        <f t="shared" si="115"/>
        <v>25</v>
      </c>
      <c r="P149" s="62">
        <f t="shared" si="115"/>
        <v>25</v>
      </c>
      <c r="Q149" s="62">
        <f t="shared" si="115"/>
        <v>25</v>
      </c>
      <c r="R149" s="62">
        <f t="shared" si="115"/>
        <v>25</v>
      </c>
      <c r="S149" s="62">
        <f t="shared" si="115"/>
        <v>25</v>
      </c>
      <c r="T149" s="62">
        <f t="shared" si="115"/>
        <v>25</v>
      </c>
      <c r="U149" s="62">
        <f t="shared" si="115"/>
        <v>25</v>
      </c>
      <c r="V149" s="62">
        <f t="shared" si="115"/>
        <v>25</v>
      </c>
      <c r="W149" s="62">
        <f t="shared" si="116"/>
        <v>25</v>
      </c>
      <c r="X149" s="62">
        <f t="shared" si="116"/>
        <v>25</v>
      </c>
      <c r="Y149" s="62">
        <f t="shared" si="116"/>
        <v>25</v>
      </c>
      <c r="Z149" s="62">
        <f t="shared" si="116"/>
        <v>25</v>
      </c>
      <c r="AA149" s="62">
        <f t="shared" si="116"/>
        <v>25</v>
      </c>
      <c r="AB149" s="62">
        <f t="shared" si="116"/>
        <v>25</v>
      </c>
      <c r="AC149" s="62">
        <f t="shared" si="116"/>
        <v>25</v>
      </c>
    </row>
    <row r="150" spans="1:29" x14ac:dyDescent="0.3">
      <c r="A150" s="30" t="str">
        <f>A130</f>
        <v>Tonnage .</v>
      </c>
      <c r="B150" s="62">
        <f>$B130+($C130-$B130)*(1-Q130)</f>
        <v>9450</v>
      </c>
      <c r="C150" s="62">
        <f t="shared" si="114"/>
        <v>9450</v>
      </c>
      <c r="D150" s="62">
        <f t="shared" si="114"/>
        <v>9450</v>
      </c>
      <c r="E150" s="62">
        <f t="shared" si="114"/>
        <v>9450</v>
      </c>
      <c r="F150" s="62">
        <f t="shared" si="114"/>
        <v>9450</v>
      </c>
      <c r="G150" s="62">
        <f t="shared" si="114"/>
        <v>9450</v>
      </c>
      <c r="H150" s="62">
        <f t="shared" si="114"/>
        <v>9450</v>
      </c>
      <c r="I150" s="62">
        <f t="shared" si="114"/>
        <v>9450</v>
      </c>
      <c r="J150" s="62">
        <f t="shared" si="114"/>
        <v>9450</v>
      </c>
      <c r="K150" s="62">
        <f t="shared" si="114"/>
        <v>9450</v>
      </c>
      <c r="L150" s="62">
        <f t="shared" si="114"/>
        <v>9450</v>
      </c>
      <c r="M150" s="62">
        <f t="shared" si="115"/>
        <v>9450</v>
      </c>
      <c r="N150" s="62">
        <f t="shared" si="115"/>
        <v>9450</v>
      </c>
      <c r="O150" s="62">
        <f t="shared" si="115"/>
        <v>9450</v>
      </c>
      <c r="P150" s="62">
        <f t="shared" si="115"/>
        <v>9450</v>
      </c>
      <c r="Q150" s="62">
        <f t="shared" si="115"/>
        <v>9450</v>
      </c>
      <c r="R150" s="62">
        <f t="shared" si="115"/>
        <v>9450</v>
      </c>
      <c r="S150" s="62">
        <f t="shared" si="115"/>
        <v>9450</v>
      </c>
      <c r="T150" s="62">
        <f t="shared" si="115"/>
        <v>9450</v>
      </c>
      <c r="U150" s="62">
        <f t="shared" si="115"/>
        <v>9450</v>
      </c>
      <c r="V150" s="62">
        <f t="shared" si="115"/>
        <v>9450</v>
      </c>
      <c r="W150" s="62">
        <f t="shared" si="116"/>
        <v>9450</v>
      </c>
      <c r="X150" s="62">
        <f t="shared" si="116"/>
        <v>9450</v>
      </c>
      <c r="Y150" s="62">
        <f t="shared" si="116"/>
        <v>9450</v>
      </c>
      <c r="Z150" s="62">
        <f t="shared" si="116"/>
        <v>9450</v>
      </c>
      <c r="AA150" s="62">
        <f t="shared" si="116"/>
        <v>9450</v>
      </c>
      <c r="AB150" s="62">
        <f t="shared" si="116"/>
        <v>9450</v>
      </c>
      <c r="AC150" s="62">
        <f t="shared" si="116"/>
        <v>9450</v>
      </c>
    </row>
    <row r="151" spans="1:29" x14ac:dyDescent="0.3">
      <c r="A151" s="30" t="str">
        <f>A131</f>
        <v>Market failure (av. utilization)</v>
      </c>
      <c r="B151" s="62">
        <f t="shared" ref="B151:K152" si="117">($B131+($C131-$B131)*(1-Q131))*B$44</f>
        <v>4063.5</v>
      </c>
      <c r="C151" s="62">
        <f t="shared" si="117"/>
        <v>4063.5</v>
      </c>
      <c r="D151" s="62">
        <f t="shared" si="117"/>
        <v>4063.5</v>
      </c>
      <c r="E151" s="62">
        <f t="shared" si="117"/>
        <v>4063.5</v>
      </c>
      <c r="F151" s="62">
        <f t="shared" si="117"/>
        <v>4063.5</v>
      </c>
      <c r="G151" s="62">
        <f t="shared" si="117"/>
        <v>4063.5</v>
      </c>
      <c r="H151" s="62">
        <f t="shared" si="117"/>
        <v>4063.5</v>
      </c>
      <c r="I151" s="62">
        <f t="shared" si="117"/>
        <v>4063.5</v>
      </c>
      <c r="J151" s="62">
        <f t="shared" si="117"/>
        <v>4063.5</v>
      </c>
      <c r="K151" s="62">
        <f t="shared" si="117"/>
        <v>4063.5</v>
      </c>
      <c r="L151" s="62">
        <f t="shared" ref="L151:U152" si="118">($B131+($C131-$B131)*(1-AA131))*L$44</f>
        <v>4063.5</v>
      </c>
      <c r="M151" s="62">
        <f t="shared" si="118"/>
        <v>4063.5</v>
      </c>
      <c r="N151" s="62">
        <f t="shared" si="118"/>
        <v>4063.5</v>
      </c>
      <c r="O151" s="62">
        <f t="shared" si="118"/>
        <v>4063.5</v>
      </c>
      <c r="P151" s="62">
        <f t="shared" si="118"/>
        <v>4063.5</v>
      </c>
      <c r="Q151" s="62">
        <f t="shared" si="118"/>
        <v>4063.5</v>
      </c>
      <c r="R151" s="62">
        <f t="shared" si="118"/>
        <v>4063.5</v>
      </c>
      <c r="S151" s="62">
        <f t="shared" si="118"/>
        <v>4063.5</v>
      </c>
      <c r="T151" s="62">
        <f t="shared" si="118"/>
        <v>4063.5</v>
      </c>
      <c r="U151" s="62">
        <f t="shared" si="118"/>
        <v>4063.5</v>
      </c>
      <c r="V151" s="62">
        <f t="shared" ref="V151:AC152" si="119">($B131+($C131-$B131)*(1-AK131))*V$44</f>
        <v>4063.5</v>
      </c>
      <c r="W151" s="62">
        <f t="shared" si="119"/>
        <v>4063.5</v>
      </c>
      <c r="X151" s="62">
        <f t="shared" si="119"/>
        <v>4063.5</v>
      </c>
      <c r="Y151" s="62">
        <f t="shared" si="119"/>
        <v>4063.5</v>
      </c>
      <c r="Z151" s="62">
        <f t="shared" si="119"/>
        <v>4063.5</v>
      </c>
      <c r="AA151" s="62">
        <f t="shared" si="119"/>
        <v>4063.5</v>
      </c>
      <c r="AB151" s="62">
        <f t="shared" si="119"/>
        <v>4063.5</v>
      </c>
      <c r="AC151" s="62">
        <f t="shared" si="119"/>
        <v>4063.5</v>
      </c>
    </row>
    <row r="152" spans="1:29" x14ac:dyDescent="0.3">
      <c r="A152" s="30" t="s">
        <v>73</v>
      </c>
      <c r="B152" s="62">
        <f t="shared" si="117"/>
        <v>944.5849078871745</v>
      </c>
      <c r="C152" s="62">
        <f t="shared" si="117"/>
        <v>944.40532910583465</v>
      </c>
      <c r="D152" s="62">
        <f t="shared" si="117"/>
        <v>944.14826608014141</v>
      </c>
      <c r="E152" s="62">
        <f t="shared" si="117"/>
        <v>943.78051934440748</v>
      </c>
      <c r="F152" s="62">
        <f t="shared" si="117"/>
        <v>943.25492811169715</v>
      </c>
      <c r="G152" s="62">
        <f t="shared" si="117"/>
        <v>942.50479583764434</v>
      </c>
      <c r="H152" s="62">
        <f t="shared" si="117"/>
        <v>941.43642345180217</v>
      </c>
      <c r="I152" s="62">
        <f t="shared" si="117"/>
        <v>939.91948781699818</v>
      </c>
      <c r="J152" s="62">
        <f t="shared" si="117"/>
        <v>937.77544506541028</v>
      </c>
      <c r="K152" s="62">
        <f t="shared" si="117"/>
        <v>934.76524772391656</v>
      </c>
      <c r="L152" s="62">
        <f t="shared" si="118"/>
        <v>930.57998068376753</v>
      </c>
      <c r="M152" s="62">
        <f t="shared" si="118"/>
        <v>924.84213614287444</v>
      </c>
      <c r="N152" s="62">
        <f t="shared" si="118"/>
        <v>917.13108792247806</v>
      </c>
      <c r="O152" s="62">
        <f t="shared" si="118"/>
        <v>907.05125823345929</v>
      </c>
      <c r="P152" s="62">
        <f t="shared" si="118"/>
        <v>894.35741645248754</v>
      </c>
      <c r="Q152" s="62">
        <f t="shared" si="118"/>
        <v>879.12517069210696</v>
      </c>
      <c r="R152" s="62">
        <f t="shared" si="118"/>
        <v>861.90094849480568</v>
      </c>
      <c r="S152" s="62">
        <f t="shared" si="118"/>
        <v>843.71740779032029</v>
      </c>
      <c r="T152" s="62">
        <f t="shared" si="118"/>
        <v>825.89168515554024</v>
      </c>
      <c r="U152" s="62">
        <f t="shared" si="118"/>
        <v>809.66456292436703</v>
      </c>
      <c r="V152" s="62">
        <f t="shared" si="119"/>
        <v>795.87381981451244</v>
      </c>
      <c r="W152" s="62">
        <f t="shared" si="119"/>
        <v>784.82990436567866</v>
      </c>
      <c r="X152" s="62">
        <f t="shared" si="119"/>
        <v>776.40290671427192</v>
      </c>
      <c r="Y152" s="62">
        <f t="shared" si="119"/>
        <v>770.20838759429932</v>
      </c>
      <c r="Z152" s="62">
        <f t="shared" si="119"/>
        <v>765.77939603754794</v>
      </c>
      <c r="AA152" s="62">
        <f t="shared" si="119"/>
        <v>762.6753270281904</v>
      </c>
      <c r="AB152" s="62">
        <f t="shared" si="119"/>
        <v>760.53022455173243</v>
      </c>
      <c r="AC152" s="62">
        <f t="shared" si="119"/>
        <v>759.0622240325356</v>
      </c>
    </row>
    <row r="153" spans="1:29" x14ac:dyDescent="0.3">
      <c r="A153" s="30" t="str">
        <f>A133</f>
        <v>Annual Mileage</v>
      </c>
      <c r="B153" s="62">
        <f t="shared" ref="B153:AC153" si="120">$B133+($C133-$B133)*(1-Q133)</f>
        <v>120000</v>
      </c>
      <c r="C153" s="62">
        <f t="shared" si="120"/>
        <v>120000</v>
      </c>
      <c r="D153" s="62">
        <f t="shared" si="120"/>
        <v>120000</v>
      </c>
      <c r="E153" s="62">
        <f t="shared" si="120"/>
        <v>120000</v>
      </c>
      <c r="F153" s="62">
        <f t="shared" si="120"/>
        <v>120000</v>
      </c>
      <c r="G153" s="62">
        <f t="shared" si="120"/>
        <v>120000</v>
      </c>
      <c r="H153" s="62">
        <f t="shared" si="120"/>
        <v>120000</v>
      </c>
      <c r="I153" s="62">
        <f t="shared" si="120"/>
        <v>120000</v>
      </c>
      <c r="J153" s="62">
        <f t="shared" si="120"/>
        <v>120000</v>
      </c>
      <c r="K153" s="62">
        <f t="shared" si="120"/>
        <v>120000</v>
      </c>
      <c r="L153" s="62">
        <f t="shared" si="120"/>
        <v>120000</v>
      </c>
      <c r="M153" s="62">
        <f t="shared" si="120"/>
        <v>120000</v>
      </c>
      <c r="N153" s="62">
        <f t="shared" si="120"/>
        <v>120000</v>
      </c>
      <c r="O153" s="62">
        <f t="shared" si="120"/>
        <v>120000</v>
      </c>
      <c r="P153" s="62">
        <f t="shared" si="120"/>
        <v>120000</v>
      </c>
      <c r="Q153" s="62">
        <f t="shared" si="120"/>
        <v>120000</v>
      </c>
      <c r="R153" s="62">
        <f t="shared" si="120"/>
        <v>120000</v>
      </c>
      <c r="S153" s="62">
        <f t="shared" si="120"/>
        <v>120000</v>
      </c>
      <c r="T153" s="62">
        <f t="shared" si="120"/>
        <v>120000</v>
      </c>
      <c r="U153" s="62">
        <f t="shared" si="120"/>
        <v>120000</v>
      </c>
      <c r="V153" s="62">
        <f t="shared" si="120"/>
        <v>120000</v>
      </c>
      <c r="W153" s="62">
        <f t="shared" si="120"/>
        <v>120000</v>
      </c>
      <c r="X153" s="62">
        <f t="shared" si="120"/>
        <v>120000</v>
      </c>
      <c r="Y153" s="62">
        <f t="shared" si="120"/>
        <v>120000</v>
      </c>
      <c r="Z153" s="62">
        <f t="shared" si="120"/>
        <v>120000</v>
      </c>
      <c r="AA153" s="62">
        <f t="shared" si="120"/>
        <v>120000</v>
      </c>
      <c r="AB153" s="62">
        <f t="shared" si="120"/>
        <v>120000</v>
      </c>
      <c r="AC153" s="62">
        <f t="shared" si="120"/>
        <v>120000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2344997.5856047659</v>
      </c>
      <c r="C156" s="63">
        <f t="shared" ref="C156:AC156" si="121">((1+C141)^C148)*C141/(((1+C141)^C148)-1)*(C137)</f>
        <v>2344217.1490089451</v>
      </c>
      <c r="D156" s="63">
        <f t="shared" si="121"/>
        <v>2343099.9714048514</v>
      </c>
      <c r="E156" s="63">
        <f t="shared" si="121"/>
        <v>2341501.7702787537</v>
      </c>
      <c r="F156" s="63">
        <f t="shared" si="121"/>
        <v>2339217.5882089725</v>
      </c>
      <c r="G156" s="63">
        <f t="shared" si="121"/>
        <v>2335957.5667631798</v>
      </c>
      <c r="H156" s="63">
        <f t="shared" si="121"/>
        <v>2331314.496453566</v>
      </c>
      <c r="I156" s="63">
        <f t="shared" si="121"/>
        <v>2324722.0022063456</v>
      </c>
      <c r="J156" s="63">
        <f t="shared" si="121"/>
        <v>2315404.1450861497</v>
      </c>
      <c r="K156" s="63">
        <f t="shared" si="121"/>
        <v>2302322.0417974619</v>
      </c>
      <c r="L156" s="63">
        <f t="shared" si="121"/>
        <v>2284133.1692756363</v>
      </c>
      <c r="M156" s="63">
        <f t="shared" si="121"/>
        <v>2259196.9054952883</v>
      </c>
      <c r="N156" s="63">
        <f t="shared" si="121"/>
        <v>2225685.2390364991</v>
      </c>
      <c r="O156" s="63">
        <f t="shared" si="121"/>
        <v>2181879.0169970216</v>
      </c>
      <c r="P156" s="63">
        <f t="shared" si="121"/>
        <v>2126712.4845508407</v>
      </c>
      <c r="Q156" s="63">
        <f t="shared" si="121"/>
        <v>2060514.2291709851</v>
      </c>
      <c r="R156" s="63">
        <f t="shared" si="121"/>
        <v>1985658.9860457699</v>
      </c>
      <c r="S156" s="63">
        <f t="shared" si="121"/>
        <v>1906634.6130018148</v>
      </c>
      <c r="T156" s="63">
        <f t="shared" si="121"/>
        <v>1829165.2918084206</v>
      </c>
      <c r="U156" s="63">
        <f t="shared" si="121"/>
        <v>1758643.3741320807</v>
      </c>
      <c r="V156" s="63">
        <f t="shared" si="121"/>
        <v>1698709.7866213897</v>
      </c>
      <c r="W156" s="63">
        <f t="shared" si="121"/>
        <v>1650713.7165227169</v>
      </c>
      <c r="X156" s="63">
        <f t="shared" si="121"/>
        <v>1614090.584819823</v>
      </c>
      <c r="Y156" s="63">
        <f t="shared" si="121"/>
        <v>1587169.645838788</v>
      </c>
      <c r="Z156" s="63">
        <f t="shared" si="121"/>
        <v>1567921.5639235359</v>
      </c>
      <c r="AA156" s="63">
        <f t="shared" si="121"/>
        <v>1554431.5010509547</v>
      </c>
      <c r="AB156" s="63">
        <f t="shared" si="121"/>
        <v>1545109.0384419363</v>
      </c>
      <c r="AC156" s="63">
        <f t="shared" si="121"/>
        <v>1538729.2127224542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-117417.38992255888</v>
      </c>
      <c r="C157" s="62">
        <f t="shared" ref="C157:AC157" si="122">((1+C141)^C148)*C141/(((1+C141)^C148)-1)*(C138)</f>
        <v>-117450.83720523692</v>
      </c>
      <c r="D157" s="62">
        <f t="shared" si="122"/>
        <v>-117498.71624541239</v>
      </c>
      <c r="E157" s="62">
        <f t="shared" si="122"/>
        <v>-117567.21057938797</v>
      </c>
      <c r="F157" s="62">
        <f t="shared" si="122"/>
        <v>-117665.10409666432</v>
      </c>
      <c r="G157" s="62">
        <f t="shared" si="122"/>
        <v>-117804.81930148401</v>
      </c>
      <c r="H157" s="62">
        <f t="shared" si="122"/>
        <v>-118003.80802903889</v>
      </c>
      <c r="I157" s="62">
        <f t="shared" si="122"/>
        <v>-118286.34349677691</v>
      </c>
      <c r="J157" s="62">
        <f t="shared" si="122"/>
        <v>-118685.68023049959</v>
      </c>
      <c r="K157" s="62">
        <f t="shared" si="122"/>
        <v>-119246.34180001476</v>
      </c>
      <c r="L157" s="62">
        <f t="shared" si="122"/>
        <v>-120025.864908093</v>
      </c>
      <c r="M157" s="62">
        <f t="shared" si="122"/>
        <v>-121094.56192725079</v>
      </c>
      <c r="N157" s="62">
        <f t="shared" si="122"/>
        <v>-122530.77620405605</v>
      </c>
      <c r="O157" s="62">
        <f t="shared" si="122"/>
        <v>-124408.18572003364</v>
      </c>
      <c r="P157" s="62">
        <f t="shared" si="122"/>
        <v>-126772.46568201284</v>
      </c>
      <c r="Q157" s="62">
        <f t="shared" si="122"/>
        <v>-129609.53376972093</v>
      </c>
      <c r="R157" s="62">
        <f t="shared" si="122"/>
        <v>-132817.61561794442</v>
      </c>
      <c r="S157" s="62">
        <f t="shared" si="122"/>
        <v>-136204.37446268537</v>
      </c>
      <c r="T157" s="62">
        <f t="shared" si="122"/>
        <v>-139524.48822811653</v>
      </c>
      <c r="U157" s="62">
        <f t="shared" si="122"/>
        <v>-142546.8561285311</v>
      </c>
      <c r="V157" s="62">
        <f t="shared" si="122"/>
        <v>-145115.43845041786</v>
      </c>
      <c r="W157" s="62">
        <f t="shared" si="122"/>
        <v>-147172.41288321812</v>
      </c>
      <c r="X157" s="62">
        <f t="shared" si="122"/>
        <v>-148741.975670485</v>
      </c>
      <c r="Y157" s="62">
        <f t="shared" si="122"/>
        <v>-149895.73019824366</v>
      </c>
      <c r="Z157" s="62">
        <f t="shared" si="122"/>
        <v>-150720.64799461162</v>
      </c>
      <c r="AA157" s="62">
        <f t="shared" si="122"/>
        <v>-151298.79354629366</v>
      </c>
      <c r="AB157" s="62">
        <f t="shared" si="122"/>
        <v>-151698.32765810873</v>
      </c>
      <c r="AC157" s="62">
        <f t="shared" si="122"/>
        <v>-151971.74876037225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3">((1+C141)^C149)*C141/(((1+C141)^C149)-1)*(C139)</f>
        <v>391133.59106136975</v>
      </c>
      <c r="D158" s="62">
        <f t="shared" si="123"/>
        <v>391133.59106136975</v>
      </c>
      <c r="E158" s="62">
        <f t="shared" si="123"/>
        <v>391133.59106136975</v>
      </c>
      <c r="F158" s="62">
        <f t="shared" si="123"/>
        <v>391133.59106136975</v>
      </c>
      <c r="G158" s="62">
        <f t="shared" si="123"/>
        <v>391133.59106136975</v>
      </c>
      <c r="H158" s="62">
        <f t="shared" si="123"/>
        <v>391133.59106136975</v>
      </c>
      <c r="I158" s="62">
        <f t="shared" si="123"/>
        <v>391133.59106136975</v>
      </c>
      <c r="J158" s="62">
        <f t="shared" si="123"/>
        <v>391133.59106136975</v>
      </c>
      <c r="K158" s="62">
        <f t="shared" si="123"/>
        <v>391133.59106136975</v>
      </c>
      <c r="L158" s="62">
        <f t="shared" si="123"/>
        <v>391133.59106136975</v>
      </c>
      <c r="M158" s="62">
        <f t="shared" si="123"/>
        <v>391133.59106136975</v>
      </c>
      <c r="N158" s="62">
        <f t="shared" si="123"/>
        <v>391133.59106136975</v>
      </c>
      <c r="O158" s="62">
        <f t="shared" si="123"/>
        <v>391133.59106136975</v>
      </c>
      <c r="P158" s="62">
        <f t="shared" si="123"/>
        <v>391133.59106136975</v>
      </c>
      <c r="Q158" s="62">
        <f t="shared" si="123"/>
        <v>391133.59106136975</v>
      </c>
      <c r="R158" s="62">
        <f t="shared" si="123"/>
        <v>391133.59106136975</v>
      </c>
      <c r="S158" s="62">
        <f t="shared" si="123"/>
        <v>391133.59106136975</v>
      </c>
      <c r="T158" s="62">
        <f t="shared" si="123"/>
        <v>391133.59106136975</v>
      </c>
      <c r="U158" s="62">
        <f t="shared" si="123"/>
        <v>391133.59106136975</v>
      </c>
      <c r="V158" s="62">
        <f t="shared" si="123"/>
        <v>391133.59106136975</v>
      </c>
      <c r="W158" s="62">
        <f t="shared" si="123"/>
        <v>391133.59106136975</v>
      </c>
      <c r="X158" s="62">
        <f t="shared" si="123"/>
        <v>391133.59106136975</v>
      </c>
      <c r="Y158" s="62">
        <f t="shared" si="123"/>
        <v>391133.59106136975</v>
      </c>
      <c r="Z158" s="62">
        <f t="shared" si="123"/>
        <v>391133.59106136975</v>
      </c>
      <c r="AA158" s="62">
        <f t="shared" si="123"/>
        <v>391133.59106136975</v>
      </c>
      <c r="AB158" s="62">
        <f t="shared" si="123"/>
        <v>391133.59106136975</v>
      </c>
      <c r="AC158" s="62">
        <f t="shared" si="123"/>
        <v>391133.59106136975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4">((1+C141)^C149)*C141/(((1+C141)^C149)-1)*(C140)</f>
        <v>-39113.359106136973</v>
      </c>
      <c r="D159" s="62">
        <f t="shared" si="124"/>
        <v>-39113.359106136973</v>
      </c>
      <c r="E159" s="62">
        <f t="shared" si="124"/>
        <v>-39113.359106136973</v>
      </c>
      <c r="F159" s="62">
        <f t="shared" si="124"/>
        <v>-39113.359106136973</v>
      </c>
      <c r="G159" s="62">
        <f t="shared" si="124"/>
        <v>-39113.359106136973</v>
      </c>
      <c r="H159" s="62">
        <f t="shared" si="124"/>
        <v>-39113.359106136973</v>
      </c>
      <c r="I159" s="62">
        <f t="shared" si="124"/>
        <v>-39113.359106136973</v>
      </c>
      <c r="J159" s="62">
        <f t="shared" si="124"/>
        <v>-39113.359106136973</v>
      </c>
      <c r="K159" s="62">
        <f t="shared" si="124"/>
        <v>-39113.359106136973</v>
      </c>
      <c r="L159" s="62">
        <f t="shared" si="124"/>
        <v>-39113.359106136973</v>
      </c>
      <c r="M159" s="62">
        <f t="shared" si="124"/>
        <v>-39113.359106136973</v>
      </c>
      <c r="N159" s="62">
        <f t="shared" si="124"/>
        <v>-39113.359106136973</v>
      </c>
      <c r="O159" s="62">
        <f t="shared" si="124"/>
        <v>-39113.359106136973</v>
      </c>
      <c r="P159" s="62">
        <f t="shared" si="124"/>
        <v>-39113.359106136973</v>
      </c>
      <c r="Q159" s="62">
        <f t="shared" si="124"/>
        <v>-39113.359106136973</v>
      </c>
      <c r="R159" s="62">
        <f t="shared" si="124"/>
        <v>-39113.359106136973</v>
      </c>
      <c r="S159" s="62">
        <f t="shared" si="124"/>
        <v>-39113.359106136973</v>
      </c>
      <c r="T159" s="62">
        <f t="shared" si="124"/>
        <v>-39113.359106136973</v>
      </c>
      <c r="U159" s="62">
        <f t="shared" si="124"/>
        <v>-39113.359106136973</v>
      </c>
      <c r="V159" s="62">
        <f t="shared" si="124"/>
        <v>-39113.359106136973</v>
      </c>
      <c r="W159" s="62">
        <f t="shared" si="124"/>
        <v>-39113.359106136973</v>
      </c>
      <c r="X159" s="62">
        <f t="shared" si="124"/>
        <v>-39113.359106136973</v>
      </c>
      <c r="Y159" s="62">
        <f t="shared" si="124"/>
        <v>-39113.359106136973</v>
      </c>
      <c r="Z159" s="62">
        <f t="shared" si="124"/>
        <v>-39113.359106136973</v>
      </c>
      <c r="AA159" s="62">
        <f t="shared" si="124"/>
        <v>-39113.359106136973</v>
      </c>
      <c r="AB159" s="62">
        <f t="shared" si="124"/>
        <v>-39113.359106136973</v>
      </c>
      <c r="AC159" s="62">
        <f t="shared" si="124"/>
        <v>-39113.359106136973</v>
      </c>
    </row>
    <row r="160" spans="1:29" x14ac:dyDescent="0.3">
      <c r="A160" s="30" t="str">
        <f t="shared" ref="A160:AC160" si="125">A142</f>
        <v>Opex fix (admin, crew, insurance)</v>
      </c>
      <c r="B160" s="62">
        <f t="shared" si="125"/>
        <v>1208235.294117647</v>
      </c>
      <c r="C160" s="62">
        <f t="shared" si="125"/>
        <v>1208235.294117647</v>
      </c>
      <c r="D160" s="62">
        <f t="shared" si="125"/>
        <v>1208235.294117647</v>
      </c>
      <c r="E160" s="62">
        <f t="shared" si="125"/>
        <v>1208235.294117647</v>
      </c>
      <c r="F160" s="62">
        <f t="shared" si="125"/>
        <v>1208235.294117647</v>
      </c>
      <c r="G160" s="62">
        <f t="shared" si="125"/>
        <v>1208235.294117647</v>
      </c>
      <c r="H160" s="62">
        <f t="shared" si="125"/>
        <v>1208235.294117647</v>
      </c>
      <c r="I160" s="62">
        <f t="shared" si="125"/>
        <v>1208235.294117647</v>
      </c>
      <c r="J160" s="62">
        <f t="shared" si="125"/>
        <v>1208235.294117647</v>
      </c>
      <c r="K160" s="62">
        <f t="shared" si="125"/>
        <v>1208235.294117647</v>
      </c>
      <c r="L160" s="62">
        <f t="shared" si="125"/>
        <v>1208235.294117647</v>
      </c>
      <c r="M160" s="62">
        <f t="shared" si="125"/>
        <v>1208235.294117647</v>
      </c>
      <c r="N160" s="62">
        <f t="shared" si="125"/>
        <v>1208235.294117647</v>
      </c>
      <c r="O160" s="62">
        <f t="shared" si="125"/>
        <v>1208235.294117647</v>
      </c>
      <c r="P160" s="62">
        <f t="shared" si="125"/>
        <v>1208235.294117647</v>
      </c>
      <c r="Q160" s="62">
        <f t="shared" si="125"/>
        <v>1208235.294117647</v>
      </c>
      <c r="R160" s="62">
        <f t="shared" si="125"/>
        <v>1208235.294117647</v>
      </c>
      <c r="S160" s="62">
        <f t="shared" si="125"/>
        <v>1208235.294117647</v>
      </c>
      <c r="T160" s="62">
        <f t="shared" si="125"/>
        <v>1208235.294117647</v>
      </c>
      <c r="U160" s="62">
        <f t="shared" si="125"/>
        <v>1208235.294117647</v>
      </c>
      <c r="V160" s="62">
        <f t="shared" si="125"/>
        <v>1208235.294117647</v>
      </c>
      <c r="W160" s="62">
        <f t="shared" si="125"/>
        <v>1208235.294117647</v>
      </c>
      <c r="X160" s="62">
        <f t="shared" si="125"/>
        <v>1208235.294117647</v>
      </c>
      <c r="Y160" s="62">
        <f t="shared" si="125"/>
        <v>1208235.294117647</v>
      </c>
      <c r="Z160" s="62">
        <f t="shared" si="125"/>
        <v>1208235.294117647</v>
      </c>
      <c r="AA160" s="62">
        <f t="shared" si="125"/>
        <v>1208235.294117647</v>
      </c>
      <c r="AB160" s="62">
        <f t="shared" si="125"/>
        <v>1208235.294117647</v>
      </c>
      <c r="AC160" s="62">
        <f t="shared" si="125"/>
        <v>1208235.294117647</v>
      </c>
    </row>
    <row r="161" spans="1:29" x14ac:dyDescent="0.3">
      <c r="A161" s="30" t="str">
        <f t="shared" ref="A161:AC161" si="126">A143</f>
        <v>Opex maintenance &amp; repair</v>
      </c>
      <c r="B161" s="62">
        <f t="shared" si="126"/>
        <v>338823.5294117647</v>
      </c>
      <c r="C161" s="62">
        <f t="shared" si="126"/>
        <v>338823.5294117647</v>
      </c>
      <c r="D161" s="62">
        <f t="shared" si="126"/>
        <v>338823.5294117647</v>
      </c>
      <c r="E161" s="62">
        <f t="shared" si="126"/>
        <v>338823.5294117647</v>
      </c>
      <c r="F161" s="62">
        <f t="shared" si="126"/>
        <v>338823.5294117647</v>
      </c>
      <c r="G161" s="62">
        <f t="shared" si="126"/>
        <v>338823.5294117647</v>
      </c>
      <c r="H161" s="62">
        <f t="shared" si="126"/>
        <v>338823.5294117647</v>
      </c>
      <c r="I161" s="62">
        <f t="shared" si="126"/>
        <v>338823.5294117647</v>
      </c>
      <c r="J161" s="62">
        <f t="shared" si="126"/>
        <v>338823.5294117647</v>
      </c>
      <c r="K161" s="62">
        <f t="shared" si="126"/>
        <v>338823.5294117647</v>
      </c>
      <c r="L161" s="62">
        <f t="shared" si="126"/>
        <v>338823.5294117647</v>
      </c>
      <c r="M161" s="62">
        <f t="shared" si="126"/>
        <v>338823.5294117647</v>
      </c>
      <c r="N161" s="62">
        <f t="shared" si="126"/>
        <v>338823.5294117647</v>
      </c>
      <c r="O161" s="62">
        <f t="shared" si="126"/>
        <v>338823.5294117647</v>
      </c>
      <c r="P161" s="62">
        <f t="shared" si="126"/>
        <v>338823.5294117647</v>
      </c>
      <c r="Q161" s="62">
        <f t="shared" si="126"/>
        <v>338823.5294117647</v>
      </c>
      <c r="R161" s="62">
        <f t="shared" si="126"/>
        <v>338823.5294117647</v>
      </c>
      <c r="S161" s="62">
        <f t="shared" si="126"/>
        <v>338823.5294117647</v>
      </c>
      <c r="T161" s="62">
        <f t="shared" si="126"/>
        <v>338823.5294117647</v>
      </c>
      <c r="U161" s="62">
        <f t="shared" si="126"/>
        <v>338823.5294117647</v>
      </c>
      <c r="V161" s="62">
        <f t="shared" si="126"/>
        <v>338823.5294117647</v>
      </c>
      <c r="W161" s="62">
        <f t="shared" si="126"/>
        <v>338823.5294117647</v>
      </c>
      <c r="X161" s="62">
        <f t="shared" si="126"/>
        <v>338823.5294117647</v>
      </c>
      <c r="Y161" s="62">
        <f t="shared" si="126"/>
        <v>338823.5294117647</v>
      </c>
      <c r="Z161" s="62">
        <f t="shared" si="126"/>
        <v>338823.5294117647</v>
      </c>
      <c r="AA161" s="62">
        <f t="shared" si="126"/>
        <v>338823.5294117647</v>
      </c>
      <c r="AB161" s="62">
        <f t="shared" si="126"/>
        <v>338823.5294117647</v>
      </c>
      <c r="AC161" s="62">
        <f t="shared" si="126"/>
        <v>338823.5294117647</v>
      </c>
    </row>
    <row r="162" spans="1:29" x14ac:dyDescent="0.3">
      <c r="A162" s="30" t="str">
        <f>A144</f>
        <v>Opex var (mode-fees)</v>
      </c>
      <c r="B162" s="62">
        <f>B144*B153</f>
        <v>202642.68757160378</v>
      </c>
      <c r="C162" s="62">
        <f t="shared" ref="C162:AC162" si="127">C144*C153</f>
        <v>202642.68757160378</v>
      </c>
      <c r="D162" s="62">
        <f t="shared" si="127"/>
        <v>202642.68757160378</v>
      </c>
      <c r="E162" s="62">
        <f t="shared" si="127"/>
        <v>202642.68757160378</v>
      </c>
      <c r="F162" s="62">
        <f t="shared" si="127"/>
        <v>202642.68757160378</v>
      </c>
      <c r="G162" s="62">
        <f t="shared" si="127"/>
        <v>202642.68757160378</v>
      </c>
      <c r="H162" s="62">
        <f t="shared" si="127"/>
        <v>202642.68757160378</v>
      </c>
      <c r="I162" s="62">
        <f t="shared" si="127"/>
        <v>202642.68757160378</v>
      </c>
      <c r="J162" s="62">
        <f t="shared" si="127"/>
        <v>202642.68757160378</v>
      </c>
      <c r="K162" s="62">
        <f t="shared" si="127"/>
        <v>202642.68757160378</v>
      </c>
      <c r="L162" s="62">
        <f t="shared" si="127"/>
        <v>202642.68757160378</v>
      </c>
      <c r="M162" s="62">
        <f t="shared" si="127"/>
        <v>202642.68757160378</v>
      </c>
      <c r="N162" s="62">
        <f t="shared" si="127"/>
        <v>202642.68757160378</v>
      </c>
      <c r="O162" s="62">
        <f t="shared" si="127"/>
        <v>202642.68757160378</v>
      </c>
      <c r="P162" s="62">
        <f t="shared" si="127"/>
        <v>202642.68757160378</v>
      </c>
      <c r="Q162" s="62">
        <f t="shared" si="127"/>
        <v>202642.68757160378</v>
      </c>
      <c r="R162" s="62">
        <f t="shared" si="127"/>
        <v>202642.68757160378</v>
      </c>
      <c r="S162" s="62">
        <f t="shared" si="127"/>
        <v>202642.68757160378</v>
      </c>
      <c r="T162" s="62">
        <f t="shared" si="127"/>
        <v>202642.68757160378</v>
      </c>
      <c r="U162" s="62">
        <f t="shared" si="127"/>
        <v>202642.68757160378</v>
      </c>
      <c r="V162" s="62">
        <f t="shared" si="127"/>
        <v>202642.68757160378</v>
      </c>
      <c r="W162" s="62">
        <f t="shared" si="127"/>
        <v>202642.68757160378</v>
      </c>
      <c r="X162" s="62">
        <f t="shared" si="127"/>
        <v>202642.68757160378</v>
      </c>
      <c r="Y162" s="62">
        <f t="shared" si="127"/>
        <v>202642.68757160378</v>
      </c>
      <c r="Z162" s="62">
        <f t="shared" si="127"/>
        <v>202642.68757160378</v>
      </c>
      <c r="AA162" s="62">
        <f t="shared" si="127"/>
        <v>202642.68757160378</v>
      </c>
      <c r="AB162" s="62">
        <f t="shared" si="127"/>
        <v>202642.68757160378</v>
      </c>
      <c r="AC162" s="62">
        <f t="shared" si="127"/>
        <v>202642.68757160378</v>
      </c>
    </row>
    <row r="163" spans="1:29" x14ac:dyDescent="0.3">
      <c r="A163" s="30" t="str">
        <f>A146</f>
        <v>Fuel Cost</v>
      </c>
      <c r="B163" s="62">
        <f>B145*B146*B153</f>
        <v>14810320.463820536</v>
      </c>
      <c r="C163" s="62">
        <f t="shared" ref="C163:AC163" si="128">C145*C146*C153</f>
        <v>14801110.273609234</v>
      </c>
      <c r="D163" s="62">
        <f t="shared" si="128"/>
        <v>14787929.0550112</v>
      </c>
      <c r="E163" s="62">
        <f t="shared" si="128"/>
        <v>14769078.461440364</v>
      </c>
      <c r="F163" s="62">
        <f t="shared" si="128"/>
        <v>14742149.200480217</v>
      </c>
      <c r="G163" s="62">
        <f t="shared" si="128"/>
        <v>14703740.591732077</v>
      </c>
      <c r="H163" s="62">
        <f t="shared" si="128"/>
        <v>14649088.606300512</v>
      </c>
      <c r="I163" s="62">
        <f t="shared" si="128"/>
        <v>14571594.165850461</v>
      </c>
      <c r="J163" s="62">
        <f t="shared" si="128"/>
        <v>14462270.46302028</v>
      </c>
      <c r="K163" s="62">
        <f t="shared" si="128"/>
        <v>14309191.600794135</v>
      </c>
      <c r="L163" s="62">
        <f t="shared" si="128"/>
        <v>14097151.526552314</v>
      </c>
      <c r="M163" s="62">
        <f t="shared" si="128"/>
        <v>13807955.810887519</v>
      </c>
      <c r="N163" s="62">
        <f t="shared" si="128"/>
        <v>13422045.8442837</v>
      </c>
      <c r="O163" s="62">
        <f t="shared" si="128"/>
        <v>12922321.723261854</v>
      </c>
      <c r="P163" s="62">
        <f t="shared" si="128"/>
        <v>12300636.271412892</v>
      </c>
      <c r="Q163" s="62">
        <f t="shared" si="128"/>
        <v>11565862.646750338</v>
      </c>
      <c r="R163" s="62">
        <f t="shared" si="128"/>
        <v>10749760.048071375</v>
      </c>
      <c r="S163" s="62">
        <f t="shared" si="128"/>
        <v>9905202.9123351518</v>
      </c>
      <c r="T163" s="62">
        <f t="shared" si="128"/>
        <v>9094212.6952786781</v>
      </c>
      <c r="U163" s="62">
        <f t="shared" si="128"/>
        <v>8370541.1640711045</v>
      </c>
      <c r="V163" s="62">
        <f t="shared" si="128"/>
        <v>7766453.2767511569</v>
      </c>
      <c r="W163" s="62">
        <f t="shared" si="128"/>
        <v>7289928.5635603443</v>
      </c>
      <c r="X163" s="62">
        <f t="shared" si="128"/>
        <v>6930651.2365163462</v>
      </c>
      <c r="Y163" s="62">
        <f t="shared" si="128"/>
        <v>6668944.9594173133</v>
      </c>
      <c r="Z163" s="62">
        <f t="shared" si="128"/>
        <v>6483071.0390209779</v>
      </c>
      <c r="AA163" s="62">
        <f t="shared" si="128"/>
        <v>6353418.2469961643</v>
      </c>
      <c r="AB163" s="62">
        <f t="shared" si="128"/>
        <v>6264117.4925154448</v>
      </c>
      <c r="AC163" s="62">
        <f t="shared" si="128"/>
        <v>6203144.5767225837</v>
      </c>
    </row>
    <row r="164" spans="1:29" ht="15" thickBot="1" x14ac:dyDescent="0.35">
      <c r="A164" s="59" t="str">
        <f>A127</f>
        <v>Emission Cost</v>
      </c>
      <c r="B164" s="62">
        <f>B147*B153</f>
        <v>292744.32301910827</v>
      </c>
      <c r="C164" s="62">
        <f t="shared" ref="C164:AC164" si="129">C147*C153</f>
        <v>292465.55909594544</v>
      </c>
      <c r="D164" s="62">
        <f t="shared" si="129"/>
        <v>292066.51474890357</v>
      </c>
      <c r="E164" s="62">
        <f t="shared" si="129"/>
        <v>291495.65374840738</v>
      </c>
      <c r="F164" s="62">
        <f t="shared" si="129"/>
        <v>290679.76741196436</v>
      </c>
      <c r="G164" s="62">
        <f t="shared" si="129"/>
        <v>289515.32128951116</v>
      </c>
      <c r="H164" s="62">
        <f t="shared" si="129"/>
        <v>287856.86434123403</v>
      </c>
      <c r="I164" s="62">
        <f t="shared" si="129"/>
        <v>285502.09321744979</v>
      </c>
      <c r="J164" s="62">
        <f t="shared" si="129"/>
        <v>282173.85051303828</v>
      </c>
      <c r="K164" s="62">
        <f t="shared" si="129"/>
        <v>277501.05780251691</v>
      </c>
      <c r="L164" s="62">
        <f t="shared" si="129"/>
        <v>271004.17965861136</v>
      </c>
      <c r="M164" s="62">
        <f t="shared" si="129"/>
        <v>262097.20277201166</v>
      </c>
      <c r="N164" s="62">
        <f t="shared" si="129"/>
        <v>250127.18026947835</v>
      </c>
      <c r="O164" s="62">
        <f t="shared" si="129"/>
        <v>234480.04842038496</v>
      </c>
      <c r="P164" s="62">
        <f t="shared" si="129"/>
        <v>214775.13056499942</v>
      </c>
      <c r="Q164" s="62">
        <f t="shared" si="129"/>
        <v>191129.79476829237</v>
      </c>
      <c r="R164" s="62">
        <f t="shared" si="129"/>
        <v>164392.27200906764</v>
      </c>
      <c r="S164" s="62">
        <f t="shared" si="129"/>
        <v>136165.57893344958</v>
      </c>
      <c r="T164" s="62">
        <f t="shared" si="129"/>
        <v>108494.33438101113</v>
      </c>
      <c r="U164" s="62">
        <f t="shared" si="129"/>
        <v>83304.630892356668</v>
      </c>
      <c r="V164" s="62">
        <f t="shared" si="129"/>
        <v>61896.970009757802</v>
      </c>
      <c r="W164" s="62">
        <f t="shared" si="129"/>
        <v>44753.267537641594</v>
      </c>
      <c r="X164" s="62">
        <f t="shared" si="129"/>
        <v>31671.861659602866</v>
      </c>
      <c r="Y164" s="62">
        <f t="shared" si="129"/>
        <v>22055.979208976452</v>
      </c>
      <c r="Z164" s="62">
        <f t="shared" si="129"/>
        <v>15180.762366522398</v>
      </c>
      <c r="AA164" s="62">
        <f t="shared" si="129"/>
        <v>10362.25068958263</v>
      </c>
      <c r="AB164" s="62">
        <f t="shared" si="129"/>
        <v>7032.3629519435117</v>
      </c>
      <c r="AC164" s="62">
        <f t="shared" si="129"/>
        <v>4753.554838406355</v>
      </c>
    </row>
    <row r="165" spans="1:29" ht="15" thickBot="1" x14ac:dyDescent="0.35">
      <c r="A165" s="31" t="s">
        <v>209</v>
      </c>
      <c r="B165" s="64">
        <f>B156+B157+B158+B159+B160+B161+B162+B163+B164</f>
        <v>19432366.725578099</v>
      </c>
      <c r="C165" s="64">
        <f t="shared" ref="C165:AC165" si="130">C156+C157+C158+C159+C160+C161+C162+C163+C164</f>
        <v>19422063.887565136</v>
      </c>
      <c r="D165" s="64">
        <f t="shared" si="130"/>
        <v>19407318.567975793</v>
      </c>
      <c r="E165" s="64">
        <f t="shared" si="130"/>
        <v>19386230.417944387</v>
      </c>
      <c r="F165" s="64">
        <f t="shared" si="130"/>
        <v>19356103.195060741</v>
      </c>
      <c r="G165" s="64">
        <f t="shared" si="130"/>
        <v>19313130.403539531</v>
      </c>
      <c r="H165" s="64">
        <f t="shared" si="130"/>
        <v>19251977.90212252</v>
      </c>
      <c r="I165" s="64">
        <f t="shared" si="130"/>
        <v>19165253.660833728</v>
      </c>
      <c r="J165" s="64">
        <f t="shared" si="130"/>
        <v>19042884.521445215</v>
      </c>
      <c r="K165" s="64">
        <f t="shared" si="130"/>
        <v>18871490.101650346</v>
      </c>
      <c r="L165" s="64">
        <f t="shared" si="130"/>
        <v>18633984.753634717</v>
      </c>
      <c r="M165" s="64">
        <f t="shared" si="130"/>
        <v>18309877.100283816</v>
      </c>
      <c r="N165" s="64">
        <f t="shared" si="130"/>
        <v>17877049.230441872</v>
      </c>
      <c r="O165" s="64">
        <f t="shared" si="130"/>
        <v>17315994.346015476</v>
      </c>
      <c r="P165" s="64">
        <f t="shared" si="130"/>
        <v>16617073.163902968</v>
      </c>
      <c r="Q165" s="64">
        <f t="shared" si="130"/>
        <v>15789618.879976142</v>
      </c>
      <c r="R165" s="64">
        <f t="shared" si="130"/>
        <v>14868715.433564516</v>
      </c>
      <c r="S165" s="64">
        <f t="shared" si="130"/>
        <v>13913520.472863978</v>
      </c>
      <c r="T165" s="64">
        <f t="shared" si="130"/>
        <v>12994069.57629624</v>
      </c>
      <c r="U165" s="64">
        <f t="shared" si="130"/>
        <v>12171664.056023261</v>
      </c>
      <c r="V165" s="64">
        <f t="shared" si="130"/>
        <v>11483666.337988134</v>
      </c>
      <c r="W165" s="64">
        <f t="shared" si="130"/>
        <v>10939944.877793733</v>
      </c>
      <c r="X165" s="64">
        <f t="shared" si="130"/>
        <v>10529393.450381536</v>
      </c>
      <c r="Y165" s="64">
        <f t="shared" si="130"/>
        <v>10229996.597323082</v>
      </c>
      <c r="Z165" s="64">
        <f t="shared" si="130"/>
        <v>10017174.460372671</v>
      </c>
      <c r="AA165" s="64">
        <f t="shared" si="130"/>
        <v>9868634.948246656</v>
      </c>
      <c r="AB165" s="64">
        <f t="shared" si="130"/>
        <v>9766282.3093074653</v>
      </c>
      <c r="AC165" s="64">
        <f t="shared" si="130"/>
        <v>9696377.3385793213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31">A156</f>
        <v>Capex vehicle</v>
      </c>
      <c r="B168" s="65">
        <f>((1+B141)^B148)*B141/(((1+B141)^B148)-1)*(B137)/B153</f>
        <v>19.541646546706382</v>
      </c>
      <c r="C168" s="65">
        <f t="shared" ref="C168:AC168" si="132">((1+C141)^C148)*C141/(((1+C141)^C148)-1)*(C137)/C153</f>
        <v>19.535142908407877</v>
      </c>
      <c r="D168" s="65">
        <f t="shared" si="132"/>
        <v>19.525833095040429</v>
      </c>
      <c r="E168" s="65">
        <f t="shared" si="132"/>
        <v>19.512514752322947</v>
      </c>
      <c r="F168" s="65">
        <f t="shared" si="132"/>
        <v>19.493479901741438</v>
      </c>
      <c r="G168" s="65">
        <f t="shared" si="132"/>
        <v>19.466313056359834</v>
      </c>
      <c r="H168" s="65">
        <f t="shared" si="132"/>
        <v>19.427620803779718</v>
      </c>
      <c r="I168" s="65">
        <f t="shared" si="132"/>
        <v>19.372683351719548</v>
      </c>
      <c r="J168" s="65">
        <f t="shared" si="132"/>
        <v>19.295034542384581</v>
      </c>
      <c r="K168" s="65">
        <f t="shared" si="132"/>
        <v>19.186017014978848</v>
      </c>
      <c r="L168" s="65">
        <f t="shared" si="132"/>
        <v>19.03444307729697</v>
      </c>
      <c r="M168" s="65">
        <f t="shared" si="132"/>
        <v>18.826640879127403</v>
      </c>
      <c r="N168" s="65">
        <f t="shared" si="132"/>
        <v>18.547376991970825</v>
      </c>
      <c r="O168" s="65">
        <f t="shared" si="132"/>
        <v>18.182325141641847</v>
      </c>
      <c r="P168" s="65">
        <f t="shared" si="132"/>
        <v>17.722604037923674</v>
      </c>
      <c r="Q168" s="65">
        <f t="shared" si="132"/>
        <v>17.170951909758209</v>
      </c>
      <c r="R168" s="65">
        <f t="shared" si="132"/>
        <v>16.547158217048082</v>
      </c>
      <c r="S168" s="65">
        <f t="shared" si="132"/>
        <v>15.888621775015123</v>
      </c>
      <c r="T168" s="65">
        <f t="shared" si="132"/>
        <v>15.243044098403505</v>
      </c>
      <c r="U168" s="65">
        <f t="shared" si="132"/>
        <v>14.655361451100672</v>
      </c>
      <c r="V168" s="65">
        <f t="shared" si="132"/>
        <v>14.15591488851158</v>
      </c>
      <c r="W168" s="65">
        <f t="shared" si="132"/>
        <v>13.755947637689308</v>
      </c>
      <c r="X168" s="65">
        <f t="shared" si="132"/>
        <v>13.450754873498525</v>
      </c>
      <c r="Y168" s="65">
        <f t="shared" si="132"/>
        <v>13.226413715323233</v>
      </c>
      <c r="Z168" s="65">
        <f t="shared" si="132"/>
        <v>13.066013032696132</v>
      </c>
      <c r="AA168" s="65">
        <f t="shared" si="132"/>
        <v>12.953595842091289</v>
      </c>
      <c r="AB168" s="65">
        <f t="shared" si="132"/>
        <v>12.875908653682803</v>
      </c>
      <c r="AC168" s="65">
        <f t="shared" si="132"/>
        <v>12.822743439353784</v>
      </c>
    </row>
    <row r="169" spans="1:29" x14ac:dyDescent="0.3">
      <c r="A169" s="30" t="str">
        <f t="shared" si="131"/>
        <v>Residual value (vehicle)</v>
      </c>
      <c r="B169" s="66">
        <f>((1+B141)^B148)*B141/(((1+B141)^B148)-1)*(B138)/B153</f>
        <v>-0.97847824935465733</v>
      </c>
      <c r="C169" s="66">
        <f t="shared" ref="C169:AC169" si="133">((1+C141)^C148)*C141/(((1+C141)^C148)-1)*(C138)/C153</f>
        <v>-0.9787569767103077</v>
      </c>
      <c r="D169" s="66">
        <f t="shared" si="133"/>
        <v>-0.97915596871176991</v>
      </c>
      <c r="E169" s="66">
        <f t="shared" si="133"/>
        <v>-0.97972675482823313</v>
      </c>
      <c r="F169" s="66">
        <f t="shared" si="133"/>
        <v>-0.98054253413886938</v>
      </c>
      <c r="G169" s="66">
        <f t="shared" si="133"/>
        <v>-0.98170682751236671</v>
      </c>
      <c r="H169" s="66">
        <f t="shared" si="133"/>
        <v>-0.98336506690865744</v>
      </c>
      <c r="I169" s="66">
        <f t="shared" si="133"/>
        <v>-0.98571952913980765</v>
      </c>
      <c r="J169" s="66">
        <f t="shared" si="133"/>
        <v>-0.98904733525416333</v>
      </c>
      <c r="K169" s="66">
        <f t="shared" si="133"/>
        <v>-0.99371951500012301</v>
      </c>
      <c r="L169" s="66">
        <f t="shared" si="133"/>
        <v>-1.0002155409007751</v>
      </c>
      <c r="M169" s="66">
        <f t="shared" si="133"/>
        <v>-1.0091213493937565</v>
      </c>
      <c r="N169" s="66">
        <f t="shared" si="133"/>
        <v>-1.021089801700467</v>
      </c>
      <c r="O169" s="66">
        <f t="shared" si="133"/>
        <v>-1.0367348810002803</v>
      </c>
      <c r="P169" s="66">
        <f t="shared" si="133"/>
        <v>-1.0564372140167737</v>
      </c>
      <c r="Q169" s="66">
        <f t="shared" si="133"/>
        <v>-1.0800794480810079</v>
      </c>
      <c r="R169" s="66">
        <f t="shared" si="133"/>
        <v>-1.1068134634828701</v>
      </c>
      <c r="S169" s="66">
        <f t="shared" si="133"/>
        <v>-1.1350364538557114</v>
      </c>
      <c r="T169" s="66">
        <f t="shared" si="133"/>
        <v>-1.1627040685676377</v>
      </c>
      <c r="U169" s="66">
        <f t="shared" si="133"/>
        <v>-1.1878904677377591</v>
      </c>
      <c r="V169" s="66">
        <f t="shared" si="133"/>
        <v>-1.2092953204201489</v>
      </c>
      <c r="W169" s="66">
        <f t="shared" si="133"/>
        <v>-1.2264367740268176</v>
      </c>
      <c r="X169" s="66">
        <f t="shared" si="133"/>
        <v>-1.2395164639207084</v>
      </c>
      <c r="Y169" s="66">
        <f t="shared" si="133"/>
        <v>-1.2491310849853638</v>
      </c>
      <c r="Z169" s="66">
        <f t="shared" si="133"/>
        <v>-1.2560053999550969</v>
      </c>
      <c r="AA169" s="66">
        <f t="shared" si="133"/>
        <v>-1.2608232795524472</v>
      </c>
      <c r="AB169" s="66">
        <f t="shared" si="133"/>
        <v>-1.2641527304842395</v>
      </c>
      <c r="AC169" s="66">
        <f t="shared" si="133"/>
        <v>-1.2664312396697688</v>
      </c>
    </row>
    <row r="170" spans="1:29" x14ac:dyDescent="0.3">
      <c r="A170" s="30" t="str">
        <f t="shared" si="131"/>
        <v>Capex costumization</v>
      </c>
      <c r="B170" s="66">
        <f>((1+B141)^B149)*B141/(((1+B141)^B149)-1)*(B139)/B153</f>
        <v>3.2594465921780813</v>
      </c>
      <c r="C170" s="66">
        <f t="shared" ref="C170:AC170" si="134">((1+C141)^C149)*C141/(((1+C141)^C149)-1)*(C139)/C153</f>
        <v>3.2594465921780813</v>
      </c>
      <c r="D170" s="66">
        <f t="shared" si="134"/>
        <v>3.2594465921780813</v>
      </c>
      <c r="E170" s="66">
        <f t="shared" si="134"/>
        <v>3.2594465921780813</v>
      </c>
      <c r="F170" s="66">
        <f t="shared" si="134"/>
        <v>3.2594465921780813</v>
      </c>
      <c r="G170" s="66">
        <f t="shared" si="134"/>
        <v>3.2594465921780813</v>
      </c>
      <c r="H170" s="66">
        <f t="shared" si="134"/>
        <v>3.2594465921780813</v>
      </c>
      <c r="I170" s="66">
        <f t="shared" si="134"/>
        <v>3.2594465921780813</v>
      </c>
      <c r="J170" s="66">
        <f t="shared" si="134"/>
        <v>3.2594465921780813</v>
      </c>
      <c r="K170" s="66">
        <f t="shared" si="134"/>
        <v>3.2594465921780813</v>
      </c>
      <c r="L170" s="66">
        <f t="shared" si="134"/>
        <v>3.2594465921780813</v>
      </c>
      <c r="M170" s="66">
        <f t="shared" si="134"/>
        <v>3.2594465921780813</v>
      </c>
      <c r="N170" s="66">
        <f t="shared" si="134"/>
        <v>3.2594465921780813</v>
      </c>
      <c r="O170" s="66">
        <f t="shared" si="134"/>
        <v>3.2594465921780813</v>
      </c>
      <c r="P170" s="66">
        <f t="shared" si="134"/>
        <v>3.2594465921780813</v>
      </c>
      <c r="Q170" s="66">
        <f t="shared" si="134"/>
        <v>3.2594465921780813</v>
      </c>
      <c r="R170" s="66">
        <f t="shared" si="134"/>
        <v>3.2594465921780813</v>
      </c>
      <c r="S170" s="66">
        <f t="shared" si="134"/>
        <v>3.2594465921780813</v>
      </c>
      <c r="T170" s="66">
        <f t="shared" si="134"/>
        <v>3.2594465921780813</v>
      </c>
      <c r="U170" s="66">
        <f t="shared" si="134"/>
        <v>3.2594465921780813</v>
      </c>
      <c r="V170" s="66">
        <f t="shared" si="134"/>
        <v>3.2594465921780813</v>
      </c>
      <c r="W170" s="66">
        <f t="shared" si="134"/>
        <v>3.2594465921780813</v>
      </c>
      <c r="X170" s="66">
        <f t="shared" si="134"/>
        <v>3.2594465921780813</v>
      </c>
      <c r="Y170" s="66">
        <f t="shared" si="134"/>
        <v>3.2594465921780813</v>
      </c>
      <c r="Z170" s="66">
        <f t="shared" si="134"/>
        <v>3.2594465921780813</v>
      </c>
      <c r="AA170" s="66">
        <f t="shared" si="134"/>
        <v>3.2594465921780813</v>
      </c>
      <c r="AB170" s="66">
        <f t="shared" si="134"/>
        <v>3.2594465921780813</v>
      </c>
      <c r="AC170" s="66">
        <f t="shared" si="134"/>
        <v>3.2594465921780813</v>
      </c>
    </row>
    <row r="171" spans="1:29" x14ac:dyDescent="0.3">
      <c r="A171" s="30" t="str">
        <f t="shared" si="131"/>
        <v>Residual value (costumization)</v>
      </c>
      <c r="B171" s="66">
        <f>((1+B141)^B149)*B141/(((1+B141)^B149)-1)*(B140)/B153</f>
        <v>-0.32594465921780813</v>
      </c>
      <c r="C171" s="66">
        <f t="shared" ref="C171:AC171" si="135">((1+C141)^C149)*C141/(((1+C141)^C149)-1)*(C140)/C153</f>
        <v>-0.32594465921780813</v>
      </c>
      <c r="D171" s="66">
        <f t="shared" si="135"/>
        <v>-0.32594465921780813</v>
      </c>
      <c r="E171" s="66">
        <f t="shared" si="135"/>
        <v>-0.32594465921780813</v>
      </c>
      <c r="F171" s="66">
        <f t="shared" si="135"/>
        <v>-0.32594465921780813</v>
      </c>
      <c r="G171" s="66">
        <f t="shared" si="135"/>
        <v>-0.32594465921780813</v>
      </c>
      <c r="H171" s="66">
        <f t="shared" si="135"/>
        <v>-0.32594465921780813</v>
      </c>
      <c r="I171" s="66">
        <f t="shared" si="135"/>
        <v>-0.32594465921780813</v>
      </c>
      <c r="J171" s="66">
        <f t="shared" si="135"/>
        <v>-0.32594465921780813</v>
      </c>
      <c r="K171" s="66">
        <f t="shared" si="135"/>
        <v>-0.32594465921780813</v>
      </c>
      <c r="L171" s="66">
        <f t="shared" si="135"/>
        <v>-0.32594465921780813</v>
      </c>
      <c r="M171" s="66">
        <f t="shared" si="135"/>
        <v>-0.32594465921780813</v>
      </c>
      <c r="N171" s="66">
        <f t="shared" si="135"/>
        <v>-0.32594465921780813</v>
      </c>
      <c r="O171" s="66">
        <f t="shared" si="135"/>
        <v>-0.32594465921780813</v>
      </c>
      <c r="P171" s="66">
        <f t="shared" si="135"/>
        <v>-0.32594465921780813</v>
      </c>
      <c r="Q171" s="66">
        <f t="shared" si="135"/>
        <v>-0.32594465921780813</v>
      </c>
      <c r="R171" s="66">
        <f t="shared" si="135"/>
        <v>-0.32594465921780813</v>
      </c>
      <c r="S171" s="66">
        <f t="shared" si="135"/>
        <v>-0.32594465921780813</v>
      </c>
      <c r="T171" s="66">
        <f t="shared" si="135"/>
        <v>-0.32594465921780813</v>
      </c>
      <c r="U171" s="66">
        <f t="shared" si="135"/>
        <v>-0.32594465921780813</v>
      </c>
      <c r="V171" s="66">
        <f t="shared" si="135"/>
        <v>-0.32594465921780813</v>
      </c>
      <c r="W171" s="66">
        <f t="shared" si="135"/>
        <v>-0.32594465921780813</v>
      </c>
      <c r="X171" s="66">
        <f t="shared" si="135"/>
        <v>-0.32594465921780813</v>
      </c>
      <c r="Y171" s="66">
        <f t="shared" si="135"/>
        <v>-0.32594465921780813</v>
      </c>
      <c r="Z171" s="66">
        <f t="shared" si="135"/>
        <v>-0.32594465921780813</v>
      </c>
      <c r="AA171" s="66">
        <f t="shared" si="135"/>
        <v>-0.32594465921780813</v>
      </c>
      <c r="AB171" s="66">
        <f t="shared" si="135"/>
        <v>-0.32594465921780813</v>
      </c>
      <c r="AC171" s="66">
        <f t="shared" si="135"/>
        <v>-0.32594465921780813</v>
      </c>
    </row>
    <row r="172" spans="1:29" x14ac:dyDescent="0.3">
      <c r="A172" s="30" t="str">
        <f t="shared" si="131"/>
        <v>Opex fix (admin, crew, insurance)</v>
      </c>
      <c r="B172" s="66">
        <f>B142/B153</f>
        <v>10.068627450980392</v>
      </c>
      <c r="C172" s="66">
        <f t="shared" ref="C172:AC172" si="136">C142/C153</f>
        <v>10.068627450980392</v>
      </c>
      <c r="D172" s="66">
        <f t="shared" si="136"/>
        <v>10.068627450980392</v>
      </c>
      <c r="E172" s="66">
        <f t="shared" si="136"/>
        <v>10.068627450980392</v>
      </c>
      <c r="F172" s="66">
        <f t="shared" si="136"/>
        <v>10.068627450980392</v>
      </c>
      <c r="G172" s="66">
        <f t="shared" si="136"/>
        <v>10.068627450980392</v>
      </c>
      <c r="H172" s="66">
        <f t="shared" si="136"/>
        <v>10.068627450980392</v>
      </c>
      <c r="I172" s="66">
        <f t="shared" si="136"/>
        <v>10.068627450980392</v>
      </c>
      <c r="J172" s="66">
        <f t="shared" si="136"/>
        <v>10.068627450980392</v>
      </c>
      <c r="K172" s="66">
        <f t="shared" si="136"/>
        <v>10.068627450980392</v>
      </c>
      <c r="L172" s="66">
        <f t="shared" si="136"/>
        <v>10.068627450980392</v>
      </c>
      <c r="M172" s="66">
        <f t="shared" si="136"/>
        <v>10.068627450980392</v>
      </c>
      <c r="N172" s="66">
        <f t="shared" si="136"/>
        <v>10.068627450980392</v>
      </c>
      <c r="O172" s="66">
        <f t="shared" si="136"/>
        <v>10.068627450980392</v>
      </c>
      <c r="P172" s="66">
        <f t="shared" si="136"/>
        <v>10.068627450980392</v>
      </c>
      <c r="Q172" s="66">
        <f t="shared" si="136"/>
        <v>10.068627450980392</v>
      </c>
      <c r="R172" s="66">
        <f t="shared" si="136"/>
        <v>10.068627450980392</v>
      </c>
      <c r="S172" s="66">
        <f t="shared" si="136"/>
        <v>10.068627450980392</v>
      </c>
      <c r="T172" s="66">
        <f t="shared" si="136"/>
        <v>10.068627450980392</v>
      </c>
      <c r="U172" s="66">
        <f t="shared" si="136"/>
        <v>10.068627450980392</v>
      </c>
      <c r="V172" s="66">
        <f t="shared" si="136"/>
        <v>10.068627450980392</v>
      </c>
      <c r="W172" s="66">
        <f t="shared" si="136"/>
        <v>10.068627450980392</v>
      </c>
      <c r="X172" s="66">
        <f t="shared" si="136"/>
        <v>10.068627450980392</v>
      </c>
      <c r="Y172" s="66">
        <f t="shared" si="136"/>
        <v>10.068627450980392</v>
      </c>
      <c r="Z172" s="66">
        <f t="shared" si="136"/>
        <v>10.068627450980392</v>
      </c>
      <c r="AA172" s="66">
        <f t="shared" si="136"/>
        <v>10.068627450980392</v>
      </c>
      <c r="AB172" s="66">
        <f t="shared" si="136"/>
        <v>10.068627450980392</v>
      </c>
      <c r="AC172" s="66">
        <f t="shared" si="136"/>
        <v>10.068627450980392</v>
      </c>
    </row>
    <row r="173" spans="1:29" x14ac:dyDescent="0.3">
      <c r="A173" s="30" t="str">
        <f t="shared" si="131"/>
        <v>Opex maintenance &amp; repair</v>
      </c>
      <c r="B173" s="66">
        <f>B143/B153</f>
        <v>2.8235294117647056</v>
      </c>
      <c r="C173" s="66">
        <f t="shared" ref="C173:AC173" si="137">C143/C153</f>
        <v>2.8235294117647056</v>
      </c>
      <c r="D173" s="66">
        <f t="shared" si="137"/>
        <v>2.8235294117647056</v>
      </c>
      <c r="E173" s="66">
        <f t="shared" si="137"/>
        <v>2.8235294117647056</v>
      </c>
      <c r="F173" s="66">
        <f t="shared" si="137"/>
        <v>2.8235294117647056</v>
      </c>
      <c r="G173" s="66">
        <f t="shared" si="137"/>
        <v>2.8235294117647056</v>
      </c>
      <c r="H173" s="66">
        <f t="shared" si="137"/>
        <v>2.8235294117647056</v>
      </c>
      <c r="I173" s="66">
        <f t="shared" si="137"/>
        <v>2.8235294117647056</v>
      </c>
      <c r="J173" s="66">
        <f t="shared" si="137"/>
        <v>2.8235294117647056</v>
      </c>
      <c r="K173" s="66">
        <f t="shared" si="137"/>
        <v>2.8235294117647056</v>
      </c>
      <c r="L173" s="66">
        <f t="shared" si="137"/>
        <v>2.8235294117647056</v>
      </c>
      <c r="M173" s="66">
        <f t="shared" si="137"/>
        <v>2.8235294117647056</v>
      </c>
      <c r="N173" s="66">
        <f t="shared" si="137"/>
        <v>2.8235294117647056</v>
      </c>
      <c r="O173" s="66">
        <f t="shared" si="137"/>
        <v>2.8235294117647056</v>
      </c>
      <c r="P173" s="66">
        <f t="shared" si="137"/>
        <v>2.8235294117647056</v>
      </c>
      <c r="Q173" s="66">
        <f t="shared" si="137"/>
        <v>2.8235294117647056</v>
      </c>
      <c r="R173" s="66">
        <f t="shared" si="137"/>
        <v>2.8235294117647056</v>
      </c>
      <c r="S173" s="66">
        <f t="shared" si="137"/>
        <v>2.8235294117647056</v>
      </c>
      <c r="T173" s="66">
        <f t="shared" si="137"/>
        <v>2.8235294117647056</v>
      </c>
      <c r="U173" s="66">
        <f t="shared" si="137"/>
        <v>2.8235294117647056</v>
      </c>
      <c r="V173" s="66">
        <f t="shared" si="137"/>
        <v>2.8235294117647056</v>
      </c>
      <c r="W173" s="66">
        <f t="shared" si="137"/>
        <v>2.8235294117647056</v>
      </c>
      <c r="X173" s="66">
        <f t="shared" si="137"/>
        <v>2.8235294117647056</v>
      </c>
      <c r="Y173" s="66">
        <f t="shared" si="137"/>
        <v>2.8235294117647056</v>
      </c>
      <c r="Z173" s="66">
        <f t="shared" si="137"/>
        <v>2.8235294117647056</v>
      </c>
      <c r="AA173" s="66">
        <f t="shared" si="137"/>
        <v>2.8235294117647056</v>
      </c>
      <c r="AB173" s="66">
        <f t="shared" si="137"/>
        <v>2.8235294117647056</v>
      </c>
      <c r="AC173" s="66">
        <f t="shared" si="137"/>
        <v>2.8235294117647056</v>
      </c>
    </row>
    <row r="174" spans="1:29" x14ac:dyDescent="0.3">
      <c r="A174" s="30" t="str">
        <f t="shared" si="131"/>
        <v>Opex var (mode-fees)</v>
      </c>
      <c r="B174" s="66">
        <f>B144*B153/B153</f>
        <v>1.6886890630966982</v>
      </c>
      <c r="C174" s="66">
        <f t="shared" ref="C174:AC174" si="138">C144*C153/C153</f>
        <v>1.6886890630966982</v>
      </c>
      <c r="D174" s="66">
        <f t="shared" si="138"/>
        <v>1.6886890630966982</v>
      </c>
      <c r="E174" s="66">
        <f t="shared" si="138"/>
        <v>1.6886890630966982</v>
      </c>
      <c r="F174" s="66">
        <f t="shared" si="138"/>
        <v>1.6886890630966982</v>
      </c>
      <c r="G174" s="66">
        <f t="shared" si="138"/>
        <v>1.6886890630966982</v>
      </c>
      <c r="H174" s="66">
        <f t="shared" si="138"/>
        <v>1.6886890630966982</v>
      </c>
      <c r="I174" s="66">
        <f t="shared" si="138"/>
        <v>1.6886890630966982</v>
      </c>
      <c r="J174" s="66">
        <f t="shared" si="138"/>
        <v>1.6886890630966982</v>
      </c>
      <c r="K174" s="66">
        <f t="shared" si="138"/>
        <v>1.6886890630966982</v>
      </c>
      <c r="L174" s="66">
        <f t="shared" si="138"/>
        <v>1.6886890630966982</v>
      </c>
      <c r="M174" s="66">
        <f t="shared" si="138"/>
        <v>1.6886890630966982</v>
      </c>
      <c r="N174" s="66">
        <f t="shared" si="138"/>
        <v>1.6886890630966982</v>
      </c>
      <c r="O174" s="66">
        <f t="shared" si="138"/>
        <v>1.6886890630966982</v>
      </c>
      <c r="P174" s="66">
        <f t="shared" si="138"/>
        <v>1.6886890630966982</v>
      </c>
      <c r="Q174" s="66">
        <f t="shared" si="138"/>
        <v>1.6886890630966982</v>
      </c>
      <c r="R174" s="66">
        <f t="shared" si="138"/>
        <v>1.6886890630966982</v>
      </c>
      <c r="S174" s="66">
        <f t="shared" si="138"/>
        <v>1.6886890630966982</v>
      </c>
      <c r="T174" s="66">
        <f t="shared" si="138"/>
        <v>1.6886890630966982</v>
      </c>
      <c r="U174" s="66">
        <f t="shared" si="138"/>
        <v>1.6886890630966982</v>
      </c>
      <c r="V174" s="66">
        <f t="shared" si="138"/>
        <v>1.6886890630966982</v>
      </c>
      <c r="W174" s="66">
        <f t="shared" si="138"/>
        <v>1.6886890630966982</v>
      </c>
      <c r="X174" s="66">
        <f t="shared" si="138"/>
        <v>1.6886890630966982</v>
      </c>
      <c r="Y174" s="66">
        <f t="shared" si="138"/>
        <v>1.6886890630966982</v>
      </c>
      <c r="Z174" s="66">
        <f t="shared" si="138"/>
        <v>1.6886890630966982</v>
      </c>
      <c r="AA174" s="66">
        <f t="shared" si="138"/>
        <v>1.6886890630966982</v>
      </c>
      <c r="AB174" s="66">
        <f t="shared" si="138"/>
        <v>1.6886890630966982</v>
      </c>
      <c r="AC174" s="66">
        <f t="shared" si="138"/>
        <v>1.6886890630966982</v>
      </c>
    </row>
    <row r="175" spans="1:29" x14ac:dyDescent="0.3">
      <c r="A175" s="30" t="str">
        <f t="shared" si="131"/>
        <v>Fuel Cost</v>
      </c>
      <c r="B175" s="66">
        <f>B145*B146*B153/B153</f>
        <v>123.41933719850446</v>
      </c>
      <c r="C175" s="66">
        <f t="shared" ref="C175:AC175" si="139">C145*C146*C153/C153</f>
        <v>123.34258561341028</v>
      </c>
      <c r="D175" s="66">
        <f t="shared" si="139"/>
        <v>123.23274212509334</v>
      </c>
      <c r="E175" s="66">
        <f t="shared" si="139"/>
        <v>123.07565384533636</v>
      </c>
      <c r="F175" s="66">
        <f t="shared" si="139"/>
        <v>122.85124333733515</v>
      </c>
      <c r="G175" s="66">
        <f t="shared" si="139"/>
        <v>122.53117159776731</v>
      </c>
      <c r="H175" s="66">
        <f t="shared" si="139"/>
        <v>122.0757383858376</v>
      </c>
      <c r="I175" s="66">
        <f t="shared" si="139"/>
        <v>121.42995138208717</v>
      </c>
      <c r="J175" s="66">
        <f t="shared" si="139"/>
        <v>120.51892052516899</v>
      </c>
      <c r="K175" s="66">
        <f t="shared" si="139"/>
        <v>119.24326333995113</v>
      </c>
      <c r="L175" s="66">
        <f t="shared" si="139"/>
        <v>117.47626272126928</v>
      </c>
      <c r="M175" s="66">
        <f t="shared" si="139"/>
        <v>115.06629842406267</v>
      </c>
      <c r="N175" s="66">
        <f t="shared" si="139"/>
        <v>111.85038203569751</v>
      </c>
      <c r="O175" s="66">
        <f t="shared" si="139"/>
        <v>107.68601436051544</v>
      </c>
      <c r="P175" s="66">
        <f t="shared" si="139"/>
        <v>102.5053022617741</v>
      </c>
      <c r="Q175" s="66">
        <f t="shared" si="139"/>
        <v>96.38218872291948</v>
      </c>
      <c r="R175" s="66">
        <f t="shared" si="139"/>
        <v>89.581333733928119</v>
      </c>
      <c r="S175" s="66">
        <f t="shared" si="139"/>
        <v>82.543357602792938</v>
      </c>
      <c r="T175" s="66">
        <f t="shared" si="139"/>
        <v>75.78510579398899</v>
      </c>
      <c r="U175" s="66">
        <f t="shared" si="139"/>
        <v>69.754509700592536</v>
      </c>
      <c r="V175" s="66">
        <f t="shared" si="139"/>
        <v>64.720443972926304</v>
      </c>
      <c r="W175" s="66">
        <f t="shared" si="139"/>
        <v>60.7494046963362</v>
      </c>
      <c r="X175" s="66">
        <f t="shared" si="139"/>
        <v>57.755426970969552</v>
      </c>
      <c r="Y175" s="66">
        <f t="shared" si="139"/>
        <v>55.574541328477608</v>
      </c>
      <c r="Z175" s="66">
        <f t="shared" si="139"/>
        <v>54.02559199184148</v>
      </c>
      <c r="AA175" s="66">
        <f t="shared" si="139"/>
        <v>52.945152058301368</v>
      </c>
      <c r="AB175" s="66">
        <f t="shared" si="139"/>
        <v>52.200979104295371</v>
      </c>
      <c r="AC175" s="66">
        <f t="shared" si="139"/>
        <v>51.692871472688196</v>
      </c>
    </row>
    <row r="176" spans="1:29" ht="15" thickBot="1" x14ac:dyDescent="0.35">
      <c r="A176" s="59" t="str">
        <f t="shared" ref="A176" si="140">A164</f>
        <v>Emission Cost</v>
      </c>
      <c r="B176" s="66">
        <f>B147</f>
        <v>2.4395360251592355</v>
      </c>
      <c r="C176" s="66">
        <f t="shared" ref="C176:AC176" si="141">C147</f>
        <v>2.437212992466212</v>
      </c>
      <c r="D176" s="66">
        <f t="shared" si="141"/>
        <v>2.4338876229075299</v>
      </c>
      <c r="E176" s="66">
        <f t="shared" si="141"/>
        <v>2.4291304479033946</v>
      </c>
      <c r="F176" s="66">
        <f t="shared" si="141"/>
        <v>2.422331395099703</v>
      </c>
      <c r="G176" s="66">
        <f t="shared" si="141"/>
        <v>2.4126276774125932</v>
      </c>
      <c r="H176" s="66">
        <f t="shared" si="141"/>
        <v>2.3988072028436171</v>
      </c>
      <c r="I176" s="66">
        <f t="shared" si="141"/>
        <v>2.379184110145415</v>
      </c>
      <c r="J176" s="66">
        <f t="shared" si="141"/>
        <v>2.3514487542753191</v>
      </c>
      <c r="K176" s="66">
        <f t="shared" si="141"/>
        <v>2.3125088150209741</v>
      </c>
      <c r="L176" s="66">
        <f t="shared" si="141"/>
        <v>2.2583681638217614</v>
      </c>
      <c r="M176" s="66">
        <f t="shared" si="141"/>
        <v>2.1841433564334305</v>
      </c>
      <c r="N176" s="66">
        <f t="shared" si="141"/>
        <v>2.0843931689123196</v>
      </c>
      <c r="O176" s="66">
        <f t="shared" si="141"/>
        <v>1.9540004035032079</v>
      </c>
      <c r="P176" s="66">
        <f t="shared" si="141"/>
        <v>1.7897927547083285</v>
      </c>
      <c r="Q176" s="66">
        <f t="shared" si="141"/>
        <v>1.5927482897357697</v>
      </c>
      <c r="R176" s="66">
        <f t="shared" si="141"/>
        <v>1.3699356000755636</v>
      </c>
      <c r="S176" s="66">
        <f t="shared" si="141"/>
        <v>1.1347131577787466</v>
      </c>
      <c r="T176" s="66">
        <f t="shared" si="141"/>
        <v>0.90411945317509268</v>
      </c>
      <c r="U176" s="66">
        <f t="shared" si="141"/>
        <v>0.69420525743630557</v>
      </c>
      <c r="V176" s="66">
        <f t="shared" si="141"/>
        <v>0.51580808341464834</v>
      </c>
      <c r="W176" s="66">
        <f t="shared" si="141"/>
        <v>0.37294389614701329</v>
      </c>
      <c r="X176" s="66">
        <f t="shared" si="141"/>
        <v>0.26393218049669054</v>
      </c>
      <c r="Y176" s="66">
        <f t="shared" si="141"/>
        <v>0.18379982674147044</v>
      </c>
      <c r="Z176" s="66">
        <f t="shared" si="141"/>
        <v>0.12650635305435332</v>
      </c>
      <c r="AA176" s="66">
        <f t="shared" si="141"/>
        <v>8.6352089079855254E-2</v>
      </c>
      <c r="AB176" s="66">
        <f t="shared" si="141"/>
        <v>5.8603024599529263E-2</v>
      </c>
      <c r="AC176" s="66">
        <f t="shared" si="141"/>
        <v>3.9612956986719627E-2</v>
      </c>
    </row>
    <row r="177" spans="1:29" ht="15" thickBot="1" x14ac:dyDescent="0.35">
      <c r="A177" s="31" t="s">
        <v>63</v>
      </c>
      <c r="B177" s="76">
        <f>B168+B169+B170-B171+B172+B173+B174+B175+B176</f>
        <v>162.58827869825311</v>
      </c>
      <c r="C177" s="76">
        <f t="shared" ref="C177:AC177" si="142">C168+C169+C170-C171+C172+C173+C174+C175+C176</f>
        <v>162.50242171481173</v>
      </c>
      <c r="D177" s="76">
        <f t="shared" si="142"/>
        <v>162.37954405156719</v>
      </c>
      <c r="E177" s="76">
        <f t="shared" si="142"/>
        <v>162.20380946797215</v>
      </c>
      <c r="F177" s="76">
        <f t="shared" si="142"/>
        <v>161.95274927727507</v>
      </c>
      <c r="G177" s="76">
        <f t="shared" si="142"/>
        <v>161.59464268126504</v>
      </c>
      <c r="H177" s="76">
        <f t="shared" si="142"/>
        <v>161.08503850278996</v>
      </c>
      <c r="I177" s="76">
        <f t="shared" si="142"/>
        <v>160.36233649204999</v>
      </c>
      <c r="J177" s="76">
        <f t="shared" si="142"/>
        <v>159.34259366381241</v>
      </c>
      <c r="K177" s="76">
        <f t="shared" si="142"/>
        <v>157.91430683218852</v>
      </c>
      <c r="L177" s="76">
        <f t="shared" si="142"/>
        <v>155.9350955987249</v>
      </c>
      <c r="M177" s="76">
        <f t="shared" si="142"/>
        <v>153.23419848746741</v>
      </c>
      <c r="N177" s="76">
        <f t="shared" si="142"/>
        <v>149.62729957211786</v>
      </c>
      <c r="O177" s="76">
        <f t="shared" si="142"/>
        <v>144.9518422018979</v>
      </c>
      <c r="P177" s="76">
        <f t="shared" si="142"/>
        <v>139.127499017627</v>
      </c>
      <c r="Q177" s="76">
        <f t="shared" si="142"/>
        <v>132.23204665157013</v>
      </c>
      <c r="R177" s="76">
        <f t="shared" si="142"/>
        <v>124.55785126480657</v>
      </c>
      <c r="S177" s="76">
        <f t="shared" si="142"/>
        <v>116.59789325896878</v>
      </c>
      <c r="T177" s="76">
        <f t="shared" si="142"/>
        <v>108.93580245423763</v>
      </c>
      <c r="U177" s="76">
        <f t="shared" si="142"/>
        <v>102.08242311862945</v>
      </c>
      <c r="V177" s="76">
        <f t="shared" si="142"/>
        <v>96.349108801670084</v>
      </c>
      <c r="W177" s="76">
        <f t="shared" si="142"/>
        <v>91.818096633383391</v>
      </c>
      <c r="X177" s="76">
        <f t="shared" si="142"/>
        <v>88.396834738281754</v>
      </c>
      <c r="Y177" s="76">
        <f t="shared" si="142"/>
        <v>85.901860962794643</v>
      </c>
      <c r="Z177" s="76">
        <f t="shared" si="142"/>
        <v>84.128343154874557</v>
      </c>
      <c r="AA177" s="76">
        <f t="shared" si="142"/>
        <v>82.890513887157752</v>
      </c>
      <c r="AB177" s="76">
        <f t="shared" si="142"/>
        <v>82.037575229331154</v>
      </c>
      <c r="AC177" s="76">
        <f t="shared" si="142"/>
        <v>81.455033806596617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43">A156</f>
        <v>Capex vehicle</v>
      </c>
      <c r="B180" s="65">
        <f>((1+B141)^B148)*B141/(((1+B141)^B148)-1)*(B137)/B153/(B150)</f>
        <v>2.0678991054715748E-3</v>
      </c>
      <c r="C180" s="65">
        <f t="shared" ref="C180:AC180" si="144">((1+C141)^C148)*C141/(((1+C141)^C148)-1)*(C137)/C153/(C150)</f>
        <v>2.0672108897786113E-3</v>
      </c>
      <c r="D180" s="65">
        <f t="shared" si="144"/>
        <v>2.0662257243429026E-3</v>
      </c>
      <c r="E180" s="65">
        <f t="shared" si="144"/>
        <v>2.0648163759071901E-3</v>
      </c>
      <c r="F180" s="65">
        <f t="shared" si="144"/>
        <v>2.0628021060043848E-3</v>
      </c>
      <c r="G180" s="65">
        <f t="shared" si="144"/>
        <v>2.0599273075513052E-3</v>
      </c>
      <c r="H180" s="65">
        <f t="shared" si="144"/>
        <v>2.0558328892888592E-3</v>
      </c>
      <c r="I180" s="65">
        <f t="shared" si="144"/>
        <v>2.0500194022983649E-3</v>
      </c>
      <c r="J180" s="65">
        <f t="shared" si="144"/>
        <v>2.0418025970777333E-3</v>
      </c>
      <c r="K180" s="65">
        <f t="shared" si="144"/>
        <v>2.0302663507914126E-3</v>
      </c>
      <c r="L180" s="65">
        <f t="shared" si="144"/>
        <v>2.0142267806663458E-3</v>
      </c>
      <c r="M180" s="65">
        <f t="shared" si="144"/>
        <v>1.9922371300663917E-3</v>
      </c>
      <c r="N180" s="65">
        <f t="shared" si="144"/>
        <v>1.9626853959757488E-3</v>
      </c>
      <c r="O180" s="65">
        <f t="shared" si="144"/>
        <v>1.9240555705441109E-3</v>
      </c>
      <c r="P180" s="65">
        <f t="shared" si="144"/>
        <v>1.8754078347009179E-3</v>
      </c>
      <c r="Q180" s="65">
        <f t="shared" si="144"/>
        <v>1.8170319481225618E-3</v>
      </c>
      <c r="R180" s="65">
        <f t="shared" si="144"/>
        <v>1.7510220335500617E-3</v>
      </c>
      <c r="S180" s="65">
        <f t="shared" si="144"/>
        <v>1.6813356375677379E-3</v>
      </c>
      <c r="T180" s="65">
        <f t="shared" si="144"/>
        <v>1.6130205395135985E-3</v>
      </c>
      <c r="U180" s="65">
        <f t="shared" si="144"/>
        <v>1.5508318995873728E-3</v>
      </c>
      <c r="V180" s="65">
        <f t="shared" si="144"/>
        <v>1.497980411482707E-3</v>
      </c>
      <c r="W180" s="65">
        <f t="shared" si="144"/>
        <v>1.4556558346761172E-3</v>
      </c>
      <c r="X180" s="65">
        <f t="shared" si="144"/>
        <v>1.423360304073918E-3</v>
      </c>
      <c r="Y180" s="65">
        <f t="shared" si="144"/>
        <v>1.3996204989760034E-3</v>
      </c>
      <c r="Z180" s="65">
        <f t="shared" si="144"/>
        <v>1.3826468817667865E-3</v>
      </c>
      <c r="AA180" s="65">
        <f t="shared" si="144"/>
        <v>1.370750882760983E-3</v>
      </c>
      <c r="AB180" s="65">
        <f t="shared" si="144"/>
        <v>1.3625300162627306E-3</v>
      </c>
      <c r="AC180" s="65">
        <f t="shared" si="144"/>
        <v>1.3569040676564852E-3</v>
      </c>
    </row>
    <row r="181" spans="1:29" x14ac:dyDescent="0.3">
      <c r="A181" s="30" t="str">
        <f t="shared" si="143"/>
        <v>Residual value (vehicle)</v>
      </c>
      <c r="B181" s="68">
        <f>((1+B141)^B148)*B141/(((1+B141)^B148)-1)*(B138)/B153/(B150)</f>
        <v>-1.0354267188938173E-4</v>
      </c>
      <c r="C181" s="68">
        <f t="shared" ref="C181:AC181" si="145">((1+C141)^C148)*C141/(((1+C141)^C148)-1)*(C138)/C153/(C150)</f>
        <v>-1.0357216684765161E-4</v>
      </c>
      <c r="D181" s="68">
        <f t="shared" si="145"/>
        <v>-1.0361438822346771E-4</v>
      </c>
      <c r="E181" s="68">
        <f t="shared" si="145"/>
        <v>-1.036747888707125E-4</v>
      </c>
      <c r="F181" s="68">
        <f t="shared" si="145"/>
        <v>-1.0376111472368988E-4</v>
      </c>
      <c r="G181" s="68">
        <f t="shared" si="145"/>
        <v>-1.0388432037167901E-4</v>
      </c>
      <c r="H181" s="68">
        <f t="shared" si="145"/>
        <v>-1.0405979544006957E-4</v>
      </c>
      <c r="I181" s="68">
        <f t="shared" si="145"/>
        <v>-1.0430894488251933E-4</v>
      </c>
      <c r="J181" s="68">
        <f t="shared" si="145"/>
        <v>-1.0466109367768924E-4</v>
      </c>
      <c r="K181" s="68">
        <f t="shared" si="145"/>
        <v>-1.0515550423281725E-4</v>
      </c>
      <c r="L181" s="68">
        <f t="shared" si="145"/>
        <v>-1.0584291438103441E-4</v>
      </c>
      <c r="M181" s="68">
        <f t="shared" si="145"/>
        <v>-1.067853279781753E-4</v>
      </c>
      <c r="N181" s="68">
        <f t="shared" si="145"/>
        <v>-1.0805183086777429E-4</v>
      </c>
      <c r="O181" s="68">
        <f t="shared" si="145"/>
        <v>-1.0970739481484449E-4</v>
      </c>
      <c r="P181" s="68">
        <f t="shared" si="145"/>
        <v>-1.1179229777955277E-4</v>
      </c>
      <c r="Q181" s="68">
        <f t="shared" si="145"/>
        <v>-1.1429412149005375E-4</v>
      </c>
      <c r="R181" s="68">
        <f t="shared" si="145"/>
        <v>-1.1712311782887515E-4</v>
      </c>
      <c r="S181" s="68">
        <f t="shared" si="145"/>
        <v>-1.2010967765668903E-4</v>
      </c>
      <c r="T181" s="68">
        <f t="shared" si="145"/>
        <v>-1.2303746757329499E-4</v>
      </c>
      <c r="U181" s="68">
        <f t="shared" si="145"/>
        <v>-1.2570269499870466E-4</v>
      </c>
      <c r="V181" s="68">
        <f t="shared" si="145"/>
        <v>-1.2796775877461892E-4</v>
      </c>
      <c r="W181" s="68">
        <f t="shared" si="145"/>
        <v>-1.2978166920918704E-4</v>
      </c>
      <c r="X181" s="68">
        <f t="shared" si="145"/>
        <v>-1.3116576337785275E-4</v>
      </c>
      <c r="Y181" s="68">
        <f t="shared" si="145"/>
        <v>-1.321831835963348E-4</v>
      </c>
      <c r="Z181" s="68">
        <f t="shared" si="145"/>
        <v>-1.3291062433387269E-4</v>
      </c>
      <c r="AA181" s="68">
        <f t="shared" si="145"/>
        <v>-1.3342045286269283E-4</v>
      </c>
      <c r="AB181" s="68">
        <f t="shared" si="145"/>
        <v>-1.3377277571261794E-4</v>
      </c>
      <c r="AC181" s="68">
        <f t="shared" si="145"/>
        <v>-1.3401388779574273E-4</v>
      </c>
    </row>
    <row r="182" spans="1:29" x14ac:dyDescent="0.3">
      <c r="A182" s="30" t="str">
        <f t="shared" si="143"/>
        <v>Capex costumization</v>
      </c>
      <c r="B182" s="66">
        <f>((1+B141)^B149)*B141/(((1+B141)^B149)-1)*(B139)/B153/(B150)</f>
        <v>3.4491498329926784E-4</v>
      </c>
      <c r="C182" s="66">
        <f t="shared" ref="C182:AC182" si="146">((1+C141)^C149)*C141/(((1+C141)^C149)-1)*(C139)/C153/(C150)</f>
        <v>3.4491498329926784E-4</v>
      </c>
      <c r="D182" s="66">
        <f t="shared" si="146"/>
        <v>3.4491498329926784E-4</v>
      </c>
      <c r="E182" s="66">
        <f t="shared" si="146"/>
        <v>3.4491498329926784E-4</v>
      </c>
      <c r="F182" s="66">
        <f t="shared" si="146"/>
        <v>3.4491498329926784E-4</v>
      </c>
      <c r="G182" s="66">
        <f t="shared" si="146"/>
        <v>3.4491498329926784E-4</v>
      </c>
      <c r="H182" s="66">
        <f t="shared" si="146"/>
        <v>3.4491498329926784E-4</v>
      </c>
      <c r="I182" s="66">
        <f t="shared" si="146"/>
        <v>3.4491498329926784E-4</v>
      </c>
      <c r="J182" s="66">
        <f t="shared" si="146"/>
        <v>3.4491498329926784E-4</v>
      </c>
      <c r="K182" s="66">
        <f t="shared" si="146"/>
        <v>3.4491498329926784E-4</v>
      </c>
      <c r="L182" s="66">
        <f t="shared" si="146"/>
        <v>3.4491498329926784E-4</v>
      </c>
      <c r="M182" s="66">
        <f t="shared" si="146"/>
        <v>3.4491498329926784E-4</v>
      </c>
      <c r="N182" s="66">
        <f t="shared" si="146"/>
        <v>3.4491498329926784E-4</v>
      </c>
      <c r="O182" s="66">
        <f t="shared" si="146"/>
        <v>3.4491498329926784E-4</v>
      </c>
      <c r="P182" s="66">
        <f t="shared" si="146"/>
        <v>3.4491498329926784E-4</v>
      </c>
      <c r="Q182" s="66">
        <f t="shared" si="146"/>
        <v>3.4491498329926784E-4</v>
      </c>
      <c r="R182" s="66">
        <f t="shared" si="146"/>
        <v>3.4491498329926784E-4</v>
      </c>
      <c r="S182" s="66">
        <f t="shared" si="146"/>
        <v>3.4491498329926784E-4</v>
      </c>
      <c r="T182" s="66">
        <f t="shared" si="146"/>
        <v>3.4491498329926784E-4</v>
      </c>
      <c r="U182" s="66">
        <f t="shared" si="146"/>
        <v>3.4491498329926784E-4</v>
      </c>
      <c r="V182" s="66">
        <f t="shared" si="146"/>
        <v>3.4491498329926784E-4</v>
      </c>
      <c r="W182" s="66">
        <f t="shared" si="146"/>
        <v>3.4491498329926784E-4</v>
      </c>
      <c r="X182" s="66">
        <f t="shared" si="146"/>
        <v>3.4491498329926784E-4</v>
      </c>
      <c r="Y182" s="66">
        <f t="shared" si="146"/>
        <v>3.4491498329926784E-4</v>
      </c>
      <c r="Z182" s="66">
        <f t="shared" si="146"/>
        <v>3.4491498329926784E-4</v>
      </c>
      <c r="AA182" s="66">
        <f t="shared" si="146"/>
        <v>3.4491498329926784E-4</v>
      </c>
      <c r="AB182" s="66">
        <f t="shared" si="146"/>
        <v>3.4491498329926784E-4</v>
      </c>
      <c r="AC182" s="66">
        <f t="shared" si="146"/>
        <v>3.4491498329926784E-4</v>
      </c>
    </row>
    <row r="183" spans="1:29" x14ac:dyDescent="0.3">
      <c r="A183" s="30" t="str">
        <f t="shared" si="143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7">((1+C141)^C149)*C141/(((1+C141)^C149)-1)*(C140)/C153/(C150)</f>
        <v>-3.4491498329926788E-5</v>
      </c>
      <c r="D183" s="69">
        <f t="shared" si="147"/>
        <v>-3.4491498329926788E-5</v>
      </c>
      <c r="E183" s="69">
        <f t="shared" si="147"/>
        <v>-3.4491498329926788E-5</v>
      </c>
      <c r="F183" s="69">
        <f t="shared" si="147"/>
        <v>-3.4491498329926788E-5</v>
      </c>
      <c r="G183" s="69">
        <f t="shared" si="147"/>
        <v>-3.4491498329926788E-5</v>
      </c>
      <c r="H183" s="69">
        <f t="shared" si="147"/>
        <v>-3.4491498329926788E-5</v>
      </c>
      <c r="I183" s="69">
        <f t="shared" si="147"/>
        <v>-3.4491498329926788E-5</v>
      </c>
      <c r="J183" s="69">
        <f t="shared" si="147"/>
        <v>-3.4491498329926788E-5</v>
      </c>
      <c r="K183" s="69">
        <f t="shared" si="147"/>
        <v>-3.4491498329926788E-5</v>
      </c>
      <c r="L183" s="69">
        <f t="shared" si="147"/>
        <v>-3.4491498329926788E-5</v>
      </c>
      <c r="M183" s="69">
        <f t="shared" si="147"/>
        <v>-3.4491498329926788E-5</v>
      </c>
      <c r="N183" s="69">
        <f t="shared" si="147"/>
        <v>-3.4491498329926788E-5</v>
      </c>
      <c r="O183" s="69">
        <f t="shared" si="147"/>
        <v>-3.4491498329926788E-5</v>
      </c>
      <c r="P183" s="69">
        <f t="shared" si="147"/>
        <v>-3.4491498329926788E-5</v>
      </c>
      <c r="Q183" s="69">
        <f t="shared" si="147"/>
        <v>-3.4491498329926788E-5</v>
      </c>
      <c r="R183" s="69">
        <f t="shared" si="147"/>
        <v>-3.4491498329926788E-5</v>
      </c>
      <c r="S183" s="69">
        <f t="shared" si="147"/>
        <v>-3.4491498329926788E-5</v>
      </c>
      <c r="T183" s="69">
        <f t="shared" si="147"/>
        <v>-3.4491498329926788E-5</v>
      </c>
      <c r="U183" s="69">
        <f t="shared" si="147"/>
        <v>-3.4491498329926788E-5</v>
      </c>
      <c r="V183" s="69">
        <f t="shared" si="147"/>
        <v>-3.4491498329926788E-5</v>
      </c>
      <c r="W183" s="69">
        <f t="shared" si="147"/>
        <v>-3.4491498329926788E-5</v>
      </c>
      <c r="X183" s="69">
        <f t="shared" si="147"/>
        <v>-3.4491498329926788E-5</v>
      </c>
      <c r="Y183" s="69">
        <f t="shared" si="147"/>
        <v>-3.4491498329926788E-5</v>
      </c>
      <c r="Z183" s="69">
        <f t="shared" si="147"/>
        <v>-3.4491498329926788E-5</v>
      </c>
      <c r="AA183" s="69">
        <f t="shared" si="147"/>
        <v>-3.4491498329926788E-5</v>
      </c>
      <c r="AB183" s="69">
        <f t="shared" si="147"/>
        <v>-3.4491498329926788E-5</v>
      </c>
      <c r="AC183" s="69">
        <f t="shared" si="147"/>
        <v>-3.4491498329926788E-5</v>
      </c>
    </row>
    <row r="184" spans="1:29" x14ac:dyDescent="0.3">
      <c r="A184" s="30" t="str">
        <f t="shared" si="143"/>
        <v>Opex fix (admin, crew, insurance)</v>
      </c>
      <c r="B184" s="66">
        <f>B142/B153/(B150)</f>
        <v>1.0654632223259673E-3</v>
      </c>
      <c r="C184" s="66">
        <f t="shared" ref="C184:AC184" si="148">C142/C153/(C150)</f>
        <v>1.0654632223259673E-3</v>
      </c>
      <c r="D184" s="66">
        <f t="shared" si="148"/>
        <v>1.0654632223259673E-3</v>
      </c>
      <c r="E184" s="66">
        <f t="shared" si="148"/>
        <v>1.0654632223259673E-3</v>
      </c>
      <c r="F184" s="66">
        <f t="shared" si="148"/>
        <v>1.0654632223259673E-3</v>
      </c>
      <c r="G184" s="66">
        <f t="shared" si="148"/>
        <v>1.0654632223259673E-3</v>
      </c>
      <c r="H184" s="66">
        <f t="shared" si="148"/>
        <v>1.0654632223259673E-3</v>
      </c>
      <c r="I184" s="66">
        <f t="shared" si="148"/>
        <v>1.0654632223259673E-3</v>
      </c>
      <c r="J184" s="66">
        <f t="shared" si="148"/>
        <v>1.0654632223259673E-3</v>
      </c>
      <c r="K184" s="66">
        <f t="shared" si="148"/>
        <v>1.0654632223259673E-3</v>
      </c>
      <c r="L184" s="66">
        <f t="shared" si="148"/>
        <v>1.0654632223259673E-3</v>
      </c>
      <c r="M184" s="66">
        <f t="shared" si="148"/>
        <v>1.0654632223259673E-3</v>
      </c>
      <c r="N184" s="66">
        <f t="shared" si="148"/>
        <v>1.0654632223259673E-3</v>
      </c>
      <c r="O184" s="66">
        <f t="shared" si="148"/>
        <v>1.0654632223259673E-3</v>
      </c>
      <c r="P184" s="66">
        <f t="shared" si="148"/>
        <v>1.0654632223259673E-3</v>
      </c>
      <c r="Q184" s="66">
        <f t="shared" si="148"/>
        <v>1.0654632223259673E-3</v>
      </c>
      <c r="R184" s="66">
        <f t="shared" si="148"/>
        <v>1.0654632223259673E-3</v>
      </c>
      <c r="S184" s="66">
        <f t="shared" si="148"/>
        <v>1.0654632223259673E-3</v>
      </c>
      <c r="T184" s="66">
        <f t="shared" si="148"/>
        <v>1.0654632223259673E-3</v>
      </c>
      <c r="U184" s="66">
        <f t="shared" si="148"/>
        <v>1.0654632223259673E-3</v>
      </c>
      <c r="V184" s="66">
        <f t="shared" si="148"/>
        <v>1.0654632223259673E-3</v>
      </c>
      <c r="W184" s="66">
        <f t="shared" si="148"/>
        <v>1.0654632223259673E-3</v>
      </c>
      <c r="X184" s="66">
        <f t="shared" si="148"/>
        <v>1.0654632223259673E-3</v>
      </c>
      <c r="Y184" s="66">
        <f t="shared" si="148"/>
        <v>1.0654632223259673E-3</v>
      </c>
      <c r="Z184" s="66">
        <f t="shared" si="148"/>
        <v>1.0654632223259673E-3</v>
      </c>
      <c r="AA184" s="66">
        <f t="shared" si="148"/>
        <v>1.0654632223259673E-3</v>
      </c>
      <c r="AB184" s="66">
        <f t="shared" si="148"/>
        <v>1.0654632223259673E-3</v>
      </c>
      <c r="AC184" s="66">
        <f t="shared" si="148"/>
        <v>1.0654632223259673E-3</v>
      </c>
    </row>
    <row r="185" spans="1:29" x14ac:dyDescent="0.3">
      <c r="A185" s="30" t="str">
        <f t="shared" si="143"/>
        <v>Opex maintenance &amp; repair</v>
      </c>
      <c r="B185" s="66">
        <f>B143/B153/(B150)</f>
        <v>2.9878618113912231E-4</v>
      </c>
      <c r="C185" s="66">
        <f t="shared" ref="C185:AC185" si="149">C143/C153/(C150)</f>
        <v>2.9878618113912231E-4</v>
      </c>
      <c r="D185" s="66">
        <f t="shared" si="149"/>
        <v>2.9878618113912231E-4</v>
      </c>
      <c r="E185" s="66">
        <f t="shared" si="149"/>
        <v>2.9878618113912231E-4</v>
      </c>
      <c r="F185" s="66">
        <f t="shared" si="149"/>
        <v>2.9878618113912231E-4</v>
      </c>
      <c r="G185" s="66">
        <f t="shared" si="149"/>
        <v>2.9878618113912231E-4</v>
      </c>
      <c r="H185" s="66">
        <f t="shared" si="149"/>
        <v>2.9878618113912231E-4</v>
      </c>
      <c r="I185" s="66">
        <f t="shared" si="149"/>
        <v>2.9878618113912231E-4</v>
      </c>
      <c r="J185" s="66">
        <f t="shared" si="149"/>
        <v>2.9878618113912231E-4</v>
      </c>
      <c r="K185" s="66">
        <f t="shared" si="149"/>
        <v>2.9878618113912231E-4</v>
      </c>
      <c r="L185" s="66">
        <f t="shared" si="149"/>
        <v>2.9878618113912231E-4</v>
      </c>
      <c r="M185" s="66">
        <f t="shared" si="149"/>
        <v>2.9878618113912231E-4</v>
      </c>
      <c r="N185" s="66">
        <f t="shared" si="149"/>
        <v>2.9878618113912231E-4</v>
      </c>
      <c r="O185" s="66">
        <f t="shared" si="149"/>
        <v>2.9878618113912231E-4</v>
      </c>
      <c r="P185" s="66">
        <f t="shared" si="149"/>
        <v>2.9878618113912231E-4</v>
      </c>
      <c r="Q185" s="66">
        <f t="shared" si="149"/>
        <v>2.9878618113912231E-4</v>
      </c>
      <c r="R185" s="66">
        <f t="shared" si="149"/>
        <v>2.9878618113912231E-4</v>
      </c>
      <c r="S185" s="66">
        <f t="shared" si="149"/>
        <v>2.9878618113912231E-4</v>
      </c>
      <c r="T185" s="66">
        <f t="shared" si="149"/>
        <v>2.9878618113912231E-4</v>
      </c>
      <c r="U185" s="66">
        <f t="shared" si="149"/>
        <v>2.9878618113912231E-4</v>
      </c>
      <c r="V185" s="66">
        <f t="shared" si="149"/>
        <v>2.9878618113912231E-4</v>
      </c>
      <c r="W185" s="66">
        <f t="shared" si="149"/>
        <v>2.9878618113912231E-4</v>
      </c>
      <c r="X185" s="66">
        <f t="shared" si="149"/>
        <v>2.9878618113912231E-4</v>
      </c>
      <c r="Y185" s="66">
        <f t="shared" si="149"/>
        <v>2.9878618113912231E-4</v>
      </c>
      <c r="Z185" s="66">
        <f t="shared" si="149"/>
        <v>2.9878618113912231E-4</v>
      </c>
      <c r="AA185" s="66">
        <f t="shared" si="149"/>
        <v>2.9878618113912231E-4</v>
      </c>
      <c r="AB185" s="66">
        <f t="shared" si="149"/>
        <v>2.9878618113912231E-4</v>
      </c>
      <c r="AC185" s="66">
        <f t="shared" si="149"/>
        <v>2.9878618113912231E-4</v>
      </c>
    </row>
    <row r="186" spans="1:29" x14ac:dyDescent="0.3">
      <c r="A186" s="30" t="str">
        <f t="shared" si="143"/>
        <v>Opex var (mode-fees)</v>
      </c>
      <c r="B186" s="66">
        <f>B144*B153/B153/(B150)</f>
        <v>1.7869725535414797E-4</v>
      </c>
      <c r="C186" s="66">
        <f t="shared" ref="C186:AC186" si="150">C144*C153/C153/(C150)</f>
        <v>1.7869725535414797E-4</v>
      </c>
      <c r="D186" s="66">
        <f t="shared" si="150"/>
        <v>1.7869725535414797E-4</v>
      </c>
      <c r="E186" s="66">
        <f t="shared" si="150"/>
        <v>1.7869725535414797E-4</v>
      </c>
      <c r="F186" s="66">
        <f t="shared" si="150"/>
        <v>1.7869725535414797E-4</v>
      </c>
      <c r="G186" s="66">
        <f t="shared" si="150"/>
        <v>1.7869725535414797E-4</v>
      </c>
      <c r="H186" s="66">
        <f t="shared" si="150"/>
        <v>1.7869725535414797E-4</v>
      </c>
      <c r="I186" s="66">
        <f t="shared" si="150"/>
        <v>1.7869725535414797E-4</v>
      </c>
      <c r="J186" s="66">
        <f t="shared" si="150"/>
        <v>1.7869725535414797E-4</v>
      </c>
      <c r="K186" s="66">
        <f t="shared" si="150"/>
        <v>1.7869725535414797E-4</v>
      </c>
      <c r="L186" s="66">
        <f t="shared" si="150"/>
        <v>1.7869725535414797E-4</v>
      </c>
      <c r="M186" s="66">
        <f t="shared" si="150"/>
        <v>1.7869725535414797E-4</v>
      </c>
      <c r="N186" s="66">
        <f t="shared" si="150"/>
        <v>1.7869725535414797E-4</v>
      </c>
      <c r="O186" s="66">
        <f t="shared" si="150"/>
        <v>1.7869725535414797E-4</v>
      </c>
      <c r="P186" s="66">
        <f t="shared" si="150"/>
        <v>1.7869725535414797E-4</v>
      </c>
      <c r="Q186" s="66">
        <f t="shared" si="150"/>
        <v>1.7869725535414797E-4</v>
      </c>
      <c r="R186" s="66">
        <f t="shared" si="150"/>
        <v>1.7869725535414797E-4</v>
      </c>
      <c r="S186" s="66">
        <f t="shared" si="150"/>
        <v>1.7869725535414797E-4</v>
      </c>
      <c r="T186" s="66">
        <f t="shared" si="150"/>
        <v>1.7869725535414797E-4</v>
      </c>
      <c r="U186" s="66">
        <f t="shared" si="150"/>
        <v>1.7869725535414797E-4</v>
      </c>
      <c r="V186" s="66">
        <f t="shared" si="150"/>
        <v>1.7869725535414797E-4</v>
      </c>
      <c r="W186" s="66">
        <f t="shared" si="150"/>
        <v>1.7869725535414797E-4</v>
      </c>
      <c r="X186" s="66">
        <f t="shared" si="150"/>
        <v>1.7869725535414797E-4</v>
      </c>
      <c r="Y186" s="66">
        <f t="shared" si="150"/>
        <v>1.7869725535414797E-4</v>
      </c>
      <c r="Z186" s="66">
        <f t="shared" si="150"/>
        <v>1.7869725535414797E-4</v>
      </c>
      <c r="AA186" s="66">
        <f t="shared" si="150"/>
        <v>1.7869725535414797E-4</v>
      </c>
      <c r="AB186" s="66">
        <f t="shared" si="150"/>
        <v>1.7869725535414797E-4</v>
      </c>
      <c r="AC186" s="66">
        <f t="shared" si="150"/>
        <v>1.7869725535414797E-4</v>
      </c>
    </row>
    <row r="187" spans="1:29" x14ac:dyDescent="0.3">
      <c r="A187" s="30" t="str">
        <f t="shared" si="143"/>
        <v>Fuel Cost</v>
      </c>
      <c r="B187" s="66">
        <f>B145*B146*B153/B153/(B150)</f>
        <v>1.3060247322593066E-2</v>
      </c>
      <c r="C187" s="66">
        <f t="shared" ref="C187:AC187" si="151">C145*C146*C153/C153/(C150)</f>
        <v>1.3052125461736537E-2</v>
      </c>
      <c r="D187" s="66">
        <f t="shared" si="151"/>
        <v>1.304050181217919E-2</v>
      </c>
      <c r="E187" s="66">
        <f t="shared" si="151"/>
        <v>1.3023878713792207E-2</v>
      </c>
      <c r="F187" s="66">
        <f t="shared" si="151"/>
        <v>1.3000131570088376E-2</v>
      </c>
      <c r="G187" s="66">
        <f t="shared" si="151"/>
        <v>1.2966261544737281E-2</v>
      </c>
      <c r="H187" s="66">
        <f t="shared" si="151"/>
        <v>1.2918067554056889E-2</v>
      </c>
      <c r="I187" s="66">
        <f t="shared" si="151"/>
        <v>1.2849730304982768E-2</v>
      </c>
      <c r="J187" s="66">
        <f t="shared" si="151"/>
        <v>1.2753324923298306E-2</v>
      </c>
      <c r="K187" s="66">
        <f t="shared" si="151"/>
        <v>1.2618334744968374E-2</v>
      </c>
      <c r="L187" s="66">
        <f t="shared" si="151"/>
        <v>1.2431350552515267E-2</v>
      </c>
      <c r="M187" s="66">
        <f t="shared" si="151"/>
        <v>1.2176327875562188E-2</v>
      </c>
      <c r="N187" s="66">
        <f t="shared" si="151"/>
        <v>1.1836019263036773E-2</v>
      </c>
      <c r="O187" s="66">
        <f t="shared" si="151"/>
        <v>1.1395345434975179E-2</v>
      </c>
      <c r="P187" s="66">
        <f t="shared" si="151"/>
        <v>1.0847121932462869E-2</v>
      </c>
      <c r="Q187" s="66">
        <f t="shared" si="151"/>
        <v>1.019917340983275E-2</v>
      </c>
      <c r="R187" s="66">
        <f t="shared" si="151"/>
        <v>9.4795062152304883E-3</v>
      </c>
      <c r="S187" s="66">
        <f t="shared" si="151"/>
        <v>8.7347468362743846E-3</v>
      </c>
      <c r="T187" s="66">
        <f t="shared" si="151"/>
        <v>8.0195879147078302E-3</v>
      </c>
      <c r="U187" s="66">
        <f t="shared" si="151"/>
        <v>7.3814295979463002E-3</v>
      </c>
      <c r="V187" s="66">
        <f t="shared" si="151"/>
        <v>6.8487242299392912E-3</v>
      </c>
      <c r="W187" s="66">
        <f t="shared" si="151"/>
        <v>6.4285084334747304E-3</v>
      </c>
      <c r="X187" s="66">
        <f t="shared" si="151"/>
        <v>6.1116853937533914E-3</v>
      </c>
      <c r="Y187" s="66">
        <f t="shared" si="151"/>
        <v>5.8809038442833445E-3</v>
      </c>
      <c r="Z187" s="66">
        <f t="shared" si="151"/>
        <v>5.7169938615705268E-3</v>
      </c>
      <c r="AA187" s="66">
        <f t="shared" si="151"/>
        <v>5.6026615934710441E-3</v>
      </c>
      <c r="AB187" s="66">
        <f t="shared" si="151"/>
        <v>5.5239131327296685E-3</v>
      </c>
      <c r="AC187" s="66">
        <f t="shared" si="151"/>
        <v>5.4701451293849941E-3</v>
      </c>
    </row>
    <row r="188" spans="1:29" x14ac:dyDescent="0.3">
      <c r="A188" s="59" t="str">
        <f>A151</f>
        <v>Market failure (av. utilization)</v>
      </c>
      <c r="B188" s="66">
        <f t="shared" ref="B188:AC188" si="152">B177/B151-B177/B150</f>
        <v>2.2806772205735022E-2</v>
      </c>
      <c r="C188" s="66">
        <f t="shared" si="152"/>
        <v>2.2794728775056644E-2</v>
      </c>
      <c r="D188" s="66">
        <f t="shared" si="152"/>
        <v>2.2777492336506288E-2</v>
      </c>
      <c r="E188" s="66">
        <f t="shared" si="152"/>
        <v>2.2752841490523961E-2</v>
      </c>
      <c r="F188" s="66">
        <f t="shared" si="152"/>
        <v>2.2717624483338698E-2</v>
      </c>
      <c r="G188" s="66">
        <f t="shared" si="152"/>
        <v>2.2667391738235773E-2</v>
      </c>
      <c r="H188" s="66">
        <f t="shared" si="152"/>
        <v>2.259590794797349E-2</v>
      </c>
      <c r="I188" s="66">
        <f t="shared" si="152"/>
        <v>2.249453225063824E-2</v>
      </c>
      <c r="J188" s="66">
        <f t="shared" si="152"/>
        <v>2.2351489698135368E-2</v>
      </c>
      <c r="K188" s="66">
        <f t="shared" si="152"/>
        <v>2.2151139385836703E-2</v>
      </c>
      <c r="L188" s="66">
        <f t="shared" si="152"/>
        <v>2.1873509164826676E-2</v>
      </c>
      <c r="M188" s="66">
        <f t="shared" si="152"/>
        <v>2.1494645782664312E-2</v>
      </c>
      <c r="N188" s="66">
        <f t="shared" si="152"/>
        <v>2.0988694661278996E-2</v>
      </c>
      <c r="O188" s="66">
        <f t="shared" si="152"/>
        <v>2.0332853465013366E-2</v>
      </c>
      <c r="P188" s="66">
        <f t="shared" si="152"/>
        <v>1.9515854421077249E-2</v>
      </c>
      <c r="Q188" s="66">
        <f t="shared" si="152"/>
        <v>1.8548607503727076E-2</v>
      </c>
      <c r="R188" s="66">
        <f t="shared" si="152"/>
        <v>1.7472123839286265E-2</v>
      </c>
      <c r="S188" s="66">
        <f t="shared" si="152"/>
        <v>1.635555534824959E-2</v>
      </c>
      <c r="T188" s="66">
        <f t="shared" si="152"/>
        <v>1.5280769631823662E-2</v>
      </c>
      <c r="U188" s="66">
        <f t="shared" si="152"/>
        <v>1.431942443155378E-2</v>
      </c>
      <c r="V188" s="66">
        <f t="shared" si="152"/>
        <v>1.351519429480791E-2</v>
      </c>
      <c r="W188" s="66">
        <f t="shared" si="152"/>
        <v>1.2879614883974044E-2</v>
      </c>
      <c r="X188" s="66">
        <f t="shared" si="152"/>
        <v>1.2399703654686992E-2</v>
      </c>
      <c r="Y188" s="66">
        <f t="shared" si="152"/>
        <v>1.204972579027758E-2</v>
      </c>
      <c r="Z188" s="66">
        <f t="shared" si="152"/>
        <v>1.1800948836785652E-2</v>
      </c>
      <c r="AA188" s="66">
        <f t="shared" si="152"/>
        <v>1.162731460949426E-2</v>
      </c>
      <c r="AB188" s="66">
        <f t="shared" si="152"/>
        <v>1.1507670205664759E-2</v>
      </c>
      <c r="AC188" s="66">
        <f t="shared" si="152"/>
        <v>1.1425955277411116E-2</v>
      </c>
    </row>
    <row r="189" spans="1:29" x14ac:dyDescent="0.3">
      <c r="A189" s="59" t="str">
        <f>A152</f>
        <v>Payload loss (fuel)</v>
      </c>
      <c r="B189" s="66">
        <f>B177/(B150-B152)-B177/B150</f>
        <v>1.9107458000384783E-3</v>
      </c>
      <c r="C189" s="66">
        <f t="shared" ref="C189:AC189" si="153">C177/(C150-C152)-C177/C150</f>
        <v>1.9093334240821228E-3</v>
      </c>
      <c r="D189" s="66">
        <f t="shared" si="153"/>
        <v>1.9073127008581679E-3</v>
      </c>
      <c r="E189" s="66">
        <f t="shared" si="153"/>
        <v>1.9044240864299934E-3</v>
      </c>
      <c r="F189" s="66">
        <f t="shared" si="153"/>
        <v>1.9003000558410858E-3</v>
      </c>
      <c r="G189" s="66">
        <f t="shared" si="153"/>
        <v>1.8944232097142279E-3</v>
      </c>
      <c r="H189" s="66">
        <f t="shared" si="153"/>
        <v>1.8860714681643125E-3</v>
      </c>
      <c r="I189" s="66">
        <f t="shared" si="153"/>
        <v>1.8742501405259321E-3</v>
      </c>
      <c r="J189" s="66">
        <f t="shared" si="153"/>
        <v>1.8576156381603093E-3</v>
      </c>
      <c r="K189" s="66">
        <f t="shared" si="153"/>
        <v>1.8344065925494715E-3</v>
      </c>
      <c r="L189" s="66">
        <f t="shared" si="153"/>
        <v>1.8024189206756157E-3</v>
      </c>
      <c r="M189" s="66">
        <f t="shared" si="153"/>
        <v>1.7590940957229288E-3</v>
      </c>
      <c r="N189" s="66">
        <f t="shared" si="153"/>
        <v>1.7018268475271249E-3</v>
      </c>
      <c r="O189" s="66">
        <f t="shared" si="153"/>
        <v>1.6286057365982477E-3</v>
      </c>
      <c r="P189" s="66">
        <f t="shared" si="153"/>
        <v>1.5390036472473587E-3</v>
      </c>
      <c r="Q189" s="66">
        <f t="shared" si="153"/>
        <v>1.435259643218131E-3</v>
      </c>
      <c r="R189" s="66">
        <f t="shared" si="153"/>
        <v>1.3228165293119858E-3</v>
      </c>
      <c r="S189" s="66">
        <f t="shared" si="153"/>
        <v>1.2095958895765278E-3</v>
      </c>
      <c r="T189" s="66">
        <f t="shared" si="153"/>
        <v>1.1039457192325661E-3</v>
      </c>
      <c r="U189" s="66">
        <f t="shared" si="153"/>
        <v>1.0122637632468436E-3</v>
      </c>
      <c r="V189" s="66">
        <f t="shared" si="153"/>
        <v>9.3764164733105455E-4</v>
      </c>
      <c r="W189" s="66">
        <f t="shared" si="153"/>
        <v>8.8002483315906266E-4</v>
      </c>
      <c r="X189" s="66">
        <f t="shared" si="153"/>
        <v>8.373226014438389E-4</v>
      </c>
      <c r="Y189" s="66">
        <f t="shared" si="153"/>
        <v>8.066213429020145E-4</v>
      </c>
      <c r="Z189" s="66">
        <f t="shared" si="153"/>
        <v>7.850247644370402E-4</v>
      </c>
      <c r="AA189" s="66">
        <f t="shared" si="153"/>
        <v>7.7006372848091066E-4</v>
      </c>
      <c r="AB189" s="66">
        <f t="shared" si="153"/>
        <v>7.5980860594577516E-4</v>
      </c>
      <c r="AC189" s="66">
        <f t="shared" si="153"/>
        <v>7.528298969710686E-4</v>
      </c>
    </row>
    <row r="190" spans="1:29" ht="15" thickBot="1" x14ac:dyDescent="0.35">
      <c r="A190" s="59" t="str">
        <f>A127</f>
        <v>Emission Cost</v>
      </c>
      <c r="B190" s="68">
        <f>B147*B153/B153/(B150)</f>
        <v>2.5815196033431064E-4</v>
      </c>
      <c r="C190" s="68">
        <f t="shared" ref="C190:AC190" si="154">C147*C153/C153/(C150)</f>
        <v>2.5790613676891132E-4</v>
      </c>
      <c r="D190" s="68">
        <f t="shared" si="154"/>
        <v>2.5755424581032062E-4</v>
      </c>
      <c r="E190" s="68">
        <f t="shared" si="154"/>
        <v>2.5705084104797826E-4</v>
      </c>
      <c r="F190" s="68">
        <f t="shared" si="154"/>
        <v>2.5633136456081513E-4</v>
      </c>
      <c r="G190" s="68">
        <f t="shared" si="154"/>
        <v>2.5530451612831671E-4</v>
      </c>
      <c r="H190" s="68">
        <f t="shared" si="154"/>
        <v>2.538420320469436E-4</v>
      </c>
      <c r="I190" s="68">
        <f t="shared" si="154"/>
        <v>2.5176551430110213E-4</v>
      </c>
      <c r="J190" s="68">
        <f t="shared" si="154"/>
        <v>2.4883055600797026E-4</v>
      </c>
      <c r="K190" s="68">
        <f t="shared" si="154"/>
        <v>2.4470992751544701E-4</v>
      </c>
      <c r="L190" s="68">
        <f t="shared" si="154"/>
        <v>2.3898075807637687E-4</v>
      </c>
      <c r="M190" s="68">
        <f t="shared" si="154"/>
        <v>2.3112628110406671E-4</v>
      </c>
      <c r="N190" s="68">
        <f t="shared" si="154"/>
        <v>2.2057070570500738E-4</v>
      </c>
      <c r="O190" s="68">
        <f t="shared" si="154"/>
        <v>2.0677252947123894E-4</v>
      </c>
      <c r="P190" s="68">
        <f t="shared" si="154"/>
        <v>1.8939605869929403E-4</v>
      </c>
      <c r="Q190" s="68">
        <f t="shared" si="154"/>
        <v>1.685447925646317E-4</v>
      </c>
      <c r="R190" s="68">
        <f t="shared" si="154"/>
        <v>1.4496673016672632E-4</v>
      </c>
      <c r="S190" s="68">
        <f t="shared" si="154"/>
        <v>1.2007546643161339E-4</v>
      </c>
      <c r="T190" s="68">
        <f t="shared" si="154"/>
        <v>9.5674016209004522E-5</v>
      </c>
      <c r="U190" s="68">
        <f t="shared" si="154"/>
        <v>7.3460873802783661E-5</v>
      </c>
      <c r="V190" s="68">
        <f t="shared" si="154"/>
        <v>5.4582865969804057E-5</v>
      </c>
      <c r="W190" s="68">
        <f t="shared" si="154"/>
        <v>3.9464962555239501E-5</v>
      </c>
      <c r="X190" s="68">
        <f t="shared" si="154"/>
        <v>2.7929331269491062E-5</v>
      </c>
      <c r="Y190" s="68">
        <f t="shared" si="154"/>
        <v>1.9449717115499516E-5</v>
      </c>
      <c r="Z190" s="68">
        <f t="shared" si="154"/>
        <v>1.3386915667127335E-5</v>
      </c>
      <c r="AA190" s="68">
        <f t="shared" si="154"/>
        <v>9.1377872042174873E-6</v>
      </c>
      <c r="AB190" s="68">
        <f t="shared" si="154"/>
        <v>6.2013782645004512E-6</v>
      </c>
      <c r="AC190" s="68">
        <f t="shared" si="154"/>
        <v>4.1918473001819709E-6</v>
      </c>
    </row>
    <row r="191" spans="1:29" ht="15" thickBot="1" x14ac:dyDescent="0.35">
      <c r="A191" s="31" t="s">
        <v>210</v>
      </c>
      <c r="B191" s="67">
        <f>B180+B181+B182+B183+B184+B185+B186+B187+B188+B189+B190</f>
        <v>4.1853643866071648E-2</v>
      </c>
      <c r="C191" s="67">
        <f t="shared" ref="C191:AC191" si="155">C180+C181+C182+C183+C184+C185+C186+C187+C188+C189+C190</f>
        <v>4.1831102664363753E-2</v>
      </c>
      <c r="D191" s="67">
        <f t="shared" si="155"/>
        <v>4.179884257526198E-2</v>
      </c>
      <c r="E191" s="67">
        <f t="shared" si="155"/>
        <v>4.1752706862619185E-2</v>
      </c>
      <c r="F191" s="67">
        <f t="shared" si="155"/>
        <v>4.1686798608898255E-2</v>
      </c>
      <c r="G191" s="67">
        <f t="shared" si="155"/>
        <v>4.1592794139783798E-2</v>
      </c>
      <c r="H191" s="67">
        <f t="shared" si="155"/>
        <v>4.1459032239879005E-2</v>
      </c>
      <c r="I191" s="67">
        <f t="shared" si="155"/>
        <v>4.1269358811652473E-2</v>
      </c>
      <c r="J191" s="67">
        <f t="shared" si="155"/>
        <v>4.1001772462790576E-2</v>
      </c>
      <c r="K191" s="67">
        <f t="shared" si="155"/>
        <v>4.062707164121717E-2</v>
      </c>
      <c r="L191" s="67">
        <f t="shared" si="155"/>
        <v>4.0108013406167833E-2</v>
      </c>
      <c r="M191" s="67">
        <f t="shared" si="155"/>
        <v>3.9400015980930292E-2</v>
      </c>
      <c r="N191" s="67">
        <f t="shared" si="155"/>
        <v>3.8455115186444448E-2</v>
      </c>
      <c r="O191" s="67">
        <f t="shared" si="155"/>
        <v>3.7231295485575876E-2</v>
      </c>
      <c r="P191" s="67">
        <f t="shared" si="155"/>
        <v>3.5708361740196717E-2</v>
      </c>
      <c r="Q191" s="67">
        <f t="shared" si="155"/>
        <v>3.3907693319763677E-2</v>
      </c>
      <c r="R191" s="67">
        <f t="shared" si="155"/>
        <v>3.1906682373505232E-2</v>
      </c>
      <c r="S191" s="67">
        <f t="shared" si="155"/>
        <v>2.9834569644231743E-2</v>
      </c>
      <c r="T191" s="67">
        <f t="shared" si="155"/>
        <v>2.7843330497701942E-2</v>
      </c>
      <c r="U191" s="67">
        <f t="shared" si="155"/>
        <v>2.6065078014926954E-2</v>
      </c>
      <c r="V191" s="67">
        <f t="shared" si="155"/>
        <v>2.4579525834544726E-2</v>
      </c>
      <c r="W191" s="67">
        <f t="shared" si="155"/>
        <v>2.3406857422418586E-2</v>
      </c>
      <c r="X191" s="67">
        <f t="shared" si="155"/>
        <v>2.2522205665638357E-2</v>
      </c>
      <c r="Y191" s="67">
        <f t="shared" si="155"/>
        <v>2.1877508153746682E-2</v>
      </c>
      <c r="Z191" s="67">
        <f t="shared" si="155"/>
        <v>2.1419460779681834E-2</v>
      </c>
      <c r="AA191" s="67">
        <f t="shared" si="155"/>
        <v>2.1099878292337303E-2</v>
      </c>
      <c r="AB191" s="67">
        <f t="shared" si="155"/>
        <v>2.087972070694339E-2</v>
      </c>
      <c r="AC191" s="67">
        <f t="shared" si="155"/>
        <v>2.072938247471668E-2</v>
      </c>
    </row>
    <row r="193" spans="2:2" x14ac:dyDescent="0.3">
      <c r="B193" s="40"/>
    </row>
    <row r="215" spans="1:44" s="3" customFormat="1" ht="21" x14ac:dyDescent="0.4">
      <c r="A215" s="2" t="str">
        <f>'Parameter Input'!A165</f>
        <v>Short-sea: Break bulk</v>
      </c>
    </row>
    <row r="216" spans="1:44" s="3" customFormat="1" ht="21" x14ac:dyDescent="0.4">
      <c r="A216" s="2" t="s">
        <v>103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Input'!$L$167</f>
        <v>30000000</v>
      </c>
      <c r="C225" s="42">
        <f>'Parameter Input'!$M$167</f>
        <v>19500000</v>
      </c>
      <c r="D225" s="1" t="s">
        <v>15</v>
      </c>
      <c r="L225" s="51">
        <f>'Parameter Input'!$O$167</f>
        <v>17</v>
      </c>
      <c r="M225" s="52">
        <v>0</v>
      </c>
      <c r="N225" s="52">
        <v>1</v>
      </c>
      <c r="O225" s="52">
        <f>'Parameter Input'!$P$167</f>
        <v>0.9</v>
      </c>
      <c r="P225" s="53">
        <f>'Parameter Input'!$Q$167</f>
        <v>0.4</v>
      </c>
      <c r="Q225" s="4">
        <f t="shared" ref="Q225:AR234" si="156">$N225+($M225-$N225)*((1/(1+EXP(-$P225*(Q$9-$L225)))^$O225))</f>
        <v>0.99780374543478534</v>
      </c>
      <c r="R225" s="4">
        <f t="shared" si="156"/>
        <v>0.99685359315256394</v>
      </c>
      <c r="S225" s="4">
        <f t="shared" si="156"/>
        <v>0.99549347132349975</v>
      </c>
      <c r="T225" s="4">
        <f t="shared" si="156"/>
        <v>0.99354772139898062</v>
      </c>
      <c r="U225" s="4">
        <f t="shared" si="156"/>
        <v>0.99076681540580536</v>
      </c>
      <c r="V225" s="4">
        <f t="shared" si="156"/>
        <v>0.9867978615748374</v>
      </c>
      <c r="W225" s="4">
        <f t="shared" si="156"/>
        <v>0.98114509762858249</v>
      </c>
      <c r="X225" s="4">
        <f t="shared" si="156"/>
        <v>0.97311898315872036</v>
      </c>
      <c r="Y225" s="4">
        <f t="shared" si="156"/>
        <v>0.96177484161592774</v>
      </c>
      <c r="Z225" s="4">
        <f t="shared" si="156"/>
        <v>0.94584787155511363</v>
      </c>
      <c r="AA225" s="4">
        <f t="shared" si="156"/>
        <v>0.92370360150141495</v>
      </c>
      <c r="AB225" s="4">
        <f t="shared" si="156"/>
        <v>0.89334463567658451</v>
      </c>
      <c r="AC225" s="4">
        <f t="shared" si="156"/>
        <v>0.85254543874327005</v>
      </c>
      <c r="AD225" s="4">
        <f t="shared" si="156"/>
        <v>0.79921300652623883</v>
      </c>
      <c r="AE225" s="4">
        <f t="shared" si="156"/>
        <v>0.73204982249993378</v>
      </c>
      <c r="AF225" s="4">
        <f t="shared" si="156"/>
        <v>0.65145592958786691</v>
      </c>
      <c r="AG225" s="4">
        <f t="shared" si="156"/>
        <v>0.56032247880849573</v>
      </c>
      <c r="AH225" s="4">
        <f t="shared" si="156"/>
        <v>0.46411326873185343</v>
      </c>
      <c r="AI225" s="4">
        <f t="shared" si="156"/>
        <v>0.36979727595523937</v>
      </c>
      <c r="AJ225" s="4">
        <f t="shared" si="156"/>
        <v>0.28393948637231203</v>
      </c>
      <c r="AK225" s="4">
        <f t="shared" si="156"/>
        <v>0.21097259161117732</v>
      </c>
      <c r="AL225" s="4">
        <f t="shared" si="156"/>
        <v>0.15253917653798199</v>
      </c>
      <c r="AM225" s="4">
        <f t="shared" si="156"/>
        <v>0.10795188737709993</v>
      </c>
      <c r="AN225" s="4">
        <f t="shared" si="156"/>
        <v>7.5176653938091809E-2</v>
      </c>
      <c r="AO225" s="4">
        <f t="shared" si="156"/>
        <v>5.1742836177502194E-2</v>
      </c>
      <c r="AP225" s="4">
        <f t="shared" si="156"/>
        <v>3.5319190625345942E-2</v>
      </c>
      <c r="AQ225" s="4">
        <f t="shared" si="156"/>
        <v>2.3969442072658165E-2</v>
      </c>
      <c r="AR225" s="4">
        <f t="shared" si="156"/>
        <v>1.6202243558389728E-2</v>
      </c>
    </row>
    <row r="226" spans="1:44" x14ac:dyDescent="0.3">
      <c r="A226" s="24" t="s">
        <v>28</v>
      </c>
      <c r="B226" s="60">
        <f>'Parameter Input'!$L$168</f>
        <v>-1500000</v>
      </c>
      <c r="C226" s="61">
        <f>'Parameter Input'!$M$168</f>
        <v>-1950000</v>
      </c>
      <c r="D226" s="1" t="s">
        <v>15</v>
      </c>
      <c r="L226" s="54">
        <f>'Parameter Input'!$O$168</f>
        <v>17</v>
      </c>
      <c r="M226" s="37">
        <v>0</v>
      </c>
      <c r="N226" s="37">
        <v>1</v>
      </c>
      <c r="O226" s="37">
        <f>'Parameter Input'!$P$168</f>
        <v>0.9</v>
      </c>
      <c r="P226" s="55">
        <f>'Parameter Input'!$Q$168</f>
        <v>0.4</v>
      </c>
      <c r="Q226" s="4">
        <f t="shared" si="156"/>
        <v>0.99780374543478534</v>
      </c>
      <c r="R226" s="4">
        <f t="shared" si="156"/>
        <v>0.99685359315256394</v>
      </c>
      <c r="S226" s="4">
        <f t="shared" si="156"/>
        <v>0.99549347132349975</v>
      </c>
      <c r="T226" s="4">
        <f t="shared" si="156"/>
        <v>0.99354772139898062</v>
      </c>
      <c r="U226" s="4">
        <f t="shared" si="156"/>
        <v>0.99076681540580536</v>
      </c>
      <c r="V226" s="4">
        <f t="shared" si="156"/>
        <v>0.9867978615748374</v>
      </c>
      <c r="W226" s="4">
        <f t="shared" si="156"/>
        <v>0.98114509762858249</v>
      </c>
      <c r="X226" s="4">
        <f t="shared" si="156"/>
        <v>0.97311898315872036</v>
      </c>
      <c r="Y226" s="4">
        <f t="shared" si="156"/>
        <v>0.96177484161592774</v>
      </c>
      <c r="Z226" s="4">
        <f t="shared" si="156"/>
        <v>0.94584787155511363</v>
      </c>
      <c r="AA226" s="4">
        <f t="shared" si="156"/>
        <v>0.92370360150141495</v>
      </c>
      <c r="AB226" s="4">
        <f t="shared" si="156"/>
        <v>0.89334463567658451</v>
      </c>
      <c r="AC226" s="4">
        <f t="shared" si="156"/>
        <v>0.85254543874327005</v>
      </c>
      <c r="AD226" s="4">
        <f t="shared" si="156"/>
        <v>0.79921300652623883</v>
      </c>
      <c r="AE226" s="4">
        <f t="shared" si="156"/>
        <v>0.73204982249993378</v>
      </c>
      <c r="AF226" s="4">
        <f t="shared" si="156"/>
        <v>0.65145592958786691</v>
      </c>
      <c r="AG226" s="4">
        <f t="shared" si="156"/>
        <v>0.56032247880849573</v>
      </c>
      <c r="AH226" s="4">
        <f t="shared" si="156"/>
        <v>0.46411326873185343</v>
      </c>
      <c r="AI226" s="4">
        <f t="shared" si="156"/>
        <v>0.36979727595523937</v>
      </c>
      <c r="AJ226" s="4">
        <f t="shared" si="156"/>
        <v>0.28393948637231203</v>
      </c>
      <c r="AK226" s="4">
        <f t="shared" si="156"/>
        <v>0.21097259161117732</v>
      </c>
      <c r="AL226" s="4">
        <f t="shared" si="156"/>
        <v>0.15253917653798199</v>
      </c>
      <c r="AM226" s="4">
        <f t="shared" si="156"/>
        <v>0.10795188737709993</v>
      </c>
      <c r="AN226" s="4">
        <f t="shared" si="156"/>
        <v>7.5176653938091809E-2</v>
      </c>
      <c r="AO226" s="4">
        <f t="shared" si="156"/>
        <v>5.1742836177502194E-2</v>
      </c>
      <c r="AP226" s="4">
        <f t="shared" si="156"/>
        <v>3.5319190625345942E-2</v>
      </c>
      <c r="AQ226" s="4">
        <f t="shared" si="156"/>
        <v>2.3969442072658165E-2</v>
      </c>
      <c r="AR226" s="4">
        <f t="shared" si="156"/>
        <v>1.6202243558389728E-2</v>
      </c>
    </row>
    <row r="227" spans="1:44" x14ac:dyDescent="0.3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6"/>
        <v>0.99780374543478534</v>
      </c>
      <c r="R227" s="4">
        <f t="shared" si="156"/>
        <v>0.99685359315256394</v>
      </c>
      <c r="S227" s="4">
        <f t="shared" si="156"/>
        <v>0.99549347132349975</v>
      </c>
      <c r="T227" s="4">
        <f t="shared" si="156"/>
        <v>0.99354772139898062</v>
      </c>
      <c r="U227" s="4">
        <f t="shared" si="156"/>
        <v>0.99076681540580536</v>
      </c>
      <c r="V227" s="4">
        <f t="shared" si="156"/>
        <v>0.9867978615748374</v>
      </c>
      <c r="W227" s="4">
        <f t="shared" si="156"/>
        <v>0.98114509762858249</v>
      </c>
      <c r="X227" s="4">
        <f t="shared" si="156"/>
        <v>0.97311898315872036</v>
      </c>
      <c r="Y227" s="4">
        <f t="shared" si="156"/>
        <v>0.96177484161592774</v>
      </c>
      <c r="Z227" s="4">
        <f t="shared" si="156"/>
        <v>0.94584787155511363</v>
      </c>
      <c r="AA227" s="4">
        <f t="shared" si="156"/>
        <v>0.92370360150141495</v>
      </c>
      <c r="AB227" s="4">
        <f t="shared" si="156"/>
        <v>0.89334463567658451</v>
      </c>
      <c r="AC227" s="4">
        <f t="shared" si="156"/>
        <v>0.85254543874327005</v>
      </c>
      <c r="AD227" s="4">
        <f t="shared" si="156"/>
        <v>0.79921300652623883</v>
      </c>
      <c r="AE227" s="4">
        <f t="shared" si="156"/>
        <v>0.73204982249993378</v>
      </c>
      <c r="AF227" s="4">
        <f t="shared" si="156"/>
        <v>0.65145592958786691</v>
      </c>
      <c r="AG227" s="4">
        <f t="shared" si="156"/>
        <v>0.56032247880849573</v>
      </c>
      <c r="AH227" s="4">
        <f t="shared" si="156"/>
        <v>0.46411326873185343</v>
      </c>
      <c r="AI227" s="4">
        <f t="shared" si="156"/>
        <v>0.36979727595523937</v>
      </c>
      <c r="AJ227" s="4">
        <f t="shared" si="156"/>
        <v>0.28393948637231203</v>
      </c>
      <c r="AK227" s="4">
        <f t="shared" si="156"/>
        <v>0.21097259161117732</v>
      </c>
      <c r="AL227" s="4">
        <f t="shared" si="156"/>
        <v>0.15253917653798199</v>
      </c>
      <c r="AM227" s="4">
        <f t="shared" si="156"/>
        <v>0.10795188737709993</v>
      </c>
      <c r="AN227" s="4">
        <f t="shared" si="156"/>
        <v>7.5176653938091809E-2</v>
      </c>
      <c r="AO227" s="4">
        <f t="shared" si="156"/>
        <v>5.1742836177502194E-2</v>
      </c>
      <c r="AP227" s="4">
        <f t="shared" si="156"/>
        <v>3.5319190625345942E-2</v>
      </c>
      <c r="AQ227" s="4">
        <f t="shared" si="156"/>
        <v>2.3969442072658165E-2</v>
      </c>
      <c r="AR227" s="4">
        <f t="shared" si="156"/>
        <v>1.6202243558389728E-2</v>
      </c>
    </row>
    <row r="228" spans="1:44" x14ac:dyDescent="0.3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6"/>
        <v>0.99780374543478534</v>
      </c>
      <c r="R228" s="4">
        <f t="shared" si="156"/>
        <v>0.99685359315256394</v>
      </c>
      <c r="S228" s="4">
        <f t="shared" si="156"/>
        <v>0.99549347132349975</v>
      </c>
      <c r="T228" s="4">
        <f t="shared" si="156"/>
        <v>0.99354772139898062</v>
      </c>
      <c r="U228" s="4">
        <f t="shared" si="156"/>
        <v>0.99076681540580536</v>
      </c>
      <c r="V228" s="4">
        <f t="shared" si="156"/>
        <v>0.9867978615748374</v>
      </c>
      <c r="W228" s="4">
        <f t="shared" si="156"/>
        <v>0.98114509762858249</v>
      </c>
      <c r="X228" s="4">
        <f t="shared" si="156"/>
        <v>0.97311898315872036</v>
      </c>
      <c r="Y228" s="4">
        <f t="shared" si="156"/>
        <v>0.96177484161592774</v>
      </c>
      <c r="Z228" s="4">
        <f t="shared" si="156"/>
        <v>0.94584787155511363</v>
      </c>
      <c r="AA228" s="4">
        <f t="shared" si="156"/>
        <v>0.92370360150141495</v>
      </c>
      <c r="AB228" s="4">
        <f t="shared" si="156"/>
        <v>0.89334463567658451</v>
      </c>
      <c r="AC228" s="4">
        <f t="shared" si="156"/>
        <v>0.85254543874327005</v>
      </c>
      <c r="AD228" s="4">
        <f t="shared" si="156"/>
        <v>0.79921300652623883</v>
      </c>
      <c r="AE228" s="4">
        <f t="shared" si="156"/>
        <v>0.73204982249993378</v>
      </c>
      <c r="AF228" s="4">
        <f t="shared" si="156"/>
        <v>0.65145592958786691</v>
      </c>
      <c r="AG228" s="4">
        <f t="shared" si="156"/>
        <v>0.56032247880849573</v>
      </c>
      <c r="AH228" s="4">
        <f t="shared" si="156"/>
        <v>0.46411326873185343</v>
      </c>
      <c r="AI228" s="4">
        <f t="shared" si="156"/>
        <v>0.36979727595523937</v>
      </c>
      <c r="AJ228" s="4">
        <f t="shared" si="156"/>
        <v>0.28393948637231203</v>
      </c>
      <c r="AK228" s="4">
        <f t="shared" si="156"/>
        <v>0.21097259161117732</v>
      </c>
      <c r="AL228" s="4">
        <f t="shared" si="156"/>
        <v>0.15253917653798199</v>
      </c>
      <c r="AM228" s="4">
        <f t="shared" si="156"/>
        <v>0.10795188737709993</v>
      </c>
      <c r="AN228" s="4">
        <f t="shared" si="156"/>
        <v>7.5176653938091809E-2</v>
      </c>
      <c r="AO228" s="4">
        <f t="shared" si="156"/>
        <v>5.1742836177502194E-2</v>
      </c>
      <c r="AP228" s="4">
        <f t="shared" si="156"/>
        <v>3.5319190625345942E-2</v>
      </c>
      <c r="AQ228" s="4">
        <f t="shared" si="156"/>
        <v>2.3969442072658165E-2</v>
      </c>
      <c r="AR228" s="4">
        <f t="shared" si="156"/>
        <v>1.6202243558389728E-2</v>
      </c>
    </row>
    <row r="229" spans="1:44" x14ac:dyDescent="0.3">
      <c r="A229" s="24" t="s">
        <v>79</v>
      </c>
      <c r="B229" s="92">
        <f>'Parameter Input'!$L$174</f>
        <v>0.06</v>
      </c>
      <c r="C229" s="91">
        <f>'Parameter Input'!$M$174</f>
        <v>0.06</v>
      </c>
      <c r="D229" s="1" t="s">
        <v>57</v>
      </c>
      <c r="L229" s="54">
        <f>'Parameter Input'!$O$174</f>
        <v>17</v>
      </c>
      <c r="M229" s="37">
        <v>0</v>
      </c>
      <c r="N229" s="37">
        <v>1</v>
      </c>
      <c r="O229" s="37">
        <f>'Parameter Input'!$P$174</f>
        <v>0.9</v>
      </c>
      <c r="P229" s="55">
        <f>'Parameter Input'!$Q$174</f>
        <v>0.4</v>
      </c>
      <c r="Q229" s="4">
        <f t="shared" si="156"/>
        <v>0.99780374543478534</v>
      </c>
      <c r="R229" s="4">
        <f t="shared" si="156"/>
        <v>0.99685359315256394</v>
      </c>
      <c r="S229" s="4">
        <f t="shared" si="156"/>
        <v>0.99549347132349975</v>
      </c>
      <c r="T229" s="4">
        <f t="shared" si="156"/>
        <v>0.99354772139898062</v>
      </c>
      <c r="U229" s="4">
        <f t="shared" si="156"/>
        <v>0.99076681540580536</v>
      </c>
      <c r="V229" s="4">
        <f t="shared" si="156"/>
        <v>0.9867978615748374</v>
      </c>
      <c r="W229" s="4">
        <f t="shared" si="156"/>
        <v>0.98114509762858249</v>
      </c>
      <c r="X229" s="4">
        <f t="shared" si="156"/>
        <v>0.97311898315872036</v>
      </c>
      <c r="Y229" s="4">
        <f t="shared" si="156"/>
        <v>0.96177484161592774</v>
      </c>
      <c r="Z229" s="4">
        <f t="shared" si="156"/>
        <v>0.94584787155511363</v>
      </c>
      <c r="AA229" s="4">
        <f t="shared" si="156"/>
        <v>0.92370360150141495</v>
      </c>
      <c r="AB229" s="4">
        <f t="shared" si="156"/>
        <v>0.89334463567658451</v>
      </c>
      <c r="AC229" s="4">
        <f t="shared" si="156"/>
        <v>0.85254543874327005</v>
      </c>
      <c r="AD229" s="4">
        <f t="shared" si="156"/>
        <v>0.79921300652623883</v>
      </c>
      <c r="AE229" s="4">
        <f t="shared" si="156"/>
        <v>0.73204982249993378</v>
      </c>
      <c r="AF229" s="4">
        <f t="shared" si="156"/>
        <v>0.65145592958786691</v>
      </c>
      <c r="AG229" s="4">
        <f t="shared" si="156"/>
        <v>0.56032247880849573</v>
      </c>
      <c r="AH229" s="4">
        <f t="shared" si="156"/>
        <v>0.46411326873185343</v>
      </c>
      <c r="AI229" s="4">
        <f t="shared" si="156"/>
        <v>0.36979727595523937</v>
      </c>
      <c r="AJ229" s="4">
        <f t="shared" si="156"/>
        <v>0.28393948637231203</v>
      </c>
      <c r="AK229" s="4">
        <f t="shared" si="156"/>
        <v>0.21097259161117732</v>
      </c>
      <c r="AL229" s="4">
        <f t="shared" si="156"/>
        <v>0.15253917653798199</v>
      </c>
      <c r="AM229" s="4">
        <f t="shared" si="156"/>
        <v>0.10795188737709993</v>
      </c>
      <c r="AN229" s="4">
        <f t="shared" si="156"/>
        <v>7.5176653938091809E-2</v>
      </c>
      <c r="AO229" s="4">
        <f t="shared" si="156"/>
        <v>5.1742836177502194E-2</v>
      </c>
      <c r="AP229" s="4">
        <f t="shared" si="156"/>
        <v>3.5319190625345942E-2</v>
      </c>
      <c r="AQ229" s="4">
        <f t="shared" si="156"/>
        <v>2.3969442072658165E-2</v>
      </c>
      <c r="AR229" s="4">
        <f t="shared" si="156"/>
        <v>1.6202243558389728E-2</v>
      </c>
    </row>
    <row r="230" spans="1:44" x14ac:dyDescent="0.3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6"/>
        <v>0.99780374543478534</v>
      </c>
      <c r="R230" s="4">
        <f t="shared" si="156"/>
        <v>0.99685359315256394</v>
      </c>
      <c r="S230" s="4">
        <f t="shared" si="156"/>
        <v>0.99549347132349975</v>
      </c>
      <c r="T230" s="4">
        <f t="shared" si="156"/>
        <v>0.99354772139898062</v>
      </c>
      <c r="U230" s="4">
        <f t="shared" si="156"/>
        <v>0.99076681540580536</v>
      </c>
      <c r="V230" s="4">
        <f t="shared" si="156"/>
        <v>0.9867978615748374</v>
      </c>
      <c r="W230" s="4">
        <f t="shared" si="156"/>
        <v>0.98114509762858249</v>
      </c>
      <c r="X230" s="4">
        <f t="shared" si="156"/>
        <v>0.97311898315872036</v>
      </c>
      <c r="Y230" s="4">
        <f t="shared" si="156"/>
        <v>0.96177484161592774</v>
      </c>
      <c r="Z230" s="4">
        <f t="shared" si="156"/>
        <v>0.94584787155511363</v>
      </c>
      <c r="AA230" s="4">
        <f t="shared" si="156"/>
        <v>0.92370360150141495</v>
      </c>
      <c r="AB230" s="4">
        <f t="shared" si="156"/>
        <v>0.89334463567658451</v>
      </c>
      <c r="AC230" s="4">
        <f t="shared" si="156"/>
        <v>0.85254543874327005</v>
      </c>
      <c r="AD230" s="4">
        <f t="shared" si="156"/>
        <v>0.79921300652623883</v>
      </c>
      <c r="AE230" s="4">
        <f t="shared" si="156"/>
        <v>0.73204982249993378</v>
      </c>
      <c r="AF230" s="4">
        <f t="shared" si="156"/>
        <v>0.65145592958786691</v>
      </c>
      <c r="AG230" s="4">
        <f t="shared" si="156"/>
        <v>0.56032247880849573</v>
      </c>
      <c r="AH230" s="4">
        <f t="shared" si="156"/>
        <v>0.46411326873185343</v>
      </c>
      <c r="AI230" s="4">
        <f t="shared" si="156"/>
        <v>0.36979727595523937</v>
      </c>
      <c r="AJ230" s="4">
        <f t="shared" si="156"/>
        <v>0.28393948637231203</v>
      </c>
      <c r="AK230" s="4">
        <f t="shared" si="156"/>
        <v>0.21097259161117732</v>
      </c>
      <c r="AL230" s="4">
        <f t="shared" si="156"/>
        <v>0.15253917653798199</v>
      </c>
      <c r="AM230" s="4">
        <f t="shared" si="156"/>
        <v>0.10795188737709993</v>
      </c>
      <c r="AN230" s="4">
        <f t="shared" si="156"/>
        <v>7.5176653938091809E-2</v>
      </c>
      <c r="AO230" s="4">
        <f t="shared" si="156"/>
        <v>5.1742836177502194E-2</v>
      </c>
      <c r="AP230" s="4">
        <f t="shared" si="156"/>
        <v>3.5319190625345942E-2</v>
      </c>
      <c r="AQ230" s="4">
        <f t="shared" si="156"/>
        <v>2.3969442072658165E-2</v>
      </c>
      <c r="AR230" s="4">
        <f t="shared" si="156"/>
        <v>1.6202243558389728E-2</v>
      </c>
    </row>
    <row r="231" spans="1:44" x14ac:dyDescent="0.3">
      <c r="A231" s="24" t="s">
        <v>52</v>
      </c>
      <c r="B231" s="60">
        <f>'Parameter Input'!$L$170</f>
        <v>338823.5294117647</v>
      </c>
      <c r="C231" s="61">
        <f>'Parameter Input'!$M$170</f>
        <v>338823.5294117647</v>
      </c>
      <c r="D231" s="1" t="s">
        <v>38</v>
      </c>
      <c r="L231" s="54">
        <f>'Parameter Input'!$O$170</f>
        <v>17</v>
      </c>
      <c r="M231" s="37">
        <v>0</v>
      </c>
      <c r="N231" s="37">
        <v>1</v>
      </c>
      <c r="O231" s="37">
        <f>'Parameter Input'!$P$170</f>
        <v>0.9</v>
      </c>
      <c r="P231" s="55">
        <f>'Parameter Input'!$Q$170</f>
        <v>0.4</v>
      </c>
      <c r="Q231" s="4">
        <f t="shared" si="156"/>
        <v>0.99780374543478534</v>
      </c>
      <c r="R231" s="4">
        <f t="shared" si="156"/>
        <v>0.99685359315256394</v>
      </c>
      <c r="S231" s="4">
        <f t="shared" si="156"/>
        <v>0.99549347132349975</v>
      </c>
      <c r="T231" s="4">
        <f t="shared" si="156"/>
        <v>0.99354772139898062</v>
      </c>
      <c r="U231" s="4">
        <f t="shared" si="156"/>
        <v>0.99076681540580536</v>
      </c>
      <c r="V231" s="4">
        <f t="shared" si="156"/>
        <v>0.9867978615748374</v>
      </c>
      <c r="W231" s="4">
        <f t="shared" si="156"/>
        <v>0.98114509762858249</v>
      </c>
      <c r="X231" s="4">
        <f t="shared" si="156"/>
        <v>0.97311898315872036</v>
      </c>
      <c r="Y231" s="4">
        <f t="shared" si="156"/>
        <v>0.96177484161592774</v>
      </c>
      <c r="Z231" s="4">
        <f t="shared" si="156"/>
        <v>0.94584787155511363</v>
      </c>
      <c r="AA231" s="4">
        <f t="shared" si="156"/>
        <v>0.92370360150141495</v>
      </c>
      <c r="AB231" s="4">
        <f t="shared" si="156"/>
        <v>0.89334463567658451</v>
      </c>
      <c r="AC231" s="4">
        <f t="shared" si="156"/>
        <v>0.85254543874327005</v>
      </c>
      <c r="AD231" s="4">
        <f t="shared" si="156"/>
        <v>0.79921300652623883</v>
      </c>
      <c r="AE231" s="4">
        <f t="shared" si="156"/>
        <v>0.73204982249993378</v>
      </c>
      <c r="AF231" s="4">
        <f t="shared" si="156"/>
        <v>0.65145592958786691</v>
      </c>
      <c r="AG231" s="4">
        <f t="shared" si="156"/>
        <v>0.56032247880849573</v>
      </c>
      <c r="AH231" s="4">
        <f t="shared" si="156"/>
        <v>0.46411326873185343</v>
      </c>
      <c r="AI231" s="4">
        <f t="shared" si="156"/>
        <v>0.36979727595523937</v>
      </c>
      <c r="AJ231" s="4">
        <f t="shared" si="156"/>
        <v>0.28393948637231203</v>
      </c>
      <c r="AK231" s="4">
        <f t="shared" si="156"/>
        <v>0.21097259161117732</v>
      </c>
      <c r="AL231" s="4">
        <f t="shared" si="156"/>
        <v>0.15253917653798199</v>
      </c>
      <c r="AM231" s="4">
        <f t="shared" si="156"/>
        <v>0.10795188737709993</v>
      </c>
      <c r="AN231" s="4">
        <f t="shared" si="156"/>
        <v>7.5176653938091809E-2</v>
      </c>
      <c r="AO231" s="4">
        <f t="shared" si="156"/>
        <v>5.1742836177502194E-2</v>
      </c>
      <c r="AP231" s="4">
        <f t="shared" si="156"/>
        <v>3.5319190625345942E-2</v>
      </c>
      <c r="AQ231" s="4">
        <f t="shared" si="156"/>
        <v>2.3969442072658165E-2</v>
      </c>
      <c r="AR231" s="4">
        <f t="shared" si="156"/>
        <v>1.6202243558389728E-2</v>
      </c>
    </row>
    <row r="232" spans="1:44" x14ac:dyDescent="0.3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6"/>
        <v>0.99780374543478534</v>
      </c>
      <c r="R232" s="4">
        <f t="shared" si="156"/>
        <v>0.99685359315256394</v>
      </c>
      <c r="S232" s="4">
        <f t="shared" si="156"/>
        <v>0.99549347132349975</v>
      </c>
      <c r="T232" s="4">
        <f t="shared" si="156"/>
        <v>0.99354772139898062</v>
      </c>
      <c r="U232" s="4">
        <f t="shared" si="156"/>
        <v>0.99076681540580536</v>
      </c>
      <c r="V232" s="4">
        <f t="shared" si="156"/>
        <v>0.9867978615748374</v>
      </c>
      <c r="W232" s="4">
        <f t="shared" si="156"/>
        <v>0.98114509762858249</v>
      </c>
      <c r="X232" s="4">
        <f t="shared" si="156"/>
        <v>0.97311898315872036</v>
      </c>
      <c r="Y232" s="4">
        <f t="shared" si="156"/>
        <v>0.96177484161592774</v>
      </c>
      <c r="Z232" s="4">
        <f t="shared" si="156"/>
        <v>0.94584787155511363</v>
      </c>
      <c r="AA232" s="4">
        <f t="shared" si="156"/>
        <v>0.92370360150141495</v>
      </c>
      <c r="AB232" s="4">
        <f t="shared" si="156"/>
        <v>0.89334463567658451</v>
      </c>
      <c r="AC232" s="4">
        <f t="shared" si="156"/>
        <v>0.85254543874327005</v>
      </c>
      <c r="AD232" s="4">
        <f t="shared" si="156"/>
        <v>0.79921300652623883</v>
      </c>
      <c r="AE232" s="4">
        <f t="shared" si="156"/>
        <v>0.73204982249993378</v>
      </c>
      <c r="AF232" s="4">
        <f t="shared" si="156"/>
        <v>0.65145592958786691</v>
      </c>
      <c r="AG232" s="4">
        <f t="shared" si="156"/>
        <v>0.56032247880849573</v>
      </c>
      <c r="AH232" s="4">
        <f t="shared" si="156"/>
        <v>0.46411326873185343</v>
      </c>
      <c r="AI232" s="4">
        <f t="shared" si="156"/>
        <v>0.36979727595523937</v>
      </c>
      <c r="AJ232" s="4">
        <f t="shared" si="156"/>
        <v>0.28393948637231203</v>
      </c>
      <c r="AK232" s="4">
        <f t="shared" si="156"/>
        <v>0.21097259161117732</v>
      </c>
      <c r="AL232" s="4">
        <f t="shared" si="156"/>
        <v>0.15253917653798199</v>
      </c>
      <c r="AM232" s="4">
        <f t="shared" si="156"/>
        <v>0.10795188737709993</v>
      </c>
      <c r="AN232" s="4">
        <f t="shared" si="156"/>
        <v>7.5176653938091809E-2</v>
      </c>
      <c r="AO232" s="4">
        <f t="shared" si="156"/>
        <v>5.1742836177502194E-2</v>
      </c>
      <c r="AP232" s="4">
        <f t="shared" si="156"/>
        <v>3.5319190625345942E-2</v>
      </c>
      <c r="AQ232" s="4">
        <f t="shared" si="156"/>
        <v>2.3969442072658165E-2</v>
      </c>
      <c r="AR232" s="4">
        <f t="shared" si="156"/>
        <v>1.6202243558389728E-2</v>
      </c>
    </row>
    <row r="233" spans="1:44" x14ac:dyDescent="0.3">
      <c r="A233" s="24" t="s">
        <v>59</v>
      </c>
      <c r="B233" s="60">
        <f>'Parameter Input'!$L$171</f>
        <v>589</v>
      </c>
      <c r="C233" s="61">
        <f>'Parameter Input'!$M$171</f>
        <v>519</v>
      </c>
      <c r="D233" s="1" t="s">
        <v>60</v>
      </c>
      <c r="L233" s="54">
        <f>'Parameter Input'!$O$171</f>
        <v>17</v>
      </c>
      <c r="M233" s="37">
        <v>0</v>
      </c>
      <c r="N233" s="37">
        <v>1</v>
      </c>
      <c r="O233" s="37">
        <f>'Parameter Input'!$P$171</f>
        <v>0.9</v>
      </c>
      <c r="P233" s="55">
        <f>'Parameter Input'!$Q$171</f>
        <v>0.4</v>
      </c>
      <c r="Q233" s="4">
        <f t="shared" si="156"/>
        <v>0.99780374543478534</v>
      </c>
      <c r="R233" s="4">
        <f t="shared" si="156"/>
        <v>0.99685359315256394</v>
      </c>
      <c r="S233" s="4">
        <f t="shared" si="156"/>
        <v>0.99549347132349975</v>
      </c>
      <c r="T233" s="4">
        <f t="shared" si="156"/>
        <v>0.99354772139898062</v>
      </c>
      <c r="U233" s="4">
        <f t="shared" si="156"/>
        <v>0.99076681540580536</v>
      </c>
      <c r="V233" s="4">
        <f t="shared" si="156"/>
        <v>0.9867978615748374</v>
      </c>
      <c r="W233" s="4">
        <f t="shared" si="156"/>
        <v>0.98114509762858249</v>
      </c>
      <c r="X233" s="4">
        <f t="shared" si="156"/>
        <v>0.97311898315872036</v>
      </c>
      <c r="Y233" s="4">
        <f t="shared" si="156"/>
        <v>0.96177484161592774</v>
      </c>
      <c r="Z233" s="4">
        <f t="shared" si="156"/>
        <v>0.94584787155511363</v>
      </c>
      <c r="AA233" s="4">
        <f t="shared" si="156"/>
        <v>0.92370360150141495</v>
      </c>
      <c r="AB233" s="4">
        <f t="shared" si="156"/>
        <v>0.89334463567658451</v>
      </c>
      <c r="AC233" s="4">
        <f t="shared" si="156"/>
        <v>0.85254543874327005</v>
      </c>
      <c r="AD233" s="4">
        <f t="shared" si="156"/>
        <v>0.79921300652623883</v>
      </c>
      <c r="AE233" s="4">
        <f t="shared" si="156"/>
        <v>0.73204982249993378</v>
      </c>
      <c r="AF233" s="4">
        <f t="shared" si="156"/>
        <v>0.65145592958786691</v>
      </c>
      <c r="AG233" s="4">
        <f t="shared" si="156"/>
        <v>0.56032247880849573</v>
      </c>
      <c r="AH233" s="4">
        <f t="shared" si="156"/>
        <v>0.46411326873185343</v>
      </c>
      <c r="AI233" s="4">
        <f t="shared" si="156"/>
        <v>0.36979727595523937</v>
      </c>
      <c r="AJ233" s="4">
        <f t="shared" si="156"/>
        <v>0.28393948637231203</v>
      </c>
      <c r="AK233" s="4">
        <f t="shared" si="156"/>
        <v>0.21097259161117732</v>
      </c>
      <c r="AL233" s="4">
        <f t="shared" si="156"/>
        <v>0.15253917653798199</v>
      </c>
      <c r="AM233" s="4">
        <f t="shared" si="156"/>
        <v>0.10795188737709993</v>
      </c>
      <c r="AN233" s="4">
        <f t="shared" si="156"/>
        <v>7.5176653938091809E-2</v>
      </c>
      <c r="AO233" s="4">
        <f t="shared" si="156"/>
        <v>5.1742836177502194E-2</v>
      </c>
      <c r="AP233" s="4">
        <f t="shared" si="156"/>
        <v>3.5319190625345942E-2</v>
      </c>
      <c r="AQ233" s="4">
        <f t="shared" si="156"/>
        <v>2.3969442072658165E-2</v>
      </c>
      <c r="AR233" s="4">
        <f t="shared" si="156"/>
        <v>1.6202243558389728E-2</v>
      </c>
    </row>
    <row r="234" spans="1:44" x14ac:dyDescent="0.3">
      <c r="A234" s="24" t="s">
        <v>67</v>
      </c>
      <c r="B234" s="78">
        <f>'Parameter Input'!$L$172</f>
        <v>0.209841767378764</v>
      </c>
      <c r="C234" s="61">
        <f>'Parameter Input'!$M$172</f>
        <v>9.7564585532605996E-2</v>
      </c>
      <c r="D234" s="1" t="s">
        <v>68</v>
      </c>
      <c r="L234" s="54">
        <f>'Parameter Input'!$O$172</f>
        <v>17</v>
      </c>
      <c r="M234" s="37">
        <v>0</v>
      </c>
      <c r="N234" s="37">
        <v>1</v>
      </c>
      <c r="O234" s="37">
        <f>'Parameter Input'!$P$172</f>
        <v>0.9</v>
      </c>
      <c r="P234" s="55">
        <f>'Parameter Input'!$Q$172</f>
        <v>0.4</v>
      </c>
      <c r="Q234" s="4">
        <f t="shared" si="156"/>
        <v>0.99780374543478534</v>
      </c>
      <c r="R234" s="4">
        <f t="shared" si="156"/>
        <v>0.99685359315256394</v>
      </c>
      <c r="S234" s="4">
        <f t="shared" si="156"/>
        <v>0.99549347132349975</v>
      </c>
      <c r="T234" s="4">
        <f t="shared" ref="T234:AI241" si="157">$N234+($M234-$N234)*((1/(1+EXP(-$P234*(T$9-$L234)))^$O234))</f>
        <v>0.99354772139898062</v>
      </c>
      <c r="U234" s="4">
        <f t="shared" si="157"/>
        <v>0.99076681540580536</v>
      </c>
      <c r="V234" s="4">
        <f t="shared" si="157"/>
        <v>0.9867978615748374</v>
      </c>
      <c r="W234" s="4">
        <f t="shared" si="157"/>
        <v>0.98114509762858249</v>
      </c>
      <c r="X234" s="4">
        <f t="shared" si="157"/>
        <v>0.97311898315872036</v>
      </c>
      <c r="Y234" s="4">
        <f t="shared" si="157"/>
        <v>0.96177484161592774</v>
      </c>
      <c r="Z234" s="4">
        <f t="shared" si="157"/>
        <v>0.94584787155511363</v>
      </c>
      <c r="AA234" s="4">
        <f t="shared" si="157"/>
        <v>0.92370360150141495</v>
      </c>
      <c r="AB234" s="4">
        <f t="shared" si="157"/>
        <v>0.89334463567658451</v>
      </c>
      <c r="AC234" s="4">
        <f t="shared" si="157"/>
        <v>0.85254543874327005</v>
      </c>
      <c r="AD234" s="4">
        <f t="shared" si="157"/>
        <v>0.79921300652623883</v>
      </c>
      <c r="AE234" s="4">
        <f t="shared" si="157"/>
        <v>0.73204982249993378</v>
      </c>
      <c r="AF234" s="4">
        <f t="shared" si="157"/>
        <v>0.65145592958786691</v>
      </c>
      <c r="AG234" s="4">
        <f t="shared" si="157"/>
        <v>0.56032247880849573</v>
      </c>
      <c r="AH234" s="4">
        <f t="shared" si="157"/>
        <v>0.46411326873185343</v>
      </c>
      <c r="AI234" s="4">
        <f t="shared" si="157"/>
        <v>0.36979727595523937</v>
      </c>
      <c r="AJ234" s="4">
        <f t="shared" ref="AJ234:AR241" si="158">$N234+($M234-$N234)*((1/(1+EXP(-$P234*(AJ$9-$L234)))^$O234))</f>
        <v>0.28393948637231203</v>
      </c>
      <c r="AK234" s="4">
        <f t="shared" si="158"/>
        <v>0.21097259161117732</v>
      </c>
      <c r="AL234" s="4">
        <f t="shared" si="158"/>
        <v>0.15253917653798199</v>
      </c>
      <c r="AM234" s="4">
        <f t="shared" si="158"/>
        <v>0.10795188737709993</v>
      </c>
      <c r="AN234" s="4">
        <f t="shared" si="158"/>
        <v>7.5176653938091809E-2</v>
      </c>
      <c r="AO234" s="4">
        <f t="shared" si="158"/>
        <v>5.1742836177502194E-2</v>
      </c>
      <c r="AP234" s="4">
        <f t="shared" si="158"/>
        <v>3.5319190625345942E-2</v>
      </c>
      <c r="AQ234" s="4">
        <f t="shared" si="158"/>
        <v>2.3969442072658165E-2</v>
      </c>
      <c r="AR234" s="4">
        <f t="shared" si="158"/>
        <v>1.6202243558389728E-2</v>
      </c>
    </row>
    <row r="235" spans="1:44" x14ac:dyDescent="0.3">
      <c r="A235" s="24" t="s">
        <v>206</v>
      </c>
      <c r="B235" s="115">
        <f>'Parameter Input'!$L$175</f>
        <v>2.4449056603773585</v>
      </c>
      <c r="C235" s="116">
        <f>'Parameter Input'!$M$175</f>
        <v>0</v>
      </c>
      <c r="D235" s="1" t="s">
        <v>76</v>
      </c>
      <c r="L235" s="54">
        <f>'Parameter Input'!$O$175</f>
        <v>17</v>
      </c>
      <c r="M235" s="37">
        <v>0</v>
      </c>
      <c r="N235" s="37">
        <v>1</v>
      </c>
      <c r="O235" s="37">
        <f>'Parameter Input'!$P$175</f>
        <v>0.9</v>
      </c>
      <c r="P235" s="55">
        <f>'Parameter Input'!$Q$175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3">
      <c r="A236" s="24" t="s">
        <v>41</v>
      </c>
      <c r="B236" s="60">
        <f>'Parameter Input'!$L$169</f>
        <v>25</v>
      </c>
      <c r="C236" s="61">
        <f>'Parameter Input'!$M$169</f>
        <v>25</v>
      </c>
      <c r="D236" s="1" t="s">
        <v>42</v>
      </c>
      <c r="L236" s="54">
        <f>'Parameter Input'!$O$169</f>
        <v>17</v>
      </c>
      <c r="M236" s="37">
        <v>0</v>
      </c>
      <c r="N236" s="37">
        <v>1</v>
      </c>
      <c r="O236" s="37">
        <f>'Parameter Input'!$P$169</f>
        <v>0.9</v>
      </c>
      <c r="P236" s="55">
        <f>'Parameter Input'!$Q$169</f>
        <v>0.4</v>
      </c>
      <c r="Q236" s="4">
        <f t="shared" ref="Q236:AF241" si="160">$N236+($M236-$N236)*((1/(1+EXP(-$P236*(Q$9-$L236)))^$O236))</f>
        <v>0.99780374543478534</v>
      </c>
      <c r="R236" s="4">
        <f t="shared" si="160"/>
        <v>0.99685359315256394</v>
      </c>
      <c r="S236" s="4">
        <f t="shared" si="160"/>
        <v>0.99549347132349975</v>
      </c>
      <c r="T236" s="4">
        <f t="shared" si="160"/>
        <v>0.99354772139898062</v>
      </c>
      <c r="U236" s="4">
        <f t="shared" si="160"/>
        <v>0.99076681540580536</v>
      </c>
      <c r="V236" s="4">
        <f t="shared" si="160"/>
        <v>0.9867978615748374</v>
      </c>
      <c r="W236" s="4">
        <f t="shared" si="160"/>
        <v>0.98114509762858249</v>
      </c>
      <c r="X236" s="4">
        <f t="shared" si="160"/>
        <v>0.97311898315872036</v>
      </c>
      <c r="Y236" s="4">
        <f t="shared" si="160"/>
        <v>0.96177484161592774</v>
      </c>
      <c r="Z236" s="4">
        <f t="shared" si="160"/>
        <v>0.94584787155511363</v>
      </c>
      <c r="AA236" s="4">
        <f t="shared" si="160"/>
        <v>0.92370360150141495</v>
      </c>
      <c r="AB236" s="4">
        <f t="shared" si="160"/>
        <v>0.89334463567658451</v>
      </c>
      <c r="AC236" s="4">
        <f t="shared" si="160"/>
        <v>0.85254543874327005</v>
      </c>
      <c r="AD236" s="4">
        <f t="shared" si="160"/>
        <v>0.79921300652623883</v>
      </c>
      <c r="AE236" s="4">
        <f t="shared" si="160"/>
        <v>0.73204982249993378</v>
      </c>
      <c r="AF236" s="4">
        <f t="shared" si="160"/>
        <v>0.65145592958786691</v>
      </c>
      <c r="AG236" s="4">
        <f t="shared" si="157"/>
        <v>0.56032247880849573</v>
      </c>
      <c r="AH236" s="4">
        <f t="shared" si="157"/>
        <v>0.46411326873185343</v>
      </c>
      <c r="AI236" s="4">
        <f t="shared" si="157"/>
        <v>0.36979727595523937</v>
      </c>
      <c r="AJ236" s="4">
        <f t="shared" si="158"/>
        <v>0.28393948637231203</v>
      </c>
      <c r="AK236" s="4">
        <f t="shared" si="158"/>
        <v>0.21097259161117732</v>
      </c>
      <c r="AL236" s="4">
        <f t="shared" si="158"/>
        <v>0.15253917653798199</v>
      </c>
      <c r="AM236" s="4">
        <f t="shared" si="158"/>
        <v>0.10795188737709993</v>
      </c>
      <c r="AN236" s="4">
        <f t="shared" si="158"/>
        <v>7.5176653938091809E-2</v>
      </c>
      <c r="AO236" s="4">
        <f t="shared" si="158"/>
        <v>5.1742836177502194E-2</v>
      </c>
      <c r="AP236" s="4">
        <f t="shared" si="158"/>
        <v>3.5319190625345942E-2</v>
      </c>
      <c r="AQ236" s="4">
        <f t="shared" si="158"/>
        <v>2.3969442072658165E-2</v>
      </c>
      <c r="AR236" s="4">
        <f t="shared" si="158"/>
        <v>1.6202243558389728E-2</v>
      </c>
    </row>
    <row r="237" spans="1:44" x14ac:dyDescent="0.3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60"/>
        <v>0.99780374543478534</v>
      </c>
      <c r="R237" s="4">
        <f t="shared" si="160"/>
        <v>0.99685359315256394</v>
      </c>
      <c r="S237" s="4">
        <f t="shared" si="160"/>
        <v>0.99549347132349975</v>
      </c>
      <c r="T237" s="4">
        <f t="shared" si="160"/>
        <v>0.99354772139898062</v>
      </c>
      <c r="U237" s="4">
        <f t="shared" si="160"/>
        <v>0.99076681540580536</v>
      </c>
      <c r="V237" s="4">
        <f t="shared" si="160"/>
        <v>0.9867978615748374</v>
      </c>
      <c r="W237" s="4">
        <f t="shared" si="160"/>
        <v>0.98114509762858249</v>
      </c>
      <c r="X237" s="4">
        <f t="shared" si="160"/>
        <v>0.97311898315872036</v>
      </c>
      <c r="Y237" s="4">
        <f t="shared" si="160"/>
        <v>0.96177484161592774</v>
      </c>
      <c r="Z237" s="4">
        <f t="shared" si="160"/>
        <v>0.94584787155511363</v>
      </c>
      <c r="AA237" s="4">
        <f t="shared" si="160"/>
        <v>0.92370360150141495</v>
      </c>
      <c r="AB237" s="4">
        <f t="shared" si="160"/>
        <v>0.89334463567658451</v>
      </c>
      <c r="AC237" s="4">
        <f t="shared" si="160"/>
        <v>0.85254543874327005</v>
      </c>
      <c r="AD237" s="4">
        <f t="shared" si="160"/>
        <v>0.79921300652623883</v>
      </c>
      <c r="AE237" s="4">
        <f t="shared" si="160"/>
        <v>0.73204982249993378</v>
      </c>
      <c r="AF237" s="4">
        <f t="shared" si="160"/>
        <v>0.65145592958786691</v>
      </c>
      <c r="AG237" s="4">
        <f t="shared" si="157"/>
        <v>0.56032247880849573</v>
      </c>
      <c r="AH237" s="4">
        <f t="shared" si="157"/>
        <v>0.46411326873185343</v>
      </c>
      <c r="AI237" s="4">
        <f t="shared" si="157"/>
        <v>0.36979727595523937</v>
      </c>
      <c r="AJ237" s="4">
        <f t="shared" si="158"/>
        <v>0.28393948637231203</v>
      </c>
      <c r="AK237" s="4">
        <f t="shared" si="158"/>
        <v>0.21097259161117732</v>
      </c>
      <c r="AL237" s="4">
        <f t="shared" si="158"/>
        <v>0.15253917653798199</v>
      </c>
      <c r="AM237" s="4">
        <f t="shared" si="158"/>
        <v>0.10795188737709993</v>
      </c>
      <c r="AN237" s="4">
        <f t="shared" si="158"/>
        <v>7.5176653938091809E-2</v>
      </c>
      <c r="AO237" s="4">
        <f t="shared" si="158"/>
        <v>5.1742836177502194E-2</v>
      </c>
      <c r="AP237" s="4">
        <f t="shared" si="158"/>
        <v>3.5319190625345942E-2</v>
      </c>
      <c r="AQ237" s="4">
        <f t="shared" si="158"/>
        <v>2.3969442072658165E-2</v>
      </c>
      <c r="AR237" s="4">
        <f t="shared" si="158"/>
        <v>1.6202243558389728E-2</v>
      </c>
    </row>
    <row r="238" spans="1:44" x14ac:dyDescent="0.3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60"/>
        <v>0.99780374543478534</v>
      </c>
      <c r="R238" s="4">
        <f t="shared" si="160"/>
        <v>0.99685359315256394</v>
      </c>
      <c r="S238" s="4">
        <f t="shared" si="160"/>
        <v>0.99549347132349975</v>
      </c>
      <c r="T238" s="4">
        <f t="shared" si="160"/>
        <v>0.99354772139898062</v>
      </c>
      <c r="U238" s="4">
        <f t="shared" si="160"/>
        <v>0.99076681540580536</v>
      </c>
      <c r="V238" s="4">
        <f t="shared" si="160"/>
        <v>0.9867978615748374</v>
      </c>
      <c r="W238" s="4">
        <f t="shared" si="160"/>
        <v>0.98114509762858249</v>
      </c>
      <c r="X238" s="4">
        <f t="shared" si="160"/>
        <v>0.97311898315872036</v>
      </c>
      <c r="Y238" s="4">
        <f t="shared" si="160"/>
        <v>0.96177484161592774</v>
      </c>
      <c r="Z238" s="4">
        <f t="shared" si="160"/>
        <v>0.94584787155511363</v>
      </c>
      <c r="AA238" s="4">
        <f t="shared" si="160"/>
        <v>0.92370360150141495</v>
      </c>
      <c r="AB238" s="4">
        <f t="shared" si="160"/>
        <v>0.89334463567658451</v>
      </c>
      <c r="AC238" s="4">
        <f t="shared" si="160"/>
        <v>0.85254543874327005</v>
      </c>
      <c r="AD238" s="4">
        <f t="shared" si="160"/>
        <v>0.79921300652623883</v>
      </c>
      <c r="AE238" s="4">
        <f t="shared" si="160"/>
        <v>0.73204982249993378</v>
      </c>
      <c r="AF238" s="4">
        <f t="shared" si="160"/>
        <v>0.65145592958786691</v>
      </c>
      <c r="AG238" s="4">
        <f t="shared" si="157"/>
        <v>0.56032247880849573</v>
      </c>
      <c r="AH238" s="4">
        <f t="shared" si="157"/>
        <v>0.46411326873185343</v>
      </c>
      <c r="AI238" s="4">
        <f t="shared" si="157"/>
        <v>0.36979727595523937</v>
      </c>
      <c r="AJ238" s="4">
        <f t="shared" si="158"/>
        <v>0.28393948637231203</v>
      </c>
      <c r="AK238" s="4">
        <f t="shared" si="158"/>
        <v>0.21097259161117732</v>
      </c>
      <c r="AL238" s="4">
        <f t="shared" si="158"/>
        <v>0.15253917653798199</v>
      </c>
      <c r="AM238" s="4">
        <f t="shared" si="158"/>
        <v>0.10795188737709993</v>
      </c>
      <c r="AN238" s="4">
        <f t="shared" si="158"/>
        <v>7.5176653938091809E-2</v>
      </c>
      <c r="AO238" s="4">
        <f t="shared" si="158"/>
        <v>5.1742836177502194E-2</v>
      </c>
      <c r="AP238" s="4">
        <f t="shared" si="158"/>
        <v>3.5319190625345942E-2</v>
      </c>
      <c r="AQ238" s="4">
        <f t="shared" si="158"/>
        <v>2.3969442072658165E-2</v>
      </c>
      <c r="AR238" s="4">
        <f t="shared" si="158"/>
        <v>1.6202243558389728E-2</v>
      </c>
    </row>
    <row r="239" spans="1:44" x14ac:dyDescent="0.3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60"/>
        <v>0.99780374543478534</v>
      </c>
      <c r="R239" s="4">
        <f t="shared" si="160"/>
        <v>0.99685359315256394</v>
      </c>
      <c r="S239" s="4">
        <f t="shared" si="160"/>
        <v>0.99549347132349975</v>
      </c>
      <c r="T239" s="4">
        <f t="shared" si="160"/>
        <v>0.99354772139898062</v>
      </c>
      <c r="U239" s="4">
        <f t="shared" si="160"/>
        <v>0.99076681540580536</v>
      </c>
      <c r="V239" s="4">
        <f t="shared" si="160"/>
        <v>0.9867978615748374</v>
      </c>
      <c r="W239" s="4">
        <f t="shared" si="160"/>
        <v>0.98114509762858249</v>
      </c>
      <c r="X239" s="4">
        <f t="shared" si="160"/>
        <v>0.97311898315872036</v>
      </c>
      <c r="Y239" s="4">
        <f t="shared" si="160"/>
        <v>0.96177484161592774</v>
      </c>
      <c r="Z239" s="4">
        <f t="shared" si="160"/>
        <v>0.94584787155511363</v>
      </c>
      <c r="AA239" s="4">
        <f t="shared" si="160"/>
        <v>0.92370360150141495</v>
      </c>
      <c r="AB239" s="4">
        <f t="shared" si="160"/>
        <v>0.89334463567658451</v>
      </c>
      <c r="AC239" s="4">
        <f t="shared" si="160"/>
        <v>0.85254543874327005</v>
      </c>
      <c r="AD239" s="4">
        <f t="shared" si="160"/>
        <v>0.79921300652623883</v>
      </c>
      <c r="AE239" s="4">
        <f t="shared" si="160"/>
        <v>0.73204982249993378</v>
      </c>
      <c r="AF239" s="4">
        <f t="shared" si="160"/>
        <v>0.65145592958786691</v>
      </c>
      <c r="AG239" s="4">
        <f t="shared" si="157"/>
        <v>0.56032247880849573</v>
      </c>
      <c r="AH239" s="4">
        <f t="shared" si="157"/>
        <v>0.46411326873185343</v>
      </c>
      <c r="AI239" s="4">
        <f t="shared" si="157"/>
        <v>0.36979727595523937</v>
      </c>
      <c r="AJ239" s="4">
        <f t="shared" si="158"/>
        <v>0.28393948637231203</v>
      </c>
      <c r="AK239" s="4">
        <f t="shared" si="158"/>
        <v>0.21097259161117732</v>
      </c>
      <c r="AL239" s="4">
        <f t="shared" si="158"/>
        <v>0.15253917653798199</v>
      </c>
      <c r="AM239" s="4">
        <f t="shared" si="158"/>
        <v>0.10795188737709993</v>
      </c>
      <c r="AN239" s="4">
        <f t="shared" si="158"/>
        <v>7.5176653938091809E-2</v>
      </c>
      <c r="AO239" s="4">
        <f t="shared" si="158"/>
        <v>5.1742836177502194E-2</v>
      </c>
      <c r="AP239" s="4">
        <f t="shared" si="158"/>
        <v>3.5319190625345942E-2</v>
      </c>
      <c r="AQ239" s="4">
        <f t="shared" si="158"/>
        <v>2.3969442072658165E-2</v>
      </c>
      <c r="AR239" s="4">
        <f t="shared" si="158"/>
        <v>1.6202243558389728E-2</v>
      </c>
    </row>
    <row r="240" spans="1:44" x14ac:dyDescent="0.3">
      <c r="A240" s="24" t="s">
        <v>73</v>
      </c>
      <c r="B240" s="45">
        <f>'Parameter Input'!$L$173</f>
        <v>0.1</v>
      </c>
      <c r="C240" s="46">
        <f>'Parameter Input'!$M$173</f>
        <v>0.08</v>
      </c>
      <c r="D240" s="1" t="s">
        <v>57</v>
      </c>
      <c r="L240" s="54">
        <f>'Parameter Input'!$O$173</f>
        <v>17</v>
      </c>
      <c r="M240" s="37">
        <v>0</v>
      </c>
      <c r="N240" s="37">
        <v>1</v>
      </c>
      <c r="O240" s="37">
        <f>'Parameter Input'!$P$173</f>
        <v>0.9</v>
      </c>
      <c r="P240" s="55">
        <f>'Parameter Input'!$Q$173</f>
        <v>0.4</v>
      </c>
      <c r="Q240" s="4">
        <f t="shared" si="160"/>
        <v>0.99780374543478534</v>
      </c>
      <c r="R240" s="4">
        <f t="shared" si="160"/>
        <v>0.99685359315256394</v>
      </c>
      <c r="S240" s="4">
        <f t="shared" si="160"/>
        <v>0.99549347132349975</v>
      </c>
      <c r="T240" s="4">
        <f t="shared" si="160"/>
        <v>0.99354772139898062</v>
      </c>
      <c r="U240" s="4">
        <f t="shared" si="160"/>
        <v>0.99076681540580536</v>
      </c>
      <c r="V240" s="4">
        <f t="shared" si="160"/>
        <v>0.9867978615748374</v>
      </c>
      <c r="W240" s="4">
        <f t="shared" si="160"/>
        <v>0.98114509762858249</v>
      </c>
      <c r="X240" s="4">
        <f t="shared" si="160"/>
        <v>0.97311898315872036</v>
      </c>
      <c r="Y240" s="4">
        <f t="shared" si="160"/>
        <v>0.96177484161592774</v>
      </c>
      <c r="Z240" s="4">
        <f t="shared" si="160"/>
        <v>0.94584787155511363</v>
      </c>
      <c r="AA240" s="4">
        <f t="shared" si="160"/>
        <v>0.92370360150141495</v>
      </c>
      <c r="AB240" s="4">
        <f t="shared" si="160"/>
        <v>0.89334463567658451</v>
      </c>
      <c r="AC240" s="4">
        <f t="shared" si="160"/>
        <v>0.85254543874327005</v>
      </c>
      <c r="AD240" s="4">
        <f t="shared" si="160"/>
        <v>0.79921300652623883</v>
      </c>
      <c r="AE240" s="4">
        <f t="shared" si="160"/>
        <v>0.73204982249993378</v>
      </c>
      <c r="AF240" s="4">
        <f t="shared" si="160"/>
        <v>0.65145592958786691</v>
      </c>
      <c r="AG240" s="4">
        <f t="shared" si="157"/>
        <v>0.56032247880849573</v>
      </c>
      <c r="AH240" s="4">
        <f t="shared" si="157"/>
        <v>0.46411326873185343</v>
      </c>
      <c r="AI240" s="4">
        <f t="shared" si="157"/>
        <v>0.36979727595523937</v>
      </c>
      <c r="AJ240" s="4">
        <f t="shared" si="158"/>
        <v>0.28393948637231203</v>
      </c>
      <c r="AK240" s="4">
        <f t="shared" si="158"/>
        <v>0.21097259161117732</v>
      </c>
      <c r="AL240" s="4">
        <f t="shared" si="158"/>
        <v>0.15253917653798199</v>
      </c>
      <c r="AM240" s="4">
        <f t="shared" si="158"/>
        <v>0.10795188737709993</v>
      </c>
      <c r="AN240" s="4">
        <f t="shared" si="158"/>
        <v>7.5176653938091809E-2</v>
      </c>
      <c r="AO240" s="4">
        <f t="shared" si="158"/>
        <v>5.1742836177502194E-2</v>
      </c>
      <c r="AP240" s="4">
        <f t="shared" si="158"/>
        <v>3.5319190625345942E-2</v>
      </c>
      <c r="AQ240" s="4">
        <f t="shared" si="158"/>
        <v>2.3969442072658165E-2</v>
      </c>
      <c r="AR240" s="4">
        <f t="shared" si="158"/>
        <v>1.6202243558389728E-2</v>
      </c>
    </row>
    <row r="241" spans="1:44" ht="15" thickBot="1" x14ac:dyDescent="0.35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60"/>
        <v>0.99780374543478534</v>
      </c>
      <c r="R241" s="4">
        <f t="shared" si="160"/>
        <v>0.99685359315256394</v>
      </c>
      <c r="S241" s="4">
        <f t="shared" si="160"/>
        <v>0.99549347132349975</v>
      </c>
      <c r="T241" s="4">
        <f t="shared" si="160"/>
        <v>0.99354772139898062</v>
      </c>
      <c r="U241" s="4">
        <f t="shared" si="160"/>
        <v>0.99076681540580536</v>
      </c>
      <c r="V241" s="4">
        <f t="shared" si="160"/>
        <v>0.9867978615748374</v>
      </c>
      <c r="W241" s="4">
        <f t="shared" si="160"/>
        <v>0.98114509762858249</v>
      </c>
      <c r="X241" s="4">
        <f t="shared" si="160"/>
        <v>0.97311898315872036</v>
      </c>
      <c r="Y241" s="4">
        <f t="shared" si="160"/>
        <v>0.96177484161592774</v>
      </c>
      <c r="Z241" s="4">
        <f t="shared" si="160"/>
        <v>0.94584787155511363</v>
      </c>
      <c r="AA241" s="4">
        <f t="shared" si="160"/>
        <v>0.92370360150141495</v>
      </c>
      <c r="AB241" s="4">
        <f t="shared" si="160"/>
        <v>0.89334463567658451</v>
      </c>
      <c r="AC241" s="4">
        <f t="shared" si="160"/>
        <v>0.85254543874327005</v>
      </c>
      <c r="AD241" s="4">
        <f t="shared" si="160"/>
        <v>0.79921300652623883</v>
      </c>
      <c r="AE241" s="4">
        <f t="shared" si="160"/>
        <v>0.73204982249993378</v>
      </c>
      <c r="AF241" s="4">
        <f t="shared" si="160"/>
        <v>0.65145592958786691</v>
      </c>
      <c r="AG241" s="4">
        <f t="shared" si="157"/>
        <v>0.56032247880849573</v>
      </c>
      <c r="AH241" s="4">
        <f t="shared" si="157"/>
        <v>0.46411326873185343</v>
      </c>
      <c r="AI241" s="4">
        <f t="shared" si="157"/>
        <v>0.36979727595523937</v>
      </c>
      <c r="AJ241" s="4">
        <f t="shared" si="158"/>
        <v>0.28393948637231203</v>
      </c>
      <c r="AK241" s="4">
        <f t="shared" si="158"/>
        <v>0.21097259161117732</v>
      </c>
      <c r="AL241" s="4">
        <f t="shared" si="158"/>
        <v>0.15253917653798199</v>
      </c>
      <c r="AM241" s="4">
        <f t="shared" si="158"/>
        <v>0.10795188737709993</v>
      </c>
      <c r="AN241" s="4">
        <f t="shared" si="158"/>
        <v>7.5176653938091809E-2</v>
      </c>
      <c r="AO241" s="4">
        <f t="shared" si="158"/>
        <v>5.1742836177502194E-2</v>
      </c>
      <c r="AP241" s="4">
        <f t="shared" si="158"/>
        <v>3.5319190625345942E-2</v>
      </c>
      <c r="AQ241" s="4">
        <f t="shared" si="158"/>
        <v>2.3969442072658165E-2</v>
      </c>
      <c r="AR241" s="4">
        <f t="shared" si="158"/>
        <v>1.6202243558389728E-2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61">A225</f>
        <v>Capex vehicle</v>
      </c>
      <c r="B245" s="62">
        <f t="shared" ref="B245:B254" si="162">$B225+($C225-$B225)*(1-Q225)</f>
        <v>29976939.327065244</v>
      </c>
      <c r="C245" s="62">
        <f t="shared" ref="C245:C254" si="163">$B225+($C225-$B225)*(1-R225)</f>
        <v>29966962.72810192</v>
      </c>
      <c r="D245" s="62">
        <f t="shared" ref="D245:D254" si="164">$B225+($C225-$B225)*(1-S225)</f>
        <v>29952681.448896747</v>
      </c>
      <c r="E245" s="62">
        <f t="shared" ref="E245:E254" si="165">$B225+($C225-$B225)*(1-T225)</f>
        <v>29932251.074689295</v>
      </c>
      <c r="F245" s="62">
        <f t="shared" ref="F245:F254" si="166">$B225+($C225-$B225)*(1-U225)</f>
        <v>29903051.561760955</v>
      </c>
      <c r="G245" s="62">
        <f t="shared" ref="G245:G254" si="167">$B225+($C225-$B225)*(1-V225)</f>
        <v>29861377.546535794</v>
      </c>
      <c r="H245" s="62">
        <f t="shared" ref="H245:H254" si="168">$B225+($C225-$B225)*(1-W225)</f>
        <v>29802023.525100116</v>
      </c>
      <c r="I245" s="62">
        <f t="shared" ref="I245:I254" si="169">$B225+($C225-$B225)*(1-X225)</f>
        <v>29717749.323166564</v>
      </c>
      <c r="J245" s="62">
        <f t="shared" ref="J245:J254" si="170">$B225+($C225-$B225)*(1-Y225)</f>
        <v>29598635.836967241</v>
      </c>
      <c r="K245" s="62">
        <f t="shared" ref="K245:K254" si="171">$B225+($C225-$B225)*(1-Z225)</f>
        <v>29431402.651328694</v>
      </c>
      <c r="L245" s="62">
        <f t="shared" ref="L245:L254" si="172">$B225+($C225-$B225)*(1-AA225)</f>
        <v>29198887.815764856</v>
      </c>
      <c r="M245" s="62">
        <f t="shared" ref="M245:M254" si="173">$B225+($C225-$B225)*(1-AB225)</f>
        <v>28880118.674604136</v>
      </c>
      <c r="N245" s="62">
        <f t="shared" ref="N245:N254" si="174">$B225+($C225-$B225)*(1-AC225)</f>
        <v>28451727.106804334</v>
      </c>
      <c r="O245" s="62">
        <f t="shared" ref="O245:O254" si="175">$B225+($C225-$B225)*(1-AD225)</f>
        <v>27891736.568525508</v>
      </c>
      <c r="P245" s="62">
        <f t="shared" ref="P245:P254" si="176">$B225+($C225-$B225)*(1-AE225)</f>
        <v>27186523.136249304</v>
      </c>
      <c r="Q245" s="62">
        <f t="shared" ref="Q245:Q254" si="177">$B225+($C225-$B225)*(1-AF225)</f>
        <v>26340287.260672603</v>
      </c>
      <c r="R245" s="62">
        <f t="shared" ref="R245:R254" si="178">$B225+($C225-$B225)*(1-AG225)</f>
        <v>25383386.027489204</v>
      </c>
      <c r="S245" s="62">
        <f t="shared" ref="S245:S254" si="179">$B225+($C225-$B225)*(1-AH225)</f>
        <v>24373189.321684461</v>
      </c>
      <c r="T245" s="62">
        <f t="shared" ref="T245:T254" si="180">$B225+($C225-$B225)*(1-AI225)</f>
        <v>23382871.397530012</v>
      </c>
      <c r="U245" s="62">
        <f t="shared" ref="U245:U254" si="181">$B225+($C225-$B225)*(1-AJ225)</f>
        <v>22481364.606909275</v>
      </c>
      <c r="V245" s="62">
        <f t="shared" ref="V245:V254" si="182">$B225+($C225-$B225)*(1-AK225)</f>
        <v>21715212.211917363</v>
      </c>
      <c r="W245" s="62">
        <f t="shared" ref="W245:W254" si="183">$B225+($C225-$B225)*(1-AL225)</f>
        <v>21101661.353648812</v>
      </c>
      <c r="X245" s="62">
        <f t="shared" ref="X245:X254" si="184">$B225+($C225-$B225)*(1-AM225)</f>
        <v>20633494.81745955</v>
      </c>
      <c r="Y245" s="62">
        <f t="shared" ref="Y245:Y254" si="185">$B225+($C225-$B225)*(1-AN225)</f>
        <v>20289354.866349965</v>
      </c>
      <c r="Z245" s="62">
        <f t="shared" ref="Z245:Z254" si="186">$B225+($C225-$B225)*(1-AO225)</f>
        <v>20043299.779863775</v>
      </c>
      <c r="AA245" s="62">
        <f t="shared" ref="AA245:AA254" si="187">$B225+($C225-$B225)*(1-AP225)</f>
        <v>19870851.501566134</v>
      </c>
      <c r="AB245" s="62">
        <f t="shared" ref="AB245:AB254" si="188">$B225+($C225-$B225)*(1-AQ225)</f>
        <v>19751679.141762912</v>
      </c>
      <c r="AC245" s="62">
        <f t="shared" ref="AC245:AC254" si="189">$B225+($C225-$B225)*(1-AR225)</f>
        <v>19670123.557363093</v>
      </c>
    </row>
    <row r="246" spans="1:44" x14ac:dyDescent="0.3">
      <c r="A246" s="30" t="str">
        <f t="shared" si="161"/>
        <v>Residual value (vehicle)</v>
      </c>
      <c r="B246" s="62">
        <f t="shared" si="162"/>
        <v>-1500988.3145543465</v>
      </c>
      <c r="C246" s="62">
        <f t="shared" si="163"/>
        <v>-1501415.8830813463</v>
      </c>
      <c r="D246" s="62">
        <f t="shared" si="164"/>
        <v>-1502027.9379044252</v>
      </c>
      <c r="E246" s="62">
        <f t="shared" si="165"/>
        <v>-1502903.5253704586</v>
      </c>
      <c r="F246" s="62">
        <f t="shared" si="166"/>
        <v>-1504154.9330673877</v>
      </c>
      <c r="G246" s="62">
        <f t="shared" si="167"/>
        <v>-1505940.9622913231</v>
      </c>
      <c r="H246" s="62">
        <f t="shared" si="168"/>
        <v>-1508484.7060671379</v>
      </c>
      <c r="I246" s="62">
        <f t="shared" si="169"/>
        <v>-1512096.4575785759</v>
      </c>
      <c r="J246" s="62">
        <f t="shared" si="170"/>
        <v>-1517201.3212728326</v>
      </c>
      <c r="K246" s="62">
        <f t="shared" si="171"/>
        <v>-1524368.4578001988</v>
      </c>
      <c r="L246" s="62">
        <f t="shared" si="172"/>
        <v>-1534333.3793243633</v>
      </c>
      <c r="M246" s="62">
        <f t="shared" si="173"/>
        <v>-1547994.9139455371</v>
      </c>
      <c r="N246" s="62">
        <f t="shared" si="174"/>
        <v>-1566354.5525655285</v>
      </c>
      <c r="O246" s="62">
        <f t="shared" si="175"/>
        <v>-1590354.1470631924</v>
      </c>
      <c r="P246" s="62">
        <f t="shared" si="176"/>
        <v>-1620577.5798750299</v>
      </c>
      <c r="Q246" s="62">
        <f t="shared" si="177"/>
        <v>-1656844.8316854599</v>
      </c>
      <c r="R246" s="62">
        <f t="shared" si="178"/>
        <v>-1697854.8845361769</v>
      </c>
      <c r="S246" s="62">
        <f t="shared" si="179"/>
        <v>-1741149.0290706661</v>
      </c>
      <c r="T246" s="62">
        <f t="shared" si="180"/>
        <v>-1783591.2258201423</v>
      </c>
      <c r="U246" s="62">
        <f t="shared" si="181"/>
        <v>-1822227.2311324596</v>
      </c>
      <c r="V246" s="62">
        <f t="shared" si="182"/>
        <v>-1855062.3337749701</v>
      </c>
      <c r="W246" s="62">
        <f t="shared" si="183"/>
        <v>-1881357.370557908</v>
      </c>
      <c r="X246" s="62">
        <f t="shared" si="184"/>
        <v>-1901421.650680305</v>
      </c>
      <c r="Y246" s="62">
        <f t="shared" si="185"/>
        <v>-1916170.5057278587</v>
      </c>
      <c r="Z246" s="62">
        <f t="shared" si="186"/>
        <v>-1926715.723720124</v>
      </c>
      <c r="AA246" s="62">
        <f t="shared" si="187"/>
        <v>-1934106.3642185943</v>
      </c>
      <c r="AB246" s="62">
        <f t="shared" si="188"/>
        <v>-1939213.7510673038</v>
      </c>
      <c r="AC246" s="62">
        <f t="shared" si="189"/>
        <v>-1942708.9903987246</v>
      </c>
    </row>
    <row r="247" spans="1:44" x14ac:dyDescent="0.3">
      <c r="A247" s="30" t="str">
        <f t="shared" si="161"/>
        <v>Capex costumization</v>
      </c>
      <c r="B247" s="62">
        <f t="shared" si="162"/>
        <v>1000000</v>
      </c>
      <c r="C247" s="62">
        <f t="shared" si="163"/>
        <v>1000000</v>
      </c>
      <c r="D247" s="62">
        <f t="shared" si="164"/>
        <v>1000000</v>
      </c>
      <c r="E247" s="62">
        <f t="shared" si="165"/>
        <v>1000000</v>
      </c>
      <c r="F247" s="62">
        <f t="shared" si="166"/>
        <v>1000000</v>
      </c>
      <c r="G247" s="62">
        <f t="shared" si="167"/>
        <v>1000000</v>
      </c>
      <c r="H247" s="62">
        <f t="shared" si="168"/>
        <v>1000000</v>
      </c>
      <c r="I247" s="62">
        <f t="shared" si="169"/>
        <v>1000000</v>
      </c>
      <c r="J247" s="62">
        <f t="shared" si="170"/>
        <v>1000000</v>
      </c>
      <c r="K247" s="62">
        <f t="shared" si="171"/>
        <v>1000000</v>
      </c>
      <c r="L247" s="62">
        <f t="shared" si="172"/>
        <v>1000000</v>
      </c>
      <c r="M247" s="62">
        <f t="shared" si="173"/>
        <v>1000000</v>
      </c>
      <c r="N247" s="62">
        <f t="shared" si="174"/>
        <v>1000000</v>
      </c>
      <c r="O247" s="62">
        <f t="shared" si="175"/>
        <v>1000000</v>
      </c>
      <c r="P247" s="62">
        <f t="shared" si="176"/>
        <v>1000000</v>
      </c>
      <c r="Q247" s="62">
        <f t="shared" si="177"/>
        <v>1000000</v>
      </c>
      <c r="R247" s="62">
        <f t="shared" si="178"/>
        <v>1000000</v>
      </c>
      <c r="S247" s="62">
        <f t="shared" si="179"/>
        <v>1000000</v>
      </c>
      <c r="T247" s="62">
        <f t="shared" si="180"/>
        <v>1000000</v>
      </c>
      <c r="U247" s="62">
        <f t="shared" si="181"/>
        <v>1000000</v>
      </c>
      <c r="V247" s="62">
        <f t="shared" si="182"/>
        <v>1000000</v>
      </c>
      <c r="W247" s="62">
        <f t="shared" si="183"/>
        <v>1000000</v>
      </c>
      <c r="X247" s="62">
        <f t="shared" si="184"/>
        <v>1000000</v>
      </c>
      <c r="Y247" s="62">
        <f t="shared" si="185"/>
        <v>1000000</v>
      </c>
      <c r="Z247" s="62">
        <f t="shared" si="186"/>
        <v>1000000</v>
      </c>
      <c r="AA247" s="62">
        <f t="shared" si="187"/>
        <v>1000000</v>
      </c>
      <c r="AB247" s="62">
        <f t="shared" si="188"/>
        <v>1000000</v>
      </c>
      <c r="AC247" s="62">
        <f t="shared" si="189"/>
        <v>1000000</v>
      </c>
    </row>
    <row r="248" spans="1:44" x14ac:dyDescent="0.3">
      <c r="A248" s="30" t="str">
        <f t="shared" si="161"/>
        <v>Residual value (costumization)</v>
      </c>
      <c r="B248" s="62">
        <f t="shared" si="162"/>
        <v>-100000</v>
      </c>
      <c r="C248" s="62">
        <f t="shared" si="163"/>
        <v>-100000</v>
      </c>
      <c r="D248" s="62">
        <f t="shared" si="164"/>
        <v>-100000</v>
      </c>
      <c r="E248" s="62">
        <f t="shared" si="165"/>
        <v>-100000</v>
      </c>
      <c r="F248" s="62">
        <f t="shared" si="166"/>
        <v>-100000</v>
      </c>
      <c r="G248" s="62">
        <f t="shared" si="167"/>
        <v>-100000</v>
      </c>
      <c r="H248" s="62">
        <f t="shared" si="168"/>
        <v>-100000</v>
      </c>
      <c r="I248" s="62">
        <f t="shared" si="169"/>
        <v>-100000</v>
      </c>
      <c r="J248" s="62">
        <f t="shared" si="170"/>
        <v>-100000</v>
      </c>
      <c r="K248" s="62">
        <f t="shared" si="171"/>
        <v>-100000</v>
      </c>
      <c r="L248" s="62">
        <f t="shared" si="172"/>
        <v>-100000</v>
      </c>
      <c r="M248" s="62">
        <f t="shared" si="173"/>
        <v>-100000</v>
      </c>
      <c r="N248" s="62">
        <f t="shared" si="174"/>
        <v>-100000</v>
      </c>
      <c r="O248" s="62">
        <f t="shared" si="175"/>
        <v>-100000</v>
      </c>
      <c r="P248" s="62">
        <f t="shared" si="176"/>
        <v>-100000</v>
      </c>
      <c r="Q248" s="62">
        <f t="shared" si="177"/>
        <v>-100000</v>
      </c>
      <c r="R248" s="62">
        <f t="shared" si="178"/>
        <v>-100000</v>
      </c>
      <c r="S248" s="62">
        <f t="shared" si="179"/>
        <v>-100000</v>
      </c>
      <c r="T248" s="62">
        <f t="shared" si="180"/>
        <v>-100000</v>
      </c>
      <c r="U248" s="62">
        <f t="shared" si="181"/>
        <v>-100000</v>
      </c>
      <c r="V248" s="62">
        <f t="shared" si="182"/>
        <v>-100000</v>
      </c>
      <c r="W248" s="62">
        <f t="shared" si="183"/>
        <v>-100000</v>
      </c>
      <c r="X248" s="62">
        <f t="shared" si="184"/>
        <v>-100000</v>
      </c>
      <c r="Y248" s="62">
        <f t="shared" si="185"/>
        <v>-100000</v>
      </c>
      <c r="Z248" s="62">
        <f t="shared" si="186"/>
        <v>-100000</v>
      </c>
      <c r="AA248" s="62">
        <f t="shared" si="187"/>
        <v>-100000</v>
      </c>
      <c r="AB248" s="62">
        <f t="shared" si="188"/>
        <v>-100000</v>
      </c>
      <c r="AC248" s="62">
        <f t="shared" si="189"/>
        <v>-100000</v>
      </c>
    </row>
    <row r="249" spans="1:44" x14ac:dyDescent="0.3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3">
      <c r="A250" s="30" t="str">
        <f t="shared" si="161"/>
        <v>Opex fix (admin, crew, insurance)</v>
      </c>
      <c r="B250" s="62">
        <f t="shared" si="162"/>
        <v>1208235.294117647</v>
      </c>
      <c r="C250" s="62">
        <f t="shared" si="163"/>
        <v>1208235.294117647</v>
      </c>
      <c r="D250" s="62">
        <f t="shared" si="164"/>
        <v>1208235.294117647</v>
      </c>
      <c r="E250" s="62">
        <f t="shared" si="165"/>
        <v>1208235.294117647</v>
      </c>
      <c r="F250" s="62">
        <f t="shared" si="166"/>
        <v>1208235.294117647</v>
      </c>
      <c r="G250" s="62">
        <f t="shared" si="167"/>
        <v>1208235.294117647</v>
      </c>
      <c r="H250" s="62">
        <f t="shared" si="168"/>
        <v>1208235.294117647</v>
      </c>
      <c r="I250" s="62">
        <f t="shared" si="169"/>
        <v>1208235.294117647</v>
      </c>
      <c r="J250" s="62">
        <f t="shared" si="170"/>
        <v>1208235.294117647</v>
      </c>
      <c r="K250" s="62">
        <f t="shared" si="171"/>
        <v>1208235.294117647</v>
      </c>
      <c r="L250" s="62">
        <f t="shared" si="172"/>
        <v>1208235.294117647</v>
      </c>
      <c r="M250" s="62">
        <f t="shared" si="173"/>
        <v>1208235.294117647</v>
      </c>
      <c r="N250" s="62">
        <f t="shared" si="174"/>
        <v>1208235.294117647</v>
      </c>
      <c r="O250" s="62">
        <f t="shared" si="175"/>
        <v>1208235.294117647</v>
      </c>
      <c r="P250" s="62">
        <f t="shared" si="176"/>
        <v>1208235.294117647</v>
      </c>
      <c r="Q250" s="62">
        <f t="shared" si="177"/>
        <v>1208235.294117647</v>
      </c>
      <c r="R250" s="62">
        <f t="shared" si="178"/>
        <v>1208235.294117647</v>
      </c>
      <c r="S250" s="62">
        <f t="shared" si="179"/>
        <v>1208235.294117647</v>
      </c>
      <c r="T250" s="62">
        <f t="shared" si="180"/>
        <v>1208235.294117647</v>
      </c>
      <c r="U250" s="62">
        <f t="shared" si="181"/>
        <v>1208235.294117647</v>
      </c>
      <c r="V250" s="62">
        <f t="shared" si="182"/>
        <v>1208235.294117647</v>
      </c>
      <c r="W250" s="62">
        <f t="shared" si="183"/>
        <v>1208235.294117647</v>
      </c>
      <c r="X250" s="62">
        <f t="shared" si="184"/>
        <v>1208235.294117647</v>
      </c>
      <c r="Y250" s="62">
        <f t="shared" si="185"/>
        <v>1208235.294117647</v>
      </c>
      <c r="Z250" s="62">
        <f t="shared" si="186"/>
        <v>1208235.294117647</v>
      </c>
      <c r="AA250" s="62">
        <f t="shared" si="187"/>
        <v>1208235.294117647</v>
      </c>
      <c r="AB250" s="62">
        <f t="shared" si="188"/>
        <v>1208235.294117647</v>
      </c>
      <c r="AC250" s="62">
        <f t="shared" si="189"/>
        <v>1208235.294117647</v>
      </c>
    </row>
    <row r="251" spans="1:44" x14ac:dyDescent="0.3">
      <c r="A251" s="30" t="str">
        <f t="shared" si="161"/>
        <v>Opex maintenance &amp; repair</v>
      </c>
      <c r="B251" s="62">
        <f t="shared" si="162"/>
        <v>338823.5294117647</v>
      </c>
      <c r="C251" s="62">
        <f t="shared" si="163"/>
        <v>338823.5294117647</v>
      </c>
      <c r="D251" s="62">
        <f t="shared" si="164"/>
        <v>338823.5294117647</v>
      </c>
      <c r="E251" s="62">
        <f t="shared" si="165"/>
        <v>338823.5294117647</v>
      </c>
      <c r="F251" s="62">
        <f t="shared" si="166"/>
        <v>338823.5294117647</v>
      </c>
      <c r="G251" s="62">
        <f t="shared" si="167"/>
        <v>338823.5294117647</v>
      </c>
      <c r="H251" s="62">
        <f t="shared" si="168"/>
        <v>338823.5294117647</v>
      </c>
      <c r="I251" s="62">
        <f t="shared" si="169"/>
        <v>338823.5294117647</v>
      </c>
      <c r="J251" s="62">
        <f t="shared" si="170"/>
        <v>338823.5294117647</v>
      </c>
      <c r="K251" s="62">
        <f t="shared" si="171"/>
        <v>338823.5294117647</v>
      </c>
      <c r="L251" s="62">
        <f t="shared" si="172"/>
        <v>338823.5294117647</v>
      </c>
      <c r="M251" s="62">
        <f t="shared" si="173"/>
        <v>338823.5294117647</v>
      </c>
      <c r="N251" s="62">
        <f t="shared" si="174"/>
        <v>338823.5294117647</v>
      </c>
      <c r="O251" s="62">
        <f t="shared" si="175"/>
        <v>338823.5294117647</v>
      </c>
      <c r="P251" s="62">
        <f t="shared" si="176"/>
        <v>338823.5294117647</v>
      </c>
      <c r="Q251" s="62">
        <f t="shared" si="177"/>
        <v>338823.5294117647</v>
      </c>
      <c r="R251" s="62">
        <f t="shared" si="178"/>
        <v>338823.5294117647</v>
      </c>
      <c r="S251" s="62">
        <f t="shared" si="179"/>
        <v>338823.5294117647</v>
      </c>
      <c r="T251" s="62">
        <f t="shared" si="180"/>
        <v>338823.5294117647</v>
      </c>
      <c r="U251" s="62">
        <f t="shared" si="181"/>
        <v>338823.5294117647</v>
      </c>
      <c r="V251" s="62">
        <f t="shared" si="182"/>
        <v>338823.5294117647</v>
      </c>
      <c r="W251" s="62">
        <f t="shared" si="183"/>
        <v>338823.5294117647</v>
      </c>
      <c r="X251" s="62">
        <f t="shared" si="184"/>
        <v>338823.5294117647</v>
      </c>
      <c r="Y251" s="62">
        <f t="shared" si="185"/>
        <v>338823.5294117647</v>
      </c>
      <c r="Z251" s="62">
        <f t="shared" si="186"/>
        <v>338823.5294117647</v>
      </c>
      <c r="AA251" s="62">
        <f t="shared" si="187"/>
        <v>338823.5294117647</v>
      </c>
      <c r="AB251" s="62">
        <f t="shared" si="188"/>
        <v>338823.5294117647</v>
      </c>
      <c r="AC251" s="62">
        <f t="shared" si="189"/>
        <v>338823.5294117647</v>
      </c>
    </row>
    <row r="252" spans="1:44" x14ac:dyDescent="0.3">
      <c r="A252" s="30" t="str">
        <f t="shared" si="161"/>
        <v>Opex var (mode-fees)</v>
      </c>
      <c r="B252" s="62">
        <f t="shared" si="162"/>
        <v>0.81280569096848254</v>
      </c>
      <c r="C252" s="62">
        <f t="shared" si="163"/>
        <v>0.81280569096848254</v>
      </c>
      <c r="D252" s="62">
        <f t="shared" si="164"/>
        <v>0.81280569096848254</v>
      </c>
      <c r="E252" s="62">
        <f t="shared" si="165"/>
        <v>0.81280569096848254</v>
      </c>
      <c r="F252" s="62">
        <f t="shared" si="166"/>
        <v>0.81280569096848254</v>
      </c>
      <c r="G252" s="62">
        <f t="shared" si="167"/>
        <v>0.81280569096848254</v>
      </c>
      <c r="H252" s="62">
        <f t="shared" si="168"/>
        <v>0.81280569096848254</v>
      </c>
      <c r="I252" s="62">
        <f t="shared" si="169"/>
        <v>0.81280569096848254</v>
      </c>
      <c r="J252" s="62">
        <f t="shared" si="170"/>
        <v>0.81280569096848254</v>
      </c>
      <c r="K252" s="62">
        <f t="shared" si="171"/>
        <v>0.81280569096848254</v>
      </c>
      <c r="L252" s="62">
        <f t="shared" si="172"/>
        <v>0.81280569096848254</v>
      </c>
      <c r="M252" s="62">
        <f t="shared" si="173"/>
        <v>0.81280569096848254</v>
      </c>
      <c r="N252" s="62">
        <f t="shared" si="174"/>
        <v>0.81280569096848254</v>
      </c>
      <c r="O252" s="62">
        <f t="shared" si="175"/>
        <v>0.81280569096848254</v>
      </c>
      <c r="P252" s="62">
        <f t="shared" si="176"/>
        <v>0.81280569096848254</v>
      </c>
      <c r="Q252" s="62">
        <f t="shared" si="177"/>
        <v>0.81280569096848254</v>
      </c>
      <c r="R252" s="62">
        <f t="shared" si="178"/>
        <v>0.81280569096848254</v>
      </c>
      <c r="S252" s="62">
        <f t="shared" si="179"/>
        <v>0.81280569096848254</v>
      </c>
      <c r="T252" s="62">
        <f t="shared" si="180"/>
        <v>0.81280569096848254</v>
      </c>
      <c r="U252" s="62">
        <f t="shared" si="181"/>
        <v>0.81280569096848254</v>
      </c>
      <c r="V252" s="62">
        <f t="shared" si="182"/>
        <v>0.81280569096848254</v>
      </c>
      <c r="W252" s="62">
        <f t="shared" si="183"/>
        <v>0.81280569096848254</v>
      </c>
      <c r="X252" s="62">
        <f t="shared" si="184"/>
        <v>0.81280569096848254</v>
      </c>
      <c r="Y252" s="62">
        <f t="shared" si="185"/>
        <v>0.81280569096848254</v>
      </c>
      <c r="Z252" s="62">
        <f t="shared" si="186"/>
        <v>0.81280569096848254</v>
      </c>
      <c r="AA252" s="62">
        <f t="shared" si="187"/>
        <v>0.81280569096848254</v>
      </c>
      <c r="AB252" s="62">
        <f t="shared" si="188"/>
        <v>0.81280569096848254</v>
      </c>
      <c r="AC252" s="62">
        <f t="shared" si="189"/>
        <v>0.81280569096848254</v>
      </c>
    </row>
    <row r="253" spans="1:44" x14ac:dyDescent="0.3">
      <c r="A253" s="30" t="str">
        <f t="shared" si="161"/>
        <v>Fuel Economy</v>
      </c>
      <c r="B253" s="62">
        <f t="shared" si="162"/>
        <v>588.84626218043502</v>
      </c>
      <c r="C253" s="62">
        <f t="shared" si="163"/>
        <v>588.7797515206795</v>
      </c>
      <c r="D253" s="62">
        <f t="shared" si="164"/>
        <v>588.68454299264499</v>
      </c>
      <c r="E253" s="62">
        <f t="shared" si="165"/>
        <v>588.54834049792862</v>
      </c>
      <c r="F253" s="62">
        <f t="shared" si="166"/>
        <v>588.35367707840635</v>
      </c>
      <c r="G253" s="62">
        <f t="shared" si="167"/>
        <v>588.07585031023859</v>
      </c>
      <c r="H253" s="62">
        <f t="shared" si="168"/>
        <v>587.68015683400074</v>
      </c>
      <c r="I253" s="62">
        <f t="shared" si="169"/>
        <v>587.11832882111048</v>
      </c>
      <c r="J253" s="62">
        <f t="shared" si="170"/>
        <v>586.32423891311498</v>
      </c>
      <c r="K253" s="62">
        <f t="shared" si="171"/>
        <v>585.20935100885799</v>
      </c>
      <c r="L253" s="62">
        <f t="shared" si="172"/>
        <v>583.65925210509909</v>
      </c>
      <c r="M253" s="62">
        <f t="shared" si="173"/>
        <v>581.53412449736095</v>
      </c>
      <c r="N253" s="62">
        <f t="shared" si="174"/>
        <v>578.67818071202885</v>
      </c>
      <c r="O253" s="62">
        <f t="shared" si="175"/>
        <v>574.94491045683674</v>
      </c>
      <c r="P253" s="62">
        <f t="shared" si="176"/>
        <v>570.24348757499536</v>
      </c>
      <c r="Q253" s="62">
        <f t="shared" si="177"/>
        <v>564.60191507115064</v>
      </c>
      <c r="R253" s="62">
        <f t="shared" si="178"/>
        <v>558.22257351659471</v>
      </c>
      <c r="S253" s="62">
        <f t="shared" si="179"/>
        <v>551.48792881122972</v>
      </c>
      <c r="T253" s="62">
        <f t="shared" si="180"/>
        <v>544.8858093168667</v>
      </c>
      <c r="U253" s="62">
        <f t="shared" si="181"/>
        <v>538.87576404606182</v>
      </c>
      <c r="V253" s="62">
        <f t="shared" si="182"/>
        <v>533.76808141278241</v>
      </c>
      <c r="W253" s="62">
        <f t="shared" si="183"/>
        <v>529.67774235765876</v>
      </c>
      <c r="X253" s="62">
        <f t="shared" si="184"/>
        <v>526.55663211639694</v>
      </c>
      <c r="Y253" s="62">
        <f t="shared" si="185"/>
        <v>524.26236577566647</v>
      </c>
      <c r="Z253" s="62">
        <f t="shared" si="186"/>
        <v>522.6219985324251</v>
      </c>
      <c r="AA253" s="62">
        <f t="shared" si="187"/>
        <v>521.47234334377424</v>
      </c>
      <c r="AB253" s="62">
        <f t="shared" si="188"/>
        <v>520.67786094508608</v>
      </c>
      <c r="AC253" s="62">
        <f t="shared" si="189"/>
        <v>520.13415704908732</v>
      </c>
    </row>
    <row r="254" spans="1:44" x14ac:dyDescent="0.3">
      <c r="A254" s="30" t="str">
        <f t="shared" si="161"/>
        <v>Fuel Cost</v>
      </c>
      <c r="B254" s="62">
        <f t="shared" si="162"/>
        <v>0.20959517810556494</v>
      </c>
      <c r="C254" s="62">
        <f t="shared" si="163"/>
        <v>0.20948849768499242</v>
      </c>
      <c r="D254" s="62">
        <f t="shared" si="164"/>
        <v>0.20933578703905767</v>
      </c>
      <c r="E254" s="62">
        <f t="shared" si="165"/>
        <v>0.20911732372095529</v>
      </c>
      <c r="F254" s="62">
        <f t="shared" si="166"/>
        <v>0.20880509143306247</v>
      </c>
      <c r="G254" s="62">
        <f t="shared" si="167"/>
        <v>0.20835946848204387</v>
      </c>
      <c r="H254" s="62">
        <f t="shared" si="168"/>
        <v>0.20772479207651681</v>
      </c>
      <c r="I254" s="62">
        <f t="shared" si="169"/>
        <v>0.20682364256266603</v>
      </c>
      <c r="J254" s="62">
        <f t="shared" si="170"/>
        <v>0.20554995431977732</v>
      </c>
      <c r="K254" s="62">
        <f t="shared" si="171"/>
        <v>0.20376171900600099</v>
      </c>
      <c r="L254" s="62">
        <f t="shared" si="172"/>
        <v>0.20127542277033145</v>
      </c>
      <c r="M254" s="62">
        <f t="shared" si="173"/>
        <v>0.19786680364375564</v>
      </c>
      <c r="N254" s="62">
        <f t="shared" si="174"/>
        <v>0.19328598479049669</v>
      </c>
      <c r="O254" s="62">
        <f t="shared" si="175"/>
        <v>0.18729796960016717</v>
      </c>
      <c r="P254" s="62">
        <f t="shared" si="176"/>
        <v>0.17975707657387874</v>
      </c>
      <c r="Q254" s="62">
        <f t="shared" si="177"/>
        <v>0.17070822140370084</v>
      </c>
      <c r="R254" s="62">
        <f t="shared" si="178"/>
        <v>0.16047601437827749</v>
      </c>
      <c r="S254" s="62">
        <f t="shared" si="179"/>
        <v>0.14967391540322711</v>
      </c>
      <c r="T254" s="62">
        <f t="shared" si="180"/>
        <v>0.13908438153124628</v>
      </c>
      <c r="U254" s="62">
        <f t="shared" si="181"/>
        <v>0.12944451087733477</v>
      </c>
      <c r="V254" s="62">
        <f t="shared" si="182"/>
        <v>0.12125199356548938</v>
      </c>
      <c r="W254" s="62">
        <f t="shared" si="183"/>
        <v>0.1146912543954242</v>
      </c>
      <c r="X254" s="62">
        <f t="shared" si="184"/>
        <v>0.10968511922228061</v>
      </c>
      <c r="Y254" s="62">
        <f t="shared" si="185"/>
        <v>0.10600520837739882</v>
      </c>
      <c r="Z254" s="62">
        <f t="shared" si="186"/>
        <v>0.10337412535934337</v>
      </c>
      <c r="AA254" s="62">
        <f t="shared" si="187"/>
        <v>0.10153012472110708</v>
      </c>
      <c r="AB254" s="62">
        <f t="shared" si="188"/>
        <v>0.10025580693894878</v>
      </c>
      <c r="AC254" s="62">
        <f t="shared" si="189"/>
        <v>9.9383727778927067E-2</v>
      </c>
    </row>
    <row r="255" spans="1:44" x14ac:dyDescent="0.3">
      <c r="A255" s="30" t="str">
        <f t="shared" ref="A255" si="190">A235</f>
        <v>Emission Cost</v>
      </c>
      <c r="B255" s="66">
        <f>$B235+($C235-$B235)*(1-Q235)</f>
        <v>2.4395360251592355</v>
      </c>
      <c r="C255" s="66">
        <f t="shared" ref="C255:AC255" si="191">$B235+($C235-$B235)*(1-R235)</f>
        <v>2.437212992466212</v>
      </c>
      <c r="D255" s="66">
        <f t="shared" si="191"/>
        <v>2.4338876229075299</v>
      </c>
      <c r="E255" s="66">
        <f t="shared" si="191"/>
        <v>2.4291304479033946</v>
      </c>
      <c r="F255" s="66">
        <f t="shared" si="191"/>
        <v>2.422331395099703</v>
      </c>
      <c r="G255" s="66">
        <f t="shared" si="191"/>
        <v>2.4126276774125932</v>
      </c>
      <c r="H255" s="66">
        <f t="shared" si="191"/>
        <v>2.3988072028436171</v>
      </c>
      <c r="I255" s="66">
        <f t="shared" si="191"/>
        <v>2.379184110145415</v>
      </c>
      <c r="J255" s="66">
        <f t="shared" si="191"/>
        <v>2.3514487542753191</v>
      </c>
      <c r="K255" s="66">
        <f t="shared" si="191"/>
        <v>2.3125088150209741</v>
      </c>
      <c r="L255" s="66">
        <f t="shared" si="191"/>
        <v>2.2583681638217614</v>
      </c>
      <c r="M255" s="66">
        <f t="shared" si="191"/>
        <v>2.1841433564334305</v>
      </c>
      <c r="N255" s="66">
        <f t="shared" si="191"/>
        <v>2.0843931689123196</v>
      </c>
      <c r="O255" s="66">
        <f t="shared" si="191"/>
        <v>1.9540004035032079</v>
      </c>
      <c r="P255" s="66">
        <f t="shared" si="191"/>
        <v>1.7897927547083285</v>
      </c>
      <c r="Q255" s="66">
        <f t="shared" si="191"/>
        <v>1.5927482897357697</v>
      </c>
      <c r="R255" s="66">
        <f t="shared" si="191"/>
        <v>1.3699356000755636</v>
      </c>
      <c r="S255" s="66">
        <f t="shared" si="191"/>
        <v>1.1347131577787466</v>
      </c>
      <c r="T255" s="66">
        <f t="shared" si="191"/>
        <v>0.90411945317509268</v>
      </c>
      <c r="U255" s="66">
        <f t="shared" si="191"/>
        <v>0.69420525743630557</v>
      </c>
      <c r="V255" s="66">
        <f t="shared" si="191"/>
        <v>0.51580808341464834</v>
      </c>
      <c r="W255" s="66">
        <f t="shared" si="191"/>
        <v>0.37294389614701329</v>
      </c>
      <c r="X255" s="66">
        <f t="shared" si="191"/>
        <v>0.26393218049669054</v>
      </c>
      <c r="Y255" s="66">
        <f t="shared" si="191"/>
        <v>0.18379982674147044</v>
      </c>
      <c r="Z255" s="66">
        <f t="shared" si="191"/>
        <v>0.12650635305435332</v>
      </c>
      <c r="AA255" s="66">
        <f t="shared" si="191"/>
        <v>8.6352089079855254E-2</v>
      </c>
      <c r="AB255" s="66">
        <f t="shared" si="191"/>
        <v>5.8603024599529263E-2</v>
      </c>
      <c r="AC255" s="66">
        <f t="shared" si="191"/>
        <v>3.9612956986719627E-2</v>
      </c>
    </row>
    <row r="256" spans="1:44" x14ac:dyDescent="0.3">
      <c r="A256" s="30" t="str">
        <f>A236</f>
        <v>Lifetime vehicle</v>
      </c>
      <c r="B256" s="62">
        <f>$B236+($C236-$B236)*(1-Q236)</f>
        <v>25</v>
      </c>
      <c r="C256" s="62">
        <f t="shared" ref="C256:L258" si="192">$B236+($C236-$B236)*(1-R236)</f>
        <v>25</v>
      </c>
      <c r="D256" s="62">
        <f t="shared" si="192"/>
        <v>25</v>
      </c>
      <c r="E256" s="62">
        <f t="shared" si="192"/>
        <v>25</v>
      </c>
      <c r="F256" s="62">
        <f t="shared" si="192"/>
        <v>25</v>
      </c>
      <c r="G256" s="62">
        <f t="shared" si="192"/>
        <v>25</v>
      </c>
      <c r="H256" s="62">
        <f t="shared" si="192"/>
        <v>25</v>
      </c>
      <c r="I256" s="62">
        <f t="shared" si="192"/>
        <v>25</v>
      </c>
      <c r="J256" s="62">
        <f t="shared" si="192"/>
        <v>25</v>
      </c>
      <c r="K256" s="62">
        <f t="shared" si="192"/>
        <v>25</v>
      </c>
      <c r="L256" s="62">
        <f t="shared" si="192"/>
        <v>25</v>
      </c>
      <c r="M256" s="62">
        <f t="shared" ref="M256:V258" si="193">$B236+($C236-$B236)*(1-AB236)</f>
        <v>25</v>
      </c>
      <c r="N256" s="62">
        <f t="shared" si="193"/>
        <v>25</v>
      </c>
      <c r="O256" s="62">
        <f t="shared" si="193"/>
        <v>25</v>
      </c>
      <c r="P256" s="62">
        <f t="shared" si="193"/>
        <v>25</v>
      </c>
      <c r="Q256" s="62">
        <f t="shared" si="193"/>
        <v>25</v>
      </c>
      <c r="R256" s="62">
        <f t="shared" si="193"/>
        <v>25</v>
      </c>
      <c r="S256" s="62">
        <f t="shared" si="193"/>
        <v>25</v>
      </c>
      <c r="T256" s="62">
        <f t="shared" si="193"/>
        <v>25</v>
      </c>
      <c r="U256" s="62">
        <f t="shared" si="193"/>
        <v>25</v>
      </c>
      <c r="V256" s="62">
        <f t="shared" si="193"/>
        <v>25</v>
      </c>
      <c r="W256" s="62">
        <f t="shared" ref="W256:AC258" si="194">$B236+($C236-$B236)*(1-AL236)</f>
        <v>25</v>
      </c>
      <c r="X256" s="62">
        <f t="shared" si="194"/>
        <v>25</v>
      </c>
      <c r="Y256" s="62">
        <f t="shared" si="194"/>
        <v>25</v>
      </c>
      <c r="Z256" s="62">
        <f t="shared" si="194"/>
        <v>25</v>
      </c>
      <c r="AA256" s="62">
        <f t="shared" si="194"/>
        <v>25</v>
      </c>
      <c r="AB256" s="62">
        <f t="shared" si="194"/>
        <v>25</v>
      </c>
      <c r="AC256" s="62">
        <f t="shared" si="194"/>
        <v>25</v>
      </c>
    </row>
    <row r="257" spans="1:29" x14ac:dyDescent="0.3">
      <c r="A257" s="30" t="str">
        <f>A237</f>
        <v>Lifetime costumization</v>
      </c>
      <c r="B257" s="62">
        <f>$B237+($C237-$B237)*(1-Q237)</f>
        <v>25</v>
      </c>
      <c r="C257" s="62">
        <f t="shared" si="192"/>
        <v>25</v>
      </c>
      <c r="D257" s="62">
        <f t="shared" si="192"/>
        <v>25</v>
      </c>
      <c r="E257" s="62">
        <f t="shared" si="192"/>
        <v>25</v>
      </c>
      <c r="F257" s="62">
        <f t="shared" si="192"/>
        <v>25</v>
      </c>
      <c r="G257" s="62">
        <f t="shared" si="192"/>
        <v>25</v>
      </c>
      <c r="H257" s="62">
        <f t="shared" si="192"/>
        <v>25</v>
      </c>
      <c r="I257" s="62">
        <f t="shared" si="192"/>
        <v>25</v>
      </c>
      <c r="J257" s="62">
        <f t="shared" si="192"/>
        <v>25</v>
      </c>
      <c r="K257" s="62">
        <f t="shared" si="192"/>
        <v>25</v>
      </c>
      <c r="L257" s="62">
        <f t="shared" si="192"/>
        <v>25</v>
      </c>
      <c r="M257" s="62">
        <f t="shared" si="193"/>
        <v>25</v>
      </c>
      <c r="N257" s="62">
        <f t="shared" si="193"/>
        <v>25</v>
      </c>
      <c r="O257" s="62">
        <f t="shared" si="193"/>
        <v>25</v>
      </c>
      <c r="P257" s="62">
        <f t="shared" si="193"/>
        <v>25</v>
      </c>
      <c r="Q257" s="62">
        <f t="shared" si="193"/>
        <v>25</v>
      </c>
      <c r="R257" s="62">
        <f t="shared" si="193"/>
        <v>25</v>
      </c>
      <c r="S257" s="62">
        <f t="shared" si="193"/>
        <v>25</v>
      </c>
      <c r="T257" s="62">
        <f t="shared" si="193"/>
        <v>25</v>
      </c>
      <c r="U257" s="62">
        <f t="shared" si="193"/>
        <v>25</v>
      </c>
      <c r="V257" s="62">
        <f t="shared" si="193"/>
        <v>25</v>
      </c>
      <c r="W257" s="62">
        <f t="shared" si="194"/>
        <v>25</v>
      </c>
      <c r="X257" s="62">
        <f t="shared" si="194"/>
        <v>25</v>
      </c>
      <c r="Y257" s="62">
        <f t="shared" si="194"/>
        <v>25</v>
      </c>
      <c r="Z257" s="62">
        <f t="shared" si="194"/>
        <v>25</v>
      </c>
      <c r="AA257" s="62">
        <f t="shared" si="194"/>
        <v>25</v>
      </c>
      <c r="AB257" s="62">
        <f t="shared" si="194"/>
        <v>25</v>
      </c>
      <c r="AC257" s="62">
        <f t="shared" si="194"/>
        <v>25</v>
      </c>
    </row>
    <row r="258" spans="1:29" x14ac:dyDescent="0.3">
      <c r="A258" s="30" t="str">
        <f>A238</f>
        <v>Tonnage .</v>
      </c>
      <c r="B258" s="62">
        <f>$B238+($C238-$B238)*(1-Q238)</f>
        <v>9450</v>
      </c>
      <c r="C258" s="62">
        <f t="shared" si="192"/>
        <v>9450</v>
      </c>
      <c r="D258" s="62">
        <f t="shared" si="192"/>
        <v>9450</v>
      </c>
      <c r="E258" s="62">
        <f t="shared" si="192"/>
        <v>9450</v>
      </c>
      <c r="F258" s="62">
        <f t="shared" si="192"/>
        <v>9450</v>
      </c>
      <c r="G258" s="62">
        <f t="shared" si="192"/>
        <v>9450</v>
      </c>
      <c r="H258" s="62">
        <f t="shared" si="192"/>
        <v>9450</v>
      </c>
      <c r="I258" s="62">
        <f t="shared" si="192"/>
        <v>9450</v>
      </c>
      <c r="J258" s="62">
        <f t="shared" si="192"/>
        <v>9450</v>
      </c>
      <c r="K258" s="62">
        <f t="shared" si="192"/>
        <v>9450</v>
      </c>
      <c r="L258" s="62">
        <f t="shared" si="192"/>
        <v>9450</v>
      </c>
      <c r="M258" s="62">
        <f t="shared" si="193"/>
        <v>9450</v>
      </c>
      <c r="N258" s="62">
        <f t="shared" si="193"/>
        <v>9450</v>
      </c>
      <c r="O258" s="62">
        <f t="shared" si="193"/>
        <v>9450</v>
      </c>
      <c r="P258" s="62">
        <f t="shared" si="193"/>
        <v>9450</v>
      </c>
      <c r="Q258" s="62">
        <f t="shared" si="193"/>
        <v>9450</v>
      </c>
      <c r="R258" s="62">
        <f t="shared" si="193"/>
        <v>9450</v>
      </c>
      <c r="S258" s="62">
        <f t="shared" si="193"/>
        <v>9450</v>
      </c>
      <c r="T258" s="62">
        <f t="shared" si="193"/>
        <v>9450</v>
      </c>
      <c r="U258" s="62">
        <f t="shared" si="193"/>
        <v>9450</v>
      </c>
      <c r="V258" s="62">
        <f t="shared" si="193"/>
        <v>9450</v>
      </c>
      <c r="W258" s="62">
        <f t="shared" si="194"/>
        <v>9450</v>
      </c>
      <c r="X258" s="62">
        <f t="shared" si="194"/>
        <v>9450</v>
      </c>
      <c r="Y258" s="62">
        <f t="shared" si="194"/>
        <v>9450</v>
      </c>
      <c r="Z258" s="62">
        <f t="shared" si="194"/>
        <v>9450</v>
      </c>
      <c r="AA258" s="62">
        <f t="shared" si="194"/>
        <v>9450</v>
      </c>
      <c r="AB258" s="62">
        <f t="shared" si="194"/>
        <v>9450</v>
      </c>
      <c r="AC258" s="62">
        <f t="shared" si="194"/>
        <v>9450</v>
      </c>
    </row>
    <row r="259" spans="1:29" x14ac:dyDescent="0.3">
      <c r="A259" s="30" t="str">
        <f>A239</f>
        <v>Market failure (av. utilization)</v>
      </c>
      <c r="B259" s="62">
        <f t="shared" ref="B259:K260" si="195">($B239+($C239-$B239)*(1-Q239))*B$44</f>
        <v>3685.5</v>
      </c>
      <c r="C259" s="62">
        <f t="shared" si="195"/>
        <v>3685.5</v>
      </c>
      <c r="D259" s="62">
        <f t="shared" si="195"/>
        <v>3685.5</v>
      </c>
      <c r="E259" s="62">
        <f t="shared" si="195"/>
        <v>3685.5</v>
      </c>
      <c r="F259" s="62">
        <f t="shared" si="195"/>
        <v>3685.5</v>
      </c>
      <c r="G259" s="62">
        <f t="shared" si="195"/>
        <v>3685.5</v>
      </c>
      <c r="H259" s="62">
        <f t="shared" si="195"/>
        <v>3685.5</v>
      </c>
      <c r="I259" s="62">
        <f t="shared" si="195"/>
        <v>3685.5</v>
      </c>
      <c r="J259" s="62">
        <f t="shared" si="195"/>
        <v>3685.5</v>
      </c>
      <c r="K259" s="62">
        <f t="shared" si="195"/>
        <v>3685.5</v>
      </c>
      <c r="L259" s="62">
        <f t="shared" ref="L259:U260" si="196">($B239+($C239-$B239)*(1-AA239))*L$44</f>
        <v>3685.5</v>
      </c>
      <c r="M259" s="62">
        <f t="shared" si="196"/>
        <v>3685.5</v>
      </c>
      <c r="N259" s="62">
        <f t="shared" si="196"/>
        <v>3685.5</v>
      </c>
      <c r="O259" s="62">
        <f t="shared" si="196"/>
        <v>3685.5</v>
      </c>
      <c r="P259" s="62">
        <f t="shared" si="196"/>
        <v>3685.5</v>
      </c>
      <c r="Q259" s="62">
        <f t="shared" si="196"/>
        <v>3685.5</v>
      </c>
      <c r="R259" s="62">
        <f t="shared" si="196"/>
        <v>3685.5</v>
      </c>
      <c r="S259" s="62">
        <f t="shared" si="196"/>
        <v>3685.5</v>
      </c>
      <c r="T259" s="62">
        <f t="shared" si="196"/>
        <v>3685.5</v>
      </c>
      <c r="U259" s="62">
        <f t="shared" si="196"/>
        <v>3685.5</v>
      </c>
      <c r="V259" s="62">
        <f t="shared" ref="V259:AC260" si="197">($B239+($C239-$B239)*(1-AK239))*V$44</f>
        <v>3685.5</v>
      </c>
      <c r="W259" s="62">
        <f t="shared" si="197"/>
        <v>3685.5</v>
      </c>
      <c r="X259" s="62">
        <f t="shared" si="197"/>
        <v>3685.5</v>
      </c>
      <c r="Y259" s="62">
        <f t="shared" si="197"/>
        <v>3685.5</v>
      </c>
      <c r="Z259" s="62">
        <f t="shared" si="197"/>
        <v>3685.5</v>
      </c>
      <c r="AA259" s="62">
        <f t="shared" si="197"/>
        <v>3685.5</v>
      </c>
      <c r="AB259" s="62">
        <f t="shared" si="197"/>
        <v>3685.5</v>
      </c>
      <c r="AC259" s="62">
        <f t="shared" si="197"/>
        <v>3685.5</v>
      </c>
    </row>
    <row r="260" spans="1:29" x14ac:dyDescent="0.3">
      <c r="A260" s="30" t="s">
        <v>73</v>
      </c>
      <c r="B260" s="62">
        <f t="shared" si="195"/>
        <v>944.5849078871745</v>
      </c>
      <c r="C260" s="62">
        <f t="shared" si="195"/>
        <v>944.40532910583465</v>
      </c>
      <c r="D260" s="62">
        <f t="shared" si="195"/>
        <v>944.14826608014141</v>
      </c>
      <c r="E260" s="62">
        <f t="shared" si="195"/>
        <v>943.78051934440748</v>
      </c>
      <c r="F260" s="62">
        <f t="shared" si="195"/>
        <v>943.25492811169715</v>
      </c>
      <c r="G260" s="62">
        <f t="shared" si="195"/>
        <v>942.50479583764434</v>
      </c>
      <c r="H260" s="62">
        <f t="shared" si="195"/>
        <v>941.43642345180217</v>
      </c>
      <c r="I260" s="62">
        <f t="shared" si="195"/>
        <v>939.91948781699818</v>
      </c>
      <c r="J260" s="62">
        <f t="shared" si="195"/>
        <v>937.77544506541028</v>
      </c>
      <c r="K260" s="62">
        <f t="shared" si="195"/>
        <v>934.76524772391656</v>
      </c>
      <c r="L260" s="62">
        <f t="shared" si="196"/>
        <v>930.57998068376753</v>
      </c>
      <c r="M260" s="62">
        <f t="shared" si="196"/>
        <v>924.84213614287444</v>
      </c>
      <c r="N260" s="62">
        <f t="shared" si="196"/>
        <v>917.13108792247806</v>
      </c>
      <c r="O260" s="62">
        <f t="shared" si="196"/>
        <v>907.05125823345929</v>
      </c>
      <c r="P260" s="62">
        <f t="shared" si="196"/>
        <v>894.35741645248754</v>
      </c>
      <c r="Q260" s="62">
        <f t="shared" si="196"/>
        <v>879.12517069210696</v>
      </c>
      <c r="R260" s="62">
        <f t="shared" si="196"/>
        <v>861.90094849480568</v>
      </c>
      <c r="S260" s="62">
        <f t="shared" si="196"/>
        <v>843.71740779032029</v>
      </c>
      <c r="T260" s="62">
        <f t="shared" si="196"/>
        <v>825.89168515554024</v>
      </c>
      <c r="U260" s="62">
        <f t="shared" si="196"/>
        <v>809.66456292436703</v>
      </c>
      <c r="V260" s="62">
        <f t="shared" si="197"/>
        <v>795.87381981451244</v>
      </c>
      <c r="W260" s="62">
        <f t="shared" si="197"/>
        <v>784.82990436567866</v>
      </c>
      <c r="X260" s="62">
        <f t="shared" si="197"/>
        <v>776.40290671427192</v>
      </c>
      <c r="Y260" s="62">
        <f t="shared" si="197"/>
        <v>770.20838759429932</v>
      </c>
      <c r="Z260" s="62">
        <f t="shared" si="197"/>
        <v>765.77939603754794</v>
      </c>
      <c r="AA260" s="62">
        <f t="shared" si="197"/>
        <v>762.6753270281904</v>
      </c>
      <c r="AB260" s="62">
        <f t="shared" si="197"/>
        <v>760.53022455173243</v>
      </c>
      <c r="AC260" s="62">
        <f t="shared" si="197"/>
        <v>759.0622240325356</v>
      </c>
    </row>
    <row r="261" spans="1:29" x14ac:dyDescent="0.3">
      <c r="A261" s="30" t="str">
        <f>A241</f>
        <v>Annual Mileage</v>
      </c>
      <c r="B261" s="62">
        <f t="shared" ref="B261:AC261" si="198">$B241+($C241-$B241)*(1-Q241)</f>
        <v>120000</v>
      </c>
      <c r="C261" s="62">
        <f t="shared" si="198"/>
        <v>120000</v>
      </c>
      <c r="D261" s="62">
        <f t="shared" si="198"/>
        <v>120000</v>
      </c>
      <c r="E261" s="62">
        <f t="shared" si="198"/>
        <v>120000</v>
      </c>
      <c r="F261" s="62">
        <f t="shared" si="198"/>
        <v>120000</v>
      </c>
      <c r="G261" s="62">
        <f t="shared" si="198"/>
        <v>120000</v>
      </c>
      <c r="H261" s="62">
        <f t="shared" si="198"/>
        <v>120000</v>
      </c>
      <c r="I261" s="62">
        <f t="shared" si="198"/>
        <v>120000</v>
      </c>
      <c r="J261" s="62">
        <f t="shared" si="198"/>
        <v>120000</v>
      </c>
      <c r="K261" s="62">
        <f t="shared" si="198"/>
        <v>120000</v>
      </c>
      <c r="L261" s="62">
        <f t="shared" si="198"/>
        <v>120000</v>
      </c>
      <c r="M261" s="62">
        <f t="shared" si="198"/>
        <v>120000</v>
      </c>
      <c r="N261" s="62">
        <f t="shared" si="198"/>
        <v>120000</v>
      </c>
      <c r="O261" s="62">
        <f t="shared" si="198"/>
        <v>120000</v>
      </c>
      <c r="P261" s="62">
        <f t="shared" si="198"/>
        <v>120000</v>
      </c>
      <c r="Q261" s="62">
        <f t="shared" si="198"/>
        <v>120000</v>
      </c>
      <c r="R261" s="62">
        <f t="shared" si="198"/>
        <v>120000</v>
      </c>
      <c r="S261" s="62">
        <f t="shared" si="198"/>
        <v>120000</v>
      </c>
      <c r="T261" s="62">
        <f t="shared" si="198"/>
        <v>120000</v>
      </c>
      <c r="U261" s="62">
        <f t="shared" si="198"/>
        <v>120000</v>
      </c>
      <c r="V261" s="62">
        <f t="shared" si="198"/>
        <v>120000</v>
      </c>
      <c r="W261" s="62">
        <f t="shared" si="198"/>
        <v>120000</v>
      </c>
      <c r="X261" s="62">
        <f t="shared" si="198"/>
        <v>120000</v>
      </c>
      <c r="Y261" s="62">
        <f t="shared" si="198"/>
        <v>120000</v>
      </c>
      <c r="Z261" s="62">
        <f t="shared" si="198"/>
        <v>120000</v>
      </c>
      <c r="AA261" s="62">
        <f t="shared" si="198"/>
        <v>120000</v>
      </c>
      <c r="AB261" s="62">
        <f t="shared" si="198"/>
        <v>120000</v>
      </c>
      <c r="AC261" s="62">
        <f t="shared" si="198"/>
        <v>120000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2344997.5856047659</v>
      </c>
      <c r="C264" s="63">
        <f t="shared" ref="C264:AC264" si="199">((1+C249)^C256)*C249/(((1+C249)^C256)-1)*(C245)</f>
        <v>2344217.1490089451</v>
      </c>
      <c r="D264" s="63">
        <f t="shared" si="199"/>
        <v>2343099.9714048514</v>
      </c>
      <c r="E264" s="63">
        <f t="shared" si="199"/>
        <v>2341501.7702787537</v>
      </c>
      <c r="F264" s="63">
        <f t="shared" si="199"/>
        <v>2339217.5882089725</v>
      </c>
      <c r="G264" s="63">
        <f t="shared" si="199"/>
        <v>2335957.5667631798</v>
      </c>
      <c r="H264" s="63">
        <f t="shared" si="199"/>
        <v>2331314.496453566</v>
      </c>
      <c r="I264" s="63">
        <f t="shared" si="199"/>
        <v>2324722.0022063456</v>
      </c>
      <c r="J264" s="63">
        <f t="shared" si="199"/>
        <v>2315404.1450861497</v>
      </c>
      <c r="K264" s="63">
        <f t="shared" si="199"/>
        <v>2302322.0417974619</v>
      </c>
      <c r="L264" s="63">
        <f t="shared" si="199"/>
        <v>2284133.1692756363</v>
      </c>
      <c r="M264" s="63">
        <f t="shared" si="199"/>
        <v>2259196.9054952883</v>
      </c>
      <c r="N264" s="63">
        <f t="shared" si="199"/>
        <v>2225685.2390364991</v>
      </c>
      <c r="O264" s="63">
        <f t="shared" si="199"/>
        <v>2181879.0169970216</v>
      </c>
      <c r="P264" s="63">
        <f t="shared" si="199"/>
        <v>2126712.4845508407</v>
      </c>
      <c r="Q264" s="63">
        <f t="shared" si="199"/>
        <v>2060514.2291709851</v>
      </c>
      <c r="R264" s="63">
        <f t="shared" si="199"/>
        <v>1985658.9860457699</v>
      </c>
      <c r="S264" s="63">
        <f t="shared" si="199"/>
        <v>1906634.6130018148</v>
      </c>
      <c r="T264" s="63">
        <f t="shared" si="199"/>
        <v>1829165.2918084206</v>
      </c>
      <c r="U264" s="63">
        <f t="shared" si="199"/>
        <v>1758643.3741320807</v>
      </c>
      <c r="V264" s="63">
        <f t="shared" si="199"/>
        <v>1698709.7866213897</v>
      </c>
      <c r="W264" s="63">
        <f t="shared" si="199"/>
        <v>1650713.7165227169</v>
      </c>
      <c r="X264" s="63">
        <f t="shared" si="199"/>
        <v>1614090.584819823</v>
      </c>
      <c r="Y264" s="63">
        <f t="shared" si="199"/>
        <v>1587169.645838788</v>
      </c>
      <c r="Z264" s="63">
        <f t="shared" si="199"/>
        <v>1567921.5639235359</v>
      </c>
      <c r="AA264" s="63">
        <f t="shared" si="199"/>
        <v>1554431.5010509547</v>
      </c>
      <c r="AB264" s="63">
        <f t="shared" si="199"/>
        <v>1545109.0384419363</v>
      </c>
      <c r="AC264" s="63">
        <f t="shared" si="199"/>
        <v>1538729.2127224542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-117417.38992255888</v>
      </c>
      <c r="C265" s="62">
        <f t="shared" ref="C265:AC265" si="200">((1+C249)^C256)*C249/(((1+C249)^C256)-1)*(C246)</f>
        <v>-117450.83720523692</v>
      </c>
      <c r="D265" s="62">
        <f t="shared" si="200"/>
        <v>-117498.71624541239</v>
      </c>
      <c r="E265" s="62">
        <f t="shared" si="200"/>
        <v>-117567.21057938797</v>
      </c>
      <c r="F265" s="62">
        <f t="shared" si="200"/>
        <v>-117665.10409666432</v>
      </c>
      <c r="G265" s="62">
        <f t="shared" si="200"/>
        <v>-117804.81930148401</v>
      </c>
      <c r="H265" s="62">
        <f t="shared" si="200"/>
        <v>-118003.80802903889</v>
      </c>
      <c r="I265" s="62">
        <f t="shared" si="200"/>
        <v>-118286.34349677691</v>
      </c>
      <c r="J265" s="62">
        <f t="shared" si="200"/>
        <v>-118685.68023049959</v>
      </c>
      <c r="K265" s="62">
        <f t="shared" si="200"/>
        <v>-119246.34180001476</v>
      </c>
      <c r="L265" s="62">
        <f t="shared" si="200"/>
        <v>-120025.864908093</v>
      </c>
      <c r="M265" s="62">
        <f t="shared" si="200"/>
        <v>-121094.56192725079</v>
      </c>
      <c r="N265" s="62">
        <f t="shared" si="200"/>
        <v>-122530.77620405605</v>
      </c>
      <c r="O265" s="62">
        <f t="shared" si="200"/>
        <v>-124408.18572003364</v>
      </c>
      <c r="P265" s="62">
        <f t="shared" si="200"/>
        <v>-126772.46568201284</v>
      </c>
      <c r="Q265" s="62">
        <f t="shared" si="200"/>
        <v>-129609.53376972093</v>
      </c>
      <c r="R265" s="62">
        <f t="shared" si="200"/>
        <v>-132817.61561794442</v>
      </c>
      <c r="S265" s="62">
        <f t="shared" si="200"/>
        <v>-136204.37446268537</v>
      </c>
      <c r="T265" s="62">
        <f t="shared" si="200"/>
        <v>-139524.48822811653</v>
      </c>
      <c r="U265" s="62">
        <f t="shared" si="200"/>
        <v>-142546.8561285311</v>
      </c>
      <c r="V265" s="62">
        <f t="shared" si="200"/>
        <v>-145115.43845041786</v>
      </c>
      <c r="W265" s="62">
        <f t="shared" si="200"/>
        <v>-147172.41288321812</v>
      </c>
      <c r="X265" s="62">
        <f t="shared" si="200"/>
        <v>-148741.975670485</v>
      </c>
      <c r="Y265" s="62">
        <f t="shared" si="200"/>
        <v>-149895.73019824366</v>
      </c>
      <c r="Z265" s="62">
        <f t="shared" si="200"/>
        <v>-150720.64799461162</v>
      </c>
      <c r="AA265" s="62">
        <f t="shared" si="200"/>
        <v>-151298.79354629366</v>
      </c>
      <c r="AB265" s="62">
        <f t="shared" si="200"/>
        <v>-151698.32765810873</v>
      </c>
      <c r="AC265" s="62">
        <f t="shared" si="200"/>
        <v>-151971.74876037225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201">((1+C249)^C257)*C249/(((1+C249)^C257)-1)*(C247)</f>
        <v>78226.718212273947</v>
      </c>
      <c r="D266" s="62">
        <f t="shared" si="201"/>
        <v>78226.718212273947</v>
      </c>
      <c r="E266" s="62">
        <f t="shared" si="201"/>
        <v>78226.718212273947</v>
      </c>
      <c r="F266" s="62">
        <f t="shared" si="201"/>
        <v>78226.718212273947</v>
      </c>
      <c r="G266" s="62">
        <f t="shared" si="201"/>
        <v>78226.718212273947</v>
      </c>
      <c r="H266" s="62">
        <f t="shared" si="201"/>
        <v>78226.718212273947</v>
      </c>
      <c r="I266" s="62">
        <f t="shared" si="201"/>
        <v>78226.718212273947</v>
      </c>
      <c r="J266" s="62">
        <f t="shared" si="201"/>
        <v>78226.718212273947</v>
      </c>
      <c r="K266" s="62">
        <f t="shared" si="201"/>
        <v>78226.718212273947</v>
      </c>
      <c r="L266" s="62">
        <f t="shared" si="201"/>
        <v>78226.718212273947</v>
      </c>
      <c r="M266" s="62">
        <f t="shared" si="201"/>
        <v>78226.718212273947</v>
      </c>
      <c r="N266" s="62">
        <f t="shared" si="201"/>
        <v>78226.718212273947</v>
      </c>
      <c r="O266" s="62">
        <f t="shared" si="201"/>
        <v>78226.718212273947</v>
      </c>
      <c r="P266" s="62">
        <f t="shared" si="201"/>
        <v>78226.718212273947</v>
      </c>
      <c r="Q266" s="62">
        <f t="shared" si="201"/>
        <v>78226.718212273947</v>
      </c>
      <c r="R266" s="62">
        <f t="shared" si="201"/>
        <v>78226.718212273947</v>
      </c>
      <c r="S266" s="62">
        <f t="shared" si="201"/>
        <v>78226.718212273947</v>
      </c>
      <c r="T266" s="62">
        <f t="shared" si="201"/>
        <v>78226.718212273947</v>
      </c>
      <c r="U266" s="62">
        <f t="shared" si="201"/>
        <v>78226.718212273947</v>
      </c>
      <c r="V266" s="62">
        <f t="shared" si="201"/>
        <v>78226.718212273947</v>
      </c>
      <c r="W266" s="62">
        <f t="shared" si="201"/>
        <v>78226.718212273947</v>
      </c>
      <c r="X266" s="62">
        <f t="shared" si="201"/>
        <v>78226.718212273947</v>
      </c>
      <c r="Y266" s="62">
        <f t="shared" si="201"/>
        <v>78226.718212273947</v>
      </c>
      <c r="Z266" s="62">
        <f t="shared" si="201"/>
        <v>78226.718212273947</v>
      </c>
      <c r="AA266" s="62">
        <f t="shared" si="201"/>
        <v>78226.718212273947</v>
      </c>
      <c r="AB266" s="62">
        <f t="shared" si="201"/>
        <v>78226.718212273947</v>
      </c>
      <c r="AC266" s="62">
        <f t="shared" si="201"/>
        <v>78226.718212273947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202">((1+C249)^C257)*C249/(((1+C249)^C257)-1)*(C248)</f>
        <v>-7822.6718212273945</v>
      </c>
      <c r="D267" s="62">
        <f t="shared" si="202"/>
        <v>-7822.6718212273945</v>
      </c>
      <c r="E267" s="62">
        <f t="shared" si="202"/>
        <v>-7822.6718212273945</v>
      </c>
      <c r="F267" s="62">
        <f t="shared" si="202"/>
        <v>-7822.6718212273945</v>
      </c>
      <c r="G267" s="62">
        <f t="shared" si="202"/>
        <v>-7822.6718212273945</v>
      </c>
      <c r="H267" s="62">
        <f t="shared" si="202"/>
        <v>-7822.6718212273945</v>
      </c>
      <c r="I267" s="62">
        <f t="shared" si="202"/>
        <v>-7822.6718212273945</v>
      </c>
      <c r="J267" s="62">
        <f t="shared" si="202"/>
        <v>-7822.6718212273945</v>
      </c>
      <c r="K267" s="62">
        <f t="shared" si="202"/>
        <v>-7822.6718212273945</v>
      </c>
      <c r="L267" s="62">
        <f t="shared" si="202"/>
        <v>-7822.6718212273945</v>
      </c>
      <c r="M267" s="62">
        <f t="shared" si="202"/>
        <v>-7822.6718212273945</v>
      </c>
      <c r="N267" s="62">
        <f t="shared" si="202"/>
        <v>-7822.6718212273945</v>
      </c>
      <c r="O267" s="62">
        <f t="shared" si="202"/>
        <v>-7822.6718212273945</v>
      </c>
      <c r="P267" s="62">
        <f t="shared" si="202"/>
        <v>-7822.6718212273945</v>
      </c>
      <c r="Q267" s="62">
        <f t="shared" si="202"/>
        <v>-7822.6718212273945</v>
      </c>
      <c r="R267" s="62">
        <f t="shared" si="202"/>
        <v>-7822.6718212273945</v>
      </c>
      <c r="S267" s="62">
        <f t="shared" si="202"/>
        <v>-7822.6718212273945</v>
      </c>
      <c r="T267" s="62">
        <f t="shared" si="202"/>
        <v>-7822.6718212273945</v>
      </c>
      <c r="U267" s="62">
        <f t="shared" si="202"/>
        <v>-7822.6718212273945</v>
      </c>
      <c r="V267" s="62">
        <f t="shared" si="202"/>
        <v>-7822.6718212273945</v>
      </c>
      <c r="W267" s="62">
        <f t="shared" si="202"/>
        <v>-7822.6718212273945</v>
      </c>
      <c r="X267" s="62">
        <f t="shared" si="202"/>
        <v>-7822.6718212273945</v>
      </c>
      <c r="Y267" s="62">
        <f t="shared" si="202"/>
        <v>-7822.6718212273945</v>
      </c>
      <c r="Z267" s="62">
        <f t="shared" si="202"/>
        <v>-7822.6718212273945</v>
      </c>
      <c r="AA267" s="62">
        <f t="shared" si="202"/>
        <v>-7822.6718212273945</v>
      </c>
      <c r="AB267" s="62">
        <f t="shared" si="202"/>
        <v>-7822.6718212273945</v>
      </c>
      <c r="AC267" s="62">
        <f t="shared" si="202"/>
        <v>-7822.6718212273945</v>
      </c>
    </row>
    <row r="268" spans="1:29" x14ac:dyDescent="0.3">
      <c r="A268" s="30" t="str">
        <f t="shared" ref="A268:AC268" si="203">A250</f>
        <v>Opex fix (admin, crew, insurance)</v>
      </c>
      <c r="B268" s="62">
        <f t="shared" si="203"/>
        <v>1208235.294117647</v>
      </c>
      <c r="C268" s="62">
        <f t="shared" si="203"/>
        <v>1208235.294117647</v>
      </c>
      <c r="D268" s="62">
        <f t="shared" si="203"/>
        <v>1208235.294117647</v>
      </c>
      <c r="E268" s="62">
        <f t="shared" si="203"/>
        <v>1208235.294117647</v>
      </c>
      <c r="F268" s="62">
        <f t="shared" si="203"/>
        <v>1208235.294117647</v>
      </c>
      <c r="G268" s="62">
        <f t="shared" si="203"/>
        <v>1208235.294117647</v>
      </c>
      <c r="H268" s="62">
        <f t="shared" si="203"/>
        <v>1208235.294117647</v>
      </c>
      <c r="I268" s="62">
        <f t="shared" si="203"/>
        <v>1208235.294117647</v>
      </c>
      <c r="J268" s="62">
        <f t="shared" si="203"/>
        <v>1208235.294117647</v>
      </c>
      <c r="K268" s="62">
        <f t="shared" si="203"/>
        <v>1208235.294117647</v>
      </c>
      <c r="L268" s="62">
        <f t="shared" si="203"/>
        <v>1208235.294117647</v>
      </c>
      <c r="M268" s="62">
        <f t="shared" si="203"/>
        <v>1208235.294117647</v>
      </c>
      <c r="N268" s="62">
        <f t="shared" si="203"/>
        <v>1208235.294117647</v>
      </c>
      <c r="O268" s="62">
        <f t="shared" si="203"/>
        <v>1208235.294117647</v>
      </c>
      <c r="P268" s="62">
        <f t="shared" si="203"/>
        <v>1208235.294117647</v>
      </c>
      <c r="Q268" s="62">
        <f t="shared" si="203"/>
        <v>1208235.294117647</v>
      </c>
      <c r="R268" s="62">
        <f t="shared" si="203"/>
        <v>1208235.294117647</v>
      </c>
      <c r="S268" s="62">
        <f t="shared" si="203"/>
        <v>1208235.294117647</v>
      </c>
      <c r="T268" s="62">
        <f t="shared" si="203"/>
        <v>1208235.294117647</v>
      </c>
      <c r="U268" s="62">
        <f t="shared" si="203"/>
        <v>1208235.294117647</v>
      </c>
      <c r="V268" s="62">
        <f t="shared" si="203"/>
        <v>1208235.294117647</v>
      </c>
      <c r="W268" s="62">
        <f t="shared" si="203"/>
        <v>1208235.294117647</v>
      </c>
      <c r="X268" s="62">
        <f t="shared" si="203"/>
        <v>1208235.294117647</v>
      </c>
      <c r="Y268" s="62">
        <f t="shared" si="203"/>
        <v>1208235.294117647</v>
      </c>
      <c r="Z268" s="62">
        <f t="shared" si="203"/>
        <v>1208235.294117647</v>
      </c>
      <c r="AA268" s="62">
        <f t="shared" si="203"/>
        <v>1208235.294117647</v>
      </c>
      <c r="AB268" s="62">
        <f t="shared" si="203"/>
        <v>1208235.294117647</v>
      </c>
      <c r="AC268" s="62">
        <f t="shared" si="203"/>
        <v>1208235.294117647</v>
      </c>
    </row>
    <row r="269" spans="1:29" x14ac:dyDescent="0.3">
      <c r="A269" s="30" t="str">
        <f t="shared" ref="A269:AC269" si="204">A251</f>
        <v>Opex maintenance &amp; repair</v>
      </c>
      <c r="B269" s="62">
        <f t="shared" si="204"/>
        <v>338823.5294117647</v>
      </c>
      <c r="C269" s="62">
        <f t="shared" si="204"/>
        <v>338823.5294117647</v>
      </c>
      <c r="D269" s="62">
        <f t="shared" si="204"/>
        <v>338823.5294117647</v>
      </c>
      <c r="E269" s="62">
        <f t="shared" si="204"/>
        <v>338823.5294117647</v>
      </c>
      <c r="F269" s="62">
        <f t="shared" si="204"/>
        <v>338823.5294117647</v>
      </c>
      <c r="G269" s="62">
        <f t="shared" si="204"/>
        <v>338823.5294117647</v>
      </c>
      <c r="H269" s="62">
        <f t="shared" si="204"/>
        <v>338823.5294117647</v>
      </c>
      <c r="I269" s="62">
        <f t="shared" si="204"/>
        <v>338823.5294117647</v>
      </c>
      <c r="J269" s="62">
        <f t="shared" si="204"/>
        <v>338823.5294117647</v>
      </c>
      <c r="K269" s="62">
        <f t="shared" si="204"/>
        <v>338823.5294117647</v>
      </c>
      <c r="L269" s="62">
        <f t="shared" si="204"/>
        <v>338823.5294117647</v>
      </c>
      <c r="M269" s="62">
        <f t="shared" si="204"/>
        <v>338823.5294117647</v>
      </c>
      <c r="N269" s="62">
        <f t="shared" si="204"/>
        <v>338823.5294117647</v>
      </c>
      <c r="O269" s="62">
        <f t="shared" si="204"/>
        <v>338823.5294117647</v>
      </c>
      <c r="P269" s="62">
        <f t="shared" si="204"/>
        <v>338823.5294117647</v>
      </c>
      <c r="Q269" s="62">
        <f t="shared" si="204"/>
        <v>338823.5294117647</v>
      </c>
      <c r="R269" s="62">
        <f t="shared" si="204"/>
        <v>338823.5294117647</v>
      </c>
      <c r="S269" s="62">
        <f t="shared" si="204"/>
        <v>338823.5294117647</v>
      </c>
      <c r="T269" s="62">
        <f t="shared" si="204"/>
        <v>338823.5294117647</v>
      </c>
      <c r="U269" s="62">
        <f t="shared" si="204"/>
        <v>338823.5294117647</v>
      </c>
      <c r="V269" s="62">
        <f t="shared" si="204"/>
        <v>338823.5294117647</v>
      </c>
      <c r="W269" s="62">
        <f t="shared" si="204"/>
        <v>338823.5294117647</v>
      </c>
      <c r="X269" s="62">
        <f t="shared" si="204"/>
        <v>338823.5294117647</v>
      </c>
      <c r="Y269" s="62">
        <f t="shared" si="204"/>
        <v>338823.5294117647</v>
      </c>
      <c r="Z269" s="62">
        <f t="shared" si="204"/>
        <v>338823.5294117647</v>
      </c>
      <c r="AA269" s="62">
        <f t="shared" si="204"/>
        <v>338823.5294117647</v>
      </c>
      <c r="AB269" s="62">
        <f t="shared" si="204"/>
        <v>338823.5294117647</v>
      </c>
      <c r="AC269" s="62">
        <f t="shared" si="204"/>
        <v>338823.5294117647</v>
      </c>
    </row>
    <row r="270" spans="1:29" x14ac:dyDescent="0.3">
      <c r="A270" s="30" t="str">
        <f>A252</f>
        <v>Opex var (mode-fees)</v>
      </c>
      <c r="B270" s="62">
        <f>B252*B261</f>
        <v>97536.682916217906</v>
      </c>
      <c r="C270" s="62">
        <f t="shared" ref="C270:AC270" si="205">C252*C261</f>
        <v>97536.682916217906</v>
      </c>
      <c r="D270" s="62">
        <f t="shared" si="205"/>
        <v>97536.682916217906</v>
      </c>
      <c r="E270" s="62">
        <f t="shared" si="205"/>
        <v>97536.682916217906</v>
      </c>
      <c r="F270" s="62">
        <f t="shared" si="205"/>
        <v>97536.682916217906</v>
      </c>
      <c r="G270" s="62">
        <f t="shared" si="205"/>
        <v>97536.682916217906</v>
      </c>
      <c r="H270" s="62">
        <f t="shared" si="205"/>
        <v>97536.682916217906</v>
      </c>
      <c r="I270" s="62">
        <f t="shared" si="205"/>
        <v>97536.682916217906</v>
      </c>
      <c r="J270" s="62">
        <f t="shared" si="205"/>
        <v>97536.682916217906</v>
      </c>
      <c r="K270" s="62">
        <f t="shared" si="205"/>
        <v>97536.682916217906</v>
      </c>
      <c r="L270" s="62">
        <f t="shared" si="205"/>
        <v>97536.682916217906</v>
      </c>
      <c r="M270" s="62">
        <f t="shared" si="205"/>
        <v>97536.682916217906</v>
      </c>
      <c r="N270" s="62">
        <f t="shared" si="205"/>
        <v>97536.682916217906</v>
      </c>
      <c r="O270" s="62">
        <f t="shared" si="205"/>
        <v>97536.682916217906</v>
      </c>
      <c r="P270" s="62">
        <f t="shared" si="205"/>
        <v>97536.682916217906</v>
      </c>
      <c r="Q270" s="62">
        <f t="shared" si="205"/>
        <v>97536.682916217906</v>
      </c>
      <c r="R270" s="62">
        <f t="shared" si="205"/>
        <v>97536.682916217906</v>
      </c>
      <c r="S270" s="62">
        <f t="shared" si="205"/>
        <v>97536.682916217906</v>
      </c>
      <c r="T270" s="62">
        <f t="shared" si="205"/>
        <v>97536.682916217906</v>
      </c>
      <c r="U270" s="62">
        <f t="shared" si="205"/>
        <v>97536.682916217906</v>
      </c>
      <c r="V270" s="62">
        <f t="shared" si="205"/>
        <v>97536.682916217906</v>
      </c>
      <c r="W270" s="62">
        <f t="shared" si="205"/>
        <v>97536.682916217906</v>
      </c>
      <c r="X270" s="62">
        <f t="shared" si="205"/>
        <v>97536.682916217906</v>
      </c>
      <c r="Y270" s="62">
        <f t="shared" si="205"/>
        <v>97536.682916217906</v>
      </c>
      <c r="Z270" s="62">
        <f t="shared" si="205"/>
        <v>97536.682916217906</v>
      </c>
      <c r="AA270" s="62">
        <f t="shared" si="205"/>
        <v>97536.682916217906</v>
      </c>
      <c r="AB270" s="62">
        <f t="shared" si="205"/>
        <v>97536.682916217906</v>
      </c>
      <c r="AC270" s="62">
        <f t="shared" si="205"/>
        <v>97536.682916217906</v>
      </c>
    </row>
    <row r="271" spans="1:29" x14ac:dyDescent="0.3">
      <c r="A271" s="30" t="str">
        <f>A254</f>
        <v>Fuel Cost</v>
      </c>
      <c r="B271" s="62">
        <f>B253*B254*B261</f>
        <v>14810320.463820536</v>
      </c>
      <c r="C271" s="62">
        <f t="shared" ref="C271:AC271" si="206">C253*C254*C261</f>
        <v>14801110.273609234</v>
      </c>
      <c r="D271" s="62">
        <f t="shared" si="206"/>
        <v>14787929.0550112</v>
      </c>
      <c r="E271" s="62">
        <f t="shared" si="206"/>
        <v>14769078.461440364</v>
      </c>
      <c r="F271" s="62">
        <f t="shared" si="206"/>
        <v>14742149.200480217</v>
      </c>
      <c r="G271" s="62">
        <f t="shared" si="206"/>
        <v>14703740.591732077</v>
      </c>
      <c r="H271" s="62">
        <f t="shared" si="206"/>
        <v>14649088.606300512</v>
      </c>
      <c r="I271" s="62">
        <f t="shared" si="206"/>
        <v>14571594.165850461</v>
      </c>
      <c r="J271" s="62">
        <f t="shared" si="206"/>
        <v>14462270.46302028</v>
      </c>
      <c r="K271" s="62">
        <f t="shared" si="206"/>
        <v>14309191.600794135</v>
      </c>
      <c r="L271" s="62">
        <f t="shared" si="206"/>
        <v>14097151.526552314</v>
      </c>
      <c r="M271" s="62">
        <f t="shared" si="206"/>
        <v>13807955.810887519</v>
      </c>
      <c r="N271" s="62">
        <f t="shared" si="206"/>
        <v>13422045.8442837</v>
      </c>
      <c r="O271" s="62">
        <f t="shared" si="206"/>
        <v>12922321.723261854</v>
      </c>
      <c r="P271" s="62">
        <f t="shared" si="206"/>
        <v>12300636.271412892</v>
      </c>
      <c r="Q271" s="62">
        <f t="shared" si="206"/>
        <v>11565862.646750338</v>
      </c>
      <c r="R271" s="62">
        <f t="shared" si="206"/>
        <v>10749760.048071375</v>
      </c>
      <c r="S271" s="62">
        <f t="shared" si="206"/>
        <v>9905202.9123351518</v>
      </c>
      <c r="T271" s="62">
        <f t="shared" si="206"/>
        <v>9094212.6952786781</v>
      </c>
      <c r="U271" s="62">
        <f t="shared" si="206"/>
        <v>8370541.1640711045</v>
      </c>
      <c r="V271" s="62">
        <f t="shared" si="206"/>
        <v>7766453.2767511569</v>
      </c>
      <c r="W271" s="62">
        <f t="shared" si="206"/>
        <v>7289928.5635603443</v>
      </c>
      <c r="X271" s="62">
        <f t="shared" si="206"/>
        <v>6930651.2365163462</v>
      </c>
      <c r="Y271" s="62">
        <f t="shared" si="206"/>
        <v>6668944.9594173133</v>
      </c>
      <c r="Z271" s="62">
        <f t="shared" si="206"/>
        <v>6483071.0390209779</v>
      </c>
      <c r="AA271" s="62">
        <f t="shared" si="206"/>
        <v>6353418.2469961643</v>
      </c>
      <c r="AB271" s="62">
        <f t="shared" si="206"/>
        <v>6264117.4925154448</v>
      </c>
      <c r="AC271" s="62">
        <f t="shared" si="206"/>
        <v>6203144.5767225837</v>
      </c>
    </row>
    <row r="272" spans="1:29" ht="15" thickBot="1" x14ac:dyDescent="0.35">
      <c r="A272" s="59" t="str">
        <f>A235</f>
        <v>Emission Cost</v>
      </c>
      <c r="B272" s="62">
        <f>B255*B261</f>
        <v>292744.32301910827</v>
      </c>
      <c r="C272" s="62">
        <f t="shared" ref="C272:AC272" si="207">C255*C261</f>
        <v>292465.55909594544</v>
      </c>
      <c r="D272" s="62">
        <f t="shared" si="207"/>
        <v>292066.51474890357</v>
      </c>
      <c r="E272" s="62">
        <f t="shared" si="207"/>
        <v>291495.65374840738</v>
      </c>
      <c r="F272" s="62">
        <f t="shared" si="207"/>
        <v>290679.76741196436</v>
      </c>
      <c r="G272" s="62">
        <f t="shared" si="207"/>
        <v>289515.32128951116</v>
      </c>
      <c r="H272" s="62">
        <f t="shared" si="207"/>
        <v>287856.86434123403</v>
      </c>
      <c r="I272" s="62">
        <f t="shared" si="207"/>
        <v>285502.09321744979</v>
      </c>
      <c r="J272" s="62">
        <f t="shared" si="207"/>
        <v>282173.85051303828</v>
      </c>
      <c r="K272" s="62">
        <f t="shared" si="207"/>
        <v>277501.05780251691</v>
      </c>
      <c r="L272" s="62">
        <f t="shared" si="207"/>
        <v>271004.17965861136</v>
      </c>
      <c r="M272" s="62">
        <f t="shared" si="207"/>
        <v>262097.20277201166</v>
      </c>
      <c r="N272" s="62">
        <f t="shared" si="207"/>
        <v>250127.18026947835</v>
      </c>
      <c r="O272" s="62">
        <f t="shared" si="207"/>
        <v>234480.04842038496</v>
      </c>
      <c r="P272" s="62">
        <f t="shared" si="207"/>
        <v>214775.13056499942</v>
      </c>
      <c r="Q272" s="62">
        <f t="shared" si="207"/>
        <v>191129.79476829237</v>
      </c>
      <c r="R272" s="62">
        <f t="shared" si="207"/>
        <v>164392.27200906764</v>
      </c>
      <c r="S272" s="62">
        <f t="shared" si="207"/>
        <v>136165.57893344958</v>
      </c>
      <c r="T272" s="62">
        <f t="shared" si="207"/>
        <v>108494.33438101113</v>
      </c>
      <c r="U272" s="62">
        <f t="shared" si="207"/>
        <v>83304.630892356668</v>
      </c>
      <c r="V272" s="62">
        <f t="shared" si="207"/>
        <v>61896.970009757802</v>
      </c>
      <c r="W272" s="62">
        <f t="shared" si="207"/>
        <v>44753.267537641594</v>
      </c>
      <c r="X272" s="62">
        <f t="shared" si="207"/>
        <v>31671.861659602866</v>
      </c>
      <c r="Y272" s="62">
        <f t="shared" si="207"/>
        <v>22055.979208976452</v>
      </c>
      <c r="Z272" s="62">
        <f t="shared" si="207"/>
        <v>15180.762366522398</v>
      </c>
      <c r="AA272" s="62">
        <f t="shared" si="207"/>
        <v>10362.25068958263</v>
      </c>
      <c r="AB272" s="62">
        <f t="shared" si="207"/>
        <v>7032.3629519435117</v>
      </c>
      <c r="AC272" s="62">
        <f t="shared" si="207"/>
        <v>4753.554838406355</v>
      </c>
    </row>
    <row r="273" spans="1:29" ht="15" thickBot="1" x14ac:dyDescent="0.35">
      <c r="A273" s="31" t="s">
        <v>209</v>
      </c>
      <c r="B273" s="64">
        <f>B264+B265+B266+B267+B268+B269+B270+B271+B272</f>
        <v>19045644.53535853</v>
      </c>
      <c r="C273" s="64">
        <f t="shared" ref="C273:AC273" si="208">C264+C265+C266+C267+C268+C269+C270+C271+C272</f>
        <v>19035341.697345562</v>
      </c>
      <c r="D273" s="64">
        <f t="shared" si="208"/>
        <v>19020596.377756219</v>
      </c>
      <c r="E273" s="64">
        <f t="shared" si="208"/>
        <v>18999508.227724813</v>
      </c>
      <c r="F273" s="64">
        <f t="shared" si="208"/>
        <v>18969381.004841167</v>
      </c>
      <c r="G273" s="64">
        <f t="shared" si="208"/>
        <v>18926408.213319957</v>
      </c>
      <c r="H273" s="64">
        <f t="shared" si="208"/>
        <v>18865255.71190295</v>
      </c>
      <c r="I273" s="64">
        <f t="shared" si="208"/>
        <v>18778531.470614158</v>
      </c>
      <c r="J273" s="64">
        <f t="shared" si="208"/>
        <v>18656162.331225645</v>
      </c>
      <c r="K273" s="64">
        <f t="shared" si="208"/>
        <v>18484767.911430776</v>
      </c>
      <c r="L273" s="64">
        <f t="shared" si="208"/>
        <v>18247262.563415144</v>
      </c>
      <c r="M273" s="64">
        <f t="shared" si="208"/>
        <v>17923154.910064243</v>
      </c>
      <c r="N273" s="64">
        <f t="shared" si="208"/>
        <v>17490327.040222298</v>
      </c>
      <c r="O273" s="64">
        <f t="shared" si="208"/>
        <v>16929272.155795902</v>
      </c>
      <c r="P273" s="64">
        <f t="shared" si="208"/>
        <v>16230350.973683394</v>
      </c>
      <c r="Q273" s="64">
        <f t="shared" si="208"/>
        <v>15402896.689756572</v>
      </c>
      <c r="R273" s="64">
        <f t="shared" si="208"/>
        <v>14481993.243344944</v>
      </c>
      <c r="S273" s="64">
        <f t="shared" si="208"/>
        <v>13526798.282644408</v>
      </c>
      <c r="T273" s="64">
        <f t="shared" si="208"/>
        <v>12607347.386076668</v>
      </c>
      <c r="U273" s="64">
        <f t="shared" si="208"/>
        <v>11784941.865803687</v>
      </c>
      <c r="V273" s="64">
        <f t="shared" si="208"/>
        <v>11096944.147768563</v>
      </c>
      <c r="W273" s="64">
        <f t="shared" si="208"/>
        <v>10553222.687574161</v>
      </c>
      <c r="X273" s="64">
        <f t="shared" si="208"/>
        <v>10142671.260161964</v>
      </c>
      <c r="Y273" s="64">
        <f t="shared" si="208"/>
        <v>9843274.4071035106</v>
      </c>
      <c r="Z273" s="64">
        <f t="shared" si="208"/>
        <v>9630452.2701531015</v>
      </c>
      <c r="AA273" s="64">
        <f t="shared" si="208"/>
        <v>9481912.7580270842</v>
      </c>
      <c r="AB273" s="64">
        <f t="shared" si="208"/>
        <v>9379560.1190878917</v>
      </c>
      <c r="AC273" s="64">
        <f t="shared" si="208"/>
        <v>9309655.1483597476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09">A264</f>
        <v>Capex vehicle</v>
      </c>
      <c r="B276" s="65">
        <f>((1+B249)^B256)*B249/(((1+B249)^B256)-1)*(B245)/B261</f>
        <v>19.541646546706382</v>
      </c>
      <c r="C276" s="65">
        <f t="shared" ref="C276:AC276" si="210">((1+C249)^C256)*C249/(((1+C249)^C256)-1)*(C245)/C261</f>
        <v>19.535142908407877</v>
      </c>
      <c r="D276" s="65">
        <f t="shared" si="210"/>
        <v>19.525833095040429</v>
      </c>
      <c r="E276" s="65">
        <f t="shared" si="210"/>
        <v>19.512514752322947</v>
      </c>
      <c r="F276" s="65">
        <f t="shared" si="210"/>
        <v>19.493479901741438</v>
      </c>
      <c r="G276" s="65">
        <f t="shared" si="210"/>
        <v>19.466313056359834</v>
      </c>
      <c r="H276" s="65">
        <f t="shared" si="210"/>
        <v>19.427620803779718</v>
      </c>
      <c r="I276" s="65">
        <f t="shared" si="210"/>
        <v>19.372683351719548</v>
      </c>
      <c r="J276" s="65">
        <f t="shared" si="210"/>
        <v>19.295034542384581</v>
      </c>
      <c r="K276" s="65">
        <f t="shared" si="210"/>
        <v>19.186017014978848</v>
      </c>
      <c r="L276" s="65">
        <f t="shared" si="210"/>
        <v>19.03444307729697</v>
      </c>
      <c r="M276" s="65">
        <f t="shared" si="210"/>
        <v>18.826640879127403</v>
      </c>
      <c r="N276" s="65">
        <f t="shared" si="210"/>
        <v>18.547376991970825</v>
      </c>
      <c r="O276" s="65">
        <f t="shared" si="210"/>
        <v>18.182325141641847</v>
      </c>
      <c r="P276" s="65">
        <f t="shared" si="210"/>
        <v>17.722604037923674</v>
      </c>
      <c r="Q276" s="65">
        <f t="shared" si="210"/>
        <v>17.170951909758209</v>
      </c>
      <c r="R276" s="65">
        <f t="shared" si="210"/>
        <v>16.547158217048082</v>
      </c>
      <c r="S276" s="65">
        <f t="shared" si="210"/>
        <v>15.888621775015123</v>
      </c>
      <c r="T276" s="65">
        <f t="shared" si="210"/>
        <v>15.243044098403505</v>
      </c>
      <c r="U276" s="65">
        <f t="shared" si="210"/>
        <v>14.655361451100672</v>
      </c>
      <c r="V276" s="65">
        <f t="shared" si="210"/>
        <v>14.15591488851158</v>
      </c>
      <c r="W276" s="65">
        <f t="shared" si="210"/>
        <v>13.755947637689308</v>
      </c>
      <c r="X276" s="65">
        <f t="shared" si="210"/>
        <v>13.450754873498525</v>
      </c>
      <c r="Y276" s="65">
        <f t="shared" si="210"/>
        <v>13.226413715323233</v>
      </c>
      <c r="Z276" s="65">
        <f t="shared" si="210"/>
        <v>13.066013032696132</v>
      </c>
      <c r="AA276" s="65">
        <f t="shared" si="210"/>
        <v>12.953595842091289</v>
      </c>
      <c r="AB276" s="65">
        <f t="shared" si="210"/>
        <v>12.875908653682803</v>
      </c>
      <c r="AC276" s="65">
        <f t="shared" si="210"/>
        <v>12.822743439353784</v>
      </c>
    </row>
    <row r="277" spans="1:29" x14ac:dyDescent="0.3">
      <c r="A277" s="30" t="str">
        <f t="shared" si="209"/>
        <v>Residual value (vehicle)</v>
      </c>
      <c r="B277" s="66">
        <f>((1+B249)^B256)*B249/(((1+B249)^B256)-1)*(B246)/B261</f>
        <v>-0.97847824935465733</v>
      </c>
      <c r="C277" s="66">
        <f t="shared" ref="C277:AC277" si="211">((1+C249)^C256)*C249/(((1+C249)^C256)-1)*(C246)/C261</f>
        <v>-0.9787569767103077</v>
      </c>
      <c r="D277" s="66">
        <f t="shared" si="211"/>
        <v>-0.97915596871176991</v>
      </c>
      <c r="E277" s="66">
        <f t="shared" si="211"/>
        <v>-0.97972675482823313</v>
      </c>
      <c r="F277" s="66">
        <f t="shared" si="211"/>
        <v>-0.98054253413886938</v>
      </c>
      <c r="G277" s="66">
        <f t="shared" si="211"/>
        <v>-0.98170682751236671</v>
      </c>
      <c r="H277" s="66">
        <f t="shared" si="211"/>
        <v>-0.98336506690865744</v>
      </c>
      <c r="I277" s="66">
        <f t="shared" si="211"/>
        <v>-0.98571952913980765</v>
      </c>
      <c r="J277" s="66">
        <f t="shared" si="211"/>
        <v>-0.98904733525416333</v>
      </c>
      <c r="K277" s="66">
        <f t="shared" si="211"/>
        <v>-0.99371951500012301</v>
      </c>
      <c r="L277" s="66">
        <f t="shared" si="211"/>
        <v>-1.0002155409007751</v>
      </c>
      <c r="M277" s="66">
        <f t="shared" si="211"/>
        <v>-1.0091213493937565</v>
      </c>
      <c r="N277" s="66">
        <f t="shared" si="211"/>
        <v>-1.021089801700467</v>
      </c>
      <c r="O277" s="66">
        <f t="shared" si="211"/>
        <v>-1.0367348810002803</v>
      </c>
      <c r="P277" s="66">
        <f t="shared" si="211"/>
        <v>-1.0564372140167737</v>
      </c>
      <c r="Q277" s="66">
        <f t="shared" si="211"/>
        <v>-1.0800794480810079</v>
      </c>
      <c r="R277" s="66">
        <f t="shared" si="211"/>
        <v>-1.1068134634828701</v>
      </c>
      <c r="S277" s="66">
        <f t="shared" si="211"/>
        <v>-1.1350364538557114</v>
      </c>
      <c r="T277" s="66">
        <f t="shared" si="211"/>
        <v>-1.1627040685676377</v>
      </c>
      <c r="U277" s="66">
        <f t="shared" si="211"/>
        <v>-1.1878904677377591</v>
      </c>
      <c r="V277" s="66">
        <f t="shared" si="211"/>
        <v>-1.2092953204201489</v>
      </c>
      <c r="W277" s="66">
        <f t="shared" si="211"/>
        <v>-1.2264367740268176</v>
      </c>
      <c r="X277" s="66">
        <f t="shared" si="211"/>
        <v>-1.2395164639207084</v>
      </c>
      <c r="Y277" s="66">
        <f t="shared" si="211"/>
        <v>-1.2491310849853638</v>
      </c>
      <c r="Z277" s="66">
        <f t="shared" si="211"/>
        <v>-1.2560053999550969</v>
      </c>
      <c r="AA277" s="66">
        <f t="shared" si="211"/>
        <v>-1.2608232795524472</v>
      </c>
      <c r="AB277" s="66">
        <f t="shared" si="211"/>
        <v>-1.2641527304842395</v>
      </c>
      <c r="AC277" s="66">
        <f t="shared" si="211"/>
        <v>-1.2664312396697688</v>
      </c>
    </row>
    <row r="278" spans="1:29" x14ac:dyDescent="0.3">
      <c r="A278" s="30" t="str">
        <f t="shared" si="209"/>
        <v>Capex costumization</v>
      </c>
      <c r="B278" s="66">
        <f>((1+B249)^B257)*B249/(((1+B249)^B257)-1)*(B247)/B261</f>
        <v>0.65188931843561626</v>
      </c>
      <c r="C278" s="66">
        <f t="shared" ref="C278:AC278" si="212">((1+C249)^C257)*C249/(((1+C249)^C257)-1)*(C247)/C261</f>
        <v>0.65188931843561626</v>
      </c>
      <c r="D278" s="66">
        <f t="shared" si="212"/>
        <v>0.65188931843561626</v>
      </c>
      <c r="E278" s="66">
        <f t="shared" si="212"/>
        <v>0.65188931843561626</v>
      </c>
      <c r="F278" s="66">
        <f t="shared" si="212"/>
        <v>0.65188931843561626</v>
      </c>
      <c r="G278" s="66">
        <f t="shared" si="212"/>
        <v>0.65188931843561626</v>
      </c>
      <c r="H278" s="66">
        <f t="shared" si="212"/>
        <v>0.65188931843561626</v>
      </c>
      <c r="I278" s="66">
        <f t="shared" si="212"/>
        <v>0.65188931843561626</v>
      </c>
      <c r="J278" s="66">
        <f t="shared" si="212"/>
        <v>0.65188931843561626</v>
      </c>
      <c r="K278" s="66">
        <f t="shared" si="212"/>
        <v>0.65188931843561626</v>
      </c>
      <c r="L278" s="66">
        <f t="shared" si="212"/>
        <v>0.65188931843561626</v>
      </c>
      <c r="M278" s="66">
        <f t="shared" si="212"/>
        <v>0.65188931843561626</v>
      </c>
      <c r="N278" s="66">
        <f t="shared" si="212"/>
        <v>0.65188931843561626</v>
      </c>
      <c r="O278" s="66">
        <f t="shared" si="212"/>
        <v>0.65188931843561626</v>
      </c>
      <c r="P278" s="66">
        <f t="shared" si="212"/>
        <v>0.65188931843561626</v>
      </c>
      <c r="Q278" s="66">
        <f t="shared" si="212"/>
        <v>0.65188931843561626</v>
      </c>
      <c r="R278" s="66">
        <f t="shared" si="212"/>
        <v>0.65188931843561626</v>
      </c>
      <c r="S278" s="66">
        <f t="shared" si="212"/>
        <v>0.65188931843561626</v>
      </c>
      <c r="T278" s="66">
        <f t="shared" si="212"/>
        <v>0.65188931843561626</v>
      </c>
      <c r="U278" s="66">
        <f t="shared" si="212"/>
        <v>0.65188931843561626</v>
      </c>
      <c r="V278" s="66">
        <f t="shared" si="212"/>
        <v>0.65188931843561626</v>
      </c>
      <c r="W278" s="66">
        <f t="shared" si="212"/>
        <v>0.65188931843561626</v>
      </c>
      <c r="X278" s="66">
        <f t="shared" si="212"/>
        <v>0.65188931843561626</v>
      </c>
      <c r="Y278" s="66">
        <f t="shared" si="212"/>
        <v>0.65188931843561626</v>
      </c>
      <c r="Z278" s="66">
        <f t="shared" si="212"/>
        <v>0.65188931843561626</v>
      </c>
      <c r="AA278" s="66">
        <f t="shared" si="212"/>
        <v>0.65188931843561626</v>
      </c>
      <c r="AB278" s="66">
        <f t="shared" si="212"/>
        <v>0.65188931843561626</v>
      </c>
      <c r="AC278" s="66">
        <f t="shared" si="212"/>
        <v>0.65188931843561626</v>
      </c>
    </row>
    <row r="279" spans="1:29" x14ac:dyDescent="0.3">
      <c r="A279" s="30" t="str">
        <f t="shared" si="209"/>
        <v>Residual value (costumization)</v>
      </c>
      <c r="B279" s="66">
        <f>((1+B249)^B257)*B249/(((1+B249)^B257)-1)*(B248)/B261</f>
        <v>-6.5188931843561615E-2</v>
      </c>
      <c r="C279" s="66">
        <f t="shared" ref="C279:AC279" si="213">((1+C249)^C257)*C249/(((1+C249)^C257)-1)*(C248)/C261</f>
        <v>-6.5188931843561615E-2</v>
      </c>
      <c r="D279" s="66">
        <f t="shared" si="213"/>
        <v>-6.5188931843561615E-2</v>
      </c>
      <c r="E279" s="66">
        <f t="shared" si="213"/>
        <v>-6.5188931843561615E-2</v>
      </c>
      <c r="F279" s="66">
        <f t="shared" si="213"/>
        <v>-6.5188931843561615E-2</v>
      </c>
      <c r="G279" s="66">
        <f t="shared" si="213"/>
        <v>-6.5188931843561615E-2</v>
      </c>
      <c r="H279" s="66">
        <f t="shared" si="213"/>
        <v>-6.5188931843561615E-2</v>
      </c>
      <c r="I279" s="66">
        <f t="shared" si="213"/>
        <v>-6.5188931843561615E-2</v>
      </c>
      <c r="J279" s="66">
        <f t="shared" si="213"/>
        <v>-6.5188931843561615E-2</v>
      </c>
      <c r="K279" s="66">
        <f t="shared" si="213"/>
        <v>-6.5188931843561615E-2</v>
      </c>
      <c r="L279" s="66">
        <f t="shared" si="213"/>
        <v>-6.5188931843561615E-2</v>
      </c>
      <c r="M279" s="66">
        <f t="shared" si="213"/>
        <v>-6.5188931843561615E-2</v>
      </c>
      <c r="N279" s="66">
        <f t="shared" si="213"/>
        <v>-6.5188931843561615E-2</v>
      </c>
      <c r="O279" s="66">
        <f t="shared" si="213"/>
        <v>-6.5188931843561615E-2</v>
      </c>
      <c r="P279" s="66">
        <f t="shared" si="213"/>
        <v>-6.5188931843561615E-2</v>
      </c>
      <c r="Q279" s="66">
        <f t="shared" si="213"/>
        <v>-6.5188931843561615E-2</v>
      </c>
      <c r="R279" s="66">
        <f t="shared" si="213"/>
        <v>-6.5188931843561615E-2</v>
      </c>
      <c r="S279" s="66">
        <f t="shared" si="213"/>
        <v>-6.5188931843561615E-2</v>
      </c>
      <c r="T279" s="66">
        <f t="shared" si="213"/>
        <v>-6.5188931843561615E-2</v>
      </c>
      <c r="U279" s="66">
        <f t="shared" si="213"/>
        <v>-6.5188931843561615E-2</v>
      </c>
      <c r="V279" s="66">
        <f t="shared" si="213"/>
        <v>-6.5188931843561615E-2</v>
      </c>
      <c r="W279" s="66">
        <f t="shared" si="213"/>
        <v>-6.5188931843561615E-2</v>
      </c>
      <c r="X279" s="66">
        <f t="shared" si="213"/>
        <v>-6.5188931843561615E-2</v>
      </c>
      <c r="Y279" s="66">
        <f t="shared" si="213"/>
        <v>-6.5188931843561615E-2</v>
      </c>
      <c r="Z279" s="66">
        <f t="shared" si="213"/>
        <v>-6.5188931843561615E-2</v>
      </c>
      <c r="AA279" s="66">
        <f t="shared" si="213"/>
        <v>-6.5188931843561615E-2</v>
      </c>
      <c r="AB279" s="66">
        <f t="shared" si="213"/>
        <v>-6.5188931843561615E-2</v>
      </c>
      <c r="AC279" s="66">
        <f t="shared" si="213"/>
        <v>-6.5188931843561615E-2</v>
      </c>
    </row>
    <row r="280" spans="1:29" x14ac:dyDescent="0.3">
      <c r="A280" s="30" t="str">
        <f t="shared" si="209"/>
        <v>Opex fix (admin, crew, insurance)</v>
      </c>
      <c r="B280" s="66">
        <f>B250/B261</f>
        <v>10.068627450980392</v>
      </c>
      <c r="C280" s="66">
        <f t="shared" ref="C280:AC280" si="214">C250/C261</f>
        <v>10.068627450980392</v>
      </c>
      <c r="D280" s="66">
        <f t="shared" si="214"/>
        <v>10.068627450980392</v>
      </c>
      <c r="E280" s="66">
        <f t="shared" si="214"/>
        <v>10.068627450980392</v>
      </c>
      <c r="F280" s="66">
        <f t="shared" si="214"/>
        <v>10.068627450980392</v>
      </c>
      <c r="G280" s="66">
        <f t="shared" si="214"/>
        <v>10.068627450980392</v>
      </c>
      <c r="H280" s="66">
        <f t="shared" si="214"/>
        <v>10.068627450980392</v>
      </c>
      <c r="I280" s="66">
        <f t="shared" si="214"/>
        <v>10.068627450980392</v>
      </c>
      <c r="J280" s="66">
        <f t="shared" si="214"/>
        <v>10.068627450980392</v>
      </c>
      <c r="K280" s="66">
        <f t="shared" si="214"/>
        <v>10.068627450980392</v>
      </c>
      <c r="L280" s="66">
        <f t="shared" si="214"/>
        <v>10.068627450980392</v>
      </c>
      <c r="M280" s="66">
        <f t="shared" si="214"/>
        <v>10.068627450980392</v>
      </c>
      <c r="N280" s="66">
        <f t="shared" si="214"/>
        <v>10.068627450980392</v>
      </c>
      <c r="O280" s="66">
        <f t="shared" si="214"/>
        <v>10.068627450980392</v>
      </c>
      <c r="P280" s="66">
        <f t="shared" si="214"/>
        <v>10.068627450980392</v>
      </c>
      <c r="Q280" s="66">
        <f t="shared" si="214"/>
        <v>10.068627450980392</v>
      </c>
      <c r="R280" s="66">
        <f t="shared" si="214"/>
        <v>10.068627450980392</v>
      </c>
      <c r="S280" s="66">
        <f t="shared" si="214"/>
        <v>10.068627450980392</v>
      </c>
      <c r="T280" s="66">
        <f t="shared" si="214"/>
        <v>10.068627450980392</v>
      </c>
      <c r="U280" s="66">
        <f t="shared" si="214"/>
        <v>10.068627450980392</v>
      </c>
      <c r="V280" s="66">
        <f t="shared" si="214"/>
        <v>10.068627450980392</v>
      </c>
      <c r="W280" s="66">
        <f t="shared" si="214"/>
        <v>10.068627450980392</v>
      </c>
      <c r="X280" s="66">
        <f t="shared" si="214"/>
        <v>10.068627450980392</v>
      </c>
      <c r="Y280" s="66">
        <f t="shared" si="214"/>
        <v>10.068627450980392</v>
      </c>
      <c r="Z280" s="66">
        <f t="shared" si="214"/>
        <v>10.068627450980392</v>
      </c>
      <c r="AA280" s="66">
        <f t="shared" si="214"/>
        <v>10.068627450980392</v>
      </c>
      <c r="AB280" s="66">
        <f t="shared" si="214"/>
        <v>10.068627450980392</v>
      </c>
      <c r="AC280" s="66">
        <f t="shared" si="214"/>
        <v>10.068627450980392</v>
      </c>
    </row>
    <row r="281" spans="1:29" x14ac:dyDescent="0.3">
      <c r="A281" s="30" t="str">
        <f t="shared" si="209"/>
        <v>Opex maintenance &amp; repair</v>
      </c>
      <c r="B281" s="66">
        <f>B251/B261</f>
        <v>2.8235294117647056</v>
      </c>
      <c r="C281" s="66">
        <f t="shared" ref="C281:AC281" si="215">C251/C261</f>
        <v>2.8235294117647056</v>
      </c>
      <c r="D281" s="66">
        <f t="shared" si="215"/>
        <v>2.8235294117647056</v>
      </c>
      <c r="E281" s="66">
        <f t="shared" si="215"/>
        <v>2.8235294117647056</v>
      </c>
      <c r="F281" s="66">
        <f t="shared" si="215"/>
        <v>2.8235294117647056</v>
      </c>
      <c r="G281" s="66">
        <f t="shared" si="215"/>
        <v>2.8235294117647056</v>
      </c>
      <c r="H281" s="66">
        <f t="shared" si="215"/>
        <v>2.8235294117647056</v>
      </c>
      <c r="I281" s="66">
        <f t="shared" si="215"/>
        <v>2.8235294117647056</v>
      </c>
      <c r="J281" s="66">
        <f t="shared" si="215"/>
        <v>2.8235294117647056</v>
      </c>
      <c r="K281" s="66">
        <f t="shared" si="215"/>
        <v>2.8235294117647056</v>
      </c>
      <c r="L281" s="66">
        <f t="shared" si="215"/>
        <v>2.8235294117647056</v>
      </c>
      <c r="M281" s="66">
        <f t="shared" si="215"/>
        <v>2.8235294117647056</v>
      </c>
      <c r="N281" s="66">
        <f t="shared" si="215"/>
        <v>2.8235294117647056</v>
      </c>
      <c r="O281" s="66">
        <f t="shared" si="215"/>
        <v>2.8235294117647056</v>
      </c>
      <c r="P281" s="66">
        <f t="shared" si="215"/>
        <v>2.8235294117647056</v>
      </c>
      <c r="Q281" s="66">
        <f t="shared" si="215"/>
        <v>2.8235294117647056</v>
      </c>
      <c r="R281" s="66">
        <f t="shared" si="215"/>
        <v>2.8235294117647056</v>
      </c>
      <c r="S281" s="66">
        <f t="shared" si="215"/>
        <v>2.8235294117647056</v>
      </c>
      <c r="T281" s="66">
        <f t="shared" si="215"/>
        <v>2.8235294117647056</v>
      </c>
      <c r="U281" s="66">
        <f t="shared" si="215"/>
        <v>2.8235294117647056</v>
      </c>
      <c r="V281" s="66">
        <f t="shared" si="215"/>
        <v>2.8235294117647056</v>
      </c>
      <c r="W281" s="66">
        <f t="shared" si="215"/>
        <v>2.8235294117647056</v>
      </c>
      <c r="X281" s="66">
        <f t="shared" si="215"/>
        <v>2.8235294117647056</v>
      </c>
      <c r="Y281" s="66">
        <f t="shared" si="215"/>
        <v>2.8235294117647056</v>
      </c>
      <c r="Z281" s="66">
        <f t="shared" si="215"/>
        <v>2.8235294117647056</v>
      </c>
      <c r="AA281" s="66">
        <f t="shared" si="215"/>
        <v>2.8235294117647056</v>
      </c>
      <c r="AB281" s="66">
        <f t="shared" si="215"/>
        <v>2.8235294117647056</v>
      </c>
      <c r="AC281" s="66">
        <f t="shared" si="215"/>
        <v>2.8235294117647056</v>
      </c>
    </row>
    <row r="282" spans="1:29" x14ac:dyDescent="0.3">
      <c r="A282" s="30" t="str">
        <f t="shared" si="209"/>
        <v>Opex var (mode-fees)</v>
      </c>
      <c r="B282" s="66">
        <f>B252*B261/B261</f>
        <v>0.81280569096848254</v>
      </c>
      <c r="C282" s="66">
        <f t="shared" ref="C282:AC282" si="216">C252*C261/C261</f>
        <v>0.81280569096848254</v>
      </c>
      <c r="D282" s="66">
        <f t="shared" si="216"/>
        <v>0.81280569096848254</v>
      </c>
      <c r="E282" s="66">
        <f t="shared" si="216"/>
        <v>0.81280569096848254</v>
      </c>
      <c r="F282" s="66">
        <f t="shared" si="216"/>
        <v>0.81280569096848254</v>
      </c>
      <c r="G282" s="66">
        <f t="shared" si="216"/>
        <v>0.81280569096848254</v>
      </c>
      <c r="H282" s="66">
        <f t="shared" si="216"/>
        <v>0.81280569096848254</v>
      </c>
      <c r="I282" s="66">
        <f t="shared" si="216"/>
        <v>0.81280569096848254</v>
      </c>
      <c r="J282" s="66">
        <f t="shared" si="216"/>
        <v>0.81280569096848254</v>
      </c>
      <c r="K282" s="66">
        <f t="shared" si="216"/>
        <v>0.81280569096848254</v>
      </c>
      <c r="L282" s="66">
        <f t="shared" si="216"/>
        <v>0.81280569096848254</v>
      </c>
      <c r="M282" s="66">
        <f t="shared" si="216"/>
        <v>0.81280569096848254</v>
      </c>
      <c r="N282" s="66">
        <f t="shared" si="216"/>
        <v>0.81280569096848254</v>
      </c>
      <c r="O282" s="66">
        <f t="shared" si="216"/>
        <v>0.81280569096848254</v>
      </c>
      <c r="P282" s="66">
        <f t="shared" si="216"/>
        <v>0.81280569096848254</v>
      </c>
      <c r="Q282" s="66">
        <f t="shared" si="216"/>
        <v>0.81280569096848254</v>
      </c>
      <c r="R282" s="66">
        <f t="shared" si="216"/>
        <v>0.81280569096848254</v>
      </c>
      <c r="S282" s="66">
        <f t="shared" si="216"/>
        <v>0.81280569096848254</v>
      </c>
      <c r="T282" s="66">
        <f t="shared" si="216"/>
        <v>0.81280569096848254</v>
      </c>
      <c r="U282" s="66">
        <f t="shared" si="216"/>
        <v>0.81280569096848254</v>
      </c>
      <c r="V282" s="66">
        <f t="shared" si="216"/>
        <v>0.81280569096848254</v>
      </c>
      <c r="W282" s="66">
        <f t="shared" si="216"/>
        <v>0.81280569096848254</v>
      </c>
      <c r="X282" s="66">
        <f t="shared" si="216"/>
        <v>0.81280569096848254</v>
      </c>
      <c r="Y282" s="66">
        <f t="shared" si="216"/>
        <v>0.81280569096848254</v>
      </c>
      <c r="Z282" s="66">
        <f t="shared" si="216"/>
        <v>0.81280569096848254</v>
      </c>
      <c r="AA282" s="66">
        <f t="shared" si="216"/>
        <v>0.81280569096848254</v>
      </c>
      <c r="AB282" s="66">
        <f t="shared" si="216"/>
        <v>0.81280569096848254</v>
      </c>
      <c r="AC282" s="66">
        <f t="shared" si="216"/>
        <v>0.81280569096848254</v>
      </c>
    </row>
    <row r="283" spans="1:29" x14ac:dyDescent="0.3">
      <c r="A283" s="30" t="str">
        <f t="shared" si="209"/>
        <v>Fuel Cost</v>
      </c>
      <c r="B283" s="66">
        <f>B253*B254*B261/B261</f>
        <v>123.41933719850446</v>
      </c>
      <c r="C283" s="66">
        <f t="shared" ref="C283:AC283" si="217">C253*C254*C261/C261</f>
        <v>123.34258561341028</v>
      </c>
      <c r="D283" s="66">
        <f t="shared" si="217"/>
        <v>123.23274212509334</v>
      </c>
      <c r="E283" s="66">
        <f t="shared" si="217"/>
        <v>123.07565384533636</v>
      </c>
      <c r="F283" s="66">
        <f t="shared" si="217"/>
        <v>122.85124333733515</v>
      </c>
      <c r="G283" s="66">
        <f t="shared" si="217"/>
        <v>122.53117159776731</v>
      </c>
      <c r="H283" s="66">
        <f t="shared" si="217"/>
        <v>122.0757383858376</v>
      </c>
      <c r="I283" s="66">
        <f t="shared" si="217"/>
        <v>121.42995138208717</v>
      </c>
      <c r="J283" s="66">
        <f t="shared" si="217"/>
        <v>120.51892052516899</v>
      </c>
      <c r="K283" s="66">
        <f t="shared" si="217"/>
        <v>119.24326333995113</v>
      </c>
      <c r="L283" s="66">
        <f t="shared" si="217"/>
        <v>117.47626272126928</v>
      </c>
      <c r="M283" s="66">
        <f t="shared" si="217"/>
        <v>115.06629842406267</v>
      </c>
      <c r="N283" s="66">
        <f t="shared" si="217"/>
        <v>111.85038203569751</v>
      </c>
      <c r="O283" s="66">
        <f t="shared" si="217"/>
        <v>107.68601436051544</v>
      </c>
      <c r="P283" s="66">
        <f t="shared" si="217"/>
        <v>102.5053022617741</v>
      </c>
      <c r="Q283" s="66">
        <f t="shared" si="217"/>
        <v>96.38218872291948</v>
      </c>
      <c r="R283" s="66">
        <f t="shared" si="217"/>
        <v>89.581333733928119</v>
      </c>
      <c r="S283" s="66">
        <f t="shared" si="217"/>
        <v>82.543357602792938</v>
      </c>
      <c r="T283" s="66">
        <f t="shared" si="217"/>
        <v>75.78510579398899</v>
      </c>
      <c r="U283" s="66">
        <f t="shared" si="217"/>
        <v>69.754509700592536</v>
      </c>
      <c r="V283" s="66">
        <f t="shared" si="217"/>
        <v>64.720443972926304</v>
      </c>
      <c r="W283" s="66">
        <f t="shared" si="217"/>
        <v>60.7494046963362</v>
      </c>
      <c r="X283" s="66">
        <f t="shared" si="217"/>
        <v>57.755426970969552</v>
      </c>
      <c r="Y283" s="66">
        <f t="shared" si="217"/>
        <v>55.574541328477608</v>
      </c>
      <c r="Z283" s="66">
        <f t="shared" si="217"/>
        <v>54.02559199184148</v>
      </c>
      <c r="AA283" s="66">
        <f t="shared" si="217"/>
        <v>52.945152058301368</v>
      </c>
      <c r="AB283" s="66">
        <f t="shared" si="217"/>
        <v>52.200979104295371</v>
      </c>
      <c r="AC283" s="66">
        <f t="shared" si="217"/>
        <v>51.692871472688196</v>
      </c>
    </row>
    <row r="284" spans="1:29" ht="15" thickBot="1" x14ac:dyDescent="0.35">
      <c r="A284" s="59" t="str">
        <f t="shared" ref="A284" si="218">A272</f>
        <v>Emission Cost</v>
      </c>
      <c r="B284" s="66">
        <f>B255</f>
        <v>2.4395360251592355</v>
      </c>
      <c r="C284" s="66">
        <f t="shared" ref="C284:AC284" si="219">C255</f>
        <v>2.437212992466212</v>
      </c>
      <c r="D284" s="66">
        <f t="shared" si="219"/>
        <v>2.4338876229075299</v>
      </c>
      <c r="E284" s="66">
        <f t="shared" si="219"/>
        <v>2.4291304479033946</v>
      </c>
      <c r="F284" s="66">
        <f t="shared" si="219"/>
        <v>2.422331395099703</v>
      </c>
      <c r="G284" s="66">
        <f t="shared" si="219"/>
        <v>2.4126276774125932</v>
      </c>
      <c r="H284" s="66">
        <f t="shared" si="219"/>
        <v>2.3988072028436171</v>
      </c>
      <c r="I284" s="66">
        <f t="shared" si="219"/>
        <v>2.379184110145415</v>
      </c>
      <c r="J284" s="66">
        <f t="shared" si="219"/>
        <v>2.3514487542753191</v>
      </c>
      <c r="K284" s="66">
        <f t="shared" si="219"/>
        <v>2.3125088150209741</v>
      </c>
      <c r="L284" s="66">
        <f t="shared" si="219"/>
        <v>2.2583681638217614</v>
      </c>
      <c r="M284" s="66">
        <f t="shared" si="219"/>
        <v>2.1841433564334305</v>
      </c>
      <c r="N284" s="66">
        <f t="shared" si="219"/>
        <v>2.0843931689123196</v>
      </c>
      <c r="O284" s="66">
        <f t="shared" si="219"/>
        <v>1.9540004035032079</v>
      </c>
      <c r="P284" s="66">
        <f t="shared" si="219"/>
        <v>1.7897927547083285</v>
      </c>
      <c r="Q284" s="66">
        <f t="shared" si="219"/>
        <v>1.5927482897357697</v>
      </c>
      <c r="R284" s="66">
        <f t="shared" si="219"/>
        <v>1.3699356000755636</v>
      </c>
      <c r="S284" s="66">
        <f t="shared" si="219"/>
        <v>1.1347131577787466</v>
      </c>
      <c r="T284" s="66">
        <f t="shared" si="219"/>
        <v>0.90411945317509268</v>
      </c>
      <c r="U284" s="66">
        <f t="shared" si="219"/>
        <v>0.69420525743630557</v>
      </c>
      <c r="V284" s="66">
        <f t="shared" si="219"/>
        <v>0.51580808341464834</v>
      </c>
      <c r="W284" s="66">
        <f t="shared" si="219"/>
        <v>0.37294389614701329</v>
      </c>
      <c r="X284" s="66">
        <f t="shared" si="219"/>
        <v>0.26393218049669054</v>
      </c>
      <c r="Y284" s="66">
        <f t="shared" si="219"/>
        <v>0.18379982674147044</v>
      </c>
      <c r="Z284" s="66">
        <f t="shared" si="219"/>
        <v>0.12650635305435332</v>
      </c>
      <c r="AA284" s="66">
        <f t="shared" si="219"/>
        <v>8.6352089079855254E-2</v>
      </c>
      <c r="AB284" s="66">
        <f t="shared" si="219"/>
        <v>5.8603024599529263E-2</v>
      </c>
      <c r="AC284" s="66">
        <f t="shared" si="219"/>
        <v>3.9612956986719627E-2</v>
      </c>
    </row>
    <row r="285" spans="1:29" ht="15" thickBot="1" x14ac:dyDescent="0.35">
      <c r="A285" s="31" t="s">
        <v>63</v>
      </c>
      <c r="B285" s="76">
        <f>B276+B277+B278-B279+B280+B281+B282+B283+B284</f>
        <v>158.84408232500817</v>
      </c>
      <c r="C285" s="76">
        <f t="shared" ref="C285:AC285" si="220">C276+C277+C278-C279+C280+C281+C282+C283+C284</f>
        <v>158.75822534156683</v>
      </c>
      <c r="D285" s="76">
        <f t="shared" si="220"/>
        <v>158.63534767832226</v>
      </c>
      <c r="E285" s="76">
        <f t="shared" si="220"/>
        <v>158.45961309472722</v>
      </c>
      <c r="F285" s="76">
        <f t="shared" si="220"/>
        <v>158.20855290403014</v>
      </c>
      <c r="G285" s="76">
        <f t="shared" si="220"/>
        <v>157.85044630802011</v>
      </c>
      <c r="H285" s="76">
        <f t="shared" si="220"/>
        <v>157.34084212954502</v>
      </c>
      <c r="I285" s="76">
        <f t="shared" si="220"/>
        <v>156.61814011880509</v>
      </c>
      <c r="J285" s="76">
        <f t="shared" si="220"/>
        <v>155.59839729056748</v>
      </c>
      <c r="K285" s="76">
        <f t="shared" si="220"/>
        <v>154.17011045894358</v>
      </c>
      <c r="L285" s="76">
        <f t="shared" si="220"/>
        <v>152.19089922548</v>
      </c>
      <c r="M285" s="76">
        <f t="shared" si="220"/>
        <v>149.49000211422251</v>
      </c>
      <c r="N285" s="76">
        <f t="shared" si="220"/>
        <v>145.88310319887296</v>
      </c>
      <c r="O285" s="76">
        <f t="shared" si="220"/>
        <v>141.20764582865297</v>
      </c>
      <c r="P285" s="76">
        <f t="shared" si="220"/>
        <v>135.38330264438207</v>
      </c>
      <c r="Q285" s="76">
        <f t="shared" si="220"/>
        <v>128.4878502783252</v>
      </c>
      <c r="R285" s="76">
        <f t="shared" si="220"/>
        <v>120.81365489156165</v>
      </c>
      <c r="S285" s="76">
        <f t="shared" si="220"/>
        <v>112.85369688572385</v>
      </c>
      <c r="T285" s="76">
        <f t="shared" si="220"/>
        <v>105.19160608099271</v>
      </c>
      <c r="U285" s="76">
        <f t="shared" si="220"/>
        <v>98.338226745384517</v>
      </c>
      <c r="V285" s="76">
        <f t="shared" si="220"/>
        <v>92.604912428425152</v>
      </c>
      <c r="W285" s="76">
        <f t="shared" si="220"/>
        <v>88.073900260138458</v>
      </c>
      <c r="X285" s="76">
        <f t="shared" si="220"/>
        <v>84.652638365036822</v>
      </c>
      <c r="Y285" s="76">
        <f t="shared" si="220"/>
        <v>82.157664589549711</v>
      </c>
      <c r="Z285" s="76">
        <f t="shared" si="220"/>
        <v>80.384146781629624</v>
      </c>
      <c r="AA285" s="76">
        <f t="shared" si="220"/>
        <v>79.14631751391282</v>
      </c>
      <c r="AB285" s="76">
        <f t="shared" si="220"/>
        <v>78.293378856086221</v>
      </c>
      <c r="AC285" s="76">
        <f t="shared" si="220"/>
        <v>77.710837433351685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21">A264</f>
        <v>Capex vehicle</v>
      </c>
      <c r="B288" s="65">
        <f>((1+B249)^B256)*B249/(((1+B249)^B256)-1)*(B245)/B261/(B258)</f>
        <v>2.0678991054715748E-3</v>
      </c>
      <c r="C288" s="65">
        <f t="shared" ref="C288:AC288" si="222">((1+C249)^C256)*C249/(((1+C249)^C256)-1)*(C245)/C261/(C258)</f>
        <v>2.0672108897786113E-3</v>
      </c>
      <c r="D288" s="65">
        <f t="shared" si="222"/>
        <v>2.0662257243429026E-3</v>
      </c>
      <c r="E288" s="65">
        <f t="shared" si="222"/>
        <v>2.0648163759071901E-3</v>
      </c>
      <c r="F288" s="65">
        <f t="shared" si="222"/>
        <v>2.0628021060043848E-3</v>
      </c>
      <c r="G288" s="65">
        <f t="shared" si="222"/>
        <v>2.0599273075513052E-3</v>
      </c>
      <c r="H288" s="65">
        <f t="shared" si="222"/>
        <v>2.0558328892888592E-3</v>
      </c>
      <c r="I288" s="65">
        <f t="shared" si="222"/>
        <v>2.0500194022983649E-3</v>
      </c>
      <c r="J288" s="65">
        <f t="shared" si="222"/>
        <v>2.0418025970777333E-3</v>
      </c>
      <c r="K288" s="65">
        <f t="shared" si="222"/>
        <v>2.0302663507914126E-3</v>
      </c>
      <c r="L288" s="65">
        <f t="shared" si="222"/>
        <v>2.0142267806663458E-3</v>
      </c>
      <c r="M288" s="65">
        <f t="shared" si="222"/>
        <v>1.9922371300663917E-3</v>
      </c>
      <c r="N288" s="65">
        <f t="shared" si="222"/>
        <v>1.9626853959757488E-3</v>
      </c>
      <c r="O288" s="65">
        <f t="shared" si="222"/>
        <v>1.9240555705441109E-3</v>
      </c>
      <c r="P288" s="65">
        <f t="shared" si="222"/>
        <v>1.8754078347009179E-3</v>
      </c>
      <c r="Q288" s="65">
        <f t="shared" si="222"/>
        <v>1.8170319481225618E-3</v>
      </c>
      <c r="R288" s="65">
        <f t="shared" si="222"/>
        <v>1.7510220335500617E-3</v>
      </c>
      <c r="S288" s="65">
        <f t="shared" si="222"/>
        <v>1.6813356375677379E-3</v>
      </c>
      <c r="T288" s="65">
        <f t="shared" si="222"/>
        <v>1.6130205395135985E-3</v>
      </c>
      <c r="U288" s="65">
        <f t="shared" si="222"/>
        <v>1.5508318995873728E-3</v>
      </c>
      <c r="V288" s="65">
        <f t="shared" si="222"/>
        <v>1.497980411482707E-3</v>
      </c>
      <c r="W288" s="65">
        <f t="shared" si="222"/>
        <v>1.4556558346761172E-3</v>
      </c>
      <c r="X288" s="65">
        <f t="shared" si="222"/>
        <v>1.423360304073918E-3</v>
      </c>
      <c r="Y288" s="65">
        <f t="shared" si="222"/>
        <v>1.3996204989760034E-3</v>
      </c>
      <c r="Z288" s="65">
        <f t="shared" si="222"/>
        <v>1.3826468817667865E-3</v>
      </c>
      <c r="AA288" s="65">
        <f t="shared" si="222"/>
        <v>1.370750882760983E-3</v>
      </c>
      <c r="AB288" s="65">
        <f t="shared" si="222"/>
        <v>1.3625300162627306E-3</v>
      </c>
      <c r="AC288" s="65">
        <f t="shared" si="222"/>
        <v>1.3569040676564852E-3</v>
      </c>
    </row>
    <row r="289" spans="1:29" x14ac:dyDescent="0.3">
      <c r="A289" s="30" t="str">
        <f t="shared" si="221"/>
        <v>Residual value (vehicle)</v>
      </c>
      <c r="B289" s="68">
        <f>((1+B249)^B256)*B249/(((1+B249)^B256)-1)*(B246)/B261/(B258)</f>
        <v>-1.0354267188938173E-4</v>
      </c>
      <c r="C289" s="68">
        <f t="shared" ref="C289:AC289" si="223">((1+C249)^C256)*C249/(((1+C249)^C256)-1)*(C246)/C261/(C258)</f>
        <v>-1.0357216684765161E-4</v>
      </c>
      <c r="D289" s="68">
        <f t="shared" si="223"/>
        <v>-1.0361438822346771E-4</v>
      </c>
      <c r="E289" s="68">
        <f t="shared" si="223"/>
        <v>-1.036747888707125E-4</v>
      </c>
      <c r="F289" s="68">
        <f t="shared" si="223"/>
        <v>-1.0376111472368988E-4</v>
      </c>
      <c r="G289" s="68">
        <f t="shared" si="223"/>
        <v>-1.0388432037167901E-4</v>
      </c>
      <c r="H289" s="68">
        <f t="shared" si="223"/>
        <v>-1.0405979544006957E-4</v>
      </c>
      <c r="I289" s="68">
        <f t="shared" si="223"/>
        <v>-1.0430894488251933E-4</v>
      </c>
      <c r="J289" s="68">
        <f t="shared" si="223"/>
        <v>-1.0466109367768924E-4</v>
      </c>
      <c r="K289" s="68">
        <f t="shared" si="223"/>
        <v>-1.0515550423281725E-4</v>
      </c>
      <c r="L289" s="68">
        <f t="shared" si="223"/>
        <v>-1.0584291438103441E-4</v>
      </c>
      <c r="M289" s="68">
        <f t="shared" si="223"/>
        <v>-1.067853279781753E-4</v>
      </c>
      <c r="N289" s="68">
        <f t="shared" si="223"/>
        <v>-1.0805183086777429E-4</v>
      </c>
      <c r="O289" s="68">
        <f t="shared" si="223"/>
        <v>-1.0970739481484449E-4</v>
      </c>
      <c r="P289" s="68">
        <f t="shared" si="223"/>
        <v>-1.1179229777955277E-4</v>
      </c>
      <c r="Q289" s="68">
        <f t="shared" si="223"/>
        <v>-1.1429412149005375E-4</v>
      </c>
      <c r="R289" s="68">
        <f t="shared" si="223"/>
        <v>-1.1712311782887515E-4</v>
      </c>
      <c r="S289" s="68">
        <f t="shared" si="223"/>
        <v>-1.2010967765668903E-4</v>
      </c>
      <c r="T289" s="68">
        <f t="shared" si="223"/>
        <v>-1.2303746757329499E-4</v>
      </c>
      <c r="U289" s="68">
        <f t="shared" si="223"/>
        <v>-1.2570269499870466E-4</v>
      </c>
      <c r="V289" s="68">
        <f t="shared" si="223"/>
        <v>-1.2796775877461892E-4</v>
      </c>
      <c r="W289" s="68">
        <f t="shared" si="223"/>
        <v>-1.2978166920918704E-4</v>
      </c>
      <c r="X289" s="68">
        <f t="shared" si="223"/>
        <v>-1.3116576337785275E-4</v>
      </c>
      <c r="Y289" s="68">
        <f t="shared" si="223"/>
        <v>-1.321831835963348E-4</v>
      </c>
      <c r="Z289" s="68">
        <f t="shared" si="223"/>
        <v>-1.3291062433387269E-4</v>
      </c>
      <c r="AA289" s="68">
        <f t="shared" si="223"/>
        <v>-1.3342045286269283E-4</v>
      </c>
      <c r="AB289" s="68">
        <f t="shared" si="223"/>
        <v>-1.3377277571261794E-4</v>
      </c>
      <c r="AC289" s="68">
        <f t="shared" si="223"/>
        <v>-1.3401388779574273E-4</v>
      </c>
    </row>
    <row r="290" spans="1:29" x14ac:dyDescent="0.3">
      <c r="A290" s="30" t="str">
        <f t="shared" si="221"/>
        <v>Capex costumization</v>
      </c>
      <c r="B290" s="66">
        <f>((1+B249)^B257)*B249/(((1+B249)^B257)-1)*(B247)/B261/(B258)</f>
        <v>6.8982996659853576E-5</v>
      </c>
      <c r="C290" s="66">
        <f t="shared" ref="C290:AC290" si="224">((1+C249)^C257)*C249/(((1+C249)^C257)-1)*(C247)/C261/(C258)</f>
        <v>6.8982996659853576E-5</v>
      </c>
      <c r="D290" s="66">
        <f t="shared" si="224"/>
        <v>6.8982996659853576E-5</v>
      </c>
      <c r="E290" s="66">
        <f t="shared" si="224"/>
        <v>6.8982996659853576E-5</v>
      </c>
      <c r="F290" s="66">
        <f t="shared" si="224"/>
        <v>6.8982996659853576E-5</v>
      </c>
      <c r="G290" s="66">
        <f t="shared" si="224"/>
        <v>6.8982996659853576E-5</v>
      </c>
      <c r="H290" s="66">
        <f t="shared" si="224"/>
        <v>6.8982996659853576E-5</v>
      </c>
      <c r="I290" s="66">
        <f t="shared" si="224"/>
        <v>6.8982996659853576E-5</v>
      </c>
      <c r="J290" s="66">
        <f t="shared" si="224"/>
        <v>6.8982996659853576E-5</v>
      </c>
      <c r="K290" s="66">
        <f t="shared" si="224"/>
        <v>6.8982996659853576E-5</v>
      </c>
      <c r="L290" s="66">
        <f t="shared" si="224"/>
        <v>6.8982996659853576E-5</v>
      </c>
      <c r="M290" s="66">
        <f t="shared" si="224"/>
        <v>6.8982996659853576E-5</v>
      </c>
      <c r="N290" s="66">
        <f t="shared" si="224"/>
        <v>6.8982996659853576E-5</v>
      </c>
      <c r="O290" s="66">
        <f t="shared" si="224"/>
        <v>6.8982996659853576E-5</v>
      </c>
      <c r="P290" s="66">
        <f t="shared" si="224"/>
        <v>6.8982996659853576E-5</v>
      </c>
      <c r="Q290" s="66">
        <f t="shared" si="224"/>
        <v>6.8982996659853576E-5</v>
      </c>
      <c r="R290" s="66">
        <f t="shared" si="224"/>
        <v>6.8982996659853576E-5</v>
      </c>
      <c r="S290" s="66">
        <f t="shared" si="224"/>
        <v>6.8982996659853576E-5</v>
      </c>
      <c r="T290" s="66">
        <f t="shared" si="224"/>
        <v>6.8982996659853576E-5</v>
      </c>
      <c r="U290" s="66">
        <f t="shared" si="224"/>
        <v>6.8982996659853576E-5</v>
      </c>
      <c r="V290" s="66">
        <f t="shared" si="224"/>
        <v>6.8982996659853576E-5</v>
      </c>
      <c r="W290" s="66">
        <f t="shared" si="224"/>
        <v>6.8982996659853576E-5</v>
      </c>
      <c r="X290" s="66">
        <f t="shared" si="224"/>
        <v>6.8982996659853576E-5</v>
      </c>
      <c r="Y290" s="66">
        <f t="shared" si="224"/>
        <v>6.8982996659853576E-5</v>
      </c>
      <c r="Z290" s="66">
        <f t="shared" si="224"/>
        <v>6.8982996659853576E-5</v>
      </c>
      <c r="AA290" s="66">
        <f t="shared" si="224"/>
        <v>6.8982996659853576E-5</v>
      </c>
      <c r="AB290" s="66">
        <f t="shared" si="224"/>
        <v>6.8982996659853576E-5</v>
      </c>
      <c r="AC290" s="66">
        <f t="shared" si="224"/>
        <v>6.8982996659853576E-5</v>
      </c>
    </row>
    <row r="291" spans="1:29" x14ac:dyDescent="0.3">
      <c r="A291" s="30" t="str">
        <f t="shared" si="221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25">((1+C249)^C257)*C249/(((1+C249)^C257)-1)*(C248)/C261/(C258)</f>
        <v>-6.8982996659853564E-6</v>
      </c>
      <c r="D291" s="69">
        <f t="shared" si="225"/>
        <v>-6.8982996659853564E-6</v>
      </c>
      <c r="E291" s="69">
        <f t="shared" si="225"/>
        <v>-6.8982996659853564E-6</v>
      </c>
      <c r="F291" s="69">
        <f t="shared" si="225"/>
        <v>-6.8982996659853564E-6</v>
      </c>
      <c r="G291" s="69">
        <f t="shared" si="225"/>
        <v>-6.8982996659853564E-6</v>
      </c>
      <c r="H291" s="69">
        <f t="shared" si="225"/>
        <v>-6.8982996659853564E-6</v>
      </c>
      <c r="I291" s="69">
        <f t="shared" si="225"/>
        <v>-6.8982996659853564E-6</v>
      </c>
      <c r="J291" s="69">
        <f t="shared" si="225"/>
        <v>-6.8982996659853564E-6</v>
      </c>
      <c r="K291" s="69">
        <f t="shared" si="225"/>
        <v>-6.8982996659853564E-6</v>
      </c>
      <c r="L291" s="69">
        <f t="shared" si="225"/>
        <v>-6.8982996659853564E-6</v>
      </c>
      <c r="M291" s="69">
        <f t="shared" si="225"/>
        <v>-6.8982996659853564E-6</v>
      </c>
      <c r="N291" s="69">
        <f t="shared" si="225"/>
        <v>-6.8982996659853564E-6</v>
      </c>
      <c r="O291" s="69">
        <f t="shared" si="225"/>
        <v>-6.8982996659853564E-6</v>
      </c>
      <c r="P291" s="69">
        <f t="shared" si="225"/>
        <v>-6.8982996659853564E-6</v>
      </c>
      <c r="Q291" s="69">
        <f t="shared" si="225"/>
        <v>-6.8982996659853564E-6</v>
      </c>
      <c r="R291" s="69">
        <f t="shared" si="225"/>
        <v>-6.8982996659853564E-6</v>
      </c>
      <c r="S291" s="69">
        <f t="shared" si="225"/>
        <v>-6.8982996659853564E-6</v>
      </c>
      <c r="T291" s="69">
        <f t="shared" si="225"/>
        <v>-6.8982996659853564E-6</v>
      </c>
      <c r="U291" s="69">
        <f t="shared" si="225"/>
        <v>-6.8982996659853564E-6</v>
      </c>
      <c r="V291" s="69">
        <f t="shared" si="225"/>
        <v>-6.8982996659853564E-6</v>
      </c>
      <c r="W291" s="69">
        <f t="shared" si="225"/>
        <v>-6.8982996659853564E-6</v>
      </c>
      <c r="X291" s="69">
        <f t="shared" si="225"/>
        <v>-6.8982996659853564E-6</v>
      </c>
      <c r="Y291" s="69">
        <f t="shared" si="225"/>
        <v>-6.8982996659853564E-6</v>
      </c>
      <c r="Z291" s="69">
        <f t="shared" si="225"/>
        <v>-6.8982996659853564E-6</v>
      </c>
      <c r="AA291" s="69">
        <f t="shared" si="225"/>
        <v>-6.8982996659853564E-6</v>
      </c>
      <c r="AB291" s="69">
        <f t="shared" si="225"/>
        <v>-6.8982996659853564E-6</v>
      </c>
      <c r="AC291" s="69">
        <f t="shared" si="225"/>
        <v>-6.8982996659853564E-6</v>
      </c>
    </row>
    <row r="292" spans="1:29" x14ac:dyDescent="0.3">
      <c r="A292" s="30" t="str">
        <f t="shared" si="221"/>
        <v>Opex fix (admin, crew, insurance)</v>
      </c>
      <c r="B292" s="66">
        <f>B250/B261/(B258)</f>
        <v>1.0654632223259673E-3</v>
      </c>
      <c r="C292" s="66">
        <f t="shared" ref="C292:AC292" si="226">C250/C261/(C258)</f>
        <v>1.0654632223259673E-3</v>
      </c>
      <c r="D292" s="66">
        <f t="shared" si="226"/>
        <v>1.0654632223259673E-3</v>
      </c>
      <c r="E292" s="66">
        <f t="shared" si="226"/>
        <v>1.0654632223259673E-3</v>
      </c>
      <c r="F292" s="66">
        <f t="shared" si="226"/>
        <v>1.0654632223259673E-3</v>
      </c>
      <c r="G292" s="66">
        <f t="shared" si="226"/>
        <v>1.0654632223259673E-3</v>
      </c>
      <c r="H292" s="66">
        <f t="shared" si="226"/>
        <v>1.0654632223259673E-3</v>
      </c>
      <c r="I292" s="66">
        <f t="shared" si="226"/>
        <v>1.0654632223259673E-3</v>
      </c>
      <c r="J292" s="66">
        <f t="shared" si="226"/>
        <v>1.0654632223259673E-3</v>
      </c>
      <c r="K292" s="66">
        <f t="shared" si="226"/>
        <v>1.0654632223259673E-3</v>
      </c>
      <c r="L292" s="66">
        <f t="shared" si="226"/>
        <v>1.0654632223259673E-3</v>
      </c>
      <c r="M292" s="66">
        <f t="shared" si="226"/>
        <v>1.0654632223259673E-3</v>
      </c>
      <c r="N292" s="66">
        <f t="shared" si="226"/>
        <v>1.0654632223259673E-3</v>
      </c>
      <c r="O292" s="66">
        <f t="shared" si="226"/>
        <v>1.0654632223259673E-3</v>
      </c>
      <c r="P292" s="66">
        <f t="shared" si="226"/>
        <v>1.0654632223259673E-3</v>
      </c>
      <c r="Q292" s="66">
        <f t="shared" si="226"/>
        <v>1.0654632223259673E-3</v>
      </c>
      <c r="R292" s="66">
        <f t="shared" si="226"/>
        <v>1.0654632223259673E-3</v>
      </c>
      <c r="S292" s="66">
        <f t="shared" si="226"/>
        <v>1.0654632223259673E-3</v>
      </c>
      <c r="T292" s="66">
        <f t="shared" si="226"/>
        <v>1.0654632223259673E-3</v>
      </c>
      <c r="U292" s="66">
        <f t="shared" si="226"/>
        <v>1.0654632223259673E-3</v>
      </c>
      <c r="V292" s="66">
        <f t="shared" si="226"/>
        <v>1.0654632223259673E-3</v>
      </c>
      <c r="W292" s="66">
        <f t="shared" si="226"/>
        <v>1.0654632223259673E-3</v>
      </c>
      <c r="X292" s="66">
        <f t="shared" si="226"/>
        <v>1.0654632223259673E-3</v>
      </c>
      <c r="Y292" s="66">
        <f t="shared" si="226"/>
        <v>1.0654632223259673E-3</v>
      </c>
      <c r="Z292" s="66">
        <f t="shared" si="226"/>
        <v>1.0654632223259673E-3</v>
      </c>
      <c r="AA292" s="66">
        <f t="shared" si="226"/>
        <v>1.0654632223259673E-3</v>
      </c>
      <c r="AB292" s="66">
        <f t="shared" si="226"/>
        <v>1.0654632223259673E-3</v>
      </c>
      <c r="AC292" s="66">
        <f t="shared" si="226"/>
        <v>1.0654632223259673E-3</v>
      </c>
    </row>
    <row r="293" spans="1:29" x14ac:dyDescent="0.3">
      <c r="A293" s="30" t="str">
        <f t="shared" si="221"/>
        <v>Opex maintenance &amp; repair</v>
      </c>
      <c r="B293" s="66">
        <f>B251/B261/(B258)</f>
        <v>2.9878618113912231E-4</v>
      </c>
      <c r="C293" s="66">
        <f t="shared" ref="C293:AC293" si="227">C251/C261/(C258)</f>
        <v>2.9878618113912231E-4</v>
      </c>
      <c r="D293" s="66">
        <f t="shared" si="227"/>
        <v>2.9878618113912231E-4</v>
      </c>
      <c r="E293" s="66">
        <f t="shared" si="227"/>
        <v>2.9878618113912231E-4</v>
      </c>
      <c r="F293" s="66">
        <f t="shared" si="227"/>
        <v>2.9878618113912231E-4</v>
      </c>
      <c r="G293" s="66">
        <f t="shared" si="227"/>
        <v>2.9878618113912231E-4</v>
      </c>
      <c r="H293" s="66">
        <f t="shared" si="227"/>
        <v>2.9878618113912231E-4</v>
      </c>
      <c r="I293" s="66">
        <f t="shared" si="227"/>
        <v>2.9878618113912231E-4</v>
      </c>
      <c r="J293" s="66">
        <f t="shared" si="227"/>
        <v>2.9878618113912231E-4</v>
      </c>
      <c r="K293" s="66">
        <f t="shared" si="227"/>
        <v>2.9878618113912231E-4</v>
      </c>
      <c r="L293" s="66">
        <f t="shared" si="227"/>
        <v>2.9878618113912231E-4</v>
      </c>
      <c r="M293" s="66">
        <f t="shared" si="227"/>
        <v>2.9878618113912231E-4</v>
      </c>
      <c r="N293" s="66">
        <f t="shared" si="227"/>
        <v>2.9878618113912231E-4</v>
      </c>
      <c r="O293" s="66">
        <f t="shared" si="227"/>
        <v>2.9878618113912231E-4</v>
      </c>
      <c r="P293" s="66">
        <f t="shared" si="227"/>
        <v>2.9878618113912231E-4</v>
      </c>
      <c r="Q293" s="66">
        <f t="shared" si="227"/>
        <v>2.9878618113912231E-4</v>
      </c>
      <c r="R293" s="66">
        <f t="shared" si="227"/>
        <v>2.9878618113912231E-4</v>
      </c>
      <c r="S293" s="66">
        <f t="shared" si="227"/>
        <v>2.9878618113912231E-4</v>
      </c>
      <c r="T293" s="66">
        <f t="shared" si="227"/>
        <v>2.9878618113912231E-4</v>
      </c>
      <c r="U293" s="66">
        <f t="shared" si="227"/>
        <v>2.9878618113912231E-4</v>
      </c>
      <c r="V293" s="66">
        <f t="shared" si="227"/>
        <v>2.9878618113912231E-4</v>
      </c>
      <c r="W293" s="66">
        <f t="shared" si="227"/>
        <v>2.9878618113912231E-4</v>
      </c>
      <c r="X293" s="66">
        <f t="shared" si="227"/>
        <v>2.9878618113912231E-4</v>
      </c>
      <c r="Y293" s="66">
        <f t="shared" si="227"/>
        <v>2.9878618113912231E-4</v>
      </c>
      <c r="Z293" s="66">
        <f t="shared" si="227"/>
        <v>2.9878618113912231E-4</v>
      </c>
      <c r="AA293" s="66">
        <f t="shared" si="227"/>
        <v>2.9878618113912231E-4</v>
      </c>
      <c r="AB293" s="66">
        <f t="shared" si="227"/>
        <v>2.9878618113912231E-4</v>
      </c>
      <c r="AC293" s="66">
        <f t="shared" si="227"/>
        <v>2.9878618113912231E-4</v>
      </c>
    </row>
    <row r="294" spans="1:29" x14ac:dyDescent="0.3">
      <c r="A294" s="30" t="str">
        <f t="shared" si="221"/>
        <v>Opex var (mode-fees)</v>
      </c>
      <c r="B294" s="66">
        <f>B252*B261/B261/(B258)</f>
        <v>8.6011184229469056E-5</v>
      </c>
      <c r="C294" s="66">
        <f t="shared" ref="C294:AC294" si="228">C252*C261/C261/(C258)</f>
        <v>8.6011184229469056E-5</v>
      </c>
      <c r="D294" s="66">
        <f t="shared" si="228"/>
        <v>8.6011184229469056E-5</v>
      </c>
      <c r="E294" s="66">
        <f t="shared" si="228"/>
        <v>8.6011184229469056E-5</v>
      </c>
      <c r="F294" s="66">
        <f t="shared" si="228"/>
        <v>8.6011184229469056E-5</v>
      </c>
      <c r="G294" s="66">
        <f t="shared" si="228"/>
        <v>8.6011184229469056E-5</v>
      </c>
      <c r="H294" s="66">
        <f t="shared" si="228"/>
        <v>8.6011184229469056E-5</v>
      </c>
      <c r="I294" s="66">
        <f t="shared" si="228"/>
        <v>8.6011184229469056E-5</v>
      </c>
      <c r="J294" s="66">
        <f t="shared" si="228"/>
        <v>8.6011184229469056E-5</v>
      </c>
      <c r="K294" s="66">
        <f t="shared" si="228"/>
        <v>8.6011184229469056E-5</v>
      </c>
      <c r="L294" s="66">
        <f t="shared" si="228"/>
        <v>8.6011184229469056E-5</v>
      </c>
      <c r="M294" s="66">
        <f t="shared" si="228"/>
        <v>8.6011184229469056E-5</v>
      </c>
      <c r="N294" s="66">
        <f t="shared" si="228"/>
        <v>8.6011184229469056E-5</v>
      </c>
      <c r="O294" s="66">
        <f t="shared" si="228"/>
        <v>8.6011184229469056E-5</v>
      </c>
      <c r="P294" s="66">
        <f t="shared" si="228"/>
        <v>8.6011184229469056E-5</v>
      </c>
      <c r="Q294" s="66">
        <f t="shared" si="228"/>
        <v>8.6011184229469056E-5</v>
      </c>
      <c r="R294" s="66">
        <f t="shared" si="228"/>
        <v>8.6011184229469056E-5</v>
      </c>
      <c r="S294" s="66">
        <f t="shared" si="228"/>
        <v>8.6011184229469056E-5</v>
      </c>
      <c r="T294" s="66">
        <f t="shared" si="228"/>
        <v>8.6011184229469056E-5</v>
      </c>
      <c r="U294" s="66">
        <f t="shared" si="228"/>
        <v>8.6011184229469056E-5</v>
      </c>
      <c r="V294" s="66">
        <f t="shared" si="228"/>
        <v>8.6011184229469056E-5</v>
      </c>
      <c r="W294" s="66">
        <f t="shared" si="228"/>
        <v>8.6011184229469056E-5</v>
      </c>
      <c r="X294" s="66">
        <f t="shared" si="228"/>
        <v>8.6011184229469056E-5</v>
      </c>
      <c r="Y294" s="66">
        <f t="shared" si="228"/>
        <v>8.6011184229469056E-5</v>
      </c>
      <c r="Z294" s="66">
        <f t="shared" si="228"/>
        <v>8.6011184229469056E-5</v>
      </c>
      <c r="AA294" s="66">
        <f t="shared" si="228"/>
        <v>8.6011184229469056E-5</v>
      </c>
      <c r="AB294" s="66">
        <f t="shared" si="228"/>
        <v>8.6011184229469056E-5</v>
      </c>
      <c r="AC294" s="66">
        <f t="shared" si="228"/>
        <v>8.6011184229469056E-5</v>
      </c>
    </row>
    <row r="295" spans="1:29" x14ac:dyDescent="0.3">
      <c r="A295" s="30" t="str">
        <f t="shared" si="221"/>
        <v>Fuel Cost</v>
      </c>
      <c r="B295" s="66">
        <f>B253*B254*B261/B261/(B258)</f>
        <v>1.3060247322593066E-2</v>
      </c>
      <c r="C295" s="66">
        <f t="shared" ref="C295:AC295" si="229">C253*C254*C261/C261/(C258)</f>
        <v>1.3052125461736537E-2</v>
      </c>
      <c r="D295" s="66">
        <f t="shared" si="229"/>
        <v>1.304050181217919E-2</v>
      </c>
      <c r="E295" s="66">
        <f t="shared" si="229"/>
        <v>1.3023878713792207E-2</v>
      </c>
      <c r="F295" s="66">
        <f t="shared" si="229"/>
        <v>1.3000131570088376E-2</v>
      </c>
      <c r="G295" s="66">
        <f t="shared" si="229"/>
        <v>1.2966261544737281E-2</v>
      </c>
      <c r="H295" s="66">
        <f t="shared" si="229"/>
        <v>1.2918067554056889E-2</v>
      </c>
      <c r="I295" s="66">
        <f t="shared" si="229"/>
        <v>1.2849730304982768E-2</v>
      </c>
      <c r="J295" s="66">
        <f t="shared" si="229"/>
        <v>1.2753324923298306E-2</v>
      </c>
      <c r="K295" s="66">
        <f t="shared" si="229"/>
        <v>1.2618334744968374E-2</v>
      </c>
      <c r="L295" s="66">
        <f t="shared" si="229"/>
        <v>1.2431350552515267E-2</v>
      </c>
      <c r="M295" s="66">
        <f t="shared" si="229"/>
        <v>1.2176327875562188E-2</v>
      </c>
      <c r="N295" s="66">
        <f t="shared" si="229"/>
        <v>1.1836019263036773E-2</v>
      </c>
      <c r="O295" s="66">
        <f t="shared" si="229"/>
        <v>1.1395345434975179E-2</v>
      </c>
      <c r="P295" s="66">
        <f t="shared" si="229"/>
        <v>1.0847121932462869E-2</v>
      </c>
      <c r="Q295" s="66">
        <f t="shared" si="229"/>
        <v>1.019917340983275E-2</v>
      </c>
      <c r="R295" s="66">
        <f t="shared" si="229"/>
        <v>9.4795062152304883E-3</v>
      </c>
      <c r="S295" s="66">
        <f t="shared" si="229"/>
        <v>8.7347468362743846E-3</v>
      </c>
      <c r="T295" s="66">
        <f t="shared" si="229"/>
        <v>8.0195879147078302E-3</v>
      </c>
      <c r="U295" s="66">
        <f t="shared" si="229"/>
        <v>7.3814295979463002E-3</v>
      </c>
      <c r="V295" s="66">
        <f t="shared" si="229"/>
        <v>6.8487242299392912E-3</v>
      </c>
      <c r="W295" s="66">
        <f t="shared" si="229"/>
        <v>6.4285084334747304E-3</v>
      </c>
      <c r="X295" s="66">
        <f t="shared" si="229"/>
        <v>6.1116853937533914E-3</v>
      </c>
      <c r="Y295" s="66">
        <f t="shared" si="229"/>
        <v>5.8809038442833445E-3</v>
      </c>
      <c r="Z295" s="66">
        <f t="shared" si="229"/>
        <v>5.7169938615705268E-3</v>
      </c>
      <c r="AA295" s="66">
        <f t="shared" si="229"/>
        <v>5.6026615934710441E-3</v>
      </c>
      <c r="AB295" s="66">
        <f t="shared" si="229"/>
        <v>5.5239131327296685E-3</v>
      </c>
      <c r="AC295" s="66">
        <f t="shared" si="229"/>
        <v>5.4701451293849941E-3</v>
      </c>
    </row>
    <row r="296" spans="1:29" x14ac:dyDescent="0.3">
      <c r="A296" s="59" t="str">
        <f>A259</f>
        <v>Market failure (av. utilization)</v>
      </c>
      <c r="B296" s="66">
        <f t="shared" ref="B296:AC296" si="230">B285/B259-B285/B258</f>
        <v>2.6290839836726355E-2</v>
      </c>
      <c r="C296" s="66">
        <f t="shared" si="230"/>
        <v>2.6276629346996545E-2</v>
      </c>
      <c r="D296" s="66">
        <f t="shared" si="230"/>
        <v>2.6256291435022817E-2</v>
      </c>
      <c r="E296" s="66">
        <f t="shared" si="230"/>
        <v>2.622720498922361E-2</v>
      </c>
      <c r="F296" s="66">
        <f t="shared" si="230"/>
        <v>2.618565113864018E-2</v>
      </c>
      <c r="G296" s="66">
        <f t="shared" si="230"/>
        <v>2.6126379662974434E-2</v>
      </c>
      <c r="H296" s="66">
        <f t="shared" si="230"/>
        <v>2.6042033292368056E-2</v>
      </c>
      <c r="I296" s="66">
        <f t="shared" si="230"/>
        <v>2.5922416353946844E-2</v>
      </c>
      <c r="J296" s="66">
        <f t="shared" si="230"/>
        <v>2.5753635150521273E-2</v>
      </c>
      <c r="K296" s="66">
        <f t="shared" si="230"/>
        <v>2.5517234399662348E-2</v>
      </c>
      <c r="L296" s="66">
        <f t="shared" si="230"/>
        <v>2.5189648223454836E-2</v>
      </c>
      <c r="M296" s="66">
        <f t="shared" si="230"/>
        <v>2.4742613292545308E-2</v>
      </c>
      <c r="N296" s="66">
        <f t="shared" si="230"/>
        <v>2.4145622833078959E-2</v>
      </c>
      <c r="O296" s="66">
        <f t="shared" si="230"/>
        <v>2.3371771525024638E-2</v>
      </c>
      <c r="P296" s="66">
        <f t="shared" si="230"/>
        <v>2.2407764106111266E-2</v>
      </c>
      <c r="Q296" s="66">
        <f t="shared" si="230"/>
        <v>2.1266473658873526E-2</v>
      </c>
      <c r="R296" s="66">
        <f t="shared" si="230"/>
        <v>1.999629072957607E-2</v>
      </c>
      <c r="S296" s="66">
        <f t="shared" si="230"/>
        <v>1.8678810229356003E-2</v>
      </c>
      <c r="T296" s="66">
        <f t="shared" si="230"/>
        <v>1.7410630771782815E-2</v>
      </c>
      <c r="U296" s="66">
        <f t="shared" si="230"/>
        <v>1.6276303979021724E-2</v>
      </c>
      <c r="V296" s="66">
        <f t="shared" si="230"/>
        <v>1.5327363066433142E-2</v>
      </c>
      <c r="W296" s="66">
        <f t="shared" si="230"/>
        <v>1.4577419389142438E-2</v>
      </c>
      <c r="X296" s="66">
        <f t="shared" si="230"/>
        <v>1.4011154362412825E-2</v>
      </c>
      <c r="Y296" s="66">
        <f t="shared" si="230"/>
        <v>1.3598202523300861E-2</v>
      </c>
      <c r="Z296" s="66">
        <f t="shared" si="230"/>
        <v>1.3304661385644841E-2</v>
      </c>
      <c r="AA296" s="66">
        <f t="shared" si="230"/>
        <v>1.3099783932570025E-2</v>
      </c>
      <c r="AB296" s="66">
        <f t="shared" si="230"/>
        <v>1.2958611071011423E-2</v>
      </c>
      <c r="AC296" s="66">
        <f t="shared" si="230"/>
        <v>1.2862192601911418E-2</v>
      </c>
    </row>
    <row r="297" spans="1:29" x14ac:dyDescent="0.3">
      <c r="A297" s="59" t="str">
        <f>A260</f>
        <v>Payload loss (fuel)</v>
      </c>
      <c r="B297" s="66">
        <f>B285/(B258-B260)-B285/B258</f>
        <v>1.8667438119986494E-3</v>
      </c>
      <c r="C297" s="66">
        <f t="shared" ref="C297:AC297" si="231">C285/(C258-C260)-C285/C258</f>
        <v>1.8653407302728596E-3</v>
      </c>
      <c r="D297" s="66">
        <f t="shared" si="231"/>
        <v>1.863333310849969E-3</v>
      </c>
      <c r="E297" s="66">
        <f t="shared" si="231"/>
        <v>1.8604637270468218E-3</v>
      </c>
      <c r="F297" s="66">
        <f t="shared" si="231"/>
        <v>1.8563668925640868E-3</v>
      </c>
      <c r="G297" s="66">
        <f t="shared" si="231"/>
        <v>1.8505288553376797E-3</v>
      </c>
      <c r="H297" s="66">
        <f t="shared" si="231"/>
        <v>1.8422323753694916E-3</v>
      </c>
      <c r="I297" s="66">
        <f t="shared" si="231"/>
        <v>1.8304894874185962E-3</v>
      </c>
      <c r="J297" s="66">
        <f t="shared" si="231"/>
        <v>1.8139658043314633E-3</v>
      </c>
      <c r="K297" s="66">
        <f t="shared" si="231"/>
        <v>1.790912252811281E-3</v>
      </c>
      <c r="L297" s="66">
        <f t="shared" si="231"/>
        <v>1.7591405915736921E-3</v>
      </c>
      <c r="M297" s="66">
        <f t="shared" si="231"/>
        <v>1.7161115644184627E-3</v>
      </c>
      <c r="N297" s="66">
        <f t="shared" si="231"/>
        <v>1.6592412102228084E-3</v>
      </c>
      <c r="O297" s="66">
        <f t="shared" si="231"/>
        <v>1.5865378359783723E-3</v>
      </c>
      <c r="P297" s="66">
        <f t="shared" si="231"/>
        <v>1.4975860129541954E-3</v>
      </c>
      <c r="Q297" s="66">
        <f t="shared" si="231"/>
        <v>1.3946197674324801E-3</v>
      </c>
      <c r="R297" s="66">
        <f t="shared" si="231"/>
        <v>1.283052798634032E-3</v>
      </c>
      <c r="S297" s="66">
        <f t="shared" si="231"/>
        <v>1.1707532963164142E-3</v>
      </c>
      <c r="T297" s="66">
        <f t="shared" si="231"/>
        <v>1.0660023666791557E-3</v>
      </c>
      <c r="U297" s="66">
        <f t="shared" si="231"/>
        <v>9.7513578180471495E-4</v>
      </c>
      <c r="V297" s="66">
        <f t="shared" si="231"/>
        <v>9.0120421164530291E-4</v>
      </c>
      <c r="W297" s="66">
        <f t="shared" si="231"/>
        <v>8.4413881602851855E-4</v>
      </c>
      <c r="X297" s="66">
        <f t="shared" si="231"/>
        <v>8.0185639660919523E-4</v>
      </c>
      <c r="Y297" s="66">
        <f t="shared" si="231"/>
        <v>7.714632139298877E-4</v>
      </c>
      <c r="Z297" s="66">
        <f t="shared" si="231"/>
        <v>7.5008663579112511E-4</v>
      </c>
      <c r="AA297" s="66">
        <f t="shared" si="231"/>
        <v>7.3527965387291949E-4</v>
      </c>
      <c r="AB297" s="66">
        <f t="shared" si="231"/>
        <v>7.2513092783559573E-4</v>
      </c>
      <c r="AC297" s="66">
        <f t="shared" si="231"/>
        <v>7.1822500101581012E-4</v>
      </c>
    </row>
    <row r="298" spans="1:29" ht="15" thickBot="1" x14ac:dyDescent="0.35">
      <c r="A298" s="59" t="str">
        <f>A235</f>
        <v>Emission Cost</v>
      </c>
      <c r="B298" s="68">
        <f>B255*B261/B261/(B258)</f>
        <v>2.5815196033431064E-4</v>
      </c>
      <c r="C298" s="68">
        <f t="shared" ref="C298:AC298" si="232">C255*C261/C261/(C258)</f>
        <v>2.5790613676891132E-4</v>
      </c>
      <c r="D298" s="68">
        <f t="shared" si="232"/>
        <v>2.5755424581032062E-4</v>
      </c>
      <c r="E298" s="68">
        <f t="shared" si="232"/>
        <v>2.5705084104797826E-4</v>
      </c>
      <c r="F298" s="68">
        <f t="shared" si="232"/>
        <v>2.5633136456081513E-4</v>
      </c>
      <c r="G298" s="68">
        <f t="shared" si="232"/>
        <v>2.5530451612831671E-4</v>
      </c>
      <c r="H298" s="68">
        <f t="shared" si="232"/>
        <v>2.538420320469436E-4</v>
      </c>
      <c r="I298" s="68">
        <f t="shared" si="232"/>
        <v>2.5176551430110213E-4</v>
      </c>
      <c r="J298" s="68">
        <f t="shared" si="232"/>
        <v>2.4883055600797026E-4</v>
      </c>
      <c r="K298" s="68">
        <f t="shared" si="232"/>
        <v>2.4470992751544701E-4</v>
      </c>
      <c r="L298" s="68">
        <f t="shared" si="232"/>
        <v>2.3898075807637687E-4</v>
      </c>
      <c r="M298" s="68">
        <f t="shared" si="232"/>
        <v>2.3112628110406671E-4</v>
      </c>
      <c r="N298" s="68">
        <f t="shared" si="232"/>
        <v>2.2057070570500738E-4</v>
      </c>
      <c r="O298" s="68">
        <f t="shared" si="232"/>
        <v>2.0677252947123894E-4</v>
      </c>
      <c r="P298" s="68">
        <f t="shared" si="232"/>
        <v>1.8939605869929403E-4</v>
      </c>
      <c r="Q298" s="68">
        <f t="shared" si="232"/>
        <v>1.685447925646317E-4</v>
      </c>
      <c r="R298" s="68">
        <f t="shared" si="232"/>
        <v>1.4496673016672632E-4</v>
      </c>
      <c r="S298" s="68">
        <f t="shared" si="232"/>
        <v>1.2007546643161339E-4</v>
      </c>
      <c r="T298" s="68">
        <f t="shared" si="232"/>
        <v>9.5674016209004522E-5</v>
      </c>
      <c r="U298" s="68">
        <f t="shared" si="232"/>
        <v>7.3460873802783661E-5</v>
      </c>
      <c r="V298" s="68">
        <f t="shared" si="232"/>
        <v>5.4582865969804057E-5</v>
      </c>
      <c r="W298" s="68">
        <f t="shared" si="232"/>
        <v>3.9464962555239501E-5</v>
      </c>
      <c r="X298" s="68">
        <f t="shared" si="232"/>
        <v>2.7929331269491062E-5</v>
      </c>
      <c r="Y298" s="68">
        <f t="shared" si="232"/>
        <v>1.9449717115499516E-5</v>
      </c>
      <c r="Z298" s="68">
        <f t="shared" si="232"/>
        <v>1.3386915667127335E-5</v>
      </c>
      <c r="AA298" s="68">
        <f t="shared" si="232"/>
        <v>9.1377872042174873E-6</v>
      </c>
      <c r="AB298" s="68">
        <f t="shared" si="232"/>
        <v>6.2013782645004512E-6</v>
      </c>
      <c r="AC298" s="68">
        <f t="shared" si="232"/>
        <v>4.1918473001819709E-6</v>
      </c>
    </row>
    <row r="299" spans="1:29" ht="15" thickBot="1" x14ac:dyDescent="0.35">
      <c r="A299" s="31" t="s">
        <v>210</v>
      </c>
      <c r="B299" s="67">
        <f>B288+B289+B290+B291+B292+B293+B294+B295+B296+B297+B298</f>
        <v>4.4952684649922997E-2</v>
      </c>
      <c r="C299" s="67">
        <f t="shared" ref="C299:AC299" si="233">C288+C289+C290+C291+C292+C293+C294+C295+C296+C297+C298</f>
        <v>4.4927985683394241E-2</v>
      </c>
      <c r="D299" s="67">
        <f t="shared" si="233"/>
        <v>4.4892637424670159E-2</v>
      </c>
      <c r="E299" s="67">
        <f t="shared" si="233"/>
        <v>4.4842085142835511E-2</v>
      </c>
      <c r="F299" s="67">
        <f t="shared" si="233"/>
        <v>4.4769867241822588E-2</v>
      </c>
      <c r="G299" s="67">
        <f t="shared" si="233"/>
        <v>4.4666862851045763E-2</v>
      </c>
      <c r="H299" s="67">
        <f t="shared" si="233"/>
        <v>4.4520293632378596E-2</v>
      </c>
      <c r="I299" s="67">
        <f t="shared" si="233"/>
        <v>4.431245740275358E-2</v>
      </c>
      <c r="J299" s="67">
        <f t="shared" si="233"/>
        <v>4.4019243222247484E-2</v>
      </c>
      <c r="K299" s="67">
        <f t="shared" si="233"/>
        <v>4.3608647456204477E-2</v>
      </c>
      <c r="L299" s="67">
        <f t="shared" si="233"/>
        <v>4.3039849276593913E-2</v>
      </c>
      <c r="M299" s="67">
        <f t="shared" si="233"/>
        <v>4.2263976100406671E-2</v>
      </c>
      <c r="N299" s="67">
        <f t="shared" si="233"/>
        <v>4.1228432861839949E-2</v>
      </c>
      <c r="O299" s="67">
        <f t="shared" si="233"/>
        <v>3.988712078586712E-2</v>
      </c>
      <c r="P299" s="67">
        <f t="shared" si="233"/>
        <v>3.8217828931837422E-2</v>
      </c>
      <c r="Q299" s="67">
        <f t="shared" si="233"/>
        <v>3.6243894740024318E-2</v>
      </c>
      <c r="R299" s="67">
        <f t="shared" si="233"/>
        <v>3.4050060674016933E-2</v>
      </c>
      <c r="S299" s="67">
        <f t="shared" si="233"/>
        <v>3.177795707297789E-2</v>
      </c>
      <c r="T299" s="67">
        <f t="shared" si="233"/>
        <v>2.9594223426007534E-2</v>
      </c>
      <c r="U299" s="67">
        <f t="shared" si="233"/>
        <v>2.764380472185262E-2</v>
      </c>
      <c r="V299" s="67">
        <f t="shared" si="233"/>
        <v>2.6014232311384052E-2</v>
      </c>
      <c r="W299" s="67">
        <f t="shared" si="233"/>
        <v>2.4727751051356286E-2</v>
      </c>
      <c r="X299" s="67">
        <f t="shared" si="233"/>
        <v>2.3757165309429392E-2</v>
      </c>
      <c r="Y299" s="67">
        <f t="shared" si="233"/>
        <v>2.3049801898697691E-2</v>
      </c>
      <c r="Z299" s="67">
        <f t="shared" si="233"/>
        <v>2.254721034079496E-2</v>
      </c>
      <c r="AA299" s="67">
        <f t="shared" si="233"/>
        <v>2.2196538681704923E-2</v>
      </c>
      <c r="AB299" s="67">
        <f t="shared" si="233"/>
        <v>2.1954959035079727E-2</v>
      </c>
      <c r="AC299" s="67">
        <f t="shared" si="233"/>
        <v>2.1789990044161572E-2</v>
      </c>
    </row>
    <row r="301" spans="1:29" x14ac:dyDescent="0.3">
      <c r="B301" s="40"/>
    </row>
    <row r="324" spans="1:44" s="3" customFormat="1" ht="21" x14ac:dyDescent="0.4">
      <c r="A324" s="2" t="str">
        <f>'Parameter Input'!A178</f>
        <v>Short-sea:  Neo bulk</v>
      </c>
    </row>
    <row r="325" spans="1:44" s="3" customFormat="1" ht="21" x14ac:dyDescent="0.4">
      <c r="A325" s="2" t="s">
        <v>103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Input'!$L$167</f>
        <v>30000000</v>
      </c>
      <c r="C334" s="42">
        <f>'Parameter Input'!$M$167</f>
        <v>19500000</v>
      </c>
      <c r="D334" s="1" t="s">
        <v>15</v>
      </c>
      <c r="L334" s="51">
        <f>'Parameter Input'!$O$167</f>
        <v>17</v>
      </c>
      <c r="M334" s="52">
        <v>0</v>
      </c>
      <c r="N334" s="52">
        <v>1</v>
      </c>
      <c r="O334" s="52">
        <f>'Parameter Input'!$P$167</f>
        <v>0.9</v>
      </c>
      <c r="P334" s="53">
        <f>'Parameter Input'!$Q$167</f>
        <v>0.4</v>
      </c>
      <c r="Q334" s="4">
        <f t="shared" ref="Q334:AR343" si="234">$N334+($M334-$N334)*((1/(1+EXP(-$P334*(Q$9-$L334)))^$O334))</f>
        <v>0.99780374543478534</v>
      </c>
      <c r="R334" s="4">
        <f t="shared" si="234"/>
        <v>0.99685359315256394</v>
      </c>
      <c r="S334" s="4">
        <f t="shared" si="234"/>
        <v>0.99549347132349975</v>
      </c>
      <c r="T334" s="4">
        <f t="shared" si="234"/>
        <v>0.99354772139898062</v>
      </c>
      <c r="U334" s="4">
        <f t="shared" si="234"/>
        <v>0.99076681540580536</v>
      </c>
      <c r="V334" s="4">
        <f t="shared" si="234"/>
        <v>0.9867978615748374</v>
      </c>
      <c r="W334" s="4">
        <f t="shared" si="234"/>
        <v>0.98114509762858249</v>
      </c>
      <c r="X334" s="4">
        <f t="shared" si="234"/>
        <v>0.97311898315872036</v>
      </c>
      <c r="Y334" s="4">
        <f t="shared" si="234"/>
        <v>0.96177484161592774</v>
      </c>
      <c r="Z334" s="4">
        <f t="shared" si="234"/>
        <v>0.94584787155511363</v>
      </c>
      <c r="AA334" s="4">
        <f t="shared" si="234"/>
        <v>0.92370360150141495</v>
      </c>
      <c r="AB334" s="4">
        <f t="shared" si="234"/>
        <v>0.89334463567658451</v>
      </c>
      <c r="AC334" s="4">
        <f t="shared" si="234"/>
        <v>0.85254543874327005</v>
      </c>
      <c r="AD334" s="4">
        <f t="shared" si="234"/>
        <v>0.79921300652623883</v>
      </c>
      <c r="AE334" s="4">
        <f t="shared" si="234"/>
        <v>0.73204982249993378</v>
      </c>
      <c r="AF334" s="4">
        <f t="shared" si="234"/>
        <v>0.65145592958786691</v>
      </c>
      <c r="AG334" s="4">
        <f t="shared" si="234"/>
        <v>0.56032247880849573</v>
      </c>
      <c r="AH334" s="4">
        <f t="shared" si="234"/>
        <v>0.46411326873185343</v>
      </c>
      <c r="AI334" s="4">
        <f t="shared" si="234"/>
        <v>0.36979727595523937</v>
      </c>
      <c r="AJ334" s="4">
        <f t="shared" si="234"/>
        <v>0.28393948637231203</v>
      </c>
      <c r="AK334" s="4">
        <f t="shared" si="234"/>
        <v>0.21097259161117732</v>
      </c>
      <c r="AL334" s="4">
        <f t="shared" si="234"/>
        <v>0.15253917653798199</v>
      </c>
      <c r="AM334" s="4">
        <f t="shared" si="234"/>
        <v>0.10795188737709993</v>
      </c>
      <c r="AN334" s="4">
        <f t="shared" si="234"/>
        <v>7.5176653938091809E-2</v>
      </c>
      <c r="AO334" s="4">
        <f t="shared" si="234"/>
        <v>5.1742836177502194E-2</v>
      </c>
      <c r="AP334" s="4">
        <f t="shared" si="234"/>
        <v>3.5319190625345942E-2</v>
      </c>
      <c r="AQ334" s="4">
        <f t="shared" si="234"/>
        <v>2.3969442072658165E-2</v>
      </c>
      <c r="AR334" s="4">
        <f t="shared" si="234"/>
        <v>1.6202243558389728E-2</v>
      </c>
    </row>
    <row r="335" spans="1:44" x14ac:dyDescent="0.3">
      <c r="A335" s="24" t="s">
        <v>28</v>
      </c>
      <c r="B335" s="60">
        <f>'Parameter Input'!$L$168</f>
        <v>-1500000</v>
      </c>
      <c r="C335" s="61">
        <f>'Parameter Input'!$M$168</f>
        <v>-1950000</v>
      </c>
      <c r="D335" s="1" t="s">
        <v>15</v>
      </c>
      <c r="L335" s="54">
        <f>'Parameter Input'!$O$168</f>
        <v>17</v>
      </c>
      <c r="M335" s="37">
        <v>0</v>
      </c>
      <c r="N335" s="37">
        <v>1</v>
      </c>
      <c r="O335" s="37">
        <f>'Parameter Input'!$P$168</f>
        <v>0.9</v>
      </c>
      <c r="P335" s="55">
        <f>'Parameter Input'!$Q$168</f>
        <v>0.4</v>
      </c>
      <c r="Q335" s="4">
        <f t="shared" si="234"/>
        <v>0.99780374543478534</v>
      </c>
      <c r="R335" s="4">
        <f t="shared" si="234"/>
        <v>0.99685359315256394</v>
      </c>
      <c r="S335" s="4">
        <f t="shared" si="234"/>
        <v>0.99549347132349975</v>
      </c>
      <c r="T335" s="4">
        <f t="shared" si="234"/>
        <v>0.99354772139898062</v>
      </c>
      <c r="U335" s="4">
        <f t="shared" si="234"/>
        <v>0.99076681540580536</v>
      </c>
      <c r="V335" s="4">
        <f t="shared" si="234"/>
        <v>0.9867978615748374</v>
      </c>
      <c r="W335" s="4">
        <f t="shared" si="234"/>
        <v>0.98114509762858249</v>
      </c>
      <c r="X335" s="4">
        <f t="shared" si="234"/>
        <v>0.97311898315872036</v>
      </c>
      <c r="Y335" s="4">
        <f t="shared" si="234"/>
        <v>0.96177484161592774</v>
      </c>
      <c r="Z335" s="4">
        <f t="shared" si="234"/>
        <v>0.94584787155511363</v>
      </c>
      <c r="AA335" s="4">
        <f t="shared" si="234"/>
        <v>0.92370360150141495</v>
      </c>
      <c r="AB335" s="4">
        <f t="shared" si="234"/>
        <v>0.89334463567658451</v>
      </c>
      <c r="AC335" s="4">
        <f t="shared" si="234"/>
        <v>0.85254543874327005</v>
      </c>
      <c r="AD335" s="4">
        <f t="shared" si="234"/>
        <v>0.79921300652623883</v>
      </c>
      <c r="AE335" s="4">
        <f t="shared" si="234"/>
        <v>0.73204982249993378</v>
      </c>
      <c r="AF335" s="4">
        <f t="shared" si="234"/>
        <v>0.65145592958786691</v>
      </c>
      <c r="AG335" s="4">
        <f t="shared" si="234"/>
        <v>0.56032247880849573</v>
      </c>
      <c r="AH335" s="4">
        <f t="shared" si="234"/>
        <v>0.46411326873185343</v>
      </c>
      <c r="AI335" s="4">
        <f t="shared" si="234"/>
        <v>0.36979727595523937</v>
      </c>
      <c r="AJ335" s="4">
        <f t="shared" si="234"/>
        <v>0.28393948637231203</v>
      </c>
      <c r="AK335" s="4">
        <f t="shared" si="234"/>
        <v>0.21097259161117732</v>
      </c>
      <c r="AL335" s="4">
        <f t="shared" si="234"/>
        <v>0.15253917653798199</v>
      </c>
      <c r="AM335" s="4">
        <f t="shared" si="234"/>
        <v>0.10795188737709993</v>
      </c>
      <c r="AN335" s="4">
        <f t="shared" si="234"/>
        <v>7.5176653938091809E-2</v>
      </c>
      <c r="AO335" s="4">
        <f t="shared" si="234"/>
        <v>5.1742836177502194E-2</v>
      </c>
      <c r="AP335" s="4">
        <f t="shared" si="234"/>
        <v>3.5319190625345942E-2</v>
      </c>
      <c r="AQ335" s="4">
        <f t="shared" si="234"/>
        <v>2.3969442072658165E-2</v>
      </c>
      <c r="AR335" s="4">
        <f t="shared" si="234"/>
        <v>1.6202243558389728E-2</v>
      </c>
    </row>
    <row r="336" spans="1:44" x14ac:dyDescent="0.3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34"/>
        <v>0.99780374543478534</v>
      </c>
      <c r="R336" s="4">
        <f t="shared" si="234"/>
        <v>0.99685359315256394</v>
      </c>
      <c r="S336" s="4">
        <f t="shared" si="234"/>
        <v>0.99549347132349975</v>
      </c>
      <c r="T336" s="4">
        <f t="shared" si="234"/>
        <v>0.99354772139898062</v>
      </c>
      <c r="U336" s="4">
        <f t="shared" si="234"/>
        <v>0.99076681540580536</v>
      </c>
      <c r="V336" s="4">
        <f t="shared" si="234"/>
        <v>0.9867978615748374</v>
      </c>
      <c r="W336" s="4">
        <f t="shared" si="234"/>
        <v>0.98114509762858249</v>
      </c>
      <c r="X336" s="4">
        <f t="shared" si="234"/>
        <v>0.97311898315872036</v>
      </c>
      <c r="Y336" s="4">
        <f t="shared" si="234"/>
        <v>0.96177484161592774</v>
      </c>
      <c r="Z336" s="4">
        <f t="shared" si="234"/>
        <v>0.94584787155511363</v>
      </c>
      <c r="AA336" s="4">
        <f t="shared" si="234"/>
        <v>0.92370360150141495</v>
      </c>
      <c r="AB336" s="4">
        <f t="shared" si="234"/>
        <v>0.89334463567658451</v>
      </c>
      <c r="AC336" s="4">
        <f t="shared" si="234"/>
        <v>0.85254543874327005</v>
      </c>
      <c r="AD336" s="4">
        <f t="shared" si="234"/>
        <v>0.79921300652623883</v>
      </c>
      <c r="AE336" s="4">
        <f t="shared" si="234"/>
        <v>0.73204982249993378</v>
      </c>
      <c r="AF336" s="4">
        <f t="shared" si="234"/>
        <v>0.65145592958786691</v>
      </c>
      <c r="AG336" s="4">
        <f t="shared" si="234"/>
        <v>0.56032247880849573</v>
      </c>
      <c r="AH336" s="4">
        <f t="shared" si="234"/>
        <v>0.46411326873185343</v>
      </c>
      <c r="AI336" s="4">
        <f t="shared" si="234"/>
        <v>0.36979727595523937</v>
      </c>
      <c r="AJ336" s="4">
        <f t="shared" si="234"/>
        <v>0.28393948637231203</v>
      </c>
      <c r="AK336" s="4">
        <f t="shared" si="234"/>
        <v>0.21097259161117732</v>
      </c>
      <c r="AL336" s="4">
        <f t="shared" si="234"/>
        <v>0.15253917653798199</v>
      </c>
      <c r="AM336" s="4">
        <f t="shared" si="234"/>
        <v>0.10795188737709993</v>
      </c>
      <c r="AN336" s="4">
        <f t="shared" si="234"/>
        <v>7.5176653938091809E-2</v>
      </c>
      <c r="AO336" s="4">
        <f t="shared" si="234"/>
        <v>5.1742836177502194E-2</v>
      </c>
      <c r="AP336" s="4">
        <f t="shared" si="234"/>
        <v>3.5319190625345942E-2</v>
      </c>
      <c r="AQ336" s="4">
        <f t="shared" si="234"/>
        <v>2.3969442072658165E-2</v>
      </c>
      <c r="AR336" s="4">
        <f t="shared" si="234"/>
        <v>1.6202243558389728E-2</v>
      </c>
    </row>
    <row r="337" spans="1:44" x14ac:dyDescent="0.3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34"/>
        <v>0.99780374543478534</v>
      </c>
      <c r="R337" s="4">
        <f t="shared" si="234"/>
        <v>0.99685359315256394</v>
      </c>
      <c r="S337" s="4">
        <f t="shared" si="234"/>
        <v>0.99549347132349975</v>
      </c>
      <c r="T337" s="4">
        <f t="shared" si="234"/>
        <v>0.99354772139898062</v>
      </c>
      <c r="U337" s="4">
        <f t="shared" si="234"/>
        <v>0.99076681540580536</v>
      </c>
      <c r="V337" s="4">
        <f t="shared" si="234"/>
        <v>0.9867978615748374</v>
      </c>
      <c r="W337" s="4">
        <f t="shared" si="234"/>
        <v>0.98114509762858249</v>
      </c>
      <c r="X337" s="4">
        <f t="shared" si="234"/>
        <v>0.97311898315872036</v>
      </c>
      <c r="Y337" s="4">
        <f t="shared" si="234"/>
        <v>0.96177484161592774</v>
      </c>
      <c r="Z337" s="4">
        <f t="shared" si="234"/>
        <v>0.94584787155511363</v>
      </c>
      <c r="AA337" s="4">
        <f t="shared" si="234"/>
        <v>0.92370360150141495</v>
      </c>
      <c r="AB337" s="4">
        <f t="shared" si="234"/>
        <v>0.89334463567658451</v>
      </c>
      <c r="AC337" s="4">
        <f t="shared" si="234"/>
        <v>0.85254543874327005</v>
      </c>
      <c r="AD337" s="4">
        <f t="shared" si="234"/>
        <v>0.79921300652623883</v>
      </c>
      <c r="AE337" s="4">
        <f t="shared" si="234"/>
        <v>0.73204982249993378</v>
      </c>
      <c r="AF337" s="4">
        <f t="shared" si="234"/>
        <v>0.65145592958786691</v>
      </c>
      <c r="AG337" s="4">
        <f t="shared" si="234"/>
        <v>0.56032247880849573</v>
      </c>
      <c r="AH337" s="4">
        <f t="shared" si="234"/>
        <v>0.46411326873185343</v>
      </c>
      <c r="AI337" s="4">
        <f t="shared" si="234"/>
        <v>0.36979727595523937</v>
      </c>
      <c r="AJ337" s="4">
        <f t="shared" si="234"/>
        <v>0.28393948637231203</v>
      </c>
      <c r="AK337" s="4">
        <f t="shared" si="234"/>
        <v>0.21097259161117732</v>
      </c>
      <c r="AL337" s="4">
        <f t="shared" si="234"/>
        <v>0.15253917653798199</v>
      </c>
      <c r="AM337" s="4">
        <f t="shared" si="234"/>
        <v>0.10795188737709993</v>
      </c>
      <c r="AN337" s="4">
        <f t="shared" si="234"/>
        <v>7.5176653938091809E-2</v>
      </c>
      <c r="AO337" s="4">
        <f t="shared" si="234"/>
        <v>5.1742836177502194E-2</v>
      </c>
      <c r="AP337" s="4">
        <f t="shared" si="234"/>
        <v>3.5319190625345942E-2</v>
      </c>
      <c r="AQ337" s="4">
        <f t="shared" si="234"/>
        <v>2.3969442072658165E-2</v>
      </c>
      <c r="AR337" s="4">
        <f t="shared" si="234"/>
        <v>1.6202243558389728E-2</v>
      </c>
    </row>
    <row r="338" spans="1:44" x14ac:dyDescent="0.3">
      <c r="A338" s="24" t="s">
        <v>79</v>
      </c>
      <c r="B338" s="92">
        <f>'Parameter Input'!$L$174</f>
        <v>0.06</v>
      </c>
      <c r="C338" s="91">
        <f>'Parameter Input'!$M$174</f>
        <v>0.06</v>
      </c>
      <c r="D338" s="1" t="s">
        <v>57</v>
      </c>
      <c r="L338" s="54">
        <f>'Parameter Input'!$O$174</f>
        <v>17</v>
      </c>
      <c r="M338" s="37">
        <v>0</v>
      </c>
      <c r="N338" s="37">
        <v>1</v>
      </c>
      <c r="O338" s="37">
        <f>'Parameter Input'!$P$174</f>
        <v>0.9</v>
      </c>
      <c r="P338" s="55">
        <f>'Parameter Input'!$Q$174</f>
        <v>0.4</v>
      </c>
      <c r="Q338" s="4">
        <f t="shared" si="234"/>
        <v>0.99780374543478534</v>
      </c>
      <c r="R338" s="4">
        <f t="shared" si="234"/>
        <v>0.99685359315256394</v>
      </c>
      <c r="S338" s="4">
        <f t="shared" si="234"/>
        <v>0.99549347132349975</v>
      </c>
      <c r="T338" s="4">
        <f t="shared" si="234"/>
        <v>0.99354772139898062</v>
      </c>
      <c r="U338" s="4">
        <f t="shared" si="234"/>
        <v>0.99076681540580536</v>
      </c>
      <c r="V338" s="4">
        <f t="shared" si="234"/>
        <v>0.9867978615748374</v>
      </c>
      <c r="W338" s="4">
        <f t="shared" si="234"/>
        <v>0.98114509762858249</v>
      </c>
      <c r="X338" s="4">
        <f t="shared" si="234"/>
        <v>0.97311898315872036</v>
      </c>
      <c r="Y338" s="4">
        <f t="shared" si="234"/>
        <v>0.96177484161592774</v>
      </c>
      <c r="Z338" s="4">
        <f t="shared" si="234"/>
        <v>0.94584787155511363</v>
      </c>
      <c r="AA338" s="4">
        <f t="shared" si="234"/>
        <v>0.92370360150141495</v>
      </c>
      <c r="AB338" s="4">
        <f t="shared" si="234"/>
        <v>0.89334463567658451</v>
      </c>
      <c r="AC338" s="4">
        <f t="shared" si="234"/>
        <v>0.85254543874327005</v>
      </c>
      <c r="AD338" s="4">
        <f t="shared" si="234"/>
        <v>0.79921300652623883</v>
      </c>
      <c r="AE338" s="4">
        <f t="shared" si="234"/>
        <v>0.73204982249993378</v>
      </c>
      <c r="AF338" s="4">
        <f t="shared" si="234"/>
        <v>0.65145592958786691</v>
      </c>
      <c r="AG338" s="4">
        <f t="shared" si="234"/>
        <v>0.56032247880849573</v>
      </c>
      <c r="AH338" s="4">
        <f t="shared" si="234"/>
        <v>0.46411326873185343</v>
      </c>
      <c r="AI338" s="4">
        <f t="shared" si="234"/>
        <v>0.36979727595523937</v>
      </c>
      <c r="AJ338" s="4">
        <f t="shared" si="234"/>
        <v>0.28393948637231203</v>
      </c>
      <c r="AK338" s="4">
        <f t="shared" si="234"/>
        <v>0.21097259161117732</v>
      </c>
      <c r="AL338" s="4">
        <f t="shared" si="234"/>
        <v>0.15253917653798199</v>
      </c>
      <c r="AM338" s="4">
        <f t="shared" si="234"/>
        <v>0.10795188737709993</v>
      </c>
      <c r="AN338" s="4">
        <f t="shared" si="234"/>
        <v>7.5176653938091809E-2</v>
      </c>
      <c r="AO338" s="4">
        <f t="shared" si="234"/>
        <v>5.1742836177502194E-2</v>
      </c>
      <c r="AP338" s="4">
        <f t="shared" si="234"/>
        <v>3.5319190625345942E-2</v>
      </c>
      <c r="AQ338" s="4">
        <f t="shared" si="234"/>
        <v>2.3969442072658165E-2</v>
      </c>
      <c r="AR338" s="4">
        <f t="shared" si="234"/>
        <v>1.6202243558389728E-2</v>
      </c>
    </row>
    <row r="339" spans="1:44" x14ac:dyDescent="0.3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34"/>
        <v>0.99780374543478534</v>
      </c>
      <c r="R339" s="4">
        <f t="shared" si="234"/>
        <v>0.99685359315256394</v>
      </c>
      <c r="S339" s="4">
        <f t="shared" si="234"/>
        <v>0.99549347132349975</v>
      </c>
      <c r="T339" s="4">
        <f t="shared" si="234"/>
        <v>0.99354772139898062</v>
      </c>
      <c r="U339" s="4">
        <f t="shared" si="234"/>
        <v>0.99076681540580536</v>
      </c>
      <c r="V339" s="4">
        <f t="shared" si="234"/>
        <v>0.9867978615748374</v>
      </c>
      <c r="W339" s="4">
        <f t="shared" si="234"/>
        <v>0.98114509762858249</v>
      </c>
      <c r="X339" s="4">
        <f t="shared" si="234"/>
        <v>0.97311898315872036</v>
      </c>
      <c r="Y339" s="4">
        <f t="shared" si="234"/>
        <v>0.96177484161592774</v>
      </c>
      <c r="Z339" s="4">
        <f t="shared" si="234"/>
        <v>0.94584787155511363</v>
      </c>
      <c r="AA339" s="4">
        <f t="shared" si="234"/>
        <v>0.92370360150141495</v>
      </c>
      <c r="AB339" s="4">
        <f t="shared" si="234"/>
        <v>0.89334463567658451</v>
      </c>
      <c r="AC339" s="4">
        <f t="shared" si="234"/>
        <v>0.85254543874327005</v>
      </c>
      <c r="AD339" s="4">
        <f t="shared" si="234"/>
        <v>0.79921300652623883</v>
      </c>
      <c r="AE339" s="4">
        <f t="shared" si="234"/>
        <v>0.73204982249993378</v>
      </c>
      <c r="AF339" s="4">
        <f t="shared" si="234"/>
        <v>0.65145592958786691</v>
      </c>
      <c r="AG339" s="4">
        <f t="shared" si="234"/>
        <v>0.56032247880849573</v>
      </c>
      <c r="AH339" s="4">
        <f t="shared" si="234"/>
        <v>0.46411326873185343</v>
      </c>
      <c r="AI339" s="4">
        <f t="shared" si="234"/>
        <v>0.36979727595523937</v>
      </c>
      <c r="AJ339" s="4">
        <f t="shared" si="234"/>
        <v>0.28393948637231203</v>
      </c>
      <c r="AK339" s="4">
        <f t="shared" si="234"/>
        <v>0.21097259161117732</v>
      </c>
      <c r="AL339" s="4">
        <f t="shared" si="234"/>
        <v>0.15253917653798199</v>
      </c>
      <c r="AM339" s="4">
        <f t="shared" si="234"/>
        <v>0.10795188737709993</v>
      </c>
      <c r="AN339" s="4">
        <f t="shared" si="234"/>
        <v>7.5176653938091809E-2</v>
      </c>
      <c r="AO339" s="4">
        <f t="shared" si="234"/>
        <v>5.1742836177502194E-2</v>
      </c>
      <c r="AP339" s="4">
        <f t="shared" si="234"/>
        <v>3.5319190625345942E-2</v>
      </c>
      <c r="AQ339" s="4">
        <f t="shared" si="234"/>
        <v>2.3969442072658165E-2</v>
      </c>
      <c r="AR339" s="4">
        <f t="shared" si="234"/>
        <v>1.6202243558389728E-2</v>
      </c>
    </row>
    <row r="340" spans="1:44" x14ac:dyDescent="0.3">
      <c r="A340" s="24" t="s">
        <v>52</v>
      </c>
      <c r="B340" s="60">
        <f>'Parameter Input'!$L$170</f>
        <v>338823.5294117647</v>
      </c>
      <c r="C340" s="61">
        <f>'Parameter Input'!$M$170</f>
        <v>338823.5294117647</v>
      </c>
      <c r="D340" s="1" t="s">
        <v>38</v>
      </c>
      <c r="L340" s="54">
        <f>'Parameter Input'!$O$170</f>
        <v>17</v>
      </c>
      <c r="M340" s="37">
        <v>0</v>
      </c>
      <c r="N340" s="37">
        <v>1</v>
      </c>
      <c r="O340" s="37">
        <f>'Parameter Input'!$P$170</f>
        <v>0.9</v>
      </c>
      <c r="P340" s="55">
        <f>'Parameter Input'!$Q$170</f>
        <v>0.4</v>
      </c>
      <c r="Q340" s="4">
        <f t="shared" si="234"/>
        <v>0.99780374543478534</v>
      </c>
      <c r="R340" s="4">
        <f t="shared" si="234"/>
        <v>0.99685359315256394</v>
      </c>
      <c r="S340" s="4">
        <f t="shared" si="234"/>
        <v>0.99549347132349975</v>
      </c>
      <c r="T340" s="4">
        <f t="shared" si="234"/>
        <v>0.99354772139898062</v>
      </c>
      <c r="U340" s="4">
        <f t="shared" si="234"/>
        <v>0.99076681540580536</v>
      </c>
      <c r="V340" s="4">
        <f t="shared" si="234"/>
        <v>0.9867978615748374</v>
      </c>
      <c r="W340" s="4">
        <f t="shared" si="234"/>
        <v>0.98114509762858249</v>
      </c>
      <c r="X340" s="4">
        <f t="shared" si="234"/>
        <v>0.97311898315872036</v>
      </c>
      <c r="Y340" s="4">
        <f t="shared" si="234"/>
        <v>0.96177484161592774</v>
      </c>
      <c r="Z340" s="4">
        <f t="shared" si="234"/>
        <v>0.94584787155511363</v>
      </c>
      <c r="AA340" s="4">
        <f t="shared" si="234"/>
        <v>0.92370360150141495</v>
      </c>
      <c r="AB340" s="4">
        <f t="shared" si="234"/>
        <v>0.89334463567658451</v>
      </c>
      <c r="AC340" s="4">
        <f t="shared" si="234"/>
        <v>0.85254543874327005</v>
      </c>
      <c r="AD340" s="4">
        <f t="shared" si="234"/>
        <v>0.79921300652623883</v>
      </c>
      <c r="AE340" s="4">
        <f t="shared" si="234"/>
        <v>0.73204982249993378</v>
      </c>
      <c r="AF340" s="4">
        <f t="shared" si="234"/>
        <v>0.65145592958786691</v>
      </c>
      <c r="AG340" s="4">
        <f t="shared" si="234"/>
        <v>0.56032247880849573</v>
      </c>
      <c r="AH340" s="4">
        <f t="shared" si="234"/>
        <v>0.46411326873185343</v>
      </c>
      <c r="AI340" s="4">
        <f t="shared" si="234"/>
        <v>0.36979727595523937</v>
      </c>
      <c r="AJ340" s="4">
        <f t="shared" si="234"/>
        <v>0.28393948637231203</v>
      </c>
      <c r="AK340" s="4">
        <f t="shared" si="234"/>
        <v>0.21097259161117732</v>
      </c>
      <c r="AL340" s="4">
        <f t="shared" si="234"/>
        <v>0.15253917653798199</v>
      </c>
      <c r="AM340" s="4">
        <f t="shared" si="234"/>
        <v>0.10795188737709993</v>
      </c>
      <c r="AN340" s="4">
        <f t="shared" si="234"/>
        <v>7.5176653938091809E-2</v>
      </c>
      <c r="AO340" s="4">
        <f t="shared" si="234"/>
        <v>5.1742836177502194E-2</v>
      </c>
      <c r="AP340" s="4">
        <f t="shared" si="234"/>
        <v>3.5319190625345942E-2</v>
      </c>
      <c r="AQ340" s="4">
        <f t="shared" si="234"/>
        <v>2.3969442072658165E-2</v>
      </c>
      <c r="AR340" s="4">
        <f t="shared" si="234"/>
        <v>1.6202243558389728E-2</v>
      </c>
    </row>
    <row r="341" spans="1:44" x14ac:dyDescent="0.3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34"/>
        <v>0.99780374543478534</v>
      </c>
      <c r="R341" s="4">
        <f t="shared" si="234"/>
        <v>0.99685359315256394</v>
      </c>
      <c r="S341" s="4">
        <f t="shared" si="234"/>
        <v>0.99549347132349975</v>
      </c>
      <c r="T341" s="4">
        <f t="shared" si="234"/>
        <v>0.99354772139898062</v>
      </c>
      <c r="U341" s="4">
        <f t="shared" si="234"/>
        <v>0.99076681540580536</v>
      </c>
      <c r="V341" s="4">
        <f t="shared" si="234"/>
        <v>0.9867978615748374</v>
      </c>
      <c r="W341" s="4">
        <f t="shared" si="234"/>
        <v>0.98114509762858249</v>
      </c>
      <c r="X341" s="4">
        <f t="shared" si="234"/>
        <v>0.97311898315872036</v>
      </c>
      <c r="Y341" s="4">
        <f t="shared" si="234"/>
        <v>0.96177484161592774</v>
      </c>
      <c r="Z341" s="4">
        <f t="shared" si="234"/>
        <v>0.94584787155511363</v>
      </c>
      <c r="AA341" s="4">
        <f t="shared" si="234"/>
        <v>0.92370360150141495</v>
      </c>
      <c r="AB341" s="4">
        <f t="shared" si="234"/>
        <v>0.89334463567658451</v>
      </c>
      <c r="AC341" s="4">
        <f t="shared" si="234"/>
        <v>0.85254543874327005</v>
      </c>
      <c r="AD341" s="4">
        <f t="shared" si="234"/>
        <v>0.79921300652623883</v>
      </c>
      <c r="AE341" s="4">
        <f t="shared" si="234"/>
        <v>0.73204982249993378</v>
      </c>
      <c r="AF341" s="4">
        <f t="shared" si="234"/>
        <v>0.65145592958786691</v>
      </c>
      <c r="AG341" s="4">
        <f t="shared" si="234"/>
        <v>0.56032247880849573</v>
      </c>
      <c r="AH341" s="4">
        <f t="shared" si="234"/>
        <v>0.46411326873185343</v>
      </c>
      <c r="AI341" s="4">
        <f t="shared" si="234"/>
        <v>0.36979727595523937</v>
      </c>
      <c r="AJ341" s="4">
        <f t="shared" si="234"/>
        <v>0.28393948637231203</v>
      </c>
      <c r="AK341" s="4">
        <f t="shared" si="234"/>
        <v>0.21097259161117732</v>
      </c>
      <c r="AL341" s="4">
        <f t="shared" si="234"/>
        <v>0.15253917653798199</v>
      </c>
      <c r="AM341" s="4">
        <f t="shared" si="234"/>
        <v>0.10795188737709993</v>
      </c>
      <c r="AN341" s="4">
        <f t="shared" si="234"/>
        <v>7.5176653938091809E-2</v>
      </c>
      <c r="AO341" s="4">
        <f t="shared" si="234"/>
        <v>5.1742836177502194E-2</v>
      </c>
      <c r="AP341" s="4">
        <f t="shared" si="234"/>
        <v>3.5319190625345942E-2</v>
      </c>
      <c r="AQ341" s="4">
        <f t="shared" si="234"/>
        <v>2.3969442072658165E-2</v>
      </c>
      <c r="AR341" s="4">
        <f t="shared" si="234"/>
        <v>1.6202243558389728E-2</v>
      </c>
    </row>
    <row r="342" spans="1:44" x14ac:dyDescent="0.3">
      <c r="A342" s="24" t="s">
        <v>59</v>
      </c>
      <c r="B342" s="60">
        <f>'Parameter Input'!$L$171</f>
        <v>589</v>
      </c>
      <c r="C342" s="61">
        <f>'Parameter Input'!$M$171</f>
        <v>519</v>
      </c>
      <c r="D342" s="1" t="s">
        <v>60</v>
      </c>
      <c r="L342" s="54">
        <f>'Parameter Input'!$O$171</f>
        <v>17</v>
      </c>
      <c r="M342" s="37">
        <v>0</v>
      </c>
      <c r="N342" s="37">
        <v>1</v>
      </c>
      <c r="O342" s="37">
        <f>'Parameter Input'!$P$171</f>
        <v>0.9</v>
      </c>
      <c r="P342" s="55">
        <f>'Parameter Input'!$Q$171</f>
        <v>0.4</v>
      </c>
      <c r="Q342" s="4">
        <f t="shared" si="234"/>
        <v>0.99780374543478534</v>
      </c>
      <c r="R342" s="4">
        <f t="shared" si="234"/>
        <v>0.99685359315256394</v>
      </c>
      <c r="S342" s="4">
        <f t="shared" si="234"/>
        <v>0.99549347132349975</v>
      </c>
      <c r="T342" s="4">
        <f t="shared" si="234"/>
        <v>0.99354772139898062</v>
      </c>
      <c r="U342" s="4">
        <f t="shared" si="234"/>
        <v>0.99076681540580536</v>
      </c>
      <c r="V342" s="4">
        <f t="shared" si="234"/>
        <v>0.9867978615748374</v>
      </c>
      <c r="W342" s="4">
        <f t="shared" si="234"/>
        <v>0.98114509762858249</v>
      </c>
      <c r="X342" s="4">
        <f t="shared" si="234"/>
        <v>0.97311898315872036</v>
      </c>
      <c r="Y342" s="4">
        <f t="shared" si="234"/>
        <v>0.96177484161592774</v>
      </c>
      <c r="Z342" s="4">
        <f t="shared" si="234"/>
        <v>0.94584787155511363</v>
      </c>
      <c r="AA342" s="4">
        <f t="shared" si="234"/>
        <v>0.92370360150141495</v>
      </c>
      <c r="AB342" s="4">
        <f t="shared" si="234"/>
        <v>0.89334463567658451</v>
      </c>
      <c r="AC342" s="4">
        <f t="shared" si="234"/>
        <v>0.85254543874327005</v>
      </c>
      <c r="AD342" s="4">
        <f t="shared" si="234"/>
        <v>0.79921300652623883</v>
      </c>
      <c r="AE342" s="4">
        <f t="shared" si="234"/>
        <v>0.73204982249993378</v>
      </c>
      <c r="AF342" s="4">
        <f t="shared" si="234"/>
        <v>0.65145592958786691</v>
      </c>
      <c r="AG342" s="4">
        <f t="shared" si="234"/>
        <v>0.56032247880849573</v>
      </c>
      <c r="AH342" s="4">
        <f t="shared" si="234"/>
        <v>0.46411326873185343</v>
      </c>
      <c r="AI342" s="4">
        <f t="shared" si="234"/>
        <v>0.36979727595523937</v>
      </c>
      <c r="AJ342" s="4">
        <f t="shared" si="234"/>
        <v>0.28393948637231203</v>
      </c>
      <c r="AK342" s="4">
        <f t="shared" si="234"/>
        <v>0.21097259161117732</v>
      </c>
      <c r="AL342" s="4">
        <f t="shared" si="234"/>
        <v>0.15253917653798199</v>
      </c>
      <c r="AM342" s="4">
        <f t="shared" si="234"/>
        <v>0.10795188737709993</v>
      </c>
      <c r="AN342" s="4">
        <f t="shared" si="234"/>
        <v>7.5176653938091809E-2</v>
      </c>
      <c r="AO342" s="4">
        <f t="shared" si="234"/>
        <v>5.1742836177502194E-2</v>
      </c>
      <c r="AP342" s="4">
        <f t="shared" si="234"/>
        <v>3.5319190625345942E-2</v>
      </c>
      <c r="AQ342" s="4">
        <f t="shared" si="234"/>
        <v>2.3969442072658165E-2</v>
      </c>
      <c r="AR342" s="4">
        <f t="shared" si="234"/>
        <v>1.6202243558389728E-2</v>
      </c>
    </row>
    <row r="343" spans="1:44" x14ac:dyDescent="0.3">
      <c r="A343" s="24" t="s">
        <v>67</v>
      </c>
      <c r="B343" s="78">
        <f>'Parameter Input'!$L$172</f>
        <v>0.209841767378764</v>
      </c>
      <c r="C343" s="61">
        <f>'Parameter Input'!$M$172</f>
        <v>9.7564585532605996E-2</v>
      </c>
      <c r="D343" s="1" t="s">
        <v>68</v>
      </c>
      <c r="L343" s="54">
        <f>'Parameter Input'!$O$172</f>
        <v>17</v>
      </c>
      <c r="M343" s="37">
        <v>0</v>
      </c>
      <c r="N343" s="37">
        <v>1</v>
      </c>
      <c r="O343" s="37">
        <f>'Parameter Input'!$P$172</f>
        <v>0.9</v>
      </c>
      <c r="P343" s="55">
        <f>'Parameter Input'!$Q$172</f>
        <v>0.4</v>
      </c>
      <c r="Q343" s="4">
        <f t="shared" si="234"/>
        <v>0.99780374543478534</v>
      </c>
      <c r="R343" s="4">
        <f t="shared" si="234"/>
        <v>0.99685359315256394</v>
      </c>
      <c r="S343" s="4">
        <f t="shared" si="234"/>
        <v>0.99549347132349975</v>
      </c>
      <c r="T343" s="4">
        <f t="shared" ref="T343:AI350" si="235">$N343+($M343-$N343)*((1/(1+EXP(-$P343*(T$9-$L343)))^$O343))</f>
        <v>0.99354772139898062</v>
      </c>
      <c r="U343" s="4">
        <f t="shared" si="235"/>
        <v>0.99076681540580536</v>
      </c>
      <c r="V343" s="4">
        <f t="shared" si="235"/>
        <v>0.9867978615748374</v>
      </c>
      <c r="W343" s="4">
        <f t="shared" si="235"/>
        <v>0.98114509762858249</v>
      </c>
      <c r="X343" s="4">
        <f t="shared" si="235"/>
        <v>0.97311898315872036</v>
      </c>
      <c r="Y343" s="4">
        <f t="shared" si="235"/>
        <v>0.96177484161592774</v>
      </c>
      <c r="Z343" s="4">
        <f t="shared" si="235"/>
        <v>0.94584787155511363</v>
      </c>
      <c r="AA343" s="4">
        <f t="shared" si="235"/>
        <v>0.92370360150141495</v>
      </c>
      <c r="AB343" s="4">
        <f t="shared" si="235"/>
        <v>0.89334463567658451</v>
      </c>
      <c r="AC343" s="4">
        <f t="shared" si="235"/>
        <v>0.85254543874327005</v>
      </c>
      <c r="AD343" s="4">
        <f t="shared" si="235"/>
        <v>0.79921300652623883</v>
      </c>
      <c r="AE343" s="4">
        <f t="shared" si="235"/>
        <v>0.73204982249993378</v>
      </c>
      <c r="AF343" s="4">
        <f t="shared" si="235"/>
        <v>0.65145592958786691</v>
      </c>
      <c r="AG343" s="4">
        <f t="shared" si="235"/>
        <v>0.56032247880849573</v>
      </c>
      <c r="AH343" s="4">
        <f t="shared" si="235"/>
        <v>0.46411326873185343</v>
      </c>
      <c r="AI343" s="4">
        <f t="shared" si="235"/>
        <v>0.36979727595523937</v>
      </c>
      <c r="AJ343" s="4">
        <f t="shared" ref="AJ343:AR350" si="236">$N343+($M343-$N343)*((1/(1+EXP(-$P343*(AJ$9-$L343)))^$O343))</f>
        <v>0.28393948637231203</v>
      </c>
      <c r="AK343" s="4">
        <f t="shared" si="236"/>
        <v>0.21097259161117732</v>
      </c>
      <c r="AL343" s="4">
        <f t="shared" si="236"/>
        <v>0.15253917653798199</v>
      </c>
      <c r="AM343" s="4">
        <f t="shared" si="236"/>
        <v>0.10795188737709993</v>
      </c>
      <c r="AN343" s="4">
        <f t="shared" si="236"/>
        <v>7.5176653938091809E-2</v>
      </c>
      <c r="AO343" s="4">
        <f t="shared" si="236"/>
        <v>5.1742836177502194E-2</v>
      </c>
      <c r="AP343" s="4">
        <f t="shared" si="236"/>
        <v>3.5319190625345942E-2</v>
      </c>
      <c r="AQ343" s="4">
        <f t="shared" si="236"/>
        <v>2.3969442072658165E-2</v>
      </c>
      <c r="AR343" s="4">
        <f t="shared" si="236"/>
        <v>1.6202243558389728E-2</v>
      </c>
    </row>
    <row r="344" spans="1:44" x14ac:dyDescent="0.3">
      <c r="A344" s="24" t="s">
        <v>206</v>
      </c>
      <c r="B344" s="115">
        <f>'Parameter Input'!$L$175</f>
        <v>2.4449056603773585</v>
      </c>
      <c r="C344" s="116">
        <f>'Parameter Input'!$M$175</f>
        <v>0</v>
      </c>
      <c r="D344" s="1" t="s">
        <v>76</v>
      </c>
      <c r="L344" s="54">
        <f>'Parameter Input'!$O$175</f>
        <v>17</v>
      </c>
      <c r="M344" s="37">
        <v>0</v>
      </c>
      <c r="N344" s="37">
        <v>1</v>
      </c>
      <c r="O344" s="37">
        <f>'Parameter Input'!$P$175</f>
        <v>0.9</v>
      </c>
      <c r="P344" s="55">
        <f>'Parameter Input'!$Q$175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3">
      <c r="A345" s="24" t="s">
        <v>41</v>
      </c>
      <c r="B345" s="60">
        <f>'Parameter Input'!$L$169</f>
        <v>25</v>
      </c>
      <c r="C345" s="61">
        <f>'Parameter Input'!$M$169</f>
        <v>25</v>
      </c>
      <c r="D345" s="1" t="s">
        <v>42</v>
      </c>
      <c r="L345" s="54">
        <f>'Parameter Input'!$O$169</f>
        <v>17</v>
      </c>
      <c r="M345" s="37">
        <v>0</v>
      </c>
      <c r="N345" s="37">
        <v>1</v>
      </c>
      <c r="O345" s="37">
        <f>'Parameter Input'!$P$169</f>
        <v>0.9</v>
      </c>
      <c r="P345" s="55">
        <f>'Parameter Input'!$Q$169</f>
        <v>0.4</v>
      </c>
      <c r="Q345" s="4">
        <f t="shared" ref="Q345:AF350" si="238">$N345+($M345-$N345)*((1/(1+EXP(-$P345*(Q$9-$L345)))^$O345))</f>
        <v>0.99780374543478534</v>
      </c>
      <c r="R345" s="4">
        <f t="shared" si="238"/>
        <v>0.99685359315256394</v>
      </c>
      <c r="S345" s="4">
        <f t="shared" si="238"/>
        <v>0.99549347132349975</v>
      </c>
      <c r="T345" s="4">
        <f t="shared" si="238"/>
        <v>0.99354772139898062</v>
      </c>
      <c r="U345" s="4">
        <f t="shared" si="238"/>
        <v>0.99076681540580536</v>
      </c>
      <c r="V345" s="4">
        <f t="shared" si="238"/>
        <v>0.9867978615748374</v>
      </c>
      <c r="W345" s="4">
        <f t="shared" si="238"/>
        <v>0.98114509762858249</v>
      </c>
      <c r="X345" s="4">
        <f t="shared" si="238"/>
        <v>0.97311898315872036</v>
      </c>
      <c r="Y345" s="4">
        <f t="shared" si="238"/>
        <v>0.96177484161592774</v>
      </c>
      <c r="Z345" s="4">
        <f t="shared" si="238"/>
        <v>0.94584787155511363</v>
      </c>
      <c r="AA345" s="4">
        <f t="shared" si="238"/>
        <v>0.92370360150141495</v>
      </c>
      <c r="AB345" s="4">
        <f t="shared" si="238"/>
        <v>0.89334463567658451</v>
      </c>
      <c r="AC345" s="4">
        <f t="shared" si="238"/>
        <v>0.85254543874327005</v>
      </c>
      <c r="AD345" s="4">
        <f t="shared" si="238"/>
        <v>0.79921300652623883</v>
      </c>
      <c r="AE345" s="4">
        <f t="shared" si="238"/>
        <v>0.73204982249993378</v>
      </c>
      <c r="AF345" s="4">
        <f t="shared" si="238"/>
        <v>0.65145592958786691</v>
      </c>
      <c r="AG345" s="4">
        <f t="shared" si="235"/>
        <v>0.56032247880849573</v>
      </c>
      <c r="AH345" s="4">
        <f t="shared" si="235"/>
        <v>0.46411326873185343</v>
      </c>
      <c r="AI345" s="4">
        <f t="shared" si="235"/>
        <v>0.36979727595523937</v>
      </c>
      <c r="AJ345" s="4">
        <f t="shared" si="236"/>
        <v>0.28393948637231203</v>
      </c>
      <c r="AK345" s="4">
        <f t="shared" si="236"/>
        <v>0.21097259161117732</v>
      </c>
      <c r="AL345" s="4">
        <f t="shared" si="236"/>
        <v>0.15253917653798199</v>
      </c>
      <c r="AM345" s="4">
        <f t="shared" si="236"/>
        <v>0.10795188737709993</v>
      </c>
      <c r="AN345" s="4">
        <f t="shared" si="236"/>
        <v>7.5176653938091809E-2</v>
      </c>
      <c r="AO345" s="4">
        <f t="shared" si="236"/>
        <v>5.1742836177502194E-2</v>
      </c>
      <c r="AP345" s="4">
        <f t="shared" si="236"/>
        <v>3.5319190625345942E-2</v>
      </c>
      <c r="AQ345" s="4">
        <f t="shared" si="236"/>
        <v>2.3969442072658165E-2</v>
      </c>
      <c r="AR345" s="4">
        <f t="shared" si="236"/>
        <v>1.6202243558389728E-2</v>
      </c>
    </row>
    <row r="346" spans="1:44" x14ac:dyDescent="0.3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8"/>
        <v>0.99780374543478534</v>
      </c>
      <c r="R346" s="4">
        <f t="shared" si="238"/>
        <v>0.99685359315256394</v>
      </c>
      <c r="S346" s="4">
        <f t="shared" si="238"/>
        <v>0.99549347132349975</v>
      </c>
      <c r="T346" s="4">
        <f t="shared" si="238"/>
        <v>0.99354772139898062</v>
      </c>
      <c r="U346" s="4">
        <f t="shared" si="238"/>
        <v>0.99076681540580536</v>
      </c>
      <c r="V346" s="4">
        <f t="shared" si="238"/>
        <v>0.9867978615748374</v>
      </c>
      <c r="W346" s="4">
        <f t="shared" si="238"/>
        <v>0.98114509762858249</v>
      </c>
      <c r="X346" s="4">
        <f t="shared" si="238"/>
        <v>0.97311898315872036</v>
      </c>
      <c r="Y346" s="4">
        <f t="shared" si="238"/>
        <v>0.96177484161592774</v>
      </c>
      <c r="Z346" s="4">
        <f t="shared" si="238"/>
        <v>0.94584787155511363</v>
      </c>
      <c r="AA346" s="4">
        <f t="shared" si="238"/>
        <v>0.92370360150141495</v>
      </c>
      <c r="AB346" s="4">
        <f t="shared" si="238"/>
        <v>0.89334463567658451</v>
      </c>
      <c r="AC346" s="4">
        <f t="shared" si="238"/>
        <v>0.85254543874327005</v>
      </c>
      <c r="AD346" s="4">
        <f t="shared" si="238"/>
        <v>0.79921300652623883</v>
      </c>
      <c r="AE346" s="4">
        <f t="shared" si="238"/>
        <v>0.73204982249993378</v>
      </c>
      <c r="AF346" s="4">
        <f t="shared" si="238"/>
        <v>0.65145592958786691</v>
      </c>
      <c r="AG346" s="4">
        <f t="shared" si="235"/>
        <v>0.56032247880849573</v>
      </c>
      <c r="AH346" s="4">
        <f t="shared" si="235"/>
        <v>0.46411326873185343</v>
      </c>
      <c r="AI346" s="4">
        <f t="shared" si="235"/>
        <v>0.36979727595523937</v>
      </c>
      <c r="AJ346" s="4">
        <f t="shared" si="236"/>
        <v>0.28393948637231203</v>
      </c>
      <c r="AK346" s="4">
        <f t="shared" si="236"/>
        <v>0.21097259161117732</v>
      </c>
      <c r="AL346" s="4">
        <f t="shared" si="236"/>
        <v>0.15253917653798199</v>
      </c>
      <c r="AM346" s="4">
        <f t="shared" si="236"/>
        <v>0.10795188737709993</v>
      </c>
      <c r="AN346" s="4">
        <f t="shared" si="236"/>
        <v>7.5176653938091809E-2</v>
      </c>
      <c r="AO346" s="4">
        <f t="shared" si="236"/>
        <v>5.1742836177502194E-2</v>
      </c>
      <c r="AP346" s="4">
        <f t="shared" si="236"/>
        <v>3.5319190625345942E-2</v>
      </c>
      <c r="AQ346" s="4">
        <f t="shared" si="236"/>
        <v>2.3969442072658165E-2</v>
      </c>
      <c r="AR346" s="4">
        <f t="shared" si="236"/>
        <v>1.6202243558389728E-2</v>
      </c>
    </row>
    <row r="347" spans="1:44" x14ac:dyDescent="0.3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8"/>
        <v>0.99780374543478534</v>
      </c>
      <c r="R347" s="4">
        <f t="shared" si="238"/>
        <v>0.99685359315256394</v>
      </c>
      <c r="S347" s="4">
        <f t="shared" si="238"/>
        <v>0.99549347132349975</v>
      </c>
      <c r="T347" s="4">
        <f t="shared" si="238"/>
        <v>0.99354772139898062</v>
      </c>
      <c r="U347" s="4">
        <f t="shared" si="238"/>
        <v>0.99076681540580536</v>
      </c>
      <c r="V347" s="4">
        <f t="shared" si="238"/>
        <v>0.9867978615748374</v>
      </c>
      <c r="W347" s="4">
        <f t="shared" si="238"/>
        <v>0.98114509762858249</v>
      </c>
      <c r="X347" s="4">
        <f t="shared" si="238"/>
        <v>0.97311898315872036</v>
      </c>
      <c r="Y347" s="4">
        <f t="shared" si="238"/>
        <v>0.96177484161592774</v>
      </c>
      <c r="Z347" s="4">
        <f t="shared" si="238"/>
        <v>0.94584787155511363</v>
      </c>
      <c r="AA347" s="4">
        <f t="shared" si="238"/>
        <v>0.92370360150141495</v>
      </c>
      <c r="AB347" s="4">
        <f t="shared" si="238"/>
        <v>0.89334463567658451</v>
      </c>
      <c r="AC347" s="4">
        <f t="shared" si="238"/>
        <v>0.85254543874327005</v>
      </c>
      <c r="AD347" s="4">
        <f t="shared" si="238"/>
        <v>0.79921300652623883</v>
      </c>
      <c r="AE347" s="4">
        <f t="shared" si="238"/>
        <v>0.73204982249993378</v>
      </c>
      <c r="AF347" s="4">
        <f t="shared" si="238"/>
        <v>0.65145592958786691</v>
      </c>
      <c r="AG347" s="4">
        <f t="shared" si="235"/>
        <v>0.56032247880849573</v>
      </c>
      <c r="AH347" s="4">
        <f t="shared" si="235"/>
        <v>0.46411326873185343</v>
      </c>
      <c r="AI347" s="4">
        <f t="shared" si="235"/>
        <v>0.36979727595523937</v>
      </c>
      <c r="AJ347" s="4">
        <f t="shared" si="236"/>
        <v>0.28393948637231203</v>
      </c>
      <c r="AK347" s="4">
        <f t="shared" si="236"/>
        <v>0.21097259161117732</v>
      </c>
      <c r="AL347" s="4">
        <f t="shared" si="236"/>
        <v>0.15253917653798199</v>
      </c>
      <c r="AM347" s="4">
        <f t="shared" si="236"/>
        <v>0.10795188737709993</v>
      </c>
      <c r="AN347" s="4">
        <f t="shared" si="236"/>
        <v>7.5176653938091809E-2</v>
      </c>
      <c r="AO347" s="4">
        <f t="shared" si="236"/>
        <v>5.1742836177502194E-2</v>
      </c>
      <c r="AP347" s="4">
        <f t="shared" si="236"/>
        <v>3.5319190625345942E-2</v>
      </c>
      <c r="AQ347" s="4">
        <f t="shared" si="236"/>
        <v>2.3969442072658165E-2</v>
      </c>
      <c r="AR347" s="4">
        <f t="shared" si="236"/>
        <v>1.6202243558389728E-2</v>
      </c>
    </row>
    <row r="348" spans="1:44" x14ac:dyDescent="0.3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8"/>
        <v>0.99780374543478534</v>
      </c>
      <c r="R348" s="4">
        <f t="shared" si="238"/>
        <v>0.99685359315256394</v>
      </c>
      <c r="S348" s="4">
        <f t="shared" si="238"/>
        <v>0.99549347132349975</v>
      </c>
      <c r="T348" s="4">
        <f t="shared" si="238"/>
        <v>0.99354772139898062</v>
      </c>
      <c r="U348" s="4">
        <f t="shared" si="238"/>
        <v>0.99076681540580536</v>
      </c>
      <c r="V348" s="4">
        <f t="shared" si="238"/>
        <v>0.9867978615748374</v>
      </c>
      <c r="W348" s="4">
        <f t="shared" si="238"/>
        <v>0.98114509762858249</v>
      </c>
      <c r="X348" s="4">
        <f t="shared" si="238"/>
        <v>0.97311898315872036</v>
      </c>
      <c r="Y348" s="4">
        <f t="shared" si="238"/>
        <v>0.96177484161592774</v>
      </c>
      <c r="Z348" s="4">
        <f t="shared" si="238"/>
        <v>0.94584787155511363</v>
      </c>
      <c r="AA348" s="4">
        <f t="shared" si="238"/>
        <v>0.92370360150141495</v>
      </c>
      <c r="AB348" s="4">
        <f t="shared" si="238"/>
        <v>0.89334463567658451</v>
      </c>
      <c r="AC348" s="4">
        <f t="shared" si="238"/>
        <v>0.85254543874327005</v>
      </c>
      <c r="AD348" s="4">
        <f t="shared" si="238"/>
        <v>0.79921300652623883</v>
      </c>
      <c r="AE348" s="4">
        <f t="shared" si="238"/>
        <v>0.73204982249993378</v>
      </c>
      <c r="AF348" s="4">
        <f t="shared" si="238"/>
        <v>0.65145592958786691</v>
      </c>
      <c r="AG348" s="4">
        <f t="shared" si="235"/>
        <v>0.56032247880849573</v>
      </c>
      <c r="AH348" s="4">
        <f t="shared" si="235"/>
        <v>0.46411326873185343</v>
      </c>
      <c r="AI348" s="4">
        <f t="shared" si="235"/>
        <v>0.36979727595523937</v>
      </c>
      <c r="AJ348" s="4">
        <f t="shared" si="236"/>
        <v>0.28393948637231203</v>
      </c>
      <c r="AK348" s="4">
        <f t="shared" si="236"/>
        <v>0.21097259161117732</v>
      </c>
      <c r="AL348" s="4">
        <f t="shared" si="236"/>
        <v>0.15253917653798199</v>
      </c>
      <c r="AM348" s="4">
        <f t="shared" si="236"/>
        <v>0.10795188737709993</v>
      </c>
      <c r="AN348" s="4">
        <f t="shared" si="236"/>
        <v>7.5176653938091809E-2</v>
      </c>
      <c r="AO348" s="4">
        <f t="shared" si="236"/>
        <v>5.1742836177502194E-2</v>
      </c>
      <c r="AP348" s="4">
        <f t="shared" si="236"/>
        <v>3.5319190625345942E-2</v>
      </c>
      <c r="AQ348" s="4">
        <f t="shared" si="236"/>
        <v>2.3969442072658165E-2</v>
      </c>
      <c r="AR348" s="4">
        <f t="shared" si="236"/>
        <v>1.6202243558389728E-2</v>
      </c>
    </row>
    <row r="349" spans="1:44" x14ac:dyDescent="0.3">
      <c r="A349" s="24" t="s">
        <v>73</v>
      </c>
      <c r="B349" s="45">
        <f>'Parameter Input'!$L$173</f>
        <v>0.1</v>
      </c>
      <c r="C349" s="46">
        <f>'Parameter Input'!$M$173</f>
        <v>0.08</v>
      </c>
      <c r="D349" s="1" t="s">
        <v>57</v>
      </c>
      <c r="L349" s="54">
        <f>'Parameter Input'!$O$173</f>
        <v>17</v>
      </c>
      <c r="M349" s="37">
        <v>0</v>
      </c>
      <c r="N349" s="37">
        <v>1</v>
      </c>
      <c r="O349" s="37">
        <f>'Parameter Input'!$P$173</f>
        <v>0.9</v>
      </c>
      <c r="P349" s="55">
        <f>'Parameter Input'!$Q$173</f>
        <v>0.4</v>
      </c>
      <c r="Q349" s="4">
        <f t="shared" si="238"/>
        <v>0.99780374543478534</v>
      </c>
      <c r="R349" s="4">
        <f t="shared" si="238"/>
        <v>0.99685359315256394</v>
      </c>
      <c r="S349" s="4">
        <f t="shared" si="238"/>
        <v>0.99549347132349975</v>
      </c>
      <c r="T349" s="4">
        <f t="shared" si="238"/>
        <v>0.99354772139898062</v>
      </c>
      <c r="U349" s="4">
        <f t="shared" si="238"/>
        <v>0.99076681540580536</v>
      </c>
      <c r="V349" s="4">
        <f t="shared" si="238"/>
        <v>0.9867978615748374</v>
      </c>
      <c r="W349" s="4">
        <f t="shared" si="238"/>
        <v>0.98114509762858249</v>
      </c>
      <c r="X349" s="4">
        <f t="shared" si="238"/>
        <v>0.97311898315872036</v>
      </c>
      <c r="Y349" s="4">
        <f t="shared" si="238"/>
        <v>0.96177484161592774</v>
      </c>
      <c r="Z349" s="4">
        <f t="shared" si="238"/>
        <v>0.94584787155511363</v>
      </c>
      <c r="AA349" s="4">
        <f t="shared" si="238"/>
        <v>0.92370360150141495</v>
      </c>
      <c r="AB349" s="4">
        <f t="shared" si="238"/>
        <v>0.89334463567658451</v>
      </c>
      <c r="AC349" s="4">
        <f t="shared" si="238"/>
        <v>0.85254543874327005</v>
      </c>
      <c r="AD349" s="4">
        <f t="shared" si="238"/>
        <v>0.79921300652623883</v>
      </c>
      <c r="AE349" s="4">
        <f t="shared" si="238"/>
        <v>0.73204982249993378</v>
      </c>
      <c r="AF349" s="4">
        <f t="shared" si="238"/>
        <v>0.65145592958786691</v>
      </c>
      <c r="AG349" s="4">
        <f t="shared" si="235"/>
        <v>0.56032247880849573</v>
      </c>
      <c r="AH349" s="4">
        <f t="shared" si="235"/>
        <v>0.46411326873185343</v>
      </c>
      <c r="AI349" s="4">
        <f t="shared" si="235"/>
        <v>0.36979727595523937</v>
      </c>
      <c r="AJ349" s="4">
        <f t="shared" si="236"/>
        <v>0.28393948637231203</v>
      </c>
      <c r="AK349" s="4">
        <f t="shared" si="236"/>
        <v>0.21097259161117732</v>
      </c>
      <c r="AL349" s="4">
        <f t="shared" si="236"/>
        <v>0.15253917653798199</v>
      </c>
      <c r="AM349" s="4">
        <f t="shared" si="236"/>
        <v>0.10795188737709993</v>
      </c>
      <c r="AN349" s="4">
        <f t="shared" si="236"/>
        <v>7.5176653938091809E-2</v>
      </c>
      <c r="AO349" s="4">
        <f t="shared" si="236"/>
        <v>5.1742836177502194E-2</v>
      </c>
      <c r="AP349" s="4">
        <f t="shared" si="236"/>
        <v>3.5319190625345942E-2</v>
      </c>
      <c r="AQ349" s="4">
        <f t="shared" si="236"/>
        <v>2.3969442072658165E-2</v>
      </c>
      <c r="AR349" s="4">
        <f t="shared" si="236"/>
        <v>1.6202243558389728E-2</v>
      </c>
    </row>
    <row r="350" spans="1:44" ht="15" thickBot="1" x14ac:dyDescent="0.35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8"/>
        <v>0.99780374543478534</v>
      </c>
      <c r="R350" s="4">
        <f t="shared" si="238"/>
        <v>0.99685359315256394</v>
      </c>
      <c r="S350" s="4">
        <f t="shared" si="238"/>
        <v>0.99549347132349975</v>
      </c>
      <c r="T350" s="4">
        <f t="shared" si="238"/>
        <v>0.99354772139898062</v>
      </c>
      <c r="U350" s="4">
        <f t="shared" si="238"/>
        <v>0.99076681540580536</v>
      </c>
      <c r="V350" s="4">
        <f t="shared" si="238"/>
        <v>0.9867978615748374</v>
      </c>
      <c r="W350" s="4">
        <f t="shared" si="238"/>
        <v>0.98114509762858249</v>
      </c>
      <c r="X350" s="4">
        <f t="shared" si="238"/>
        <v>0.97311898315872036</v>
      </c>
      <c r="Y350" s="4">
        <f t="shared" si="238"/>
        <v>0.96177484161592774</v>
      </c>
      <c r="Z350" s="4">
        <f t="shared" si="238"/>
        <v>0.94584787155511363</v>
      </c>
      <c r="AA350" s="4">
        <f t="shared" si="238"/>
        <v>0.92370360150141495</v>
      </c>
      <c r="AB350" s="4">
        <f t="shared" si="238"/>
        <v>0.89334463567658451</v>
      </c>
      <c r="AC350" s="4">
        <f t="shared" si="238"/>
        <v>0.85254543874327005</v>
      </c>
      <c r="AD350" s="4">
        <f t="shared" si="238"/>
        <v>0.79921300652623883</v>
      </c>
      <c r="AE350" s="4">
        <f t="shared" si="238"/>
        <v>0.73204982249993378</v>
      </c>
      <c r="AF350" s="4">
        <f t="shared" si="238"/>
        <v>0.65145592958786691</v>
      </c>
      <c r="AG350" s="4">
        <f t="shared" si="235"/>
        <v>0.56032247880849573</v>
      </c>
      <c r="AH350" s="4">
        <f t="shared" si="235"/>
        <v>0.46411326873185343</v>
      </c>
      <c r="AI350" s="4">
        <f t="shared" si="235"/>
        <v>0.36979727595523937</v>
      </c>
      <c r="AJ350" s="4">
        <f t="shared" si="236"/>
        <v>0.28393948637231203</v>
      </c>
      <c r="AK350" s="4">
        <f t="shared" si="236"/>
        <v>0.21097259161117732</v>
      </c>
      <c r="AL350" s="4">
        <f t="shared" si="236"/>
        <v>0.15253917653798199</v>
      </c>
      <c r="AM350" s="4">
        <f t="shared" si="236"/>
        <v>0.10795188737709993</v>
      </c>
      <c r="AN350" s="4">
        <f t="shared" si="236"/>
        <v>7.5176653938091809E-2</v>
      </c>
      <c r="AO350" s="4">
        <f t="shared" si="236"/>
        <v>5.1742836177502194E-2</v>
      </c>
      <c r="AP350" s="4">
        <f t="shared" si="236"/>
        <v>3.5319190625345942E-2</v>
      </c>
      <c r="AQ350" s="4">
        <f t="shared" si="236"/>
        <v>2.3969442072658165E-2</v>
      </c>
      <c r="AR350" s="4">
        <f t="shared" si="236"/>
        <v>1.6202243558389728E-2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39">A334</f>
        <v>Capex vehicle</v>
      </c>
      <c r="B354" s="62">
        <f t="shared" ref="B354:B363" si="240">$B334+($C334-$B334)*(1-Q334)</f>
        <v>29976939.327065244</v>
      </c>
      <c r="C354" s="62">
        <f t="shared" ref="C354:C363" si="241">$B334+($C334-$B334)*(1-R334)</f>
        <v>29966962.72810192</v>
      </c>
      <c r="D354" s="62">
        <f t="shared" ref="D354:D363" si="242">$B334+($C334-$B334)*(1-S334)</f>
        <v>29952681.448896747</v>
      </c>
      <c r="E354" s="62">
        <f t="shared" ref="E354:E363" si="243">$B334+($C334-$B334)*(1-T334)</f>
        <v>29932251.074689295</v>
      </c>
      <c r="F354" s="62">
        <f t="shared" ref="F354:F363" si="244">$B334+($C334-$B334)*(1-U334)</f>
        <v>29903051.561760955</v>
      </c>
      <c r="G354" s="62">
        <f t="shared" ref="G354:G363" si="245">$B334+($C334-$B334)*(1-V334)</f>
        <v>29861377.546535794</v>
      </c>
      <c r="H354" s="62">
        <f t="shared" ref="H354:H363" si="246">$B334+($C334-$B334)*(1-W334)</f>
        <v>29802023.525100116</v>
      </c>
      <c r="I354" s="62">
        <f t="shared" ref="I354:I363" si="247">$B334+($C334-$B334)*(1-X334)</f>
        <v>29717749.323166564</v>
      </c>
      <c r="J354" s="62">
        <f t="shared" ref="J354:J363" si="248">$B334+($C334-$B334)*(1-Y334)</f>
        <v>29598635.836967241</v>
      </c>
      <c r="K354" s="62">
        <f t="shared" ref="K354:K363" si="249">$B334+($C334-$B334)*(1-Z334)</f>
        <v>29431402.651328694</v>
      </c>
      <c r="L354" s="62">
        <f t="shared" ref="L354:L363" si="250">$B334+($C334-$B334)*(1-AA334)</f>
        <v>29198887.815764856</v>
      </c>
      <c r="M354" s="62">
        <f t="shared" ref="M354:M363" si="251">$B334+($C334-$B334)*(1-AB334)</f>
        <v>28880118.674604136</v>
      </c>
      <c r="N354" s="62">
        <f t="shared" ref="N354:N363" si="252">$B334+($C334-$B334)*(1-AC334)</f>
        <v>28451727.106804334</v>
      </c>
      <c r="O354" s="62">
        <f t="shared" ref="O354:O363" si="253">$B334+($C334-$B334)*(1-AD334)</f>
        <v>27891736.568525508</v>
      </c>
      <c r="P354" s="62">
        <f t="shared" ref="P354:P363" si="254">$B334+($C334-$B334)*(1-AE334)</f>
        <v>27186523.136249304</v>
      </c>
      <c r="Q354" s="62">
        <f t="shared" ref="Q354:Q363" si="255">$B334+($C334-$B334)*(1-AF334)</f>
        <v>26340287.260672603</v>
      </c>
      <c r="R354" s="62">
        <f t="shared" ref="R354:R363" si="256">$B334+($C334-$B334)*(1-AG334)</f>
        <v>25383386.027489204</v>
      </c>
      <c r="S354" s="62">
        <f t="shared" ref="S354:S363" si="257">$B334+($C334-$B334)*(1-AH334)</f>
        <v>24373189.321684461</v>
      </c>
      <c r="T354" s="62">
        <f t="shared" ref="T354:T363" si="258">$B334+($C334-$B334)*(1-AI334)</f>
        <v>23382871.397530012</v>
      </c>
      <c r="U354" s="62">
        <f t="shared" ref="U354:U363" si="259">$B334+($C334-$B334)*(1-AJ334)</f>
        <v>22481364.606909275</v>
      </c>
      <c r="V354" s="62">
        <f t="shared" ref="V354:V363" si="260">$B334+($C334-$B334)*(1-AK334)</f>
        <v>21715212.211917363</v>
      </c>
      <c r="W354" s="62">
        <f t="shared" ref="W354:W363" si="261">$B334+($C334-$B334)*(1-AL334)</f>
        <v>21101661.353648812</v>
      </c>
      <c r="X354" s="62">
        <f t="shared" ref="X354:X363" si="262">$B334+($C334-$B334)*(1-AM334)</f>
        <v>20633494.81745955</v>
      </c>
      <c r="Y354" s="62">
        <f t="shared" ref="Y354:Y363" si="263">$B334+($C334-$B334)*(1-AN334)</f>
        <v>20289354.866349965</v>
      </c>
      <c r="Z354" s="62">
        <f t="shared" ref="Z354:Z363" si="264">$B334+($C334-$B334)*(1-AO334)</f>
        <v>20043299.779863775</v>
      </c>
      <c r="AA354" s="62">
        <f t="shared" ref="AA354:AA363" si="265">$B334+($C334-$B334)*(1-AP334)</f>
        <v>19870851.501566134</v>
      </c>
      <c r="AB354" s="62">
        <f t="shared" ref="AB354:AB363" si="266">$B334+($C334-$B334)*(1-AQ334)</f>
        <v>19751679.141762912</v>
      </c>
      <c r="AC354" s="62">
        <f t="shared" ref="AC354:AC363" si="267">$B334+($C334-$B334)*(1-AR334)</f>
        <v>19670123.557363093</v>
      </c>
    </row>
    <row r="355" spans="1:29" x14ac:dyDescent="0.3">
      <c r="A355" s="30" t="str">
        <f t="shared" si="239"/>
        <v>Residual value (vehicle)</v>
      </c>
      <c r="B355" s="62">
        <f t="shared" si="240"/>
        <v>-1500988.3145543465</v>
      </c>
      <c r="C355" s="62">
        <f t="shared" si="241"/>
        <v>-1501415.8830813463</v>
      </c>
      <c r="D355" s="62">
        <f t="shared" si="242"/>
        <v>-1502027.9379044252</v>
      </c>
      <c r="E355" s="62">
        <f t="shared" si="243"/>
        <v>-1502903.5253704586</v>
      </c>
      <c r="F355" s="62">
        <f t="shared" si="244"/>
        <v>-1504154.9330673877</v>
      </c>
      <c r="G355" s="62">
        <f t="shared" si="245"/>
        <v>-1505940.9622913231</v>
      </c>
      <c r="H355" s="62">
        <f t="shared" si="246"/>
        <v>-1508484.7060671379</v>
      </c>
      <c r="I355" s="62">
        <f t="shared" si="247"/>
        <v>-1512096.4575785759</v>
      </c>
      <c r="J355" s="62">
        <f t="shared" si="248"/>
        <v>-1517201.3212728326</v>
      </c>
      <c r="K355" s="62">
        <f t="shared" si="249"/>
        <v>-1524368.4578001988</v>
      </c>
      <c r="L355" s="62">
        <f t="shared" si="250"/>
        <v>-1534333.3793243633</v>
      </c>
      <c r="M355" s="62">
        <f t="shared" si="251"/>
        <v>-1547994.9139455371</v>
      </c>
      <c r="N355" s="62">
        <f t="shared" si="252"/>
        <v>-1566354.5525655285</v>
      </c>
      <c r="O355" s="62">
        <f t="shared" si="253"/>
        <v>-1590354.1470631924</v>
      </c>
      <c r="P355" s="62">
        <f t="shared" si="254"/>
        <v>-1620577.5798750299</v>
      </c>
      <c r="Q355" s="62">
        <f t="shared" si="255"/>
        <v>-1656844.8316854599</v>
      </c>
      <c r="R355" s="62">
        <f t="shared" si="256"/>
        <v>-1697854.8845361769</v>
      </c>
      <c r="S355" s="62">
        <f t="shared" si="257"/>
        <v>-1741149.0290706661</v>
      </c>
      <c r="T355" s="62">
        <f t="shared" si="258"/>
        <v>-1783591.2258201423</v>
      </c>
      <c r="U355" s="62">
        <f t="shared" si="259"/>
        <v>-1822227.2311324596</v>
      </c>
      <c r="V355" s="62">
        <f t="shared" si="260"/>
        <v>-1855062.3337749701</v>
      </c>
      <c r="W355" s="62">
        <f t="shared" si="261"/>
        <v>-1881357.370557908</v>
      </c>
      <c r="X355" s="62">
        <f t="shared" si="262"/>
        <v>-1901421.650680305</v>
      </c>
      <c r="Y355" s="62">
        <f t="shared" si="263"/>
        <v>-1916170.5057278587</v>
      </c>
      <c r="Z355" s="62">
        <f t="shared" si="264"/>
        <v>-1926715.723720124</v>
      </c>
      <c r="AA355" s="62">
        <f t="shared" si="265"/>
        <v>-1934106.3642185943</v>
      </c>
      <c r="AB355" s="62">
        <f t="shared" si="266"/>
        <v>-1939213.7510673038</v>
      </c>
      <c r="AC355" s="62">
        <f t="shared" si="267"/>
        <v>-1942708.9903987246</v>
      </c>
    </row>
    <row r="356" spans="1:29" x14ac:dyDescent="0.3">
      <c r="A356" s="30" t="str">
        <f t="shared" si="239"/>
        <v>Capex costumization</v>
      </c>
      <c r="B356" s="62">
        <f t="shared" si="240"/>
        <v>1000000</v>
      </c>
      <c r="C356" s="62">
        <f t="shared" si="241"/>
        <v>1000000</v>
      </c>
      <c r="D356" s="62">
        <f t="shared" si="242"/>
        <v>1000000</v>
      </c>
      <c r="E356" s="62">
        <f t="shared" si="243"/>
        <v>1000000</v>
      </c>
      <c r="F356" s="62">
        <f t="shared" si="244"/>
        <v>1000000</v>
      </c>
      <c r="G356" s="62">
        <f t="shared" si="245"/>
        <v>1000000</v>
      </c>
      <c r="H356" s="62">
        <f t="shared" si="246"/>
        <v>1000000</v>
      </c>
      <c r="I356" s="62">
        <f t="shared" si="247"/>
        <v>1000000</v>
      </c>
      <c r="J356" s="62">
        <f t="shared" si="248"/>
        <v>1000000</v>
      </c>
      <c r="K356" s="62">
        <f t="shared" si="249"/>
        <v>1000000</v>
      </c>
      <c r="L356" s="62">
        <f t="shared" si="250"/>
        <v>1000000</v>
      </c>
      <c r="M356" s="62">
        <f t="shared" si="251"/>
        <v>1000000</v>
      </c>
      <c r="N356" s="62">
        <f t="shared" si="252"/>
        <v>1000000</v>
      </c>
      <c r="O356" s="62">
        <f t="shared" si="253"/>
        <v>1000000</v>
      </c>
      <c r="P356" s="62">
        <f t="shared" si="254"/>
        <v>1000000</v>
      </c>
      <c r="Q356" s="62">
        <f t="shared" si="255"/>
        <v>1000000</v>
      </c>
      <c r="R356" s="62">
        <f t="shared" si="256"/>
        <v>1000000</v>
      </c>
      <c r="S356" s="62">
        <f t="shared" si="257"/>
        <v>1000000</v>
      </c>
      <c r="T356" s="62">
        <f t="shared" si="258"/>
        <v>1000000</v>
      </c>
      <c r="U356" s="62">
        <f t="shared" si="259"/>
        <v>1000000</v>
      </c>
      <c r="V356" s="62">
        <f t="shared" si="260"/>
        <v>1000000</v>
      </c>
      <c r="W356" s="62">
        <f t="shared" si="261"/>
        <v>1000000</v>
      </c>
      <c r="X356" s="62">
        <f t="shared" si="262"/>
        <v>1000000</v>
      </c>
      <c r="Y356" s="62">
        <f t="shared" si="263"/>
        <v>1000000</v>
      </c>
      <c r="Z356" s="62">
        <f t="shared" si="264"/>
        <v>1000000</v>
      </c>
      <c r="AA356" s="62">
        <f t="shared" si="265"/>
        <v>1000000</v>
      </c>
      <c r="AB356" s="62">
        <f t="shared" si="266"/>
        <v>1000000</v>
      </c>
      <c r="AC356" s="62">
        <f t="shared" si="267"/>
        <v>1000000</v>
      </c>
    </row>
    <row r="357" spans="1:29" x14ac:dyDescent="0.3">
      <c r="A357" s="30" t="str">
        <f t="shared" si="239"/>
        <v>Residual value (costumization)</v>
      </c>
      <c r="B357" s="62">
        <f t="shared" si="240"/>
        <v>-100000</v>
      </c>
      <c r="C357" s="62">
        <f t="shared" si="241"/>
        <v>-100000</v>
      </c>
      <c r="D357" s="62">
        <f t="shared" si="242"/>
        <v>-100000</v>
      </c>
      <c r="E357" s="62">
        <f t="shared" si="243"/>
        <v>-100000</v>
      </c>
      <c r="F357" s="62">
        <f t="shared" si="244"/>
        <v>-100000</v>
      </c>
      <c r="G357" s="62">
        <f t="shared" si="245"/>
        <v>-100000</v>
      </c>
      <c r="H357" s="62">
        <f t="shared" si="246"/>
        <v>-100000</v>
      </c>
      <c r="I357" s="62">
        <f t="shared" si="247"/>
        <v>-100000</v>
      </c>
      <c r="J357" s="62">
        <f t="shared" si="248"/>
        <v>-100000</v>
      </c>
      <c r="K357" s="62">
        <f t="shared" si="249"/>
        <v>-100000</v>
      </c>
      <c r="L357" s="62">
        <f t="shared" si="250"/>
        <v>-100000</v>
      </c>
      <c r="M357" s="62">
        <f t="shared" si="251"/>
        <v>-100000</v>
      </c>
      <c r="N357" s="62">
        <f t="shared" si="252"/>
        <v>-100000</v>
      </c>
      <c r="O357" s="62">
        <f t="shared" si="253"/>
        <v>-100000</v>
      </c>
      <c r="P357" s="62">
        <f t="shared" si="254"/>
        <v>-100000</v>
      </c>
      <c r="Q357" s="62">
        <f t="shared" si="255"/>
        <v>-100000</v>
      </c>
      <c r="R357" s="62">
        <f t="shared" si="256"/>
        <v>-100000</v>
      </c>
      <c r="S357" s="62">
        <f t="shared" si="257"/>
        <v>-100000</v>
      </c>
      <c r="T357" s="62">
        <f t="shared" si="258"/>
        <v>-100000</v>
      </c>
      <c r="U357" s="62">
        <f t="shared" si="259"/>
        <v>-100000</v>
      </c>
      <c r="V357" s="62">
        <f t="shared" si="260"/>
        <v>-100000</v>
      </c>
      <c r="W357" s="62">
        <f t="shared" si="261"/>
        <v>-100000</v>
      </c>
      <c r="X357" s="62">
        <f t="shared" si="262"/>
        <v>-100000</v>
      </c>
      <c r="Y357" s="62">
        <f t="shared" si="263"/>
        <v>-100000</v>
      </c>
      <c r="Z357" s="62">
        <f t="shared" si="264"/>
        <v>-100000</v>
      </c>
      <c r="AA357" s="62">
        <f t="shared" si="265"/>
        <v>-100000</v>
      </c>
      <c r="AB357" s="62">
        <f t="shared" si="266"/>
        <v>-100000</v>
      </c>
      <c r="AC357" s="62">
        <f t="shared" si="267"/>
        <v>-100000</v>
      </c>
    </row>
    <row r="358" spans="1:29" x14ac:dyDescent="0.3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3">
      <c r="A359" s="30" t="str">
        <f t="shared" si="239"/>
        <v>Opex fix (admin, crew, insurance)</v>
      </c>
      <c r="B359" s="62">
        <f t="shared" si="240"/>
        <v>1208235.294117647</v>
      </c>
      <c r="C359" s="62">
        <f t="shared" si="241"/>
        <v>1208235.294117647</v>
      </c>
      <c r="D359" s="62">
        <f t="shared" si="242"/>
        <v>1208235.294117647</v>
      </c>
      <c r="E359" s="62">
        <f t="shared" si="243"/>
        <v>1208235.294117647</v>
      </c>
      <c r="F359" s="62">
        <f t="shared" si="244"/>
        <v>1208235.294117647</v>
      </c>
      <c r="G359" s="62">
        <f t="shared" si="245"/>
        <v>1208235.294117647</v>
      </c>
      <c r="H359" s="62">
        <f t="shared" si="246"/>
        <v>1208235.294117647</v>
      </c>
      <c r="I359" s="62">
        <f t="shared" si="247"/>
        <v>1208235.294117647</v>
      </c>
      <c r="J359" s="62">
        <f t="shared" si="248"/>
        <v>1208235.294117647</v>
      </c>
      <c r="K359" s="62">
        <f t="shared" si="249"/>
        <v>1208235.294117647</v>
      </c>
      <c r="L359" s="62">
        <f t="shared" si="250"/>
        <v>1208235.294117647</v>
      </c>
      <c r="M359" s="62">
        <f t="shared" si="251"/>
        <v>1208235.294117647</v>
      </c>
      <c r="N359" s="62">
        <f t="shared" si="252"/>
        <v>1208235.294117647</v>
      </c>
      <c r="O359" s="62">
        <f t="shared" si="253"/>
        <v>1208235.294117647</v>
      </c>
      <c r="P359" s="62">
        <f t="shared" si="254"/>
        <v>1208235.294117647</v>
      </c>
      <c r="Q359" s="62">
        <f t="shared" si="255"/>
        <v>1208235.294117647</v>
      </c>
      <c r="R359" s="62">
        <f t="shared" si="256"/>
        <v>1208235.294117647</v>
      </c>
      <c r="S359" s="62">
        <f t="shared" si="257"/>
        <v>1208235.294117647</v>
      </c>
      <c r="T359" s="62">
        <f t="shared" si="258"/>
        <v>1208235.294117647</v>
      </c>
      <c r="U359" s="62">
        <f t="shared" si="259"/>
        <v>1208235.294117647</v>
      </c>
      <c r="V359" s="62">
        <f t="shared" si="260"/>
        <v>1208235.294117647</v>
      </c>
      <c r="W359" s="62">
        <f t="shared" si="261"/>
        <v>1208235.294117647</v>
      </c>
      <c r="X359" s="62">
        <f t="shared" si="262"/>
        <v>1208235.294117647</v>
      </c>
      <c r="Y359" s="62">
        <f t="shared" si="263"/>
        <v>1208235.294117647</v>
      </c>
      <c r="Z359" s="62">
        <f t="shared" si="264"/>
        <v>1208235.294117647</v>
      </c>
      <c r="AA359" s="62">
        <f t="shared" si="265"/>
        <v>1208235.294117647</v>
      </c>
      <c r="AB359" s="62">
        <f t="shared" si="266"/>
        <v>1208235.294117647</v>
      </c>
      <c r="AC359" s="62">
        <f t="shared" si="267"/>
        <v>1208235.294117647</v>
      </c>
    </row>
    <row r="360" spans="1:29" x14ac:dyDescent="0.3">
      <c r="A360" s="30" t="str">
        <f t="shared" si="239"/>
        <v>Opex maintenance &amp; repair</v>
      </c>
      <c r="B360" s="62">
        <f t="shared" si="240"/>
        <v>338823.5294117647</v>
      </c>
      <c r="C360" s="62">
        <f t="shared" si="241"/>
        <v>338823.5294117647</v>
      </c>
      <c r="D360" s="62">
        <f t="shared" si="242"/>
        <v>338823.5294117647</v>
      </c>
      <c r="E360" s="62">
        <f t="shared" si="243"/>
        <v>338823.5294117647</v>
      </c>
      <c r="F360" s="62">
        <f t="shared" si="244"/>
        <v>338823.5294117647</v>
      </c>
      <c r="G360" s="62">
        <f t="shared" si="245"/>
        <v>338823.5294117647</v>
      </c>
      <c r="H360" s="62">
        <f t="shared" si="246"/>
        <v>338823.5294117647</v>
      </c>
      <c r="I360" s="62">
        <f t="shared" si="247"/>
        <v>338823.5294117647</v>
      </c>
      <c r="J360" s="62">
        <f t="shared" si="248"/>
        <v>338823.5294117647</v>
      </c>
      <c r="K360" s="62">
        <f t="shared" si="249"/>
        <v>338823.5294117647</v>
      </c>
      <c r="L360" s="62">
        <f t="shared" si="250"/>
        <v>338823.5294117647</v>
      </c>
      <c r="M360" s="62">
        <f t="shared" si="251"/>
        <v>338823.5294117647</v>
      </c>
      <c r="N360" s="62">
        <f t="shared" si="252"/>
        <v>338823.5294117647</v>
      </c>
      <c r="O360" s="62">
        <f t="shared" si="253"/>
        <v>338823.5294117647</v>
      </c>
      <c r="P360" s="62">
        <f t="shared" si="254"/>
        <v>338823.5294117647</v>
      </c>
      <c r="Q360" s="62">
        <f t="shared" si="255"/>
        <v>338823.5294117647</v>
      </c>
      <c r="R360" s="62">
        <f t="shared" si="256"/>
        <v>338823.5294117647</v>
      </c>
      <c r="S360" s="62">
        <f t="shared" si="257"/>
        <v>338823.5294117647</v>
      </c>
      <c r="T360" s="62">
        <f t="shared" si="258"/>
        <v>338823.5294117647</v>
      </c>
      <c r="U360" s="62">
        <f t="shared" si="259"/>
        <v>338823.5294117647</v>
      </c>
      <c r="V360" s="62">
        <f t="shared" si="260"/>
        <v>338823.5294117647</v>
      </c>
      <c r="W360" s="62">
        <f t="shared" si="261"/>
        <v>338823.5294117647</v>
      </c>
      <c r="X360" s="62">
        <f t="shared" si="262"/>
        <v>338823.5294117647</v>
      </c>
      <c r="Y360" s="62">
        <f t="shared" si="263"/>
        <v>338823.5294117647</v>
      </c>
      <c r="Z360" s="62">
        <f t="shared" si="264"/>
        <v>338823.5294117647</v>
      </c>
      <c r="AA360" s="62">
        <f t="shared" si="265"/>
        <v>338823.5294117647</v>
      </c>
      <c r="AB360" s="62">
        <f t="shared" si="266"/>
        <v>338823.5294117647</v>
      </c>
      <c r="AC360" s="62">
        <f t="shared" si="267"/>
        <v>338823.5294117647</v>
      </c>
    </row>
    <row r="361" spans="1:29" x14ac:dyDescent="0.3">
      <c r="A361" s="30" t="str">
        <f t="shared" si="239"/>
        <v>Opex var (mode-fees)</v>
      </c>
      <c r="B361" s="62">
        <f t="shared" si="240"/>
        <v>0.81280569096848254</v>
      </c>
      <c r="C361" s="62">
        <f t="shared" si="241"/>
        <v>0.81280569096848254</v>
      </c>
      <c r="D361" s="62">
        <f t="shared" si="242"/>
        <v>0.81280569096848254</v>
      </c>
      <c r="E361" s="62">
        <f t="shared" si="243"/>
        <v>0.81280569096848254</v>
      </c>
      <c r="F361" s="62">
        <f t="shared" si="244"/>
        <v>0.81280569096848254</v>
      </c>
      <c r="G361" s="62">
        <f t="shared" si="245"/>
        <v>0.81280569096848254</v>
      </c>
      <c r="H361" s="62">
        <f t="shared" si="246"/>
        <v>0.81280569096848254</v>
      </c>
      <c r="I361" s="62">
        <f t="shared" si="247"/>
        <v>0.81280569096848254</v>
      </c>
      <c r="J361" s="62">
        <f t="shared" si="248"/>
        <v>0.81280569096848254</v>
      </c>
      <c r="K361" s="62">
        <f t="shared" si="249"/>
        <v>0.81280569096848254</v>
      </c>
      <c r="L361" s="62">
        <f t="shared" si="250"/>
        <v>0.81280569096848254</v>
      </c>
      <c r="M361" s="62">
        <f t="shared" si="251"/>
        <v>0.81280569096848254</v>
      </c>
      <c r="N361" s="62">
        <f t="shared" si="252"/>
        <v>0.81280569096848254</v>
      </c>
      <c r="O361" s="62">
        <f t="shared" si="253"/>
        <v>0.81280569096848254</v>
      </c>
      <c r="P361" s="62">
        <f t="shared" si="254"/>
        <v>0.81280569096848254</v>
      </c>
      <c r="Q361" s="62">
        <f t="shared" si="255"/>
        <v>0.81280569096848254</v>
      </c>
      <c r="R361" s="62">
        <f t="shared" si="256"/>
        <v>0.81280569096848254</v>
      </c>
      <c r="S361" s="62">
        <f t="shared" si="257"/>
        <v>0.81280569096848254</v>
      </c>
      <c r="T361" s="62">
        <f t="shared" si="258"/>
        <v>0.81280569096848254</v>
      </c>
      <c r="U361" s="62">
        <f t="shared" si="259"/>
        <v>0.81280569096848254</v>
      </c>
      <c r="V361" s="62">
        <f t="shared" si="260"/>
        <v>0.81280569096848254</v>
      </c>
      <c r="W361" s="62">
        <f t="shared" si="261"/>
        <v>0.81280569096848254</v>
      </c>
      <c r="X361" s="62">
        <f t="shared" si="262"/>
        <v>0.81280569096848254</v>
      </c>
      <c r="Y361" s="62">
        <f t="shared" si="263"/>
        <v>0.81280569096848254</v>
      </c>
      <c r="Z361" s="62">
        <f t="shared" si="264"/>
        <v>0.81280569096848254</v>
      </c>
      <c r="AA361" s="62">
        <f t="shared" si="265"/>
        <v>0.81280569096848254</v>
      </c>
      <c r="AB361" s="62">
        <f t="shared" si="266"/>
        <v>0.81280569096848254</v>
      </c>
      <c r="AC361" s="62">
        <f t="shared" si="267"/>
        <v>0.81280569096848254</v>
      </c>
    </row>
    <row r="362" spans="1:29" x14ac:dyDescent="0.3">
      <c r="A362" s="30" t="str">
        <f t="shared" si="239"/>
        <v>Fuel Economy</v>
      </c>
      <c r="B362" s="62">
        <f t="shared" si="240"/>
        <v>588.84626218043502</v>
      </c>
      <c r="C362" s="62">
        <f t="shared" si="241"/>
        <v>588.7797515206795</v>
      </c>
      <c r="D362" s="62">
        <f t="shared" si="242"/>
        <v>588.68454299264499</v>
      </c>
      <c r="E362" s="62">
        <f t="shared" si="243"/>
        <v>588.54834049792862</v>
      </c>
      <c r="F362" s="62">
        <f t="shared" si="244"/>
        <v>588.35367707840635</v>
      </c>
      <c r="G362" s="62">
        <f t="shared" si="245"/>
        <v>588.07585031023859</v>
      </c>
      <c r="H362" s="62">
        <f t="shared" si="246"/>
        <v>587.68015683400074</v>
      </c>
      <c r="I362" s="62">
        <f t="shared" si="247"/>
        <v>587.11832882111048</v>
      </c>
      <c r="J362" s="62">
        <f t="shared" si="248"/>
        <v>586.32423891311498</v>
      </c>
      <c r="K362" s="62">
        <f t="shared" si="249"/>
        <v>585.20935100885799</v>
      </c>
      <c r="L362" s="62">
        <f t="shared" si="250"/>
        <v>583.65925210509909</v>
      </c>
      <c r="M362" s="62">
        <f t="shared" si="251"/>
        <v>581.53412449736095</v>
      </c>
      <c r="N362" s="62">
        <f t="shared" si="252"/>
        <v>578.67818071202885</v>
      </c>
      <c r="O362" s="62">
        <f t="shared" si="253"/>
        <v>574.94491045683674</v>
      </c>
      <c r="P362" s="62">
        <f t="shared" si="254"/>
        <v>570.24348757499536</v>
      </c>
      <c r="Q362" s="62">
        <f t="shared" si="255"/>
        <v>564.60191507115064</v>
      </c>
      <c r="R362" s="62">
        <f t="shared" si="256"/>
        <v>558.22257351659471</v>
      </c>
      <c r="S362" s="62">
        <f t="shared" si="257"/>
        <v>551.48792881122972</v>
      </c>
      <c r="T362" s="62">
        <f t="shared" si="258"/>
        <v>544.8858093168667</v>
      </c>
      <c r="U362" s="62">
        <f t="shared" si="259"/>
        <v>538.87576404606182</v>
      </c>
      <c r="V362" s="62">
        <f t="shared" si="260"/>
        <v>533.76808141278241</v>
      </c>
      <c r="W362" s="62">
        <f t="shared" si="261"/>
        <v>529.67774235765876</v>
      </c>
      <c r="X362" s="62">
        <f t="shared" si="262"/>
        <v>526.55663211639694</v>
      </c>
      <c r="Y362" s="62">
        <f t="shared" si="263"/>
        <v>524.26236577566647</v>
      </c>
      <c r="Z362" s="62">
        <f t="shared" si="264"/>
        <v>522.6219985324251</v>
      </c>
      <c r="AA362" s="62">
        <f t="shared" si="265"/>
        <v>521.47234334377424</v>
      </c>
      <c r="AB362" s="62">
        <f t="shared" si="266"/>
        <v>520.67786094508608</v>
      </c>
      <c r="AC362" s="62">
        <f t="shared" si="267"/>
        <v>520.13415704908732</v>
      </c>
    </row>
    <row r="363" spans="1:29" x14ac:dyDescent="0.3">
      <c r="A363" s="30" t="str">
        <f t="shared" si="239"/>
        <v>Fuel Cost</v>
      </c>
      <c r="B363" s="62">
        <f t="shared" si="240"/>
        <v>0.20959517810556494</v>
      </c>
      <c r="C363" s="62">
        <f t="shared" si="241"/>
        <v>0.20948849768499242</v>
      </c>
      <c r="D363" s="62">
        <f t="shared" si="242"/>
        <v>0.20933578703905767</v>
      </c>
      <c r="E363" s="62">
        <f t="shared" si="243"/>
        <v>0.20911732372095529</v>
      </c>
      <c r="F363" s="62">
        <f t="shared" si="244"/>
        <v>0.20880509143306247</v>
      </c>
      <c r="G363" s="62">
        <f t="shared" si="245"/>
        <v>0.20835946848204387</v>
      </c>
      <c r="H363" s="62">
        <f t="shared" si="246"/>
        <v>0.20772479207651681</v>
      </c>
      <c r="I363" s="62">
        <f t="shared" si="247"/>
        <v>0.20682364256266603</v>
      </c>
      <c r="J363" s="62">
        <f t="shared" si="248"/>
        <v>0.20554995431977732</v>
      </c>
      <c r="K363" s="62">
        <f t="shared" si="249"/>
        <v>0.20376171900600099</v>
      </c>
      <c r="L363" s="62">
        <f t="shared" si="250"/>
        <v>0.20127542277033145</v>
      </c>
      <c r="M363" s="62">
        <f t="shared" si="251"/>
        <v>0.19786680364375564</v>
      </c>
      <c r="N363" s="62">
        <f t="shared" si="252"/>
        <v>0.19328598479049669</v>
      </c>
      <c r="O363" s="62">
        <f t="shared" si="253"/>
        <v>0.18729796960016717</v>
      </c>
      <c r="P363" s="62">
        <f t="shared" si="254"/>
        <v>0.17975707657387874</v>
      </c>
      <c r="Q363" s="62">
        <f t="shared" si="255"/>
        <v>0.17070822140370084</v>
      </c>
      <c r="R363" s="62">
        <f t="shared" si="256"/>
        <v>0.16047601437827749</v>
      </c>
      <c r="S363" s="62">
        <f t="shared" si="257"/>
        <v>0.14967391540322711</v>
      </c>
      <c r="T363" s="62">
        <f t="shared" si="258"/>
        <v>0.13908438153124628</v>
      </c>
      <c r="U363" s="62">
        <f t="shared" si="259"/>
        <v>0.12944451087733477</v>
      </c>
      <c r="V363" s="62">
        <f t="shared" si="260"/>
        <v>0.12125199356548938</v>
      </c>
      <c r="W363" s="62">
        <f t="shared" si="261"/>
        <v>0.1146912543954242</v>
      </c>
      <c r="X363" s="62">
        <f t="shared" si="262"/>
        <v>0.10968511922228061</v>
      </c>
      <c r="Y363" s="62">
        <f t="shared" si="263"/>
        <v>0.10600520837739882</v>
      </c>
      <c r="Z363" s="62">
        <f t="shared" si="264"/>
        <v>0.10337412535934337</v>
      </c>
      <c r="AA363" s="62">
        <f t="shared" si="265"/>
        <v>0.10153012472110708</v>
      </c>
      <c r="AB363" s="62">
        <f t="shared" si="266"/>
        <v>0.10025580693894878</v>
      </c>
      <c r="AC363" s="62">
        <f t="shared" si="267"/>
        <v>9.9383727778927067E-2</v>
      </c>
    </row>
    <row r="364" spans="1:29" x14ac:dyDescent="0.3">
      <c r="A364" s="30" t="str">
        <f t="shared" ref="A364" si="268">A344</f>
        <v>Emission Cost</v>
      </c>
      <c r="B364" s="66">
        <f>$B344+($C344-$B344)*(1-Q344)</f>
        <v>2.4395360251592355</v>
      </c>
      <c r="C364" s="66">
        <f t="shared" ref="C364:AC364" si="269">$B344+($C344-$B344)*(1-R344)</f>
        <v>2.437212992466212</v>
      </c>
      <c r="D364" s="66">
        <f t="shared" si="269"/>
        <v>2.4338876229075299</v>
      </c>
      <c r="E364" s="66">
        <f t="shared" si="269"/>
        <v>2.4291304479033946</v>
      </c>
      <c r="F364" s="66">
        <f t="shared" si="269"/>
        <v>2.422331395099703</v>
      </c>
      <c r="G364" s="66">
        <f t="shared" si="269"/>
        <v>2.4126276774125932</v>
      </c>
      <c r="H364" s="66">
        <f t="shared" si="269"/>
        <v>2.3988072028436171</v>
      </c>
      <c r="I364" s="66">
        <f t="shared" si="269"/>
        <v>2.379184110145415</v>
      </c>
      <c r="J364" s="66">
        <f t="shared" si="269"/>
        <v>2.3514487542753191</v>
      </c>
      <c r="K364" s="66">
        <f t="shared" si="269"/>
        <v>2.3125088150209741</v>
      </c>
      <c r="L364" s="66">
        <f t="shared" si="269"/>
        <v>2.2583681638217614</v>
      </c>
      <c r="M364" s="66">
        <f t="shared" si="269"/>
        <v>2.1841433564334305</v>
      </c>
      <c r="N364" s="66">
        <f t="shared" si="269"/>
        <v>2.0843931689123196</v>
      </c>
      <c r="O364" s="66">
        <f t="shared" si="269"/>
        <v>1.9540004035032079</v>
      </c>
      <c r="P364" s="66">
        <f t="shared" si="269"/>
        <v>1.7897927547083285</v>
      </c>
      <c r="Q364" s="66">
        <f t="shared" si="269"/>
        <v>1.5927482897357697</v>
      </c>
      <c r="R364" s="66">
        <f t="shared" si="269"/>
        <v>1.3699356000755636</v>
      </c>
      <c r="S364" s="66">
        <f t="shared" si="269"/>
        <v>1.1347131577787466</v>
      </c>
      <c r="T364" s="66">
        <f t="shared" si="269"/>
        <v>0.90411945317509268</v>
      </c>
      <c r="U364" s="66">
        <f t="shared" si="269"/>
        <v>0.69420525743630557</v>
      </c>
      <c r="V364" s="66">
        <f t="shared" si="269"/>
        <v>0.51580808341464834</v>
      </c>
      <c r="W364" s="66">
        <f t="shared" si="269"/>
        <v>0.37294389614701329</v>
      </c>
      <c r="X364" s="66">
        <f t="shared" si="269"/>
        <v>0.26393218049669054</v>
      </c>
      <c r="Y364" s="66">
        <f t="shared" si="269"/>
        <v>0.18379982674147044</v>
      </c>
      <c r="Z364" s="66">
        <f t="shared" si="269"/>
        <v>0.12650635305435332</v>
      </c>
      <c r="AA364" s="66">
        <f t="shared" si="269"/>
        <v>8.6352089079855254E-2</v>
      </c>
      <c r="AB364" s="66">
        <f t="shared" si="269"/>
        <v>5.8603024599529263E-2</v>
      </c>
      <c r="AC364" s="66">
        <f t="shared" si="269"/>
        <v>3.9612956986719627E-2</v>
      </c>
    </row>
    <row r="365" spans="1:29" x14ac:dyDescent="0.3">
      <c r="A365" s="30" t="str">
        <f>A345</f>
        <v>Lifetime vehicle</v>
      </c>
      <c r="B365" s="62">
        <f>$B345+($C345-$B345)*(1-Q345)</f>
        <v>25</v>
      </c>
      <c r="C365" s="62">
        <f t="shared" ref="C365:L367" si="270">$B345+($C345-$B345)*(1-R345)</f>
        <v>25</v>
      </c>
      <c r="D365" s="62">
        <f t="shared" si="270"/>
        <v>25</v>
      </c>
      <c r="E365" s="62">
        <f t="shared" si="270"/>
        <v>25</v>
      </c>
      <c r="F365" s="62">
        <f t="shared" si="270"/>
        <v>25</v>
      </c>
      <c r="G365" s="62">
        <f t="shared" si="270"/>
        <v>25</v>
      </c>
      <c r="H365" s="62">
        <f t="shared" si="270"/>
        <v>25</v>
      </c>
      <c r="I365" s="62">
        <f t="shared" si="270"/>
        <v>25</v>
      </c>
      <c r="J365" s="62">
        <f t="shared" si="270"/>
        <v>25</v>
      </c>
      <c r="K365" s="62">
        <f t="shared" si="270"/>
        <v>25</v>
      </c>
      <c r="L365" s="62">
        <f t="shared" si="270"/>
        <v>25</v>
      </c>
      <c r="M365" s="62">
        <f t="shared" ref="M365:V367" si="271">$B345+($C345-$B345)*(1-AB345)</f>
        <v>25</v>
      </c>
      <c r="N365" s="62">
        <f t="shared" si="271"/>
        <v>25</v>
      </c>
      <c r="O365" s="62">
        <f t="shared" si="271"/>
        <v>25</v>
      </c>
      <c r="P365" s="62">
        <f t="shared" si="271"/>
        <v>25</v>
      </c>
      <c r="Q365" s="62">
        <f t="shared" si="271"/>
        <v>25</v>
      </c>
      <c r="R365" s="62">
        <f t="shared" si="271"/>
        <v>25</v>
      </c>
      <c r="S365" s="62">
        <f t="shared" si="271"/>
        <v>25</v>
      </c>
      <c r="T365" s="62">
        <f t="shared" si="271"/>
        <v>25</v>
      </c>
      <c r="U365" s="62">
        <f t="shared" si="271"/>
        <v>25</v>
      </c>
      <c r="V365" s="62">
        <f t="shared" si="271"/>
        <v>25</v>
      </c>
      <c r="W365" s="62">
        <f t="shared" ref="W365:AC367" si="272">$B345+($C345-$B345)*(1-AL345)</f>
        <v>25</v>
      </c>
      <c r="X365" s="62">
        <f t="shared" si="272"/>
        <v>25</v>
      </c>
      <c r="Y365" s="62">
        <f t="shared" si="272"/>
        <v>25</v>
      </c>
      <c r="Z365" s="62">
        <f t="shared" si="272"/>
        <v>25</v>
      </c>
      <c r="AA365" s="62">
        <f t="shared" si="272"/>
        <v>25</v>
      </c>
      <c r="AB365" s="62">
        <f t="shared" si="272"/>
        <v>25</v>
      </c>
      <c r="AC365" s="62">
        <f t="shared" si="272"/>
        <v>25</v>
      </c>
    </row>
    <row r="366" spans="1:29" x14ac:dyDescent="0.3">
      <c r="A366" s="30" t="str">
        <f>A346</f>
        <v>Lifetime costumization</v>
      </c>
      <c r="B366" s="62">
        <f>$B346+($C346-$B346)*(1-Q346)</f>
        <v>25</v>
      </c>
      <c r="C366" s="62">
        <f t="shared" si="270"/>
        <v>25</v>
      </c>
      <c r="D366" s="62">
        <f t="shared" si="270"/>
        <v>25</v>
      </c>
      <c r="E366" s="62">
        <f t="shared" si="270"/>
        <v>25</v>
      </c>
      <c r="F366" s="62">
        <f t="shared" si="270"/>
        <v>25</v>
      </c>
      <c r="G366" s="62">
        <f t="shared" si="270"/>
        <v>25</v>
      </c>
      <c r="H366" s="62">
        <f t="shared" si="270"/>
        <v>25</v>
      </c>
      <c r="I366" s="62">
        <f t="shared" si="270"/>
        <v>25</v>
      </c>
      <c r="J366" s="62">
        <f t="shared" si="270"/>
        <v>25</v>
      </c>
      <c r="K366" s="62">
        <f t="shared" si="270"/>
        <v>25</v>
      </c>
      <c r="L366" s="62">
        <f t="shared" si="270"/>
        <v>25</v>
      </c>
      <c r="M366" s="62">
        <f t="shared" si="271"/>
        <v>25</v>
      </c>
      <c r="N366" s="62">
        <f t="shared" si="271"/>
        <v>25</v>
      </c>
      <c r="O366" s="62">
        <f t="shared" si="271"/>
        <v>25</v>
      </c>
      <c r="P366" s="62">
        <f t="shared" si="271"/>
        <v>25</v>
      </c>
      <c r="Q366" s="62">
        <f t="shared" si="271"/>
        <v>25</v>
      </c>
      <c r="R366" s="62">
        <f t="shared" si="271"/>
        <v>25</v>
      </c>
      <c r="S366" s="62">
        <f t="shared" si="271"/>
        <v>25</v>
      </c>
      <c r="T366" s="62">
        <f t="shared" si="271"/>
        <v>25</v>
      </c>
      <c r="U366" s="62">
        <f t="shared" si="271"/>
        <v>25</v>
      </c>
      <c r="V366" s="62">
        <f t="shared" si="271"/>
        <v>25</v>
      </c>
      <c r="W366" s="62">
        <f t="shared" si="272"/>
        <v>25</v>
      </c>
      <c r="X366" s="62">
        <f t="shared" si="272"/>
        <v>25</v>
      </c>
      <c r="Y366" s="62">
        <f t="shared" si="272"/>
        <v>25</v>
      </c>
      <c r="Z366" s="62">
        <f t="shared" si="272"/>
        <v>25</v>
      </c>
      <c r="AA366" s="62">
        <f t="shared" si="272"/>
        <v>25</v>
      </c>
      <c r="AB366" s="62">
        <f t="shared" si="272"/>
        <v>25</v>
      </c>
      <c r="AC366" s="62">
        <f t="shared" si="272"/>
        <v>25</v>
      </c>
    </row>
    <row r="367" spans="1:29" x14ac:dyDescent="0.3">
      <c r="A367" s="30" t="str">
        <f>A347</f>
        <v>Tonnage .</v>
      </c>
      <c r="B367" s="62">
        <f>$B347+($C347-$B347)*(1-Q347)</f>
        <v>9450</v>
      </c>
      <c r="C367" s="62">
        <f t="shared" si="270"/>
        <v>9450</v>
      </c>
      <c r="D367" s="62">
        <f t="shared" si="270"/>
        <v>9450</v>
      </c>
      <c r="E367" s="62">
        <f t="shared" si="270"/>
        <v>9450</v>
      </c>
      <c r="F367" s="62">
        <f t="shared" si="270"/>
        <v>9450</v>
      </c>
      <c r="G367" s="62">
        <f t="shared" si="270"/>
        <v>9450</v>
      </c>
      <c r="H367" s="62">
        <f t="shared" si="270"/>
        <v>9450</v>
      </c>
      <c r="I367" s="62">
        <f t="shared" si="270"/>
        <v>9450</v>
      </c>
      <c r="J367" s="62">
        <f t="shared" si="270"/>
        <v>9450</v>
      </c>
      <c r="K367" s="62">
        <f t="shared" si="270"/>
        <v>9450</v>
      </c>
      <c r="L367" s="62">
        <f t="shared" si="270"/>
        <v>9450</v>
      </c>
      <c r="M367" s="62">
        <f t="shared" si="271"/>
        <v>9450</v>
      </c>
      <c r="N367" s="62">
        <f t="shared" si="271"/>
        <v>9450</v>
      </c>
      <c r="O367" s="62">
        <f t="shared" si="271"/>
        <v>9450</v>
      </c>
      <c r="P367" s="62">
        <f t="shared" si="271"/>
        <v>9450</v>
      </c>
      <c r="Q367" s="62">
        <f t="shared" si="271"/>
        <v>9450</v>
      </c>
      <c r="R367" s="62">
        <f t="shared" si="271"/>
        <v>9450</v>
      </c>
      <c r="S367" s="62">
        <f t="shared" si="271"/>
        <v>9450</v>
      </c>
      <c r="T367" s="62">
        <f t="shared" si="271"/>
        <v>9450</v>
      </c>
      <c r="U367" s="62">
        <f t="shared" si="271"/>
        <v>9450</v>
      </c>
      <c r="V367" s="62">
        <f t="shared" si="271"/>
        <v>9450</v>
      </c>
      <c r="W367" s="62">
        <f t="shared" si="272"/>
        <v>9450</v>
      </c>
      <c r="X367" s="62">
        <f t="shared" si="272"/>
        <v>9450</v>
      </c>
      <c r="Y367" s="62">
        <f t="shared" si="272"/>
        <v>9450</v>
      </c>
      <c r="Z367" s="62">
        <f t="shared" si="272"/>
        <v>9450</v>
      </c>
      <c r="AA367" s="62">
        <f t="shared" si="272"/>
        <v>9450</v>
      </c>
      <c r="AB367" s="62">
        <f t="shared" si="272"/>
        <v>9450</v>
      </c>
      <c r="AC367" s="62">
        <f t="shared" si="272"/>
        <v>9450</v>
      </c>
    </row>
    <row r="368" spans="1:29" x14ac:dyDescent="0.3">
      <c r="A368" s="30" t="str">
        <f>A348</f>
        <v>Market failure (av. utilization)</v>
      </c>
      <c r="B368" s="62">
        <f t="shared" ref="B368:K369" si="273">($B348+($C348-$B348)*(1-Q348))*B$44</f>
        <v>4819.5</v>
      </c>
      <c r="C368" s="62">
        <f t="shared" si="273"/>
        <v>4819.5</v>
      </c>
      <c r="D368" s="62">
        <f t="shared" si="273"/>
        <v>4819.5</v>
      </c>
      <c r="E368" s="62">
        <f t="shared" si="273"/>
        <v>4819.5</v>
      </c>
      <c r="F368" s="62">
        <f t="shared" si="273"/>
        <v>4819.5</v>
      </c>
      <c r="G368" s="62">
        <f t="shared" si="273"/>
        <v>4819.5</v>
      </c>
      <c r="H368" s="62">
        <f t="shared" si="273"/>
        <v>4819.5</v>
      </c>
      <c r="I368" s="62">
        <f t="shared" si="273"/>
        <v>4819.5</v>
      </c>
      <c r="J368" s="62">
        <f t="shared" si="273"/>
        <v>4819.5</v>
      </c>
      <c r="K368" s="62">
        <f t="shared" si="273"/>
        <v>4819.5</v>
      </c>
      <c r="L368" s="62">
        <f t="shared" ref="L368:U369" si="274">($B348+($C348-$B348)*(1-AA348))*L$44</f>
        <v>4819.5</v>
      </c>
      <c r="M368" s="62">
        <f t="shared" si="274"/>
        <v>4819.5</v>
      </c>
      <c r="N368" s="62">
        <f t="shared" si="274"/>
        <v>4819.5</v>
      </c>
      <c r="O368" s="62">
        <f t="shared" si="274"/>
        <v>4819.5</v>
      </c>
      <c r="P368" s="62">
        <f t="shared" si="274"/>
        <v>4819.5</v>
      </c>
      <c r="Q368" s="62">
        <f t="shared" si="274"/>
        <v>4819.5</v>
      </c>
      <c r="R368" s="62">
        <f t="shared" si="274"/>
        <v>4819.5</v>
      </c>
      <c r="S368" s="62">
        <f t="shared" si="274"/>
        <v>4819.5</v>
      </c>
      <c r="T368" s="62">
        <f t="shared" si="274"/>
        <v>4819.5</v>
      </c>
      <c r="U368" s="62">
        <f t="shared" si="274"/>
        <v>4819.5</v>
      </c>
      <c r="V368" s="62">
        <f t="shared" ref="V368:AC369" si="275">($B348+($C348-$B348)*(1-AK348))*V$44</f>
        <v>4819.5</v>
      </c>
      <c r="W368" s="62">
        <f t="shared" si="275"/>
        <v>4819.5</v>
      </c>
      <c r="X368" s="62">
        <f t="shared" si="275"/>
        <v>4819.5</v>
      </c>
      <c r="Y368" s="62">
        <f t="shared" si="275"/>
        <v>4819.5</v>
      </c>
      <c r="Z368" s="62">
        <f t="shared" si="275"/>
        <v>4819.5</v>
      </c>
      <c r="AA368" s="62">
        <f t="shared" si="275"/>
        <v>4819.5</v>
      </c>
      <c r="AB368" s="62">
        <f t="shared" si="275"/>
        <v>4819.5</v>
      </c>
      <c r="AC368" s="62">
        <f t="shared" si="275"/>
        <v>4819.5</v>
      </c>
    </row>
    <row r="369" spans="1:29" x14ac:dyDescent="0.3">
      <c r="A369" s="30" t="s">
        <v>73</v>
      </c>
      <c r="B369" s="62">
        <f t="shared" si="273"/>
        <v>944.5849078871745</v>
      </c>
      <c r="C369" s="62">
        <f t="shared" si="273"/>
        <v>944.40532910583465</v>
      </c>
      <c r="D369" s="62">
        <f t="shared" si="273"/>
        <v>944.14826608014141</v>
      </c>
      <c r="E369" s="62">
        <f t="shared" si="273"/>
        <v>943.78051934440748</v>
      </c>
      <c r="F369" s="62">
        <f t="shared" si="273"/>
        <v>943.25492811169715</v>
      </c>
      <c r="G369" s="62">
        <f t="shared" si="273"/>
        <v>942.50479583764434</v>
      </c>
      <c r="H369" s="62">
        <f t="shared" si="273"/>
        <v>941.43642345180217</v>
      </c>
      <c r="I369" s="62">
        <f t="shared" si="273"/>
        <v>939.91948781699818</v>
      </c>
      <c r="J369" s="62">
        <f t="shared" si="273"/>
        <v>937.77544506541028</v>
      </c>
      <c r="K369" s="62">
        <f t="shared" si="273"/>
        <v>934.76524772391656</v>
      </c>
      <c r="L369" s="62">
        <f t="shared" si="274"/>
        <v>930.57998068376753</v>
      </c>
      <c r="M369" s="62">
        <f t="shared" si="274"/>
        <v>924.84213614287444</v>
      </c>
      <c r="N369" s="62">
        <f t="shared" si="274"/>
        <v>917.13108792247806</v>
      </c>
      <c r="O369" s="62">
        <f t="shared" si="274"/>
        <v>907.05125823345929</v>
      </c>
      <c r="P369" s="62">
        <f t="shared" si="274"/>
        <v>894.35741645248754</v>
      </c>
      <c r="Q369" s="62">
        <f t="shared" si="274"/>
        <v>879.12517069210696</v>
      </c>
      <c r="R369" s="62">
        <f t="shared" si="274"/>
        <v>861.90094849480568</v>
      </c>
      <c r="S369" s="62">
        <f t="shared" si="274"/>
        <v>843.71740779032029</v>
      </c>
      <c r="T369" s="62">
        <f t="shared" si="274"/>
        <v>825.89168515554024</v>
      </c>
      <c r="U369" s="62">
        <f t="shared" si="274"/>
        <v>809.66456292436703</v>
      </c>
      <c r="V369" s="62">
        <f t="shared" si="275"/>
        <v>795.87381981451244</v>
      </c>
      <c r="W369" s="62">
        <f t="shared" si="275"/>
        <v>784.82990436567866</v>
      </c>
      <c r="X369" s="62">
        <f t="shared" si="275"/>
        <v>776.40290671427192</v>
      </c>
      <c r="Y369" s="62">
        <f t="shared" si="275"/>
        <v>770.20838759429932</v>
      </c>
      <c r="Z369" s="62">
        <f t="shared" si="275"/>
        <v>765.77939603754794</v>
      </c>
      <c r="AA369" s="62">
        <f t="shared" si="275"/>
        <v>762.6753270281904</v>
      </c>
      <c r="AB369" s="62">
        <f t="shared" si="275"/>
        <v>760.53022455173243</v>
      </c>
      <c r="AC369" s="62">
        <f t="shared" si="275"/>
        <v>759.0622240325356</v>
      </c>
    </row>
    <row r="370" spans="1:29" x14ac:dyDescent="0.3">
      <c r="A370" s="30" t="str">
        <f>A350</f>
        <v>Annual Mileage</v>
      </c>
      <c r="B370" s="62">
        <f t="shared" ref="B370:AC370" si="276">$B350+($C350-$B350)*(1-Q350)</f>
        <v>120000</v>
      </c>
      <c r="C370" s="62">
        <f t="shared" si="276"/>
        <v>120000</v>
      </c>
      <c r="D370" s="62">
        <f t="shared" si="276"/>
        <v>120000</v>
      </c>
      <c r="E370" s="62">
        <f t="shared" si="276"/>
        <v>120000</v>
      </c>
      <c r="F370" s="62">
        <f t="shared" si="276"/>
        <v>120000</v>
      </c>
      <c r="G370" s="62">
        <f t="shared" si="276"/>
        <v>120000</v>
      </c>
      <c r="H370" s="62">
        <f t="shared" si="276"/>
        <v>120000</v>
      </c>
      <c r="I370" s="62">
        <f t="shared" si="276"/>
        <v>120000</v>
      </c>
      <c r="J370" s="62">
        <f t="shared" si="276"/>
        <v>120000</v>
      </c>
      <c r="K370" s="62">
        <f t="shared" si="276"/>
        <v>120000</v>
      </c>
      <c r="L370" s="62">
        <f t="shared" si="276"/>
        <v>120000</v>
      </c>
      <c r="M370" s="62">
        <f t="shared" si="276"/>
        <v>120000</v>
      </c>
      <c r="N370" s="62">
        <f t="shared" si="276"/>
        <v>120000</v>
      </c>
      <c r="O370" s="62">
        <f t="shared" si="276"/>
        <v>120000</v>
      </c>
      <c r="P370" s="62">
        <f t="shared" si="276"/>
        <v>120000</v>
      </c>
      <c r="Q370" s="62">
        <f t="shared" si="276"/>
        <v>120000</v>
      </c>
      <c r="R370" s="62">
        <f t="shared" si="276"/>
        <v>120000</v>
      </c>
      <c r="S370" s="62">
        <f t="shared" si="276"/>
        <v>120000</v>
      </c>
      <c r="T370" s="62">
        <f t="shared" si="276"/>
        <v>120000</v>
      </c>
      <c r="U370" s="62">
        <f t="shared" si="276"/>
        <v>120000</v>
      </c>
      <c r="V370" s="62">
        <f t="shared" si="276"/>
        <v>120000</v>
      </c>
      <c r="W370" s="62">
        <f t="shared" si="276"/>
        <v>120000</v>
      </c>
      <c r="X370" s="62">
        <f t="shared" si="276"/>
        <v>120000</v>
      </c>
      <c r="Y370" s="62">
        <f t="shared" si="276"/>
        <v>120000</v>
      </c>
      <c r="Z370" s="62">
        <f t="shared" si="276"/>
        <v>120000</v>
      </c>
      <c r="AA370" s="62">
        <f t="shared" si="276"/>
        <v>120000</v>
      </c>
      <c r="AB370" s="62">
        <f t="shared" si="276"/>
        <v>120000</v>
      </c>
      <c r="AC370" s="62">
        <f t="shared" si="276"/>
        <v>120000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2344997.5856047659</v>
      </c>
      <c r="C373" s="63">
        <f t="shared" ref="C373:AC373" si="277">((1+C358)^C365)*C358/(((1+C358)^C365)-1)*(C354)</f>
        <v>2344217.1490089451</v>
      </c>
      <c r="D373" s="63">
        <f t="shared" si="277"/>
        <v>2343099.9714048514</v>
      </c>
      <c r="E373" s="63">
        <f t="shared" si="277"/>
        <v>2341501.7702787537</v>
      </c>
      <c r="F373" s="63">
        <f t="shared" si="277"/>
        <v>2339217.5882089725</v>
      </c>
      <c r="G373" s="63">
        <f t="shared" si="277"/>
        <v>2335957.5667631798</v>
      </c>
      <c r="H373" s="63">
        <f t="shared" si="277"/>
        <v>2331314.496453566</v>
      </c>
      <c r="I373" s="63">
        <f t="shared" si="277"/>
        <v>2324722.0022063456</v>
      </c>
      <c r="J373" s="63">
        <f t="shared" si="277"/>
        <v>2315404.1450861497</v>
      </c>
      <c r="K373" s="63">
        <f t="shared" si="277"/>
        <v>2302322.0417974619</v>
      </c>
      <c r="L373" s="63">
        <f t="shared" si="277"/>
        <v>2284133.1692756363</v>
      </c>
      <c r="M373" s="63">
        <f t="shared" si="277"/>
        <v>2259196.9054952883</v>
      </c>
      <c r="N373" s="63">
        <f t="shared" si="277"/>
        <v>2225685.2390364991</v>
      </c>
      <c r="O373" s="63">
        <f t="shared" si="277"/>
        <v>2181879.0169970216</v>
      </c>
      <c r="P373" s="63">
        <f t="shared" si="277"/>
        <v>2126712.4845508407</v>
      </c>
      <c r="Q373" s="63">
        <f t="shared" si="277"/>
        <v>2060514.2291709851</v>
      </c>
      <c r="R373" s="63">
        <f t="shared" si="277"/>
        <v>1985658.9860457699</v>
      </c>
      <c r="S373" s="63">
        <f t="shared" si="277"/>
        <v>1906634.6130018148</v>
      </c>
      <c r="T373" s="63">
        <f t="shared" si="277"/>
        <v>1829165.2918084206</v>
      </c>
      <c r="U373" s="63">
        <f t="shared" si="277"/>
        <v>1758643.3741320807</v>
      </c>
      <c r="V373" s="63">
        <f t="shared" si="277"/>
        <v>1698709.7866213897</v>
      </c>
      <c r="W373" s="63">
        <f t="shared" si="277"/>
        <v>1650713.7165227169</v>
      </c>
      <c r="X373" s="63">
        <f t="shared" si="277"/>
        <v>1614090.584819823</v>
      </c>
      <c r="Y373" s="63">
        <f t="shared" si="277"/>
        <v>1587169.645838788</v>
      </c>
      <c r="Z373" s="63">
        <f t="shared" si="277"/>
        <v>1567921.5639235359</v>
      </c>
      <c r="AA373" s="63">
        <f t="shared" si="277"/>
        <v>1554431.5010509547</v>
      </c>
      <c r="AB373" s="63">
        <f t="shared" si="277"/>
        <v>1545109.0384419363</v>
      </c>
      <c r="AC373" s="63">
        <f t="shared" si="277"/>
        <v>1538729.2127224542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-117417.38992255888</v>
      </c>
      <c r="C374" s="62">
        <f t="shared" ref="C374:AC374" si="278">((1+C358)^C365)*C358/(((1+C358)^C365)-1)*(C355)</f>
        <v>-117450.83720523692</v>
      </c>
      <c r="D374" s="62">
        <f t="shared" si="278"/>
        <v>-117498.71624541239</v>
      </c>
      <c r="E374" s="62">
        <f t="shared" si="278"/>
        <v>-117567.21057938797</v>
      </c>
      <c r="F374" s="62">
        <f t="shared" si="278"/>
        <v>-117665.10409666432</v>
      </c>
      <c r="G374" s="62">
        <f t="shared" si="278"/>
        <v>-117804.81930148401</v>
      </c>
      <c r="H374" s="62">
        <f t="shared" si="278"/>
        <v>-118003.80802903889</v>
      </c>
      <c r="I374" s="62">
        <f t="shared" si="278"/>
        <v>-118286.34349677691</v>
      </c>
      <c r="J374" s="62">
        <f t="shared" si="278"/>
        <v>-118685.68023049959</v>
      </c>
      <c r="K374" s="62">
        <f t="shared" si="278"/>
        <v>-119246.34180001476</v>
      </c>
      <c r="L374" s="62">
        <f t="shared" si="278"/>
        <v>-120025.864908093</v>
      </c>
      <c r="M374" s="62">
        <f t="shared" si="278"/>
        <v>-121094.56192725079</v>
      </c>
      <c r="N374" s="62">
        <f t="shared" si="278"/>
        <v>-122530.77620405605</v>
      </c>
      <c r="O374" s="62">
        <f t="shared" si="278"/>
        <v>-124408.18572003364</v>
      </c>
      <c r="P374" s="62">
        <f t="shared" si="278"/>
        <v>-126772.46568201284</v>
      </c>
      <c r="Q374" s="62">
        <f t="shared" si="278"/>
        <v>-129609.53376972093</v>
      </c>
      <c r="R374" s="62">
        <f t="shared" si="278"/>
        <v>-132817.61561794442</v>
      </c>
      <c r="S374" s="62">
        <f t="shared" si="278"/>
        <v>-136204.37446268537</v>
      </c>
      <c r="T374" s="62">
        <f t="shared" si="278"/>
        <v>-139524.48822811653</v>
      </c>
      <c r="U374" s="62">
        <f t="shared" si="278"/>
        <v>-142546.8561285311</v>
      </c>
      <c r="V374" s="62">
        <f t="shared" si="278"/>
        <v>-145115.43845041786</v>
      </c>
      <c r="W374" s="62">
        <f t="shared" si="278"/>
        <v>-147172.41288321812</v>
      </c>
      <c r="X374" s="62">
        <f t="shared" si="278"/>
        <v>-148741.975670485</v>
      </c>
      <c r="Y374" s="62">
        <f t="shared" si="278"/>
        <v>-149895.73019824366</v>
      </c>
      <c r="Z374" s="62">
        <f t="shared" si="278"/>
        <v>-150720.64799461162</v>
      </c>
      <c r="AA374" s="62">
        <f t="shared" si="278"/>
        <v>-151298.79354629366</v>
      </c>
      <c r="AB374" s="62">
        <f t="shared" si="278"/>
        <v>-151698.32765810873</v>
      </c>
      <c r="AC374" s="62">
        <f t="shared" si="278"/>
        <v>-151971.74876037225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9">((1+C358)^C366)*C358/(((1+C358)^C366)-1)*(C356)</f>
        <v>78226.718212273947</v>
      </c>
      <c r="D375" s="62">
        <f t="shared" si="279"/>
        <v>78226.718212273947</v>
      </c>
      <c r="E375" s="62">
        <f t="shared" si="279"/>
        <v>78226.718212273947</v>
      </c>
      <c r="F375" s="62">
        <f t="shared" si="279"/>
        <v>78226.718212273947</v>
      </c>
      <c r="G375" s="62">
        <f t="shared" si="279"/>
        <v>78226.718212273947</v>
      </c>
      <c r="H375" s="62">
        <f t="shared" si="279"/>
        <v>78226.718212273947</v>
      </c>
      <c r="I375" s="62">
        <f t="shared" si="279"/>
        <v>78226.718212273947</v>
      </c>
      <c r="J375" s="62">
        <f t="shared" si="279"/>
        <v>78226.718212273947</v>
      </c>
      <c r="K375" s="62">
        <f t="shared" si="279"/>
        <v>78226.718212273947</v>
      </c>
      <c r="L375" s="62">
        <f t="shared" si="279"/>
        <v>78226.718212273947</v>
      </c>
      <c r="M375" s="62">
        <f t="shared" si="279"/>
        <v>78226.718212273947</v>
      </c>
      <c r="N375" s="62">
        <f t="shared" si="279"/>
        <v>78226.718212273947</v>
      </c>
      <c r="O375" s="62">
        <f t="shared" si="279"/>
        <v>78226.718212273947</v>
      </c>
      <c r="P375" s="62">
        <f t="shared" si="279"/>
        <v>78226.718212273947</v>
      </c>
      <c r="Q375" s="62">
        <f t="shared" si="279"/>
        <v>78226.718212273947</v>
      </c>
      <c r="R375" s="62">
        <f t="shared" si="279"/>
        <v>78226.718212273947</v>
      </c>
      <c r="S375" s="62">
        <f t="shared" si="279"/>
        <v>78226.718212273947</v>
      </c>
      <c r="T375" s="62">
        <f t="shared" si="279"/>
        <v>78226.718212273947</v>
      </c>
      <c r="U375" s="62">
        <f t="shared" si="279"/>
        <v>78226.718212273947</v>
      </c>
      <c r="V375" s="62">
        <f t="shared" si="279"/>
        <v>78226.718212273947</v>
      </c>
      <c r="W375" s="62">
        <f t="shared" si="279"/>
        <v>78226.718212273947</v>
      </c>
      <c r="X375" s="62">
        <f t="shared" si="279"/>
        <v>78226.718212273947</v>
      </c>
      <c r="Y375" s="62">
        <f t="shared" si="279"/>
        <v>78226.718212273947</v>
      </c>
      <c r="Z375" s="62">
        <f t="shared" si="279"/>
        <v>78226.718212273947</v>
      </c>
      <c r="AA375" s="62">
        <f t="shared" si="279"/>
        <v>78226.718212273947</v>
      </c>
      <c r="AB375" s="62">
        <f t="shared" si="279"/>
        <v>78226.718212273947</v>
      </c>
      <c r="AC375" s="62">
        <f t="shared" si="279"/>
        <v>78226.718212273947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80">((1+C358)^C366)*C358/(((1+C358)^C366)-1)*(C357)</f>
        <v>-7822.6718212273945</v>
      </c>
      <c r="D376" s="62">
        <f t="shared" si="280"/>
        <v>-7822.6718212273945</v>
      </c>
      <c r="E376" s="62">
        <f t="shared" si="280"/>
        <v>-7822.6718212273945</v>
      </c>
      <c r="F376" s="62">
        <f t="shared" si="280"/>
        <v>-7822.6718212273945</v>
      </c>
      <c r="G376" s="62">
        <f t="shared" si="280"/>
        <v>-7822.6718212273945</v>
      </c>
      <c r="H376" s="62">
        <f t="shared" si="280"/>
        <v>-7822.6718212273945</v>
      </c>
      <c r="I376" s="62">
        <f t="shared" si="280"/>
        <v>-7822.6718212273945</v>
      </c>
      <c r="J376" s="62">
        <f t="shared" si="280"/>
        <v>-7822.6718212273945</v>
      </c>
      <c r="K376" s="62">
        <f t="shared" si="280"/>
        <v>-7822.6718212273945</v>
      </c>
      <c r="L376" s="62">
        <f t="shared" si="280"/>
        <v>-7822.6718212273945</v>
      </c>
      <c r="M376" s="62">
        <f t="shared" si="280"/>
        <v>-7822.6718212273945</v>
      </c>
      <c r="N376" s="62">
        <f t="shared" si="280"/>
        <v>-7822.6718212273945</v>
      </c>
      <c r="O376" s="62">
        <f t="shared" si="280"/>
        <v>-7822.6718212273945</v>
      </c>
      <c r="P376" s="62">
        <f t="shared" si="280"/>
        <v>-7822.6718212273945</v>
      </c>
      <c r="Q376" s="62">
        <f t="shared" si="280"/>
        <v>-7822.6718212273945</v>
      </c>
      <c r="R376" s="62">
        <f t="shared" si="280"/>
        <v>-7822.6718212273945</v>
      </c>
      <c r="S376" s="62">
        <f t="shared" si="280"/>
        <v>-7822.6718212273945</v>
      </c>
      <c r="T376" s="62">
        <f t="shared" si="280"/>
        <v>-7822.6718212273945</v>
      </c>
      <c r="U376" s="62">
        <f t="shared" si="280"/>
        <v>-7822.6718212273945</v>
      </c>
      <c r="V376" s="62">
        <f t="shared" si="280"/>
        <v>-7822.6718212273945</v>
      </c>
      <c r="W376" s="62">
        <f t="shared" si="280"/>
        <v>-7822.6718212273945</v>
      </c>
      <c r="X376" s="62">
        <f t="shared" si="280"/>
        <v>-7822.6718212273945</v>
      </c>
      <c r="Y376" s="62">
        <f t="shared" si="280"/>
        <v>-7822.6718212273945</v>
      </c>
      <c r="Z376" s="62">
        <f t="shared" si="280"/>
        <v>-7822.6718212273945</v>
      </c>
      <c r="AA376" s="62">
        <f t="shared" si="280"/>
        <v>-7822.6718212273945</v>
      </c>
      <c r="AB376" s="62">
        <f t="shared" si="280"/>
        <v>-7822.6718212273945</v>
      </c>
      <c r="AC376" s="62">
        <f t="shared" si="280"/>
        <v>-7822.6718212273945</v>
      </c>
    </row>
    <row r="377" spans="1:29" x14ac:dyDescent="0.3">
      <c r="A377" s="30" t="str">
        <f t="shared" ref="A377:AC377" si="281">A359</f>
        <v>Opex fix (admin, crew, insurance)</v>
      </c>
      <c r="B377" s="62">
        <f t="shared" si="281"/>
        <v>1208235.294117647</v>
      </c>
      <c r="C377" s="62">
        <f t="shared" si="281"/>
        <v>1208235.294117647</v>
      </c>
      <c r="D377" s="62">
        <f t="shared" si="281"/>
        <v>1208235.294117647</v>
      </c>
      <c r="E377" s="62">
        <f t="shared" si="281"/>
        <v>1208235.294117647</v>
      </c>
      <c r="F377" s="62">
        <f t="shared" si="281"/>
        <v>1208235.294117647</v>
      </c>
      <c r="G377" s="62">
        <f t="shared" si="281"/>
        <v>1208235.294117647</v>
      </c>
      <c r="H377" s="62">
        <f t="shared" si="281"/>
        <v>1208235.294117647</v>
      </c>
      <c r="I377" s="62">
        <f t="shared" si="281"/>
        <v>1208235.294117647</v>
      </c>
      <c r="J377" s="62">
        <f t="shared" si="281"/>
        <v>1208235.294117647</v>
      </c>
      <c r="K377" s="62">
        <f t="shared" si="281"/>
        <v>1208235.294117647</v>
      </c>
      <c r="L377" s="62">
        <f t="shared" si="281"/>
        <v>1208235.294117647</v>
      </c>
      <c r="M377" s="62">
        <f t="shared" si="281"/>
        <v>1208235.294117647</v>
      </c>
      <c r="N377" s="62">
        <f t="shared" si="281"/>
        <v>1208235.294117647</v>
      </c>
      <c r="O377" s="62">
        <f t="shared" si="281"/>
        <v>1208235.294117647</v>
      </c>
      <c r="P377" s="62">
        <f t="shared" si="281"/>
        <v>1208235.294117647</v>
      </c>
      <c r="Q377" s="62">
        <f t="shared" si="281"/>
        <v>1208235.294117647</v>
      </c>
      <c r="R377" s="62">
        <f t="shared" si="281"/>
        <v>1208235.294117647</v>
      </c>
      <c r="S377" s="62">
        <f t="shared" si="281"/>
        <v>1208235.294117647</v>
      </c>
      <c r="T377" s="62">
        <f t="shared" si="281"/>
        <v>1208235.294117647</v>
      </c>
      <c r="U377" s="62">
        <f t="shared" si="281"/>
        <v>1208235.294117647</v>
      </c>
      <c r="V377" s="62">
        <f t="shared" si="281"/>
        <v>1208235.294117647</v>
      </c>
      <c r="W377" s="62">
        <f t="shared" si="281"/>
        <v>1208235.294117647</v>
      </c>
      <c r="X377" s="62">
        <f t="shared" si="281"/>
        <v>1208235.294117647</v>
      </c>
      <c r="Y377" s="62">
        <f t="shared" si="281"/>
        <v>1208235.294117647</v>
      </c>
      <c r="Z377" s="62">
        <f t="shared" si="281"/>
        <v>1208235.294117647</v>
      </c>
      <c r="AA377" s="62">
        <f t="shared" si="281"/>
        <v>1208235.294117647</v>
      </c>
      <c r="AB377" s="62">
        <f t="shared" si="281"/>
        <v>1208235.294117647</v>
      </c>
      <c r="AC377" s="62">
        <f t="shared" si="281"/>
        <v>1208235.294117647</v>
      </c>
    </row>
    <row r="378" spans="1:29" x14ac:dyDescent="0.3">
      <c r="A378" s="30" t="str">
        <f t="shared" ref="A378:AC378" si="282">A360</f>
        <v>Opex maintenance &amp; repair</v>
      </c>
      <c r="B378" s="62">
        <f t="shared" si="282"/>
        <v>338823.5294117647</v>
      </c>
      <c r="C378" s="62">
        <f t="shared" si="282"/>
        <v>338823.5294117647</v>
      </c>
      <c r="D378" s="62">
        <f t="shared" si="282"/>
        <v>338823.5294117647</v>
      </c>
      <c r="E378" s="62">
        <f t="shared" si="282"/>
        <v>338823.5294117647</v>
      </c>
      <c r="F378" s="62">
        <f t="shared" si="282"/>
        <v>338823.5294117647</v>
      </c>
      <c r="G378" s="62">
        <f t="shared" si="282"/>
        <v>338823.5294117647</v>
      </c>
      <c r="H378" s="62">
        <f t="shared" si="282"/>
        <v>338823.5294117647</v>
      </c>
      <c r="I378" s="62">
        <f t="shared" si="282"/>
        <v>338823.5294117647</v>
      </c>
      <c r="J378" s="62">
        <f t="shared" si="282"/>
        <v>338823.5294117647</v>
      </c>
      <c r="K378" s="62">
        <f t="shared" si="282"/>
        <v>338823.5294117647</v>
      </c>
      <c r="L378" s="62">
        <f t="shared" si="282"/>
        <v>338823.5294117647</v>
      </c>
      <c r="M378" s="62">
        <f t="shared" si="282"/>
        <v>338823.5294117647</v>
      </c>
      <c r="N378" s="62">
        <f t="shared" si="282"/>
        <v>338823.5294117647</v>
      </c>
      <c r="O378" s="62">
        <f t="shared" si="282"/>
        <v>338823.5294117647</v>
      </c>
      <c r="P378" s="62">
        <f t="shared" si="282"/>
        <v>338823.5294117647</v>
      </c>
      <c r="Q378" s="62">
        <f t="shared" si="282"/>
        <v>338823.5294117647</v>
      </c>
      <c r="R378" s="62">
        <f t="shared" si="282"/>
        <v>338823.5294117647</v>
      </c>
      <c r="S378" s="62">
        <f t="shared" si="282"/>
        <v>338823.5294117647</v>
      </c>
      <c r="T378" s="62">
        <f t="shared" si="282"/>
        <v>338823.5294117647</v>
      </c>
      <c r="U378" s="62">
        <f t="shared" si="282"/>
        <v>338823.5294117647</v>
      </c>
      <c r="V378" s="62">
        <f t="shared" si="282"/>
        <v>338823.5294117647</v>
      </c>
      <c r="W378" s="62">
        <f t="shared" si="282"/>
        <v>338823.5294117647</v>
      </c>
      <c r="X378" s="62">
        <f t="shared" si="282"/>
        <v>338823.5294117647</v>
      </c>
      <c r="Y378" s="62">
        <f t="shared" si="282"/>
        <v>338823.5294117647</v>
      </c>
      <c r="Z378" s="62">
        <f t="shared" si="282"/>
        <v>338823.5294117647</v>
      </c>
      <c r="AA378" s="62">
        <f t="shared" si="282"/>
        <v>338823.5294117647</v>
      </c>
      <c r="AB378" s="62">
        <f t="shared" si="282"/>
        <v>338823.5294117647</v>
      </c>
      <c r="AC378" s="62">
        <f t="shared" si="282"/>
        <v>338823.5294117647</v>
      </c>
    </row>
    <row r="379" spans="1:29" x14ac:dyDescent="0.3">
      <c r="A379" s="30" t="str">
        <f>A361</f>
        <v>Opex var (mode-fees)</v>
      </c>
      <c r="B379" s="62">
        <f>B361*B370</f>
        <v>97536.682916217906</v>
      </c>
      <c r="C379" s="62">
        <f t="shared" ref="C379:AC379" si="283">C361*C370</f>
        <v>97536.682916217906</v>
      </c>
      <c r="D379" s="62">
        <f t="shared" si="283"/>
        <v>97536.682916217906</v>
      </c>
      <c r="E379" s="62">
        <f t="shared" si="283"/>
        <v>97536.682916217906</v>
      </c>
      <c r="F379" s="62">
        <f t="shared" si="283"/>
        <v>97536.682916217906</v>
      </c>
      <c r="G379" s="62">
        <f t="shared" si="283"/>
        <v>97536.682916217906</v>
      </c>
      <c r="H379" s="62">
        <f t="shared" si="283"/>
        <v>97536.682916217906</v>
      </c>
      <c r="I379" s="62">
        <f t="shared" si="283"/>
        <v>97536.682916217906</v>
      </c>
      <c r="J379" s="62">
        <f t="shared" si="283"/>
        <v>97536.682916217906</v>
      </c>
      <c r="K379" s="62">
        <f t="shared" si="283"/>
        <v>97536.682916217906</v>
      </c>
      <c r="L379" s="62">
        <f t="shared" si="283"/>
        <v>97536.682916217906</v>
      </c>
      <c r="M379" s="62">
        <f t="shared" si="283"/>
        <v>97536.682916217906</v>
      </c>
      <c r="N379" s="62">
        <f t="shared" si="283"/>
        <v>97536.682916217906</v>
      </c>
      <c r="O379" s="62">
        <f t="shared" si="283"/>
        <v>97536.682916217906</v>
      </c>
      <c r="P379" s="62">
        <f t="shared" si="283"/>
        <v>97536.682916217906</v>
      </c>
      <c r="Q379" s="62">
        <f t="shared" si="283"/>
        <v>97536.682916217906</v>
      </c>
      <c r="R379" s="62">
        <f t="shared" si="283"/>
        <v>97536.682916217906</v>
      </c>
      <c r="S379" s="62">
        <f t="shared" si="283"/>
        <v>97536.682916217906</v>
      </c>
      <c r="T379" s="62">
        <f t="shared" si="283"/>
        <v>97536.682916217906</v>
      </c>
      <c r="U379" s="62">
        <f t="shared" si="283"/>
        <v>97536.682916217906</v>
      </c>
      <c r="V379" s="62">
        <f t="shared" si="283"/>
        <v>97536.682916217906</v>
      </c>
      <c r="W379" s="62">
        <f t="shared" si="283"/>
        <v>97536.682916217906</v>
      </c>
      <c r="X379" s="62">
        <f t="shared" si="283"/>
        <v>97536.682916217906</v>
      </c>
      <c r="Y379" s="62">
        <f t="shared" si="283"/>
        <v>97536.682916217906</v>
      </c>
      <c r="Z379" s="62">
        <f t="shared" si="283"/>
        <v>97536.682916217906</v>
      </c>
      <c r="AA379" s="62">
        <f t="shared" si="283"/>
        <v>97536.682916217906</v>
      </c>
      <c r="AB379" s="62">
        <f t="shared" si="283"/>
        <v>97536.682916217906</v>
      </c>
      <c r="AC379" s="62">
        <f t="shared" si="283"/>
        <v>97536.682916217906</v>
      </c>
    </row>
    <row r="380" spans="1:29" x14ac:dyDescent="0.3">
      <c r="A380" s="30" t="str">
        <f>A363</f>
        <v>Fuel Cost</v>
      </c>
      <c r="B380" s="62">
        <f>B362*B363*B370</f>
        <v>14810320.463820536</v>
      </c>
      <c r="C380" s="62">
        <f t="shared" ref="C380:AC380" si="284">C362*C363*C370</f>
        <v>14801110.273609234</v>
      </c>
      <c r="D380" s="62">
        <f t="shared" si="284"/>
        <v>14787929.0550112</v>
      </c>
      <c r="E380" s="62">
        <f t="shared" si="284"/>
        <v>14769078.461440364</v>
      </c>
      <c r="F380" s="62">
        <f t="shared" si="284"/>
        <v>14742149.200480217</v>
      </c>
      <c r="G380" s="62">
        <f t="shared" si="284"/>
        <v>14703740.591732077</v>
      </c>
      <c r="H380" s="62">
        <f t="shared" si="284"/>
        <v>14649088.606300512</v>
      </c>
      <c r="I380" s="62">
        <f t="shared" si="284"/>
        <v>14571594.165850461</v>
      </c>
      <c r="J380" s="62">
        <f t="shared" si="284"/>
        <v>14462270.46302028</v>
      </c>
      <c r="K380" s="62">
        <f t="shared" si="284"/>
        <v>14309191.600794135</v>
      </c>
      <c r="L380" s="62">
        <f t="shared" si="284"/>
        <v>14097151.526552314</v>
      </c>
      <c r="M380" s="62">
        <f t="shared" si="284"/>
        <v>13807955.810887519</v>
      </c>
      <c r="N380" s="62">
        <f t="shared" si="284"/>
        <v>13422045.8442837</v>
      </c>
      <c r="O380" s="62">
        <f t="shared" si="284"/>
        <v>12922321.723261854</v>
      </c>
      <c r="P380" s="62">
        <f t="shared" si="284"/>
        <v>12300636.271412892</v>
      </c>
      <c r="Q380" s="62">
        <f t="shared" si="284"/>
        <v>11565862.646750338</v>
      </c>
      <c r="R380" s="62">
        <f t="shared" si="284"/>
        <v>10749760.048071375</v>
      </c>
      <c r="S380" s="62">
        <f t="shared" si="284"/>
        <v>9905202.9123351518</v>
      </c>
      <c r="T380" s="62">
        <f t="shared" si="284"/>
        <v>9094212.6952786781</v>
      </c>
      <c r="U380" s="62">
        <f t="shared" si="284"/>
        <v>8370541.1640711045</v>
      </c>
      <c r="V380" s="62">
        <f t="shared" si="284"/>
        <v>7766453.2767511569</v>
      </c>
      <c r="W380" s="62">
        <f t="shared" si="284"/>
        <v>7289928.5635603443</v>
      </c>
      <c r="X380" s="62">
        <f t="shared" si="284"/>
        <v>6930651.2365163462</v>
      </c>
      <c r="Y380" s="62">
        <f t="shared" si="284"/>
        <v>6668944.9594173133</v>
      </c>
      <c r="Z380" s="62">
        <f t="shared" si="284"/>
        <v>6483071.0390209779</v>
      </c>
      <c r="AA380" s="62">
        <f t="shared" si="284"/>
        <v>6353418.2469961643</v>
      </c>
      <c r="AB380" s="62">
        <f t="shared" si="284"/>
        <v>6264117.4925154448</v>
      </c>
      <c r="AC380" s="62">
        <f t="shared" si="284"/>
        <v>6203144.5767225837</v>
      </c>
    </row>
    <row r="381" spans="1:29" ht="15" thickBot="1" x14ac:dyDescent="0.35">
      <c r="A381" s="59" t="str">
        <f>A344</f>
        <v>Emission Cost</v>
      </c>
      <c r="B381" s="62">
        <f>B364*B370</f>
        <v>292744.32301910827</v>
      </c>
      <c r="C381" s="62">
        <f t="shared" ref="C381:AC381" si="285">C364*C370</f>
        <v>292465.55909594544</v>
      </c>
      <c r="D381" s="62">
        <f t="shared" si="285"/>
        <v>292066.51474890357</v>
      </c>
      <c r="E381" s="62">
        <f t="shared" si="285"/>
        <v>291495.65374840738</v>
      </c>
      <c r="F381" s="62">
        <f t="shared" si="285"/>
        <v>290679.76741196436</v>
      </c>
      <c r="G381" s="62">
        <f t="shared" si="285"/>
        <v>289515.32128951116</v>
      </c>
      <c r="H381" s="62">
        <f t="shared" si="285"/>
        <v>287856.86434123403</v>
      </c>
      <c r="I381" s="62">
        <f t="shared" si="285"/>
        <v>285502.09321744979</v>
      </c>
      <c r="J381" s="62">
        <f t="shared" si="285"/>
        <v>282173.85051303828</v>
      </c>
      <c r="K381" s="62">
        <f t="shared" si="285"/>
        <v>277501.05780251691</v>
      </c>
      <c r="L381" s="62">
        <f t="shared" si="285"/>
        <v>271004.17965861136</v>
      </c>
      <c r="M381" s="62">
        <f t="shared" si="285"/>
        <v>262097.20277201166</v>
      </c>
      <c r="N381" s="62">
        <f t="shared" si="285"/>
        <v>250127.18026947835</v>
      </c>
      <c r="O381" s="62">
        <f t="shared" si="285"/>
        <v>234480.04842038496</v>
      </c>
      <c r="P381" s="62">
        <f t="shared" si="285"/>
        <v>214775.13056499942</v>
      </c>
      <c r="Q381" s="62">
        <f t="shared" si="285"/>
        <v>191129.79476829237</v>
      </c>
      <c r="R381" s="62">
        <f t="shared" si="285"/>
        <v>164392.27200906764</v>
      </c>
      <c r="S381" s="62">
        <f t="shared" si="285"/>
        <v>136165.57893344958</v>
      </c>
      <c r="T381" s="62">
        <f t="shared" si="285"/>
        <v>108494.33438101113</v>
      </c>
      <c r="U381" s="62">
        <f t="shared" si="285"/>
        <v>83304.630892356668</v>
      </c>
      <c r="V381" s="62">
        <f t="shared" si="285"/>
        <v>61896.970009757802</v>
      </c>
      <c r="W381" s="62">
        <f t="shared" si="285"/>
        <v>44753.267537641594</v>
      </c>
      <c r="X381" s="62">
        <f t="shared" si="285"/>
        <v>31671.861659602866</v>
      </c>
      <c r="Y381" s="62">
        <f t="shared" si="285"/>
        <v>22055.979208976452</v>
      </c>
      <c r="Z381" s="62">
        <f t="shared" si="285"/>
        <v>15180.762366522398</v>
      </c>
      <c r="AA381" s="62">
        <f t="shared" si="285"/>
        <v>10362.25068958263</v>
      </c>
      <c r="AB381" s="62">
        <f t="shared" si="285"/>
        <v>7032.3629519435117</v>
      </c>
      <c r="AC381" s="62">
        <f t="shared" si="285"/>
        <v>4753.554838406355</v>
      </c>
    </row>
    <row r="382" spans="1:29" ht="15" thickBot="1" x14ac:dyDescent="0.35">
      <c r="A382" s="31" t="s">
        <v>209</v>
      </c>
      <c r="B382" s="64">
        <f>B373+B374+B375+B376+B377+B378+B379+B380+B381</f>
        <v>19045644.53535853</v>
      </c>
      <c r="C382" s="64">
        <f t="shared" ref="C382:AC382" si="286">C373+C374+C375+C376+C377+C378+C379+C380+C381</f>
        <v>19035341.697345562</v>
      </c>
      <c r="D382" s="64">
        <f t="shared" si="286"/>
        <v>19020596.377756219</v>
      </c>
      <c r="E382" s="64">
        <f t="shared" si="286"/>
        <v>18999508.227724813</v>
      </c>
      <c r="F382" s="64">
        <f t="shared" si="286"/>
        <v>18969381.004841167</v>
      </c>
      <c r="G382" s="64">
        <f t="shared" si="286"/>
        <v>18926408.213319957</v>
      </c>
      <c r="H382" s="64">
        <f t="shared" si="286"/>
        <v>18865255.71190295</v>
      </c>
      <c r="I382" s="64">
        <f t="shared" si="286"/>
        <v>18778531.470614158</v>
      </c>
      <c r="J382" s="64">
        <f t="shared" si="286"/>
        <v>18656162.331225645</v>
      </c>
      <c r="K382" s="64">
        <f t="shared" si="286"/>
        <v>18484767.911430776</v>
      </c>
      <c r="L382" s="64">
        <f t="shared" si="286"/>
        <v>18247262.563415144</v>
      </c>
      <c r="M382" s="64">
        <f t="shared" si="286"/>
        <v>17923154.910064243</v>
      </c>
      <c r="N382" s="64">
        <f t="shared" si="286"/>
        <v>17490327.040222298</v>
      </c>
      <c r="O382" s="64">
        <f t="shared" si="286"/>
        <v>16929272.155795902</v>
      </c>
      <c r="P382" s="64">
        <f t="shared" si="286"/>
        <v>16230350.973683394</v>
      </c>
      <c r="Q382" s="64">
        <f t="shared" si="286"/>
        <v>15402896.689756572</v>
      </c>
      <c r="R382" s="64">
        <f t="shared" si="286"/>
        <v>14481993.243344944</v>
      </c>
      <c r="S382" s="64">
        <f t="shared" si="286"/>
        <v>13526798.282644408</v>
      </c>
      <c r="T382" s="64">
        <f t="shared" si="286"/>
        <v>12607347.386076668</v>
      </c>
      <c r="U382" s="64">
        <f t="shared" si="286"/>
        <v>11784941.865803687</v>
      </c>
      <c r="V382" s="64">
        <f t="shared" si="286"/>
        <v>11096944.147768563</v>
      </c>
      <c r="W382" s="64">
        <f t="shared" si="286"/>
        <v>10553222.687574161</v>
      </c>
      <c r="X382" s="64">
        <f t="shared" si="286"/>
        <v>10142671.260161964</v>
      </c>
      <c r="Y382" s="64">
        <f t="shared" si="286"/>
        <v>9843274.4071035106</v>
      </c>
      <c r="Z382" s="64">
        <f t="shared" si="286"/>
        <v>9630452.2701531015</v>
      </c>
      <c r="AA382" s="64">
        <f t="shared" si="286"/>
        <v>9481912.7580270842</v>
      </c>
      <c r="AB382" s="64">
        <f t="shared" si="286"/>
        <v>9379560.1190878917</v>
      </c>
      <c r="AC382" s="64">
        <f t="shared" si="286"/>
        <v>9309655.1483597476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87">A373</f>
        <v>Capex vehicle</v>
      </c>
      <c r="B385" s="65">
        <f>((1+B358)^B365)*B358/(((1+B358)^B365)-1)*(B354)/B370</f>
        <v>19.541646546706382</v>
      </c>
      <c r="C385" s="65">
        <f t="shared" ref="C385:AC385" si="288">((1+C358)^C365)*C358/(((1+C358)^C365)-1)*(C354)/C370</f>
        <v>19.535142908407877</v>
      </c>
      <c r="D385" s="65">
        <f t="shared" si="288"/>
        <v>19.525833095040429</v>
      </c>
      <c r="E385" s="65">
        <f t="shared" si="288"/>
        <v>19.512514752322947</v>
      </c>
      <c r="F385" s="65">
        <f t="shared" si="288"/>
        <v>19.493479901741438</v>
      </c>
      <c r="G385" s="65">
        <f t="shared" si="288"/>
        <v>19.466313056359834</v>
      </c>
      <c r="H385" s="65">
        <f t="shared" si="288"/>
        <v>19.427620803779718</v>
      </c>
      <c r="I385" s="65">
        <f t="shared" si="288"/>
        <v>19.372683351719548</v>
      </c>
      <c r="J385" s="65">
        <f t="shared" si="288"/>
        <v>19.295034542384581</v>
      </c>
      <c r="K385" s="65">
        <f t="shared" si="288"/>
        <v>19.186017014978848</v>
      </c>
      <c r="L385" s="65">
        <f t="shared" si="288"/>
        <v>19.03444307729697</v>
      </c>
      <c r="M385" s="65">
        <f t="shared" si="288"/>
        <v>18.826640879127403</v>
      </c>
      <c r="N385" s="65">
        <f t="shared" si="288"/>
        <v>18.547376991970825</v>
      </c>
      <c r="O385" s="65">
        <f t="shared" si="288"/>
        <v>18.182325141641847</v>
      </c>
      <c r="P385" s="65">
        <f t="shared" si="288"/>
        <v>17.722604037923674</v>
      </c>
      <c r="Q385" s="65">
        <f t="shared" si="288"/>
        <v>17.170951909758209</v>
      </c>
      <c r="R385" s="65">
        <f t="shared" si="288"/>
        <v>16.547158217048082</v>
      </c>
      <c r="S385" s="65">
        <f t="shared" si="288"/>
        <v>15.888621775015123</v>
      </c>
      <c r="T385" s="65">
        <f t="shared" si="288"/>
        <v>15.243044098403505</v>
      </c>
      <c r="U385" s="65">
        <f t="shared" si="288"/>
        <v>14.655361451100672</v>
      </c>
      <c r="V385" s="65">
        <f t="shared" si="288"/>
        <v>14.15591488851158</v>
      </c>
      <c r="W385" s="65">
        <f t="shared" si="288"/>
        <v>13.755947637689308</v>
      </c>
      <c r="X385" s="65">
        <f t="shared" si="288"/>
        <v>13.450754873498525</v>
      </c>
      <c r="Y385" s="65">
        <f t="shared" si="288"/>
        <v>13.226413715323233</v>
      </c>
      <c r="Z385" s="65">
        <f t="shared" si="288"/>
        <v>13.066013032696132</v>
      </c>
      <c r="AA385" s="65">
        <f t="shared" si="288"/>
        <v>12.953595842091289</v>
      </c>
      <c r="AB385" s="65">
        <f t="shared" si="288"/>
        <v>12.875908653682803</v>
      </c>
      <c r="AC385" s="65">
        <f t="shared" si="288"/>
        <v>12.822743439353784</v>
      </c>
    </row>
    <row r="386" spans="1:29" x14ac:dyDescent="0.3">
      <c r="A386" s="30" t="str">
        <f t="shared" si="287"/>
        <v>Residual value (vehicle)</v>
      </c>
      <c r="B386" s="66">
        <f>((1+B358)^B365)*B358/(((1+B358)^B365)-1)*(B355)/B370</f>
        <v>-0.97847824935465733</v>
      </c>
      <c r="C386" s="66">
        <f t="shared" ref="C386:AC386" si="289">((1+C358)^C365)*C358/(((1+C358)^C365)-1)*(C355)/C370</f>
        <v>-0.9787569767103077</v>
      </c>
      <c r="D386" s="66">
        <f t="shared" si="289"/>
        <v>-0.97915596871176991</v>
      </c>
      <c r="E386" s="66">
        <f t="shared" si="289"/>
        <v>-0.97972675482823313</v>
      </c>
      <c r="F386" s="66">
        <f t="shared" si="289"/>
        <v>-0.98054253413886938</v>
      </c>
      <c r="G386" s="66">
        <f t="shared" si="289"/>
        <v>-0.98170682751236671</v>
      </c>
      <c r="H386" s="66">
        <f t="shared" si="289"/>
        <v>-0.98336506690865744</v>
      </c>
      <c r="I386" s="66">
        <f t="shared" si="289"/>
        <v>-0.98571952913980765</v>
      </c>
      <c r="J386" s="66">
        <f t="shared" si="289"/>
        <v>-0.98904733525416333</v>
      </c>
      <c r="K386" s="66">
        <f t="shared" si="289"/>
        <v>-0.99371951500012301</v>
      </c>
      <c r="L386" s="66">
        <f t="shared" si="289"/>
        <v>-1.0002155409007751</v>
      </c>
      <c r="M386" s="66">
        <f t="shared" si="289"/>
        <v>-1.0091213493937565</v>
      </c>
      <c r="N386" s="66">
        <f t="shared" si="289"/>
        <v>-1.021089801700467</v>
      </c>
      <c r="O386" s="66">
        <f t="shared" si="289"/>
        <v>-1.0367348810002803</v>
      </c>
      <c r="P386" s="66">
        <f t="shared" si="289"/>
        <v>-1.0564372140167737</v>
      </c>
      <c r="Q386" s="66">
        <f t="shared" si="289"/>
        <v>-1.0800794480810079</v>
      </c>
      <c r="R386" s="66">
        <f t="shared" si="289"/>
        <v>-1.1068134634828701</v>
      </c>
      <c r="S386" s="66">
        <f t="shared" si="289"/>
        <v>-1.1350364538557114</v>
      </c>
      <c r="T386" s="66">
        <f t="shared" si="289"/>
        <v>-1.1627040685676377</v>
      </c>
      <c r="U386" s="66">
        <f t="shared" si="289"/>
        <v>-1.1878904677377591</v>
      </c>
      <c r="V386" s="66">
        <f t="shared" si="289"/>
        <v>-1.2092953204201489</v>
      </c>
      <c r="W386" s="66">
        <f t="shared" si="289"/>
        <v>-1.2264367740268176</v>
      </c>
      <c r="X386" s="66">
        <f t="shared" si="289"/>
        <v>-1.2395164639207084</v>
      </c>
      <c r="Y386" s="66">
        <f t="shared" si="289"/>
        <v>-1.2491310849853638</v>
      </c>
      <c r="Z386" s="66">
        <f t="shared" si="289"/>
        <v>-1.2560053999550969</v>
      </c>
      <c r="AA386" s="66">
        <f t="shared" si="289"/>
        <v>-1.2608232795524472</v>
      </c>
      <c r="AB386" s="66">
        <f t="shared" si="289"/>
        <v>-1.2641527304842395</v>
      </c>
      <c r="AC386" s="66">
        <f t="shared" si="289"/>
        <v>-1.2664312396697688</v>
      </c>
    </row>
    <row r="387" spans="1:29" x14ac:dyDescent="0.3">
      <c r="A387" s="30" t="str">
        <f t="shared" si="287"/>
        <v>Capex costumization</v>
      </c>
      <c r="B387" s="66">
        <f>((1+B358)^B366)*B358/(((1+B358)^B366)-1)*(B356)/B370</f>
        <v>0.65188931843561626</v>
      </c>
      <c r="C387" s="66">
        <f t="shared" ref="C387:AC387" si="290">((1+C358)^C366)*C358/(((1+C358)^C366)-1)*(C356)/C370</f>
        <v>0.65188931843561626</v>
      </c>
      <c r="D387" s="66">
        <f t="shared" si="290"/>
        <v>0.65188931843561626</v>
      </c>
      <c r="E387" s="66">
        <f t="shared" si="290"/>
        <v>0.65188931843561626</v>
      </c>
      <c r="F387" s="66">
        <f t="shared" si="290"/>
        <v>0.65188931843561626</v>
      </c>
      <c r="G387" s="66">
        <f t="shared" si="290"/>
        <v>0.65188931843561626</v>
      </c>
      <c r="H387" s="66">
        <f t="shared" si="290"/>
        <v>0.65188931843561626</v>
      </c>
      <c r="I387" s="66">
        <f t="shared" si="290"/>
        <v>0.65188931843561626</v>
      </c>
      <c r="J387" s="66">
        <f t="shared" si="290"/>
        <v>0.65188931843561626</v>
      </c>
      <c r="K387" s="66">
        <f t="shared" si="290"/>
        <v>0.65188931843561626</v>
      </c>
      <c r="L387" s="66">
        <f t="shared" si="290"/>
        <v>0.65188931843561626</v>
      </c>
      <c r="M387" s="66">
        <f t="shared" si="290"/>
        <v>0.65188931843561626</v>
      </c>
      <c r="N387" s="66">
        <f t="shared" si="290"/>
        <v>0.65188931843561626</v>
      </c>
      <c r="O387" s="66">
        <f t="shared" si="290"/>
        <v>0.65188931843561626</v>
      </c>
      <c r="P387" s="66">
        <f t="shared" si="290"/>
        <v>0.65188931843561626</v>
      </c>
      <c r="Q387" s="66">
        <f t="shared" si="290"/>
        <v>0.65188931843561626</v>
      </c>
      <c r="R387" s="66">
        <f t="shared" si="290"/>
        <v>0.65188931843561626</v>
      </c>
      <c r="S387" s="66">
        <f t="shared" si="290"/>
        <v>0.65188931843561626</v>
      </c>
      <c r="T387" s="66">
        <f t="shared" si="290"/>
        <v>0.65188931843561626</v>
      </c>
      <c r="U387" s="66">
        <f t="shared" si="290"/>
        <v>0.65188931843561626</v>
      </c>
      <c r="V387" s="66">
        <f t="shared" si="290"/>
        <v>0.65188931843561626</v>
      </c>
      <c r="W387" s="66">
        <f t="shared" si="290"/>
        <v>0.65188931843561626</v>
      </c>
      <c r="X387" s="66">
        <f t="shared" si="290"/>
        <v>0.65188931843561626</v>
      </c>
      <c r="Y387" s="66">
        <f t="shared" si="290"/>
        <v>0.65188931843561626</v>
      </c>
      <c r="Z387" s="66">
        <f t="shared" si="290"/>
        <v>0.65188931843561626</v>
      </c>
      <c r="AA387" s="66">
        <f t="shared" si="290"/>
        <v>0.65188931843561626</v>
      </c>
      <c r="AB387" s="66">
        <f t="shared" si="290"/>
        <v>0.65188931843561626</v>
      </c>
      <c r="AC387" s="66">
        <f t="shared" si="290"/>
        <v>0.65188931843561626</v>
      </c>
    </row>
    <row r="388" spans="1:29" x14ac:dyDescent="0.3">
      <c r="A388" s="30" t="str">
        <f t="shared" si="287"/>
        <v>Residual value (costumization)</v>
      </c>
      <c r="B388" s="66">
        <f>((1+B358)^B366)*B358/(((1+B358)^B366)-1)*(B357)/B370</f>
        <v>-6.5188931843561615E-2</v>
      </c>
      <c r="C388" s="66">
        <f t="shared" ref="C388:AC388" si="291">((1+C358)^C366)*C358/(((1+C358)^C366)-1)*(C357)/C370</f>
        <v>-6.5188931843561615E-2</v>
      </c>
      <c r="D388" s="66">
        <f t="shared" si="291"/>
        <v>-6.5188931843561615E-2</v>
      </c>
      <c r="E388" s="66">
        <f t="shared" si="291"/>
        <v>-6.5188931843561615E-2</v>
      </c>
      <c r="F388" s="66">
        <f t="shared" si="291"/>
        <v>-6.5188931843561615E-2</v>
      </c>
      <c r="G388" s="66">
        <f t="shared" si="291"/>
        <v>-6.5188931843561615E-2</v>
      </c>
      <c r="H388" s="66">
        <f t="shared" si="291"/>
        <v>-6.5188931843561615E-2</v>
      </c>
      <c r="I388" s="66">
        <f t="shared" si="291"/>
        <v>-6.5188931843561615E-2</v>
      </c>
      <c r="J388" s="66">
        <f t="shared" si="291"/>
        <v>-6.5188931843561615E-2</v>
      </c>
      <c r="K388" s="66">
        <f t="shared" si="291"/>
        <v>-6.5188931843561615E-2</v>
      </c>
      <c r="L388" s="66">
        <f t="shared" si="291"/>
        <v>-6.5188931843561615E-2</v>
      </c>
      <c r="M388" s="66">
        <f t="shared" si="291"/>
        <v>-6.5188931843561615E-2</v>
      </c>
      <c r="N388" s="66">
        <f t="shared" si="291"/>
        <v>-6.5188931843561615E-2</v>
      </c>
      <c r="O388" s="66">
        <f t="shared" si="291"/>
        <v>-6.5188931843561615E-2</v>
      </c>
      <c r="P388" s="66">
        <f t="shared" si="291"/>
        <v>-6.5188931843561615E-2</v>
      </c>
      <c r="Q388" s="66">
        <f t="shared" si="291"/>
        <v>-6.5188931843561615E-2</v>
      </c>
      <c r="R388" s="66">
        <f t="shared" si="291"/>
        <v>-6.5188931843561615E-2</v>
      </c>
      <c r="S388" s="66">
        <f t="shared" si="291"/>
        <v>-6.5188931843561615E-2</v>
      </c>
      <c r="T388" s="66">
        <f t="shared" si="291"/>
        <v>-6.5188931843561615E-2</v>
      </c>
      <c r="U388" s="66">
        <f t="shared" si="291"/>
        <v>-6.5188931843561615E-2</v>
      </c>
      <c r="V388" s="66">
        <f t="shared" si="291"/>
        <v>-6.5188931843561615E-2</v>
      </c>
      <c r="W388" s="66">
        <f t="shared" si="291"/>
        <v>-6.5188931843561615E-2</v>
      </c>
      <c r="X388" s="66">
        <f t="shared" si="291"/>
        <v>-6.5188931843561615E-2</v>
      </c>
      <c r="Y388" s="66">
        <f t="shared" si="291"/>
        <v>-6.5188931843561615E-2</v>
      </c>
      <c r="Z388" s="66">
        <f t="shared" si="291"/>
        <v>-6.5188931843561615E-2</v>
      </c>
      <c r="AA388" s="66">
        <f t="shared" si="291"/>
        <v>-6.5188931843561615E-2</v>
      </c>
      <c r="AB388" s="66">
        <f t="shared" si="291"/>
        <v>-6.5188931843561615E-2</v>
      </c>
      <c r="AC388" s="66">
        <f t="shared" si="291"/>
        <v>-6.5188931843561615E-2</v>
      </c>
    </row>
    <row r="389" spans="1:29" x14ac:dyDescent="0.3">
      <c r="A389" s="30" t="str">
        <f t="shared" si="287"/>
        <v>Opex fix (admin, crew, insurance)</v>
      </c>
      <c r="B389" s="66">
        <f>B359/B370</f>
        <v>10.068627450980392</v>
      </c>
      <c r="C389" s="66">
        <f t="shared" ref="C389:AC389" si="292">C359/C370</f>
        <v>10.068627450980392</v>
      </c>
      <c r="D389" s="66">
        <f t="shared" si="292"/>
        <v>10.068627450980392</v>
      </c>
      <c r="E389" s="66">
        <f t="shared" si="292"/>
        <v>10.068627450980392</v>
      </c>
      <c r="F389" s="66">
        <f t="shared" si="292"/>
        <v>10.068627450980392</v>
      </c>
      <c r="G389" s="66">
        <f t="shared" si="292"/>
        <v>10.068627450980392</v>
      </c>
      <c r="H389" s="66">
        <f t="shared" si="292"/>
        <v>10.068627450980392</v>
      </c>
      <c r="I389" s="66">
        <f t="shared" si="292"/>
        <v>10.068627450980392</v>
      </c>
      <c r="J389" s="66">
        <f t="shared" si="292"/>
        <v>10.068627450980392</v>
      </c>
      <c r="K389" s="66">
        <f t="shared" si="292"/>
        <v>10.068627450980392</v>
      </c>
      <c r="L389" s="66">
        <f t="shared" si="292"/>
        <v>10.068627450980392</v>
      </c>
      <c r="M389" s="66">
        <f t="shared" si="292"/>
        <v>10.068627450980392</v>
      </c>
      <c r="N389" s="66">
        <f t="shared" si="292"/>
        <v>10.068627450980392</v>
      </c>
      <c r="O389" s="66">
        <f t="shared" si="292"/>
        <v>10.068627450980392</v>
      </c>
      <c r="P389" s="66">
        <f t="shared" si="292"/>
        <v>10.068627450980392</v>
      </c>
      <c r="Q389" s="66">
        <f t="shared" si="292"/>
        <v>10.068627450980392</v>
      </c>
      <c r="R389" s="66">
        <f t="shared" si="292"/>
        <v>10.068627450980392</v>
      </c>
      <c r="S389" s="66">
        <f t="shared" si="292"/>
        <v>10.068627450980392</v>
      </c>
      <c r="T389" s="66">
        <f t="shared" si="292"/>
        <v>10.068627450980392</v>
      </c>
      <c r="U389" s="66">
        <f t="shared" si="292"/>
        <v>10.068627450980392</v>
      </c>
      <c r="V389" s="66">
        <f t="shared" si="292"/>
        <v>10.068627450980392</v>
      </c>
      <c r="W389" s="66">
        <f t="shared" si="292"/>
        <v>10.068627450980392</v>
      </c>
      <c r="X389" s="66">
        <f t="shared" si="292"/>
        <v>10.068627450980392</v>
      </c>
      <c r="Y389" s="66">
        <f t="shared" si="292"/>
        <v>10.068627450980392</v>
      </c>
      <c r="Z389" s="66">
        <f t="shared" si="292"/>
        <v>10.068627450980392</v>
      </c>
      <c r="AA389" s="66">
        <f t="shared" si="292"/>
        <v>10.068627450980392</v>
      </c>
      <c r="AB389" s="66">
        <f t="shared" si="292"/>
        <v>10.068627450980392</v>
      </c>
      <c r="AC389" s="66">
        <f t="shared" si="292"/>
        <v>10.068627450980392</v>
      </c>
    </row>
    <row r="390" spans="1:29" x14ac:dyDescent="0.3">
      <c r="A390" s="30" t="str">
        <f t="shared" si="287"/>
        <v>Opex maintenance &amp; repair</v>
      </c>
      <c r="B390" s="66">
        <f>B360/B370</f>
        <v>2.8235294117647056</v>
      </c>
      <c r="C390" s="66">
        <f t="shared" ref="C390:AC390" si="293">C360/C370</f>
        <v>2.8235294117647056</v>
      </c>
      <c r="D390" s="66">
        <f t="shared" si="293"/>
        <v>2.8235294117647056</v>
      </c>
      <c r="E390" s="66">
        <f t="shared" si="293"/>
        <v>2.8235294117647056</v>
      </c>
      <c r="F390" s="66">
        <f t="shared" si="293"/>
        <v>2.8235294117647056</v>
      </c>
      <c r="G390" s="66">
        <f t="shared" si="293"/>
        <v>2.8235294117647056</v>
      </c>
      <c r="H390" s="66">
        <f t="shared" si="293"/>
        <v>2.8235294117647056</v>
      </c>
      <c r="I390" s="66">
        <f t="shared" si="293"/>
        <v>2.8235294117647056</v>
      </c>
      <c r="J390" s="66">
        <f t="shared" si="293"/>
        <v>2.8235294117647056</v>
      </c>
      <c r="K390" s="66">
        <f t="shared" si="293"/>
        <v>2.8235294117647056</v>
      </c>
      <c r="L390" s="66">
        <f t="shared" si="293"/>
        <v>2.8235294117647056</v>
      </c>
      <c r="M390" s="66">
        <f t="shared" si="293"/>
        <v>2.8235294117647056</v>
      </c>
      <c r="N390" s="66">
        <f t="shared" si="293"/>
        <v>2.8235294117647056</v>
      </c>
      <c r="O390" s="66">
        <f t="shared" si="293"/>
        <v>2.8235294117647056</v>
      </c>
      <c r="P390" s="66">
        <f t="shared" si="293"/>
        <v>2.8235294117647056</v>
      </c>
      <c r="Q390" s="66">
        <f t="shared" si="293"/>
        <v>2.8235294117647056</v>
      </c>
      <c r="R390" s="66">
        <f t="shared" si="293"/>
        <v>2.8235294117647056</v>
      </c>
      <c r="S390" s="66">
        <f t="shared" si="293"/>
        <v>2.8235294117647056</v>
      </c>
      <c r="T390" s="66">
        <f t="shared" si="293"/>
        <v>2.8235294117647056</v>
      </c>
      <c r="U390" s="66">
        <f t="shared" si="293"/>
        <v>2.8235294117647056</v>
      </c>
      <c r="V390" s="66">
        <f t="shared" si="293"/>
        <v>2.8235294117647056</v>
      </c>
      <c r="W390" s="66">
        <f t="shared" si="293"/>
        <v>2.8235294117647056</v>
      </c>
      <c r="X390" s="66">
        <f t="shared" si="293"/>
        <v>2.8235294117647056</v>
      </c>
      <c r="Y390" s="66">
        <f t="shared" si="293"/>
        <v>2.8235294117647056</v>
      </c>
      <c r="Z390" s="66">
        <f t="shared" si="293"/>
        <v>2.8235294117647056</v>
      </c>
      <c r="AA390" s="66">
        <f t="shared" si="293"/>
        <v>2.8235294117647056</v>
      </c>
      <c r="AB390" s="66">
        <f t="shared" si="293"/>
        <v>2.8235294117647056</v>
      </c>
      <c r="AC390" s="66">
        <f t="shared" si="293"/>
        <v>2.8235294117647056</v>
      </c>
    </row>
    <row r="391" spans="1:29" x14ac:dyDescent="0.3">
      <c r="A391" s="30" t="str">
        <f t="shared" si="287"/>
        <v>Opex var (mode-fees)</v>
      </c>
      <c r="B391" s="66">
        <f>B361*B370/B370</f>
        <v>0.81280569096848254</v>
      </c>
      <c r="C391" s="66">
        <f t="shared" ref="C391:AC391" si="294">C361*C370/C370</f>
        <v>0.81280569096848254</v>
      </c>
      <c r="D391" s="66">
        <f t="shared" si="294"/>
        <v>0.81280569096848254</v>
      </c>
      <c r="E391" s="66">
        <f t="shared" si="294"/>
        <v>0.81280569096848254</v>
      </c>
      <c r="F391" s="66">
        <f t="shared" si="294"/>
        <v>0.81280569096848254</v>
      </c>
      <c r="G391" s="66">
        <f t="shared" si="294"/>
        <v>0.81280569096848254</v>
      </c>
      <c r="H391" s="66">
        <f t="shared" si="294"/>
        <v>0.81280569096848254</v>
      </c>
      <c r="I391" s="66">
        <f t="shared" si="294"/>
        <v>0.81280569096848254</v>
      </c>
      <c r="J391" s="66">
        <f t="shared" si="294"/>
        <v>0.81280569096848254</v>
      </c>
      <c r="K391" s="66">
        <f t="shared" si="294"/>
        <v>0.81280569096848254</v>
      </c>
      <c r="L391" s="66">
        <f t="shared" si="294"/>
        <v>0.81280569096848254</v>
      </c>
      <c r="M391" s="66">
        <f t="shared" si="294"/>
        <v>0.81280569096848254</v>
      </c>
      <c r="N391" s="66">
        <f t="shared" si="294"/>
        <v>0.81280569096848254</v>
      </c>
      <c r="O391" s="66">
        <f t="shared" si="294"/>
        <v>0.81280569096848254</v>
      </c>
      <c r="P391" s="66">
        <f t="shared" si="294"/>
        <v>0.81280569096848254</v>
      </c>
      <c r="Q391" s="66">
        <f t="shared" si="294"/>
        <v>0.81280569096848254</v>
      </c>
      <c r="R391" s="66">
        <f t="shared" si="294"/>
        <v>0.81280569096848254</v>
      </c>
      <c r="S391" s="66">
        <f t="shared" si="294"/>
        <v>0.81280569096848254</v>
      </c>
      <c r="T391" s="66">
        <f t="shared" si="294"/>
        <v>0.81280569096848254</v>
      </c>
      <c r="U391" s="66">
        <f t="shared" si="294"/>
        <v>0.81280569096848254</v>
      </c>
      <c r="V391" s="66">
        <f t="shared" si="294"/>
        <v>0.81280569096848254</v>
      </c>
      <c r="W391" s="66">
        <f t="shared" si="294"/>
        <v>0.81280569096848254</v>
      </c>
      <c r="X391" s="66">
        <f t="shared" si="294"/>
        <v>0.81280569096848254</v>
      </c>
      <c r="Y391" s="66">
        <f t="shared" si="294"/>
        <v>0.81280569096848254</v>
      </c>
      <c r="Z391" s="66">
        <f t="shared" si="294"/>
        <v>0.81280569096848254</v>
      </c>
      <c r="AA391" s="66">
        <f t="shared" si="294"/>
        <v>0.81280569096848254</v>
      </c>
      <c r="AB391" s="66">
        <f t="shared" si="294"/>
        <v>0.81280569096848254</v>
      </c>
      <c r="AC391" s="66">
        <f t="shared" si="294"/>
        <v>0.81280569096848254</v>
      </c>
    </row>
    <row r="392" spans="1:29" x14ac:dyDescent="0.3">
      <c r="A392" s="30" t="str">
        <f t="shared" si="287"/>
        <v>Fuel Cost</v>
      </c>
      <c r="B392" s="66">
        <f>B362*B363*B370/B370</f>
        <v>123.41933719850446</v>
      </c>
      <c r="C392" s="66">
        <f t="shared" ref="C392:AC392" si="295">C362*C363*C370/C370</f>
        <v>123.34258561341028</v>
      </c>
      <c r="D392" s="66">
        <f t="shared" si="295"/>
        <v>123.23274212509334</v>
      </c>
      <c r="E392" s="66">
        <f t="shared" si="295"/>
        <v>123.07565384533636</v>
      </c>
      <c r="F392" s="66">
        <f t="shared" si="295"/>
        <v>122.85124333733515</v>
      </c>
      <c r="G392" s="66">
        <f t="shared" si="295"/>
        <v>122.53117159776731</v>
      </c>
      <c r="H392" s="66">
        <f t="shared" si="295"/>
        <v>122.0757383858376</v>
      </c>
      <c r="I392" s="66">
        <f t="shared" si="295"/>
        <v>121.42995138208717</v>
      </c>
      <c r="J392" s="66">
        <f t="shared" si="295"/>
        <v>120.51892052516899</v>
      </c>
      <c r="K392" s="66">
        <f t="shared" si="295"/>
        <v>119.24326333995113</v>
      </c>
      <c r="L392" s="66">
        <f t="shared" si="295"/>
        <v>117.47626272126928</v>
      </c>
      <c r="M392" s="66">
        <f t="shared" si="295"/>
        <v>115.06629842406267</v>
      </c>
      <c r="N392" s="66">
        <f t="shared" si="295"/>
        <v>111.85038203569751</v>
      </c>
      <c r="O392" s="66">
        <f t="shared" si="295"/>
        <v>107.68601436051544</v>
      </c>
      <c r="P392" s="66">
        <f t="shared" si="295"/>
        <v>102.5053022617741</v>
      </c>
      <c r="Q392" s="66">
        <f t="shared" si="295"/>
        <v>96.38218872291948</v>
      </c>
      <c r="R392" s="66">
        <f t="shared" si="295"/>
        <v>89.581333733928119</v>
      </c>
      <c r="S392" s="66">
        <f t="shared" si="295"/>
        <v>82.543357602792938</v>
      </c>
      <c r="T392" s="66">
        <f t="shared" si="295"/>
        <v>75.78510579398899</v>
      </c>
      <c r="U392" s="66">
        <f t="shared" si="295"/>
        <v>69.754509700592536</v>
      </c>
      <c r="V392" s="66">
        <f t="shared" si="295"/>
        <v>64.720443972926304</v>
      </c>
      <c r="W392" s="66">
        <f t="shared" si="295"/>
        <v>60.7494046963362</v>
      </c>
      <c r="X392" s="66">
        <f t="shared" si="295"/>
        <v>57.755426970969552</v>
      </c>
      <c r="Y392" s="66">
        <f t="shared" si="295"/>
        <v>55.574541328477608</v>
      </c>
      <c r="Z392" s="66">
        <f t="shared" si="295"/>
        <v>54.02559199184148</v>
      </c>
      <c r="AA392" s="66">
        <f t="shared" si="295"/>
        <v>52.945152058301368</v>
      </c>
      <c r="AB392" s="66">
        <f t="shared" si="295"/>
        <v>52.200979104295371</v>
      </c>
      <c r="AC392" s="66">
        <f t="shared" si="295"/>
        <v>51.692871472688196</v>
      </c>
    </row>
    <row r="393" spans="1:29" ht="15" thickBot="1" x14ac:dyDescent="0.35">
      <c r="A393" s="59" t="str">
        <f t="shared" ref="A393" si="296">A381</f>
        <v>Emission Cost</v>
      </c>
      <c r="B393" s="66">
        <f>B364</f>
        <v>2.4395360251592355</v>
      </c>
      <c r="C393" s="66">
        <f t="shared" ref="C393:AC393" si="297">C364</f>
        <v>2.437212992466212</v>
      </c>
      <c r="D393" s="66">
        <f t="shared" si="297"/>
        <v>2.4338876229075299</v>
      </c>
      <c r="E393" s="66">
        <f t="shared" si="297"/>
        <v>2.4291304479033946</v>
      </c>
      <c r="F393" s="66">
        <f t="shared" si="297"/>
        <v>2.422331395099703</v>
      </c>
      <c r="G393" s="66">
        <f t="shared" si="297"/>
        <v>2.4126276774125932</v>
      </c>
      <c r="H393" s="66">
        <f t="shared" si="297"/>
        <v>2.3988072028436171</v>
      </c>
      <c r="I393" s="66">
        <f t="shared" si="297"/>
        <v>2.379184110145415</v>
      </c>
      <c r="J393" s="66">
        <f t="shared" si="297"/>
        <v>2.3514487542753191</v>
      </c>
      <c r="K393" s="66">
        <f t="shared" si="297"/>
        <v>2.3125088150209741</v>
      </c>
      <c r="L393" s="66">
        <f t="shared" si="297"/>
        <v>2.2583681638217614</v>
      </c>
      <c r="M393" s="66">
        <f t="shared" si="297"/>
        <v>2.1841433564334305</v>
      </c>
      <c r="N393" s="66">
        <f t="shared" si="297"/>
        <v>2.0843931689123196</v>
      </c>
      <c r="O393" s="66">
        <f t="shared" si="297"/>
        <v>1.9540004035032079</v>
      </c>
      <c r="P393" s="66">
        <f t="shared" si="297"/>
        <v>1.7897927547083285</v>
      </c>
      <c r="Q393" s="66">
        <f t="shared" si="297"/>
        <v>1.5927482897357697</v>
      </c>
      <c r="R393" s="66">
        <f t="shared" si="297"/>
        <v>1.3699356000755636</v>
      </c>
      <c r="S393" s="66">
        <f t="shared" si="297"/>
        <v>1.1347131577787466</v>
      </c>
      <c r="T393" s="66">
        <f t="shared" si="297"/>
        <v>0.90411945317509268</v>
      </c>
      <c r="U393" s="66">
        <f t="shared" si="297"/>
        <v>0.69420525743630557</v>
      </c>
      <c r="V393" s="66">
        <f t="shared" si="297"/>
        <v>0.51580808341464834</v>
      </c>
      <c r="W393" s="66">
        <f t="shared" si="297"/>
        <v>0.37294389614701329</v>
      </c>
      <c r="X393" s="66">
        <f t="shared" si="297"/>
        <v>0.26393218049669054</v>
      </c>
      <c r="Y393" s="66">
        <f t="shared" si="297"/>
        <v>0.18379982674147044</v>
      </c>
      <c r="Z393" s="66">
        <f t="shared" si="297"/>
        <v>0.12650635305435332</v>
      </c>
      <c r="AA393" s="66">
        <f t="shared" si="297"/>
        <v>8.6352089079855254E-2</v>
      </c>
      <c r="AB393" s="66">
        <f t="shared" si="297"/>
        <v>5.8603024599529263E-2</v>
      </c>
      <c r="AC393" s="66">
        <f t="shared" si="297"/>
        <v>3.9612956986719627E-2</v>
      </c>
    </row>
    <row r="394" spans="1:29" ht="15" thickBot="1" x14ac:dyDescent="0.35">
      <c r="A394" s="31" t="s">
        <v>63</v>
      </c>
      <c r="B394" s="76">
        <f>B385+B386+B387-B388+B389+B390+B391+B392+B393</f>
        <v>158.84408232500817</v>
      </c>
      <c r="C394" s="76">
        <f t="shared" ref="C394:AC394" si="298">C385+C386+C387-C388+C389+C390+C391+C392+C393</f>
        <v>158.75822534156683</v>
      </c>
      <c r="D394" s="76">
        <f t="shared" si="298"/>
        <v>158.63534767832226</v>
      </c>
      <c r="E394" s="76">
        <f t="shared" si="298"/>
        <v>158.45961309472722</v>
      </c>
      <c r="F394" s="76">
        <f t="shared" si="298"/>
        <v>158.20855290403014</v>
      </c>
      <c r="G394" s="76">
        <f t="shared" si="298"/>
        <v>157.85044630802011</v>
      </c>
      <c r="H394" s="76">
        <f t="shared" si="298"/>
        <v>157.34084212954502</v>
      </c>
      <c r="I394" s="76">
        <f t="shared" si="298"/>
        <v>156.61814011880509</v>
      </c>
      <c r="J394" s="76">
        <f t="shared" si="298"/>
        <v>155.59839729056748</v>
      </c>
      <c r="K394" s="76">
        <f t="shared" si="298"/>
        <v>154.17011045894358</v>
      </c>
      <c r="L394" s="76">
        <f t="shared" si="298"/>
        <v>152.19089922548</v>
      </c>
      <c r="M394" s="76">
        <f t="shared" si="298"/>
        <v>149.49000211422251</v>
      </c>
      <c r="N394" s="76">
        <f t="shared" si="298"/>
        <v>145.88310319887296</v>
      </c>
      <c r="O394" s="76">
        <f t="shared" si="298"/>
        <v>141.20764582865297</v>
      </c>
      <c r="P394" s="76">
        <f t="shared" si="298"/>
        <v>135.38330264438207</v>
      </c>
      <c r="Q394" s="76">
        <f t="shared" si="298"/>
        <v>128.4878502783252</v>
      </c>
      <c r="R394" s="76">
        <f t="shared" si="298"/>
        <v>120.81365489156165</v>
      </c>
      <c r="S394" s="76">
        <f t="shared" si="298"/>
        <v>112.85369688572385</v>
      </c>
      <c r="T394" s="76">
        <f t="shared" si="298"/>
        <v>105.19160608099271</v>
      </c>
      <c r="U394" s="76">
        <f t="shared" si="298"/>
        <v>98.338226745384517</v>
      </c>
      <c r="V394" s="76">
        <f t="shared" si="298"/>
        <v>92.604912428425152</v>
      </c>
      <c r="W394" s="76">
        <f t="shared" si="298"/>
        <v>88.073900260138458</v>
      </c>
      <c r="X394" s="76">
        <f t="shared" si="298"/>
        <v>84.652638365036822</v>
      </c>
      <c r="Y394" s="76">
        <f t="shared" si="298"/>
        <v>82.157664589549711</v>
      </c>
      <c r="Z394" s="76">
        <f t="shared" si="298"/>
        <v>80.384146781629624</v>
      </c>
      <c r="AA394" s="76">
        <f t="shared" si="298"/>
        <v>79.14631751391282</v>
      </c>
      <c r="AB394" s="76">
        <f t="shared" si="298"/>
        <v>78.293378856086221</v>
      </c>
      <c r="AC394" s="76">
        <f t="shared" si="298"/>
        <v>77.710837433351685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299">A373</f>
        <v>Capex vehicle</v>
      </c>
      <c r="B397" s="65">
        <f>((1+B358)^B365)*B358/(((1+B358)^B365)-1)*(B354)/B370/(B367)</f>
        <v>2.0678991054715748E-3</v>
      </c>
      <c r="C397" s="65">
        <f t="shared" ref="C397:AC397" si="300">((1+C358)^C365)*C358/(((1+C358)^C365)-1)*(C354)/C370/(C367)</f>
        <v>2.0672108897786113E-3</v>
      </c>
      <c r="D397" s="65">
        <f t="shared" si="300"/>
        <v>2.0662257243429026E-3</v>
      </c>
      <c r="E397" s="65">
        <f t="shared" si="300"/>
        <v>2.0648163759071901E-3</v>
      </c>
      <c r="F397" s="65">
        <f t="shared" si="300"/>
        <v>2.0628021060043848E-3</v>
      </c>
      <c r="G397" s="65">
        <f t="shared" si="300"/>
        <v>2.0599273075513052E-3</v>
      </c>
      <c r="H397" s="65">
        <f t="shared" si="300"/>
        <v>2.0558328892888592E-3</v>
      </c>
      <c r="I397" s="65">
        <f t="shared" si="300"/>
        <v>2.0500194022983649E-3</v>
      </c>
      <c r="J397" s="65">
        <f t="shared" si="300"/>
        <v>2.0418025970777333E-3</v>
      </c>
      <c r="K397" s="65">
        <f t="shared" si="300"/>
        <v>2.0302663507914126E-3</v>
      </c>
      <c r="L397" s="65">
        <f t="shared" si="300"/>
        <v>2.0142267806663458E-3</v>
      </c>
      <c r="M397" s="65">
        <f t="shared" si="300"/>
        <v>1.9922371300663917E-3</v>
      </c>
      <c r="N397" s="65">
        <f t="shared" si="300"/>
        <v>1.9626853959757488E-3</v>
      </c>
      <c r="O397" s="65">
        <f t="shared" si="300"/>
        <v>1.9240555705441109E-3</v>
      </c>
      <c r="P397" s="65">
        <f t="shared" si="300"/>
        <v>1.8754078347009179E-3</v>
      </c>
      <c r="Q397" s="65">
        <f t="shared" si="300"/>
        <v>1.8170319481225618E-3</v>
      </c>
      <c r="R397" s="65">
        <f t="shared" si="300"/>
        <v>1.7510220335500617E-3</v>
      </c>
      <c r="S397" s="65">
        <f t="shared" si="300"/>
        <v>1.6813356375677379E-3</v>
      </c>
      <c r="T397" s="65">
        <f t="shared" si="300"/>
        <v>1.6130205395135985E-3</v>
      </c>
      <c r="U397" s="65">
        <f t="shared" si="300"/>
        <v>1.5508318995873728E-3</v>
      </c>
      <c r="V397" s="65">
        <f t="shared" si="300"/>
        <v>1.497980411482707E-3</v>
      </c>
      <c r="W397" s="65">
        <f t="shared" si="300"/>
        <v>1.4556558346761172E-3</v>
      </c>
      <c r="X397" s="65">
        <f t="shared" si="300"/>
        <v>1.423360304073918E-3</v>
      </c>
      <c r="Y397" s="65">
        <f t="shared" si="300"/>
        <v>1.3996204989760034E-3</v>
      </c>
      <c r="Z397" s="65">
        <f t="shared" si="300"/>
        <v>1.3826468817667865E-3</v>
      </c>
      <c r="AA397" s="65">
        <f t="shared" si="300"/>
        <v>1.370750882760983E-3</v>
      </c>
      <c r="AB397" s="65">
        <f t="shared" si="300"/>
        <v>1.3625300162627306E-3</v>
      </c>
      <c r="AC397" s="65">
        <f t="shared" si="300"/>
        <v>1.3569040676564852E-3</v>
      </c>
    </row>
    <row r="398" spans="1:29" x14ac:dyDescent="0.3">
      <c r="A398" s="30" t="str">
        <f t="shared" si="299"/>
        <v>Residual value (vehicle)</v>
      </c>
      <c r="B398" s="68">
        <f>((1+B358)^B365)*B358/(((1+B358)^B365)-1)*(B355)/B370/(B367)</f>
        <v>-1.0354267188938173E-4</v>
      </c>
      <c r="C398" s="68">
        <f t="shared" ref="C398:AC398" si="301">((1+C358)^C365)*C358/(((1+C358)^C365)-1)*(C355)/C370/(C367)</f>
        <v>-1.0357216684765161E-4</v>
      </c>
      <c r="D398" s="68">
        <f t="shared" si="301"/>
        <v>-1.0361438822346771E-4</v>
      </c>
      <c r="E398" s="68">
        <f t="shared" si="301"/>
        <v>-1.036747888707125E-4</v>
      </c>
      <c r="F398" s="68">
        <f t="shared" si="301"/>
        <v>-1.0376111472368988E-4</v>
      </c>
      <c r="G398" s="68">
        <f t="shared" si="301"/>
        <v>-1.0388432037167901E-4</v>
      </c>
      <c r="H398" s="68">
        <f t="shared" si="301"/>
        <v>-1.0405979544006957E-4</v>
      </c>
      <c r="I398" s="68">
        <f t="shared" si="301"/>
        <v>-1.0430894488251933E-4</v>
      </c>
      <c r="J398" s="68">
        <f t="shared" si="301"/>
        <v>-1.0466109367768924E-4</v>
      </c>
      <c r="K398" s="68">
        <f t="shared" si="301"/>
        <v>-1.0515550423281725E-4</v>
      </c>
      <c r="L398" s="68">
        <f t="shared" si="301"/>
        <v>-1.0584291438103441E-4</v>
      </c>
      <c r="M398" s="68">
        <f t="shared" si="301"/>
        <v>-1.067853279781753E-4</v>
      </c>
      <c r="N398" s="68">
        <f t="shared" si="301"/>
        <v>-1.0805183086777429E-4</v>
      </c>
      <c r="O398" s="68">
        <f t="shared" si="301"/>
        <v>-1.0970739481484449E-4</v>
      </c>
      <c r="P398" s="68">
        <f t="shared" si="301"/>
        <v>-1.1179229777955277E-4</v>
      </c>
      <c r="Q398" s="68">
        <f t="shared" si="301"/>
        <v>-1.1429412149005375E-4</v>
      </c>
      <c r="R398" s="68">
        <f t="shared" si="301"/>
        <v>-1.1712311782887515E-4</v>
      </c>
      <c r="S398" s="68">
        <f t="shared" si="301"/>
        <v>-1.2010967765668903E-4</v>
      </c>
      <c r="T398" s="68">
        <f t="shared" si="301"/>
        <v>-1.2303746757329499E-4</v>
      </c>
      <c r="U398" s="68">
        <f t="shared" si="301"/>
        <v>-1.2570269499870466E-4</v>
      </c>
      <c r="V398" s="68">
        <f t="shared" si="301"/>
        <v>-1.2796775877461892E-4</v>
      </c>
      <c r="W398" s="68">
        <f t="shared" si="301"/>
        <v>-1.2978166920918704E-4</v>
      </c>
      <c r="X398" s="68">
        <f t="shared" si="301"/>
        <v>-1.3116576337785275E-4</v>
      </c>
      <c r="Y398" s="68">
        <f t="shared" si="301"/>
        <v>-1.321831835963348E-4</v>
      </c>
      <c r="Z398" s="68">
        <f t="shared" si="301"/>
        <v>-1.3291062433387269E-4</v>
      </c>
      <c r="AA398" s="68">
        <f t="shared" si="301"/>
        <v>-1.3342045286269283E-4</v>
      </c>
      <c r="AB398" s="68">
        <f t="shared" si="301"/>
        <v>-1.3377277571261794E-4</v>
      </c>
      <c r="AC398" s="68">
        <f t="shared" si="301"/>
        <v>-1.3401388779574273E-4</v>
      </c>
    </row>
    <row r="399" spans="1:29" x14ac:dyDescent="0.3">
      <c r="A399" s="30" t="str">
        <f t="shared" si="299"/>
        <v>Capex costumization</v>
      </c>
      <c r="B399" s="66">
        <f>((1+B358)^B366)*B358/(((1+B358)^B366)-1)*(B356)/B370/(B367)</f>
        <v>6.8982996659853576E-5</v>
      </c>
      <c r="C399" s="66">
        <f t="shared" ref="C399:AC399" si="302">((1+C358)^C366)*C358/(((1+C358)^C366)-1)*(C356)/C370/(C367)</f>
        <v>6.8982996659853576E-5</v>
      </c>
      <c r="D399" s="66">
        <f t="shared" si="302"/>
        <v>6.8982996659853576E-5</v>
      </c>
      <c r="E399" s="66">
        <f t="shared" si="302"/>
        <v>6.8982996659853576E-5</v>
      </c>
      <c r="F399" s="66">
        <f t="shared" si="302"/>
        <v>6.8982996659853576E-5</v>
      </c>
      <c r="G399" s="66">
        <f t="shared" si="302"/>
        <v>6.8982996659853576E-5</v>
      </c>
      <c r="H399" s="66">
        <f t="shared" si="302"/>
        <v>6.8982996659853576E-5</v>
      </c>
      <c r="I399" s="66">
        <f t="shared" si="302"/>
        <v>6.8982996659853576E-5</v>
      </c>
      <c r="J399" s="66">
        <f t="shared" si="302"/>
        <v>6.8982996659853576E-5</v>
      </c>
      <c r="K399" s="66">
        <f t="shared" si="302"/>
        <v>6.8982996659853576E-5</v>
      </c>
      <c r="L399" s="66">
        <f t="shared" si="302"/>
        <v>6.8982996659853576E-5</v>
      </c>
      <c r="M399" s="66">
        <f t="shared" si="302"/>
        <v>6.8982996659853576E-5</v>
      </c>
      <c r="N399" s="66">
        <f t="shared" si="302"/>
        <v>6.8982996659853576E-5</v>
      </c>
      <c r="O399" s="66">
        <f t="shared" si="302"/>
        <v>6.8982996659853576E-5</v>
      </c>
      <c r="P399" s="66">
        <f t="shared" si="302"/>
        <v>6.8982996659853576E-5</v>
      </c>
      <c r="Q399" s="66">
        <f t="shared" si="302"/>
        <v>6.8982996659853576E-5</v>
      </c>
      <c r="R399" s="66">
        <f t="shared" si="302"/>
        <v>6.8982996659853576E-5</v>
      </c>
      <c r="S399" s="66">
        <f t="shared" si="302"/>
        <v>6.8982996659853576E-5</v>
      </c>
      <c r="T399" s="66">
        <f t="shared" si="302"/>
        <v>6.8982996659853576E-5</v>
      </c>
      <c r="U399" s="66">
        <f t="shared" si="302"/>
        <v>6.8982996659853576E-5</v>
      </c>
      <c r="V399" s="66">
        <f t="shared" si="302"/>
        <v>6.8982996659853576E-5</v>
      </c>
      <c r="W399" s="66">
        <f t="shared" si="302"/>
        <v>6.8982996659853576E-5</v>
      </c>
      <c r="X399" s="66">
        <f t="shared" si="302"/>
        <v>6.8982996659853576E-5</v>
      </c>
      <c r="Y399" s="66">
        <f t="shared" si="302"/>
        <v>6.8982996659853576E-5</v>
      </c>
      <c r="Z399" s="66">
        <f t="shared" si="302"/>
        <v>6.8982996659853576E-5</v>
      </c>
      <c r="AA399" s="66">
        <f t="shared" si="302"/>
        <v>6.8982996659853576E-5</v>
      </c>
      <c r="AB399" s="66">
        <f t="shared" si="302"/>
        <v>6.8982996659853576E-5</v>
      </c>
      <c r="AC399" s="66">
        <f t="shared" si="302"/>
        <v>6.8982996659853576E-5</v>
      </c>
    </row>
    <row r="400" spans="1:29" x14ac:dyDescent="0.3">
      <c r="A400" s="30" t="str">
        <f t="shared" si="299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303">((1+C358)^C366)*C358/(((1+C358)^C366)-1)*(C357)/C370/(C367)</f>
        <v>-6.8982996659853564E-6</v>
      </c>
      <c r="D400" s="69">
        <f t="shared" si="303"/>
        <v>-6.8982996659853564E-6</v>
      </c>
      <c r="E400" s="69">
        <f t="shared" si="303"/>
        <v>-6.8982996659853564E-6</v>
      </c>
      <c r="F400" s="69">
        <f t="shared" si="303"/>
        <v>-6.8982996659853564E-6</v>
      </c>
      <c r="G400" s="69">
        <f t="shared" si="303"/>
        <v>-6.8982996659853564E-6</v>
      </c>
      <c r="H400" s="69">
        <f t="shared" si="303"/>
        <v>-6.8982996659853564E-6</v>
      </c>
      <c r="I400" s="69">
        <f t="shared" si="303"/>
        <v>-6.8982996659853564E-6</v>
      </c>
      <c r="J400" s="69">
        <f t="shared" si="303"/>
        <v>-6.8982996659853564E-6</v>
      </c>
      <c r="K400" s="69">
        <f t="shared" si="303"/>
        <v>-6.8982996659853564E-6</v>
      </c>
      <c r="L400" s="69">
        <f t="shared" si="303"/>
        <v>-6.8982996659853564E-6</v>
      </c>
      <c r="M400" s="69">
        <f t="shared" si="303"/>
        <v>-6.8982996659853564E-6</v>
      </c>
      <c r="N400" s="69">
        <f t="shared" si="303"/>
        <v>-6.8982996659853564E-6</v>
      </c>
      <c r="O400" s="69">
        <f t="shared" si="303"/>
        <v>-6.8982996659853564E-6</v>
      </c>
      <c r="P400" s="69">
        <f t="shared" si="303"/>
        <v>-6.8982996659853564E-6</v>
      </c>
      <c r="Q400" s="69">
        <f t="shared" si="303"/>
        <v>-6.8982996659853564E-6</v>
      </c>
      <c r="R400" s="69">
        <f t="shared" si="303"/>
        <v>-6.8982996659853564E-6</v>
      </c>
      <c r="S400" s="69">
        <f t="shared" si="303"/>
        <v>-6.8982996659853564E-6</v>
      </c>
      <c r="T400" s="69">
        <f t="shared" si="303"/>
        <v>-6.8982996659853564E-6</v>
      </c>
      <c r="U400" s="69">
        <f t="shared" si="303"/>
        <v>-6.8982996659853564E-6</v>
      </c>
      <c r="V400" s="69">
        <f t="shared" si="303"/>
        <v>-6.8982996659853564E-6</v>
      </c>
      <c r="W400" s="69">
        <f t="shared" si="303"/>
        <v>-6.8982996659853564E-6</v>
      </c>
      <c r="X400" s="69">
        <f t="shared" si="303"/>
        <v>-6.8982996659853564E-6</v>
      </c>
      <c r="Y400" s="69">
        <f t="shared" si="303"/>
        <v>-6.8982996659853564E-6</v>
      </c>
      <c r="Z400" s="69">
        <f t="shared" si="303"/>
        <v>-6.8982996659853564E-6</v>
      </c>
      <c r="AA400" s="69">
        <f t="shared" si="303"/>
        <v>-6.8982996659853564E-6</v>
      </c>
      <c r="AB400" s="69">
        <f t="shared" si="303"/>
        <v>-6.8982996659853564E-6</v>
      </c>
      <c r="AC400" s="69">
        <f t="shared" si="303"/>
        <v>-6.8982996659853564E-6</v>
      </c>
    </row>
    <row r="401" spans="1:29" x14ac:dyDescent="0.3">
      <c r="A401" s="30" t="str">
        <f t="shared" si="299"/>
        <v>Opex fix (admin, crew, insurance)</v>
      </c>
      <c r="B401" s="66">
        <f>B359/B370/(B367)</f>
        <v>1.0654632223259673E-3</v>
      </c>
      <c r="C401" s="66">
        <f t="shared" ref="C401:AC401" si="304">C359/C370/(C367)</f>
        <v>1.0654632223259673E-3</v>
      </c>
      <c r="D401" s="66">
        <f t="shared" si="304"/>
        <v>1.0654632223259673E-3</v>
      </c>
      <c r="E401" s="66">
        <f t="shared" si="304"/>
        <v>1.0654632223259673E-3</v>
      </c>
      <c r="F401" s="66">
        <f t="shared" si="304"/>
        <v>1.0654632223259673E-3</v>
      </c>
      <c r="G401" s="66">
        <f t="shared" si="304"/>
        <v>1.0654632223259673E-3</v>
      </c>
      <c r="H401" s="66">
        <f t="shared" si="304"/>
        <v>1.0654632223259673E-3</v>
      </c>
      <c r="I401" s="66">
        <f t="shared" si="304"/>
        <v>1.0654632223259673E-3</v>
      </c>
      <c r="J401" s="66">
        <f t="shared" si="304"/>
        <v>1.0654632223259673E-3</v>
      </c>
      <c r="K401" s="66">
        <f t="shared" si="304"/>
        <v>1.0654632223259673E-3</v>
      </c>
      <c r="L401" s="66">
        <f t="shared" si="304"/>
        <v>1.0654632223259673E-3</v>
      </c>
      <c r="M401" s="66">
        <f t="shared" si="304"/>
        <v>1.0654632223259673E-3</v>
      </c>
      <c r="N401" s="66">
        <f t="shared" si="304"/>
        <v>1.0654632223259673E-3</v>
      </c>
      <c r="O401" s="66">
        <f t="shared" si="304"/>
        <v>1.0654632223259673E-3</v>
      </c>
      <c r="P401" s="66">
        <f t="shared" si="304"/>
        <v>1.0654632223259673E-3</v>
      </c>
      <c r="Q401" s="66">
        <f t="shared" si="304"/>
        <v>1.0654632223259673E-3</v>
      </c>
      <c r="R401" s="66">
        <f t="shared" si="304"/>
        <v>1.0654632223259673E-3</v>
      </c>
      <c r="S401" s="66">
        <f t="shared" si="304"/>
        <v>1.0654632223259673E-3</v>
      </c>
      <c r="T401" s="66">
        <f t="shared" si="304"/>
        <v>1.0654632223259673E-3</v>
      </c>
      <c r="U401" s="66">
        <f t="shared" si="304"/>
        <v>1.0654632223259673E-3</v>
      </c>
      <c r="V401" s="66">
        <f t="shared" si="304"/>
        <v>1.0654632223259673E-3</v>
      </c>
      <c r="W401" s="66">
        <f t="shared" si="304"/>
        <v>1.0654632223259673E-3</v>
      </c>
      <c r="X401" s="66">
        <f t="shared" si="304"/>
        <v>1.0654632223259673E-3</v>
      </c>
      <c r="Y401" s="66">
        <f t="shared" si="304"/>
        <v>1.0654632223259673E-3</v>
      </c>
      <c r="Z401" s="66">
        <f t="shared" si="304"/>
        <v>1.0654632223259673E-3</v>
      </c>
      <c r="AA401" s="66">
        <f t="shared" si="304"/>
        <v>1.0654632223259673E-3</v>
      </c>
      <c r="AB401" s="66">
        <f t="shared" si="304"/>
        <v>1.0654632223259673E-3</v>
      </c>
      <c r="AC401" s="66">
        <f t="shared" si="304"/>
        <v>1.0654632223259673E-3</v>
      </c>
    </row>
    <row r="402" spans="1:29" x14ac:dyDescent="0.3">
      <c r="A402" s="30" t="str">
        <f t="shared" si="299"/>
        <v>Opex maintenance &amp; repair</v>
      </c>
      <c r="B402" s="66">
        <f>B360/B370/(B367)</f>
        <v>2.9878618113912231E-4</v>
      </c>
      <c r="C402" s="66">
        <f t="shared" ref="C402:AC402" si="305">C360/C370/(C367)</f>
        <v>2.9878618113912231E-4</v>
      </c>
      <c r="D402" s="66">
        <f t="shared" si="305"/>
        <v>2.9878618113912231E-4</v>
      </c>
      <c r="E402" s="66">
        <f t="shared" si="305"/>
        <v>2.9878618113912231E-4</v>
      </c>
      <c r="F402" s="66">
        <f t="shared" si="305"/>
        <v>2.9878618113912231E-4</v>
      </c>
      <c r="G402" s="66">
        <f t="shared" si="305"/>
        <v>2.9878618113912231E-4</v>
      </c>
      <c r="H402" s="66">
        <f t="shared" si="305"/>
        <v>2.9878618113912231E-4</v>
      </c>
      <c r="I402" s="66">
        <f t="shared" si="305"/>
        <v>2.9878618113912231E-4</v>
      </c>
      <c r="J402" s="66">
        <f t="shared" si="305"/>
        <v>2.9878618113912231E-4</v>
      </c>
      <c r="K402" s="66">
        <f t="shared" si="305"/>
        <v>2.9878618113912231E-4</v>
      </c>
      <c r="L402" s="66">
        <f t="shared" si="305"/>
        <v>2.9878618113912231E-4</v>
      </c>
      <c r="M402" s="66">
        <f t="shared" si="305"/>
        <v>2.9878618113912231E-4</v>
      </c>
      <c r="N402" s="66">
        <f t="shared" si="305"/>
        <v>2.9878618113912231E-4</v>
      </c>
      <c r="O402" s="66">
        <f t="shared" si="305"/>
        <v>2.9878618113912231E-4</v>
      </c>
      <c r="P402" s="66">
        <f t="shared" si="305"/>
        <v>2.9878618113912231E-4</v>
      </c>
      <c r="Q402" s="66">
        <f t="shared" si="305"/>
        <v>2.9878618113912231E-4</v>
      </c>
      <c r="R402" s="66">
        <f t="shared" si="305"/>
        <v>2.9878618113912231E-4</v>
      </c>
      <c r="S402" s="66">
        <f t="shared" si="305"/>
        <v>2.9878618113912231E-4</v>
      </c>
      <c r="T402" s="66">
        <f t="shared" si="305"/>
        <v>2.9878618113912231E-4</v>
      </c>
      <c r="U402" s="66">
        <f t="shared" si="305"/>
        <v>2.9878618113912231E-4</v>
      </c>
      <c r="V402" s="66">
        <f t="shared" si="305"/>
        <v>2.9878618113912231E-4</v>
      </c>
      <c r="W402" s="66">
        <f t="shared" si="305"/>
        <v>2.9878618113912231E-4</v>
      </c>
      <c r="X402" s="66">
        <f t="shared" si="305"/>
        <v>2.9878618113912231E-4</v>
      </c>
      <c r="Y402" s="66">
        <f t="shared" si="305"/>
        <v>2.9878618113912231E-4</v>
      </c>
      <c r="Z402" s="66">
        <f t="shared" si="305"/>
        <v>2.9878618113912231E-4</v>
      </c>
      <c r="AA402" s="66">
        <f t="shared" si="305"/>
        <v>2.9878618113912231E-4</v>
      </c>
      <c r="AB402" s="66">
        <f t="shared" si="305"/>
        <v>2.9878618113912231E-4</v>
      </c>
      <c r="AC402" s="66">
        <f t="shared" si="305"/>
        <v>2.9878618113912231E-4</v>
      </c>
    </row>
    <row r="403" spans="1:29" x14ac:dyDescent="0.3">
      <c r="A403" s="30" t="str">
        <f t="shared" si="299"/>
        <v>Opex var (mode-fees)</v>
      </c>
      <c r="B403" s="66">
        <f>B361*B370/B370/(B367)</f>
        <v>8.6011184229469056E-5</v>
      </c>
      <c r="C403" s="66">
        <f t="shared" ref="C403:AC403" si="306">C361*C370/C370/(C367)</f>
        <v>8.6011184229469056E-5</v>
      </c>
      <c r="D403" s="66">
        <f t="shared" si="306"/>
        <v>8.6011184229469056E-5</v>
      </c>
      <c r="E403" s="66">
        <f t="shared" si="306"/>
        <v>8.6011184229469056E-5</v>
      </c>
      <c r="F403" s="66">
        <f t="shared" si="306"/>
        <v>8.6011184229469056E-5</v>
      </c>
      <c r="G403" s="66">
        <f t="shared" si="306"/>
        <v>8.6011184229469056E-5</v>
      </c>
      <c r="H403" s="66">
        <f t="shared" si="306"/>
        <v>8.6011184229469056E-5</v>
      </c>
      <c r="I403" s="66">
        <f t="shared" si="306"/>
        <v>8.6011184229469056E-5</v>
      </c>
      <c r="J403" s="66">
        <f t="shared" si="306"/>
        <v>8.6011184229469056E-5</v>
      </c>
      <c r="K403" s="66">
        <f t="shared" si="306"/>
        <v>8.6011184229469056E-5</v>
      </c>
      <c r="L403" s="66">
        <f t="shared" si="306"/>
        <v>8.6011184229469056E-5</v>
      </c>
      <c r="M403" s="66">
        <f t="shared" si="306"/>
        <v>8.6011184229469056E-5</v>
      </c>
      <c r="N403" s="66">
        <f t="shared" si="306"/>
        <v>8.6011184229469056E-5</v>
      </c>
      <c r="O403" s="66">
        <f t="shared" si="306"/>
        <v>8.6011184229469056E-5</v>
      </c>
      <c r="P403" s="66">
        <f t="shared" si="306"/>
        <v>8.6011184229469056E-5</v>
      </c>
      <c r="Q403" s="66">
        <f t="shared" si="306"/>
        <v>8.6011184229469056E-5</v>
      </c>
      <c r="R403" s="66">
        <f t="shared" si="306"/>
        <v>8.6011184229469056E-5</v>
      </c>
      <c r="S403" s="66">
        <f t="shared" si="306"/>
        <v>8.6011184229469056E-5</v>
      </c>
      <c r="T403" s="66">
        <f t="shared" si="306"/>
        <v>8.6011184229469056E-5</v>
      </c>
      <c r="U403" s="66">
        <f t="shared" si="306"/>
        <v>8.6011184229469056E-5</v>
      </c>
      <c r="V403" s="66">
        <f t="shared" si="306"/>
        <v>8.6011184229469056E-5</v>
      </c>
      <c r="W403" s="66">
        <f t="shared" si="306"/>
        <v>8.6011184229469056E-5</v>
      </c>
      <c r="X403" s="66">
        <f t="shared" si="306"/>
        <v>8.6011184229469056E-5</v>
      </c>
      <c r="Y403" s="66">
        <f t="shared" si="306"/>
        <v>8.6011184229469056E-5</v>
      </c>
      <c r="Z403" s="66">
        <f t="shared" si="306"/>
        <v>8.6011184229469056E-5</v>
      </c>
      <c r="AA403" s="66">
        <f t="shared" si="306"/>
        <v>8.6011184229469056E-5</v>
      </c>
      <c r="AB403" s="66">
        <f t="shared" si="306"/>
        <v>8.6011184229469056E-5</v>
      </c>
      <c r="AC403" s="66">
        <f t="shared" si="306"/>
        <v>8.6011184229469056E-5</v>
      </c>
    </row>
    <row r="404" spans="1:29" x14ac:dyDescent="0.3">
      <c r="A404" s="30" t="str">
        <f t="shared" si="299"/>
        <v>Fuel Cost</v>
      </c>
      <c r="B404" s="66">
        <f>B362*B363*B370/B370/(B367)</f>
        <v>1.3060247322593066E-2</v>
      </c>
      <c r="C404" s="66">
        <f t="shared" ref="C404:AC404" si="307">C362*C363*C370/C370/(C367)</f>
        <v>1.3052125461736537E-2</v>
      </c>
      <c r="D404" s="66">
        <f t="shared" si="307"/>
        <v>1.304050181217919E-2</v>
      </c>
      <c r="E404" s="66">
        <f t="shared" si="307"/>
        <v>1.3023878713792207E-2</v>
      </c>
      <c r="F404" s="66">
        <f t="shared" si="307"/>
        <v>1.3000131570088376E-2</v>
      </c>
      <c r="G404" s="66">
        <f t="shared" si="307"/>
        <v>1.2966261544737281E-2</v>
      </c>
      <c r="H404" s="66">
        <f t="shared" si="307"/>
        <v>1.2918067554056889E-2</v>
      </c>
      <c r="I404" s="66">
        <f t="shared" si="307"/>
        <v>1.2849730304982768E-2</v>
      </c>
      <c r="J404" s="66">
        <f t="shared" si="307"/>
        <v>1.2753324923298306E-2</v>
      </c>
      <c r="K404" s="66">
        <f t="shared" si="307"/>
        <v>1.2618334744968374E-2</v>
      </c>
      <c r="L404" s="66">
        <f t="shared" si="307"/>
        <v>1.2431350552515267E-2</v>
      </c>
      <c r="M404" s="66">
        <f t="shared" si="307"/>
        <v>1.2176327875562188E-2</v>
      </c>
      <c r="N404" s="66">
        <f t="shared" si="307"/>
        <v>1.1836019263036773E-2</v>
      </c>
      <c r="O404" s="66">
        <f t="shared" si="307"/>
        <v>1.1395345434975179E-2</v>
      </c>
      <c r="P404" s="66">
        <f t="shared" si="307"/>
        <v>1.0847121932462869E-2</v>
      </c>
      <c r="Q404" s="66">
        <f t="shared" si="307"/>
        <v>1.019917340983275E-2</v>
      </c>
      <c r="R404" s="66">
        <f t="shared" si="307"/>
        <v>9.4795062152304883E-3</v>
      </c>
      <c r="S404" s="66">
        <f t="shared" si="307"/>
        <v>8.7347468362743846E-3</v>
      </c>
      <c r="T404" s="66">
        <f t="shared" si="307"/>
        <v>8.0195879147078302E-3</v>
      </c>
      <c r="U404" s="66">
        <f t="shared" si="307"/>
        <v>7.3814295979463002E-3</v>
      </c>
      <c r="V404" s="66">
        <f t="shared" si="307"/>
        <v>6.8487242299392912E-3</v>
      </c>
      <c r="W404" s="66">
        <f t="shared" si="307"/>
        <v>6.4285084334747304E-3</v>
      </c>
      <c r="X404" s="66">
        <f t="shared" si="307"/>
        <v>6.1116853937533914E-3</v>
      </c>
      <c r="Y404" s="66">
        <f t="shared" si="307"/>
        <v>5.8809038442833445E-3</v>
      </c>
      <c r="Z404" s="66">
        <f t="shared" si="307"/>
        <v>5.7169938615705268E-3</v>
      </c>
      <c r="AA404" s="66">
        <f t="shared" si="307"/>
        <v>5.6026615934710441E-3</v>
      </c>
      <c r="AB404" s="66">
        <f t="shared" si="307"/>
        <v>5.5239131327296685E-3</v>
      </c>
      <c r="AC404" s="66">
        <f t="shared" si="307"/>
        <v>5.4701451293849941E-3</v>
      </c>
    </row>
    <row r="405" spans="1:29" x14ac:dyDescent="0.3">
      <c r="A405" s="59" t="str">
        <f>A368</f>
        <v>Market failure (av. utilization)</v>
      </c>
      <c r="B405" s="66">
        <f t="shared" ref="B405:AC405" si="308">B394/B368-B394/B367</f>
        <v>1.6149725145607221E-2</v>
      </c>
      <c r="C405" s="66">
        <f t="shared" si="308"/>
        <v>1.6140996040536933E-2</v>
      </c>
      <c r="D405" s="66">
        <f t="shared" si="308"/>
        <v>1.6128503031928192E-2</v>
      </c>
      <c r="E405" s="66">
        <f t="shared" si="308"/>
        <v>1.6110636044489333E-2</v>
      </c>
      <c r="F405" s="66">
        <f t="shared" si="308"/>
        <v>1.6085110680148305E-2</v>
      </c>
      <c r="G405" s="66">
        <f t="shared" si="308"/>
        <v>1.6048701875906183E-2</v>
      </c>
      <c r="H405" s="66">
        <f t="shared" si="308"/>
        <v>1.5996890267346627E-2</v>
      </c>
      <c r="I405" s="66">
        <f t="shared" si="308"/>
        <v>1.5923412938731087E-2</v>
      </c>
      <c r="J405" s="66">
        <f t="shared" si="308"/>
        <v>1.5819735381757044E-2</v>
      </c>
      <c r="K405" s="66">
        <f t="shared" si="308"/>
        <v>1.5674521034315252E-2</v>
      </c>
      <c r="L405" s="66">
        <f t="shared" si="308"/>
        <v>1.5473294038901377E-2</v>
      </c>
      <c r="M405" s="66">
        <f t="shared" si="308"/>
        <v>1.5198693025411145E-2</v>
      </c>
      <c r="N405" s="66">
        <f t="shared" si="308"/>
        <v>1.4831978538737993E-2</v>
      </c>
      <c r="O405" s="66">
        <f t="shared" si="308"/>
        <v>1.4356623395796235E-2</v>
      </c>
      <c r="P405" s="66">
        <f t="shared" si="308"/>
        <v>1.3764460690060629E-2</v>
      </c>
      <c r="Q405" s="66">
        <f t="shared" si="308"/>
        <v>1.306339799489145E-2</v>
      </c>
      <c r="R405" s="66">
        <f t="shared" si="308"/>
        <v>1.2283160264937278E-2</v>
      </c>
      <c r="S405" s="66">
        <f t="shared" si="308"/>
        <v>1.1473868964416368E-2</v>
      </c>
      <c r="T405" s="66">
        <f t="shared" si="308"/>
        <v>1.0694861910921555E-2</v>
      </c>
      <c r="U405" s="66">
        <f t="shared" si="308"/>
        <v>9.9980767932852828E-3</v>
      </c>
      <c r="V405" s="66">
        <f t="shared" si="308"/>
        <v>9.4151690195929724E-3</v>
      </c>
      <c r="W405" s="66">
        <f t="shared" si="308"/>
        <v>8.9544996633401479E-3</v>
      </c>
      <c r="X405" s="66">
        <f t="shared" si="308"/>
        <v>8.6066589477887829E-3</v>
      </c>
      <c r="Y405" s="66">
        <f t="shared" si="308"/>
        <v>8.3529942211597388E-3</v>
      </c>
      <c r="Z405" s="66">
        <f t="shared" si="308"/>
        <v>8.1726801375658284E-3</v>
      </c>
      <c r="AA405" s="66">
        <f t="shared" si="308"/>
        <v>8.0468296673549718E-3</v>
      </c>
      <c r="AB405" s="66">
        <f t="shared" si="308"/>
        <v>7.9601111400523384E-3</v>
      </c>
      <c r="AC405" s="66">
        <f t="shared" si="308"/>
        <v>7.9008839801519501E-3</v>
      </c>
    </row>
    <row r="406" spans="1:29" x14ac:dyDescent="0.3">
      <c r="A406" s="59" t="str">
        <f>A369</f>
        <v>Payload loss (fuel)</v>
      </c>
      <c r="B406" s="66">
        <f>B394/(B367-B369)-B394/B367</f>
        <v>1.8667438119986494E-3</v>
      </c>
      <c r="C406" s="66">
        <f t="shared" ref="C406:AC406" si="309">C394/(C367-C369)-C394/C367</f>
        <v>1.8653407302728596E-3</v>
      </c>
      <c r="D406" s="66">
        <f t="shared" si="309"/>
        <v>1.863333310849969E-3</v>
      </c>
      <c r="E406" s="66">
        <f t="shared" si="309"/>
        <v>1.8604637270468218E-3</v>
      </c>
      <c r="F406" s="66">
        <f t="shared" si="309"/>
        <v>1.8563668925640868E-3</v>
      </c>
      <c r="G406" s="66">
        <f t="shared" si="309"/>
        <v>1.8505288553376797E-3</v>
      </c>
      <c r="H406" s="66">
        <f t="shared" si="309"/>
        <v>1.8422323753694916E-3</v>
      </c>
      <c r="I406" s="66">
        <f t="shared" si="309"/>
        <v>1.8304894874185962E-3</v>
      </c>
      <c r="J406" s="66">
        <f t="shared" si="309"/>
        <v>1.8139658043314633E-3</v>
      </c>
      <c r="K406" s="66">
        <f t="shared" si="309"/>
        <v>1.790912252811281E-3</v>
      </c>
      <c r="L406" s="66">
        <f t="shared" si="309"/>
        <v>1.7591405915736921E-3</v>
      </c>
      <c r="M406" s="66">
        <f t="shared" si="309"/>
        <v>1.7161115644184627E-3</v>
      </c>
      <c r="N406" s="66">
        <f t="shared" si="309"/>
        <v>1.6592412102228084E-3</v>
      </c>
      <c r="O406" s="66">
        <f t="shared" si="309"/>
        <v>1.5865378359783723E-3</v>
      </c>
      <c r="P406" s="66">
        <f t="shared" si="309"/>
        <v>1.4975860129541954E-3</v>
      </c>
      <c r="Q406" s="66">
        <f t="shared" si="309"/>
        <v>1.3946197674324801E-3</v>
      </c>
      <c r="R406" s="66">
        <f t="shared" si="309"/>
        <v>1.283052798634032E-3</v>
      </c>
      <c r="S406" s="66">
        <f t="shared" si="309"/>
        <v>1.1707532963164142E-3</v>
      </c>
      <c r="T406" s="66">
        <f t="shared" si="309"/>
        <v>1.0660023666791557E-3</v>
      </c>
      <c r="U406" s="66">
        <f t="shared" si="309"/>
        <v>9.7513578180471495E-4</v>
      </c>
      <c r="V406" s="66">
        <f t="shared" si="309"/>
        <v>9.0120421164530291E-4</v>
      </c>
      <c r="W406" s="66">
        <f t="shared" si="309"/>
        <v>8.4413881602851855E-4</v>
      </c>
      <c r="X406" s="66">
        <f t="shared" si="309"/>
        <v>8.0185639660919523E-4</v>
      </c>
      <c r="Y406" s="66">
        <f t="shared" si="309"/>
        <v>7.714632139298877E-4</v>
      </c>
      <c r="Z406" s="66">
        <f t="shared" si="309"/>
        <v>7.5008663579112511E-4</v>
      </c>
      <c r="AA406" s="66">
        <f t="shared" si="309"/>
        <v>7.3527965387291949E-4</v>
      </c>
      <c r="AB406" s="66">
        <f t="shared" si="309"/>
        <v>7.2513092783559573E-4</v>
      </c>
      <c r="AC406" s="66">
        <f t="shared" si="309"/>
        <v>7.1822500101581012E-4</v>
      </c>
    </row>
    <row r="407" spans="1:29" ht="15" thickBot="1" x14ac:dyDescent="0.35">
      <c r="A407" s="59" t="str">
        <f>A344</f>
        <v>Emission Cost</v>
      </c>
      <c r="B407" s="68">
        <f>B364*B370/B370/(B367)</f>
        <v>2.5815196033431064E-4</v>
      </c>
      <c r="C407" s="68">
        <f t="shared" ref="C407:AC407" si="310">C364*C370/C370/(C367)</f>
        <v>2.5790613676891132E-4</v>
      </c>
      <c r="D407" s="68">
        <f t="shared" si="310"/>
        <v>2.5755424581032062E-4</v>
      </c>
      <c r="E407" s="68">
        <f t="shared" si="310"/>
        <v>2.5705084104797826E-4</v>
      </c>
      <c r="F407" s="68">
        <f t="shared" si="310"/>
        <v>2.5633136456081513E-4</v>
      </c>
      <c r="G407" s="68">
        <f t="shared" si="310"/>
        <v>2.5530451612831671E-4</v>
      </c>
      <c r="H407" s="68">
        <f t="shared" si="310"/>
        <v>2.538420320469436E-4</v>
      </c>
      <c r="I407" s="68">
        <f t="shared" si="310"/>
        <v>2.5176551430110213E-4</v>
      </c>
      <c r="J407" s="68">
        <f t="shared" si="310"/>
        <v>2.4883055600797026E-4</v>
      </c>
      <c r="K407" s="68">
        <f t="shared" si="310"/>
        <v>2.4470992751544701E-4</v>
      </c>
      <c r="L407" s="68">
        <f t="shared" si="310"/>
        <v>2.3898075807637687E-4</v>
      </c>
      <c r="M407" s="68">
        <f t="shared" si="310"/>
        <v>2.3112628110406671E-4</v>
      </c>
      <c r="N407" s="68">
        <f t="shared" si="310"/>
        <v>2.2057070570500738E-4</v>
      </c>
      <c r="O407" s="68">
        <f t="shared" si="310"/>
        <v>2.0677252947123894E-4</v>
      </c>
      <c r="P407" s="68">
        <f t="shared" si="310"/>
        <v>1.8939605869929403E-4</v>
      </c>
      <c r="Q407" s="68">
        <f t="shared" si="310"/>
        <v>1.685447925646317E-4</v>
      </c>
      <c r="R407" s="68">
        <f t="shared" si="310"/>
        <v>1.4496673016672632E-4</v>
      </c>
      <c r="S407" s="68">
        <f t="shared" si="310"/>
        <v>1.2007546643161339E-4</v>
      </c>
      <c r="T407" s="68">
        <f t="shared" si="310"/>
        <v>9.5674016209004522E-5</v>
      </c>
      <c r="U407" s="68">
        <f t="shared" si="310"/>
        <v>7.3460873802783661E-5</v>
      </c>
      <c r="V407" s="68">
        <f t="shared" si="310"/>
        <v>5.4582865969804057E-5</v>
      </c>
      <c r="W407" s="68">
        <f t="shared" si="310"/>
        <v>3.9464962555239501E-5</v>
      </c>
      <c r="X407" s="68">
        <f t="shared" si="310"/>
        <v>2.7929331269491062E-5</v>
      </c>
      <c r="Y407" s="68">
        <f t="shared" si="310"/>
        <v>1.9449717115499516E-5</v>
      </c>
      <c r="Z407" s="68">
        <f t="shared" si="310"/>
        <v>1.3386915667127335E-5</v>
      </c>
      <c r="AA407" s="68">
        <f t="shared" si="310"/>
        <v>9.1377872042174873E-6</v>
      </c>
      <c r="AB407" s="68">
        <f t="shared" si="310"/>
        <v>6.2013782645004512E-6</v>
      </c>
      <c r="AC407" s="68">
        <f t="shared" si="310"/>
        <v>4.1918473001819709E-6</v>
      </c>
    </row>
    <row r="408" spans="1:29" ht="15" thickBot="1" x14ac:dyDescent="0.35">
      <c r="A408" s="31" t="s">
        <v>210</v>
      </c>
      <c r="B408" s="67">
        <f>B397+B398+B399+B400+B401+B402+B403+B404+B405+B406+B407</f>
        <v>3.481156995880387E-2</v>
      </c>
      <c r="C408" s="67">
        <f t="shared" ref="C408:AC408" si="311">C397+C398+C399+C400+C401+C402+C403+C404+C405+C406+C407</f>
        <v>3.4792352376934628E-2</v>
      </c>
      <c r="D408" s="67">
        <f t="shared" si="311"/>
        <v>3.4764849021575533E-2</v>
      </c>
      <c r="E408" s="67">
        <f t="shared" si="311"/>
        <v>3.4725516198101242E-2</v>
      </c>
      <c r="F408" s="67">
        <f t="shared" si="311"/>
        <v>3.4669326783330713E-2</v>
      </c>
      <c r="G408" s="67">
        <f t="shared" si="311"/>
        <v>3.4589185063977512E-2</v>
      </c>
      <c r="H408" s="67">
        <f t="shared" si="311"/>
        <v>3.4475150607357175E-2</v>
      </c>
      <c r="I408" s="67">
        <f t="shared" si="311"/>
        <v>3.4313453987537823E-2</v>
      </c>
      <c r="J408" s="67">
        <f t="shared" si="311"/>
        <v>3.4085343453483255E-2</v>
      </c>
      <c r="K408" s="67">
        <f t="shared" si="311"/>
        <v>3.3765934090857375E-2</v>
      </c>
      <c r="L408" s="67">
        <f t="shared" si="311"/>
        <v>3.3323495092040453E-2</v>
      </c>
      <c r="M408" s="67">
        <f t="shared" si="311"/>
        <v>3.2720055833272504E-2</v>
      </c>
      <c r="N408" s="67">
        <f t="shared" si="311"/>
        <v>3.1914788567498978E-2</v>
      </c>
      <c r="O408" s="67">
        <f t="shared" si="311"/>
        <v>3.0871972656638717E-2</v>
      </c>
      <c r="P408" s="67">
        <f t="shared" si="311"/>
        <v>2.9574525515786779E-2</v>
      </c>
      <c r="Q408" s="67">
        <f t="shared" si="311"/>
        <v>2.8040819076042243E-2</v>
      </c>
      <c r="R408" s="67">
        <f t="shared" si="311"/>
        <v>2.6336930209378138E-2</v>
      </c>
      <c r="S408" s="67">
        <f t="shared" si="311"/>
        <v>2.4573015808038258E-2</v>
      </c>
      <c r="T408" s="67">
        <f t="shared" si="311"/>
        <v>2.2878454565146276E-2</v>
      </c>
      <c r="U408" s="67">
        <f t="shared" si="311"/>
        <v>2.1365577536116176E-2</v>
      </c>
      <c r="V408" s="67">
        <f t="shared" si="311"/>
        <v>2.0102038264543886E-2</v>
      </c>
      <c r="W408" s="67">
        <f t="shared" si="311"/>
        <v>1.9104831325553996E-2</v>
      </c>
      <c r="X408" s="67">
        <f t="shared" si="311"/>
        <v>1.8352669894805353E-2</v>
      </c>
      <c r="Y408" s="67">
        <f t="shared" si="311"/>
        <v>1.7804593596556565E-2</v>
      </c>
      <c r="Z408" s="67">
        <f t="shared" si="311"/>
        <v>1.7415229092715947E-2</v>
      </c>
      <c r="AA408" s="67">
        <f t="shared" si="311"/>
        <v>1.714358441648987E-2</v>
      </c>
      <c r="AB408" s="67">
        <f t="shared" si="311"/>
        <v>1.6956459104120643E-2</v>
      </c>
      <c r="AC408" s="67">
        <f t="shared" si="311"/>
        <v>1.6828681422402104E-2</v>
      </c>
    </row>
    <row r="410" spans="1:29" x14ac:dyDescent="0.3">
      <c r="B410" s="40"/>
    </row>
  </sheetData>
  <conditionalFormatting sqref="Q11:AR20 Q22:AR27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9677-50D1-4585-B806-139FD919656C}">
  <sheetPr>
    <tabColor theme="5"/>
  </sheetPr>
  <dimension ref="A1:AR410"/>
  <sheetViews>
    <sheetView zoomScale="70" zoomScaleNormal="70" workbookViewId="0">
      <selection activeCell="A341" sqref="A341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Input'!A141</f>
        <v>Short-sea: Dry bulk</v>
      </c>
    </row>
    <row r="2" spans="1:44" s="3" customFormat="1" ht="21" x14ac:dyDescent="0.4">
      <c r="A2" s="2" t="s">
        <v>186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Input'!$L$179</f>
        <v>30000000</v>
      </c>
      <c r="C11" s="42">
        <f>'Parameter Input'!$M$179</f>
        <v>18000000</v>
      </c>
      <c r="D11" s="1" t="s">
        <v>15</v>
      </c>
      <c r="L11" s="51">
        <f>'Parameter Input'!$O$179</f>
        <v>17</v>
      </c>
      <c r="M11" s="52">
        <v>0</v>
      </c>
      <c r="N11" s="52">
        <v>1</v>
      </c>
      <c r="O11" s="52">
        <f>'Parameter Input'!$P$179</f>
        <v>0.9</v>
      </c>
      <c r="P11" s="53">
        <f>'Parameter Input'!$Q$179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3">
      <c r="A12" s="24" t="s">
        <v>28</v>
      </c>
      <c r="B12" s="60">
        <f>'Parameter Input'!$L$180</f>
        <v>-1500000</v>
      </c>
      <c r="C12" s="61">
        <f>'Parameter Input'!$M$180</f>
        <v>-1800000</v>
      </c>
      <c r="D12" s="1" t="s">
        <v>15</v>
      </c>
      <c r="L12" s="54">
        <f>'Parameter Input'!$O$180</f>
        <v>17</v>
      </c>
      <c r="M12" s="37">
        <v>0</v>
      </c>
      <c r="N12" s="37">
        <v>1</v>
      </c>
      <c r="O12" s="37">
        <f>'Parameter Input'!$P$180</f>
        <v>0.9</v>
      </c>
      <c r="P12" s="55">
        <f>'Parameter Input'!$Q$180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3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3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3">
      <c r="A15" s="24" t="s">
        <v>79</v>
      </c>
      <c r="B15" s="92">
        <f>'Parameter Input'!$L$186</f>
        <v>0.06</v>
      </c>
      <c r="C15" s="91">
        <f>'Parameter Input'!$M$186</f>
        <v>0.06</v>
      </c>
      <c r="D15" s="1" t="s">
        <v>57</v>
      </c>
      <c r="L15" s="54">
        <f>'Parameter Input'!$O$186</f>
        <v>17</v>
      </c>
      <c r="M15" s="37">
        <v>0</v>
      </c>
      <c r="N15" s="37">
        <v>1</v>
      </c>
      <c r="O15" s="37">
        <f>'Parameter Input'!$P$186</f>
        <v>0.9</v>
      </c>
      <c r="P15" s="55">
        <f>'Parameter Input'!$Q$186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3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3">
      <c r="A17" s="24" t="s">
        <v>52</v>
      </c>
      <c r="B17" s="60">
        <f>'Parameter Input'!$L$182</f>
        <v>338823.5294117647</v>
      </c>
      <c r="C17" s="61">
        <f>'Parameter Input'!$M$182</f>
        <v>338823.5294117647</v>
      </c>
      <c r="D17" s="1" t="s">
        <v>38</v>
      </c>
      <c r="L17" s="54">
        <f>'Parameter Input'!$O$182</f>
        <v>17</v>
      </c>
      <c r="M17" s="37">
        <v>0</v>
      </c>
      <c r="N17" s="37">
        <v>1</v>
      </c>
      <c r="O17" s="37">
        <f>'Parameter Input'!$P$182</f>
        <v>0.9</v>
      </c>
      <c r="P17" s="55">
        <f>'Parameter Input'!$Q$182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3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3">
      <c r="A19" s="24" t="s">
        <v>59</v>
      </c>
      <c r="B19" s="60">
        <f>'Parameter Input'!$L$183</f>
        <v>589</v>
      </c>
      <c r="C19" s="61">
        <f>'Parameter Input'!$M$183</f>
        <v>519</v>
      </c>
      <c r="D19" s="1" t="s">
        <v>60</v>
      </c>
      <c r="L19" s="54">
        <f>'Parameter Input'!$O$183</f>
        <v>17</v>
      </c>
      <c r="M19" s="37">
        <v>0</v>
      </c>
      <c r="N19" s="37">
        <v>1</v>
      </c>
      <c r="O19" s="37">
        <f>'Parameter Input'!$P$183</f>
        <v>0.9</v>
      </c>
      <c r="P19" s="55">
        <f>'Parameter Input'!$Q$183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3">
      <c r="A20" s="24" t="s">
        <v>67</v>
      </c>
      <c r="B20" s="78">
        <f>'Parameter Input'!$L$184</f>
        <v>0.189409893251579</v>
      </c>
      <c r="C20" s="61">
        <f>'Parameter Input'!$M$184</f>
        <v>0.100822065784204</v>
      </c>
      <c r="D20" s="1" t="s">
        <v>68</v>
      </c>
      <c r="L20" s="54">
        <f>'Parameter Input'!$O$184</f>
        <v>17</v>
      </c>
      <c r="M20" s="37">
        <v>0</v>
      </c>
      <c r="N20" s="37">
        <v>1</v>
      </c>
      <c r="O20" s="37">
        <f>'Parameter Input'!$P$184</f>
        <v>0.9</v>
      </c>
      <c r="P20" s="55">
        <f>'Parameter Input'!$Q$184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3">
      <c r="A21" s="24" t="s">
        <v>206</v>
      </c>
      <c r="B21" s="115">
        <f>'Parameter Input'!$L$187</f>
        <v>2.4919230769230767</v>
      </c>
      <c r="C21" s="116">
        <f>'Parameter Input'!$M$187</f>
        <v>0</v>
      </c>
      <c r="D21" s="1" t="s">
        <v>76</v>
      </c>
      <c r="L21" s="54">
        <f>'Parameter Input'!$O$187</f>
        <v>17</v>
      </c>
      <c r="M21" s="37">
        <v>0</v>
      </c>
      <c r="N21" s="37">
        <v>1</v>
      </c>
      <c r="O21" s="37">
        <f>'Parameter Input'!$P$187</f>
        <v>0.9</v>
      </c>
      <c r="P21" s="55">
        <f>'Parameter Input'!$Q$187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60">
        <f>'Parameter Input'!$L$181</f>
        <v>25</v>
      </c>
      <c r="C22" s="61">
        <f>'Parameter Input'!$M$181</f>
        <v>25</v>
      </c>
      <c r="D22" s="1" t="s">
        <v>42</v>
      </c>
      <c r="L22" s="54">
        <f>'Parameter Input'!$O$181</f>
        <v>17</v>
      </c>
      <c r="M22" s="37">
        <v>0</v>
      </c>
      <c r="N22" s="37">
        <v>1</v>
      </c>
      <c r="O22" s="37">
        <f>'Parameter Input'!$P$181</f>
        <v>0.9</v>
      </c>
      <c r="P22" s="55">
        <f>'Parameter Input'!$Q$181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3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3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3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3">
      <c r="A26" s="24" t="s">
        <v>73</v>
      </c>
      <c r="B26" s="45">
        <f>'Parameter Input'!$L$185</f>
        <v>0.8</v>
      </c>
      <c r="C26" s="46">
        <f>'Parameter Input'!$M$185</f>
        <v>7.0000000000000007E-2</v>
      </c>
      <c r="D26" s="1" t="s">
        <v>57</v>
      </c>
      <c r="L26" s="54">
        <f>'Parameter Input'!$O$185</f>
        <v>17</v>
      </c>
      <c r="M26" s="37">
        <v>0</v>
      </c>
      <c r="N26" s="37">
        <v>1</v>
      </c>
      <c r="O26" s="37">
        <f>'Parameter Input'!$P$185</f>
        <v>0.9</v>
      </c>
      <c r="P26" s="55">
        <f>'Parameter Input'!$Q$185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" thickBot="1" x14ac:dyDescent="0.35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0" si="4">A11</f>
        <v>Capex vehicle</v>
      </c>
      <c r="B31" s="62">
        <f t="shared" ref="B31:B39" si="5">$B11+($C11-$B11)*(1-Q11)</f>
        <v>29973644.945217423</v>
      </c>
      <c r="C31" s="62">
        <f t="shared" ref="C31:C39" si="6">$B11+($C11-$B11)*(1-R11)</f>
        <v>29962243.117830768</v>
      </c>
      <c r="D31" s="62">
        <f t="shared" ref="D31:D39" si="7">$B11+($C11-$B11)*(1-S11)</f>
        <v>29945921.655881997</v>
      </c>
      <c r="E31" s="62">
        <f t="shared" ref="E31:E39" si="8">$B11+($C11-$B11)*(1-T11)</f>
        <v>29922572.656787768</v>
      </c>
      <c r="F31" s="62">
        <f t="shared" ref="F31:F39" si="9">$B11+($C11-$B11)*(1-U11)</f>
        <v>29889201.784869663</v>
      </c>
      <c r="G31" s="62">
        <f t="shared" ref="G31:G39" si="10">$B11+($C11-$B11)*(1-V11)</f>
        <v>29841574.338898048</v>
      </c>
      <c r="H31" s="62">
        <f t="shared" ref="H31:H39" si="11">$B11+($C11-$B11)*(1-W11)</f>
        <v>29773741.171542991</v>
      </c>
      <c r="I31" s="62">
        <f t="shared" ref="I31:I39" si="12">$B11+($C11-$B11)*(1-X11)</f>
        <v>29677427.797904644</v>
      </c>
      <c r="J31" s="62">
        <f t="shared" ref="J31:J39" si="13">$B11+($C11-$B11)*(1-Y11)</f>
        <v>29541298.099391133</v>
      </c>
      <c r="K31" s="62">
        <f t="shared" ref="K31:K39" si="14">$B11+($C11-$B11)*(1-Z11)</f>
        <v>29350174.458661363</v>
      </c>
      <c r="L31" s="62">
        <f t="shared" ref="L31:L39" si="15">$B11+($C11-$B11)*(1-AA11)</f>
        <v>29084443.218016978</v>
      </c>
      <c r="M31" s="62">
        <f t="shared" ref="M31:M39" si="16">$B11+($C11-$B11)*(1-AB11)</f>
        <v>28720135.628119014</v>
      </c>
      <c r="N31" s="62">
        <f t="shared" ref="N31:N39" si="17">$B11+($C11-$B11)*(1-AC11)</f>
        <v>28230545.26491924</v>
      </c>
      <c r="O31" s="62">
        <f t="shared" ref="O31:O39" si="18">$B11+($C11-$B11)*(1-AD11)</f>
        <v>27590556.078314867</v>
      </c>
      <c r="P31" s="62">
        <f t="shared" ref="P31:P39" si="19">$B11+($C11-$B11)*(1-AE11)</f>
        <v>26784597.869999204</v>
      </c>
      <c r="Q31" s="62">
        <f t="shared" ref="Q31:Q39" si="20">$B11+($C11-$B11)*(1-AF11)</f>
        <v>25817471.155054402</v>
      </c>
      <c r="R31" s="62">
        <f t="shared" ref="R31:R39" si="21">$B11+($C11-$B11)*(1-AG11)</f>
        <v>24723869.74570195</v>
      </c>
      <c r="S31" s="62">
        <f t="shared" ref="S31:S39" si="22">$B11+($C11-$B11)*(1-AH11)</f>
        <v>23569359.224782243</v>
      </c>
      <c r="T31" s="62">
        <f t="shared" ref="T31:T39" si="23">$B11+($C11-$B11)*(1-AI11)</f>
        <v>22437567.311462872</v>
      </c>
      <c r="U31" s="62">
        <f t="shared" ref="U31:U39" si="24">$B11+($C11-$B11)*(1-AJ11)</f>
        <v>21407273.836467743</v>
      </c>
      <c r="V31" s="62">
        <f t="shared" ref="V31:V39" si="25">$B11+($C11-$B11)*(1-AK11)</f>
        <v>20531671.099334128</v>
      </c>
      <c r="W31" s="62">
        <f t="shared" ref="W31:W39" si="26">$B11+($C11-$B11)*(1-AL11)</f>
        <v>19830470.118455783</v>
      </c>
      <c r="X31" s="62">
        <f t="shared" ref="X31:X39" si="27">$B11+($C11-$B11)*(1-AM11)</f>
        <v>19295422.648525201</v>
      </c>
      <c r="Y31" s="62">
        <f t="shared" ref="Y31:Y39" si="28">$B11+($C11-$B11)*(1-AN11)</f>
        <v>18902119.8472571</v>
      </c>
      <c r="Z31" s="62">
        <f t="shared" ref="Z31:Z39" si="29">$B11+($C11-$B11)*(1-AO11)</f>
        <v>18620914.034130026</v>
      </c>
      <c r="AA31" s="62">
        <f t="shared" ref="AA31:AA39" si="30">$B11+($C11-$B11)*(1-AP11)</f>
        <v>18423830.287504151</v>
      </c>
      <c r="AB31" s="62">
        <f t="shared" ref="AB31:AB39" si="31">$B11+($C11-$B11)*(1-AQ11)</f>
        <v>18287633.304871898</v>
      </c>
      <c r="AC31" s="62">
        <f t="shared" ref="AC31:AC39" si="32">$B11+($C11-$B11)*(1-AR11)</f>
        <v>18194426.922700677</v>
      </c>
    </row>
    <row r="32" spans="1:44" x14ac:dyDescent="0.3">
      <c r="A32" s="30" t="str">
        <f t="shared" si="4"/>
        <v>Residual value (vehicle)</v>
      </c>
      <c r="B32" s="62">
        <f t="shared" si="5"/>
        <v>-1500658.8763695643</v>
      </c>
      <c r="C32" s="62">
        <f t="shared" si="6"/>
        <v>-1500943.9220542307</v>
      </c>
      <c r="D32" s="62">
        <f t="shared" si="7"/>
        <v>-1501351.95860295</v>
      </c>
      <c r="E32" s="62">
        <f t="shared" si="8"/>
        <v>-1501935.6835803059</v>
      </c>
      <c r="F32" s="62">
        <f t="shared" si="9"/>
        <v>-1502769.9553782584</v>
      </c>
      <c r="G32" s="62">
        <f t="shared" si="10"/>
        <v>-1503960.6415275487</v>
      </c>
      <c r="H32" s="62">
        <f t="shared" si="11"/>
        <v>-1505656.4707114252</v>
      </c>
      <c r="I32" s="62">
        <f t="shared" si="12"/>
        <v>-1508064.3050523838</v>
      </c>
      <c r="J32" s="62">
        <f t="shared" si="13"/>
        <v>-1511467.5475152216</v>
      </c>
      <c r="K32" s="62">
        <f t="shared" si="14"/>
        <v>-1516245.6385334658</v>
      </c>
      <c r="L32" s="62">
        <f t="shared" si="15"/>
        <v>-1522888.9195495755</v>
      </c>
      <c r="M32" s="62">
        <f t="shared" si="16"/>
        <v>-1531996.6092970246</v>
      </c>
      <c r="N32" s="62">
        <f t="shared" si="17"/>
        <v>-1544236.368377019</v>
      </c>
      <c r="O32" s="62">
        <f t="shared" si="18"/>
        <v>-1560236.0980421284</v>
      </c>
      <c r="P32" s="62">
        <f t="shared" si="19"/>
        <v>-1580385.0532500199</v>
      </c>
      <c r="Q32" s="62">
        <f t="shared" si="20"/>
        <v>-1604563.22112364</v>
      </c>
      <c r="R32" s="62">
        <f t="shared" si="21"/>
        <v>-1631903.2563574512</v>
      </c>
      <c r="S32" s="62">
        <f t="shared" si="22"/>
        <v>-1660766.019380444</v>
      </c>
      <c r="T32" s="62">
        <f t="shared" si="23"/>
        <v>-1689060.8172134282</v>
      </c>
      <c r="U32" s="62">
        <f t="shared" si="24"/>
        <v>-1714818.1540883065</v>
      </c>
      <c r="V32" s="62">
        <f t="shared" si="25"/>
        <v>-1736708.2225166468</v>
      </c>
      <c r="W32" s="62">
        <f t="shared" si="26"/>
        <v>-1754238.2470386054</v>
      </c>
      <c r="X32" s="62">
        <f t="shared" si="27"/>
        <v>-1767614.43378687</v>
      </c>
      <c r="Y32" s="62">
        <f t="shared" si="28"/>
        <v>-1777447.0038185725</v>
      </c>
      <c r="Z32" s="62">
        <f t="shared" si="29"/>
        <v>-1784477.1491467494</v>
      </c>
      <c r="AA32" s="62">
        <f t="shared" si="30"/>
        <v>-1789404.2428123963</v>
      </c>
      <c r="AB32" s="62">
        <f t="shared" si="31"/>
        <v>-1792809.1673782025</v>
      </c>
      <c r="AC32" s="62">
        <f t="shared" si="32"/>
        <v>-1795139.3269324831</v>
      </c>
    </row>
    <row r="33" spans="1:29" x14ac:dyDescent="0.3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3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3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3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3">
      <c r="A37" s="30" t="str">
        <f t="shared" si="4"/>
        <v>Opex maintenance &amp; repair</v>
      </c>
      <c r="B37" s="62">
        <f t="shared" si="5"/>
        <v>338823.5294117647</v>
      </c>
      <c r="C37" s="62">
        <f t="shared" si="6"/>
        <v>338823.5294117647</v>
      </c>
      <c r="D37" s="62">
        <f t="shared" si="7"/>
        <v>338823.5294117647</v>
      </c>
      <c r="E37" s="62">
        <f t="shared" si="8"/>
        <v>338823.5294117647</v>
      </c>
      <c r="F37" s="62">
        <f t="shared" si="9"/>
        <v>338823.5294117647</v>
      </c>
      <c r="G37" s="62">
        <f t="shared" si="10"/>
        <v>338823.5294117647</v>
      </c>
      <c r="H37" s="62">
        <f t="shared" si="11"/>
        <v>338823.5294117647</v>
      </c>
      <c r="I37" s="62">
        <f t="shared" si="12"/>
        <v>338823.5294117647</v>
      </c>
      <c r="J37" s="62">
        <f t="shared" si="13"/>
        <v>338823.5294117647</v>
      </c>
      <c r="K37" s="62">
        <f t="shared" si="14"/>
        <v>338823.5294117647</v>
      </c>
      <c r="L37" s="62">
        <f t="shared" si="15"/>
        <v>338823.5294117647</v>
      </c>
      <c r="M37" s="62">
        <f t="shared" si="16"/>
        <v>338823.5294117647</v>
      </c>
      <c r="N37" s="62">
        <f t="shared" si="17"/>
        <v>338823.5294117647</v>
      </c>
      <c r="O37" s="62">
        <f t="shared" si="18"/>
        <v>338823.5294117647</v>
      </c>
      <c r="P37" s="62">
        <f t="shared" si="19"/>
        <v>338823.5294117647</v>
      </c>
      <c r="Q37" s="62">
        <f t="shared" si="20"/>
        <v>338823.5294117647</v>
      </c>
      <c r="R37" s="62">
        <f t="shared" si="21"/>
        <v>338823.5294117647</v>
      </c>
      <c r="S37" s="62">
        <f t="shared" si="22"/>
        <v>338823.5294117647</v>
      </c>
      <c r="T37" s="62">
        <f t="shared" si="23"/>
        <v>338823.5294117647</v>
      </c>
      <c r="U37" s="62">
        <f t="shared" si="24"/>
        <v>338823.5294117647</v>
      </c>
      <c r="V37" s="62">
        <f t="shared" si="25"/>
        <v>338823.5294117647</v>
      </c>
      <c r="W37" s="62">
        <f t="shared" si="26"/>
        <v>338823.5294117647</v>
      </c>
      <c r="X37" s="62">
        <f t="shared" si="27"/>
        <v>338823.5294117647</v>
      </c>
      <c r="Y37" s="62">
        <f t="shared" si="28"/>
        <v>338823.5294117647</v>
      </c>
      <c r="Z37" s="62">
        <f t="shared" si="29"/>
        <v>338823.5294117647</v>
      </c>
      <c r="AA37" s="62">
        <f t="shared" si="30"/>
        <v>338823.5294117647</v>
      </c>
      <c r="AB37" s="62">
        <f t="shared" si="31"/>
        <v>338823.5294117647</v>
      </c>
      <c r="AC37" s="62">
        <f t="shared" si="32"/>
        <v>338823.5294117647</v>
      </c>
    </row>
    <row r="38" spans="1:29" x14ac:dyDescent="0.3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3">
      <c r="A39" s="30" t="str">
        <f t="shared" si="4"/>
        <v>Fuel Economy</v>
      </c>
      <c r="B39" s="62">
        <f t="shared" si="5"/>
        <v>588.84626218043502</v>
      </c>
      <c r="C39" s="62">
        <f t="shared" si="6"/>
        <v>588.7797515206795</v>
      </c>
      <c r="D39" s="62">
        <f t="shared" si="7"/>
        <v>588.68454299264499</v>
      </c>
      <c r="E39" s="62">
        <f t="shared" si="8"/>
        <v>588.54834049792862</v>
      </c>
      <c r="F39" s="62">
        <f t="shared" si="9"/>
        <v>588.35367707840635</v>
      </c>
      <c r="G39" s="62">
        <f t="shared" si="10"/>
        <v>588.07585031023859</v>
      </c>
      <c r="H39" s="62">
        <f t="shared" si="11"/>
        <v>587.68015683400074</v>
      </c>
      <c r="I39" s="62">
        <f t="shared" si="12"/>
        <v>587.11832882111048</v>
      </c>
      <c r="J39" s="62">
        <f t="shared" si="13"/>
        <v>586.32423891311498</v>
      </c>
      <c r="K39" s="62">
        <f t="shared" si="14"/>
        <v>585.20935100885799</v>
      </c>
      <c r="L39" s="62">
        <f t="shared" si="15"/>
        <v>583.65925210509909</v>
      </c>
      <c r="M39" s="62">
        <f t="shared" si="16"/>
        <v>581.53412449736095</v>
      </c>
      <c r="N39" s="62">
        <f t="shared" si="17"/>
        <v>578.67818071202885</v>
      </c>
      <c r="O39" s="62">
        <f t="shared" si="18"/>
        <v>574.94491045683674</v>
      </c>
      <c r="P39" s="62">
        <f t="shared" si="19"/>
        <v>570.24348757499536</v>
      </c>
      <c r="Q39" s="62">
        <f t="shared" si="20"/>
        <v>564.60191507115064</v>
      </c>
      <c r="R39" s="62">
        <f t="shared" si="21"/>
        <v>558.22257351659471</v>
      </c>
      <c r="S39" s="62">
        <f t="shared" si="22"/>
        <v>551.48792881122972</v>
      </c>
      <c r="T39" s="62">
        <f t="shared" si="23"/>
        <v>544.8858093168667</v>
      </c>
      <c r="U39" s="62">
        <f t="shared" si="24"/>
        <v>538.87576404606182</v>
      </c>
      <c r="V39" s="62">
        <f t="shared" si="25"/>
        <v>533.76808141278241</v>
      </c>
      <c r="W39" s="62">
        <f t="shared" si="26"/>
        <v>529.67774235765876</v>
      </c>
      <c r="X39" s="62">
        <f t="shared" si="27"/>
        <v>526.55663211639694</v>
      </c>
      <c r="Y39" s="62">
        <f t="shared" si="28"/>
        <v>524.26236577566647</v>
      </c>
      <c r="Z39" s="62">
        <f t="shared" si="29"/>
        <v>522.6219985324251</v>
      </c>
      <c r="AA39" s="62">
        <f t="shared" si="30"/>
        <v>521.47234334377424</v>
      </c>
      <c r="AB39" s="62">
        <f t="shared" si="31"/>
        <v>520.67786094508608</v>
      </c>
      <c r="AC39" s="62">
        <f t="shared" si="32"/>
        <v>520.13415704908732</v>
      </c>
    </row>
    <row r="40" spans="1:29" x14ac:dyDescent="0.3">
      <c r="A40" s="30" t="str">
        <f t="shared" si="4"/>
        <v>Fuel Cost</v>
      </c>
      <c r="B40" s="62">
        <f>$B20+($C20-$B20)*(1-Q20)</f>
        <v>0.18921533183108133</v>
      </c>
      <c r="C40" s="62">
        <f>$B20+($C20-$B20)*(1-R20)</f>
        <v>0.18913115990463616</v>
      </c>
      <c r="D40" s="62">
        <f>$B20+($C20-$B20)*(1-S20)</f>
        <v>0.18901066966670843</v>
      </c>
      <c r="E40" s="62">
        <f t="shared" ref="E40:AC40" si="33">$B20+($C20-$B20)*(1-T20)</f>
        <v>0.18883829990810047</v>
      </c>
      <c r="F40" s="62">
        <f t="shared" si="33"/>
        <v>0.18859194548777405</v>
      </c>
      <c r="G40" s="62">
        <f t="shared" si="33"/>
        <v>0.18824034449057031</v>
      </c>
      <c r="H40" s="62">
        <f t="shared" si="33"/>
        <v>0.18773957841338568</v>
      </c>
      <c r="I40" s="62">
        <f t="shared" si="33"/>
        <v>0.18702856236949611</v>
      </c>
      <c r="J40" s="62">
        <f t="shared" si="33"/>
        <v>0.18602360951573774</v>
      </c>
      <c r="K40" s="62">
        <f t="shared" si="33"/>
        <v>0.18461267383991228</v>
      </c>
      <c r="L40" s="62">
        <f t="shared" si="33"/>
        <v>0.18265096106500425</v>
      </c>
      <c r="M40" s="62">
        <f t="shared" si="33"/>
        <v>0.17996152623842626</v>
      </c>
      <c r="N40" s="62">
        <f t="shared" si="33"/>
        <v>0.17634721401969033</v>
      </c>
      <c r="O40" s="62">
        <f t="shared" si="33"/>
        <v>0.17162260971603249</v>
      </c>
      <c r="P40" s="62">
        <f t="shared" si="33"/>
        <v>0.16567276915735063</v>
      </c>
      <c r="Q40" s="62">
        <f t="shared" si="33"/>
        <v>0.15853313127713237</v>
      </c>
      <c r="R40" s="62">
        <f t="shared" si="33"/>
        <v>0.1504598168629829</v>
      </c>
      <c r="S40" s="62">
        <f t="shared" si="33"/>
        <v>0.14193685195994088</v>
      </c>
      <c r="T40" s="62">
        <f t="shared" si="33"/>
        <v>0.13358160306443201</v>
      </c>
      <c r="U40" s="62">
        <f t="shared" si="33"/>
        <v>0.12597564801412947</v>
      </c>
      <c r="V40" s="62">
        <f t="shared" si="33"/>
        <v>0.11951166933019994</v>
      </c>
      <c r="W40" s="62">
        <f t="shared" si="33"/>
        <v>0.1143351800373662</v>
      </c>
      <c r="X40" s="62">
        <f t="shared" si="33"/>
        <v>0.11038528895794403</v>
      </c>
      <c r="Y40" s="62">
        <f t="shared" si="33"/>
        <v>0.10748180223284623</v>
      </c>
      <c r="Z40" s="62">
        <f t="shared" si="33"/>
        <v>0.10540585122816921</v>
      </c>
      <c r="AA40" s="62">
        <f t="shared" si="33"/>
        <v>0.10395091614960947</v>
      </c>
      <c r="AB40" s="62">
        <f t="shared" si="33"/>
        <v>0.10294546658302588</v>
      </c>
      <c r="AC40" s="62">
        <f t="shared" si="33"/>
        <v>0.10225738734113901</v>
      </c>
    </row>
    <row r="41" spans="1:29" x14ac:dyDescent="0.3">
      <c r="A41" s="30" t="str">
        <f t="shared" ref="A41" si="34">A21</f>
        <v>Emission Cost</v>
      </c>
      <c r="B41" s="66">
        <f>$B21+($C21-$B21)*(1-Q21)</f>
        <v>2.4864501794892204</v>
      </c>
      <c r="C41" s="66">
        <f t="shared" ref="C41:AC41" si="35">$B21+($C21-$B21)*(1-R21)</f>
        <v>2.4840824730905622</v>
      </c>
      <c r="D41" s="66">
        <f t="shared" si="35"/>
        <v>2.4806931541172901</v>
      </c>
      <c r="E41" s="66">
        <f t="shared" si="35"/>
        <v>2.4758444949784595</v>
      </c>
      <c r="F41" s="66">
        <f t="shared" si="35"/>
        <v>2.4689146911593123</v>
      </c>
      <c r="G41" s="66">
        <f t="shared" si="35"/>
        <v>2.4590243635166811</v>
      </c>
      <c r="H41" s="66">
        <f t="shared" si="35"/>
        <v>2.4449381105906096</v>
      </c>
      <c r="I41" s="66">
        <f t="shared" si="35"/>
        <v>2.4249376507251341</v>
      </c>
      <c r="J41" s="66">
        <f t="shared" si="35"/>
        <v>2.3966689226267675</v>
      </c>
      <c r="K41" s="66">
        <f t="shared" si="35"/>
        <v>2.3569801383867617</v>
      </c>
      <c r="L41" s="66">
        <f t="shared" si="35"/>
        <v>2.3017983208183335</v>
      </c>
      <c r="M41" s="66">
        <f t="shared" si="35"/>
        <v>2.2261461132879194</v>
      </c>
      <c r="N41" s="66">
        <f t="shared" si="35"/>
        <v>2.1244776529298637</v>
      </c>
      <c r="O41" s="66">
        <f t="shared" si="35"/>
        <v>1.991577334339808</v>
      </c>
      <c r="P41" s="66">
        <f t="shared" si="35"/>
        <v>1.824211846145027</v>
      </c>
      <c r="Q41" s="66">
        <f t="shared" si="35"/>
        <v>1.6233780645383806</v>
      </c>
      <c r="R41" s="66">
        <f t="shared" si="35"/>
        <v>1.396280515461632</v>
      </c>
      <c r="S41" s="66">
        <f t="shared" si="35"/>
        <v>1.156534564659107</v>
      </c>
      <c r="T41" s="66">
        <f t="shared" si="35"/>
        <v>0.92150636573615219</v>
      </c>
      <c r="U41" s="66">
        <f t="shared" si="35"/>
        <v>0.70755535854084983</v>
      </c>
      <c r="V41" s="66">
        <f t="shared" si="35"/>
        <v>0.52572746963416073</v>
      </c>
      <c r="W41" s="66">
        <f t="shared" si="35"/>
        <v>0.38011589414984037</v>
      </c>
      <c r="X41" s="66">
        <f t="shared" si="35"/>
        <v>0.26900779935239649</v>
      </c>
      <c r="Y41" s="66">
        <f t="shared" si="35"/>
        <v>0.18733443879419109</v>
      </c>
      <c r="Z41" s="66">
        <f t="shared" si="35"/>
        <v>0.12893916753616796</v>
      </c>
      <c r="AA41" s="66">
        <f t="shared" si="35"/>
        <v>8.8012706177544864E-2</v>
      </c>
      <c r="AB41" s="66">
        <f t="shared" si="35"/>
        <v>5.9730005841827971E-2</v>
      </c>
      <c r="AC41" s="66">
        <f t="shared" si="35"/>
        <v>4.0374744621079817E-2</v>
      </c>
    </row>
    <row r="42" spans="1:29" x14ac:dyDescent="0.3">
      <c r="A42" s="30" t="str">
        <f>A22</f>
        <v>Lifetime vehicle</v>
      </c>
      <c r="B42" s="62">
        <f>$B22+($C22-$B22)*(1-Q22)</f>
        <v>25</v>
      </c>
      <c r="C42" s="62">
        <f t="shared" ref="C42:L44" si="36">$B22+($C22-$B22)*(1-R22)</f>
        <v>25</v>
      </c>
      <c r="D42" s="62">
        <f t="shared" si="36"/>
        <v>25</v>
      </c>
      <c r="E42" s="62">
        <f t="shared" si="36"/>
        <v>25</v>
      </c>
      <c r="F42" s="62">
        <f t="shared" si="36"/>
        <v>25</v>
      </c>
      <c r="G42" s="62">
        <f t="shared" si="36"/>
        <v>25</v>
      </c>
      <c r="H42" s="62">
        <f t="shared" si="36"/>
        <v>25</v>
      </c>
      <c r="I42" s="62">
        <f t="shared" si="36"/>
        <v>25</v>
      </c>
      <c r="J42" s="62">
        <f t="shared" si="36"/>
        <v>25</v>
      </c>
      <c r="K42" s="62">
        <f t="shared" si="36"/>
        <v>25</v>
      </c>
      <c r="L42" s="62">
        <f t="shared" si="36"/>
        <v>25</v>
      </c>
      <c r="M42" s="62">
        <f t="shared" ref="M42:V44" si="37">$B22+($C22-$B22)*(1-AB22)</f>
        <v>25</v>
      </c>
      <c r="N42" s="62">
        <f t="shared" si="37"/>
        <v>25</v>
      </c>
      <c r="O42" s="62">
        <f t="shared" si="37"/>
        <v>25</v>
      </c>
      <c r="P42" s="62">
        <f t="shared" si="37"/>
        <v>25</v>
      </c>
      <c r="Q42" s="62">
        <f t="shared" si="37"/>
        <v>25</v>
      </c>
      <c r="R42" s="62">
        <f t="shared" si="37"/>
        <v>25</v>
      </c>
      <c r="S42" s="62">
        <f t="shared" si="37"/>
        <v>25</v>
      </c>
      <c r="T42" s="62">
        <f t="shared" si="37"/>
        <v>25</v>
      </c>
      <c r="U42" s="62">
        <f t="shared" si="37"/>
        <v>25</v>
      </c>
      <c r="V42" s="62">
        <f t="shared" si="37"/>
        <v>25</v>
      </c>
      <c r="W42" s="62">
        <f t="shared" ref="W42:AC44" si="38">$B22+($C22-$B22)*(1-AL22)</f>
        <v>25</v>
      </c>
      <c r="X42" s="62">
        <f t="shared" si="38"/>
        <v>25</v>
      </c>
      <c r="Y42" s="62">
        <f t="shared" si="38"/>
        <v>25</v>
      </c>
      <c r="Z42" s="62">
        <f t="shared" si="38"/>
        <v>25</v>
      </c>
      <c r="AA42" s="62">
        <f t="shared" si="38"/>
        <v>25</v>
      </c>
      <c r="AB42" s="62">
        <f t="shared" si="38"/>
        <v>25</v>
      </c>
      <c r="AC42" s="62">
        <f t="shared" si="38"/>
        <v>25</v>
      </c>
    </row>
    <row r="43" spans="1:29" x14ac:dyDescent="0.3">
      <c r="A43" s="30" t="str">
        <f>A23</f>
        <v>Lifetime costumization</v>
      </c>
      <c r="B43" s="62">
        <f>$B23+($C23-$B23)*(1-Q23)</f>
        <v>25</v>
      </c>
      <c r="C43" s="62">
        <f t="shared" si="36"/>
        <v>25</v>
      </c>
      <c r="D43" s="62">
        <f t="shared" si="36"/>
        <v>25</v>
      </c>
      <c r="E43" s="62">
        <f t="shared" si="36"/>
        <v>25</v>
      </c>
      <c r="F43" s="62">
        <f t="shared" si="36"/>
        <v>25</v>
      </c>
      <c r="G43" s="62">
        <f t="shared" si="36"/>
        <v>25</v>
      </c>
      <c r="H43" s="62">
        <f t="shared" si="36"/>
        <v>25</v>
      </c>
      <c r="I43" s="62">
        <f t="shared" si="36"/>
        <v>25</v>
      </c>
      <c r="J43" s="62">
        <f t="shared" si="36"/>
        <v>25</v>
      </c>
      <c r="K43" s="62">
        <f t="shared" si="36"/>
        <v>25</v>
      </c>
      <c r="L43" s="62">
        <f t="shared" si="36"/>
        <v>25</v>
      </c>
      <c r="M43" s="62">
        <f t="shared" si="37"/>
        <v>25</v>
      </c>
      <c r="N43" s="62">
        <f t="shared" si="37"/>
        <v>25</v>
      </c>
      <c r="O43" s="62">
        <f t="shared" si="37"/>
        <v>25</v>
      </c>
      <c r="P43" s="62">
        <f t="shared" si="37"/>
        <v>25</v>
      </c>
      <c r="Q43" s="62">
        <f t="shared" si="37"/>
        <v>25</v>
      </c>
      <c r="R43" s="62">
        <f t="shared" si="37"/>
        <v>25</v>
      </c>
      <c r="S43" s="62">
        <f t="shared" si="37"/>
        <v>25</v>
      </c>
      <c r="T43" s="62">
        <f t="shared" si="37"/>
        <v>25</v>
      </c>
      <c r="U43" s="62">
        <f t="shared" si="37"/>
        <v>25</v>
      </c>
      <c r="V43" s="62">
        <f t="shared" si="37"/>
        <v>25</v>
      </c>
      <c r="W43" s="62">
        <f t="shared" si="38"/>
        <v>25</v>
      </c>
      <c r="X43" s="62">
        <f t="shared" si="38"/>
        <v>25</v>
      </c>
      <c r="Y43" s="62">
        <f t="shared" si="38"/>
        <v>25</v>
      </c>
      <c r="Z43" s="62">
        <f t="shared" si="38"/>
        <v>25</v>
      </c>
      <c r="AA43" s="62">
        <f t="shared" si="38"/>
        <v>25</v>
      </c>
      <c r="AB43" s="62">
        <f t="shared" si="38"/>
        <v>25</v>
      </c>
      <c r="AC43" s="62">
        <f t="shared" si="38"/>
        <v>25</v>
      </c>
    </row>
    <row r="44" spans="1:29" x14ac:dyDescent="0.3">
      <c r="A44" s="30" t="str">
        <f>A24</f>
        <v>Tonnage .</v>
      </c>
      <c r="B44" s="62">
        <f>$B24+($C24-$B24)*(1-Q24)</f>
        <v>9450</v>
      </c>
      <c r="C44" s="62">
        <f t="shared" si="36"/>
        <v>9450</v>
      </c>
      <c r="D44" s="62">
        <f t="shared" si="36"/>
        <v>9450</v>
      </c>
      <c r="E44" s="62">
        <f t="shared" si="36"/>
        <v>9450</v>
      </c>
      <c r="F44" s="62">
        <f t="shared" si="36"/>
        <v>9450</v>
      </c>
      <c r="G44" s="62">
        <f t="shared" si="36"/>
        <v>9450</v>
      </c>
      <c r="H44" s="62">
        <f t="shared" si="36"/>
        <v>9450</v>
      </c>
      <c r="I44" s="62">
        <f t="shared" si="36"/>
        <v>9450</v>
      </c>
      <c r="J44" s="62">
        <f t="shared" si="36"/>
        <v>9450</v>
      </c>
      <c r="K44" s="62">
        <f t="shared" si="36"/>
        <v>9450</v>
      </c>
      <c r="L44" s="62">
        <f t="shared" si="36"/>
        <v>9450</v>
      </c>
      <c r="M44" s="62">
        <f t="shared" si="37"/>
        <v>9450</v>
      </c>
      <c r="N44" s="62">
        <f t="shared" si="37"/>
        <v>9450</v>
      </c>
      <c r="O44" s="62">
        <f t="shared" si="37"/>
        <v>9450</v>
      </c>
      <c r="P44" s="62">
        <f t="shared" si="37"/>
        <v>9450</v>
      </c>
      <c r="Q44" s="62">
        <f t="shared" si="37"/>
        <v>9450</v>
      </c>
      <c r="R44" s="62">
        <f t="shared" si="37"/>
        <v>9450</v>
      </c>
      <c r="S44" s="62">
        <f t="shared" si="37"/>
        <v>9450</v>
      </c>
      <c r="T44" s="62">
        <f t="shared" si="37"/>
        <v>9450</v>
      </c>
      <c r="U44" s="62">
        <f t="shared" si="37"/>
        <v>9450</v>
      </c>
      <c r="V44" s="62">
        <f t="shared" si="37"/>
        <v>9450</v>
      </c>
      <c r="W44" s="62">
        <f t="shared" si="38"/>
        <v>9450</v>
      </c>
      <c r="X44" s="62">
        <f t="shared" si="38"/>
        <v>9450</v>
      </c>
      <c r="Y44" s="62">
        <f t="shared" si="38"/>
        <v>9450</v>
      </c>
      <c r="Z44" s="62">
        <f t="shared" si="38"/>
        <v>9450</v>
      </c>
      <c r="AA44" s="62">
        <f t="shared" si="38"/>
        <v>9450</v>
      </c>
      <c r="AB44" s="62">
        <f t="shared" si="38"/>
        <v>9450</v>
      </c>
      <c r="AC44" s="62">
        <f t="shared" si="38"/>
        <v>9450</v>
      </c>
    </row>
    <row r="45" spans="1:29" x14ac:dyDescent="0.3">
      <c r="A45" s="30" t="str">
        <f>A25</f>
        <v>Market failure (av. utilization)</v>
      </c>
      <c r="B45" s="62">
        <f t="shared" ref="B45:K46" si="39">($B25+($C25-$B25)*(1-Q25))*B$44</f>
        <v>4819.5</v>
      </c>
      <c r="C45" s="62">
        <f t="shared" si="39"/>
        <v>4819.5</v>
      </c>
      <c r="D45" s="62">
        <f t="shared" si="39"/>
        <v>4819.5</v>
      </c>
      <c r="E45" s="62">
        <f t="shared" si="39"/>
        <v>4819.5</v>
      </c>
      <c r="F45" s="62">
        <f t="shared" si="39"/>
        <v>4819.5</v>
      </c>
      <c r="G45" s="62">
        <f t="shared" si="39"/>
        <v>4819.5</v>
      </c>
      <c r="H45" s="62">
        <f t="shared" si="39"/>
        <v>4819.5</v>
      </c>
      <c r="I45" s="62">
        <f t="shared" si="39"/>
        <v>4819.5</v>
      </c>
      <c r="J45" s="62">
        <f t="shared" si="39"/>
        <v>4819.5</v>
      </c>
      <c r="K45" s="62">
        <f t="shared" si="39"/>
        <v>4819.5</v>
      </c>
      <c r="L45" s="62">
        <f t="shared" ref="L45:U46" si="40">($B25+($C25-$B25)*(1-AA25))*L$44</f>
        <v>4819.5</v>
      </c>
      <c r="M45" s="62">
        <f t="shared" si="40"/>
        <v>4819.5</v>
      </c>
      <c r="N45" s="62">
        <f t="shared" si="40"/>
        <v>4819.5</v>
      </c>
      <c r="O45" s="62">
        <f t="shared" si="40"/>
        <v>4819.5</v>
      </c>
      <c r="P45" s="62">
        <f t="shared" si="40"/>
        <v>4819.5</v>
      </c>
      <c r="Q45" s="62">
        <f t="shared" si="40"/>
        <v>4819.5</v>
      </c>
      <c r="R45" s="62">
        <f t="shared" si="40"/>
        <v>4819.5</v>
      </c>
      <c r="S45" s="62">
        <f t="shared" si="40"/>
        <v>4819.5</v>
      </c>
      <c r="T45" s="62">
        <f t="shared" si="40"/>
        <v>4819.5</v>
      </c>
      <c r="U45" s="62">
        <f t="shared" si="40"/>
        <v>4819.5</v>
      </c>
      <c r="V45" s="62">
        <f t="shared" ref="V45:AC46" si="41">($B25+($C25-$B25)*(1-AK25))*V$44</f>
        <v>4819.5</v>
      </c>
      <c r="W45" s="62">
        <f t="shared" si="41"/>
        <v>4819.5</v>
      </c>
      <c r="X45" s="62">
        <f t="shared" si="41"/>
        <v>4819.5</v>
      </c>
      <c r="Y45" s="62">
        <f t="shared" si="41"/>
        <v>4819.5</v>
      </c>
      <c r="Z45" s="62">
        <f t="shared" si="41"/>
        <v>4819.5</v>
      </c>
      <c r="AA45" s="62">
        <f t="shared" si="41"/>
        <v>4819.5</v>
      </c>
      <c r="AB45" s="62">
        <f t="shared" si="41"/>
        <v>4819.5</v>
      </c>
      <c r="AC45" s="62">
        <f t="shared" si="41"/>
        <v>4819.5</v>
      </c>
    </row>
    <row r="46" spans="1:29" x14ac:dyDescent="0.3">
      <c r="A46" s="30" t="s">
        <v>73</v>
      </c>
      <c r="B46" s="62">
        <f t="shared" si="39"/>
        <v>7544.8491378818671</v>
      </c>
      <c r="C46" s="62">
        <f t="shared" si="39"/>
        <v>7538.2945123629625</v>
      </c>
      <c r="D46" s="62">
        <f t="shared" si="39"/>
        <v>7528.9117119251632</v>
      </c>
      <c r="E46" s="62">
        <f t="shared" si="39"/>
        <v>7515.488956070868</v>
      </c>
      <c r="F46" s="62">
        <f t="shared" si="39"/>
        <v>7496.3048760769479</v>
      </c>
      <c r="G46" s="62">
        <f t="shared" si="39"/>
        <v>7468.9250480740156</v>
      </c>
      <c r="H46" s="62">
        <f t="shared" si="39"/>
        <v>7429.9294559907767</v>
      </c>
      <c r="I46" s="62">
        <f t="shared" si="39"/>
        <v>7374.5613053204333</v>
      </c>
      <c r="J46" s="62">
        <f t="shared" si="39"/>
        <v>7296.3037448874775</v>
      </c>
      <c r="K46" s="62">
        <f t="shared" si="39"/>
        <v>7186.4315419229515</v>
      </c>
      <c r="L46" s="62">
        <f t="shared" si="40"/>
        <v>7033.6692949575117</v>
      </c>
      <c r="M46" s="62">
        <f t="shared" si="40"/>
        <v>6824.2379692149188</v>
      </c>
      <c r="N46" s="62">
        <f t="shared" si="40"/>
        <v>6542.7847091704489</v>
      </c>
      <c r="O46" s="62">
        <f t="shared" si="40"/>
        <v>6174.8709255212598</v>
      </c>
      <c r="P46" s="62">
        <f t="shared" si="40"/>
        <v>5711.5457005157941</v>
      </c>
      <c r="Q46" s="62">
        <f t="shared" si="40"/>
        <v>5155.5687302619008</v>
      </c>
      <c r="R46" s="62">
        <f t="shared" si="40"/>
        <v>4526.8846200604085</v>
      </c>
      <c r="S46" s="62">
        <f t="shared" si="40"/>
        <v>3863.1853843466915</v>
      </c>
      <c r="T46" s="62">
        <f t="shared" si="40"/>
        <v>3212.546508177219</v>
      </c>
      <c r="U46" s="62">
        <f t="shared" si="40"/>
        <v>2620.2565467393952</v>
      </c>
      <c r="V46" s="62">
        <f t="shared" si="41"/>
        <v>2116.8944232297076</v>
      </c>
      <c r="W46" s="62">
        <f t="shared" si="41"/>
        <v>1713.7915093472698</v>
      </c>
      <c r="X46" s="62">
        <f t="shared" si="41"/>
        <v>1406.2060950709249</v>
      </c>
      <c r="Y46" s="62">
        <f t="shared" si="41"/>
        <v>1180.1061471919265</v>
      </c>
      <c r="Z46" s="62">
        <f t="shared" si="41"/>
        <v>1018.4479553704999</v>
      </c>
      <c r="AA46" s="62">
        <f t="shared" si="41"/>
        <v>905.14943652894976</v>
      </c>
      <c r="AB46" s="62">
        <f t="shared" si="41"/>
        <v>826.85319613823299</v>
      </c>
      <c r="AC46" s="62">
        <f t="shared" si="41"/>
        <v>773.27117718755233</v>
      </c>
    </row>
    <row r="47" spans="1:29" x14ac:dyDescent="0.3">
      <c r="A47" s="30" t="str">
        <f>A27</f>
        <v>Annual Mileage</v>
      </c>
      <c r="B47" s="62">
        <f t="shared" ref="B47:AC47" si="42">$B27+($C27-$B27)*(1-Q27)</f>
        <v>120000</v>
      </c>
      <c r="C47" s="62">
        <f t="shared" si="42"/>
        <v>120000</v>
      </c>
      <c r="D47" s="62">
        <f t="shared" si="42"/>
        <v>120000</v>
      </c>
      <c r="E47" s="62">
        <f t="shared" si="42"/>
        <v>120000</v>
      </c>
      <c r="F47" s="62">
        <f t="shared" si="42"/>
        <v>120000</v>
      </c>
      <c r="G47" s="62">
        <f t="shared" si="42"/>
        <v>120000</v>
      </c>
      <c r="H47" s="62">
        <f t="shared" si="42"/>
        <v>120000</v>
      </c>
      <c r="I47" s="62">
        <f t="shared" si="42"/>
        <v>120000</v>
      </c>
      <c r="J47" s="62">
        <f t="shared" si="42"/>
        <v>120000</v>
      </c>
      <c r="K47" s="62">
        <f t="shared" si="42"/>
        <v>120000</v>
      </c>
      <c r="L47" s="62">
        <f t="shared" si="42"/>
        <v>120000</v>
      </c>
      <c r="M47" s="62">
        <f t="shared" si="42"/>
        <v>120000</v>
      </c>
      <c r="N47" s="62">
        <f t="shared" si="42"/>
        <v>120000</v>
      </c>
      <c r="O47" s="62">
        <f t="shared" si="42"/>
        <v>120000</v>
      </c>
      <c r="P47" s="62">
        <f t="shared" si="42"/>
        <v>120000</v>
      </c>
      <c r="Q47" s="62">
        <f t="shared" si="42"/>
        <v>120000</v>
      </c>
      <c r="R47" s="62">
        <f t="shared" si="42"/>
        <v>120000</v>
      </c>
      <c r="S47" s="62">
        <f t="shared" si="42"/>
        <v>120000</v>
      </c>
      <c r="T47" s="62">
        <f t="shared" si="42"/>
        <v>120000</v>
      </c>
      <c r="U47" s="62">
        <f t="shared" si="42"/>
        <v>120000</v>
      </c>
      <c r="V47" s="62">
        <f t="shared" si="42"/>
        <v>120000</v>
      </c>
      <c r="W47" s="62">
        <f t="shared" si="42"/>
        <v>120000</v>
      </c>
      <c r="X47" s="62">
        <f t="shared" si="42"/>
        <v>120000</v>
      </c>
      <c r="Y47" s="62">
        <f t="shared" si="42"/>
        <v>120000</v>
      </c>
      <c r="Z47" s="62">
        <f t="shared" si="42"/>
        <v>120000</v>
      </c>
      <c r="AA47" s="62">
        <f t="shared" si="42"/>
        <v>120000</v>
      </c>
      <c r="AB47" s="62">
        <f t="shared" si="42"/>
        <v>120000</v>
      </c>
      <c r="AC47" s="62">
        <f t="shared" si="42"/>
        <v>120000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2344739.8769242726</v>
      </c>
      <c r="C50" s="63">
        <f t="shared" ref="C50:AC50" si="43">((1+C35)^C42)*C35/(((1+C35)^C42)-1)*(C31)</f>
        <v>2343847.949386192</v>
      </c>
      <c r="D50" s="63">
        <f t="shared" si="43"/>
        <v>2342571.1749815131</v>
      </c>
      <c r="E50" s="63">
        <f t="shared" si="43"/>
        <v>2340744.6594088301</v>
      </c>
      <c r="F50" s="63">
        <f t="shared" si="43"/>
        <v>2338134.1656147949</v>
      </c>
      <c r="G50" s="63">
        <f t="shared" si="43"/>
        <v>2334408.426819603</v>
      </c>
      <c r="H50" s="63">
        <f t="shared" si="43"/>
        <v>2329102.0607514726</v>
      </c>
      <c r="I50" s="63">
        <f t="shared" si="43"/>
        <v>2321567.7816117923</v>
      </c>
      <c r="J50" s="63">
        <f t="shared" si="43"/>
        <v>2310918.8020458543</v>
      </c>
      <c r="K50" s="63">
        <f t="shared" si="43"/>
        <v>2295967.8268587827</v>
      </c>
      <c r="L50" s="63">
        <f t="shared" si="43"/>
        <v>2275180.5439766962</v>
      </c>
      <c r="M50" s="63">
        <f t="shared" si="43"/>
        <v>2246681.9567991556</v>
      </c>
      <c r="N50" s="63">
        <f t="shared" si="43"/>
        <v>2208382.9094176819</v>
      </c>
      <c r="O50" s="63">
        <f t="shared" si="43"/>
        <v>2158318.6556582791</v>
      </c>
      <c r="P50" s="63">
        <f t="shared" si="43"/>
        <v>2095271.1900055008</v>
      </c>
      <c r="Q50" s="63">
        <f t="shared" si="43"/>
        <v>2019616.0409999515</v>
      </c>
      <c r="R50" s="63">
        <f t="shared" si="43"/>
        <v>1934067.1917139916</v>
      </c>
      <c r="S50" s="63">
        <f t="shared" si="43"/>
        <v>1843753.6225209001</v>
      </c>
      <c r="T50" s="63">
        <f t="shared" si="43"/>
        <v>1755217.2554427353</v>
      </c>
      <c r="U50" s="63">
        <f t="shared" si="43"/>
        <v>1674620.7780983469</v>
      </c>
      <c r="V50" s="63">
        <f t="shared" si="43"/>
        <v>1606125.2495146997</v>
      </c>
      <c r="W50" s="63">
        <f t="shared" si="43"/>
        <v>1551272.5979733593</v>
      </c>
      <c r="X50" s="63">
        <f t="shared" si="43"/>
        <v>1509417.5903129096</v>
      </c>
      <c r="Y50" s="63">
        <f t="shared" si="43"/>
        <v>1478650.8029060119</v>
      </c>
      <c r="Z50" s="63">
        <f t="shared" si="43"/>
        <v>1456652.995002867</v>
      </c>
      <c r="AA50" s="63">
        <f t="shared" si="43"/>
        <v>1441235.7802913454</v>
      </c>
      <c r="AB50" s="63">
        <f t="shared" si="43"/>
        <v>1430581.5373096101</v>
      </c>
      <c r="AC50" s="63">
        <f t="shared" si="43"/>
        <v>1423290.3079159164</v>
      </c>
    </row>
    <row r="51" spans="1:29" x14ac:dyDescent="0.3">
      <c r="A51" s="30" t="str">
        <f>A32</f>
        <v>Residual value (vehicle)</v>
      </c>
      <c r="B51" s="62">
        <f>((1+B35)^B42)*B35/(((1+B35)^B42)-1)*(B32)</f>
        <v>-117391.61905450956</v>
      </c>
      <c r="C51" s="62">
        <f t="shared" ref="C51:AC51" si="44">((1+C35)^C42)*C35/(((1+C35)^C42)-1)*(C32)</f>
        <v>-117413.91724296159</v>
      </c>
      <c r="D51" s="62">
        <f t="shared" si="44"/>
        <v>-117445.83660307855</v>
      </c>
      <c r="E51" s="62">
        <f t="shared" si="44"/>
        <v>-117491.49949239564</v>
      </c>
      <c r="F51" s="62">
        <f t="shared" si="44"/>
        <v>-117556.76183724651</v>
      </c>
      <c r="G51" s="62">
        <f t="shared" si="44"/>
        <v>-117649.9053071263</v>
      </c>
      <c r="H51" s="62">
        <f t="shared" si="44"/>
        <v>-117782.56445882957</v>
      </c>
      <c r="I51" s="62">
        <f t="shared" si="44"/>
        <v>-117970.92143732157</v>
      </c>
      <c r="J51" s="62">
        <f t="shared" si="44"/>
        <v>-118237.14592647002</v>
      </c>
      <c r="K51" s="62">
        <f t="shared" si="44"/>
        <v>-118610.92030614681</v>
      </c>
      <c r="L51" s="62">
        <f t="shared" si="44"/>
        <v>-119130.60237819898</v>
      </c>
      <c r="M51" s="62">
        <f t="shared" si="44"/>
        <v>-119843.06705763748</v>
      </c>
      <c r="N51" s="62">
        <f t="shared" si="44"/>
        <v>-120800.54324217433</v>
      </c>
      <c r="O51" s="62">
        <f t="shared" si="44"/>
        <v>-122052.1495861594</v>
      </c>
      <c r="P51" s="62">
        <f t="shared" si="44"/>
        <v>-123628.33622747887</v>
      </c>
      <c r="Q51" s="62">
        <f t="shared" si="44"/>
        <v>-125519.71495261759</v>
      </c>
      <c r="R51" s="62">
        <f t="shared" si="44"/>
        <v>-127658.43618476659</v>
      </c>
      <c r="S51" s="62">
        <f t="shared" si="44"/>
        <v>-129916.27541459388</v>
      </c>
      <c r="T51" s="62">
        <f t="shared" si="44"/>
        <v>-132129.68459154799</v>
      </c>
      <c r="U51" s="62">
        <f t="shared" si="44"/>
        <v>-134144.59652515771</v>
      </c>
      <c r="V51" s="62">
        <f t="shared" si="44"/>
        <v>-135856.98473974891</v>
      </c>
      <c r="W51" s="62">
        <f t="shared" si="44"/>
        <v>-137228.30102828241</v>
      </c>
      <c r="X51" s="62">
        <f t="shared" si="44"/>
        <v>-138274.67621979365</v>
      </c>
      <c r="Y51" s="62">
        <f t="shared" si="44"/>
        <v>-139043.84590496609</v>
      </c>
      <c r="Z51" s="62">
        <f t="shared" si="44"/>
        <v>-139593.79110254472</v>
      </c>
      <c r="AA51" s="62">
        <f t="shared" si="44"/>
        <v>-139979.22147033276</v>
      </c>
      <c r="AB51" s="62">
        <f t="shared" si="44"/>
        <v>-140245.57754487614</v>
      </c>
      <c r="AC51" s="62">
        <f t="shared" si="44"/>
        <v>-140427.85827971846</v>
      </c>
    </row>
    <row r="52" spans="1:29" x14ac:dyDescent="0.3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5">((1+C35)^C43)*C35/(((1+C35)^C43)-1)*(C33)</f>
        <v>78226.718212273947</v>
      </c>
      <c r="D52" s="62">
        <f t="shared" si="45"/>
        <v>78226.718212273947</v>
      </c>
      <c r="E52" s="62">
        <f t="shared" si="45"/>
        <v>78226.718212273947</v>
      </c>
      <c r="F52" s="62">
        <f t="shared" si="45"/>
        <v>78226.718212273947</v>
      </c>
      <c r="G52" s="62">
        <f t="shared" si="45"/>
        <v>78226.718212273947</v>
      </c>
      <c r="H52" s="62">
        <f t="shared" si="45"/>
        <v>78226.718212273947</v>
      </c>
      <c r="I52" s="62">
        <f t="shared" si="45"/>
        <v>78226.718212273947</v>
      </c>
      <c r="J52" s="62">
        <f t="shared" si="45"/>
        <v>78226.718212273947</v>
      </c>
      <c r="K52" s="62">
        <f t="shared" si="45"/>
        <v>78226.718212273947</v>
      </c>
      <c r="L52" s="62">
        <f t="shared" si="45"/>
        <v>78226.718212273947</v>
      </c>
      <c r="M52" s="62">
        <f t="shared" si="45"/>
        <v>78226.718212273947</v>
      </c>
      <c r="N52" s="62">
        <f t="shared" si="45"/>
        <v>78226.718212273947</v>
      </c>
      <c r="O52" s="62">
        <f t="shared" si="45"/>
        <v>78226.718212273947</v>
      </c>
      <c r="P52" s="62">
        <f t="shared" si="45"/>
        <v>78226.718212273947</v>
      </c>
      <c r="Q52" s="62">
        <f t="shared" si="45"/>
        <v>78226.718212273947</v>
      </c>
      <c r="R52" s="62">
        <f t="shared" si="45"/>
        <v>78226.718212273947</v>
      </c>
      <c r="S52" s="62">
        <f t="shared" si="45"/>
        <v>78226.718212273947</v>
      </c>
      <c r="T52" s="62">
        <f t="shared" si="45"/>
        <v>78226.718212273947</v>
      </c>
      <c r="U52" s="62">
        <f t="shared" si="45"/>
        <v>78226.718212273947</v>
      </c>
      <c r="V52" s="62">
        <f t="shared" si="45"/>
        <v>78226.718212273947</v>
      </c>
      <c r="W52" s="62">
        <f t="shared" si="45"/>
        <v>78226.718212273947</v>
      </c>
      <c r="X52" s="62">
        <f t="shared" si="45"/>
        <v>78226.718212273947</v>
      </c>
      <c r="Y52" s="62">
        <f t="shared" si="45"/>
        <v>78226.718212273947</v>
      </c>
      <c r="Z52" s="62">
        <f t="shared" si="45"/>
        <v>78226.718212273947</v>
      </c>
      <c r="AA52" s="62">
        <f t="shared" si="45"/>
        <v>78226.718212273947</v>
      </c>
      <c r="AB52" s="62">
        <f t="shared" si="45"/>
        <v>78226.718212273947</v>
      </c>
      <c r="AC52" s="62">
        <f t="shared" si="45"/>
        <v>78226.718212273947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6">((1+C35)^C43)*C35/(((1+C35)^C43)-1)*(C34)</f>
        <v>-7822.6718212273945</v>
      </c>
      <c r="D53" s="62">
        <f t="shared" si="46"/>
        <v>-7822.6718212273945</v>
      </c>
      <c r="E53" s="62">
        <f t="shared" si="46"/>
        <v>-7822.6718212273945</v>
      </c>
      <c r="F53" s="62">
        <f t="shared" si="46"/>
        <v>-7822.6718212273945</v>
      </c>
      <c r="G53" s="62">
        <f t="shared" si="46"/>
        <v>-7822.6718212273945</v>
      </c>
      <c r="H53" s="62">
        <f t="shared" si="46"/>
        <v>-7822.6718212273945</v>
      </c>
      <c r="I53" s="62">
        <f t="shared" si="46"/>
        <v>-7822.6718212273945</v>
      </c>
      <c r="J53" s="62">
        <f t="shared" si="46"/>
        <v>-7822.6718212273945</v>
      </c>
      <c r="K53" s="62">
        <f t="shared" si="46"/>
        <v>-7822.6718212273945</v>
      </c>
      <c r="L53" s="62">
        <f t="shared" si="46"/>
        <v>-7822.6718212273945</v>
      </c>
      <c r="M53" s="62">
        <f t="shared" si="46"/>
        <v>-7822.6718212273945</v>
      </c>
      <c r="N53" s="62">
        <f t="shared" si="46"/>
        <v>-7822.6718212273945</v>
      </c>
      <c r="O53" s="62">
        <f t="shared" si="46"/>
        <v>-7822.6718212273945</v>
      </c>
      <c r="P53" s="62">
        <f t="shared" si="46"/>
        <v>-7822.6718212273945</v>
      </c>
      <c r="Q53" s="62">
        <f t="shared" si="46"/>
        <v>-7822.6718212273945</v>
      </c>
      <c r="R53" s="62">
        <f t="shared" si="46"/>
        <v>-7822.6718212273945</v>
      </c>
      <c r="S53" s="62">
        <f t="shared" si="46"/>
        <v>-7822.6718212273945</v>
      </c>
      <c r="T53" s="62">
        <f t="shared" si="46"/>
        <v>-7822.6718212273945</v>
      </c>
      <c r="U53" s="62">
        <f t="shared" si="46"/>
        <v>-7822.6718212273945</v>
      </c>
      <c r="V53" s="62">
        <f t="shared" si="46"/>
        <v>-7822.6718212273945</v>
      </c>
      <c r="W53" s="62">
        <f t="shared" si="46"/>
        <v>-7822.6718212273945</v>
      </c>
      <c r="X53" s="62">
        <f t="shared" si="46"/>
        <v>-7822.6718212273945</v>
      </c>
      <c r="Y53" s="62">
        <f t="shared" si="46"/>
        <v>-7822.6718212273945</v>
      </c>
      <c r="Z53" s="62">
        <f t="shared" si="46"/>
        <v>-7822.6718212273945</v>
      </c>
      <c r="AA53" s="62">
        <f t="shared" si="46"/>
        <v>-7822.6718212273945</v>
      </c>
      <c r="AB53" s="62">
        <f t="shared" si="46"/>
        <v>-7822.6718212273945</v>
      </c>
      <c r="AC53" s="62">
        <f t="shared" si="46"/>
        <v>-7822.6718212273945</v>
      </c>
    </row>
    <row r="54" spans="1:29" x14ac:dyDescent="0.3">
      <c r="A54" s="30" t="str">
        <f t="shared" ref="A54:AC54" si="47">A36</f>
        <v>Opex fix (admin, crew, insurance)</v>
      </c>
      <c r="B54" s="62">
        <f t="shared" si="47"/>
        <v>1208235.294117647</v>
      </c>
      <c r="C54" s="62">
        <f t="shared" si="47"/>
        <v>1208235.294117647</v>
      </c>
      <c r="D54" s="62">
        <f t="shared" si="47"/>
        <v>1208235.294117647</v>
      </c>
      <c r="E54" s="62">
        <f t="shared" si="47"/>
        <v>1208235.294117647</v>
      </c>
      <c r="F54" s="62">
        <f t="shared" si="47"/>
        <v>1208235.294117647</v>
      </c>
      <c r="G54" s="62">
        <f t="shared" si="47"/>
        <v>1208235.294117647</v>
      </c>
      <c r="H54" s="62">
        <f t="shared" si="47"/>
        <v>1208235.294117647</v>
      </c>
      <c r="I54" s="62">
        <f t="shared" si="47"/>
        <v>1208235.294117647</v>
      </c>
      <c r="J54" s="62">
        <f t="shared" si="47"/>
        <v>1208235.294117647</v>
      </c>
      <c r="K54" s="62">
        <f t="shared" si="47"/>
        <v>1208235.294117647</v>
      </c>
      <c r="L54" s="62">
        <f t="shared" si="47"/>
        <v>1208235.294117647</v>
      </c>
      <c r="M54" s="62">
        <f t="shared" si="47"/>
        <v>1208235.294117647</v>
      </c>
      <c r="N54" s="62">
        <f t="shared" si="47"/>
        <v>1208235.294117647</v>
      </c>
      <c r="O54" s="62">
        <f t="shared" si="47"/>
        <v>1208235.294117647</v>
      </c>
      <c r="P54" s="62">
        <f t="shared" si="47"/>
        <v>1208235.294117647</v>
      </c>
      <c r="Q54" s="62">
        <f t="shared" si="47"/>
        <v>1208235.294117647</v>
      </c>
      <c r="R54" s="62">
        <f t="shared" si="47"/>
        <v>1208235.294117647</v>
      </c>
      <c r="S54" s="62">
        <f t="shared" si="47"/>
        <v>1208235.294117647</v>
      </c>
      <c r="T54" s="62">
        <f t="shared" si="47"/>
        <v>1208235.294117647</v>
      </c>
      <c r="U54" s="62">
        <f t="shared" si="47"/>
        <v>1208235.294117647</v>
      </c>
      <c r="V54" s="62">
        <f t="shared" si="47"/>
        <v>1208235.294117647</v>
      </c>
      <c r="W54" s="62">
        <f t="shared" si="47"/>
        <v>1208235.294117647</v>
      </c>
      <c r="X54" s="62">
        <f t="shared" si="47"/>
        <v>1208235.294117647</v>
      </c>
      <c r="Y54" s="62">
        <f t="shared" si="47"/>
        <v>1208235.294117647</v>
      </c>
      <c r="Z54" s="62">
        <f t="shared" si="47"/>
        <v>1208235.294117647</v>
      </c>
      <c r="AA54" s="62">
        <f t="shared" si="47"/>
        <v>1208235.294117647</v>
      </c>
      <c r="AB54" s="62">
        <f t="shared" si="47"/>
        <v>1208235.294117647</v>
      </c>
      <c r="AC54" s="62">
        <f t="shared" si="47"/>
        <v>1208235.294117647</v>
      </c>
    </row>
    <row r="55" spans="1:29" x14ac:dyDescent="0.3">
      <c r="A55" s="30" t="str">
        <f t="shared" ref="A55:AC55" si="48">A37</f>
        <v>Opex maintenance &amp; repair</v>
      </c>
      <c r="B55" s="62">
        <f t="shared" si="48"/>
        <v>338823.5294117647</v>
      </c>
      <c r="C55" s="62">
        <f t="shared" si="48"/>
        <v>338823.5294117647</v>
      </c>
      <c r="D55" s="62">
        <f t="shared" si="48"/>
        <v>338823.5294117647</v>
      </c>
      <c r="E55" s="62">
        <f t="shared" si="48"/>
        <v>338823.5294117647</v>
      </c>
      <c r="F55" s="62">
        <f t="shared" si="48"/>
        <v>338823.5294117647</v>
      </c>
      <c r="G55" s="62">
        <f t="shared" si="48"/>
        <v>338823.5294117647</v>
      </c>
      <c r="H55" s="62">
        <f t="shared" si="48"/>
        <v>338823.5294117647</v>
      </c>
      <c r="I55" s="62">
        <f t="shared" si="48"/>
        <v>338823.5294117647</v>
      </c>
      <c r="J55" s="62">
        <f t="shared" si="48"/>
        <v>338823.5294117647</v>
      </c>
      <c r="K55" s="62">
        <f t="shared" si="48"/>
        <v>338823.5294117647</v>
      </c>
      <c r="L55" s="62">
        <f t="shared" si="48"/>
        <v>338823.5294117647</v>
      </c>
      <c r="M55" s="62">
        <f t="shared" si="48"/>
        <v>338823.5294117647</v>
      </c>
      <c r="N55" s="62">
        <f t="shared" si="48"/>
        <v>338823.5294117647</v>
      </c>
      <c r="O55" s="62">
        <f t="shared" si="48"/>
        <v>338823.5294117647</v>
      </c>
      <c r="P55" s="62">
        <f t="shared" si="48"/>
        <v>338823.5294117647</v>
      </c>
      <c r="Q55" s="62">
        <f t="shared" si="48"/>
        <v>338823.5294117647</v>
      </c>
      <c r="R55" s="62">
        <f t="shared" si="48"/>
        <v>338823.5294117647</v>
      </c>
      <c r="S55" s="62">
        <f t="shared" si="48"/>
        <v>338823.5294117647</v>
      </c>
      <c r="T55" s="62">
        <f t="shared" si="48"/>
        <v>338823.5294117647</v>
      </c>
      <c r="U55" s="62">
        <f t="shared" si="48"/>
        <v>338823.5294117647</v>
      </c>
      <c r="V55" s="62">
        <f t="shared" si="48"/>
        <v>338823.5294117647</v>
      </c>
      <c r="W55" s="62">
        <f t="shared" si="48"/>
        <v>338823.5294117647</v>
      </c>
      <c r="X55" s="62">
        <f t="shared" si="48"/>
        <v>338823.5294117647</v>
      </c>
      <c r="Y55" s="62">
        <f t="shared" si="48"/>
        <v>338823.5294117647</v>
      </c>
      <c r="Z55" s="62">
        <f t="shared" si="48"/>
        <v>338823.5294117647</v>
      </c>
      <c r="AA55" s="62">
        <f t="shared" si="48"/>
        <v>338823.5294117647</v>
      </c>
      <c r="AB55" s="62">
        <f t="shared" si="48"/>
        <v>338823.5294117647</v>
      </c>
      <c r="AC55" s="62">
        <f t="shared" si="48"/>
        <v>338823.5294117647</v>
      </c>
    </row>
    <row r="56" spans="1:29" x14ac:dyDescent="0.3">
      <c r="A56" s="30" t="str">
        <f>A38</f>
        <v>Opex var (mode-fees)</v>
      </c>
      <c r="B56" s="62">
        <f>B38*B47</f>
        <v>101496.22349468413</v>
      </c>
      <c r="C56" s="62">
        <f t="shared" ref="C56:AC56" si="49">C38*C47</f>
        <v>101496.22349468413</v>
      </c>
      <c r="D56" s="62">
        <f t="shared" si="49"/>
        <v>101496.22349468413</v>
      </c>
      <c r="E56" s="62">
        <f t="shared" si="49"/>
        <v>101496.22349468413</v>
      </c>
      <c r="F56" s="62">
        <f t="shared" si="49"/>
        <v>101496.22349468413</v>
      </c>
      <c r="G56" s="62">
        <f t="shared" si="49"/>
        <v>101496.22349468413</v>
      </c>
      <c r="H56" s="62">
        <f t="shared" si="49"/>
        <v>101496.22349468413</v>
      </c>
      <c r="I56" s="62">
        <f t="shared" si="49"/>
        <v>101496.22349468413</v>
      </c>
      <c r="J56" s="62">
        <f t="shared" si="49"/>
        <v>101496.22349468413</v>
      </c>
      <c r="K56" s="62">
        <f t="shared" si="49"/>
        <v>101496.22349468413</v>
      </c>
      <c r="L56" s="62">
        <f t="shared" si="49"/>
        <v>101496.22349468413</v>
      </c>
      <c r="M56" s="62">
        <f t="shared" si="49"/>
        <v>101496.22349468413</v>
      </c>
      <c r="N56" s="62">
        <f t="shared" si="49"/>
        <v>101496.22349468413</v>
      </c>
      <c r="O56" s="62">
        <f t="shared" si="49"/>
        <v>101496.22349468413</v>
      </c>
      <c r="P56" s="62">
        <f t="shared" si="49"/>
        <v>101496.22349468413</v>
      </c>
      <c r="Q56" s="62">
        <f t="shared" si="49"/>
        <v>101496.22349468413</v>
      </c>
      <c r="R56" s="62">
        <f t="shared" si="49"/>
        <v>101496.22349468413</v>
      </c>
      <c r="S56" s="62">
        <f t="shared" si="49"/>
        <v>101496.22349468413</v>
      </c>
      <c r="T56" s="62">
        <f t="shared" si="49"/>
        <v>101496.22349468413</v>
      </c>
      <c r="U56" s="62">
        <f t="shared" si="49"/>
        <v>101496.22349468413</v>
      </c>
      <c r="V56" s="62">
        <f t="shared" si="49"/>
        <v>101496.22349468413</v>
      </c>
      <c r="W56" s="62">
        <f t="shared" si="49"/>
        <v>101496.22349468413</v>
      </c>
      <c r="X56" s="62">
        <f t="shared" si="49"/>
        <v>101496.22349468413</v>
      </c>
      <c r="Y56" s="62">
        <f t="shared" si="49"/>
        <v>101496.22349468413</v>
      </c>
      <c r="Z56" s="62">
        <f t="shared" si="49"/>
        <v>101496.22349468413</v>
      </c>
      <c r="AA56" s="62">
        <f t="shared" si="49"/>
        <v>101496.22349468413</v>
      </c>
      <c r="AB56" s="62">
        <f t="shared" si="49"/>
        <v>101496.22349468413</v>
      </c>
      <c r="AC56" s="62">
        <f t="shared" si="49"/>
        <v>101496.22349468413</v>
      </c>
    </row>
    <row r="57" spans="1:29" x14ac:dyDescent="0.3">
      <c r="A57" s="30" t="str">
        <f>A40</f>
        <v>Fuel Cost</v>
      </c>
      <c r="B57" s="62">
        <f>B39*B40*B47</f>
        <v>13370248.907515552</v>
      </c>
      <c r="C57" s="62">
        <f t="shared" ref="C57:AC57" si="50">C39*C40*C47</f>
        <v>13362791.68001635</v>
      </c>
      <c r="D57" s="62">
        <f t="shared" si="50"/>
        <v>13352119.163217604</v>
      </c>
      <c r="E57" s="62">
        <f t="shared" si="50"/>
        <v>13336856.164003521</v>
      </c>
      <c r="F57" s="62">
        <f t="shared" si="50"/>
        <v>13315051.751412267</v>
      </c>
      <c r="G57" s="62">
        <f t="shared" si="50"/>
        <v>13283952.077878125</v>
      </c>
      <c r="H57" s="62">
        <f t="shared" si="50"/>
        <v>13239698.98631132</v>
      </c>
      <c r="I57" s="62">
        <f t="shared" si="50"/>
        <v>13176947.637623208</v>
      </c>
      <c r="J57" s="62">
        <f t="shared" si="50"/>
        <v>13088418.15230225</v>
      </c>
      <c r="K57" s="62">
        <f t="shared" si="50"/>
        <v>12964447.565503804</v>
      </c>
      <c r="L57" s="62">
        <f t="shared" si="50"/>
        <v>12792710.799777355</v>
      </c>
      <c r="M57" s="62">
        <f t="shared" si="50"/>
        <v>12558452.232512649</v>
      </c>
      <c r="N57" s="62">
        <f t="shared" si="50"/>
        <v>12245794.197905904</v>
      </c>
      <c r="O57" s="62">
        <f t="shared" si="50"/>
        <v>11840825.517066352</v>
      </c>
      <c r="P57" s="62">
        <f t="shared" si="50"/>
        <v>11336858.12165937</v>
      </c>
      <c r="Q57" s="62">
        <f t="shared" si="50"/>
        <v>10740973.142555408</v>
      </c>
      <c r="R57" s="62">
        <f t="shared" si="50"/>
        <v>10078807.941610783</v>
      </c>
      <c r="S57" s="62">
        <f t="shared" si="50"/>
        <v>9393175.2611248717</v>
      </c>
      <c r="T57" s="62">
        <f t="shared" si="50"/>
        <v>8734406.3874728978</v>
      </c>
      <c r="U57" s="62">
        <f t="shared" si="50"/>
        <v>8146226.8289774125</v>
      </c>
      <c r="V57" s="62">
        <f t="shared" si="50"/>
        <v>7654981.7333783628</v>
      </c>
      <c r="W57" s="62">
        <f t="shared" si="50"/>
        <v>7267296.0041098306</v>
      </c>
      <c r="X57" s="62">
        <f t="shared" si="50"/>
        <v>6974892.7186668366</v>
      </c>
      <c r="Y57" s="62">
        <f t="shared" si="50"/>
        <v>6761839.6699709129</v>
      </c>
      <c r="Z57" s="62">
        <f t="shared" si="50"/>
        <v>6610489.9951052722</v>
      </c>
      <c r="AA57" s="62">
        <f t="shared" si="50"/>
        <v>6504903.3404722838</v>
      </c>
      <c r="AB57" s="62">
        <f t="shared" si="50"/>
        <v>6432171.0401332509</v>
      </c>
      <c r="AC57" s="62">
        <f t="shared" si="50"/>
        <v>6382507.1960070422</v>
      </c>
    </row>
    <row r="58" spans="1:29" ht="15" thickBot="1" x14ac:dyDescent="0.35">
      <c r="A58" s="59" t="str">
        <f>A21</f>
        <v>Emission Cost</v>
      </c>
      <c r="B58" s="62">
        <f>B41*B47</f>
        <v>298374.02153870644</v>
      </c>
      <c r="C58" s="62">
        <f t="shared" ref="C58:AC58" si="51">C41*C47</f>
        <v>298089.89677086746</v>
      </c>
      <c r="D58" s="62">
        <f t="shared" si="51"/>
        <v>297683.17849407479</v>
      </c>
      <c r="E58" s="62">
        <f t="shared" si="51"/>
        <v>297101.33939741511</v>
      </c>
      <c r="F58" s="62">
        <f t="shared" si="51"/>
        <v>296269.7629391175</v>
      </c>
      <c r="G58" s="62">
        <f t="shared" si="51"/>
        <v>295082.92362200172</v>
      </c>
      <c r="H58" s="62">
        <f t="shared" si="51"/>
        <v>293392.57327087317</v>
      </c>
      <c r="I58" s="62">
        <f t="shared" si="51"/>
        <v>290992.51808701607</v>
      </c>
      <c r="J58" s="62">
        <f t="shared" si="51"/>
        <v>287600.2707152121</v>
      </c>
      <c r="K58" s="62">
        <f t="shared" si="51"/>
        <v>282837.61660641141</v>
      </c>
      <c r="L58" s="62">
        <f t="shared" si="51"/>
        <v>276215.79849820002</v>
      </c>
      <c r="M58" s="62">
        <f t="shared" si="51"/>
        <v>267137.53359455033</v>
      </c>
      <c r="N58" s="62">
        <f t="shared" si="51"/>
        <v>254937.31835158364</v>
      </c>
      <c r="O58" s="62">
        <f t="shared" si="51"/>
        <v>238989.28012077697</v>
      </c>
      <c r="P58" s="62">
        <f t="shared" si="51"/>
        <v>218905.42153740322</v>
      </c>
      <c r="Q58" s="62">
        <f t="shared" si="51"/>
        <v>194805.36774460567</v>
      </c>
      <c r="R58" s="62">
        <f t="shared" si="51"/>
        <v>167553.66185539585</v>
      </c>
      <c r="S58" s="62">
        <f t="shared" si="51"/>
        <v>138784.14775909283</v>
      </c>
      <c r="T58" s="62">
        <f t="shared" si="51"/>
        <v>110580.76388833826</v>
      </c>
      <c r="U58" s="62">
        <f t="shared" si="51"/>
        <v>84906.643024901976</v>
      </c>
      <c r="V58" s="62">
        <f t="shared" si="51"/>
        <v>63087.296356099287</v>
      </c>
      <c r="W58" s="62">
        <f t="shared" si="51"/>
        <v>45613.907297980848</v>
      </c>
      <c r="X58" s="62">
        <f t="shared" si="51"/>
        <v>32280.935922287579</v>
      </c>
      <c r="Y58" s="62">
        <f t="shared" si="51"/>
        <v>22480.132655302932</v>
      </c>
      <c r="Z58" s="62">
        <f t="shared" si="51"/>
        <v>15472.700104340156</v>
      </c>
      <c r="AA58" s="62">
        <f t="shared" si="51"/>
        <v>10561.524741305384</v>
      </c>
      <c r="AB58" s="62">
        <f t="shared" si="51"/>
        <v>7167.6007010193562</v>
      </c>
      <c r="AC58" s="62">
        <f t="shared" si="51"/>
        <v>4844.9693545295777</v>
      </c>
    </row>
    <row r="59" spans="1:29" ht="15" thickBot="1" x14ac:dyDescent="0.35">
      <c r="A59" s="31" t="s">
        <v>209</v>
      </c>
      <c r="B59" s="64">
        <f>B50+B51+B52+B53+B54+B55+B56+B57+B58</f>
        <v>17614930.280339163</v>
      </c>
      <c r="C59" s="64">
        <f t="shared" ref="C59:AC59" si="52">C50+C51+C52+C53+C54+C55+C56+C57+C58</f>
        <v>17606274.702345591</v>
      </c>
      <c r="D59" s="64">
        <f t="shared" si="52"/>
        <v>17593886.773505256</v>
      </c>
      <c r="E59" s="64">
        <f t="shared" si="52"/>
        <v>17576169.756732516</v>
      </c>
      <c r="F59" s="64">
        <f t="shared" si="52"/>
        <v>17550858.011544075</v>
      </c>
      <c r="G59" s="64">
        <f t="shared" si="52"/>
        <v>17514752.616427746</v>
      </c>
      <c r="H59" s="64">
        <f t="shared" si="52"/>
        <v>17463370.149289981</v>
      </c>
      <c r="I59" s="64">
        <f t="shared" si="52"/>
        <v>17390496.109299835</v>
      </c>
      <c r="J59" s="64">
        <f t="shared" si="52"/>
        <v>17287659.172551986</v>
      </c>
      <c r="K59" s="64">
        <f t="shared" si="52"/>
        <v>17143601.182077993</v>
      </c>
      <c r="L59" s="64">
        <f t="shared" si="52"/>
        <v>16943935.633289196</v>
      </c>
      <c r="M59" s="64">
        <f t="shared" si="52"/>
        <v>16671387.74926386</v>
      </c>
      <c r="N59" s="64">
        <f t="shared" si="52"/>
        <v>16307272.975848136</v>
      </c>
      <c r="O59" s="64">
        <f t="shared" si="52"/>
        <v>15835040.396674393</v>
      </c>
      <c r="P59" s="64">
        <f t="shared" si="52"/>
        <v>15246365.490389938</v>
      </c>
      <c r="Q59" s="64">
        <f t="shared" si="52"/>
        <v>14548833.92976249</v>
      </c>
      <c r="R59" s="64">
        <f t="shared" si="52"/>
        <v>13771729.452410547</v>
      </c>
      <c r="S59" s="64">
        <f t="shared" si="52"/>
        <v>12964755.849405413</v>
      </c>
      <c r="T59" s="64">
        <f t="shared" si="52"/>
        <v>12187033.815627566</v>
      </c>
      <c r="U59" s="64">
        <f t="shared" si="52"/>
        <v>11490568.746990647</v>
      </c>
      <c r="V59" s="64">
        <f t="shared" si="52"/>
        <v>10907296.387924554</v>
      </c>
      <c r="W59" s="64">
        <f t="shared" si="52"/>
        <v>10445913.301768031</v>
      </c>
      <c r="X59" s="64">
        <f t="shared" si="52"/>
        <v>10097275.662097383</v>
      </c>
      <c r="Y59" s="64">
        <f t="shared" si="52"/>
        <v>9842885.8530424032</v>
      </c>
      <c r="Z59" s="64">
        <f t="shared" si="52"/>
        <v>9661980.9925250784</v>
      </c>
      <c r="AA59" s="64">
        <f t="shared" si="52"/>
        <v>9535680.517449744</v>
      </c>
      <c r="AB59" s="64">
        <f t="shared" si="52"/>
        <v>9448633.6940141469</v>
      </c>
      <c r="AC59" s="64">
        <f t="shared" si="52"/>
        <v>9389173.7084129117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53">A50</f>
        <v>Capex vehicle</v>
      </c>
      <c r="B62" s="65">
        <f>((1+B35)^B42)*B35/(((1+B35)^B42)-1)*(B31)/B47</f>
        <v>19.539498974368939</v>
      </c>
      <c r="C62" s="65">
        <f t="shared" ref="C62:AC62" si="54">((1+C35)^C42)*C35/(((1+C35)^C42)-1)*(C31)/C47</f>
        <v>19.532066244884934</v>
      </c>
      <c r="D62" s="65">
        <f t="shared" si="54"/>
        <v>19.521426458179274</v>
      </c>
      <c r="E62" s="65">
        <f t="shared" si="54"/>
        <v>19.506205495073583</v>
      </c>
      <c r="F62" s="65">
        <f t="shared" si="54"/>
        <v>19.484451380123293</v>
      </c>
      <c r="G62" s="65">
        <f t="shared" si="54"/>
        <v>19.453403556830025</v>
      </c>
      <c r="H62" s="65">
        <f t="shared" si="54"/>
        <v>19.409183839595606</v>
      </c>
      <c r="I62" s="65">
        <f t="shared" si="54"/>
        <v>19.346398180098269</v>
      </c>
      <c r="J62" s="65">
        <f t="shared" si="54"/>
        <v>19.257656683715453</v>
      </c>
      <c r="K62" s="65">
        <f t="shared" si="54"/>
        <v>19.133065223823188</v>
      </c>
      <c r="L62" s="65">
        <f t="shared" si="54"/>
        <v>18.959837866472469</v>
      </c>
      <c r="M62" s="65">
        <f t="shared" si="54"/>
        <v>18.722349639992963</v>
      </c>
      <c r="N62" s="65">
        <f t="shared" si="54"/>
        <v>18.403190911814015</v>
      </c>
      <c r="O62" s="65">
        <f t="shared" si="54"/>
        <v>17.985988797152327</v>
      </c>
      <c r="P62" s="65">
        <f t="shared" si="54"/>
        <v>17.460593250045839</v>
      </c>
      <c r="Q62" s="65">
        <f t="shared" si="54"/>
        <v>16.830133674999598</v>
      </c>
      <c r="R62" s="65">
        <f t="shared" si="54"/>
        <v>16.117226597616597</v>
      </c>
      <c r="S62" s="65">
        <f t="shared" si="54"/>
        <v>15.364613521007501</v>
      </c>
      <c r="T62" s="65">
        <f t="shared" si="54"/>
        <v>14.626810462022794</v>
      </c>
      <c r="U62" s="65">
        <f t="shared" si="54"/>
        <v>13.955173150819558</v>
      </c>
      <c r="V62" s="65">
        <f t="shared" si="54"/>
        <v>13.384377079289164</v>
      </c>
      <c r="W62" s="65">
        <f t="shared" si="54"/>
        <v>12.927271649777994</v>
      </c>
      <c r="X62" s="65">
        <f t="shared" si="54"/>
        <v>12.578479919274246</v>
      </c>
      <c r="Y62" s="65">
        <f t="shared" si="54"/>
        <v>12.322090024216767</v>
      </c>
      <c r="Z62" s="65">
        <f t="shared" si="54"/>
        <v>12.138774958357224</v>
      </c>
      <c r="AA62" s="65">
        <f t="shared" si="54"/>
        <v>12.010298169094545</v>
      </c>
      <c r="AB62" s="65">
        <f t="shared" si="54"/>
        <v>11.921512810913416</v>
      </c>
      <c r="AC62" s="65">
        <f t="shared" si="54"/>
        <v>11.860752565965971</v>
      </c>
    </row>
    <row r="63" spans="1:29" x14ac:dyDescent="0.3">
      <c r="A63" s="30" t="str">
        <f t="shared" si="53"/>
        <v>Residual value (vehicle)</v>
      </c>
      <c r="B63" s="66">
        <f>((1+B35)^B42)*B35/(((1+B35)^B42)-1)*(B32)/B47</f>
        <v>-0.97826349212091301</v>
      </c>
      <c r="C63" s="66">
        <f t="shared" ref="C63:AC63" si="55">((1+C35)^C42)*C35/(((1+C35)^C42)-1)*(C32)/C47</f>
        <v>-0.97844931035801319</v>
      </c>
      <c r="D63" s="66">
        <f t="shared" si="55"/>
        <v>-0.97871530502565462</v>
      </c>
      <c r="E63" s="66">
        <f t="shared" si="55"/>
        <v>-0.97909582910329696</v>
      </c>
      <c r="F63" s="66">
        <f t="shared" si="55"/>
        <v>-0.9796396819770542</v>
      </c>
      <c r="G63" s="66">
        <f t="shared" si="55"/>
        <v>-0.98041587755938586</v>
      </c>
      <c r="H63" s="66">
        <f t="shared" si="55"/>
        <v>-0.98152137049024646</v>
      </c>
      <c r="I63" s="66">
        <f t="shared" si="55"/>
        <v>-0.98309101197767967</v>
      </c>
      <c r="J63" s="66">
        <f t="shared" si="55"/>
        <v>-0.98530954938725024</v>
      </c>
      <c r="K63" s="66">
        <f t="shared" si="55"/>
        <v>-0.9884243358845568</v>
      </c>
      <c r="L63" s="66">
        <f t="shared" si="55"/>
        <v>-0.99275501981832481</v>
      </c>
      <c r="M63" s="66">
        <f t="shared" si="55"/>
        <v>-0.99869222548031233</v>
      </c>
      <c r="N63" s="66">
        <f t="shared" si="55"/>
        <v>-1.0066711936847861</v>
      </c>
      <c r="O63" s="66">
        <f t="shared" si="55"/>
        <v>-1.0171012465513283</v>
      </c>
      <c r="P63" s="66">
        <f t="shared" si="55"/>
        <v>-1.0302361352289906</v>
      </c>
      <c r="Q63" s="66">
        <f t="shared" si="55"/>
        <v>-1.0459976246051466</v>
      </c>
      <c r="R63" s="66">
        <f t="shared" si="55"/>
        <v>-1.0638203015397216</v>
      </c>
      <c r="S63" s="66">
        <f t="shared" si="55"/>
        <v>-1.082635628454949</v>
      </c>
      <c r="T63" s="66">
        <f t="shared" si="55"/>
        <v>-1.1010807049295666</v>
      </c>
      <c r="U63" s="66">
        <f t="shared" si="55"/>
        <v>-1.1178716377096476</v>
      </c>
      <c r="V63" s="66">
        <f t="shared" si="55"/>
        <v>-1.1321415394979075</v>
      </c>
      <c r="W63" s="66">
        <f t="shared" si="55"/>
        <v>-1.1435691752356867</v>
      </c>
      <c r="X63" s="66">
        <f t="shared" si="55"/>
        <v>-1.1522889684982804</v>
      </c>
      <c r="Y63" s="66">
        <f t="shared" si="55"/>
        <v>-1.1586987158747175</v>
      </c>
      <c r="Z63" s="66">
        <f t="shared" si="55"/>
        <v>-1.1632815925212061</v>
      </c>
      <c r="AA63" s="66">
        <f t="shared" si="55"/>
        <v>-1.1664935122527731</v>
      </c>
      <c r="AB63" s="66">
        <f t="shared" si="55"/>
        <v>-1.1687131462073013</v>
      </c>
      <c r="AC63" s="66">
        <f t="shared" si="55"/>
        <v>-1.1702321523309871</v>
      </c>
    </row>
    <row r="64" spans="1:29" x14ac:dyDescent="0.3">
      <c r="A64" s="30" t="str">
        <f t="shared" si="53"/>
        <v>Capex costumization</v>
      </c>
      <c r="B64" s="66">
        <f>((1+B35)^B43)*B35/(((1+B35)^B43)-1)*(B33)/B47</f>
        <v>0.65188931843561626</v>
      </c>
      <c r="C64" s="66">
        <f t="shared" ref="C64:AC64" si="56">((1+C35)^C43)*C35/(((1+C35)^C43)-1)*(C33)/C47</f>
        <v>0.65188931843561626</v>
      </c>
      <c r="D64" s="66">
        <f t="shared" si="56"/>
        <v>0.65188931843561626</v>
      </c>
      <c r="E64" s="66">
        <f t="shared" si="56"/>
        <v>0.65188931843561626</v>
      </c>
      <c r="F64" s="66">
        <f t="shared" si="56"/>
        <v>0.65188931843561626</v>
      </c>
      <c r="G64" s="66">
        <f t="shared" si="56"/>
        <v>0.65188931843561626</v>
      </c>
      <c r="H64" s="66">
        <f t="shared" si="56"/>
        <v>0.65188931843561626</v>
      </c>
      <c r="I64" s="66">
        <f t="shared" si="56"/>
        <v>0.65188931843561626</v>
      </c>
      <c r="J64" s="66">
        <f t="shared" si="56"/>
        <v>0.65188931843561626</v>
      </c>
      <c r="K64" s="66">
        <f t="shared" si="56"/>
        <v>0.65188931843561626</v>
      </c>
      <c r="L64" s="66">
        <f t="shared" si="56"/>
        <v>0.65188931843561626</v>
      </c>
      <c r="M64" s="66">
        <f t="shared" si="56"/>
        <v>0.65188931843561626</v>
      </c>
      <c r="N64" s="66">
        <f t="shared" si="56"/>
        <v>0.65188931843561626</v>
      </c>
      <c r="O64" s="66">
        <f t="shared" si="56"/>
        <v>0.65188931843561626</v>
      </c>
      <c r="P64" s="66">
        <f t="shared" si="56"/>
        <v>0.65188931843561626</v>
      </c>
      <c r="Q64" s="66">
        <f t="shared" si="56"/>
        <v>0.65188931843561626</v>
      </c>
      <c r="R64" s="66">
        <f t="shared" si="56"/>
        <v>0.65188931843561626</v>
      </c>
      <c r="S64" s="66">
        <f t="shared" si="56"/>
        <v>0.65188931843561626</v>
      </c>
      <c r="T64" s="66">
        <f t="shared" si="56"/>
        <v>0.65188931843561626</v>
      </c>
      <c r="U64" s="66">
        <f t="shared" si="56"/>
        <v>0.65188931843561626</v>
      </c>
      <c r="V64" s="66">
        <f t="shared" si="56"/>
        <v>0.65188931843561626</v>
      </c>
      <c r="W64" s="66">
        <f t="shared" si="56"/>
        <v>0.65188931843561626</v>
      </c>
      <c r="X64" s="66">
        <f t="shared" si="56"/>
        <v>0.65188931843561626</v>
      </c>
      <c r="Y64" s="66">
        <f t="shared" si="56"/>
        <v>0.65188931843561626</v>
      </c>
      <c r="Z64" s="66">
        <f t="shared" si="56"/>
        <v>0.65188931843561626</v>
      </c>
      <c r="AA64" s="66">
        <f t="shared" si="56"/>
        <v>0.65188931843561626</v>
      </c>
      <c r="AB64" s="66">
        <f t="shared" si="56"/>
        <v>0.65188931843561626</v>
      </c>
      <c r="AC64" s="66">
        <f t="shared" si="56"/>
        <v>0.65188931843561626</v>
      </c>
    </row>
    <row r="65" spans="1:29" x14ac:dyDescent="0.3">
      <c r="A65" s="30" t="str">
        <f t="shared" si="53"/>
        <v>Residual value (costumization)</v>
      </c>
      <c r="B65" s="66">
        <f>((1+B35)^B43)*B35/(((1+B35)^B43)-1)*(B34)/B47</f>
        <v>-6.5188931843561615E-2</v>
      </c>
      <c r="C65" s="66">
        <f t="shared" ref="C65:AC65" si="57">((1+C35)^C43)*C35/(((1+C35)^C43)-1)*(C34)/C47</f>
        <v>-6.5188931843561615E-2</v>
      </c>
      <c r="D65" s="66">
        <f t="shared" si="57"/>
        <v>-6.5188931843561615E-2</v>
      </c>
      <c r="E65" s="66">
        <f t="shared" si="57"/>
        <v>-6.5188931843561615E-2</v>
      </c>
      <c r="F65" s="66">
        <f t="shared" si="57"/>
        <v>-6.5188931843561615E-2</v>
      </c>
      <c r="G65" s="66">
        <f t="shared" si="57"/>
        <v>-6.5188931843561615E-2</v>
      </c>
      <c r="H65" s="66">
        <f t="shared" si="57"/>
        <v>-6.5188931843561615E-2</v>
      </c>
      <c r="I65" s="66">
        <f t="shared" si="57"/>
        <v>-6.5188931843561615E-2</v>
      </c>
      <c r="J65" s="66">
        <f t="shared" si="57"/>
        <v>-6.5188931843561615E-2</v>
      </c>
      <c r="K65" s="66">
        <f t="shared" si="57"/>
        <v>-6.5188931843561615E-2</v>
      </c>
      <c r="L65" s="66">
        <f t="shared" si="57"/>
        <v>-6.5188931843561615E-2</v>
      </c>
      <c r="M65" s="66">
        <f t="shared" si="57"/>
        <v>-6.5188931843561615E-2</v>
      </c>
      <c r="N65" s="66">
        <f t="shared" si="57"/>
        <v>-6.5188931843561615E-2</v>
      </c>
      <c r="O65" s="66">
        <f t="shared" si="57"/>
        <v>-6.5188931843561615E-2</v>
      </c>
      <c r="P65" s="66">
        <f t="shared" si="57"/>
        <v>-6.5188931843561615E-2</v>
      </c>
      <c r="Q65" s="66">
        <f t="shared" si="57"/>
        <v>-6.5188931843561615E-2</v>
      </c>
      <c r="R65" s="66">
        <f t="shared" si="57"/>
        <v>-6.5188931843561615E-2</v>
      </c>
      <c r="S65" s="66">
        <f t="shared" si="57"/>
        <v>-6.5188931843561615E-2</v>
      </c>
      <c r="T65" s="66">
        <f t="shared" si="57"/>
        <v>-6.5188931843561615E-2</v>
      </c>
      <c r="U65" s="66">
        <f t="shared" si="57"/>
        <v>-6.5188931843561615E-2</v>
      </c>
      <c r="V65" s="66">
        <f t="shared" si="57"/>
        <v>-6.5188931843561615E-2</v>
      </c>
      <c r="W65" s="66">
        <f t="shared" si="57"/>
        <v>-6.5188931843561615E-2</v>
      </c>
      <c r="X65" s="66">
        <f t="shared" si="57"/>
        <v>-6.5188931843561615E-2</v>
      </c>
      <c r="Y65" s="66">
        <f t="shared" si="57"/>
        <v>-6.5188931843561615E-2</v>
      </c>
      <c r="Z65" s="66">
        <f t="shared" si="57"/>
        <v>-6.5188931843561615E-2</v>
      </c>
      <c r="AA65" s="66">
        <f t="shared" si="57"/>
        <v>-6.5188931843561615E-2</v>
      </c>
      <c r="AB65" s="66">
        <f t="shared" si="57"/>
        <v>-6.5188931843561615E-2</v>
      </c>
      <c r="AC65" s="66">
        <f t="shared" si="57"/>
        <v>-6.5188931843561615E-2</v>
      </c>
    </row>
    <row r="66" spans="1:29" x14ac:dyDescent="0.3">
      <c r="A66" s="30" t="str">
        <f t="shared" si="53"/>
        <v>Opex fix (admin, crew, insurance)</v>
      </c>
      <c r="B66" s="66">
        <f>B36/B47</f>
        <v>10.068627450980392</v>
      </c>
      <c r="C66" s="66">
        <f t="shared" ref="C66:AC66" si="58">C36/C47</f>
        <v>10.068627450980392</v>
      </c>
      <c r="D66" s="66">
        <f t="shared" si="58"/>
        <v>10.068627450980392</v>
      </c>
      <c r="E66" s="66">
        <f t="shared" si="58"/>
        <v>10.068627450980392</v>
      </c>
      <c r="F66" s="66">
        <f t="shared" si="58"/>
        <v>10.068627450980392</v>
      </c>
      <c r="G66" s="66">
        <f t="shared" si="58"/>
        <v>10.068627450980392</v>
      </c>
      <c r="H66" s="66">
        <f t="shared" si="58"/>
        <v>10.068627450980392</v>
      </c>
      <c r="I66" s="66">
        <f t="shared" si="58"/>
        <v>10.068627450980392</v>
      </c>
      <c r="J66" s="66">
        <f t="shared" si="58"/>
        <v>10.068627450980392</v>
      </c>
      <c r="K66" s="66">
        <f t="shared" si="58"/>
        <v>10.068627450980392</v>
      </c>
      <c r="L66" s="66">
        <f t="shared" si="58"/>
        <v>10.068627450980392</v>
      </c>
      <c r="M66" s="66">
        <f t="shared" si="58"/>
        <v>10.068627450980392</v>
      </c>
      <c r="N66" s="66">
        <f t="shared" si="58"/>
        <v>10.068627450980392</v>
      </c>
      <c r="O66" s="66">
        <f t="shared" si="58"/>
        <v>10.068627450980392</v>
      </c>
      <c r="P66" s="66">
        <f t="shared" si="58"/>
        <v>10.068627450980392</v>
      </c>
      <c r="Q66" s="66">
        <f t="shared" si="58"/>
        <v>10.068627450980392</v>
      </c>
      <c r="R66" s="66">
        <f t="shared" si="58"/>
        <v>10.068627450980392</v>
      </c>
      <c r="S66" s="66">
        <f t="shared" si="58"/>
        <v>10.068627450980392</v>
      </c>
      <c r="T66" s="66">
        <f t="shared" si="58"/>
        <v>10.068627450980392</v>
      </c>
      <c r="U66" s="66">
        <f t="shared" si="58"/>
        <v>10.068627450980392</v>
      </c>
      <c r="V66" s="66">
        <f t="shared" si="58"/>
        <v>10.068627450980392</v>
      </c>
      <c r="W66" s="66">
        <f t="shared" si="58"/>
        <v>10.068627450980392</v>
      </c>
      <c r="X66" s="66">
        <f t="shared" si="58"/>
        <v>10.068627450980392</v>
      </c>
      <c r="Y66" s="66">
        <f t="shared" si="58"/>
        <v>10.068627450980392</v>
      </c>
      <c r="Z66" s="66">
        <f t="shared" si="58"/>
        <v>10.068627450980392</v>
      </c>
      <c r="AA66" s="66">
        <f t="shared" si="58"/>
        <v>10.068627450980392</v>
      </c>
      <c r="AB66" s="66">
        <f t="shared" si="58"/>
        <v>10.068627450980392</v>
      </c>
      <c r="AC66" s="66">
        <f t="shared" si="58"/>
        <v>10.068627450980392</v>
      </c>
    </row>
    <row r="67" spans="1:29" x14ac:dyDescent="0.3">
      <c r="A67" s="30" t="str">
        <f t="shared" si="53"/>
        <v>Opex maintenance &amp; repair</v>
      </c>
      <c r="B67" s="66">
        <f>B37/B47</f>
        <v>2.8235294117647056</v>
      </c>
      <c r="C67" s="66">
        <f t="shared" ref="C67:AC67" si="59">C37/C47</f>
        <v>2.8235294117647056</v>
      </c>
      <c r="D67" s="66">
        <f t="shared" si="59"/>
        <v>2.8235294117647056</v>
      </c>
      <c r="E67" s="66">
        <f t="shared" si="59"/>
        <v>2.8235294117647056</v>
      </c>
      <c r="F67" s="66">
        <f t="shared" si="59"/>
        <v>2.8235294117647056</v>
      </c>
      <c r="G67" s="66">
        <f t="shared" si="59"/>
        <v>2.8235294117647056</v>
      </c>
      <c r="H67" s="66">
        <f t="shared" si="59"/>
        <v>2.8235294117647056</v>
      </c>
      <c r="I67" s="66">
        <f t="shared" si="59"/>
        <v>2.8235294117647056</v>
      </c>
      <c r="J67" s="66">
        <f t="shared" si="59"/>
        <v>2.8235294117647056</v>
      </c>
      <c r="K67" s="66">
        <f t="shared" si="59"/>
        <v>2.8235294117647056</v>
      </c>
      <c r="L67" s="66">
        <f t="shared" si="59"/>
        <v>2.8235294117647056</v>
      </c>
      <c r="M67" s="66">
        <f t="shared" si="59"/>
        <v>2.8235294117647056</v>
      </c>
      <c r="N67" s="66">
        <f t="shared" si="59"/>
        <v>2.8235294117647056</v>
      </c>
      <c r="O67" s="66">
        <f t="shared" si="59"/>
        <v>2.8235294117647056</v>
      </c>
      <c r="P67" s="66">
        <f t="shared" si="59"/>
        <v>2.8235294117647056</v>
      </c>
      <c r="Q67" s="66">
        <f t="shared" si="59"/>
        <v>2.8235294117647056</v>
      </c>
      <c r="R67" s="66">
        <f t="shared" si="59"/>
        <v>2.8235294117647056</v>
      </c>
      <c r="S67" s="66">
        <f t="shared" si="59"/>
        <v>2.8235294117647056</v>
      </c>
      <c r="T67" s="66">
        <f t="shared" si="59"/>
        <v>2.8235294117647056</v>
      </c>
      <c r="U67" s="66">
        <f t="shared" si="59"/>
        <v>2.8235294117647056</v>
      </c>
      <c r="V67" s="66">
        <f t="shared" si="59"/>
        <v>2.8235294117647056</v>
      </c>
      <c r="W67" s="66">
        <f t="shared" si="59"/>
        <v>2.8235294117647056</v>
      </c>
      <c r="X67" s="66">
        <f t="shared" si="59"/>
        <v>2.8235294117647056</v>
      </c>
      <c r="Y67" s="66">
        <f t="shared" si="59"/>
        <v>2.8235294117647056</v>
      </c>
      <c r="Z67" s="66">
        <f t="shared" si="59"/>
        <v>2.8235294117647056</v>
      </c>
      <c r="AA67" s="66">
        <f t="shared" si="59"/>
        <v>2.8235294117647056</v>
      </c>
      <c r="AB67" s="66">
        <f t="shared" si="59"/>
        <v>2.8235294117647056</v>
      </c>
      <c r="AC67" s="66">
        <f t="shared" si="59"/>
        <v>2.8235294117647056</v>
      </c>
    </row>
    <row r="68" spans="1:29" x14ac:dyDescent="0.3">
      <c r="A68" s="30" t="str">
        <f t="shared" si="53"/>
        <v>Opex var (mode-fees)</v>
      </c>
      <c r="B68" s="66">
        <f>B38*B47/B47</f>
        <v>0.8458018624557011</v>
      </c>
      <c r="C68" s="66">
        <f t="shared" ref="C68:AC68" si="60">C38*C47/C47</f>
        <v>0.8458018624557011</v>
      </c>
      <c r="D68" s="66">
        <f t="shared" si="60"/>
        <v>0.8458018624557011</v>
      </c>
      <c r="E68" s="66">
        <f t="shared" si="60"/>
        <v>0.8458018624557011</v>
      </c>
      <c r="F68" s="66">
        <f t="shared" si="60"/>
        <v>0.8458018624557011</v>
      </c>
      <c r="G68" s="66">
        <f t="shared" si="60"/>
        <v>0.8458018624557011</v>
      </c>
      <c r="H68" s="66">
        <f t="shared" si="60"/>
        <v>0.8458018624557011</v>
      </c>
      <c r="I68" s="66">
        <f t="shared" si="60"/>
        <v>0.8458018624557011</v>
      </c>
      <c r="J68" s="66">
        <f t="shared" si="60"/>
        <v>0.8458018624557011</v>
      </c>
      <c r="K68" s="66">
        <f t="shared" si="60"/>
        <v>0.8458018624557011</v>
      </c>
      <c r="L68" s="66">
        <f t="shared" si="60"/>
        <v>0.8458018624557011</v>
      </c>
      <c r="M68" s="66">
        <f t="shared" si="60"/>
        <v>0.8458018624557011</v>
      </c>
      <c r="N68" s="66">
        <f t="shared" si="60"/>
        <v>0.8458018624557011</v>
      </c>
      <c r="O68" s="66">
        <f t="shared" si="60"/>
        <v>0.8458018624557011</v>
      </c>
      <c r="P68" s="66">
        <f t="shared" si="60"/>
        <v>0.8458018624557011</v>
      </c>
      <c r="Q68" s="66">
        <f t="shared" si="60"/>
        <v>0.8458018624557011</v>
      </c>
      <c r="R68" s="66">
        <f t="shared" si="60"/>
        <v>0.8458018624557011</v>
      </c>
      <c r="S68" s="66">
        <f t="shared" si="60"/>
        <v>0.8458018624557011</v>
      </c>
      <c r="T68" s="66">
        <f t="shared" si="60"/>
        <v>0.8458018624557011</v>
      </c>
      <c r="U68" s="66">
        <f t="shared" si="60"/>
        <v>0.8458018624557011</v>
      </c>
      <c r="V68" s="66">
        <f t="shared" si="60"/>
        <v>0.8458018624557011</v>
      </c>
      <c r="W68" s="66">
        <f t="shared" si="60"/>
        <v>0.8458018624557011</v>
      </c>
      <c r="X68" s="66">
        <f t="shared" si="60"/>
        <v>0.8458018624557011</v>
      </c>
      <c r="Y68" s="66">
        <f t="shared" si="60"/>
        <v>0.8458018624557011</v>
      </c>
      <c r="Z68" s="66">
        <f t="shared" si="60"/>
        <v>0.8458018624557011</v>
      </c>
      <c r="AA68" s="66">
        <f t="shared" si="60"/>
        <v>0.8458018624557011</v>
      </c>
      <c r="AB68" s="66">
        <f t="shared" si="60"/>
        <v>0.8458018624557011</v>
      </c>
      <c r="AC68" s="66">
        <f t="shared" si="60"/>
        <v>0.8458018624557011</v>
      </c>
    </row>
    <row r="69" spans="1:29" x14ac:dyDescent="0.3">
      <c r="A69" s="30" t="str">
        <f t="shared" si="53"/>
        <v>Fuel Cost</v>
      </c>
      <c r="B69" s="66">
        <f>B39*B40*B47/B47</f>
        <v>111.41874089596293</v>
      </c>
      <c r="C69" s="66">
        <f t="shared" ref="C69:AC69" si="61">C39*C40*C47/C47</f>
        <v>111.35659733346958</v>
      </c>
      <c r="D69" s="66">
        <f t="shared" si="61"/>
        <v>111.26765969348004</v>
      </c>
      <c r="E69" s="66">
        <f t="shared" si="61"/>
        <v>111.14046803336268</v>
      </c>
      <c r="F69" s="66">
        <f t="shared" si="61"/>
        <v>110.95876459510222</v>
      </c>
      <c r="G69" s="66">
        <f t="shared" si="61"/>
        <v>110.69960064898437</v>
      </c>
      <c r="H69" s="66">
        <f t="shared" si="61"/>
        <v>110.33082488592767</v>
      </c>
      <c r="I69" s="66">
        <f t="shared" si="61"/>
        <v>109.80789698019339</v>
      </c>
      <c r="J69" s="66">
        <f t="shared" si="61"/>
        <v>109.07015126918542</v>
      </c>
      <c r="K69" s="66">
        <f t="shared" si="61"/>
        <v>108.03706304586504</v>
      </c>
      <c r="L69" s="66">
        <f t="shared" si="61"/>
        <v>106.60592333147795</v>
      </c>
      <c r="M69" s="66">
        <f t="shared" si="61"/>
        <v>104.65376860427207</v>
      </c>
      <c r="N69" s="66">
        <f t="shared" si="61"/>
        <v>102.04828498254919</v>
      </c>
      <c r="O69" s="66">
        <f t="shared" si="61"/>
        <v>98.67354597555294</v>
      </c>
      <c r="P69" s="66">
        <f t="shared" si="61"/>
        <v>94.473817680494747</v>
      </c>
      <c r="Q69" s="66">
        <f t="shared" si="61"/>
        <v>89.508109521295069</v>
      </c>
      <c r="R69" s="66">
        <f t="shared" si="61"/>
        <v>83.990066180089855</v>
      </c>
      <c r="S69" s="66">
        <f t="shared" si="61"/>
        <v>78.276460509373933</v>
      </c>
      <c r="T69" s="66">
        <f t="shared" si="61"/>
        <v>72.786719895607476</v>
      </c>
      <c r="U69" s="66">
        <f t="shared" si="61"/>
        <v>67.885223574811775</v>
      </c>
      <c r="V69" s="66">
        <f t="shared" si="61"/>
        <v>63.79151444481969</v>
      </c>
      <c r="W69" s="66">
        <f t="shared" si="61"/>
        <v>60.560800034248587</v>
      </c>
      <c r="X69" s="66">
        <f t="shared" si="61"/>
        <v>58.124105988890307</v>
      </c>
      <c r="Y69" s="66">
        <f t="shared" si="61"/>
        <v>56.348663916424272</v>
      </c>
      <c r="Z69" s="66">
        <f t="shared" si="61"/>
        <v>55.087416625877268</v>
      </c>
      <c r="AA69" s="66">
        <f t="shared" si="61"/>
        <v>54.207527837269033</v>
      </c>
      <c r="AB69" s="66">
        <f t="shared" si="61"/>
        <v>53.601425334443761</v>
      </c>
      <c r="AC69" s="66">
        <f t="shared" si="61"/>
        <v>53.187559966725352</v>
      </c>
    </row>
    <row r="70" spans="1:29" ht="15" thickBot="1" x14ac:dyDescent="0.35">
      <c r="A70" s="59" t="str">
        <f t="shared" ref="A70" si="62">A58</f>
        <v>Emission Cost</v>
      </c>
      <c r="B70" s="66">
        <f>B41</f>
        <v>2.4864501794892204</v>
      </c>
      <c r="C70" s="66">
        <f t="shared" ref="C70:AC70" si="63">C41</f>
        <v>2.4840824730905622</v>
      </c>
      <c r="D70" s="66">
        <f t="shared" si="63"/>
        <v>2.4806931541172901</v>
      </c>
      <c r="E70" s="66">
        <f t="shared" si="63"/>
        <v>2.4758444949784595</v>
      </c>
      <c r="F70" s="66">
        <f t="shared" si="63"/>
        <v>2.4689146911593123</v>
      </c>
      <c r="G70" s="66">
        <f t="shared" si="63"/>
        <v>2.4590243635166811</v>
      </c>
      <c r="H70" s="66">
        <f t="shared" si="63"/>
        <v>2.4449381105906096</v>
      </c>
      <c r="I70" s="66">
        <f t="shared" si="63"/>
        <v>2.4249376507251341</v>
      </c>
      <c r="J70" s="66">
        <f t="shared" si="63"/>
        <v>2.3966689226267675</v>
      </c>
      <c r="K70" s="66">
        <f t="shared" si="63"/>
        <v>2.3569801383867617</v>
      </c>
      <c r="L70" s="66">
        <f t="shared" si="63"/>
        <v>2.3017983208183335</v>
      </c>
      <c r="M70" s="66">
        <f t="shared" si="63"/>
        <v>2.2261461132879194</v>
      </c>
      <c r="N70" s="66">
        <f t="shared" si="63"/>
        <v>2.1244776529298637</v>
      </c>
      <c r="O70" s="66">
        <f t="shared" si="63"/>
        <v>1.991577334339808</v>
      </c>
      <c r="P70" s="66">
        <f t="shared" si="63"/>
        <v>1.824211846145027</v>
      </c>
      <c r="Q70" s="66">
        <f t="shared" si="63"/>
        <v>1.6233780645383806</v>
      </c>
      <c r="R70" s="66">
        <f t="shared" si="63"/>
        <v>1.396280515461632</v>
      </c>
      <c r="S70" s="66">
        <f t="shared" si="63"/>
        <v>1.156534564659107</v>
      </c>
      <c r="T70" s="66">
        <f t="shared" si="63"/>
        <v>0.92150636573615219</v>
      </c>
      <c r="U70" s="66">
        <f t="shared" si="63"/>
        <v>0.70755535854084983</v>
      </c>
      <c r="V70" s="66">
        <f t="shared" si="63"/>
        <v>0.52572746963416073</v>
      </c>
      <c r="W70" s="66">
        <f t="shared" si="63"/>
        <v>0.38011589414984037</v>
      </c>
      <c r="X70" s="66">
        <f t="shared" si="63"/>
        <v>0.26900779935239649</v>
      </c>
      <c r="Y70" s="66">
        <f t="shared" si="63"/>
        <v>0.18733443879419109</v>
      </c>
      <c r="Z70" s="66">
        <f t="shared" si="63"/>
        <v>0.12893916753616796</v>
      </c>
      <c r="AA70" s="66">
        <f t="shared" si="63"/>
        <v>8.8012706177544864E-2</v>
      </c>
      <c r="AB70" s="66">
        <f t="shared" si="63"/>
        <v>5.9730005841827971E-2</v>
      </c>
      <c r="AC70" s="66">
        <f t="shared" si="63"/>
        <v>4.0374744621079817E-2</v>
      </c>
    </row>
    <row r="71" spans="1:29" ht="15" thickBot="1" x14ac:dyDescent="0.35">
      <c r="A71" s="31" t="s">
        <v>63</v>
      </c>
      <c r="B71" s="76">
        <f>B62+B63+B64-B65+B66+B67+B68+B69+B70</f>
        <v>146.92146353318014</v>
      </c>
      <c r="C71" s="76">
        <f t="shared" ref="C71:AC71" si="64">C62+C63+C64-C65+C66+C67+C68+C69+C70</f>
        <v>146.84933371656703</v>
      </c>
      <c r="D71" s="76">
        <f t="shared" si="64"/>
        <v>146.74610097623091</v>
      </c>
      <c r="E71" s="76">
        <f t="shared" si="64"/>
        <v>146.5984591697914</v>
      </c>
      <c r="F71" s="76">
        <f t="shared" si="64"/>
        <v>146.38752795988776</v>
      </c>
      <c r="G71" s="76">
        <f t="shared" si="64"/>
        <v>146.08664966725166</v>
      </c>
      <c r="H71" s="76">
        <f t="shared" si="64"/>
        <v>145.65846244110361</v>
      </c>
      <c r="I71" s="76">
        <f t="shared" si="64"/>
        <v>145.05117877451909</v>
      </c>
      <c r="J71" s="76">
        <f t="shared" si="64"/>
        <v>144.19420430162035</v>
      </c>
      <c r="K71" s="76">
        <f t="shared" si="64"/>
        <v>142.99372104767042</v>
      </c>
      <c r="L71" s="76">
        <f t="shared" si="64"/>
        <v>141.3298414744304</v>
      </c>
      <c r="M71" s="76">
        <f t="shared" si="64"/>
        <v>139.0586091075526</v>
      </c>
      <c r="N71" s="76">
        <f t="shared" si="64"/>
        <v>136.02431932908826</v>
      </c>
      <c r="O71" s="76">
        <f t="shared" si="64"/>
        <v>132.08904783597373</v>
      </c>
      <c r="P71" s="76">
        <f t="shared" si="64"/>
        <v>127.18342361693661</v>
      </c>
      <c r="Q71" s="76">
        <f t="shared" si="64"/>
        <v>121.37066061170788</v>
      </c>
      <c r="R71" s="76">
        <f t="shared" si="64"/>
        <v>114.89478996710834</v>
      </c>
      <c r="S71" s="76">
        <f t="shared" si="64"/>
        <v>108.17000994206558</v>
      </c>
      <c r="T71" s="76">
        <f t="shared" si="64"/>
        <v>101.68899299391683</v>
      </c>
      <c r="U71" s="76">
        <f t="shared" si="64"/>
        <v>95.88511742194251</v>
      </c>
      <c r="V71" s="76">
        <f t="shared" si="64"/>
        <v>91.024514429725087</v>
      </c>
      <c r="W71" s="76">
        <f t="shared" si="64"/>
        <v>87.179655378420705</v>
      </c>
      <c r="X71" s="76">
        <f t="shared" si="64"/>
        <v>84.274341714498647</v>
      </c>
      <c r="Y71" s="76">
        <f t="shared" si="64"/>
        <v>82.154426639040494</v>
      </c>
      <c r="Z71" s="76">
        <f t="shared" si="64"/>
        <v>80.646886134729442</v>
      </c>
      <c r="AA71" s="76">
        <f t="shared" si="64"/>
        <v>79.594382175768331</v>
      </c>
      <c r="AB71" s="76">
        <f t="shared" si="64"/>
        <v>78.868991980471677</v>
      </c>
      <c r="AC71" s="76">
        <f t="shared" si="64"/>
        <v>78.373492100461391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5">A50</f>
        <v>Capex vehicle</v>
      </c>
      <c r="B74" s="65">
        <f>((1+B35)^B42)*B35/(((1+B35)^B42)-1)*(B31)/B47/(B44)</f>
        <v>2.0676718491395704E-3</v>
      </c>
      <c r="C74" s="65">
        <f t="shared" ref="C74:AC74" si="66">((1+C35)^C42)*C35/(((1+C35)^C42)-1)*(C31)/C47/(C44)</f>
        <v>2.0668853169190406E-3</v>
      </c>
      <c r="D74" s="65">
        <f t="shared" si="66"/>
        <v>2.0657594135639443E-3</v>
      </c>
      <c r="E74" s="65">
        <f t="shared" si="66"/>
        <v>2.064148729637416E-3</v>
      </c>
      <c r="F74" s="65">
        <f t="shared" si="66"/>
        <v>2.0618467068913536E-3</v>
      </c>
      <c r="G74" s="65">
        <f t="shared" si="66"/>
        <v>2.0585612229449763E-3</v>
      </c>
      <c r="H74" s="65">
        <f t="shared" si="66"/>
        <v>2.0538818877878949E-3</v>
      </c>
      <c r="I74" s="65">
        <f t="shared" si="66"/>
        <v>2.0472379026559013E-3</v>
      </c>
      <c r="J74" s="65">
        <f t="shared" si="66"/>
        <v>2.0378472681180375E-3</v>
      </c>
      <c r="K74" s="65">
        <f t="shared" si="66"/>
        <v>2.0246629866479565E-3</v>
      </c>
      <c r="L74" s="65">
        <f t="shared" si="66"/>
        <v>2.0063320493621663E-3</v>
      </c>
      <c r="M74" s="65">
        <f t="shared" si="66"/>
        <v>1.9812010201050753E-3</v>
      </c>
      <c r="N74" s="65">
        <f t="shared" si="66"/>
        <v>1.9474276097157688E-3</v>
      </c>
      <c r="O74" s="65">
        <f t="shared" si="66"/>
        <v>1.9032792377938971E-3</v>
      </c>
      <c r="P74" s="65">
        <f t="shared" si="66"/>
        <v>1.8476818254016762E-3</v>
      </c>
      <c r="Q74" s="65">
        <f t="shared" si="66"/>
        <v>1.7809665264549839E-3</v>
      </c>
      <c r="R74" s="65">
        <f t="shared" si="66"/>
        <v>1.7055266240864123E-3</v>
      </c>
      <c r="S74" s="65">
        <f t="shared" si="66"/>
        <v>1.6258850286780425E-3</v>
      </c>
      <c r="T74" s="65">
        <f t="shared" si="66"/>
        <v>1.547810630901883E-3</v>
      </c>
      <c r="U74" s="65">
        <f t="shared" si="66"/>
        <v>1.4767378995576251E-3</v>
      </c>
      <c r="V74" s="65">
        <f t="shared" si="66"/>
        <v>1.4163361988665782E-3</v>
      </c>
      <c r="W74" s="65">
        <f t="shared" si="66"/>
        <v>1.3679652539447613E-3</v>
      </c>
      <c r="X74" s="65">
        <f t="shared" si="66"/>
        <v>1.3310560761136767E-3</v>
      </c>
      <c r="Y74" s="65">
        <f t="shared" si="66"/>
        <v>1.3039248702874885E-3</v>
      </c>
      <c r="Z74" s="65">
        <f t="shared" si="66"/>
        <v>1.2845264506198121E-3</v>
      </c>
      <c r="AA74" s="65">
        <f t="shared" si="66"/>
        <v>1.270931023184608E-3</v>
      </c>
      <c r="AB74" s="65">
        <f t="shared" si="66"/>
        <v>1.2615357471866049E-3</v>
      </c>
      <c r="AC74" s="65">
        <f t="shared" si="66"/>
        <v>1.2551060916366106E-3</v>
      </c>
    </row>
    <row r="75" spans="1:29" x14ac:dyDescent="0.3">
      <c r="A75" s="30" t="str">
        <f t="shared" si="65"/>
        <v>Residual value (vehicle)</v>
      </c>
      <c r="B75" s="68">
        <f>((1+B35)^B42)*B35/(((1+B35)^B42)-1)*(B32)/B47/(B44)</f>
        <v>-1.0351994625618128E-4</v>
      </c>
      <c r="C75" s="68">
        <f t="shared" ref="C75:AC75" si="67">((1+C35)^C42)*C35/(((1+C35)^C42)-1)*(C32)/C47/(C44)</f>
        <v>-1.0353960956169452E-4</v>
      </c>
      <c r="D75" s="68">
        <f t="shared" si="67"/>
        <v>-1.0356775714557191E-4</v>
      </c>
      <c r="E75" s="68">
        <f t="shared" si="67"/>
        <v>-1.0360802424373513E-4</v>
      </c>
      <c r="F75" s="68">
        <f t="shared" si="67"/>
        <v>-1.0366557481238669E-4</v>
      </c>
      <c r="G75" s="68">
        <f t="shared" si="67"/>
        <v>-1.0374771191104613E-4</v>
      </c>
      <c r="H75" s="68">
        <f t="shared" si="67"/>
        <v>-1.0386469528997317E-4</v>
      </c>
      <c r="I75" s="68">
        <f t="shared" si="67"/>
        <v>-1.0403079491827298E-4</v>
      </c>
      <c r="J75" s="68">
        <f t="shared" si="67"/>
        <v>-1.042655607817196E-4</v>
      </c>
      <c r="K75" s="68">
        <f t="shared" si="67"/>
        <v>-1.0459516781847161E-4</v>
      </c>
      <c r="L75" s="68">
        <f t="shared" si="67"/>
        <v>-1.0505344125061638E-4</v>
      </c>
      <c r="M75" s="68">
        <f t="shared" si="67"/>
        <v>-1.0568171698204363E-4</v>
      </c>
      <c r="N75" s="68">
        <f t="shared" si="67"/>
        <v>-1.0652605224177631E-4</v>
      </c>
      <c r="O75" s="68">
        <f t="shared" si="67"/>
        <v>-1.076297615398231E-4</v>
      </c>
      <c r="P75" s="68">
        <f t="shared" si="67"/>
        <v>-1.0901969684962864E-4</v>
      </c>
      <c r="Q75" s="68">
        <f t="shared" si="67"/>
        <v>-1.1068757932329594E-4</v>
      </c>
      <c r="R75" s="68">
        <f t="shared" si="67"/>
        <v>-1.1257357688251022E-4</v>
      </c>
      <c r="S75" s="68">
        <f t="shared" si="67"/>
        <v>-1.1456461676771947E-4</v>
      </c>
      <c r="T75" s="68">
        <f t="shared" si="67"/>
        <v>-1.1651647671212345E-4</v>
      </c>
      <c r="U75" s="68">
        <f t="shared" si="67"/>
        <v>-1.182932949957299E-4</v>
      </c>
      <c r="V75" s="68">
        <f t="shared" si="67"/>
        <v>-1.1980333751300609E-4</v>
      </c>
      <c r="W75" s="68">
        <f t="shared" si="67"/>
        <v>-1.210126111360515E-4</v>
      </c>
      <c r="X75" s="68">
        <f t="shared" si="67"/>
        <v>-1.2193534058182861E-4</v>
      </c>
      <c r="Y75" s="68">
        <f t="shared" si="67"/>
        <v>-1.2261362072748334E-4</v>
      </c>
      <c r="Z75" s="68">
        <f t="shared" si="67"/>
        <v>-1.2309858121917525E-4</v>
      </c>
      <c r="AA75" s="68">
        <f t="shared" si="67"/>
        <v>-1.2343846690505536E-4</v>
      </c>
      <c r="AB75" s="68">
        <f t="shared" si="67"/>
        <v>-1.2367334880500542E-4</v>
      </c>
      <c r="AC75" s="68">
        <f t="shared" si="67"/>
        <v>-1.2383409019375524E-4</v>
      </c>
    </row>
    <row r="76" spans="1:29" x14ac:dyDescent="0.3">
      <c r="A76" s="30" t="str">
        <f t="shared" si="65"/>
        <v>Capex costumization</v>
      </c>
      <c r="B76" s="66">
        <f>((1+B35)^B43)*B35/(((1+B35)^B43)-1)*(B33)/B47/(B44)</f>
        <v>6.8982996659853576E-5</v>
      </c>
      <c r="C76" s="66">
        <f t="shared" ref="C76:AC76" si="68">((1+C35)^C43)*C35/(((1+C35)^C43)-1)*(C33)/C47/(C44)</f>
        <v>6.8982996659853576E-5</v>
      </c>
      <c r="D76" s="66">
        <f t="shared" si="68"/>
        <v>6.8982996659853576E-5</v>
      </c>
      <c r="E76" s="66">
        <f t="shared" si="68"/>
        <v>6.8982996659853576E-5</v>
      </c>
      <c r="F76" s="66">
        <f t="shared" si="68"/>
        <v>6.8982996659853576E-5</v>
      </c>
      <c r="G76" s="66">
        <f t="shared" si="68"/>
        <v>6.8982996659853576E-5</v>
      </c>
      <c r="H76" s="66">
        <f t="shared" si="68"/>
        <v>6.8982996659853576E-5</v>
      </c>
      <c r="I76" s="66">
        <f t="shared" si="68"/>
        <v>6.8982996659853576E-5</v>
      </c>
      <c r="J76" s="66">
        <f t="shared" si="68"/>
        <v>6.8982996659853576E-5</v>
      </c>
      <c r="K76" s="66">
        <f t="shared" si="68"/>
        <v>6.8982996659853576E-5</v>
      </c>
      <c r="L76" s="66">
        <f t="shared" si="68"/>
        <v>6.8982996659853576E-5</v>
      </c>
      <c r="M76" s="66">
        <f t="shared" si="68"/>
        <v>6.8982996659853576E-5</v>
      </c>
      <c r="N76" s="66">
        <f t="shared" si="68"/>
        <v>6.8982996659853576E-5</v>
      </c>
      <c r="O76" s="66">
        <f t="shared" si="68"/>
        <v>6.8982996659853576E-5</v>
      </c>
      <c r="P76" s="66">
        <f t="shared" si="68"/>
        <v>6.8982996659853576E-5</v>
      </c>
      <c r="Q76" s="66">
        <f t="shared" si="68"/>
        <v>6.8982996659853576E-5</v>
      </c>
      <c r="R76" s="66">
        <f t="shared" si="68"/>
        <v>6.8982996659853576E-5</v>
      </c>
      <c r="S76" s="66">
        <f t="shared" si="68"/>
        <v>6.8982996659853576E-5</v>
      </c>
      <c r="T76" s="66">
        <f t="shared" si="68"/>
        <v>6.8982996659853576E-5</v>
      </c>
      <c r="U76" s="66">
        <f t="shared" si="68"/>
        <v>6.8982996659853576E-5</v>
      </c>
      <c r="V76" s="66">
        <f t="shared" si="68"/>
        <v>6.8982996659853576E-5</v>
      </c>
      <c r="W76" s="66">
        <f t="shared" si="68"/>
        <v>6.8982996659853576E-5</v>
      </c>
      <c r="X76" s="66">
        <f t="shared" si="68"/>
        <v>6.8982996659853576E-5</v>
      </c>
      <c r="Y76" s="66">
        <f t="shared" si="68"/>
        <v>6.8982996659853576E-5</v>
      </c>
      <c r="Z76" s="66">
        <f t="shared" si="68"/>
        <v>6.8982996659853576E-5</v>
      </c>
      <c r="AA76" s="66">
        <f t="shared" si="68"/>
        <v>6.8982996659853576E-5</v>
      </c>
      <c r="AB76" s="66">
        <f t="shared" si="68"/>
        <v>6.8982996659853576E-5</v>
      </c>
      <c r="AC76" s="66">
        <f t="shared" si="68"/>
        <v>6.8982996659853576E-5</v>
      </c>
    </row>
    <row r="77" spans="1:29" x14ac:dyDescent="0.3">
      <c r="A77" s="30" t="str">
        <f t="shared" si="65"/>
        <v>Residual value (costumization)</v>
      </c>
      <c r="B77" s="69">
        <f>((1+B35)^B43)*B35/(((1+B35)^B43)-1)*(B34)/B47/(B44)</f>
        <v>-6.8982996659853564E-6</v>
      </c>
      <c r="C77" s="69">
        <f t="shared" ref="C77:AC77" si="69">((1+C35)^C43)*C35/(((1+C35)^C43)-1)*(C34)/C47/(C44)</f>
        <v>-6.8982996659853564E-6</v>
      </c>
      <c r="D77" s="69">
        <f t="shared" si="69"/>
        <v>-6.8982996659853564E-6</v>
      </c>
      <c r="E77" s="69">
        <f t="shared" si="69"/>
        <v>-6.8982996659853564E-6</v>
      </c>
      <c r="F77" s="69">
        <f t="shared" si="69"/>
        <v>-6.8982996659853564E-6</v>
      </c>
      <c r="G77" s="69">
        <f t="shared" si="69"/>
        <v>-6.8982996659853564E-6</v>
      </c>
      <c r="H77" s="69">
        <f t="shared" si="69"/>
        <v>-6.8982996659853564E-6</v>
      </c>
      <c r="I77" s="69">
        <f t="shared" si="69"/>
        <v>-6.8982996659853564E-6</v>
      </c>
      <c r="J77" s="69">
        <f t="shared" si="69"/>
        <v>-6.8982996659853564E-6</v>
      </c>
      <c r="K77" s="69">
        <f t="shared" si="69"/>
        <v>-6.8982996659853564E-6</v>
      </c>
      <c r="L77" s="69">
        <f t="shared" si="69"/>
        <v>-6.8982996659853564E-6</v>
      </c>
      <c r="M77" s="69">
        <f t="shared" si="69"/>
        <v>-6.8982996659853564E-6</v>
      </c>
      <c r="N77" s="69">
        <f t="shared" si="69"/>
        <v>-6.8982996659853564E-6</v>
      </c>
      <c r="O77" s="69">
        <f t="shared" si="69"/>
        <v>-6.8982996659853564E-6</v>
      </c>
      <c r="P77" s="69">
        <f t="shared" si="69"/>
        <v>-6.8982996659853564E-6</v>
      </c>
      <c r="Q77" s="69">
        <f t="shared" si="69"/>
        <v>-6.8982996659853564E-6</v>
      </c>
      <c r="R77" s="69">
        <f t="shared" si="69"/>
        <v>-6.8982996659853564E-6</v>
      </c>
      <c r="S77" s="69">
        <f t="shared" si="69"/>
        <v>-6.8982996659853564E-6</v>
      </c>
      <c r="T77" s="69">
        <f t="shared" si="69"/>
        <v>-6.8982996659853564E-6</v>
      </c>
      <c r="U77" s="69">
        <f t="shared" si="69"/>
        <v>-6.8982996659853564E-6</v>
      </c>
      <c r="V77" s="69">
        <f t="shared" si="69"/>
        <v>-6.8982996659853564E-6</v>
      </c>
      <c r="W77" s="69">
        <f t="shared" si="69"/>
        <v>-6.8982996659853564E-6</v>
      </c>
      <c r="X77" s="69">
        <f t="shared" si="69"/>
        <v>-6.8982996659853564E-6</v>
      </c>
      <c r="Y77" s="69">
        <f t="shared" si="69"/>
        <v>-6.8982996659853564E-6</v>
      </c>
      <c r="Z77" s="69">
        <f t="shared" si="69"/>
        <v>-6.8982996659853564E-6</v>
      </c>
      <c r="AA77" s="69">
        <f t="shared" si="69"/>
        <v>-6.8982996659853564E-6</v>
      </c>
      <c r="AB77" s="69">
        <f t="shared" si="69"/>
        <v>-6.8982996659853564E-6</v>
      </c>
      <c r="AC77" s="69">
        <f t="shared" si="69"/>
        <v>-6.8982996659853564E-6</v>
      </c>
    </row>
    <row r="78" spans="1:29" x14ac:dyDescent="0.3">
      <c r="A78" s="30" t="str">
        <f t="shared" si="65"/>
        <v>Opex fix (admin, crew, insurance)</v>
      </c>
      <c r="B78" s="66">
        <f>B36/B47/(B44)</f>
        <v>1.0654632223259673E-3</v>
      </c>
      <c r="C78" s="66">
        <f t="shared" ref="C78:AC78" si="70">C36/C47/(C44)</f>
        <v>1.0654632223259673E-3</v>
      </c>
      <c r="D78" s="66">
        <f t="shared" si="70"/>
        <v>1.0654632223259673E-3</v>
      </c>
      <c r="E78" s="66">
        <f t="shared" si="70"/>
        <v>1.0654632223259673E-3</v>
      </c>
      <c r="F78" s="66">
        <f t="shared" si="70"/>
        <v>1.0654632223259673E-3</v>
      </c>
      <c r="G78" s="66">
        <f t="shared" si="70"/>
        <v>1.0654632223259673E-3</v>
      </c>
      <c r="H78" s="66">
        <f t="shared" si="70"/>
        <v>1.0654632223259673E-3</v>
      </c>
      <c r="I78" s="66">
        <f t="shared" si="70"/>
        <v>1.0654632223259673E-3</v>
      </c>
      <c r="J78" s="66">
        <f t="shared" si="70"/>
        <v>1.0654632223259673E-3</v>
      </c>
      <c r="K78" s="66">
        <f t="shared" si="70"/>
        <v>1.0654632223259673E-3</v>
      </c>
      <c r="L78" s="66">
        <f t="shared" si="70"/>
        <v>1.0654632223259673E-3</v>
      </c>
      <c r="M78" s="66">
        <f t="shared" si="70"/>
        <v>1.0654632223259673E-3</v>
      </c>
      <c r="N78" s="66">
        <f t="shared" si="70"/>
        <v>1.0654632223259673E-3</v>
      </c>
      <c r="O78" s="66">
        <f t="shared" si="70"/>
        <v>1.0654632223259673E-3</v>
      </c>
      <c r="P78" s="66">
        <f t="shared" si="70"/>
        <v>1.0654632223259673E-3</v>
      </c>
      <c r="Q78" s="66">
        <f t="shared" si="70"/>
        <v>1.0654632223259673E-3</v>
      </c>
      <c r="R78" s="66">
        <f t="shared" si="70"/>
        <v>1.0654632223259673E-3</v>
      </c>
      <c r="S78" s="66">
        <f t="shared" si="70"/>
        <v>1.0654632223259673E-3</v>
      </c>
      <c r="T78" s="66">
        <f t="shared" si="70"/>
        <v>1.0654632223259673E-3</v>
      </c>
      <c r="U78" s="66">
        <f t="shared" si="70"/>
        <v>1.0654632223259673E-3</v>
      </c>
      <c r="V78" s="66">
        <f t="shared" si="70"/>
        <v>1.0654632223259673E-3</v>
      </c>
      <c r="W78" s="66">
        <f t="shared" si="70"/>
        <v>1.0654632223259673E-3</v>
      </c>
      <c r="X78" s="66">
        <f t="shared" si="70"/>
        <v>1.0654632223259673E-3</v>
      </c>
      <c r="Y78" s="66">
        <f t="shared" si="70"/>
        <v>1.0654632223259673E-3</v>
      </c>
      <c r="Z78" s="66">
        <f t="shared" si="70"/>
        <v>1.0654632223259673E-3</v>
      </c>
      <c r="AA78" s="66">
        <f t="shared" si="70"/>
        <v>1.0654632223259673E-3</v>
      </c>
      <c r="AB78" s="66">
        <f t="shared" si="70"/>
        <v>1.0654632223259673E-3</v>
      </c>
      <c r="AC78" s="66">
        <f t="shared" si="70"/>
        <v>1.0654632223259673E-3</v>
      </c>
    </row>
    <row r="79" spans="1:29" x14ac:dyDescent="0.3">
      <c r="A79" s="30" t="str">
        <f t="shared" si="65"/>
        <v>Opex maintenance &amp; repair</v>
      </c>
      <c r="B79" s="66">
        <f>B37/B47/(B44)</f>
        <v>2.9878618113912231E-4</v>
      </c>
      <c r="C79" s="66">
        <f t="shared" ref="C79:AC79" si="71">C37/C47/(C44)</f>
        <v>2.9878618113912231E-4</v>
      </c>
      <c r="D79" s="66">
        <f t="shared" si="71"/>
        <v>2.9878618113912231E-4</v>
      </c>
      <c r="E79" s="66">
        <f t="shared" si="71"/>
        <v>2.9878618113912231E-4</v>
      </c>
      <c r="F79" s="66">
        <f t="shared" si="71"/>
        <v>2.9878618113912231E-4</v>
      </c>
      <c r="G79" s="66">
        <f t="shared" si="71"/>
        <v>2.9878618113912231E-4</v>
      </c>
      <c r="H79" s="66">
        <f t="shared" si="71"/>
        <v>2.9878618113912231E-4</v>
      </c>
      <c r="I79" s="66">
        <f t="shared" si="71"/>
        <v>2.9878618113912231E-4</v>
      </c>
      <c r="J79" s="66">
        <f t="shared" si="71"/>
        <v>2.9878618113912231E-4</v>
      </c>
      <c r="K79" s="66">
        <f t="shared" si="71"/>
        <v>2.9878618113912231E-4</v>
      </c>
      <c r="L79" s="66">
        <f t="shared" si="71"/>
        <v>2.9878618113912231E-4</v>
      </c>
      <c r="M79" s="66">
        <f t="shared" si="71"/>
        <v>2.9878618113912231E-4</v>
      </c>
      <c r="N79" s="66">
        <f t="shared" si="71"/>
        <v>2.9878618113912231E-4</v>
      </c>
      <c r="O79" s="66">
        <f t="shared" si="71"/>
        <v>2.9878618113912231E-4</v>
      </c>
      <c r="P79" s="66">
        <f t="shared" si="71"/>
        <v>2.9878618113912231E-4</v>
      </c>
      <c r="Q79" s="66">
        <f t="shared" si="71"/>
        <v>2.9878618113912231E-4</v>
      </c>
      <c r="R79" s="66">
        <f t="shared" si="71"/>
        <v>2.9878618113912231E-4</v>
      </c>
      <c r="S79" s="66">
        <f t="shared" si="71"/>
        <v>2.9878618113912231E-4</v>
      </c>
      <c r="T79" s="66">
        <f t="shared" si="71"/>
        <v>2.9878618113912231E-4</v>
      </c>
      <c r="U79" s="66">
        <f t="shared" si="71"/>
        <v>2.9878618113912231E-4</v>
      </c>
      <c r="V79" s="66">
        <f t="shared" si="71"/>
        <v>2.9878618113912231E-4</v>
      </c>
      <c r="W79" s="66">
        <f t="shared" si="71"/>
        <v>2.9878618113912231E-4</v>
      </c>
      <c r="X79" s="66">
        <f t="shared" si="71"/>
        <v>2.9878618113912231E-4</v>
      </c>
      <c r="Y79" s="66">
        <f t="shared" si="71"/>
        <v>2.9878618113912231E-4</v>
      </c>
      <c r="Z79" s="66">
        <f t="shared" si="71"/>
        <v>2.9878618113912231E-4</v>
      </c>
      <c r="AA79" s="66">
        <f t="shared" si="71"/>
        <v>2.9878618113912231E-4</v>
      </c>
      <c r="AB79" s="66">
        <f t="shared" si="71"/>
        <v>2.9878618113912231E-4</v>
      </c>
      <c r="AC79" s="66">
        <f t="shared" si="71"/>
        <v>2.9878618113912231E-4</v>
      </c>
    </row>
    <row r="80" spans="1:29" x14ac:dyDescent="0.3">
      <c r="A80" s="30" t="str">
        <f t="shared" si="65"/>
        <v>Opex var (mode-fees)</v>
      </c>
      <c r="B80" s="66">
        <f>B38*B47/B47/(B44)</f>
        <v>8.9502842587904882E-5</v>
      </c>
      <c r="C80" s="66">
        <f t="shared" ref="C80:AC80" si="72">C38*C47/C47/(C44)</f>
        <v>8.9502842587904882E-5</v>
      </c>
      <c r="D80" s="66">
        <f t="shared" si="72"/>
        <v>8.9502842587904882E-5</v>
      </c>
      <c r="E80" s="66">
        <f t="shared" si="72"/>
        <v>8.9502842587904882E-5</v>
      </c>
      <c r="F80" s="66">
        <f t="shared" si="72"/>
        <v>8.9502842587904882E-5</v>
      </c>
      <c r="G80" s="66">
        <f t="shared" si="72"/>
        <v>8.9502842587904882E-5</v>
      </c>
      <c r="H80" s="66">
        <f t="shared" si="72"/>
        <v>8.9502842587904882E-5</v>
      </c>
      <c r="I80" s="66">
        <f t="shared" si="72"/>
        <v>8.9502842587904882E-5</v>
      </c>
      <c r="J80" s="66">
        <f t="shared" si="72"/>
        <v>8.9502842587904882E-5</v>
      </c>
      <c r="K80" s="66">
        <f t="shared" si="72"/>
        <v>8.9502842587904882E-5</v>
      </c>
      <c r="L80" s="66">
        <f t="shared" si="72"/>
        <v>8.9502842587904882E-5</v>
      </c>
      <c r="M80" s="66">
        <f t="shared" si="72"/>
        <v>8.9502842587904882E-5</v>
      </c>
      <c r="N80" s="66">
        <f t="shared" si="72"/>
        <v>8.9502842587904882E-5</v>
      </c>
      <c r="O80" s="66">
        <f t="shared" si="72"/>
        <v>8.9502842587904882E-5</v>
      </c>
      <c r="P80" s="66">
        <f t="shared" si="72"/>
        <v>8.9502842587904882E-5</v>
      </c>
      <c r="Q80" s="66">
        <f t="shared" si="72"/>
        <v>8.9502842587904882E-5</v>
      </c>
      <c r="R80" s="66">
        <f t="shared" si="72"/>
        <v>8.9502842587904882E-5</v>
      </c>
      <c r="S80" s="66">
        <f t="shared" si="72"/>
        <v>8.9502842587904882E-5</v>
      </c>
      <c r="T80" s="66">
        <f t="shared" si="72"/>
        <v>8.9502842587904882E-5</v>
      </c>
      <c r="U80" s="66">
        <f t="shared" si="72"/>
        <v>8.9502842587904882E-5</v>
      </c>
      <c r="V80" s="66">
        <f t="shared" si="72"/>
        <v>8.9502842587904882E-5</v>
      </c>
      <c r="W80" s="66">
        <f t="shared" si="72"/>
        <v>8.9502842587904882E-5</v>
      </c>
      <c r="X80" s="66">
        <f t="shared" si="72"/>
        <v>8.9502842587904882E-5</v>
      </c>
      <c r="Y80" s="66">
        <f t="shared" si="72"/>
        <v>8.9502842587904882E-5</v>
      </c>
      <c r="Z80" s="66">
        <f t="shared" si="72"/>
        <v>8.9502842587904882E-5</v>
      </c>
      <c r="AA80" s="66">
        <f t="shared" si="72"/>
        <v>8.9502842587904882E-5</v>
      </c>
      <c r="AB80" s="66">
        <f t="shared" si="72"/>
        <v>8.9502842587904882E-5</v>
      </c>
      <c r="AC80" s="66">
        <f t="shared" si="72"/>
        <v>8.9502842587904882E-5</v>
      </c>
    </row>
    <row r="81" spans="1:29" x14ac:dyDescent="0.3">
      <c r="A81" s="30" t="str">
        <f t="shared" si="65"/>
        <v>Fuel Cost</v>
      </c>
      <c r="B81" s="66">
        <f>B39*B40*B47/B47/(B44)</f>
        <v>1.1790342951953749E-2</v>
      </c>
      <c r="C81" s="66">
        <f t="shared" ref="C81:AC81" si="73">C39*C40*C47/C47/(C44)</f>
        <v>1.1783766913594665E-2</v>
      </c>
      <c r="D81" s="66">
        <f t="shared" si="73"/>
        <v>1.1774355523119581E-2</v>
      </c>
      <c r="E81" s="66">
        <f t="shared" si="73"/>
        <v>1.1760896088186527E-2</v>
      </c>
      <c r="F81" s="66">
        <f t="shared" si="73"/>
        <v>1.1741668211121929E-2</v>
      </c>
      <c r="G81" s="66">
        <f t="shared" si="73"/>
        <v>1.1714243454918982E-2</v>
      </c>
      <c r="H81" s="66">
        <f t="shared" si="73"/>
        <v>1.1675219564648431E-2</v>
      </c>
      <c r="I81" s="66">
        <f t="shared" si="73"/>
        <v>1.1619883278327343E-2</v>
      </c>
      <c r="J81" s="66">
        <f t="shared" si="73"/>
        <v>1.154181494912015E-2</v>
      </c>
      <c r="K81" s="66">
        <f t="shared" si="73"/>
        <v>1.1432493444006882E-2</v>
      </c>
      <c r="L81" s="66">
        <f t="shared" si="73"/>
        <v>1.1281050087987085E-2</v>
      </c>
      <c r="M81" s="66">
        <f t="shared" si="73"/>
        <v>1.1074472868176938E-2</v>
      </c>
      <c r="N81" s="66">
        <f t="shared" si="73"/>
        <v>1.0798760315613672E-2</v>
      </c>
      <c r="O81" s="66">
        <f t="shared" si="73"/>
        <v>1.0441645076778088E-2</v>
      </c>
      <c r="P81" s="66">
        <f t="shared" si="73"/>
        <v>9.9972293841793375E-3</v>
      </c>
      <c r="Q81" s="66">
        <f t="shared" si="73"/>
        <v>9.4717576213010652E-3</v>
      </c>
      <c r="R81" s="66">
        <f t="shared" si="73"/>
        <v>8.8878376910148001E-3</v>
      </c>
      <c r="S81" s="66">
        <f t="shared" si="73"/>
        <v>8.2832233343252838E-3</v>
      </c>
      <c r="T81" s="66">
        <f t="shared" si="73"/>
        <v>7.702298401651585E-3</v>
      </c>
      <c r="U81" s="66">
        <f t="shared" si="73"/>
        <v>7.183621542308124E-3</v>
      </c>
      <c r="V81" s="66">
        <f t="shared" si="73"/>
        <v>6.7504248089756283E-3</v>
      </c>
      <c r="W81" s="66">
        <f t="shared" si="73"/>
        <v>6.4085502681744538E-3</v>
      </c>
      <c r="X81" s="66">
        <f t="shared" si="73"/>
        <v>6.1506990464434185E-3</v>
      </c>
      <c r="Y81" s="66">
        <f t="shared" si="73"/>
        <v>5.9628215784575953E-3</v>
      </c>
      <c r="Z81" s="66">
        <f t="shared" si="73"/>
        <v>5.8293562567065891E-3</v>
      </c>
      <c r="AA81" s="66">
        <f t="shared" si="73"/>
        <v>5.7362463319861412E-3</v>
      </c>
      <c r="AB81" s="66">
        <f t="shared" si="73"/>
        <v>5.6721085009993396E-3</v>
      </c>
      <c r="AC81" s="66">
        <f t="shared" si="73"/>
        <v>5.6283132239921011E-3</v>
      </c>
    </row>
    <row r="82" spans="1:29" x14ac:dyDescent="0.3">
      <c r="A82" s="59" t="str">
        <f>A45</f>
        <v>Market failure (av. utilization)</v>
      </c>
      <c r="B82" s="66">
        <f t="shared" ref="B82:AC82" si="74">B71/B45-B71/B44</f>
        <v>1.4937548943097472E-2</v>
      </c>
      <c r="C82" s="66">
        <f t="shared" si="74"/>
        <v>1.4930215483165858E-2</v>
      </c>
      <c r="D82" s="66">
        <f t="shared" si="74"/>
        <v>1.4919719779718465E-2</v>
      </c>
      <c r="E82" s="66">
        <f t="shared" si="74"/>
        <v>1.4904708993297601E-2</v>
      </c>
      <c r="F82" s="66">
        <f t="shared" si="74"/>
        <v>1.4883263554382197E-2</v>
      </c>
      <c r="G82" s="66">
        <f t="shared" si="74"/>
        <v>1.4852673168783755E-2</v>
      </c>
      <c r="H82" s="66">
        <f t="shared" si="74"/>
        <v>1.4809139246009082E-2</v>
      </c>
      <c r="I82" s="66">
        <f t="shared" si="74"/>
        <v>1.4747396534809495E-2</v>
      </c>
      <c r="J82" s="66">
        <f t="shared" si="74"/>
        <v>1.466026768498682E-2</v>
      </c>
      <c r="K82" s="66">
        <f t="shared" si="74"/>
        <v>1.4538214195115367E-2</v>
      </c>
      <c r="L82" s="66">
        <f t="shared" si="74"/>
        <v>1.4369047063486025E-2</v>
      </c>
      <c r="M82" s="66">
        <f t="shared" si="74"/>
        <v>1.413813019248901E-2</v>
      </c>
      <c r="N82" s="66">
        <f t="shared" si="74"/>
        <v>1.3829633047256613E-2</v>
      </c>
      <c r="O82" s="66">
        <f t="shared" si="74"/>
        <v>1.3429532822829571E-2</v>
      </c>
      <c r="P82" s="66">
        <f t="shared" si="74"/>
        <v>1.2930776547836694E-2</v>
      </c>
      <c r="Q82" s="66">
        <f t="shared" si="74"/>
        <v>1.2339791202352289E-2</v>
      </c>
      <c r="R82" s="66">
        <f t="shared" si="74"/>
        <v>1.1681387505733601E-2</v>
      </c>
      <c r="S82" s="66">
        <f t="shared" si="74"/>
        <v>1.0997677118292797E-2</v>
      </c>
      <c r="T82" s="66">
        <f t="shared" si="74"/>
        <v>1.0338750195459953E-2</v>
      </c>
      <c r="U82" s="66">
        <f t="shared" si="74"/>
        <v>9.7486684379607495E-3</v>
      </c>
      <c r="V82" s="66">
        <f t="shared" si="74"/>
        <v>9.2544894845036398E-3</v>
      </c>
      <c r="W82" s="66">
        <f t="shared" si="74"/>
        <v>8.863581519955626E-3</v>
      </c>
      <c r="X82" s="66">
        <f t="shared" si="74"/>
        <v>8.5681974146912202E-3</v>
      </c>
      <c r="Y82" s="66">
        <f t="shared" si="74"/>
        <v>8.3526650177673696E-3</v>
      </c>
      <c r="Z82" s="66">
        <f t="shared" si="74"/>
        <v>8.1993929258257978E-3</v>
      </c>
      <c r="AA82" s="66">
        <f t="shared" si="74"/>
        <v>8.0923845349365059E-3</v>
      </c>
      <c r="AB82" s="66">
        <f t="shared" si="74"/>
        <v>8.0186338977966832E-3</v>
      </c>
      <c r="AC82" s="66">
        <f t="shared" si="74"/>
        <v>7.968256277461578E-3</v>
      </c>
    </row>
    <row r="83" spans="1:29" x14ac:dyDescent="0.3">
      <c r="A83" s="59" t="str">
        <f>A46</f>
        <v>Payload loss (fuel)</v>
      </c>
      <c r="B83" s="66">
        <f>B71/(B44-B46)-B71/B44</f>
        <v>6.1570775835342366E-2</v>
      </c>
      <c r="C83" s="66">
        <f t="shared" ref="C83:AC83" si="75">C71/(C44-C46)-C71/C44</f>
        <v>6.1276265028233856E-2</v>
      </c>
      <c r="D83" s="66">
        <f t="shared" si="75"/>
        <v>6.0858275584112081E-2</v>
      </c>
      <c r="E83" s="66">
        <f t="shared" si="75"/>
        <v>6.0267562187327726E-2</v>
      </c>
      <c r="F83" s="66">
        <f t="shared" si="75"/>
        <v>5.9437798716073645E-2</v>
      </c>
      <c r="G83" s="66">
        <f t="shared" si="75"/>
        <v>5.8282197055057799E-2</v>
      </c>
      <c r="H83" s="66">
        <f t="shared" si="75"/>
        <v>5.6692037685325818E-2</v>
      </c>
      <c r="I83" s="66">
        <f t="shared" si="75"/>
        <v>5.4540075497661211E-2</v>
      </c>
      <c r="J83" s="66">
        <f t="shared" si="75"/>
        <v>5.1693322760738368E-2</v>
      </c>
      <c r="K83" s="66">
        <f t="shared" si="75"/>
        <v>4.804020129161711E-2</v>
      </c>
      <c r="L83" s="66">
        <f t="shared" si="75"/>
        <v>4.3533906054111865E-2</v>
      </c>
      <c r="M83" s="66">
        <f t="shared" si="75"/>
        <v>3.8244137541224833E-2</v>
      </c>
      <c r="N83" s="66">
        <f t="shared" si="75"/>
        <v>3.2394418515096994E-2</v>
      </c>
      <c r="O83" s="66">
        <f t="shared" si="75"/>
        <v>2.6353267145321317E-2</v>
      </c>
      <c r="P83" s="66">
        <f t="shared" si="75"/>
        <v>2.0561759875706177E-2</v>
      </c>
      <c r="Q83" s="66">
        <f t="shared" si="75"/>
        <v>1.5418880115482243E-2</v>
      </c>
      <c r="R83" s="66">
        <f t="shared" si="75"/>
        <v>1.1179643075002564E-2</v>
      </c>
      <c r="S83" s="66">
        <f t="shared" si="75"/>
        <v>7.9150989731992492E-3</v>
      </c>
      <c r="T83" s="66">
        <f t="shared" si="75"/>
        <v>5.5422261273218223E-3</v>
      </c>
      <c r="U83" s="66">
        <f t="shared" si="75"/>
        <v>3.8927706765711501E-3</v>
      </c>
      <c r="V83" s="66">
        <f t="shared" si="75"/>
        <v>2.7805955504754364E-3</v>
      </c>
      <c r="W83" s="66">
        <f t="shared" si="75"/>
        <v>2.0436812516704417E-3</v>
      </c>
      <c r="X83" s="66">
        <f t="shared" si="75"/>
        <v>1.5590196948701823E-3</v>
      </c>
      <c r="Y83" s="66">
        <f t="shared" si="75"/>
        <v>1.2405672098106616E-3</v>
      </c>
      <c r="Z83" s="66">
        <f t="shared" si="75"/>
        <v>1.0308301454105932E-3</v>
      </c>
      <c r="AA83" s="66">
        <f t="shared" si="75"/>
        <v>8.9220863256979886E-4</v>
      </c>
      <c r="AB83" s="66">
        <f t="shared" si="75"/>
        <v>8.0027105902964572E-4</v>
      </c>
      <c r="AC83" s="66">
        <f t="shared" si="75"/>
        <v>7.3911699391485813E-4</v>
      </c>
    </row>
    <row r="84" spans="1:29" ht="15" thickBot="1" x14ac:dyDescent="0.35">
      <c r="A84" s="59" t="str">
        <f>A21</f>
        <v>Emission Cost</v>
      </c>
      <c r="B84" s="68">
        <f>B41*B47/B47/(B44)</f>
        <v>2.6311642110997044E-4</v>
      </c>
      <c r="C84" s="68">
        <f t="shared" ref="C84:AC84" si="76">C41*C47/C47/(C44)</f>
        <v>2.6286587016831347E-4</v>
      </c>
      <c r="D84" s="68">
        <f t="shared" si="76"/>
        <v>2.625072120759037E-4</v>
      </c>
      <c r="E84" s="68">
        <f t="shared" si="76"/>
        <v>2.6199412645274697E-4</v>
      </c>
      <c r="F84" s="68">
        <f t="shared" si="76"/>
        <v>2.6126081387929228E-4</v>
      </c>
      <c r="G84" s="68">
        <f t="shared" si="76"/>
        <v>2.6021421836155354E-4</v>
      </c>
      <c r="H84" s="68">
        <f t="shared" si="76"/>
        <v>2.587236095863079E-4</v>
      </c>
      <c r="I84" s="68">
        <f t="shared" si="76"/>
        <v>2.566071588068925E-4</v>
      </c>
      <c r="J84" s="68">
        <f t="shared" si="76"/>
        <v>2.5361575900812355E-4</v>
      </c>
      <c r="K84" s="68">
        <f t="shared" si="76"/>
        <v>2.4941588765997478E-4</v>
      </c>
      <c r="L84" s="68">
        <f t="shared" si="76"/>
        <v>2.4357654188553792E-4</v>
      </c>
      <c r="M84" s="68">
        <f t="shared" si="76"/>
        <v>2.3557101727914492E-4</v>
      </c>
      <c r="N84" s="68">
        <f t="shared" si="76"/>
        <v>2.2481245004548822E-4</v>
      </c>
      <c r="O84" s="68">
        <f t="shared" si="76"/>
        <v>2.1074892426876276E-4</v>
      </c>
      <c r="P84" s="68">
        <f t="shared" si="76"/>
        <v>1.9303829059735733E-4</v>
      </c>
      <c r="Q84" s="68">
        <f t="shared" si="76"/>
        <v>1.7178603857549002E-4</v>
      </c>
      <c r="R84" s="68">
        <f t="shared" si="76"/>
        <v>1.4775455190070181E-4</v>
      </c>
      <c r="S84" s="68">
        <f t="shared" si="76"/>
        <v>1.2238461001683673E-4</v>
      </c>
      <c r="T84" s="68">
        <f t="shared" si="76"/>
        <v>9.7513901136100757E-5</v>
      </c>
      <c r="U84" s="68">
        <f t="shared" si="76"/>
        <v>7.4873582914375649E-5</v>
      </c>
      <c r="V84" s="68">
        <f t="shared" si="76"/>
        <v>5.5632536469223359E-5</v>
      </c>
      <c r="W84" s="68">
        <f t="shared" si="76"/>
        <v>4.0223904142840252E-5</v>
      </c>
      <c r="X84" s="68">
        <f t="shared" si="76"/>
        <v>2.8466433793904391E-5</v>
      </c>
      <c r="Y84" s="68">
        <f t="shared" si="76"/>
        <v>1.9823750136951439E-5</v>
      </c>
      <c r="Z84" s="68">
        <f t="shared" si="76"/>
        <v>1.3644356353033646E-5</v>
      </c>
      <c r="AA84" s="68">
        <f t="shared" si="76"/>
        <v>9.3135138812216792E-6</v>
      </c>
      <c r="AB84" s="68">
        <f t="shared" si="76"/>
        <v>6.3206355388177748E-6</v>
      </c>
      <c r="AC84" s="68">
        <f t="shared" si="76"/>
        <v>4.2724597482624145E-6</v>
      </c>
    </row>
    <row r="85" spans="1:29" ht="15" thickBot="1" x14ac:dyDescent="0.35">
      <c r="A85" s="31" t="s">
        <v>210</v>
      </c>
      <c r="B85" s="67">
        <f>B74+B75+B76+B77+B78+B79+B80+B81+B82+B83+B84</f>
        <v>9.204177299743381E-2</v>
      </c>
      <c r="C85" s="67">
        <f t="shared" ref="C85:AC85" si="77">C74+C75+C76+C77+C78+C79+C80+C81+C82+C83+C84</f>
        <v>9.1732295945566908E-2</v>
      </c>
      <c r="D85" s="67">
        <f t="shared" si="77"/>
        <v>9.1292886698491268E-2</v>
      </c>
      <c r="E85" s="67">
        <f t="shared" si="77"/>
        <v>9.0671539043705146E-2</v>
      </c>
      <c r="F85" s="67">
        <f t="shared" si="77"/>
        <v>8.9798009370582896E-2</v>
      </c>
      <c r="G85" s="67">
        <f t="shared" si="77"/>
        <v>8.857997835120289E-2</v>
      </c>
      <c r="H85" s="67">
        <f t="shared" si="77"/>
        <v>8.6900974241114426E-2</v>
      </c>
      <c r="I85" s="67">
        <f t="shared" si="77"/>
        <v>8.4623006520389427E-2</v>
      </c>
      <c r="J85" s="67">
        <f t="shared" si="77"/>
        <v>8.1598439804236644E-2</v>
      </c>
      <c r="K85" s="67">
        <f t="shared" si="77"/>
        <v>7.769622958027568E-2</v>
      </c>
      <c r="L85" s="67">
        <f t="shared" si="77"/>
        <v>7.2844695298628914E-2</v>
      </c>
      <c r="M85" s="67">
        <f t="shared" si="77"/>
        <v>6.7083667865339813E-2</v>
      </c>
      <c r="N85" s="67">
        <f t="shared" si="77"/>
        <v>6.0604362828533619E-2</v>
      </c>
      <c r="O85" s="67">
        <f t="shared" si="77"/>
        <v>5.3746680388498676E-2</v>
      </c>
      <c r="P85" s="67">
        <f t="shared" si="77"/>
        <v>4.6937303169918482E-2</v>
      </c>
      <c r="Q85" s="67">
        <f t="shared" si="77"/>
        <v>4.0588330867889641E-2</v>
      </c>
      <c r="R85" s="67">
        <f t="shared" si="77"/>
        <v>3.5005412813902424E-2</v>
      </c>
      <c r="S85" s="67">
        <f t="shared" si="77"/>
        <v>3.0345541390791351E-2</v>
      </c>
      <c r="T85" s="67">
        <f t="shared" si="77"/>
        <v>2.6627919722806082E-2</v>
      </c>
      <c r="U85" s="67">
        <f t="shared" si="77"/>
        <v>2.3774215787363159E-2</v>
      </c>
      <c r="V85" s="67">
        <f t="shared" si="77"/>
        <v>2.165351218482436E-2</v>
      </c>
      <c r="W85" s="67">
        <f t="shared" si="77"/>
        <v>2.011882652979893E-2</v>
      </c>
      <c r="X85" s="67">
        <f t="shared" si="77"/>
        <v>1.9031340268377436E-2</v>
      </c>
      <c r="Y85" s="67">
        <f t="shared" si="77"/>
        <v>1.8273025748779443E-2</v>
      </c>
      <c r="Z85" s="67">
        <f t="shared" si="77"/>
        <v>1.7750488496743513E-2</v>
      </c>
      <c r="AA85" s="67">
        <f t="shared" si="77"/>
        <v>1.7393482512700082E-2</v>
      </c>
      <c r="AB85" s="67">
        <f t="shared" si="77"/>
        <v>1.7151033434792951E-2</v>
      </c>
      <c r="AC85" s="67">
        <f t="shared" si="77"/>
        <v>1.6987067899606519E-2</v>
      </c>
    </row>
    <row r="87" spans="1:29" x14ac:dyDescent="0.3">
      <c r="B87" s="40"/>
    </row>
    <row r="107" spans="1:2" s="3" customFormat="1" ht="21" x14ac:dyDescent="0.4">
      <c r="A107" s="2" t="str">
        <f>'Parameter Input'!A153</f>
        <v>Short-sea: Container</v>
      </c>
    </row>
    <row r="108" spans="1:2" s="3" customFormat="1" ht="21" x14ac:dyDescent="0.4">
      <c r="A108" s="2" t="s">
        <v>186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Input'!$L$179</f>
        <v>30000000</v>
      </c>
      <c r="C117" s="42">
        <f>'Parameter Input'!$M$179</f>
        <v>18000000</v>
      </c>
      <c r="D117" s="1" t="s">
        <v>15</v>
      </c>
      <c r="L117" s="51">
        <f>'Parameter Input'!$O$179</f>
        <v>17</v>
      </c>
      <c r="M117" s="52">
        <v>0</v>
      </c>
      <c r="N117" s="52">
        <v>1</v>
      </c>
      <c r="O117" s="52">
        <f>'Parameter Input'!$P$179</f>
        <v>0.9</v>
      </c>
      <c r="P117" s="53">
        <f>'Parameter Input'!$Q$179</f>
        <v>0.4</v>
      </c>
      <c r="Q117" s="4">
        <f t="shared" ref="Q117:AR126" si="78">$N117+($M117-$N117)*((1/(1+EXP(-$P117*(Q$9-$L117)))^$O117))</f>
        <v>0.99780374543478534</v>
      </c>
      <c r="R117" s="4">
        <f t="shared" si="78"/>
        <v>0.99685359315256394</v>
      </c>
      <c r="S117" s="4">
        <f t="shared" si="78"/>
        <v>0.99549347132349975</v>
      </c>
      <c r="T117" s="4">
        <f t="shared" si="78"/>
        <v>0.99354772139898062</v>
      </c>
      <c r="U117" s="4">
        <f t="shared" si="78"/>
        <v>0.99076681540580536</v>
      </c>
      <c r="V117" s="4">
        <f t="shared" si="78"/>
        <v>0.9867978615748374</v>
      </c>
      <c r="W117" s="4">
        <f t="shared" si="78"/>
        <v>0.98114509762858249</v>
      </c>
      <c r="X117" s="4">
        <f t="shared" si="78"/>
        <v>0.97311898315872036</v>
      </c>
      <c r="Y117" s="4">
        <f t="shared" si="78"/>
        <v>0.96177484161592774</v>
      </c>
      <c r="Z117" s="4">
        <f t="shared" si="78"/>
        <v>0.94584787155511363</v>
      </c>
      <c r="AA117" s="4">
        <f t="shared" si="78"/>
        <v>0.92370360150141495</v>
      </c>
      <c r="AB117" s="4">
        <f t="shared" si="78"/>
        <v>0.89334463567658451</v>
      </c>
      <c r="AC117" s="4">
        <f t="shared" si="78"/>
        <v>0.85254543874327005</v>
      </c>
      <c r="AD117" s="4">
        <f t="shared" si="78"/>
        <v>0.79921300652623883</v>
      </c>
      <c r="AE117" s="4">
        <f t="shared" si="78"/>
        <v>0.73204982249993378</v>
      </c>
      <c r="AF117" s="4">
        <f t="shared" si="78"/>
        <v>0.65145592958786691</v>
      </c>
      <c r="AG117" s="4">
        <f t="shared" si="78"/>
        <v>0.56032247880849573</v>
      </c>
      <c r="AH117" s="4">
        <f t="shared" si="78"/>
        <v>0.46411326873185343</v>
      </c>
      <c r="AI117" s="4">
        <f t="shared" si="78"/>
        <v>0.36979727595523937</v>
      </c>
      <c r="AJ117" s="4">
        <f t="shared" si="78"/>
        <v>0.28393948637231203</v>
      </c>
      <c r="AK117" s="4">
        <f t="shared" si="78"/>
        <v>0.21097259161117732</v>
      </c>
      <c r="AL117" s="4">
        <f t="shared" si="78"/>
        <v>0.15253917653798199</v>
      </c>
      <c r="AM117" s="4">
        <f t="shared" si="78"/>
        <v>0.10795188737709993</v>
      </c>
      <c r="AN117" s="4">
        <f t="shared" si="78"/>
        <v>7.5176653938091809E-2</v>
      </c>
      <c r="AO117" s="4">
        <f t="shared" si="78"/>
        <v>5.1742836177502194E-2</v>
      </c>
      <c r="AP117" s="4">
        <f t="shared" si="78"/>
        <v>3.5319190625345942E-2</v>
      </c>
      <c r="AQ117" s="4">
        <f t="shared" si="78"/>
        <v>2.3969442072658165E-2</v>
      </c>
      <c r="AR117" s="4">
        <f t="shared" si="78"/>
        <v>1.6202243558389728E-2</v>
      </c>
    </row>
    <row r="118" spans="1:44" x14ac:dyDescent="0.3">
      <c r="A118" s="24" t="s">
        <v>28</v>
      </c>
      <c r="B118" s="60">
        <f>'Parameter Input'!$L$180</f>
        <v>-1500000</v>
      </c>
      <c r="C118" s="61">
        <f>'Parameter Input'!$M$180</f>
        <v>-1800000</v>
      </c>
      <c r="D118" s="1" t="s">
        <v>15</v>
      </c>
      <c r="L118" s="54">
        <f>'Parameter Input'!$O$180</f>
        <v>17</v>
      </c>
      <c r="M118" s="37">
        <v>0</v>
      </c>
      <c r="N118" s="37">
        <v>1</v>
      </c>
      <c r="O118" s="37">
        <f>'Parameter Input'!$P$180</f>
        <v>0.9</v>
      </c>
      <c r="P118" s="55">
        <f>'Parameter Input'!$Q$180</f>
        <v>0.4</v>
      </c>
      <c r="Q118" s="4">
        <f t="shared" si="78"/>
        <v>0.99780374543478534</v>
      </c>
      <c r="R118" s="4">
        <f t="shared" si="78"/>
        <v>0.99685359315256394</v>
      </c>
      <c r="S118" s="4">
        <f t="shared" si="78"/>
        <v>0.99549347132349975</v>
      </c>
      <c r="T118" s="4">
        <f t="shared" si="78"/>
        <v>0.99354772139898062</v>
      </c>
      <c r="U118" s="4">
        <f t="shared" si="78"/>
        <v>0.99076681540580536</v>
      </c>
      <c r="V118" s="4">
        <f t="shared" si="78"/>
        <v>0.9867978615748374</v>
      </c>
      <c r="W118" s="4">
        <f t="shared" si="78"/>
        <v>0.98114509762858249</v>
      </c>
      <c r="X118" s="4">
        <f t="shared" si="78"/>
        <v>0.97311898315872036</v>
      </c>
      <c r="Y118" s="4">
        <f t="shared" si="78"/>
        <v>0.96177484161592774</v>
      </c>
      <c r="Z118" s="4">
        <f t="shared" si="78"/>
        <v>0.94584787155511363</v>
      </c>
      <c r="AA118" s="4">
        <f t="shared" si="78"/>
        <v>0.92370360150141495</v>
      </c>
      <c r="AB118" s="4">
        <f t="shared" si="78"/>
        <v>0.89334463567658451</v>
      </c>
      <c r="AC118" s="4">
        <f t="shared" si="78"/>
        <v>0.85254543874327005</v>
      </c>
      <c r="AD118" s="4">
        <f t="shared" si="78"/>
        <v>0.79921300652623883</v>
      </c>
      <c r="AE118" s="4">
        <f t="shared" si="78"/>
        <v>0.73204982249993378</v>
      </c>
      <c r="AF118" s="4">
        <f t="shared" si="78"/>
        <v>0.65145592958786691</v>
      </c>
      <c r="AG118" s="4">
        <f t="shared" si="78"/>
        <v>0.56032247880849573</v>
      </c>
      <c r="AH118" s="4">
        <f t="shared" si="78"/>
        <v>0.46411326873185343</v>
      </c>
      <c r="AI118" s="4">
        <f t="shared" si="78"/>
        <v>0.36979727595523937</v>
      </c>
      <c r="AJ118" s="4">
        <f t="shared" si="78"/>
        <v>0.28393948637231203</v>
      </c>
      <c r="AK118" s="4">
        <f t="shared" si="78"/>
        <v>0.21097259161117732</v>
      </c>
      <c r="AL118" s="4">
        <f t="shared" si="78"/>
        <v>0.15253917653798199</v>
      </c>
      <c r="AM118" s="4">
        <f t="shared" si="78"/>
        <v>0.10795188737709993</v>
      </c>
      <c r="AN118" s="4">
        <f t="shared" si="78"/>
        <v>7.5176653938091809E-2</v>
      </c>
      <c r="AO118" s="4">
        <f t="shared" si="78"/>
        <v>5.1742836177502194E-2</v>
      </c>
      <c r="AP118" s="4">
        <f t="shared" si="78"/>
        <v>3.5319190625345942E-2</v>
      </c>
      <c r="AQ118" s="4">
        <f t="shared" si="78"/>
        <v>2.3969442072658165E-2</v>
      </c>
      <c r="AR118" s="4">
        <f t="shared" si="78"/>
        <v>1.6202243558389728E-2</v>
      </c>
    </row>
    <row r="119" spans="1:44" x14ac:dyDescent="0.3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8"/>
        <v>0.99780374543478534</v>
      </c>
      <c r="R119" s="4">
        <f t="shared" si="78"/>
        <v>0.99685359315256394</v>
      </c>
      <c r="S119" s="4">
        <f t="shared" si="78"/>
        <v>0.99549347132349975</v>
      </c>
      <c r="T119" s="4">
        <f t="shared" si="78"/>
        <v>0.99354772139898062</v>
      </c>
      <c r="U119" s="4">
        <f t="shared" si="78"/>
        <v>0.99076681540580536</v>
      </c>
      <c r="V119" s="4">
        <f t="shared" si="78"/>
        <v>0.9867978615748374</v>
      </c>
      <c r="W119" s="4">
        <f t="shared" si="78"/>
        <v>0.98114509762858249</v>
      </c>
      <c r="X119" s="4">
        <f t="shared" si="78"/>
        <v>0.97311898315872036</v>
      </c>
      <c r="Y119" s="4">
        <f t="shared" si="78"/>
        <v>0.96177484161592774</v>
      </c>
      <c r="Z119" s="4">
        <f t="shared" si="78"/>
        <v>0.94584787155511363</v>
      </c>
      <c r="AA119" s="4">
        <f t="shared" si="78"/>
        <v>0.92370360150141495</v>
      </c>
      <c r="AB119" s="4">
        <f t="shared" si="78"/>
        <v>0.89334463567658451</v>
      </c>
      <c r="AC119" s="4">
        <f t="shared" si="78"/>
        <v>0.85254543874327005</v>
      </c>
      <c r="AD119" s="4">
        <f t="shared" si="78"/>
        <v>0.79921300652623883</v>
      </c>
      <c r="AE119" s="4">
        <f t="shared" si="78"/>
        <v>0.73204982249993378</v>
      </c>
      <c r="AF119" s="4">
        <f t="shared" si="78"/>
        <v>0.65145592958786691</v>
      </c>
      <c r="AG119" s="4">
        <f t="shared" si="78"/>
        <v>0.56032247880849573</v>
      </c>
      <c r="AH119" s="4">
        <f t="shared" si="78"/>
        <v>0.46411326873185343</v>
      </c>
      <c r="AI119" s="4">
        <f t="shared" si="78"/>
        <v>0.36979727595523937</v>
      </c>
      <c r="AJ119" s="4">
        <f t="shared" si="78"/>
        <v>0.28393948637231203</v>
      </c>
      <c r="AK119" s="4">
        <f t="shared" si="78"/>
        <v>0.21097259161117732</v>
      </c>
      <c r="AL119" s="4">
        <f t="shared" si="78"/>
        <v>0.15253917653798199</v>
      </c>
      <c r="AM119" s="4">
        <f t="shared" si="78"/>
        <v>0.10795188737709993</v>
      </c>
      <c r="AN119" s="4">
        <f t="shared" si="78"/>
        <v>7.5176653938091809E-2</v>
      </c>
      <c r="AO119" s="4">
        <f t="shared" si="78"/>
        <v>5.1742836177502194E-2</v>
      </c>
      <c r="AP119" s="4">
        <f t="shared" si="78"/>
        <v>3.5319190625345942E-2</v>
      </c>
      <c r="AQ119" s="4">
        <f t="shared" si="78"/>
        <v>2.3969442072658165E-2</v>
      </c>
      <c r="AR119" s="4">
        <f t="shared" si="78"/>
        <v>1.6202243558389728E-2</v>
      </c>
    </row>
    <row r="120" spans="1:44" x14ac:dyDescent="0.3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8"/>
        <v>0.99780374543478534</v>
      </c>
      <c r="R120" s="4">
        <f t="shared" si="78"/>
        <v>0.99685359315256394</v>
      </c>
      <c r="S120" s="4">
        <f t="shared" si="78"/>
        <v>0.99549347132349975</v>
      </c>
      <c r="T120" s="4">
        <f t="shared" si="78"/>
        <v>0.99354772139898062</v>
      </c>
      <c r="U120" s="4">
        <f t="shared" si="78"/>
        <v>0.99076681540580536</v>
      </c>
      <c r="V120" s="4">
        <f t="shared" si="78"/>
        <v>0.9867978615748374</v>
      </c>
      <c r="W120" s="4">
        <f t="shared" si="78"/>
        <v>0.98114509762858249</v>
      </c>
      <c r="X120" s="4">
        <f t="shared" si="78"/>
        <v>0.97311898315872036</v>
      </c>
      <c r="Y120" s="4">
        <f t="shared" si="78"/>
        <v>0.96177484161592774</v>
      </c>
      <c r="Z120" s="4">
        <f t="shared" si="78"/>
        <v>0.94584787155511363</v>
      </c>
      <c r="AA120" s="4">
        <f t="shared" si="78"/>
        <v>0.92370360150141495</v>
      </c>
      <c r="AB120" s="4">
        <f t="shared" si="78"/>
        <v>0.89334463567658451</v>
      </c>
      <c r="AC120" s="4">
        <f t="shared" si="78"/>
        <v>0.85254543874327005</v>
      </c>
      <c r="AD120" s="4">
        <f t="shared" si="78"/>
        <v>0.79921300652623883</v>
      </c>
      <c r="AE120" s="4">
        <f t="shared" si="78"/>
        <v>0.73204982249993378</v>
      </c>
      <c r="AF120" s="4">
        <f t="shared" si="78"/>
        <v>0.65145592958786691</v>
      </c>
      <c r="AG120" s="4">
        <f t="shared" si="78"/>
        <v>0.56032247880849573</v>
      </c>
      <c r="AH120" s="4">
        <f t="shared" si="78"/>
        <v>0.46411326873185343</v>
      </c>
      <c r="AI120" s="4">
        <f t="shared" si="78"/>
        <v>0.36979727595523937</v>
      </c>
      <c r="AJ120" s="4">
        <f t="shared" si="78"/>
        <v>0.28393948637231203</v>
      </c>
      <c r="AK120" s="4">
        <f t="shared" si="78"/>
        <v>0.21097259161117732</v>
      </c>
      <c r="AL120" s="4">
        <f t="shared" si="78"/>
        <v>0.15253917653798199</v>
      </c>
      <c r="AM120" s="4">
        <f t="shared" si="78"/>
        <v>0.10795188737709993</v>
      </c>
      <c r="AN120" s="4">
        <f t="shared" si="78"/>
        <v>7.5176653938091809E-2</v>
      </c>
      <c r="AO120" s="4">
        <f t="shared" si="78"/>
        <v>5.1742836177502194E-2</v>
      </c>
      <c r="AP120" s="4">
        <f t="shared" si="78"/>
        <v>3.5319190625345942E-2</v>
      </c>
      <c r="AQ120" s="4">
        <f t="shared" si="78"/>
        <v>2.3969442072658165E-2</v>
      </c>
      <c r="AR120" s="4">
        <f t="shared" si="78"/>
        <v>1.6202243558389728E-2</v>
      </c>
    </row>
    <row r="121" spans="1:44" x14ac:dyDescent="0.3">
      <c r="A121" s="24" t="s">
        <v>79</v>
      </c>
      <c r="B121" s="92">
        <f>'Parameter Input'!$L$186</f>
        <v>0.06</v>
      </c>
      <c r="C121" s="91">
        <f>'Parameter Input'!$M$186</f>
        <v>0.06</v>
      </c>
      <c r="D121" s="1" t="s">
        <v>57</v>
      </c>
      <c r="L121" s="54">
        <f>'Parameter Input'!$O$186</f>
        <v>17</v>
      </c>
      <c r="M121" s="37">
        <v>0</v>
      </c>
      <c r="N121" s="37">
        <v>1</v>
      </c>
      <c r="O121" s="37">
        <f>'Parameter Input'!$P$186</f>
        <v>0.9</v>
      </c>
      <c r="P121" s="55">
        <f>'Parameter Input'!$Q$186</f>
        <v>0.4</v>
      </c>
      <c r="Q121" s="4">
        <f t="shared" si="78"/>
        <v>0.99780374543478534</v>
      </c>
      <c r="R121" s="4">
        <f t="shared" si="78"/>
        <v>0.99685359315256394</v>
      </c>
      <c r="S121" s="4">
        <f t="shared" si="78"/>
        <v>0.99549347132349975</v>
      </c>
      <c r="T121" s="4">
        <f t="shared" si="78"/>
        <v>0.99354772139898062</v>
      </c>
      <c r="U121" s="4">
        <f t="shared" si="78"/>
        <v>0.99076681540580536</v>
      </c>
      <c r="V121" s="4">
        <f t="shared" si="78"/>
        <v>0.9867978615748374</v>
      </c>
      <c r="W121" s="4">
        <f t="shared" si="78"/>
        <v>0.98114509762858249</v>
      </c>
      <c r="X121" s="4">
        <f t="shared" si="78"/>
        <v>0.97311898315872036</v>
      </c>
      <c r="Y121" s="4">
        <f t="shared" si="78"/>
        <v>0.96177484161592774</v>
      </c>
      <c r="Z121" s="4">
        <f t="shared" si="78"/>
        <v>0.94584787155511363</v>
      </c>
      <c r="AA121" s="4">
        <f t="shared" si="78"/>
        <v>0.92370360150141495</v>
      </c>
      <c r="AB121" s="4">
        <f t="shared" si="78"/>
        <v>0.89334463567658451</v>
      </c>
      <c r="AC121" s="4">
        <f t="shared" si="78"/>
        <v>0.85254543874327005</v>
      </c>
      <c r="AD121" s="4">
        <f t="shared" si="78"/>
        <v>0.79921300652623883</v>
      </c>
      <c r="AE121" s="4">
        <f t="shared" si="78"/>
        <v>0.73204982249993378</v>
      </c>
      <c r="AF121" s="4">
        <f t="shared" si="78"/>
        <v>0.65145592958786691</v>
      </c>
      <c r="AG121" s="4">
        <f t="shared" si="78"/>
        <v>0.56032247880849573</v>
      </c>
      <c r="AH121" s="4">
        <f t="shared" si="78"/>
        <v>0.46411326873185343</v>
      </c>
      <c r="AI121" s="4">
        <f t="shared" si="78"/>
        <v>0.36979727595523937</v>
      </c>
      <c r="AJ121" s="4">
        <f t="shared" si="78"/>
        <v>0.28393948637231203</v>
      </c>
      <c r="AK121" s="4">
        <f t="shared" si="78"/>
        <v>0.21097259161117732</v>
      </c>
      <c r="AL121" s="4">
        <f t="shared" si="78"/>
        <v>0.15253917653798199</v>
      </c>
      <c r="AM121" s="4">
        <f t="shared" si="78"/>
        <v>0.10795188737709993</v>
      </c>
      <c r="AN121" s="4">
        <f t="shared" si="78"/>
        <v>7.5176653938091809E-2</v>
      </c>
      <c r="AO121" s="4">
        <f t="shared" si="78"/>
        <v>5.1742836177502194E-2</v>
      </c>
      <c r="AP121" s="4">
        <f t="shared" si="78"/>
        <v>3.5319190625345942E-2</v>
      </c>
      <c r="AQ121" s="4">
        <f t="shared" si="78"/>
        <v>2.3969442072658165E-2</v>
      </c>
      <c r="AR121" s="4">
        <f t="shared" si="78"/>
        <v>1.6202243558389728E-2</v>
      </c>
    </row>
    <row r="122" spans="1:44" x14ac:dyDescent="0.3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8"/>
        <v>0.99780374543478534</v>
      </c>
      <c r="R122" s="4">
        <f t="shared" si="78"/>
        <v>0.99685359315256394</v>
      </c>
      <c r="S122" s="4">
        <f t="shared" si="78"/>
        <v>0.99549347132349975</v>
      </c>
      <c r="T122" s="4">
        <f t="shared" si="78"/>
        <v>0.99354772139898062</v>
      </c>
      <c r="U122" s="4">
        <f t="shared" si="78"/>
        <v>0.99076681540580536</v>
      </c>
      <c r="V122" s="4">
        <f t="shared" si="78"/>
        <v>0.9867978615748374</v>
      </c>
      <c r="W122" s="4">
        <f t="shared" si="78"/>
        <v>0.98114509762858249</v>
      </c>
      <c r="X122" s="4">
        <f t="shared" si="78"/>
        <v>0.97311898315872036</v>
      </c>
      <c r="Y122" s="4">
        <f t="shared" si="78"/>
        <v>0.96177484161592774</v>
      </c>
      <c r="Z122" s="4">
        <f t="shared" si="78"/>
        <v>0.94584787155511363</v>
      </c>
      <c r="AA122" s="4">
        <f t="shared" si="78"/>
        <v>0.92370360150141495</v>
      </c>
      <c r="AB122" s="4">
        <f t="shared" si="78"/>
        <v>0.89334463567658451</v>
      </c>
      <c r="AC122" s="4">
        <f t="shared" si="78"/>
        <v>0.85254543874327005</v>
      </c>
      <c r="AD122" s="4">
        <f t="shared" si="78"/>
        <v>0.79921300652623883</v>
      </c>
      <c r="AE122" s="4">
        <f t="shared" si="78"/>
        <v>0.73204982249993378</v>
      </c>
      <c r="AF122" s="4">
        <f t="shared" si="78"/>
        <v>0.65145592958786691</v>
      </c>
      <c r="AG122" s="4">
        <f t="shared" si="78"/>
        <v>0.56032247880849573</v>
      </c>
      <c r="AH122" s="4">
        <f t="shared" si="78"/>
        <v>0.46411326873185343</v>
      </c>
      <c r="AI122" s="4">
        <f t="shared" si="78"/>
        <v>0.36979727595523937</v>
      </c>
      <c r="AJ122" s="4">
        <f t="shared" si="78"/>
        <v>0.28393948637231203</v>
      </c>
      <c r="AK122" s="4">
        <f t="shared" si="78"/>
        <v>0.21097259161117732</v>
      </c>
      <c r="AL122" s="4">
        <f t="shared" si="78"/>
        <v>0.15253917653798199</v>
      </c>
      <c r="AM122" s="4">
        <f t="shared" si="78"/>
        <v>0.10795188737709993</v>
      </c>
      <c r="AN122" s="4">
        <f t="shared" si="78"/>
        <v>7.5176653938091809E-2</v>
      </c>
      <c r="AO122" s="4">
        <f t="shared" si="78"/>
        <v>5.1742836177502194E-2</v>
      </c>
      <c r="AP122" s="4">
        <f t="shared" si="78"/>
        <v>3.5319190625345942E-2</v>
      </c>
      <c r="AQ122" s="4">
        <f t="shared" si="78"/>
        <v>2.3969442072658165E-2</v>
      </c>
      <c r="AR122" s="4">
        <f t="shared" si="78"/>
        <v>1.6202243558389728E-2</v>
      </c>
    </row>
    <row r="123" spans="1:44" x14ac:dyDescent="0.3">
      <c r="A123" s="24" t="s">
        <v>52</v>
      </c>
      <c r="B123" s="60">
        <f>'Parameter Input'!$L$182</f>
        <v>338823.5294117647</v>
      </c>
      <c r="C123" s="61">
        <f>'Parameter Input'!$M$182</f>
        <v>338823.5294117647</v>
      </c>
      <c r="D123" s="1" t="s">
        <v>38</v>
      </c>
      <c r="L123" s="54">
        <f>'Parameter Input'!$O$182</f>
        <v>17</v>
      </c>
      <c r="M123" s="37">
        <v>0</v>
      </c>
      <c r="N123" s="37">
        <v>1</v>
      </c>
      <c r="O123" s="37">
        <f>'Parameter Input'!$P$182</f>
        <v>0.9</v>
      </c>
      <c r="P123" s="55">
        <f>'Parameter Input'!$Q$182</f>
        <v>0.4</v>
      </c>
      <c r="Q123" s="4">
        <f t="shared" si="78"/>
        <v>0.99780374543478534</v>
      </c>
      <c r="R123" s="4">
        <f t="shared" si="78"/>
        <v>0.99685359315256394</v>
      </c>
      <c r="S123" s="4">
        <f t="shared" si="78"/>
        <v>0.99549347132349975</v>
      </c>
      <c r="T123" s="4">
        <f t="shared" si="78"/>
        <v>0.99354772139898062</v>
      </c>
      <c r="U123" s="4">
        <f t="shared" si="78"/>
        <v>0.99076681540580536</v>
      </c>
      <c r="V123" s="4">
        <f t="shared" si="78"/>
        <v>0.9867978615748374</v>
      </c>
      <c r="W123" s="4">
        <f t="shared" si="78"/>
        <v>0.98114509762858249</v>
      </c>
      <c r="X123" s="4">
        <f t="shared" si="78"/>
        <v>0.97311898315872036</v>
      </c>
      <c r="Y123" s="4">
        <f t="shared" si="78"/>
        <v>0.96177484161592774</v>
      </c>
      <c r="Z123" s="4">
        <f t="shared" si="78"/>
        <v>0.94584787155511363</v>
      </c>
      <c r="AA123" s="4">
        <f t="shared" si="78"/>
        <v>0.92370360150141495</v>
      </c>
      <c r="AB123" s="4">
        <f t="shared" si="78"/>
        <v>0.89334463567658451</v>
      </c>
      <c r="AC123" s="4">
        <f t="shared" si="78"/>
        <v>0.85254543874327005</v>
      </c>
      <c r="AD123" s="4">
        <f t="shared" si="78"/>
        <v>0.79921300652623883</v>
      </c>
      <c r="AE123" s="4">
        <f t="shared" si="78"/>
        <v>0.73204982249993378</v>
      </c>
      <c r="AF123" s="4">
        <f t="shared" si="78"/>
        <v>0.65145592958786691</v>
      </c>
      <c r="AG123" s="4">
        <f t="shared" si="78"/>
        <v>0.56032247880849573</v>
      </c>
      <c r="AH123" s="4">
        <f t="shared" si="78"/>
        <v>0.46411326873185343</v>
      </c>
      <c r="AI123" s="4">
        <f t="shared" si="78"/>
        <v>0.36979727595523937</v>
      </c>
      <c r="AJ123" s="4">
        <f t="shared" si="78"/>
        <v>0.28393948637231203</v>
      </c>
      <c r="AK123" s="4">
        <f t="shared" si="78"/>
        <v>0.21097259161117732</v>
      </c>
      <c r="AL123" s="4">
        <f t="shared" si="78"/>
        <v>0.15253917653798199</v>
      </c>
      <c r="AM123" s="4">
        <f t="shared" si="78"/>
        <v>0.10795188737709993</v>
      </c>
      <c r="AN123" s="4">
        <f t="shared" si="78"/>
        <v>7.5176653938091809E-2</v>
      </c>
      <c r="AO123" s="4">
        <f t="shared" si="78"/>
        <v>5.1742836177502194E-2</v>
      </c>
      <c r="AP123" s="4">
        <f t="shared" si="78"/>
        <v>3.5319190625345942E-2</v>
      </c>
      <c r="AQ123" s="4">
        <f t="shared" si="78"/>
        <v>2.3969442072658165E-2</v>
      </c>
      <c r="AR123" s="4">
        <f t="shared" si="78"/>
        <v>1.6202243558389728E-2</v>
      </c>
    </row>
    <row r="124" spans="1:44" x14ac:dyDescent="0.3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8"/>
        <v>0.99780374543478534</v>
      </c>
      <c r="R124" s="4">
        <f t="shared" si="78"/>
        <v>0.99685359315256394</v>
      </c>
      <c r="S124" s="4">
        <f t="shared" si="78"/>
        <v>0.99549347132349975</v>
      </c>
      <c r="T124" s="4">
        <f t="shared" si="78"/>
        <v>0.99354772139898062</v>
      </c>
      <c r="U124" s="4">
        <f t="shared" si="78"/>
        <v>0.99076681540580536</v>
      </c>
      <c r="V124" s="4">
        <f t="shared" si="78"/>
        <v>0.9867978615748374</v>
      </c>
      <c r="W124" s="4">
        <f t="shared" si="78"/>
        <v>0.98114509762858249</v>
      </c>
      <c r="X124" s="4">
        <f t="shared" si="78"/>
        <v>0.97311898315872036</v>
      </c>
      <c r="Y124" s="4">
        <f t="shared" si="78"/>
        <v>0.96177484161592774</v>
      </c>
      <c r="Z124" s="4">
        <f t="shared" si="78"/>
        <v>0.94584787155511363</v>
      </c>
      <c r="AA124" s="4">
        <f t="shared" si="78"/>
        <v>0.92370360150141495</v>
      </c>
      <c r="AB124" s="4">
        <f t="shared" si="78"/>
        <v>0.89334463567658451</v>
      </c>
      <c r="AC124" s="4">
        <f t="shared" si="78"/>
        <v>0.85254543874327005</v>
      </c>
      <c r="AD124" s="4">
        <f t="shared" si="78"/>
        <v>0.79921300652623883</v>
      </c>
      <c r="AE124" s="4">
        <f t="shared" si="78"/>
        <v>0.73204982249993378</v>
      </c>
      <c r="AF124" s="4">
        <f t="shared" si="78"/>
        <v>0.65145592958786691</v>
      </c>
      <c r="AG124" s="4">
        <f t="shared" si="78"/>
        <v>0.56032247880849573</v>
      </c>
      <c r="AH124" s="4">
        <f t="shared" si="78"/>
        <v>0.46411326873185343</v>
      </c>
      <c r="AI124" s="4">
        <f t="shared" si="78"/>
        <v>0.36979727595523937</v>
      </c>
      <c r="AJ124" s="4">
        <f t="shared" si="78"/>
        <v>0.28393948637231203</v>
      </c>
      <c r="AK124" s="4">
        <f t="shared" si="78"/>
        <v>0.21097259161117732</v>
      </c>
      <c r="AL124" s="4">
        <f t="shared" si="78"/>
        <v>0.15253917653798199</v>
      </c>
      <c r="AM124" s="4">
        <f t="shared" si="78"/>
        <v>0.10795188737709993</v>
      </c>
      <c r="AN124" s="4">
        <f t="shared" si="78"/>
        <v>7.5176653938091809E-2</v>
      </c>
      <c r="AO124" s="4">
        <f t="shared" si="78"/>
        <v>5.1742836177502194E-2</v>
      </c>
      <c r="AP124" s="4">
        <f t="shared" si="78"/>
        <v>3.5319190625345942E-2</v>
      </c>
      <c r="AQ124" s="4">
        <f t="shared" si="78"/>
        <v>2.3969442072658165E-2</v>
      </c>
      <c r="AR124" s="4">
        <f t="shared" si="78"/>
        <v>1.6202243558389728E-2</v>
      </c>
    </row>
    <row r="125" spans="1:44" x14ac:dyDescent="0.3">
      <c r="A125" s="24" t="s">
        <v>59</v>
      </c>
      <c r="B125" s="60">
        <f>'Parameter Input'!$L$183</f>
        <v>589</v>
      </c>
      <c r="C125" s="61">
        <f>'Parameter Input'!$M$183</f>
        <v>519</v>
      </c>
      <c r="D125" s="1" t="s">
        <v>60</v>
      </c>
      <c r="L125" s="54">
        <f>'Parameter Input'!$O$183</f>
        <v>17</v>
      </c>
      <c r="M125" s="37">
        <v>0</v>
      </c>
      <c r="N125" s="37">
        <v>1</v>
      </c>
      <c r="O125" s="37">
        <f>'Parameter Input'!$P$183</f>
        <v>0.9</v>
      </c>
      <c r="P125" s="55">
        <f>'Parameter Input'!$Q$183</f>
        <v>0.4</v>
      </c>
      <c r="Q125" s="4">
        <f t="shared" si="78"/>
        <v>0.99780374543478534</v>
      </c>
      <c r="R125" s="4">
        <f t="shared" si="78"/>
        <v>0.99685359315256394</v>
      </c>
      <c r="S125" s="4">
        <f t="shared" si="78"/>
        <v>0.99549347132349975</v>
      </c>
      <c r="T125" s="4">
        <f t="shared" si="78"/>
        <v>0.99354772139898062</v>
      </c>
      <c r="U125" s="4">
        <f t="shared" si="78"/>
        <v>0.99076681540580536</v>
      </c>
      <c r="V125" s="4">
        <f t="shared" si="78"/>
        <v>0.9867978615748374</v>
      </c>
      <c r="W125" s="4">
        <f t="shared" si="78"/>
        <v>0.98114509762858249</v>
      </c>
      <c r="X125" s="4">
        <f t="shared" si="78"/>
        <v>0.97311898315872036</v>
      </c>
      <c r="Y125" s="4">
        <f t="shared" si="78"/>
        <v>0.96177484161592774</v>
      </c>
      <c r="Z125" s="4">
        <f t="shared" si="78"/>
        <v>0.94584787155511363</v>
      </c>
      <c r="AA125" s="4">
        <f t="shared" si="78"/>
        <v>0.92370360150141495</v>
      </c>
      <c r="AB125" s="4">
        <f t="shared" si="78"/>
        <v>0.89334463567658451</v>
      </c>
      <c r="AC125" s="4">
        <f t="shared" si="78"/>
        <v>0.85254543874327005</v>
      </c>
      <c r="AD125" s="4">
        <f t="shared" si="78"/>
        <v>0.79921300652623883</v>
      </c>
      <c r="AE125" s="4">
        <f t="shared" si="78"/>
        <v>0.73204982249993378</v>
      </c>
      <c r="AF125" s="4">
        <f t="shared" si="78"/>
        <v>0.65145592958786691</v>
      </c>
      <c r="AG125" s="4">
        <f t="shared" si="78"/>
        <v>0.56032247880849573</v>
      </c>
      <c r="AH125" s="4">
        <f t="shared" si="78"/>
        <v>0.46411326873185343</v>
      </c>
      <c r="AI125" s="4">
        <f t="shared" si="78"/>
        <v>0.36979727595523937</v>
      </c>
      <c r="AJ125" s="4">
        <f t="shared" si="78"/>
        <v>0.28393948637231203</v>
      </c>
      <c r="AK125" s="4">
        <f t="shared" si="78"/>
        <v>0.21097259161117732</v>
      </c>
      <c r="AL125" s="4">
        <f t="shared" si="78"/>
        <v>0.15253917653798199</v>
      </c>
      <c r="AM125" s="4">
        <f t="shared" si="78"/>
        <v>0.10795188737709993</v>
      </c>
      <c r="AN125" s="4">
        <f t="shared" si="78"/>
        <v>7.5176653938091809E-2</v>
      </c>
      <c r="AO125" s="4">
        <f t="shared" si="78"/>
        <v>5.1742836177502194E-2</v>
      </c>
      <c r="AP125" s="4">
        <f t="shared" si="78"/>
        <v>3.5319190625345942E-2</v>
      </c>
      <c r="AQ125" s="4">
        <f t="shared" si="78"/>
        <v>2.3969442072658165E-2</v>
      </c>
      <c r="AR125" s="4">
        <f t="shared" si="78"/>
        <v>1.6202243558389728E-2</v>
      </c>
    </row>
    <row r="126" spans="1:44" x14ac:dyDescent="0.3">
      <c r="A126" s="24" t="s">
        <v>67</v>
      </c>
      <c r="B126" s="78">
        <f>'Parameter Input'!$L$184</f>
        <v>0.189409893251579</v>
      </c>
      <c r="C126" s="61">
        <f>'Parameter Input'!$M$184</f>
        <v>0.100822065784204</v>
      </c>
      <c r="D126" s="1" t="s">
        <v>68</v>
      </c>
      <c r="L126" s="54">
        <f>'Parameter Input'!$O$184</f>
        <v>17</v>
      </c>
      <c r="M126" s="37">
        <v>0</v>
      </c>
      <c r="N126" s="37">
        <v>1</v>
      </c>
      <c r="O126" s="37">
        <f>'Parameter Input'!$P$184</f>
        <v>0.9</v>
      </c>
      <c r="P126" s="55">
        <f>'Parameter Input'!$Q$184</f>
        <v>0.4</v>
      </c>
      <c r="Q126" s="4">
        <f t="shared" si="78"/>
        <v>0.99780374543478534</v>
      </c>
      <c r="R126" s="4">
        <f t="shared" si="78"/>
        <v>0.99685359315256394</v>
      </c>
      <c r="S126" s="4">
        <f t="shared" si="78"/>
        <v>0.99549347132349975</v>
      </c>
      <c r="T126" s="4">
        <f t="shared" ref="T126:AI133" si="79">$N126+($M126-$N126)*((1/(1+EXP(-$P126*(T$9-$L126)))^$O126))</f>
        <v>0.99354772139898062</v>
      </c>
      <c r="U126" s="4">
        <f t="shared" si="79"/>
        <v>0.99076681540580536</v>
      </c>
      <c r="V126" s="4">
        <f t="shared" si="79"/>
        <v>0.9867978615748374</v>
      </c>
      <c r="W126" s="4">
        <f t="shared" si="79"/>
        <v>0.98114509762858249</v>
      </c>
      <c r="X126" s="4">
        <f t="shared" si="79"/>
        <v>0.97311898315872036</v>
      </c>
      <c r="Y126" s="4">
        <f t="shared" si="79"/>
        <v>0.96177484161592774</v>
      </c>
      <c r="Z126" s="4">
        <f t="shared" si="79"/>
        <v>0.94584787155511363</v>
      </c>
      <c r="AA126" s="4">
        <f t="shared" si="79"/>
        <v>0.92370360150141495</v>
      </c>
      <c r="AB126" s="4">
        <f t="shared" si="79"/>
        <v>0.89334463567658451</v>
      </c>
      <c r="AC126" s="4">
        <f t="shared" si="79"/>
        <v>0.85254543874327005</v>
      </c>
      <c r="AD126" s="4">
        <f t="shared" si="79"/>
        <v>0.79921300652623883</v>
      </c>
      <c r="AE126" s="4">
        <f t="shared" si="79"/>
        <v>0.73204982249993378</v>
      </c>
      <c r="AF126" s="4">
        <f t="shared" si="79"/>
        <v>0.65145592958786691</v>
      </c>
      <c r="AG126" s="4">
        <f t="shared" si="79"/>
        <v>0.56032247880849573</v>
      </c>
      <c r="AH126" s="4">
        <f t="shared" si="79"/>
        <v>0.46411326873185343</v>
      </c>
      <c r="AI126" s="4">
        <f t="shared" si="79"/>
        <v>0.36979727595523937</v>
      </c>
      <c r="AJ126" s="4">
        <f t="shared" ref="AJ126:AR133" si="80">$N126+($M126-$N126)*((1/(1+EXP(-$P126*(AJ$9-$L126)))^$O126))</f>
        <v>0.28393948637231203</v>
      </c>
      <c r="AK126" s="4">
        <f t="shared" si="80"/>
        <v>0.21097259161117732</v>
      </c>
      <c r="AL126" s="4">
        <f t="shared" si="80"/>
        <v>0.15253917653798199</v>
      </c>
      <c r="AM126" s="4">
        <f t="shared" si="80"/>
        <v>0.10795188737709993</v>
      </c>
      <c r="AN126" s="4">
        <f t="shared" si="80"/>
        <v>7.5176653938091809E-2</v>
      </c>
      <c r="AO126" s="4">
        <f t="shared" si="80"/>
        <v>5.1742836177502194E-2</v>
      </c>
      <c r="AP126" s="4">
        <f t="shared" si="80"/>
        <v>3.5319190625345942E-2</v>
      </c>
      <c r="AQ126" s="4">
        <f t="shared" si="80"/>
        <v>2.3969442072658165E-2</v>
      </c>
      <c r="AR126" s="4">
        <f t="shared" si="80"/>
        <v>1.6202243558389728E-2</v>
      </c>
    </row>
    <row r="127" spans="1:44" x14ac:dyDescent="0.3">
      <c r="A127" s="24" t="s">
        <v>206</v>
      </c>
      <c r="B127" s="115">
        <f>'Parameter Input'!$L$187</f>
        <v>2.4919230769230767</v>
      </c>
      <c r="C127" s="116">
        <f>'Parameter Input'!$M$187</f>
        <v>0</v>
      </c>
      <c r="D127" s="1" t="s">
        <v>76</v>
      </c>
      <c r="L127" s="54">
        <f>'Parameter Input'!$O$187</f>
        <v>17</v>
      </c>
      <c r="M127" s="37">
        <v>0</v>
      </c>
      <c r="N127" s="37">
        <v>1</v>
      </c>
      <c r="O127" s="37">
        <f>'Parameter Input'!$P$187</f>
        <v>0.9</v>
      </c>
      <c r="P127" s="55">
        <f>'Parameter Input'!$Q$187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3">
      <c r="A128" s="24" t="s">
        <v>41</v>
      </c>
      <c r="B128" s="60">
        <f>'Parameter Input'!$L$181</f>
        <v>25</v>
      </c>
      <c r="C128" s="61">
        <f>'Parameter Input'!$M$181</f>
        <v>25</v>
      </c>
      <c r="D128" s="1" t="s">
        <v>42</v>
      </c>
      <c r="L128" s="54">
        <f>'Parameter Input'!$O$181</f>
        <v>17</v>
      </c>
      <c r="M128" s="37">
        <v>0</v>
      </c>
      <c r="N128" s="37">
        <v>1</v>
      </c>
      <c r="O128" s="37">
        <f>'Parameter Input'!$P$181</f>
        <v>0.9</v>
      </c>
      <c r="P128" s="55">
        <f>'Parameter Input'!$Q$181</f>
        <v>0.4</v>
      </c>
      <c r="Q128" s="4">
        <f t="shared" ref="Q128:AF133" si="82">$N128+($M128-$N128)*((1/(1+EXP(-$P128*(Q$9-$L128)))^$O128))</f>
        <v>0.99780374543478534</v>
      </c>
      <c r="R128" s="4">
        <f t="shared" si="82"/>
        <v>0.99685359315256394</v>
      </c>
      <c r="S128" s="4">
        <f t="shared" si="82"/>
        <v>0.99549347132349975</v>
      </c>
      <c r="T128" s="4">
        <f t="shared" si="82"/>
        <v>0.99354772139898062</v>
      </c>
      <c r="U128" s="4">
        <f t="shared" si="82"/>
        <v>0.99076681540580536</v>
      </c>
      <c r="V128" s="4">
        <f t="shared" si="82"/>
        <v>0.9867978615748374</v>
      </c>
      <c r="W128" s="4">
        <f t="shared" si="82"/>
        <v>0.98114509762858249</v>
      </c>
      <c r="X128" s="4">
        <f t="shared" si="82"/>
        <v>0.97311898315872036</v>
      </c>
      <c r="Y128" s="4">
        <f t="shared" si="82"/>
        <v>0.96177484161592774</v>
      </c>
      <c r="Z128" s="4">
        <f t="shared" si="82"/>
        <v>0.94584787155511363</v>
      </c>
      <c r="AA128" s="4">
        <f t="shared" si="82"/>
        <v>0.92370360150141495</v>
      </c>
      <c r="AB128" s="4">
        <f t="shared" si="82"/>
        <v>0.89334463567658451</v>
      </c>
      <c r="AC128" s="4">
        <f t="shared" si="82"/>
        <v>0.85254543874327005</v>
      </c>
      <c r="AD128" s="4">
        <f t="shared" si="82"/>
        <v>0.79921300652623883</v>
      </c>
      <c r="AE128" s="4">
        <f t="shared" si="82"/>
        <v>0.73204982249993378</v>
      </c>
      <c r="AF128" s="4">
        <f t="shared" si="82"/>
        <v>0.65145592958786691</v>
      </c>
      <c r="AG128" s="4">
        <f t="shared" si="79"/>
        <v>0.56032247880849573</v>
      </c>
      <c r="AH128" s="4">
        <f t="shared" si="79"/>
        <v>0.46411326873185343</v>
      </c>
      <c r="AI128" s="4">
        <f t="shared" si="79"/>
        <v>0.36979727595523937</v>
      </c>
      <c r="AJ128" s="4">
        <f t="shared" si="80"/>
        <v>0.28393948637231203</v>
      </c>
      <c r="AK128" s="4">
        <f t="shared" si="80"/>
        <v>0.21097259161117732</v>
      </c>
      <c r="AL128" s="4">
        <f t="shared" si="80"/>
        <v>0.15253917653798199</v>
      </c>
      <c r="AM128" s="4">
        <f t="shared" si="80"/>
        <v>0.10795188737709993</v>
      </c>
      <c r="AN128" s="4">
        <f t="shared" si="80"/>
        <v>7.5176653938091809E-2</v>
      </c>
      <c r="AO128" s="4">
        <f t="shared" si="80"/>
        <v>5.1742836177502194E-2</v>
      </c>
      <c r="AP128" s="4">
        <f t="shared" si="80"/>
        <v>3.5319190625345942E-2</v>
      </c>
      <c r="AQ128" s="4">
        <f t="shared" si="80"/>
        <v>2.3969442072658165E-2</v>
      </c>
      <c r="AR128" s="4">
        <f t="shared" si="80"/>
        <v>1.6202243558389728E-2</v>
      </c>
    </row>
    <row r="129" spans="1:44" x14ac:dyDescent="0.3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2"/>
        <v>0.99780374543478534</v>
      </c>
      <c r="R129" s="4">
        <f t="shared" si="82"/>
        <v>0.99685359315256394</v>
      </c>
      <c r="S129" s="4">
        <f t="shared" si="82"/>
        <v>0.99549347132349975</v>
      </c>
      <c r="T129" s="4">
        <f t="shared" si="82"/>
        <v>0.99354772139898062</v>
      </c>
      <c r="U129" s="4">
        <f t="shared" si="82"/>
        <v>0.99076681540580536</v>
      </c>
      <c r="V129" s="4">
        <f t="shared" si="82"/>
        <v>0.9867978615748374</v>
      </c>
      <c r="W129" s="4">
        <f t="shared" si="82"/>
        <v>0.98114509762858249</v>
      </c>
      <c r="X129" s="4">
        <f t="shared" si="82"/>
        <v>0.97311898315872036</v>
      </c>
      <c r="Y129" s="4">
        <f t="shared" si="82"/>
        <v>0.96177484161592774</v>
      </c>
      <c r="Z129" s="4">
        <f t="shared" si="82"/>
        <v>0.94584787155511363</v>
      </c>
      <c r="AA129" s="4">
        <f t="shared" si="82"/>
        <v>0.92370360150141495</v>
      </c>
      <c r="AB129" s="4">
        <f t="shared" si="82"/>
        <v>0.89334463567658451</v>
      </c>
      <c r="AC129" s="4">
        <f t="shared" si="82"/>
        <v>0.85254543874327005</v>
      </c>
      <c r="AD129" s="4">
        <f t="shared" si="82"/>
        <v>0.79921300652623883</v>
      </c>
      <c r="AE129" s="4">
        <f t="shared" si="82"/>
        <v>0.73204982249993378</v>
      </c>
      <c r="AF129" s="4">
        <f t="shared" si="82"/>
        <v>0.65145592958786691</v>
      </c>
      <c r="AG129" s="4">
        <f t="shared" si="79"/>
        <v>0.56032247880849573</v>
      </c>
      <c r="AH129" s="4">
        <f t="shared" si="79"/>
        <v>0.46411326873185343</v>
      </c>
      <c r="AI129" s="4">
        <f t="shared" si="79"/>
        <v>0.36979727595523937</v>
      </c>
      <c r="AJ129" s="4">
        <f t="shared" si="80"/>
        <v>0.28393948637231203</v>
      </c>
      <c r="AK129" s="4">
        <f t="shared" si="80"/>
        <v>0.21097259161117732</v>
      </c>
      <c r="AL129" s="4">
        <f t="shared" si="80"/>
        <v>0.15253917653798199</v>
      </c>
      <c r="AM129" s="4">
        <f t="shared" si="80"/>
        <v>0.10795188737709993</v>
      </c>
      <c r="AN129" s="4">
        <f t="shared" si="80"/>
        <v>7.5176653938091809E-2</v>
      </c>
      <c r="AO129" s="4">
        <f t="shared" si="80"/>
        <v>5.1742836177502194E-2</v>
      </c>
      <c r="AP129" s="4">
        <f t="shared" si="80"/>
        <v>3.5319190625345942E-2</v>
      </c>
      <c r="AQ129" s="4">
        <f t="shared" si="80"/>
        <v>2.3969442072658165E-2</v>
      </c>
      <c r="AR129" s="4">
        <f t="shared" si="80"/>
        <v>1.6202243558389728E-2</v>
      </c>
    </row>
    <row r="130" spans="1:44" x14ac:dyDescent="0.3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2"/>
        <v>0.99780374543478534</v>
      </c>
      <c r="R130" s="4">
        <f t="shared" si="82"/>
        <v>0.99685359315256394</v>
      </c>
      <c r="S130" s="4">
        <f t="shared" si="82"/>
        <v>0.99549347132349975</v>
      </c>
      <c r="T130" s="4">
        <f t="shared" si="82"/>
        <v>0.99354772139898062</v>
      </c>
      <c r="U130" s="4">
        <f t="shared" si="82"/>
        <v>0.99076681540580536</v>
      </c>
      <c r="V130" s="4">
        <f t="shared" si="82"/>
        <v>0.9867978615748374</v>
      </c>
      <c r="W130" s="4">
        <f t="shared" si="82"/>
        <v>0.98114509762858249</v>
      </c>
      <c r="X130" s="4">
        <f t="shared" si="82"/>
        <v>0.97311898315872036</v>
      </c>
      <c r="Y130" s="4">
        <f t="shared" si="82"/>
        <v>0.96177484161592774</v>
      </c>
      <c r="Z130" s="4">
        <f t="shared" si="82"/>
        <v>0.94584787155511363</v>
      </c>
      <c r="AA130" s="4">
        <f t="shared" si="82"/>
        <v>0.92370360150141495</v>
      </c>
      <c r="AB130" s="4">
        <f t="shared" si="82"/>
        <v>0.89334463567658451</v>
      </c>
      <c r="AC130" s="4">
        <f t="shared" si="82"/>
        <v>0.85254543874327005</v>
      </c>
      <c r="AD130" s="4">
        <f t="shared" si="82"/>
        <v>0.79921300652623883</v>
      </c>
      <c r="AE130" s="4">
        <f t="shared" si="82"/>
        <v>0.73204982249993378</v>
      </c>
      <c r="AF130" s="4">
        <f t="shared" si="82"/>
        <v>0.65145592958786691</v>
      </c>
      <c r="AG130" s="4">
        <f t="shared" si="79"/>
        <v>0.56032247880849573</v>
      </c>
      <c r="AH130" s="4">
        <f t="shared" si="79"/>
        <v>0.46411326873185343</v>
      </c>
      <c r="AI130" s="4">
        <f t="shared" si="79"/>
        <v>0.36979727595523937</v>
      </c>
      <c r="AJ130" s="4">
        <f t="shared" si="80"/>
        <v>0.28393948637231203</v>
      </c>
      <c r="AK130" s="4">
        <f t="shared" si="80"/>
        <v>0.21097259161117732</v>
      </c>
      <c r="AL130" s="4">
        <f t="shared" si="80"/>
        <v>0.15253917653798199</v>
      </c>
      <c r="AM130" s="4">
        <f t="shared" si="80"/>
        <v>0.10795188737709993</v>
      </c>
      <c r="AN130" s="4">
        <f t="shared" si="80"/>
        <v>7.5176653938091809E-2</v>
      </c>
      <c r="AO130" s="4">
        <f t="shared" si="80"/>
        <v>5.1742836177502194E-2</v>
      </c>
      <c r="AP130" s="4">
        <f t="shared" si="80"/>
        <v>3.5319190625345942E-2</v>
      </c>
      <c r="AQ130" s="4">
        <f t="shared" si="80"/>
        <v>2.3969442072658165E-2</v>
      </c>
      <c r="AR130" s="4">
        <f t="shared" si="80"/>
        <v>1.6202243558389728E-2</v>
      </c>
    </row>
    <row r="131" spans="1:44" x14ac:dyDescent="0.3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2"/>
        <v>0.99780374543478534</v>
      </c>
      <c r="R131" s="4">
        <f t="shared" si="82"/>
        <v>0.99685359315256394</v>
      </c>
      <c r="S131" s="4">
        <f t="shared" si="82"/>
        <v>0.99549347132349975</v>
      </c>
      <c r="T131" s="4">
        <f t="shared" si="82"/>
        <v>0.99354772139898062</v>
      </c>
      <c r="U131" s="4">
        <f t="shared" si="82"/>
        <v>0.99076681540580536</v>
      </c>
      <c r="V131" s="4">
        <f t="shared" si="82"/>
        <v>0.9867978615748374</v>
      </c>
      <c r="W131" s="4">
        <f t="shared" si="82"/>
        <v>0.98114509762858249</v>
      </c>
      <c r="X131" s="4">
        <f t="shared" si="82"/>
        <v>0.97311898315872036</v>
      </c>
      <c r="Y131" s="4">
        <f t="shared" si="82"/>
        <v>0.96177484161592774</v>
      </c>
      <c r="Z131" s="4">
        <f t="shared" si="82"/>
        <v>0.94584787155511363</v>
      </c>
      <c r="AA131" s="4">
        <f t="shared" si="82"/>
        <v>0.92370360150141495</v>
      </c>
      <c r="AB131" s="4">
        <f t="shared" si="82"/>
        <v>0.89334463567658451</v>
      </c>
      <c r="AC131" s="4">
        <f t="shared" si="82"/>
        <v>0.85254543874327005</v>
      </c>
      <c r="AD131" s="4">
        <f t="shared" si="82"/>
        <v>0.79921300652623883</v>
      </c>
      <c r="AE131" s="4">
        <f t="shared" si="82"/>
        <v>0.73204982249993378</v>
      </c>
      <c r="AF131" s="4">
        <f t="shared" si="82"/>
        <v>0.65145592958786691</v>
      </c>
      <c r="AG131" s="4">
        <f t="shared" si="79"/>
        <v>0.56032247880849573</v>
      </c>
      <c r="AH131" s="4">
        <f t="shared" si="79"/>
        <v>0.46411326873185343</v>
      </c>
      <c r="AI131" s="4">
        <f t="shared" si="79"/>
        <v>0.36979727595523937</v>
      </c>
      <c r="AJ131" s="4">
        <f t="shared" si="80"/>
        <v>0.28393948637231203</v>
      </c>
      <c r="AK131" s="4">
        <f t="shared" si="80"/>
        <v>0.21097259161117732</v>
      </c>
      <c r="AL131" s="4">
        <f t="shared" si="80"/>
        <v>0.15253917653798199</v>
      </c>
      <c r="AM131" s="4">
        <f t="shared" si="80"/>
        <v>0.10795188737709993</v>
      </c>
      <c r="AN131" s="4">
        <f t="shared" si="80"/>
        <v>7.5176653938091809E-2</v>
      </c>
      <c r="AO131" s="4">
        <f t="shared" si="80"/>
        <v>5.1742836177502194E-2</v>
      </c>
      <c r="AP131" s="4">
        <f t="shared" si="80"/>
        <v>3.5319190625345942E-2</v>
      </c>
      <c r="AQ131" s="4">
        <f t="shared" si="80"/>
        <v>2.3969442072658165E-2</v>
      </c>
      <c r="AR131" s="4">
        <f t="shared" si="80"/>
        <v>1.6202243558389728E-2</v>
      </c>
    </row>
    <row r="132" spans="1:44" x14ac:dyDescent="0.3">
      <c r="A132" s="24" t="s">
        <v>73</v>
      </c>
      <c r="B132" s="45">
        <f>'Parameter Input'!$L$185</f>
        <v>0.8</v>
      </c>
      <c r="C132" s="46">
        <f>'Parameter Input'!$M$185</f>
        <v>7.0000000000000007E-2</v>
      </c>
      <c r="D132" s="1" t="s">
        <v>57</v>
      </c>
      <c r="L132" s="54">
        <f>'Parameter Input'!$O$185</f>
        <v>17</v>
      </c>
      <c r="M132" s="37">
        <v>0</v>
      </c>
      <c r="N132" s="37">
        <v>1</v>
      </c>
      <c r="O132" s="37">
        <f>'Parameter Input'!$P$185</f>
        <v>0.9</v>
      </c>
      <c r="P132" s="55">
        <f>'Parameter Input'!$Q$185</f>
        <v>0.4</v>
      </c>
      <c r="Q132" s="4">
        <f t="shared" si="82"/>
        <v>0.99780374543478534</v>
      </c>
      <c r="R132" s="4">
        <f t="shared" si="82"/>
        <v>0.99685359315256394</v>
      </c>
      <c r="S132" s="4">
        <f t="shared" si="82"/>
        <v>0.99549347132349975</v>
      </c>
      <c r="T132" s="4">
        <f t="shared" si="82"/>
        <v>0.99354772139898062</v>
      </c>
      <c r="U132" s="4">
        <f t="shared" si="82"/>
        <v>0.99076681540580536</v>
      </c>
      <c r="V132" s="4">
        <f t="shared" si="82"/>
        <v>0.9867978615748374</v>
      </c>
      <c r="W132" s="4">
        <f t="shared" si="82"/>
        <v>0.98114509762858249</v>
      </c>
      <c r="X132" s="4">
        <f t="shared" si="82"/>
        <v>0.97311898315872036</v>
      </c>
      <c r="Y132" s="4">
        <f t="shared" si="82"/>
        <v>0.96177484161592774</v>
      </c>
      <c r="Z132" s="4">
        <f t="shared" si="82"/>
        <v>0.94584787155511363</v>
      </c>
      <c r="AA132" s="4">
        <f t="shared" si="82"/>
        <v>0.92370360150141495</v>
      </c>
      <c r="AB132" s="4">
        <f t="shared" si="82"/>
        <v>0.89334463567658451</v>
      </c>
      <c r="AC132" s="4">
        <f t="shared" si="82"/>
        <v>0.85254543874327005</v>
      </c>
      <c r="AD132" s="4">
        <f t="shared" si="82"/>
        <v>0.79921300652623883</v>
      </c>
      <c r="AE132" s="4">
        <f t="shared" si="82"/>
        <v>0.73204982249993378</v>
      </c>
      <c r="AF132" s="4">
        <f t="shared" si="82"/>
        <v>0.65145592958786691</v>
      </c>
      <c r="AG132" s="4">
        <f t="shared" si="79"/>
        <v>0.56032247880849573</v>
      </c>
      <c r="AH132" s="4">
        <f t="shared" si="79"/>
        <v>0.46411326873185343</v>
      </c>
      <c r="AI132" s="4">
        <f t="shared" si="79"/>
        <v>0.36979727595523937</v>
      </c>
      <c r="AJ132" s="4">
        <f t="shared" si="80"/>
        <v>0.28393948637231203</v>
      </c>
      <c r="AK132" s="4">
        <f t="shared" si="80"/>
        <v>0.21097259161117732</v>
      </c>
      <c r="AL132" s="4">
        <f t="shared" si="80"/>
        <v>0.15253917653798199</v>
      </c>
      <c r="AM132" s="4">
        <f t="shared" si="80"/>
        <v>0.10795188737709993</v>
      </c>
      <c r="AN132" s="4">
        <f t="shared" si="80"/>
        <v>7.5176653938091809E-2</v>
      </c>
      <c r="AO132" s="4">
        <f t="shared" si="80"/>
        <v>5.1742836177502194E-2</v>
      </c>
      <c r="AP132" s="4">
        <f t="shared" si="80"/>
        <v>3.5319190625345942E-2</v>
      </c>
      <c r="AQ132" s="4">
        <f t="shared" si="80"/>
        <v>2.3969442072658165E-2</v>
      </c>
      <c r="AR132" s="4">
        <f t="shared" si="80"/>
        <v>1.6202243558389728E-2</v>
      </c>
    </row>
    <row r="133" spans="1:44" ht="15" thickBot="1" x14ac:dyDescent="0.35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2"/>
        <v>0.99780374543478534</v>
      </c>
      <c r="R133" s="4">
        <f t="shared" si="82"/>
        <v>0.99685359315256394</v>
      </c>
      <c r="S133" s="4">
        <f t="shared" si="82"/>
        <v>0.99549347132349975</v>
      </c>
      <c r="T133" s="4">
        <f t="shared" si="82"/>
        <v>0.99354772139898062</v>
      </c>
      <c r="U133" s="4">
        <f t="shared" si="82"/>
        <v>0.99076681540580536</v>
      </c>
      <c r="V133" s="4">
        <f t="shared" si="82"/>
        <v>0.9867978615748374</v>
      </c>
      <c r="W133" s="4">
        <f t="shared" si="82"/>
        <v>0.98114509762858249</v>
      </c>
      <c r="X133" s="4">
        <f t="shared" si="82"/>
        <v>0.97311898315872036</v>
      </c>
      <c r="Y133" s="4">
        <f t="shared" si="82"/>
        <v>0.96177484161592774</v>
      </c>
      <c r="Z133" s="4">
        <f t="shared" si="82"/>
        <v>0.94584787155511363</v>
      </c>
      <c r="AA133" s="4">
        <f t="shared" si="82"/>
        <v>0.92370360150141495</v>
      </c>
      <c r="AB133" s="4">
        <f t="shared" si="82"/>
        <v>0.89334463567658451</v>
      </c>
      <c r="AC133" s="4">
        <f t="shared" si="82"/>
        <v>0.85254543874327005</v>
      </c>
      <c r="AD133" s="4">
        <f t="shared" si="82"/>
        <v>0.79921300652623883</v>
      </c>
      <c r="AE133" s="4">
        <f t="shared" si="82"/>
        <v>0.73204982249993378</v>
      </c>
      <c r="AF133" s="4">
        <f t="shared" si="82"/>
        <v>0.65145592958786691</v>
      </c>
      <c r="AG133" s="4">
        <f t="shared" si="79"/>
        <v>0.56032247880849573</v>
      </c>
      <c r="AH133" s="4">
        <f t="shared" si="79"/>
        <v>0.46411326873185343</v>
      </c>
      <c r="AI133" s="4">
        <f t="shared" si="79"/>
        <v>0.36979727595523937</v>
      </c>
      <c r="AJ133" s="4">
        <f t="shared" si="80"/>
        <v>0.28393948637231203</v>
      </c>
      <c r="AK133" s="4">
        <f t="shared" si="80"/>
        <v>0.21097259161117732</v>
      </c>
      <c r="AL133" s="4">
        <f t="shared" si="80"/>
        <v>0.15253917653798199</v>
      </c>
      <c r="AM133" s="4">
        <f t="shared" si="80"/>
        <v>0.10795188737709993</v>
      </c>
      <c r="AN133" s="4">
        <f t="shared" si="80"/>
        <v>7.5176653938091809E-2</v>
      </c>
      <c r="AO133" s="4">
        <f t="shared" si="80"/>
        <v>5.1742836177502194E-2</v>
      </c>
      <c r="AP133" s="4">
        <f t="shared" si="80"/>
        <v>3.5319190625345942E-2</v>
      </c>
      <c r="AQ133" s="4">
        <f t="shared" si="80"/>
        <v>2.3969442072658165E-2</v>
      </c>
      <c r="AR133" s="4">
        <f t="shared" si="80"/>
        <v>1.6202243558389728E-2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83">A117</f>
        <v>Capex vehicle</v>
      </c>
      <c r="B137" s="62">
        <f t="shared" ref="B137:B146" si="84">$B117+($C117-$B117)*(1-Q117)</f>
        <v>29973644.945217423</v>
      </c>
      <c r="C137" s="62">
        <f t="shared" ref="C137:C146" si="85">$B117+($C117-$B117)*(1-R117)</f>
        <v>29962243.117830768</v>
      </c>
      <c r="D137" s="62">
        <f t="shared" ref="D137:D146" si="86">$B117+($C117-$B117)*(1-S117)</f>
        <v>29945921.655881997</v>
      </c>
      <c r="E137" s="62">
        <f t="shared" ref="E137:E146" si="87">$B117+($C117-$B117)*(1-T117)</f>
        <v>29922572.656787768</v>
      </c>
      <c r="F137" s="62">
        <f t="shared" ref="F137:F146" si="88">$B117+($C117-$B117)*(1-U117)</f>
        <v>29889201.784869663</v>
      </c>
      <c r="G137" s="62">
        <f t="shared" ref="G137:G146" si="89">$B117+($C117-$B117)*(1-V117)</f>
        <v>29841574.338898048</v>
      </c>
      <c r="H137" s="62">
        <f t="shared" ref="H137:H146" si="90">$B117+($C117-$B117)*(1-W117)</f>
        <v>29773741.171542991</v>
      </c>
      <c r="I137" s="62">
        <f t="shared" ref="I137:I146" si="91">$B117+($C117-$B117)*(1-X117)</f>
        <v>29677427.797904644</v>
      </c>
      <c r="J137" s="62">
        <f t="shared" ref="J137:J146" si="92">$B117+($C117-$B117)*(1-Y117)</f>
        <v>29541298.099391133</v>
      </c>
      <c r="K137" s="62">
        <f t="shared" ref="K137:K146" si="93">$B117+($C117-$B117)*(1-Z117)</f>
        <v>29350174.458661363</v>
      </c>
      <c r="L137" s="62">
        <f t="shared" ref="L137:L146" si="94">$B117+($C117-$B117)*(1-AA117)</f>
        <v>29084443.218016978</v>
      </c>
      <c r="M137" s="62">
        <f t="shared" ref="M137:M146" si="95">$B117+($C117-$B117)*(1-AB117)</f>
        <v>28720135.628119014</v>
      </c>
      <c r="N137" s="62">
        <f t="shared" ref="N137:N146" si="96">$B117+($C117-$B117)*(1-AC117)</f>
        <v>28230545.26491924</v>
      </c>
      <c r="O137" s="62">
        <f t="shared" ref="O137:O146" si="97">$B117+($C117-$B117)*(1-AD117)</f>
        <v>27590556.078314867</v>
      </c>
      <c r="P137" s="62">
        <f t="shared" ref="P137:P146" si="98">$B117+($C117-$B117)*(1-AE117)</f>
        <v>26784597.869999204</v>
      </c>
      <c r="Q137" s="62">
        <f t="shared" ref="Q137:Q146" si="99">$B117+($C117-$B117)*(1-AF117)</f>
        <v>25817471.155054402</v>
      </c>
      <c r="R137" s="62">
        <f t="shared" ref="R137:R146" si="100">$B117+($C117-$B117)*(1-AG117)</f>
        <v>24723869.74570195</v>
      </c>
      <c r="S137" s="62">
        <f t="shared" ref="S137:S146" si="101">$B117+($C117-$B117)*(1-AH117)</f>
        <v>23569359.224782243</v>
      </c>
      <c r="T137" s="62">
        <f t="shared" ref="T137:T146" si="102">$B117+($C117-$B117)*(1-AI117)</f>
        <v>22437567.311462872</v>
      </c>
      <c r="U137" s="62">
        <f t="shared" ref="U137:U146" si="103">$B117+($C117-$B117)*(1-AJ117)</f>
        <v>21407273.836467743</v>
      </c>
      <c r="V137" s="62">
        <f t="shared" ref="V137:V146" si="104">$B117+($C117-$B117)*(1-AK117)</f>
        <v>20531671.099334128</v>
      </c>
      <c r="W137" s="62">
        <f t="shared" ref="W137:W146" si="105">$B117+($C117-$B117)*(1-AL117)</f>
        <v>19830470.118455783</v>
      </c>
      <c r="X137" s="62">
        <f t="shared" ref="X137:X146" si="106">$B117+($C117-$B117)*(1-AM117)</f>
        <v>19295422.648525201</v>
      </c>
      <c r="Y137" s="62">
        <f t="shared" ref="Y137:Y146" si="107">$B117+($C117-$B117)*(1-AN117)</f>
        <v>18902119.8472571</v>
      </c>
      <c r="Z137" s="62">
        <f t="shared" ref="Z137:Z146" si="108">$B117+($C117-$B117)*(1-AO117)</f>
        <v>18620914.034130026</v>
      </c>
      <c r="AA137" s="62">
        <f t="shared" ref="AA137:AA146" si="109">$B117+($C117-$B117)*(1-AP117)</f>
        <v>18423830.287504151</v>
      </c>
      <c r="AB137" s="62">
        <f t="shared" ref="AB137:AB146" si="110">$B117+($C117-$B117)*(1-AQ117)</f>
        <v>18287633.304871898</v>
      </c>
      <c r="AC137" s="62">
        <f t="shared" ref="AC137:AC146" si="111">$B117+($C117-$B117)*(1-AR117)</f>
        <v>18194426.922700677</v>
      </c>
    </row>
    <row r="138" spans="1:44" x14ac:dyDescent="0.3">
      <c r="A138" s="30" t="str">
        <f t="shared" si="83"/>
        <v>Residual value (vehicle)</v>
      </c>
      <c r="B138" s="62">
        <f t="shared" si="84"/>
        <v>-1500658.8763695643</v>
      </c>
      <c r="C138" s="62">
        <f t="shared" si="85"/>
        <v>-1500943.9220542307</v>
      </c>
      <c r="D138" s="62">
        <f t="shared" si="86"/>
        <v>-1501351.95860295</v>
      </c>
      <c r="E138" s="62">
        <f t="shared" si="87"/>
        <v>-1501935.6835803059</v>
      </c>
      <c r="F138" s="62">
        <f t="shared" si="88"/>
        <v>-1502769.9553782584</v>
      </c>
      <c r="G138" s="62">
        <f t="shared" si="89"/>
        <v>-1503960.6415275487</v>
      </c>
      <c r="H138" s="62">
        <f t="shared" si="90"/>
        <v>-1505656.4707114252</v>
      </c>
      <c r="I138" s="62">
        <f t="shared" si="91"/>
        <v>-1508064.3050523838</v>
      </c>
      <c r="J138" s="62">
        <f t="shared" si="92"/>
        <v>-1511467.5475152216</v>
      </c>
      <c r="K138" s="62">
        <f t="shared" si="93"/>
        <v>-1516245.6385334658</v>
      </c>
      <c r="L138" s="62">
        <f t="shared" si="94"/>
        <v>-1522888.9195495755</v>
      </c>
      <c r="M138" s="62">
        <f t="shared" si="95"/>
        <v>-1531996.6092970246</v>
      </c>
      <c r="N138" s="62">
        <f t="shared" si="96"/>
        <v>-1544236.368377019</v>
      </c>
      <c r="O138" s="62">
        <f t="shared" si="97"/>
        <v>-1560236.0980421284</v>
      </c>
      <c r="P138" s="62">
        <f t="shared" si="98"/>
        <v>-1580385.0532500199</v>
      </c>
      <c r="Q138" s="62">
        <f t="shared" si="99"/>
        <v>-1604563.22112364</v>
      </c>
      <c r="R138" s="62">
        <f t="shared" si="100"/>
        <v>-1631903.2563574512</v>
      </c>
      <c r="S138" s="62">
        <f t="shared" si="101"/>
        <v>-1660766.019380444</v>
      </c>
      <c r="T138" s="62">
        <f t="shared" si="102"/>
        <v>-1689060.8172134282</v>
      </c>
      <c r="U138" s="62">
        <f t="shared" si="103"/>
        <v>-1714818.1540883065</v>
      </c>
      <c r="V138" s="62">
        <f t="shared" si="104"/>
        <v>-1736708.2225166468</v>
      </c>
      <c r="W138" s="62">
        <f t="shared" si="105"/>
        <v>-1754238.2470386054</v>
      </c>
      <c r="X138" s="62">
        <f t="shared" si="106"/>
        <v>-1767614.43378687</v>
      </c>
      <c r="Y138" s="62">
        <f t="shared" si="107"/>
        <v>-1777447.0038185725</v>
      </c>
      <c r="Z138" s="62">
        <f t="shared" si="108"/>
        <v>-1784477.1491467494</v>
      </c>
      <c r="AA138" s="62">
        <f t="shared" si="109"/>
        <v>-1789404.2428123963</v>
      </c>
      <c r="AB138" s="62">
        <f t="shared" si="110"/>
        <v>-1792809.1673782025</v>
      </c>
      <c r="AC138" s="62">
        <f t="shared" si="111"/>
        <v>-1795139.3269324831</v>
      </c>
    </row>
    <row r="139" spans="1:44" x14ac:dyDescent="0.3">
      <c r="A139" s="30" t="str">
        <f t="shared" si="83"/>
        <v>Capex costumization</v>
      </c>
      <c r="B139" s="62">
        <f t="shared" si="84"/>
        <v>5000000</v>
      </c>
      <c r="C139" s="62">
        <f t="shared" si="85"/>
        <v>5000000</v>
      </c>
      <c r="D139" s="62">
        <f t="shared" si="86"/>
        <v>5000000</v>
      </c>
      <c r="E139" s="62">
        <f t="shared" si="87"/>
        <v>5000000</v>
      </c>
      <c r="F139" s="62">
        <f t="shared" si="88"/>
        <v>5000000</v>
      </c>
      <c r="G139" s="62">
        <f t="shared" si="89"/>
        <v>5000000</v>
      </c>
      <c r="H139" s="62">
        <f t="shared" si="90"/>
        <v>5000000</v>
      </c>
      <c r="I139" s="62">
        <f t="shared" si="91"/>
        <v>5000000</v>
      </c>
      <c r="J139" s="62">
        <f t="shared" si="92"/>
        <v>5000000</v>
      </c>
      <c r="K139" s="62">
        <f t="shared" si="93"/>
        <v>5000000</v>
      </c>
      <c r="L139" s="62">
        <f t="shared" si="94"/>
        <v>5000000</v>
      </c>
      <c r="M139" s="62">
        <f t="shared" si="95"/>
        <v>5000000</v>
      </c>
      <c r="N139" s="62">
        <f t="shared" si="96"/>
        <v>5000000</v>
      </c>
      <c r="O139" s="62">
        <f t="shared" si="97"/>
        <v>5000000</v>
      </c>
      <c r="P139" s="62">
        <f t="shared" si="98"/>
        <v>5000000</v>
      </c>
      <c r="Q139" s="62">
        <f t="shared" si="99"/>
        <v>5000000</v>
      </c>
      <c r="R139" s="62">
        <f t="shared" si="100"/>
        <v>5000000</v>
      </c>
      <c r="S139" s="62">
        <f t="shared" si="101"/>
        <v>5000000</v>
      </c>
      <c r="T139" s="62">
        <f t="shared" si="102"/>
        <v>5000000</v>
      </c>
      <c r="U139" s="62">
        <f t="shared" si="103"/>
        <v>5000000</v>
      </c>
      <c r="V139" s="62">
        <f t="shared" si="104"/>
        <v>5000000</v>
      </c>
      <c r="W139" s="62">
        <f t="shared" si="105"/>
        <v>5000000</v>
      </c>
      <c r="X139" s="62">
        <f t="shared" si="106"/>
        <v>5000000</v>
      </c>
      <c r="Y139" s="62">
        <f t="shared" si="107"/>
        <v>5000000</v>
      </c>
      <c r="Z139" s="62">
        <f t="shared" si="108"/>
        <v>5000000</v>
      </c>
      <c r="AA139" s="62">
        <f t="shared" si="109"/>
        <v>5000000</v>
      </c>
      <c r="AB139" s="62">
        <f t="shared" si="110"/>
        <v>5000000</v>
      </c>
      <c r="AC139" s="62">
        <f t="shared" si="111"/>
        <v>5000000</v>
      </c>
    </row>
    <row r="140" spans="1:44" x14ac:dyDescent="0.3">
      <c r="A140" s="30" t="str">
        <f t="shared" si="83"/>
        <v>Residual value (costumization)</v>
      </c>
      <c r="B140" s="62">
        <f t="shared" si="84"/>
        <v>-500000</v>
      </c>
      <c r="C140" s="62">
        <f t="shared" si="85"/>
        <v>-500000</v>
      </c>
      <c r="D140" s="62">
        <f t="shared" si="86"/>
        <v>-500000</v>
      </c>
      <c r="E140" s="62">
        <f t="shared" si="87"/>
        <v>-500000</v>
      </c>
      <c r="F140" s="62">
        <f t="shared" si="88"/>
        <v>-500000</v>
      </c>
      <c r="G140" s="62">
        <f t="shared" si="89"/>
        <v>-500000</v>
      </c>
      <c r="H140" s="62">
        <f t="shared" si="90"/>
        <v>-500000</v>
      </c>
      <c r="I140" s="62">
        <f t="shared" si="91"/>
        <v>-500000</v>
      </c>
      <c r="J140" s="62">
        <f t="shared" si="92"/>
        <v>-500000</v>
      </c>
      <c r="K140" s="62">
        <f t="shared" si="93"/>
        <v>-500000</v>
      </c>
      <c r="L140" s="62">
        <f t="shared" si="94"/>
        <v>-500000</v>
      </c>
      <c r="M140" s="62">
        <f t="shared" si="95"/>
        <v>-500000</v>
      </c>
      <c r="N140" s="62">
        <f t="shared" si="96"/>
        <v>-500000</v>
      </c>
      <c r="O140" s="62">
        <f t="shared" si="97"/>
        <v>-500000</v>
      </c>
      <c r="P140" s="62">
        <f t="shared" si="98"/>
        <v>-500000</v>
      </c>
      <c r="Q140" s="62">
        <f t="shared" si="99"/>
        <v>-500000</v>
      </c>
      <c r="R140" s="62">
        <f t="shared" si="100"/>
        <v>-500000</v>
      </c>
      <c r="S140" s="62">
        <f t="shared" si="101"/>
        <v>-500000</v>
      </c>
      <c r="T140" s="62">
        <f t="shared" si="102"/>
        <v>-500000</v>
      </c>
      <c r="U140" s="62">
        <f t="shared" si="103"/>
        <v>-500000</v>
      </c>
      <c r="V140" s="62">
        <f t="shared" si="104"/>
        <v>-500000</v>
      </c>
      <c r="W140" s="62">
        <f t="shared" si="105"/>
        <v>-500000</v>
      </c>
      <c r="X140" s="62">
        <f t="shared" si="106"/>
        <v>-500000</v>
      </c>
      <c r="Y140" s="62">
        <f t="shared" si="107"/>
        <v>-500000</v>
      </c>
      <c r="Z140" s="62">
        <f t="shared" si="108"/>
        <v>-500000</v>
      </c>
      <c r="AA140" s="62">
        <f t="shared" si="109"/>
        <v>-500000</v>
      </c>
      <c r="AB140" s="62">
        <f t="shared" si="110"/>
        <v>-500000</v>
      </c>
      <c r="AC140" s="62">
        <f t="shared" si="111"/>
        <v>-500000</v>
      </c>
    </row>
    <row r="141" spans="1:44" x14ac:dyDescent="0.3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3">
      <c r="A142" s="30" t="str">
        <f t="shared" si="83"/>
        <v>Opex fix (admin, crew, insurance)</v>
      </c>
      <c r="B142" s="62">
        <f t="shared" si="84"/>
        <v>1208235.294117647</v>
      </c>
      <c r="C142" s="62">
        <f t="shared" si="85"/>
        <v>1208235.294117647</v>
      </c>
      <c r="D142" s="62">
        <f t="shared" si="86"/>
        <v>1208235.294117647</v>
      </c>
      <c r="E142" s="62">
        <f t="shared" si="87"/>
        <v>1208235.294117647</v>
      </c>
      <c r="F142" s="62">
        <f t="shared" si="88"/>
        <v>1208235.294117647</v>
      </c>
      <c r="G142" s="62">
        <f t="shared" si="89"/>
        <v>1208235.294117647</v>
      </c>
      <c r="H142" s="62">
        <f t="shared" si="90"/>
        <v>1208235.294117647</v>
      </c>
      <c r="I142" s="62">
        <f t="shared" si="91"/>
        <v>1208235.294117647</v>
      </c>
      <c r="J142" s="62">
        <f t="shared" si="92"/>
        <v>1208235.294117647</v>
      </c>
      <c r="K142" s="62">
        <f t="shared" si="93"/>
        <v>1208235.294117647</v>
      </c>
      <c r="L142" s="62">
        <f t="shared" si="94"/>
        <v>1208235.294117647</v>
      </c>
      <c r="M142" s="62">
        <f t="shared" si="95"/>
        <v>1208235.294117647</v>
      </c>
      <c r="N142" s="62">
        <f t="shared" si="96"/>
        <v>1208235.294117647</v>
      </c>
      <c r="O142" s="62">
        <f t="shared" si="97"/>
        <v>1208235.294117647</v>
      </c>
      <c r="P142" s="62">
        <f t="shared" si="98"/>
        <v>1208235.294117647</v>
      </c>
      <c r="Q142" s="62">
        <f t="shared" si="99"/>
        <v>1208235.294117647</v>
      </c>
      <c r="R142" s="62">
        <f t="shared" si="100"/>
        <v>1208235.294117647</v>
      </c>
      <c r="S142" s="62">
        <f t="shared" si="101"/>
        <v>1208235.294117647</v>
      </c>
      <c r="T142" s="62">
        <f t="shared" si="102"/>
        <v>1208235.294117647</v>
      </c>
      <c r="U142" s="62">
        <f t="shared" si="103"/>
        <v>1208235.294117647</v>
      </c>
      <c r="V142" s="62">
        <f t="shared" si="104"/>
        <v>1208235.294117647</v>
      </c>
      <c r="W142" s="62">
        <f t="shared" si="105"/>
        <v>1208235.294117647</v>
      </c>
      <c r="X142" s="62">
        <f t="shared" si="106"/>
        <v>1208235.294117647</v>
      </c>
      <c r="Y142" s="62">
        <f t="shared" si="107"/>
        <v>1208235.294117647</v>
      </c>
      <c r="Z142" s="62">
        <f t="shared" si="108"/>
        <v>1208235.294117647</v>
      </c>
      <c r="AA142" s="62">
        <f t="shared" si="109"/>
        <v>1208235.294117647</v>
      </c>
      <c r="AB142" s="62">
        <f t="shared" si="110"/>
        <v>1208235.294117647</v>
      </c>
      <c r="AC142" s="62">
        <f t="shared" si="111"/>
        <v>1208235.294117647</v>
      </c>
    </row>
    <row r="143" spans="1:44" x14ac:dyDescent="0.3">
      <c r="A143" s="30" t="str">
        <f t="shared" si="83"/>
        <v>Opex maintenance &amp; repair</v>
      </c>
      <c r="B143" s="62">
        <f t="shared" si="84"/>
        <v>338823.5294117647</v>
      </c>
      <c r="C143" s="62">
        <f t="shared" si="85"/>
        <v>338823.5294117647</v>
      </c>
      <c r="D143" s="62">
        <f t="shared" si="86"/>
        <v>338823.5294117647</v>
      </c>
      <c r="E143" s="62">
        <f t="shared" si="87"/>
        <v>338823.5294117647</v>
      </c>
      <c r="F143" s="62">
        <f t="shared" si="88"/>
        <v>338823.5294117647</v>
      </c>
      <c r="G143" s="62">
        <f t="shared" si="89"/>
        <v>338823.5294117647</v>
      </c>
      <c r="H143" s="62">
        <f t="shared" si="90"/>
        <v>338823.5294117647</v>
      </c>
      <c r="I143" s="62">
        <f t="shared" si="91"/>
        <v>338823.5294117647</v>
      </c>
      <c r="J143" s="62">
        <f t="shared" si="92"/>
        <v>338823.5294117647</v>
      </c>
      <c r="K143" s="62">
        <f t="shared" si="93"/>
        <v>338823.5294117647</v>
      </c>
      <c r="L143" s="62">
        <f t="shared" si="94"/>
        <v>338823.5294117647</v>
      </c>
      <c r="M143" s="62">
        <f t="shared" si="95"/>
        <v>338823.5294117647</v>
      </c>
      <c r="N143" s="62">
        <f t="shared" si="96"/>
        <v>338823.5294117647</v>
      </c>
      <c r="O143" s="62">
        <f t="shared" si="97"/>
        <v>338823.5294117647</v>
      </c>
      <c r="P143" s="62">
        <f t="shared" si="98"/>
        <v>338823.5294117647</v>
      </c>
      <c r="Q143" s="62">
        <f t="shared" si="99"/>
        <v>338823.5294117647</v>
      </c>
      <c r="R143" s="62">
        <f t="shared" si="100"/>
        <v>338823.5294117647</v>
      </c>
      <c r="S143" s="62">
        <f t="shared" si="101"/>
        <v>338823.5294117647</v>
      </c>
      <c r="T143" s="62">
        <f t="shared" si="102"/>
        <v>338823.5294117647</v>
      </c>
      <c r="U143" s="62">
        <f t="shared" si="103"/>
        <v>338823.5294117647</v>
      </c>
      <c r="V143" s="62">
        <f t="shared" si="104"/>
        <v>338823.5294117647</v>
      </c>
      <c r="W143" s="62">
        <f t="shared" si="105"/>
        <v>338823.5294117647</v>
      </c>
      <c r="X143" s="62">
        <f t="shared" si="106"/>
        <v>338823.5294117647</v>
      </c>
      <c r="Y143" s="62">
        <f t="shared" si="107"/>
        <v>338823.5294117647</v>
      </c>
      <c r="Z143" s="62">
        <f t="shared" si="108"/>
        <v>338823.5294117647</v>
      </c>
      <c r="AA143" s="62">
        <f t="shared" si="109"/>
        <v>338823.5294117647</v>
      </c>
      <c r="AB143" s="62">
        <f t="shared" si="110"/>
        <v>338823.5294117647</v>
      </c>
      <c r="AC143" s="62">
        <f t="shared" si="111"/>
        <v>338823.5294117647</v>
      </c>
    </row>
    <row r="144" spans="1:44" x14ac:dyDescent="0.3">
      <c r="A144" s="30" t="str">
        <f t="shared" si="83"/>
        <v>Opex var (mode-fees)</v>
      </c>
      <c r="B144" s="62">
        <f t="shared" si="84"/>
        <v>1.6886890630966982</v>
      </c>
      <c r="C144" s="62">
        <f t="shared" si="85"/>
        <v>1.6886890630966982</v>
      </c>
      <c r="D144" s="62">
        <f t="shared" si="86"/>
        <v>1.6886890630966982</v>
      </c>
      <c r="E144" s="62">
        <f t="shared" si="87"/>
        <v>1.6886890630966982</v>
      </c>
      <c r="F144" s="62">
        <f t="shared" si="88"/>
        <v>1.6886890630966982</v>
      </c>
      <c r="G144" s="62">
        <f t="shared" si="89"/>
        <v>1.6886890630966982</v>
      </c>
      <c r="H144" s="62">
        <f t="shared" si="90"/>
        <v>1.6886890630966982</v>
      </c>
      <c r="I144" s="62">
        <f t="shared" si="91"/>
        <v>1.6886890630966982</v>
      </c>
      <c r="J144" s="62">
        <f t="shared" si="92"/>
        <v>1.6886890630966982</v>
      </c>
      <c r="K144" s="62">
        <f t="shared" si="93"/>
        <v>1.6886890630966982</v>
      </c>
      <c r="L144" s="62">
        <f t="shared" si="94"/>
        <v>1.6886890630966982</v>
      </c>
      <c r="M144" s="62">
        <f t="shared" si="95"/>
        <v>1.6886890630966982</v>
      </c>
      <c r="N144" s="62">
        <f t="shared" si="96"/>
        <v>1.6886890630966982</v>
      </c>
      <c r="O144" s="62">
        <f t="shared" si="97"/>
        <v>1.6886890630966982</v>
      </c>
      <c r="P144" s="62">
        <f t="shared" si="98"/>
        <v>1.6886890630966982</v>
      </c>
      <c r="Q144" s="62">
        <f t="shared" si="99"/>
        <v>1.6886890630966982</v>
      </c>
      <c r="R144" s="62">
        <f t="shared" si="100"/>
        <v>1.6886890630966982</v>
      </c>
      <c r="S144" s="62">
        <f t="shared" si="101"/>
        <v>1.6886890630966982</v>
      </c>
      <c r="T144" s="62">
        <f t="shared" si="102"/>
        <v>1.6886890630966982</v>
      </c>
      <c r="U144" s="62">
        <f t="shared" si="103"/>
        <v>1.6886890630966982</v>
      </c>
      <c r="V144" s="62">
        <f t="shared" si="104"/>
        <v>1.6886890630966982</v>
      </c>
      <c r="W144" s="62">
        <f t="shared" si="105"/>
        <v>1.6886890630966982</v>
      </c>
      <c r="X144" s="62">
        <f t="shared" si="106"/>
        <v>1.6886890630966982</v>
      </c>
      <c r="Y144" s="62">
        <f t="shared" si="107"/>
        <v>1.6886890630966982</v>
      </c>
      <c r="Z144" s="62">
        <f t="shared" si="108"/>
        <v>1.6886890630966982</v>
      </c>
      <c r="AA144" s="62">
        <f t="shared" si="109"/>
        <v>1.6886890630966982</v>
      </c>
      <c r="AB144" s="62">
        <f t="shared" si="110"/>
        <v>1.6886890630966982</v>
      </c>
      <c r="AC144" s="62">
        <f t="shared" si="111"/>
        <v>1.6886890630966982</v>
      </c>
    </row>
    <row r="145" spans="1:29" x14ac:dyDescent="0.3">
      <c r="A145" s="30" t="str">
        <f t="shared" si="83"/>
        <v>Fuel Economy</v>
      </c>
      <c r="B145" s="62">
        <f t="shared" si="84"/>
        <v>588.84626218043502</v>
      </c>
      <c r="C145" s="62">
        <f t="shared" si="85"/>
        <v>588.7797515206795</v>
      </c>
      <c r="D145" s="62">
        <f t="shared" si="86"/>
        <v>588.68454299264499</v>
      </c>
      <c r="E145" s="62">
        <f t="shared" si="87"/>
        <v>588.54834049792862</v>
      </c>
      <c r="F145" s="62">
        <f t="shared" si="88"/>
        <v>588.35367707840635</v>
      </c>
      <c r="G145" s="62">
        <f t="shared" si="89"/>
        <v>588.07585031023859</v>
      </c>
      <c r="H145" s="62">
        <f t="shared" si="90"/>
        <v>587.68015683400074</v>
      </c>
      <c r="I145" s="62">
        <f t="shared" si="91"/>
        <v>587.11832882111048</v>
      </c>
      <c r="J145" s="62">
        <f t="shared" si="92"/>
        <v>586.32423891311498</v>
      </c>
      <c r="K145" s="62">
        <f t="shared" si="93"/>
        <v>585.20935100885799</v>
      </c>
      <c r="L145" s="62">
        <f t="shared" si="94"/>
        <v>583.65925210509909</v>
      </c>
      <c r="M145" s="62">
        <f t="shared" si="95"/>
        <v>581.53412449736095</v>
      </c>
      <c r="N145" s="62">
        <f t="shared" si="96"/>
        <v>578.67818071202885</v>
      </c>
      <c r="O145" s="62">
        <f t="shared" si="97"/>
        <v>574.94491045683674</v>
      </c>
      <c r="P145" s="62">
        <f t="shared" si="98"/>
        <v>570.24348757499536</v>
      </c>
      <c r="Q145" s="62">
        <f t="shared" si="99"/>
        <v>564.60191507115064</v>
      </c>
      <c r="R145" s="62">
        <f t="shared" si="100"/>
        <v>558.22257351659471</v>
      </c>
      <c r="S145" s="62">
        <f t="shared" si="101"/>
        <v>551.48792881122972</v>
      </c>
      <c r="T145" s="62">
        <f t="shared" si="102"/>
        <v>544.8858093168667</v>
      </c>
      <c r="U145" s="62">
        <f t="shared" si="103"/>
        <v>538.87576404606182</v>
      </c>
      <c r="V145" s="62">
        <f t="shared" si="104"/>
        <v>533.76808141278241</v>
      </c>
      <c r="W145" s="62">
        <f t="shared" si="105"/>
        <v>529.67774235765876</v>
      </c>
      <c r="X145" s="62">
        <f t="shared" si="106"/>
        <v>526.55663211639694</v>
      </c>
      <c r="Y145" s="62">
        <f t="shared" si="107"/>
        <v>524.26236577566647</v>
      </c>
      <c r="Z145" s="62">
        <f t="shared" si="108"/>
        <v>522.6219985324251</v>
      </c>
      <c r="AA145" s="62">
        <f t="shared" si="109"/>
        <v>521.47234334377424</v>
      </c>
      <c r="AB145" s="62">
        <f t="shared" si="110"/>
        <v>520.67786094508608</v>
      </c>
      <c r="AC145" s="62">
        <f t="shared" si="111"/>
        <v>520.13415704908732</v>
      </c>
    </row>
    <row r="146" spans="1:29" x14ac:dyDescent="0.3">
      <c r="A146" s="30" t="str">
        <f t="shared" si="83"/>
        <v>Fuel Cost</v>
      </c>
      <c r="B146" s="62">
        <f t="shared" si="84"/>
        <v>0.18921533183108133</v>
      </c>
      <c r="C146" s="62">
        <f t="shared" si="85"/>
        <v>0.18913115990463616</v>
      </c>
      <c r="D146" s="62">
        <f t="shared" si="86"/>
        <v>0.18901066966670843</v>
      </c>
      <c r="E146" s="62">
        <f t="shared" si="87"/>
        <v>0.18883829990810047</v>
      </c>
      <c r="F146" s="62">
        <f t="shared" si="88"/>
        <v>0.18859194548777405</v>
      </c>
      <c r="G146" s="62">
        <f t="shared" si="89"/>
        <v>0.18824034449057031</v>
      </c>
      <c r="H146" s="62">
        <f t="shared" si="90"/>
        <v>0.18773957841338568</v>
      </c>
      <c r="I146" s="62">
        <f t="shared" si="91"/>
        <v>0.18702856236949611</v>
      </c>
      <c r="J146" s="62">
        <f t="shared" si="92"/>
        <v>0.18602360951573774</v>
      </c>
      <c r="K146" s="62">
        <f t="shared" si="93"/>
        <v>0.18461267383991228</v>
      </c>
      <c r="L146" s="62">
        <f t="shared" si="94"/>
        <v>0.18265096106500425</v>
      </c>
      <c r="M146" s="62">
        <f t="shared" si="95"/>
        <v>0.17996152623842626</v>
      </c>
      <c r="N146" s="62">
        <f t="shared" si="96"/>
        <v>0.17634721401969033</v>
      </c>
      <c r="O146" s="62">
        <f t="shared" si="97"/>
        <v>0.17162260971603249</v>
      </c>
      <c r="P146" s="62">
        <f t="shared" si="98"/>
        <v>0.16567276915735063</v>
      </c>
      <c r="Q146" s="62">
        <f t="shared" si="99"/>
        <v>0.15853313127713237</v>
      </c>
      <c r="R146" s="62">
        <f t="shared" si="100"/>
        <v>0.1504598168629829</v>
      </c>
      <c r="S146" s="62">
        <f t="shared" si="101"/>
        <v>0.14193685195994088</v>
      </c>
      <c r="T146" s="62">
        <f t="shared" si="102"/>
        <v>0.13358160306443201</v>
      </c>
      <c r="U146" s="62">
        <f t="shared" si="103"/>
        <v>0.12597564801412947</v>
      </c>
      <c r="V146" s="62">
        <f t="shared" si="104"/>
        <v>0.11951166933019994</v>
      </c>
      <c r="W146" s="62">
        <f t="shared" si="105"/>
        <v>0.1143351800373662</v>
      </c>
      <c r="X146" s="62">
        <f t="shared" si="106"/>
        <v>0.11038528895794403</v>
      </c>
      <c r="Y146" s="62">
        <f t="shared" si="107"/>
        <v>0.10748180223284623</v>
      </c>
      <c r="Z146" s="62">
        <f t="shared" si="108"/>
        <v>0.10540585122816921</v>
      </c>
      <c r="AA146" s="62">
        <f t="shared" si="109"/>
        <v>0.10395091614960947</v>
      </c>
      <c r="AB146" s="62">
        <f t="shared" si="110"/>
        <v>0.10294546658302588</v>
      </c>
      <c r="AC146" s="62">
        <f t="shared" si="111"/>
        <v>0.10225738734113901</v>
      </c>
    </row>
    <row r="147" spans="1:29" x14ac:dyDescent="0.3">
      <c r="A147" s="30" t="str">
        <f t="shared" ref="A147" si="112">A127</f>
        <v>Emission Cost</v>
      </c>
      <c r="B147" s="66">
        <f>$B127+($C127-$B127)*(1-Q127)</f>
        <v>2.4864501794892204</v>
      </c>
      <c r="C147" s="66">
        <f t="shared" ref="C147:AC147" si="113">$B127+($C127-$B127)*(1-R127)</f>
        <v>2.4840824730905622</v>
      </c>
      <c r="D147" s="66">
        <f t="shared" si="113"/>
        <v>2.4806931541172901</v>
      </c>
      <c r="E147" s="66">
        <f t="shared" si="113"/>
        <v>2.4758444949784595</v>
      </c>
      <c r="F147" s="66">
        <f t="shared" si="113"/>
        <v>2.4689146911593123</v>
      </c>
      <c r="G147" s="66">
        <f t="shared" si="113"/>
        <v>2.4590243635166811</v>
      </c>
      <c r="H147" s="66">
        <f t="shared" si="113"/>
        <v>2.4449381105906096</v>
      </c>
      <c r="I147" s="66">
        <f t="shared" si="113"/>
        <v>2.4249376507251341</v>
      </c>
      <c r="J147" s="66">
        <f t="shared" si="113"/>
        <v>2.3966689226267675</v>
      </c>
      <c r="K147" s="66">
        <f t="shared" si="113"/>
        <v>2.3569801383867617</v>
      </c>
      <c r="L147" s="66">
        <f t="shared" si="113"/>
        <v>2.3017983208183335</v>
      </c>
      <c r="M147" s="66">
        <f t="shared" si="113"/>
        <v>2.2261461132879194</v>
      </c>
      <c r="N147" s="66">
        <f t="shared" si="113"/>
        <v>2.1244776529298637</v>
      </c>
      <c r="O147" s="66">
        <f t="shared" si="113"/>
        <v>1.991577334339808</v>
      </c>
      <c r="P147" s="66">
        <f t="shared" si="113"/>
        <v>1.824211846145027</v>
      </c>
      <c r="Q147" s="66">
        <f t="shared" si="113"/>
        <v>1.6233780645383806</v>
      </c>
      <c r="R147" s="66">
        <f t="shared" si="113"/>
        <v>1.396280515461632</v>
      </c>
      <c r="S147" s="66">
        <f t="shared" si="113"/>
        <v>1.156534564659107</v>
      </c>
      <c r="T147" s="66">
        <f t="shared" si="113"/>
        <v>0.92150636573615219</v>
      </c>
      <c r="U147" s="66">
        <f t="shared" si="113"/>
        <v>0.70755535854084983</v>
      </c>
      <c r="V147" s="66">
        <f t="shared" si="113"/>
        <v>0.52572746963416073</v>
      </c>
      <c r="W147" s="66">
        <f t="shared" si="113"/>
        <v>0.38011589414984037</v>
      </c>
      <c r="X147" s="66">
        <f t="shared" si="113"/>
        <v>0.26900779935239649</v>
      </c>
      <c r="Y147" s="66">
        <f t="shared" si="113"/>
        <v>0.18733443879419109</v>
      </c>
      <c r="Z147" s="66">
        <f t="shared" si="113"/>
        <v>0.12893916753616796</v>
      </c>
      <c r="AA147" s="66">
        <f t="shared" si="113"/>
        <v>8.8012706177544864E-2</v>
      </c>
      <c r="AB147" s="66">
        <f t="shared" si="113"/>
        <v>5.9730005841827971E-2</v>
      </c>
      <c r="AC147" s="66">
        <f t="shared" si="113"/>
        <v>4.0374744621079817E-2</v>
      </c>
    </row>
    <row r="148" spans="1:29" x14ac:dyDescent="0.3">
      <c r="A148" s="30" t="str">
        <f>A128</f>
        <v>Lifetime vehicle</v>
      </c>
      <c r="B148" s="62">
        <f>$B128+($C128-$B128)*(1-Q128)</f>
        <v>25</v>
      </c>
      <c r="C148" s="62">
        <f t="shared" ref="C148:L150" si="114">$B128+($C128-$B128)*(1-R128)</f>
        <v>25</v>
      </c>
      <c r="D148" s="62">
        <f t="shared" si="114"/>
        <v>25</v>
      </c>
      <c r="E148" s="62">
        <f t="shared" si="114"/>
        <v>25</v>
      </c>
      <c r="F148" s="62">
        <f t="shared" si="114"/>
        <v>25</v>
      </c>
      <c r="G148" s="62">
        <f t="shared" si="114"/>
        <v>25</v>
      </c>
      <c r="H148" s="62">
        <f t="shared" si="114"/>
        <v>25</v>
      </c>
      <c r="I148" s="62">
        <f t="shared" si="114"/>
        <v>25</v>
      </c>
      <c r="J148" s="62">
        <f t="shared" si="114"/>
        <v>25</v>
      </c>
      <c r="K148" s="62">
        <f t="shared" si="114"/>
        <v>25</v>
      </c>
      <c r="L148" s="62">
        <f t="shared" si="114"/>
        <v>25</v>
      </c>
      <c r="M148" s="62">
        <f t="shared" ref="M148:V150" si="115">$B128+($C128-$B128)*(1-AB128)</f>
        <v>25</v>
      </c>
      <c r="N148" s="62">
        <f t="shared" si="115"/>
        <v>25</v>
      </c>
      <c r="O148" s="62">
        <f t="shared" si="115"/>
        <v>25</v>
      </c>
      <c r="P148" s="62">
        <f t="shared" si="115"/>
        <v>25</v>
      </c>
      <c r="Q148" s="62">
        <f t="shared" si="115"/>
        <v>25</v>
      </c>
      <c r="R148" s="62">
        <f t="shared" si="115"/>
        <v>25</v>
      </c>
      <c r="S148" s="62">
        <f t="shared" si="115"/>
        <v>25</v>
      </c>
      <c r="T148" s="62">
        <f t="shared" si="115"/>
        <v>25</v>
      </c>
      <c r="U148" s="62">
        <f t="shared" si="115"/>
        <v>25</v>
      </c>
      <c r="V148" s="62">
        <f t="shared" si="115"/>
        <v>25</v>
      </c>
      <c r="W148" s="62">
        <f t="shared" ref="W148:AC150" si="116">$B128+($C128-$B128)*(1-AL128)</f>
        <v>25</v>
      </c>
      <c r="X148" s="62">
        <f t="shared" si="116"/>
        <v>25</v>
      </c>
      <c r="Y148" s="62">
        <f t="shared" si="116"/>
        <v>25</v>
      </c>
      <c r="Z148" s="62">
        <f t="shared" si="116"/>
        <v>25</v>
      </c>
      <c r="AA148" s="62">
        <f t="shared" si="116"/>
        <v>25</v>
      </c>
      <c r="AB148" s="62">
        <f t="shared" si="116"/>
        <v>25</v>
      </c>
      <c r="AC148" s="62">
        <f t="shared" si="116"/>
        <v>25</v>
      </c>
    </row>
    <row r="149" spans="1:29" x14ac:dyDescent="0.3">
      <c r="A149" s="30" t="str">
        <f>A129</f>
        <v>Lifetime costumization</v>
      </c>
      <c r="B149" s="62">
        <f>$B129+($C129-$B129)*(1-Q129)</f>
        <v>25</v>
      </c>
      <c r="C149" s="62">
        <f t="shared" si="114"/>
        <v>25</v>
      </c>
      <c r="D149" s="62">
        <f t="shared" si="114"/>
        <v>25</v>
      </c>
      <c r="E149" s="62">
        <f t="shared" si="114"/>
        <v>25</v>
      </c>
      <c r="F149" s="62">
        <f t="shared" si="114"/>
        <v>25</v>
      </c>
      <c r="G149" s="62">
        <f t="shared" si="114"/>
        <v>25</v>
      </c>
      <c r="H149" s="62">
        <f t="shared" si="114"/>
        <v>25</v>
      </c>
      <c r="I149" s="62">
        <f t="shared" si="114"/>
        <v>25</v>
      </c>
      <c r="J149" s="62">
        <f t="shared" si="114"/>
        <v>25</v>
      </c>
      <c r="K149" s="62">
        <f t="shared" si="114"/>
        <v>25</v>
      </c>
      <c r="L149" s="62">
        <f t="shared" si="114"/>
        <v>25</v>
      </c>
      <c r="M149" s="62">
        <f t="shared" si="115"/>
        <v>25</v>
      </c>
      <c r="N149" s="62">
        <f t="shared" si="115"/>
        <v>25</v>
      </c>
      <c r="O149" s="62">
        <f t="shared" si="115"/>
        <v>25</v>
      </c>
      <c r="P149" s="62">
        <f t="shared" si="115"/>
        <v>25</v>
      </c>
      <c r="Q149" s="62">
        <f t="shared" si="115"/>
        <v>25</v>
      </c>
      <c r="R149" s="62">
        <f t="shared" si="115"/>
        <v>25</v>
      </c>
      <c r="S149" s="62">
        <f t="shared" si="115"/>
        <v>25</v>
      </c>
      <c r="T149" s="62">
        <f t="shared" si="115"/>
        <v>25</v>
      </c>
      <c r="U149" s="62">
        <f t="shared" si="115"/>
        <v>25</v>
      </c>
      <c r="V149" s="62">
        <f t="shared" si="115"/>
        <v>25</v>
      </c>
      <c r="W149" s="62">
        <f t="shared" si="116"/>
        <v>25</v>
      </c>
      <c r="X149" s="62">
        <f t="shared" si="116"/>
        <v>25</v>
      </c>
      <c r="Y149" s="62">
        <f t="shared" si="116"/>
        <v>25</v>
      </c>
      <c r="Z149" s="62">
        <f t="shared" si="116"/>
        <v>25</v>
      </c>
      <c r="AA149" s="62">
        <f t="shared" si="116"/>
        <v>25</v>
      </c>
      <c r="AB149" s="62">
        <f t="shared" si="116"/>
        <v>25</v>
      </c>
      <c r="AC149" s="62">
        <f t="shared" si="116"/>
        <v>25</v>
      </c>
    </row>
    <row r="150" spans="1:29" x14ac:dyDescent="0.3">
      <c r="A150" s="30" t="str">
        <f>A130</f>
        <v>Tonnage .</v>
      </c>
      <c r="B150" s="62">
        <f>$B130+($C130-$B130)*(1-Q130)</f>
        <v>9450</v>
      </c>
      <c r="C150" s="62">
        <f t="shared" si="114"/>
        <v>9450</v>
      </c>
      <c r="D150" s="62">
        <f t="shared" si="114"/>
        <v>9450</v>
      </c>
      <c r="E150" s="62">
        <f t="shared" si="114"/>
        <v>9450</v>
      </c>
      <c r="F150" s="62">
        <f t="shared" si="114"/>
        <v>9450</v>
      </c>
      <c r="G150" s="62">
        <f t="shared" si="114"/>
        <v>9450</v>
      </c>
      <c r="H150" s="62">
        <f t="shared" si="114"/>
        <v>9450</v>
      </c>
      <c r="I150" s="62">
        <f t="shared" si="114"/>
        <v>9450</v>
      </c>
      <c r="J150" s="62">
        <f t="shared" si="114"/>
        <v>9450</v>
      </c>
      <c r="K150" s="62">
        <f t="shared" si="114"/>
        <v>9450</v>
      </c>
      <c r="L150" s="62">
        <f t="shared" si="114"/>
        <v>9450</v>
      </c>
      <c r="M150" s="62">
        <f t="shared" si="115"/>
        <v>9450</v>
      </c>
      <c r="N150" s="62">
        <f t="shared" si="115"/>
        <v>9450</v>
      </c>
      <c r="O150" s="62">
        <f t="shared" si="115"/>
        <v>9450</v>
      </c>
      <c r="P150" s="62">
        <f t="shared" si="115"/>
        <v>9450</v>
      </c>
      <c r="Q150" s="62">
        <f t="shared" si="115"/>
        <v>9450</v>
      </c>
      <c r="R150" s="62">
        <f t="shared" si="115"/>
        <v>9450</v>
      </c>
      <c r="S150" s="62">
        <f t="shared" si="115"/>
        <v>9450</v>
      </c>
      <c r="T150" s="62">
        <f t="shared" si="115"/>
        <v>9450</v>
      </c>
      <c r="U150" s="62">
        <f t="shared" si="115"/>
        <v>9450</v>
      </c>
      <c r="V150" s="62">
        <f t="shared" si="115"/>
        <v>9450</v>
      </c>
      <c r="W150" s="62">
        <f t="shared" si="116"/>
        <v>9450</v>
      </c>
      <c r="X150" s="62">
        <f t="shared" si="116"/>
        <v>9450</v>
      </c>
      <c r="Y150" s="62">
        <f t="shared" si="116"/>
        <v>9450</v>
      </c>
      <c r="Z150" s="62">
        <f t="shared" si="116"/>
        <v>9450</v>
      </c>
      <c r="AA150" s="62">
        <f t="shared" si="116"/>
        <v>9450</v>
      </c>
      <c r="AB150" s="62">
        <f t="shared" si="116"/>
        <v>9450</v>
      </c>
      <c r="AC150" s="62">
        <f t="shared" si="116"/>
        <v>9450</v>
      </c>
    </row>
    <row r="151" spans="1:29" x14ac:dyDescent="0.3">
      <c r="A151" s="30" t="str">
        <f>A131</f>
        <v>Market failure (av. utilization)</v>
      </c>
      <c r="B151" s="62">
        <f t="shared" ref="B151:K152" si="117">($B131+($C131-$B131)*(1-Q131))*B$44</f>
        <v>4063.5</v>
      </c>
      <c r="C151" s="62">
        <f t="shared" si="117"/>
        <v>4063.5</v>
      </c>
      <c r="D151" s="62">
        <f t="shared" si="117"/>
        <v>4063.5</v>
      </c>
      <c r="E151" s="62">
        <f t="shared" si="117"/>
        <v>4063.5</v>
      </c>
      <c r="F151" s="62">
        <f t="shared" si="117"/>
        <v>4063.5</v>
      </c>
      <c r="G151" s="62">
        <f t="shared" si="117"/>
        <v>4063.5</v>
      </c>
      <c r="H151" s="62">
        <f t="shared" si="117"/>
        <v>4063.5</v>
      </c>
      <c r="I151" s="62">
        <f t="shared" si="117"/>
        <v>4063.5</v>
      </c>
      <c r="J151" s="62">
        <f t="shared" si="117"/>
        <v>4063.5</v>
      </c>
      <c r="K151" s="62">
        <f t="shared" si="117"/>
        <v>4063.5</v>
      </c>
      <c r="L151" s="62">
        <f t="shared" ref="L151:U152" si="118">($B131+($C131-$B131)*(1-AA131))*L$44</f>
        <v>4063.5</v>
      </c>
      <c r="M151" s="62">
        <f t="shared" si="118"/>
        <v>4063.5</v>
      </c>
      <c r="N151" s="62">
        <f t="shared" si="118"/>
        <v>4063.5</v>
      </c>
      <c r="O151" s="62">
        <f t="shared" si="118"/>
        <v>4063.5</v>
      </c>
      <c r="P151" s="62">
        <f t="shared" si="118"/>
        <v>4063.5</v>
      </c>
      <c r="Q151" s="62">
        <f t="shared" si="118"/>
        <v>4063.5</v>
      </c>
      <c r="R151" s="62">
        <f t="shared" si="118"/>
        <v>4063.5</v>
      </c>
      <c r="S151" s="62">
        <f t="shared" si="118"/>
        <v>4063.5</v>
      </c>
      <c r="T151" s="62">
        <f t="shared" si="118"/>
        <v>4063.5</v>
      </c>
      <c r="U151" s="62">
        <f t="shared" si="118"/>
        <v>4063.5</v>
      </c>
      <c r="V151" s="62">
        <f t="shared" ref="V151:AC152" si="119">($B131+($C131-$B131)*(1-AK131))*V$44</f>
        <v>4063.5</v>
      </c>
      <c r="W151" s="62">
        <f t="shared" si="119"/>
        <v>4063.5</v>
      </c>
      <c r="X151" s="62">
        <f t="shared" si="119"/>
        <v>4063.5</v>
      </c>
      <c r="Y151" s="62">
        <f t="shared" si="119"/>
        <v>4063.5</v>
      </c>
      <c r="Z151" s="62">
        <f t="shared" si="119"/>
        <v>4063.5</v>
      </c>
      <c r="AA151" s="62">
        <f t="shared" si="119"/>
        <v>4063.5</v>
      </c>
      <c r="AB151" s="62">
        <f t="shared" si="119"/>
        <v>4063.5</v>
      </c>
      <c r="AC151" s="62">
        <f t="shared" si="119"/>
        <v>4063.5</v>
      </c>
    </row>
    <row r="152" spans="1:29" x14ac:dyDescent="0.3">
      <c r="A152" s="30" t="s">
        <v>73</v>
      </c>
      <c r="B152" s="62">
        <f t="shared" si="117"/>
        <v>7544.8491378818671</v>
      </c>
      <c r="C152" s="62">
        <f t="shared" si="117"/>
        <v>7538.2945123629625</v>
      </c>
      <c r="D152" s="62">
        <f t="shared" si="117"/>
        <v>7528.9117119251632</v>
      </c>
      <c r="E152" s="62">
        <f t="shared" si="117"/>
        <v>7515.488956070868</v>
      </c>
      <c r="F152" s="62">
        <f t="shared" si="117"/>
        <v>7496.3048760769479</v>
      </c>
      <c r="G152" s="62">
        <f t="shared" si="117"/>
        <v>7468.9250480740156</v>
      </c>
      <c r="H152" s="62">
        <f t="shared" si="117"/>
        <v>7429.9294559907767</v>
      </c>
      <c r="I152" s="62">
        <f t="shared" si="117"/>
        <v>7374.5613053204333</v>
      </c>
      <c r="J152" s="62">
        <f t="shared" si="117"/>
        <v>7296.3037448874775</v>
      </c>
      <c r="K152" s="62">
        <f t="shared" si="117"/>
        <v>7186.4315419229515</v>
      </c>
      <c r="L152" s="62">
        <f t="shared" si="118"/>
        <v>7033.6692949575117</v>
      </c>
      <c r="M152" s="62">
        <f t="shared" si="118"/>
        <v>6824.2379692149188</v>
      </c>
      <c r="N152" s="62">
        <f t="shared" si="118"/>
        <v>6542.7847091704489</v>
      </c>
      <c r="O152" s="62">
        <f t="shared" si="118"/>
        <v>6174.8709255212598</v>
      </c>
      <c r="P152" s="62">
        <f t="shared" si="118"/>
        <v>5711.5457005157941</v>
      </c>
      <c r="Q152" s="62">
        <f t="shared" si="118"/>
        <v>5155.5687302619008</v>
      </c>
      <c r="R152" s="62">
        <f t="shared" si="118"/>
        <v>4526.8846200604085</v>
      </c>
      <c r="S152" s="62">
        <f t="shared" si="118"/>
        <v>3863.1853843466915</v>
      </c>
      <c r="T152" s="62">
        <f t="shared" si="118"/>
        <v>3212.546508177219</v>
      </c>
      <c r="U152" s="62">
        <f t="shared" si="118"/>
        <v>2620.2565467393952</v>
      </c>
      <c r="V152" s="62">
        <f t="shared" si="119"/>
        <v>2116.8944232297076</v>
      </c>
      <c r="W152" s="62">
        <f t="shared" si="119"/>
        <v>1713.7915093472698</v>
      </c>
      <c r="X152" s="62">
        <f t="shared" si="119"/>
        <v>1406.2060950709249</v>
      </c>
      <c r="Y152" s="62">
        <f t="shared" si="119"/>
        <v>1180.1061471919265</v>
      </c>
      <c r="Z152" s="62">
        <f t="shared" si="119"/>
        <v>1018.4479553704999</v>
      </c>
      <c r="AA152" s="62">
        <f t="shared" si="119"/>
        <v>905.14943652894976</v>
      </c>
      <c r="AB152" s="62">
        <f t="shared" si="119"/>
        <v>826.85319613823299</v>
      </c>
      <c r="AC152" s="62">
        <f t="shared" si="119"/>
        <v>773.27117718755233</v>
      </c>
    </row>
    <row r="153" spans="1:29" x14ac:dyDescent="0.3">
      <c r="A153" s="30" t="str">
        <f>A133</f>
        <v>Annual Mileage</v>
      </c>
      <c r="B153" s="62">
        <f t="shared" ref="B153:AC153" si="120">$B133+($C133-$B133)*(1-Q133)</f>
        <v>120000</v>
      </c>
      <c r="C153" s="62">
        <f t="shared" si="120"/>
        <v>120000</v>
      </c>
      <c r="D153" s="62">
        <f t="shared" si="120"/>
        <v>120000</v>
      </c>
      <c r="E153" s="62">
        <f t="shared" si="120"/>
        <v>120000</v>
      </c>
      <c r="F153" s="62">
        <f t="shared" si="120"/>
        <v>120000</v>
      </c>
      <c r="G153" s="62">
        <f t="shared" si="120"/>
        <v>120000</v>
      </c>
      <c r="H153" s="62">
        <f t="shared" si="120"/>
        <v>120000</v>
      </c>
      <c r="I153" s="62">
        <f t="shared" si="120"/>
        <v>120000</v>
      </c>
      <c r="J153" s="62">
        <f t="shared" si="120"/>
        <v>120000</v>
      </c>
      <c r="K153" s="62">
        <f t="shared" si="120"/>
        <v>120000</v>
      </c>
      <c r="L153" s="62">
        <f t="shared" si="120"/>
        <v>120000</v>
      </c>
      <c r="M153" s="62">
        <f t="shared" si="120"/>
        <v>120000</v>
      </c>
      <c r="N153" s="62">
        <f t="shared" si="120"/>
        <v>120000</v>
      </c>
      <c r="O153" s="62">
        <f t="shared" si="120"/>
        <v>120000</v>
      </c>
      <c r="P153" s="62">
        <f t="shared" si="120"/>
        <v>120000</v>
      </c>
      <c r="Q153" s="62">
        <f t="shared" si="120"/>
        <v>120000</v>
      </c>
      <c r="R153" s="62">
        <f t="shared" si="120"/>
        <v>120000</v>
      </c>
      <c r="S153" s="62">
        <f t="shared" si="120"/>
        <v>120000</v>
      </c>
      <c r="T153" s="62">
        <f t="shared" si="120"/>
        <v>120000</v>
      </c>
      <c r="U153" s="62">
        <f t="shared" si="120"/>
        <v>120000</v>
      </c>
      <c r="V153" s="62">
        <f t="shared" si="120"/>
        <v>120000</v>
      </c>
      <c r="W153" s="62">
        <f t="shared" si="120"/>
        <v>120000</v>
      </c>
      <c r="X153" s="62">
        <f t="shared" si="120"/>
        <v>120000</v>
      </c>
      <c r="Y153" s="62">
        <f t="shared" si="120"/>
        <v>120000</v>
      </c>
      <c r="Z153" s="62">
        <f t="shared" si="120"/>
        <v>120000</v>
      </c>
      <c r="AA153" s="62">
        <f t="shared" si="120"/>
        <v>120000</v>
      </c>
      <c r="AB153" s="62">
        <f t="shared" si="120"/>
        <v>120000</v>
      </c>
      <c r="AC153" s="62">
        <f t="shared" si="120"/>
        <v>120000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2344739.8769242726</v>
      </c>
      <c r="C156" s="63">
        <f t="shared" ref="C156:AC156" si="121">((1+C141)^C148)*C141/(((1+C141)^C148)-1)*(C137)</f>
        <v>2343847.949386192</v>
      </c>
      <c r="D156" s="63">
        <f t="shared" si="121"/>
        <v>2342571.1749815131</v>
      </c>
      <c r="E156" s="63">
        <f t="shared" si="121"/>
        <v>2340744.6594088301</v>
      </c>
      <c r="F156" s="63">
        <f t="shared" si="121"/>
        <v>2338134.1656147949</v>
      </c>
      <c r="G156" s="63">
        <f t="shared" si="121"/>
        <v>2334408.426819603</v>
      </c>
      <c r="H156" s="63">
        <f t="shared" si="121"/>
        <v>2329102.0607514726</v>
      </c>
      <c r="I156" s="63">
        <f t="shared" si="121"/>
        <v>2321567.7816117923</v>
      </c>
      <c r="J156" s="63">
        <f t="shared" si="121"/>
        <v>2310918.8020458543</v>
      </c>
      <c r="K156" s="63">
        <f t="shared" si="121"/>
        <v>2295967.8268587827</v>
      </c>
      <c r="L156" s="63">
        <f t="shared" si="121"/>
        <v>2275180.5439766962</v>
      </c>
      <c r="M156" s="63">
        <f t="shared" si="121"/>
        <v>2246681.9567991556</v>
      </c>
      <c r="N156" s="63">
        <f t="shared" si="121"/>
        <v>2208382.9094176819</v>
      </c>
      <c r="O156" s="63">
        <f t="shared" si="121"/>
        <v>2158318.6556582791</v>
      </c>
      <c r="P156" s="63">
        <f t="shared" si="121"/>
        <v>2095271.1900055008</v>
      </c>
      <c r="Q156" s="63">
        <f t="shared" si="121"/>
        <v>2019616.0409999515</v>
      </c>
      <c r="R156" s="63">
        <f t="shared" si="121"/>
        <v>1934067.1917139916</v>
      </c>
      <c r="S156" s="63">
        <f t="shared" si="121"/>
        <v>1843753.6225209001</v>
      </c>
      <c r="T156" s="63">
        <f t="shared" si="121"/>
        <v>1755217.2554427353</v>
      </c>
      <c r="U156" s="63">
        <f t="shared" si="121"/>
        <v>1674620.7780983469</v>
      </c>
      <c r="V156" s="63">
        <f t="shared" si="121"/>
        <v>1606125.2495146997</v>
      </c>
      <c r="W156" s="63">
        <f t="shared" si="121"/>
        <v>1551272.5979733593</v>
      </c>
      <c r="X156" s="63">
        <f t="shared" si="121"/>
        <v>1509417.5903129096</v>
      </c>
      <c r="Y156" s="63">
        <f t="shared" si="121"/>
        <v>1478650.8029060119</v>
      </c>
      <c r="Z156" s="63">
        <f t="shared" si="121"/>
        <v>1456652.995002867</v>
      </c>
      <c r="AA156" s="63">
        <f t="shared" si="121"/>
        <v>1441235.7802913454</v>
      </c>
      <c r="AB156" s="63">
        <f t="shared" si="121"/>
        <v>1430581.5373096101</v>
      </c>
      <c r="AC156" s="63">
        <f t="shared" si="121"/>
        <v>1423290.3079159164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-117391.61905450956</v>
      </c>
      <c r="C157" s="62">
        <f t="shared" ref="C157:AC157" si="122">((1+C141)^C148)*C141/(((1+C141)^C148)-1)*(C138)</f>
        <v>-117413.91724296159</v>
      </c>
      <c r="D157" s="62">
        <f t="shared" si="122"/>
        <v>-117445.83660307855</v>
      </c>
      <c r="E157" s="62">
        <f t="shared" si="122"/>
        <v>-117491.49949239564</v>
      </c>
      <c r="F157" s="62">
        <f t="shared" si="122"/>
        <v>-117556.76183724651</v>
      </c>
      <c r="G157" s="62">
        <f t="shared" si="122"/>
        <v>-117649.9053071263</v>
      </c>
      <c r="H157" s="62">
        <f t="shared" si="122"/>
        <v>-117782.56445882957</v>
      </c>
      <c r="I157" s="62">
        <f t="shared" si="122"/>
        <v>-117970.92143732157</v>
      </c>
      <c r="J157" s="62">
        <f t="shared" si="122"/>
        <v>-118237.14592647002</v>
      </c>
      <c r="K157" s="62">
        <f t="shared" si="122"/>
        <v>-118610.92030614681</v>
      </c>
      <c r="L157" s="62">
        <f t="shared" si="122"/>
        <v>-119130.60237819898</v>
      </c>
      <c r="M157" s="62">
        <f t="shared" si="122"/>
        <v>-119843.06705763748</v>
      </c>
      <c r="N157" s="62">
        <f t="shared" si="122"/>
        <v>-120800.54324217433</v>
      </c>
      <c r="O157" s="62">
        <f t="shared" si="122"/>
        <v>-122052.1495861594</v>
      </c>
      <c r="P157" s="62">
        <f t="shared" si="122"/>
        <v>-123628.33622747887</v>
      </c>
      <c r="Q157" s="62">
        <f t="shared" si="122"/>
        <v>-125519.71495261759</v>
      </c>
      <c r="R157" s="62">
        <f t="shared" si="122"/>
        <v>-127658.43618476659</v>
      </c>
      <c r="S157" s="62">
        <f t="shared" si="122"/>
        <v>-129916.27541459388</v>
      </c>
      <c r="T157" s="62">
        <f t="shared" si="122"/>
        <v>-132129.68459154799</v>
      </c>
      <c r="U157" s="62">
        <f t="shared" si="122"/>
        <v>-134144.59652515771</v>
      </c>
      <c r="V157" s="62">
        <f t="shared" si="122"/>
        <v>-135856.98473974891</v>
      </c>
      <c r="W157" s="62">
        <f t="shared" si="122"/>
        <v>-137228.30102828241</v>
      </c>
      <c r="X157" s="62">
        <f t="shared" si="122"/>
        <v>-138274.67621979365</v>
      </c>
      <c r="Y157" s="62">
        <f t="shared" si="122"/>
        <v>-139043.84590496609</v>
      </c>
      <c r="Z157" s="62">
        <f t="shared" si="122"/>
        <v>-139593.79110254472</v>
      </c>
      <c r="AA157" s="62">
        <f t="shared" si="122"/>
        <v>-139979.22147033276</v>
      </c>
      <c r="AB157" s="62">
        <f t="shared" si="122"/>
        <v>-140245.57754487614</v>
      </c>
      <c r="AC157" s="62">
        <f t="shared" si="122"/>
        <v>-140427.85827971846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3">((1+C141)^C149)*C141/(((1+C141)^C149)-1)*(C139)</f>
        <v>391133.59106136975</v>
      </c>
      <c r="D158" s="62">
        <f t="shared" si="123"/>
        <v>391133.59106136975</v>
      </c>
      <c r="E158" s="62">
        <f t="shared" si="123"/>
        <v>391133.59106136975</v>
      </c>
      <c r="F158" s="62">
        <f t="shared" si="123"/>
        <v>391133.59106136975</v>
      </c>
      <c r="G158" s="62">
        <f t="shared" si="123"/>
        <v>391133.59106136975</v>
      </c>
      <c r="H158" s="62">
        <f t="shared" si="123"/>
        <v>391133.59106136975</v>
      </c>
      <c r="I158" s="62">
        <f t="shared" si="123"/>
        <v>391133.59106136975</v>
      </c>
      <c r="J158" s="62">
        <f t="shared" si="123"/>
        <v>391133.59106136975</v>
      </c>
      <c r="K158" s="62">
        <f t="shared" si="123"/>
        <v>391133.59106136975</v>
      </c>
      <c r="L158" s="62">
        <f t="shared" si="123"/>
        <v>391133.59106136975</v>
      </c>
      <c r="M158" s="62">
        <f t="shared" si="123"/>
        <v>391133.59106136975</v>
      </c>
      <c r="N158" s="62">
        <f t="shared" si="123"/>
        <v>391133.59106136975</v>
      </c>
      <c r="O158" s="62">
        <f t="shared" si="123"/>
        <v>391133.59106136975</v>
      </c>
      <c r="P158" s="62">
        <f t="shared" si="123"/>
        <v>391133.59106136975</v>
      </c>
      <c r="Q158" s="62">
        <f t="shared" si="123"/>
        <v>391133.59106136975</v>
      </c>
      <c r="R158" s="62">
        <f t="shared" si="123"/>
        <v>391133.59106136975</v>
      </c>
      <c r="S158" s="62">
        <f t="shared" si="123"/>
        <v>391133.59106136975</v>
      </c>
      <c r="T158" s="62">
        <f t="shared" si="123"/>
        <v>391133.59106136975</v>
      </c>
      <c r="U158" s="62">
        <f t="shared" si="123"/>
        <v>391133.59106136975</v>
      </c>
      <c r="V158" s="62">
        <f t="shared" si="123"/>
        <v>391133.59106136975</v>
      </c>
      <c r="W158" s="62">
        <f t="shared" si="123"/>
        <v>391133.59106136975</v>
      </c>
      <c r="X158" s="62">
        <f t="shared" si="123"/>
        <v>391133.59106136975</v>
      </c>
      <c r="Y158" s="62">
        <f t="shared" si="123"/>
        <v>391133.59106136975</v>
      </c>
      <c r="Z158" s="62">
        <f t="shared" si="123"/>
        <v>391133.59106136975</v>
      </c>
      <c r="AA158" s="62">
        <f t="shared" si="123"/>
        <v>391133.59106136975</v>
      </c>
      <c r="AB158" s="62">
        <f t="shared" si="123"/>
        <v>391133.59106136975</v>
      </c>
      <c r="AC158" s="62">
        <f t="shared" si="123"/>
        <v>391133.59106136975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4">((1+C141)^C149)*C141/(((1+C141)^C149)-1)*(C140)</f>
        <v>-39113.359106136973</v>
      </c>
      <c r="D159" s="62">
        <f t="shared" si="124"/>
        <v>-39113.359106136973</v>
      </c>
      <c r="E159" s="62">
        <f t="shared" si="124"/>
        <v>-39113.359106136973</v>
      </c>
      <c r="F159" s="62">
        <f t="shared" si="124"/>
        <v>-39113.359106136973</v>
      </c>
      <c r="G159" s="62">
        <f t="shared" si="124"/>
        <v>-39113.359106136973</v>
      </c>
      <c r="H159" s="62">
        <f t="shared" si="124"/>
        <v>-39113.359106136973</v>
      </c>
      <c r="I159" s="62">
        <f t="shared" si="124"/>
        <v>-39113.359106136973</v>
      </c>
      <c r="J159" s="62">
        <f t="shared" si="124"/>
        <v>-39113.359106136973</v>
      </c>
      <c r="K159" s="62">
        <f t="shared" si="124"/>
        <v>-39113.359106136973</v>
      </c>
      <c r="L159" s="62">
        <f t="shared" si="124"/>
        <v>-39113.359106136973</v>
      </c>
      <c r="M159" s="62">
        <f t="shared" si="124"/>
        <v>-39113.359106136973</v>
      </c>
      <c r="N159" s="62">
        <f t="shared" si="124"/>
        <v>-39113.359106136973</v>
      </c>
      <c r="O159" s="62">
        <f t="shared" si="124"/>
        <v>-39113.359106136973</v>
      </c>
      <c r="P159" s="62">
        <f t="shared" si="124"/>
        <v>-39113.359106136973</v>
      </c>
      <c r="Q159" s="62">
        <f t="shared" si="124"/>
        <v>-39113.359106136973</v>
      </c>
      <c r="R159" s="62">
        <f t="shared" si="124"/>
        <v>-39113.359106136973</v>
      </c>
      <c r="S159" s="62">
        <f t="shared" si="124"/>
        <v>-39113.359106136973</v>
      </c>
      <c r="T159" s="62">
        <f t="shared" si="124"/>
        <v>-39113.359106136973</v>
      </c>
      <c r="U159" s="62">
        <f t="shared" si="124"/>
        <v>-39113.359106136973</v>
      </c>
      <c r="V159" s="62">
        <f t="shared" si="124"/>
        <v>-39113.359106136973</v>
      </c>
      <c r="W159" s="62">
        <f t="shared" si="124"/>
        <v>-39113.359106136973</v>
      </c>
      <c r="X159" s="62">
        <f t="shared" si="124"/>
        <v>-39113.359106136973</v>
      </c>
      <c r="Y159" s="62">
        <f t="shared" si="124"/>
        <v>-39113.359106136973</v>
      </c>
      <c r="Z159" s="62">
        <f t="shared" si="124"/>
        <v>-39113.359106136973</v>
      </c>
      <c r="AA159" s="62">
        <f t="shared" si="124"/>
        <v>-39113.359106136973</v>
      </c>
      <c r="AB159" s="62">
        <f t="shared" si="124"/>
        <v>-39113.359106136973</v>
      </c>
      <c r="AC159" s="62">
        <f t="shared" si="124"/>
        <v>-39113.359106136973</v>
      </c>
    </row>
    <row r="160" spans="1:29" x14ac:dyDescent="0.3">
      <c r="A160" s="30" t="str">
        <f t="shared" ref="A160:AC160" si="125">A142</f>
        <v>Opex fix (admin, crew, insurance)</v>
      </c>
      <c r="B160" s="62">
        <f t="shared" si="125"/>
        <v>1208235.294117647</v>
      </c>
      <c r="C160" s="62">
        <f t="shared" si="125"/>
        <v>1208235.294117647</v>
      </c>
      <c r="D160" s="62">
        <f t="shared" si="125"/>
        <v>1208235.294117647</v>
      </c>
      <c r="E160" s="62">
        <f t="shared" si="125"/>
        <v>1208235.294117647</v>
      </c>
      <c r="F160" s="62">
        <f t="shared" si="125"/>
        <v>1208235.294117647</v>
      </c>
      <c r="G160" s="62">
        <f t="shared" si="125"/>
        <v>1208235.294117647</v>
      </c>
      <c r="H160" s="62">
        <f t="shared" si="125"/>
        <v>1208235.294117647</v>
      </c>
      <c r="I160" s="62">
        <f t="shared" si="125"/>
        <v>1208235.294117647</v>
      </c>
      <c r="J160" s="62">
        <f t="shared" si="125"/>
        <v>1208235.294117647</v>
      </c>
      <c r="K160" s="62">
        <f t="shared" si="125"/>
        <v>1208235.294117647</v>
      </c>
      <c r="L160" s="62">
        <f t="shared" si="125"/>
        <v>1208235.294117647</v>
      </c>
      <c r="M160" s="62">
        <f t="shared" si="125"/>
        <v>1208235.294117647</v>
      </c>
      <c r="N160" s="62">
        <f t="shared" si="125"/>
        <v>1208235.294117647</v>
      </c>
      <c r="O160" s="62">
        <f t="shared" si="125"/>
        <v>1208235.294117647</v>
      </c>
      <c r="P160" s="62">
        <f t="shared" si="125"/>
        <v>1208235.294117647</v>
      </c>
      <c r="Q160" s="62">
        <f t="shared" si="125"/>
        <v>1208235.294117647</v>
      </c>
      <c r="R160" s="62">
        <f t="shared" si="125"/>
        <v>1208235.294117647</v>
      </c>
      <c r="S160" s="62">
        <f t="shared" si="125"/>
        <v>1208235.294117647</v>
      </c>
      <c r="T160" s="62">
        <f t="shared" si="125"/>
        <v>1208235.294117647</v>
      </c>
      <c r="U160" s="62">
        <f t="shared" si="125"/>
        <v>1208235.294117647</v>
      </c>
      <c r="V160" s="62">
        <f t="shared" si="125"/>
        <v>1208235.294117647</v>
      </c>
      <c r="W160" s="62">
        <f t="shared" si="125"/>
        <v>1208235.294117647</v>
      </c>
      <c r="X160" s="62">
        <f t="shared" si="125"/>
        <v>1208235.294117647</v>
      </c>
      <c r="Y160" s="62">
        <f t="shared" si="125"/>
        <v>1208235.294117647</v>
      </c>
      <c r="Z160" s="62">
        <f t="shared" si="125"/>
        <v>1208235.294117647</v>
      </c>
      <c r="AA160" s="62">
        <f t="shared" si="125"/>
        <v>1208235.294117647</v>
      </c>
      <c r="AB160" s="62">
        <f t="shared" si="125"/>
        <v>1208235.294117647</v>
      </c>
      <c r="AC160" s="62">
        <f t="shared" si="125"/>
        <v>1208235.294117647</v>
      </c>
    </row>
    <row r="161" spans="1:29" x14ac:dyDescent="0.3">
      <c r="A161" s="30" t="str">
        <f t="shared" ref="A161:AC161" si="126">A143</f>
        <v>Opex maintenance &amp; repair</v>
      </c>
      <c r="B161" s="62">
        <f t="shared" si="126"/>
        <v>338823.5294117647</v>
      </c>
      <c r="C161" s="62">
        <f t="shared" si="126"/>
        <v>338823.5294117647</v>
      </c>
      <c r="D161" s="62">
        <f t="shared" si="126"/>
        <v>338823.5294117647</v>
      </c>
      <c r="E161" s="62">
        <f t="shared" si="126"/>
        <v>338823.5294117647</v>
      </c>
      <c r="F161" s="62">
        <f t="shared" si="126"/>
        <v>338823.5294117647</v>
      </c>
      <c r="G161" s="62">
        <f t="shared" si="126"/>
        <v>338823.5294117647</v>
      </c>
      <c r="H161" s="62">
        <f t="shared" si="126"/>
        <v>338823.5294117647</v>
      </c>
      <c r="I161" s="62">
        <f t="shared" si="126"/>
        <v>338823.5294117647</v>
      </c>
      <c r="J161" s="62">
        <f t="shared" si="126"/>
        <v>338823.5294117647</v>
      </c>
      <c r="K161" s="62">
        <f t="shared" si="126"/>
        <v>338823.5294117647</v>
      </c>
      <c r="L161" s="62">
        <f t="shared" si="126"/>
        <v>338823.5294117647</v>
      </c>
      <c r="M161" s="62">
        <f t="shared" si="126"/>
        <v>338823.5294117647</v>
      </c>
      <c r="N161" s="62">
        <f t="shared" si="126"/>
        <v>338823.5294117647</v>
      </c>
      <c r="O161" s="62">
        <f t="shared" si="126"/>
        <v>338823.5294117647</v>
      </c>
      <c r="P161" s="62">
        <f t="shared" si="126"/>
        <v>338823.5294117647</v>
      </c>
      <c r="Q161" s="62">
        <f t="shared" si="126"/>
        <v>338823.5294117647</v>
      </c>
      <c r="R161" s="62">
        <f t="shared" si="126"/>
        <v>338823.5294117647</v>
      </c>
      <c r="S161" s="62">
        <f t="shared" si="126"/>
        <v>338823.5294117647</v>
      </c>
      <c r="T161" s="62">
        <f t="shared" si="126"/>
        <v>338823.5294117647</v>
      </c>
      <c r="U161" s="62">
        <f t="shared" si="126"/>
        <v>338823.5294117647</v>
      </c>
      <c r="V161" s="62">
        <f t="shared" si="126"/>
        <v>338823.5294117647</v>
      </c>
      <c r="W161" s="62">
        <f t="shared" si="126"/>
        <v>338823.5294117647</v>
      </c>
      <c r="X161" s="62">
        <f t="shared" si="126"/>
        <v>338823.5294117647</v>
      </c>
      <c r="Y161" s="62">
        <f t="shared" si="126"/>
        <v>338823.5294117647</v>
      </c>
      <c r="Z161" s="62">
        <f t="shared" si="126"/>
        <v>338823.5294117647</v>
      </c>
      <c r="AA161" s="62">
        <f t="shared" si="126"/>
        <v>338823.5294117647</v>
      </c>
      <c r="AB161" s="62">
        <f t="shared" si="126"/>
        <v>338823.5294117647</v>
      </c>
      <c r="AC161" s="62">
        <f t="shared" si="126"/>
        <v>338823.5294117647</v>
      </c>
    </row>
    <row r="162" spans="1:29" x14ac:dyDescent="0.3">
      <c r="A162" s="30" t="str">
        <f>A144</f>
        <v>Opex var (mode-fees)</v>
      </c>
      <c r="B162" s="62">
        <f>B144*B153</f>
        <v>202642.68757160378</v>
      </c>
      <c r="C162" s="62">
        <f t="shared" ref="C162:AC162" si="127">C144*C153</f>
        <v>202642.68757160378</v>
      </c>
      <c r="D162" s="62">
        <f t="shared" si="127"/>
        <v>202642.68757160378</v>
      </c>
      <c r="E162" s="62">
        <f t="shared" si="127"/>
        <v>202642.68757160378</v>
      </c>
      <c r="F162" s="62">
        <f t="shared" si="127"/>
        <v>202642.68757160378</v>
      </c>
      <c r="G162" s="62">
        <f t="shared" si="127"/>
        <v>202642.68757160378</v>
      </c>
      <c r="H162" s="62">
        <f t="shared" si="127"/>
        <v>202642.68757160378</v>
      </c>
      <c r="I162" s="62">
        <f t="shared" si="127"/>
        <v>202642.68757160378</v>
      </c>
      <c r="J162" s="62">
        <f t="shared" si="127"/>
        <v>202642.68757160378</v>
      </c>
      <c r="K162" s="62">
        <f t="shared" si="127"/>
        <v>202642.68757160378</v>
      </c>
      <c r="L162" s="62">
        <f t="shared" si="127"/>
        <v>202642.68757160378</v>
      </c>
      <c r="M162" s="62">
        <f t="shared" si="127"/>
        <v>202642.68757160378</v>
      </c>
      <c r="N162" s="62">
        <f t="shared" si="127"/>
        <v>202642.68757160378</v>
      </c>
      <c r="O162" s="62">
        <f t="shared" si="127"/>
        <v>202642.68757160378</v>
      </c>
      <c r="P162" s="62">
        <f t="shared" si="127"/>
        <v>202642.68757160378</v>
      </c>
      <c r="Q162" s="62">
        <f t="shared" si="127"/>
        <v>202642.68757160378</v>
      </c>
      <c r="R162" s="62">
        <f t="shared" si="127"/>
        <v>202642.68757160378</v>
      </c>
      <c r="S162" s="62">
        <f t="shared" si="127"/>
        <v>202642.68757160378</v>
      </c>
      <c r="T162" s="62">
        <f t="shared" si="127"/>
        <v>202642.68757160378</v>
      </c>
      <c r="U162" s="62">
        <f t="shared" si="127"/>
        <v>202642.68757160378</v>
      </c>
      <c r="V162" s="62">
        <f t="shared" si="127"/>
        <v>202642.68757160378</v>
      </c>
      <c r="W162" s="62">
        <f t="shared" si="127"/>
        <v>202642.68757160378</v>
      </c>
      <c r="X162" s="62">
        <f t="shared" si="127"/>
        <v>202642.68757160378</v>
      </c>
      <c r="Y162" s="62">
        <f t="shared" si="127"/>
        <v>202642.68757160378</v>
      </c>
      <c r="Z162" s="62">
        <f t="shared" si="127"/>
        <v>202642.68757160378</v>
      </c>
      <c r="AA162" s="62">
        <f t="shared" si="127"/>
        <v>202642.68757160378</v>
      </c>
      <c r="AB162" s="62">
        <f t="shared" si="127"/>
        <v>202642.68757160378</v>
      </c>
      <c r="AC162" s="62">
        <f t="shared" si="127"/>
        <v>202642.68757160378</v>
      </c>
    </row>
    <row r="163" spans="1:29" x14ac:dyDescent="0.3">
      <c r="A163" s="30" t="str">
        <f>A146</f>
        <v>Fuel Cost</v>
      </c>
      <c r="B163" s="62">
        <f>B145*B146*B153</f>
        <v>13370248.907515552</v>
      </c>
      <c r="C163" s="62">
        <f t="shared" ref="C163:AC163" si="128">C145*C146*C153</f>
        <v>13362791.68001635</v>
      </c>
      <c r="D163" s="62">
        <f t="shared" si="128"/>
        <v>13352119.163217604</v>
      </c>
      <c r="E163" s="62">
        <f t="shared" si="128"/>
        <v>13336856.164003521</v>
      </c>
      <c r="F163" s="62">
        <f t="shared" si="128"/>
        <v>13315051.751412267</v>
      </c>
      <c r="G163" s="62">
        <f t="shared" si="128"/>
        <v>13283952.077878125</v>
      </c>
      <c r="H163" s="62">
        <f t="shared" si="128"/>
        <v>13239698.98631132</v>
      </c>
      <c r="I163" s="62">
        <f t="shared" si="128"/>
        <v>13176947.637623208</v>
      </c>
      <c r="J163" s="62">
        <f t="shared" si="128"/>
        <v>13088418.15230225</v>
      </c>
      <c r="K163" s="62">
        <f t="shared" si="128"/>
        <v>12964447.565503804</v>
      </c>
      <c r="L163" s="62">
        <f t="shared" si="128"/>
        <v>12792710.799777355</v>
      </c>
      <c r="M163" s="62">
        <f t="shared" si="128"/>
        <v>12558452.232512649</v>
      </c>
      <c r="N163" s="62">
        <f t="shared" si="128"/>
        <v>12245794.197905904</v>
      </c>
      <c r="O163" s="62">
        <f t="shared" si="128"/>
        <v>11840825.517066352</v>
      </c>
      <c r="P163" s="62">
        <f t="shared" si="128"/>
        <v>11336858.12165937</v>
      </c>
      <c r="Q163" s="62">
        <f t="shared" si="128"/>
        <v>10740973.142555408</v>
      </c>
      <c r="R163" s="62">
        <f t="shared" si="128"/>
        <v>10078807.941610783</v>
      </c>
      <c r="S163" s="62">
        <f t="shared" si="128"/>
        <v>9393175.2611248717</v>
      </c>
      <c r="T163" s="62">
        <f t="shared" si="128"/>
        <v>8734406.3874728978</v>
      </c>
      <c r="U163" s="62">
        <f t="shared" si="128"/>
        <v>8146226.8289774125</v>
      </c>
      <c r="V163" s="62">
        <f t="shared" si="128"/>
        <v>7654981.7333783628</v>
      </c>
      <c r="W163" s="62">
        <f t="shared" si="128"/>
        <v>7267296.0041098306</v>
      </c>
      <c r="X163" s="62">
        <f t="shared" si="128"/>
        <v>6974892.7186668366</v>
      </c>
      <c r="Y163" s="62">
        <f t="shared" si="128"/>
        <v>6761839.6699709129</v>
      </c>
      <c r="Z163" s="62">
        <f t="shared" si="128"/>
        <v>6610489.9951052722</v>
      </c>
      <c r="AA163" s="62">
        <f t="shared" si="128"/>
        <v>6504903.3404722838</v>
      </c>
      <c r="AB163" s="62">
        <f t="shared" si="128"/>
        <v>6432171.0401332509</v>
      </c>
      <c r="AC163" s="62">
        <f t="shared" si="128"/>
        <v>6382507.1960070422</v>
      </c>
    </row>
    <row r="164" spans="1:29" ht="15" thickBot="1" x14ac:dyDescent="0.35">
      <c r="A164" s="59" t="str">
        <f>A127</f>
        <v>Emission Cost</v>
      </c>
      <c r="B164" s="62">
        <f>B147*B153</f>
        <v>298374.02153870644</v>
      </c>
      <c r="C164" s="62">
        <f t="shared" ref="C164:AC164" si="129">C147*C153</f>
        <v>298089.89677086746</v>
      </c>
      <c r="D164" s="62">
        <f t="shared" si="129"/>
        <v>297683.17849407479</v>
      </c>
      <c r="E164" s="62">
        <f t="shared" si="129"/>
        <v>297101.33939741511</v>
      </c>
      <c r="F164" s="62">
        <f t="shared" si="129"/>
        <v>296269.7629391175</v>
      </c>
      <c r="G164" s="62">
        <f t="shared" si="129"/>
        <v>295082.92362200172</v>
      </c>
      <c r="H164" s="62">
        <f t="shared" si="129"/>
        <v>293392.57327087317</v>
      </c>
      <c r="I164" s="62">
        <f t="shared" si="129"/>
        <v>290992.51808701607</v>
      </c>
      <c r="J164" s="62">
        <f t="shared" si="129"/>
        <v>287600.2707152121</v>
      </c>
      <c r="K164" s="62">
        <f t="shared" si="129"/>
        <v>282837.61660641141</v>
      </c>
      <c r="L164" s="62">
        <f t="shared" si="129"/>
        <v>276215.79849820002</v>
      </c>
      <c r="M164" s="62">
        <f t="shared" si="129"/>
        <v>267137.53359455033</v>
      </c>
      <c r="N164" s="62">
        <f t="shared" si="129"/>
        <v>254937.31835158364</v>
      </c>
      <c r="O164" s="62">
        <f t="shared" si="129"/>
        <v>238989.28012077697</v>
      </c>
      <c r="P164" s="62">
        <f t="shared" si="129"/>
        <v>218905.42153740322</v>
      </c>
      <c r="Q164" s="62">
        <f t="shared" si="129"/>
        <v>194805.36774460567</v>
      </c>
      <c r="R164" s="62">
        <f t="shared" si="129"/>
        <v>167553.66185539585</v>
      </c>
      <c r="S164" s="62">
        <f t="shared" si="129"/>
        <v>138784.14775909283</v>
      </c>
      <c r="T164" s="62">
        <f t="shared" si="129"/>
        <v>110580.76388833826</v>
      </c>
      <c r="U164" s="62">
        <f t="shared" si="129"/>
        <v>84906.643024901976</v>
      </c>
      <c r="V164" s="62">
        <f t="shared" si="129"/>
        <v>63087.296356099287</v>
      </c>
      <c r="W164" s="62">
        <f t="shared" si="129"/>
        <v>45613.907297980848</v>
      </c>
      <c r="X164" s="62">
        <f t="shared" si="129"/>
        <v>32280.935922287579</v>
      </c>
      <c r="Y164" s="62">
        <f t="shared" si="129"/>
        <v>22480.132655302932</v>
      </c>
      <c r="Z164" s="62">
        <f t="shared" si="129"/>
        <v>15472.700104340156</v>
      </c>
      <c r="AA164" s="62">
        <f t="shared" si="129"/>
        <v>10561.524741305384</v>
      </c>
      <c r="AB164" s="62">
        <f t="shared" si="129"/>
        <v>7167.6007010193562</v>
      </c>
      <c r="AC164" s="62">
        <f t="shared" si="129"/>
        <v>4844.9693545295777</v>
      </c>
    </row>
    <row r="165" spans="1:29" ht="15" thickBot="1" x14ac:dyDescent="0.35">
      <c r="A165" s="31" t="s">
        <v>209</v>
      </c>
      <c r="B165" s="64">
        <f>B156+B157+B158+B159+B160+B161+B162+B163+B164</f>
        <v>17997692.929980267</v>
      </c>
      <c r="C165" s="64">
        <f t="shared" ref="C165:AC165" si="130">C156+C157+C158+C159+C160+C161+C162+C163+C164</f>
        <v>17989037.351986695</v>
      </c>
      <c r="D165" s="64">
        <f t="shared" si="130"/>
        <v>17976649.42314636</v>
      </c>
      <c r="E165" s="64">
        <f t="shared" si="130"/>
        <v>17958932.40637362</v>
      </c>
      <c r="F165" s="64">
        <f t="shared" si="130"/>
        <v>17933620.661185183</v>
      </c>
      <c r="G165" s="64">
        <f t="shared" si="130"/>
        <v>17897515.26606885</v>
      </c>
      <c r="H165" s="64">
        <f t="shared" si="130"/>
        <v>17846132.798931085</v>
      </c>
      <c r="I165" s="64">
        <f t="shared" si="130"/>
        <v>17773258.758940943</v>
      </c>
      <c r="J165" s="64">
        <f t="shared" si="130"/>
        <v>17670421.822193094</v>
      </c>
      <c r="K165" s="64">
        <f t="shared" si="130"/>
        <v>17526363.831719097</v>
      </c>
      <c r="L165" s="64">
        <f t="shared" si="130"/>
        <v>17326698.2829303</v>
      </c>
      <c r="M165" s="64">
        <f t="shared" si="130"/>
        <v>17054150.398904964</v>
      </c>
      <c r="N165" s="64">
        <f t="shared" si="130"/>
        <v>16690035.625489244</v>
      </c>
      <c r="O165" s="64">
        <f t="shared" si="130"/>
        <v>16217803.046315497</v>
      </c>
      <c r="P165" s="64">
        <f t="shared" si="130"/>
        <v>15629128.140031043</v>
      </c>
      <c r="Q165" s="64">
        <f t="shared" si="130"/>
        <v>14931596.579403596</v>
      </c>
      <c r="R165" s="64">
        <f t="shared" si="130"/>
        <v>14154492.102051653</v>
      </c>
      <c r="S165" s="64">
        <f t="shared" si="130"/>
        <v>13347518.499046519</v>
      </c>
      <c r="T165" s="64">
        <f t="shared" si="130"/>
        <v>12569796.465268672</v>
      </c>
      <c r="U165" s="64">
        <f t="shared" si="130"/>
        <v>11873331.396631753</v>
      </c>
      <c r="V165" s="64">
        <f t="shared" si="130"/>
        <v>11290059.037565662</v>
      </c>
      <c r="W165" s="64">
        <f t="shared" si="130"/>
        <v>10828675.951409135</v>
      </c>
      <c r="X165" s="64">
        <f t="shared" si="130"/>
        <v>10480038.311738487</v>
      </c>
      <c r="Y165" s="64">
        <f t="shared" si="130"/>
        <v>10225648.502683509</v>
      </c>
      <c r="Z165" s="64">
        <f t="shared" si="130"/>
        <v>10044743.642166184</v>
      </c>
      <c r="AA165" s="64">
        <f t="shared" si="130"/>
        <v>9918443.16709085</v>
      </c>
      <c r="AB165" s="64">
        <f t="shared" si="130"/>
        <v>9831396.3436552528</v>
      </c>
      <c r="AC165" s="64">
        <f t="shared" si="130"/>
        <v>9771936.3580540176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31">A156</f>
        <v>Capex vehicle</v>
      </c>
      <c r="B168" s="65">
        <f>((1+B141)^B148)*B141/(((1+B141)^B148)-1)*(B137)/B153</f>
        <v>19.539498974368939</v>
      </c>
      <c r="C168" s="65">
        <f t="shared" ref="C168:AC168" si="132">((1+C141)^C148)*C141/(((1+C141)^C148)-1)*(C137)/C153</f>
        <v>19.532066244884934</v>
      </c>
      <c r="D168" s="65">
        <f t="shared" si="132"/>
        <v>19.521426458179274</v>
      </c>
      <c r="E168" s="65">
        <f t="shared" si="132"/>
        <v>19.506205495073583</v>
      </c>
      <c r="F168" s="65">
        <f t="shared" si="132"/>
        <v>19.484451380123293</v>
      </c>
      <c r="G168" s="65">
        <f t="shared" si="132"/>
        <v>19.453403556830025</v>
      </c>
      <c r="H168" s="65">
        <f t="shared" si="132"/>
        <v>19.409183839595606</v>
      </c>
      <c r="I168" s="65">
        <f t="shared" si="132"/>
        <v>19.346398180098269</v>
      </c>
      <c r="J168" s="65">
        <f t="shared" si="132"/>
        <v>19.257656683715453</v>
      </c>
      <c r="K168" s="65">
        <f t="shared" si="132"/>
        <v>19.133065223823188</v>
      </c>
      <c r="L168" s="65">
        <f t="shared" si="132"/>
        <v>18.959837866472469</v>
      </c>
      <c r="M168" s="65">
        <f t="shared" si="132"/>
        <v>18.722349639992963</v>
      </c>
      <c r="N168" s="65">
        <f t="shared" si="132"/>
        <v>18.403190911814015</v>
      </c>
      <c r="O168" s="65">
        <f t="shared" si="132"/>
        <v>17.985988797152327</v>
      </c>
      <c r="P168" s="65">
        <f t="shared" si="132"/>
        <v>17.460593250045839</v>
      </c>
      <c r="Q168" s="65">
        <f t="shared" si="132"/>
        <v>16.830133674999598</v>
      </c>
      <c r="R168" s="65">
        <f t="shared" si="132"/>
        <v>16.117226597616597</v>
      </c>
      <c r="S168" s="65">
        <f t="shared" si="132"/>
        <v>15.364613521007501</v>
      </c>
      <c r="T168" s="65">
        <f t="shared" si="132"/>
        <v>14.626810462022794</v>
      </c>
      <c r="U168" s="65">
        <f t="shared" si="132"/>
        <v>13.955173150819558</v>
      </c>
      <c r="V168" s="65">
        <f t="shared" si="132"/>
        <v>13.384377079289164</v>
      </c>
      <c r="W168" s="65">
        <f t="shared" si="132"/>
        <v>12.927271649777994</v>
      </c>
      <c r="X168" s="65">
        <f t="shared" si="132"/>
        <v>12.578479919274246</v>
      </c>
      <c r="Y168" s="65">
        <f t="shared" si="132"/>
        <v>12.322090024216767</v>
      </c>
      <c r="Z168" s="65">
        <f t="shared" si="132"/>
        <v>12.138774958357224</v>
      </c>
      <c r="AA168" s="65">
        <f t="shared" si="132"/>
        <v>12.010298169094545</v>
      </c>
      <c r="AB168" s="65">
        <f t="shared" si="132"/>
        <v>11.921512810913416</v>
      </c>
      <c r="AC168" s="65">
        <f t="shared" si="132"/>
        <v>11.860752565965971</v>
      </c>
    </row>
    <row r="169" spans="1:29" x14ac:dyDescent="0.3">
      <c r="A169" s="30" t="str">
        <f t="shared" si="131"/>
        <v>Residual value (vehicle)</v>
      </c>
      <c r="B169" s="66">
        <f>((1+B141)^B148)*B141/(((1+B141)^B148)-1)*(B138)/B153</f>
        <v>-0.97826349212091301</v>
      </c>
      <c r="C169" s="66">
        <f t="shared" ref="C169:AC169" si="133">((1+C141)^C148)*C141/(((1+C141)^C148)-1)*(C138)/C153</f>
        <v>-0.97844931035801319</v>
      </c>
      <c r="D169" s="66">
        <f t="shared" si="133"/>
        <v>-0.97871530502565462</v>
      </c>
      <c r="E169" s="66">
        <f t="shared" si="133"/>
        <v>-0.97909582910329696</v>
      </c>
      <c r="F169" s="66">
        <f t="shared" si="133"/>
        <v>-0.9796396819770542</v>
      </c>
      <c r="G169" s="66">
        <f t="shared" si="133"/>
        <v>-0.98041587755938586</v>
      </c>
      <c r="H169" s="66">
        <f t="shared" si="133"/>
        <v>-0.98152137049024646</v>
      </c>
      <c r="I169" s="66">
        <f t="shared" si="133"/>
        <v>-0.98309101197767967</v>
      </c>
      <c r="J169" s="66">
        <f t="shared" si="133"/>
        <v>-0.98530954938725024</v>
      </c>
      <c r="K169" s="66">
        <f t="shared" si="133"/>
        <v>-0.9884243358845568</v>
      </c>
      <c r="L169" s="66">
        <f t="shared" si="133"/>
        <v>-0.99275501981832481</v>
      </c>
      <c r="M169" s="66">
        <f t="shared" si="133"/>
        <v>-0.99869222548031233</v>
      </c>
      <c r="N169" s="66">
        <f t="shared" si="133"/>
        <v>-1.0066711936847861</v>
      </c>
      <c r="O169" s="66">
        <f t="shared" si="133"/>
        <v>-1.0171012465513283</v>
      </c>
      <c r="P169" s="66">
        <f t="shared" si="133"/>
        <v>-1.0302361352289906</v>
      </c>
      <c r="Q169" s="66">
        <f t="shared" si="133"/>
        <v>-1.0459976246051466</v>
      </c>
      <c r="R169" s="66">
        <f t="shared" si="133"/>
        <v>-1.0638203015397216</v>
      </c>
      <c r="S169" s="66">
        <f t="shared" si="133"/>
        <v>-1.082635628454949</v>
      </c>
      <c r="T169" s="66">
        <f t="shared" si="133"/>
        <v>-1.1010807049295666</v>
      </c>
      <c r="U169" s="66">
        <f t="shared" si="133"/>
        <v>-1.1178716377096476</v>
      </c>
      <c r="V169" s="66">
        <f t="shared" si="133"/>
        <v>-1.1321415394979075</v>
      </c>
      <c r="W169" s="66">
        <f t="shared" si="133"/>
        <v>-1.1435691752356867</v>
      </c>
      <c r="X169" s="66">
        <f t="shared" si="133"/>
        <v>-1.1522889684982804</v>
      </c>
      <c r="Y169" s="66">
        <f t="shared" si="133"/>
        <v>-1.1586987158747175</v>
      </c>
      <c r="Z169" s="66">
        <f t="shared" si="133"/>
        <v>-1.1632815925212061</v>
      </c>
      <c r="AA169" s="66">
        <f t="shared" si="133"/>
        <v>-1.1664935122527731</v>
      </c>
      <c r="AB169" s="66">
        <f t="shared" si="133"/>
        <v>-1.1687131462073013</v>
      </c>
      <c r="AC169" s="66">
        <f t="shared" si="133"/>
        <v>-1.1702321523309871</v>
      </c>
    </row>
    <row r="170" spans="1:29" x14ac:dyDescent="0.3">
      <c r="A170" s="30" t="str">
        <f t="shared" si="131"/>
        <v>Capex costumization</v>
      </c>
      <c r="B170" s="66">
        <f>((1+B141)^B149)*B141/(((1+B141)^B149)-1)*(B139)/B153</f>
        <v>3.2594465921780813</v>
      </c>
      <c r="C170" s="66">
        <f t="shared" ref="C170:AC170" si="134">((1+C141)^C149)*C141/(((1+C141)^C149)-1)*(C139)/C153</f>
        <v>3.2594465921780813</v>
      </c>
      <c r="D170" s="66">
        <f t="shared" si="134"/>
        <v>3.2594465921780813</v>
      </c>
      <c r="E170" s="66">
        <f t="shared" si="134"/>
        <v>3.2594465921780813</v>
      </c>
      <c r="F170" s="66">
        <f t="shared" si="134"/>
        <v>3.2594465921780813</v>
      </c>
      <c r="G170" s="66">
        <f t="shared" si="134"/>
        <v>3.2594465921780813</v>
      </c>
      <c r="H170" s="66">
        <f t="shared" si="134"/>
        <v>3.2594465921780813</v>
      </c>
      <c r="I170" s="66">
        <f t="shared" si="134"/>
        <v>3.2594465921780813</v>
      </c>
      <c r="J170" s="66">
        <f t="shared" si="134"/>
        <v>3.2594465921780813</v>
      </c>
      <c r="K170" s="66">
        <f t="shared" si="134"/>
        <v>3.2594465921780813</v>
      </c>
      <c r="L170" s="66">
        <f t="shared" si="134"/>
        <v>3.2594465921780813</v>
      </c>
      <c r="M170" s="66">
        <f t="shared" si="134"/>
        <v>3.2594465921780813</v>
      </c>
      <c r="N170" s="66">
        <f t="shared" si="134"/>
        <v>3.2594465921780813</v>
      </c>
      <c r="O170" s="66">
        <f t="shared" si="134"/>
        <v>3.2594465921780813</v>
      </c>
      <c r="P170" s="66">
        <f t="shared" si="134"/>
        <v>3.2594465921780813</v>
      </c>
      <c r="Q170" s="66">
        <f t="shared" si="134"/>
        <v>3.2594465921780813</v>
      </c>
      <c r="R170" s="66">
        <f t="shared" si="134"/>
        <v>3.2594465921780813</v>
      </c>
      <c r="S170" s="66">
        <f t="shared" si="134"/>
        <v>3.2594465921780813</v>
      </c>
      <c r="T170" s="66">
        <f t="shared" si="134"/>
        <v>3.2594465921780813</v>
      </c>
      <c r="U170" s="66">
        <f t="shared" si="134"/>
        <v>3.2594465921780813</v>
      </c>
      <c r="V170" s="66">
        <f t="shared" si="134"/>
        <v>3.2594465921780813</v>
      </c>
      <c r="W170" s="66">
        <f t="shared" si="134"/>
        <v>3.2594465921780813</v>
      </c>
      <c r="X170" s="66">
        <f t="shared" si="134"/>
        <v>3.2594465921780813</v>
      </c>
      <c r="Y170" s="66">
        <f t="shared" si="134"/>
        <v>3.2594465921780813</v>
      </c>
      <c r="Z170" s="66">
        <f t="shared" si="134"/>
        <v>3.2594465921780813</v>
      </c>
      <c r="AA170" s="66">
        <f t="shared" si="134"/>
        <v>3.2594465921780813</v>
      </c>
      <c r="AB170" s="66">
        <f t="shared" si="134"/>
        <v>3.2594465921780813</v>
      </c>
      <c r="AC170" s="66">
        <f t="shared" si="134"/>
        <v>3.2594465921780813</v>
      </c>
    </row>
    <row r="171" spans="1:29" x14ac:dyDescent="0.3">
      <c r="A171" s="30" t="str">
        <f t="shared" si="131"/>
        <v>Residual value (costumization)</v>
      </c>
      <c r="B171" s="66">
        <f>((1+B141)^B149)*B141/(((1+B141)^B149)-1)*(B140)/B153</f>
        <v>-0.32594465921780813</v>
      </c>
      <c r="C171" s="66">
        <f t="shared" ref="C171:AC171" si="135">((1+C141)^C149)*C141/(((1+C141)^C149)-1)*(C140)/C153</f>
        <v>-0.32594465921780813</v>
      </c>
      <c r="D171" s="66">
        <f t="shared" si="135"/>
        <v>-0.32594465921780813</v>
      </c>
      <c r="E171" s="66">
        <f t="shared" si="135"/>
        <v>-0.32594465921780813</v>
      </c>
      <c r="F171" s="66">
        <f t="shared" si="135"/>
        <v>-0.32594465921780813</v>
      </c>
      <c r="G171" s="66">
        <f t="shared" si="135"/>
        <v>-0.32594465921780813</v>
      </c>
      <c r="H171" s="66">
        <f t="shared" si="135"/>
        <v>-0.32594465921780813</v>
      </c>
      <c r="I171" s="66">
        <f t="shared" si="135"/>
        <v>-0.32594465921780813</v>
      </c>
      <c r="J171" s="66">
        <f t="shared" si="135"/>
        <v>-0.32594465921780813</v>
      </c>
      <c r="K171" s="66">
        <f t="shared" si="135"/>
        <v>-0.32594465921780813</v>
      </c>
      <c r="L171" s="66">
        <f t="shared" si="135"/>
        <v>-0.32594465921780813</v>
      </c>
      <c r="M171" s="66">
        <f t="shared" si="135"/>
        <v>-0.32594465921780813</v>
      </c>
      <c r="N171" s="66">
        <f t="shared" si="135"/>
        <v>-0.32594465921780813</v>
      </c>
      <c r="O171" s="66">
        <f t="shared" si="135"/>
        <v>-0.32594465921780813</v>
      </c>
      <c r="P171" s="66">
        <f t="shared" si="135"/>
        <v>-0.32594465921780813</v>
      </c>
      <c r="Q171" s="66">
        <f t="shared" si="135"/>
        <v>-0.32594465921780813</v>
      </c>
      <c r="R171" s="66">
        <f t="shared" si="135"/>
        <v>-0.32594465921780813</v>
      </c>
      <c r="S171" s="66">
        <f t="shared" si="135"/>
        <v>-0.32594465921780813</v>
      </c>
      <c r="T171" s="66">
        <f t="shared" si="135"/>
        <v>-0.32594465921780813</v>
      </c>
      <c r="U171" s="66">
        <f t="shared" si="135"/>
        <v>-0.32594465921780813</v>
      </c>
      <c r="V171" s="66">
        <f t="shared" si="135"/>
        <v>-0.32594465921780813</v>
      </c>
      <c r="W171" s="66">
        <f t="shared" si="135"/>
        <v>-0.32594465921780813</v>
      </c>
      <c r="X171" s="66">
        <f t="shared" si="135"/>
        <v>-0.32594465921780813</v>
      </c>
      <c r="Y171" s="66">
        <f t="shared" si="135"/>
        <v>-0.32594465921780813</v>
      </c>
      <c r="Z171" s="66">
        <f t="shared" si="135"/>
        <v>-0.32594465921780813</v>
      </c>
      <c r="AA171" s="66">
        <f t="shared" si="135"/>
        <v>-0.32594465921780813</v>
      </c>
      <c r="AB171" s="66">
        <f t="shared" si="135"/>
        <v>-0.32594465921780813</v>
      </c>
      <c r="AC171" s="66">
        <f t="shared" si="135"/>
        <v>-0.32594465921780813</v>
      </c>
    </row>
    <row r="172" spans="1:29" x14ac:dyDescent="0.3">
      <c r="A172" s="30" t="str">
        <f t="shared" si="131"/>
        <v>Opex fix (admin, crew, insurance)</v>
      </c>
      <c r="B172" s="66">
        <f>B142/B153</f>
        <v>10.068627450980392</v>
      </c>
      <c r="C172" s="66">
        <f t="shared" ref="C172:AC172" si="136">C142/C153</f>
        <v>10.068627450980392</v>
      </c>
      <c r="D172" s="66">
        <f t="shared" si="136"/>
        <v>10.068627450980392</v>
      </c>
      <c r="E172" s="66">
        <f t="shared" si="136"/>
        <v>10.068627450980392</v>
      </c>
      <c r="F172" s="66">
        <f t="shared" si="136"/>
        <v>10.068627450980392</v>
      </c>
      <c r="G172" s="66">
        <f t="shared" si="136"/>
        <v>10.068627450980392</v>
      </c>
      <c r="H172" s="66">
        <f t="shared" si="136"/>
        <v>10.068627450980392</v>
      </c>
      <c r="I172" s="66">
        <f t="shared" si="136"/>
        <v>10.068627450980392</v>
      </c>
      <c r="J172" s="66">
        <f t="shared" si="136"/>
        <v>10.068627450980392</v>
      </c>
      <c r="K172" s="66">
        <f t="shared" si="136"/>
        <v>10.068627450980392</v>
      </c>
      <c r="L172" s="66">
        <f t="shared" si="136"/>
        <v>10.068627450980392</v>
      </c>
      <c r="M172" s="66">
        <f t="shared" si="136"/>
        <v>10.068627450980392</v>
      </c>
      <c r="N172" s="66">
        <f t="shared" si="136"/>
        <v>10.068627450980392</v>
      </c>
      <c r="O172" s="66">
        <f t="shared" si="136"/>
        <v>10.068627450980392</v>
      </c>
      <c r="P172" s="66">
        <f t="shared" si="136"/>
        <v>10.068627450980392</v>
      </c>
      <c r="Q172" s="66">
        <f t="shared" si="136"/>
        <v>10.068627450980392</v>
      </c>
      <c r="R172" s="66">
        <f t="shared" si="136"/>
        <v>10.068627450980392</v>
      </c>
      <c r="S172" s="66">
        <f t="shared" si="136"/>
        <v>10.068627450980392</v>
      </c>
      <c r="T172" s="66">
        <f t="shared" si="136"/>
        <v>10.068627450980392</v>
      </c>
      <c r="U172" s="66">
        <f t="shared" si="136"/>
        <v>10.068627450980392</v>
      </c>
      <c r="V172" s="66">
        <f t="shared" si="136"/>
        <v>10.068627450980392</v>
      </c>
      <c r="W172" s="66">
        <f t="shared" si="136"/>
        <v>10.068627450980392</v>
      </c>
      <c r="X172" s="66">
        <f t="shared" si="136"/>
        <v>10.068627450980392</v>
      </c>
      <c r="Y172" s="66">
        <f t="shared" si="136"/>
        <v>10.068627450980392</v>
      </c>
      <c r="Z172" s="66">
        <f t="shared" si="136"/>
        <v>10.068627450980392</v>
      </c>
      <c r="AA172" s="66">
        <f t="shared" si="136"/>
        <v>10.068627450980392</v>
      </c>
      <c r="AB172" s="66">
        <f t="shared" si="136"/>
        <v>10.068627450980392</v>
      </c>
      <c r="AC172" s="66">
        <f t="shared" si="136"/>
        <v>10.068627450980392</v>
      </c>
    </row>
    <row r="173" spans="1:29" x14ac:dyDescent="0.3">
      <c r="A173" s="30" t="str">
        <f t="shared" si="131"/>
        <v>Opex maintenance &amp; repair</v>
      </c>
      <c r="B173" s="66">
        <f>B143/B153</f>
        <v>2.8235294117647056</v>
      </c>
      <c r="C173" s="66">
        <f t="shared" ref="C173:AC173" si="137">C143/C153</f>
        <v>2.8235294117647056</v>
      </c>
      <c r="D173" s="66">
        <f t="shared" si="137"/>
        <v>2.8235294117647056</v>
      </c>
      <c r="E173" s="66">
        <f t="shared" si="137"/>
        <v>2.8235294117647056</v>
      </c>
      <c r="F173" s="66">
        <f t="shared" si="137"/>
        <v>2.8235294117647056</v>
      </c>
      <c r="G173" s="66">
        <f t="shared" si="137"/>
        <v>2.8235294117647056</v>
      </c>
      <c r="H173" s="66">
        <f t="shared" si="137"/>
        <v>2.8235294117647056</v>
      </c>
      <c r="I173" s="66">
        <f t="shared" si="137"/>
        <v>2.8235294117647056</v>
      </c>
      <c r="J173" s="66">
        <f t="shared" si="137"/>
        <v>2.8235294117647056</v>
      </c>
      <c r="K173" s="66">
        <f t="shared" si="137"/>
        <v>2.8235294117647056</v>
      </c>
      <c r="L173" s="66">
        <f t="shared" si="137"/>
        <v>2.8235294117647056</v>
      </c>
      <c r="M173" s="66">
        <f t="shared" si="137"/>
        <v>2.8235294117647056</v>
      </c>
      <c r="N173" s="66">
        <f t="shared" si="137"/>
        <v>2.8235294117647056</v>
      </c>
      <c r="O173" s="66">
        <f t="shared" si="137"/>
        <v>2.8235294117647056</v>
      </c>
      <c r="P173" s="66">
        <f t="shared" si="137"/>
        <v>2.8235294117647056</v>
      </c>
      <c r="Q173" s="66">
        <f t="shared" si="137"/>
        <v>2.8235294117647056</v>
      </c>
      <c r="R173" s="66">
        <f t="shared" si="137"/>
        <v>2.8235294117647056</v>
      </c>
      <c r="S173" s="66">
        <f t="shared" si="137"/>
        <v>2.8235294117647056</v>
      </c>
      <c r="T173" s="66">
        <f t="shared" si="137"/>
        <v>2.8235294117647056</v>
      </c>
      <c r="U173" s="66">
        <f t="shared" si="137"/>
        <v>2.8235294117647056</v>
      </c>
      <c r="V173" s="66">
        <f t="shared" si="137"/>
        <v>2.8235294117647056</v>
      </c>
      <c r="W173" s="66">
        <f t="shared" si="137"/>
        <v>2.8235294117647056</v>
      </c>
      <c r="X173" s="66">
        <f t="shared" si="137"/>
        <v>2.8235294117647056</v>
      </c>
      <c r="Y173" s="66">
        <f t="shared" si="137"/>
        <v>2.8235294117647056</v>
      </c>
      <c r="Z173" s="66">
        <f t="shared" si="137"/>
        <v>2.8235294117647056</v>
      </c>
      <c r="AA173" s="66">
        <f t="shared" si="137"/>
        <v>2.8235294117647056</v>
      </c>
      <c r="AB173" s="66">
        <f t="shared" si="137"/>
        <v>2.8235294117647056</v>
      </c>
      <c r="AC173" s="66">
        <f t="shared" si="137"/>
        <v>2.8235294117647056</v>
      </c>
    </row>
    <row r="174" spans="1:29" x14ac:dyDescent="0.3">
      <c r="A174" s="30" t="str">
        <f t="shared" si="131"/>
        <v>Opex var (mode-fees)</v>
      </c>
      <c r="B174" s="66">
        <f>B144*B153/B153</f>
        <v>1.6886890630966982</v>
      </c>
      <c r="C174" s="66">
        <f t="shared" ref="C174:AC174" si="138">C144*C153/C153</f>
        <v>1.6886890630966982</v>
      </c>
      <c r="D174" s="66">
        <f t="shared" si="138"/>
        <v>1.6886890630966982</v>
      </c>
      <c r="E174" s="66">
        <f t="shared" si="138"/>
        <v>1.6886890630966982</v>
      </c>
      <c r="F174" s="66">
        <f t="shared" si="138"/>
        <v>1.6886890630966982</v>
      </c>
      <c r="G174" s="66">
        <f t="shared" si="138"/>
        <v>1.6886890630966982</v>
      </c>
      <c r="H174" s="66">
        <f t="shared" si="138"/>
        <v>1.6886890630966982</v>
      </c>
      <c r="I174" s="66">
        <f t="shared" si="138"/>
        <v>1.6886890630966982</v>
      </c>
      <c r="J174" s="66">
        <f t="shared" si="138"/>
        <v>1.6886890630966982</v>
      </c>
      <c r="K174" s="66">
        <f t="shared" si="138"/>
        <v>1.6886890630966982</v>
      </c>
      <c r="L174" s="66">
        <f t="shared" si="138"/>
        <v>1.6886890630966982</v>
      </c>
      <c r="M174" s="66">
        <f t="shared" si="138"/>
        <v>1.6886890630966982</v>
      </c>
      <c r="N174" s="66">
        <f t="shared" si="138"/>
        <v>1.6886890630966982</v>
      </c>
      <c r="O174" s="66">
        <f t="shared" si="138"/>
        <v>1.6886890630966982</v>
      </c>
      <c r="P174" s="66">
        <f t="shared" si="138"/>
        <v>1.6886890630966982</v>
      </c>
      <c r="Q174" s="66">
        <f t="shared" si="138"/>
        <v>1.6886890630966982</v>
      </c>
      <c r="R174" s="66">
        <f t="shared" si="138"/>
        <v>1.6886890630966982</v>
      </c>
      <c r="S174" s="66">
        <f t="shared" si="138"/>
        <v>1.6886890630966982</v>
      </c>
      <c r="T174" s="66">
        <f t="shared" si="138"/>
        <v>1.6886890630966982</v>
      </c>
      <c r="U174" s="66">
        <f t="shared" si="138"/>
        <v>1.6886890630966982</v>
      </c>
      <c r="V174" s="66">
        <f t="shared" si="138"/>
        <v>1.6886890630966982</v>
      </c>
      <c r="W174" s="66">
        <f t="shared" si="138"/>
        <v>1.6886890630966982</v>
      </c>
      <c r="X174" s="66">
        <f t="shared" si="138"/>
        <v>1.6886890630966982</v>
      </c>
      <c r="Y174" s="66">
        <f t="shared" si="138"/>
        <v>1.6886890630966982</v>
      </c>
      <c r="Z174" s="66">
        <f t="shared" si="138"/>
        <v>1.6886890630966982</v>
      </c>
      <c r="AA174" s="66">
        <f t="shared" si="138"/>
        <v>1.6886890630966982</v>
      </c>
      <c r="AB174" s="66">
        <f t="shared" si="138"/>
        <v>1.6886890630966982</v>
      </c>
      <c r="AC174" s="66">
        <f t="shared" si="138"/>
        <v>1.6886890630966982</v>
      </c>
    </row>
    <row r="175" spans="1:29" x14ac:dyDescent="0.3">
      <c r="A175" s="30" t="str">
        <f t="shared" si="131"/>
        <v>Fuel Cost</v>
      </c>
      <c r="B175" s="66">
        <f>B145*B146*B153/B153</f>
        <v>111.41874089596293</v>
      </c>
      <c r="C175" s="66">
        <f t="shared" ref="C175:AC175" si="139">C145*C146*C153/C153</f>
        <v>111.35659733346958</v>
      </c>
      <c r="D175" s="66">
        <f t="shared" si="139"/>
        <v>111.26765969348004</v>
      </c>
      <c r="E175" s="66">
        <f t="shared" si="139"/>
        <v>111.14046803336268</v>
      </c>
      <c r="F175" s="66">
        <f t="shared" si="139"/>
        <v>110.95876459510222</v>
      </c>
      <c r="G175" s="66">
        <f t="shared" si="139"/>
        <v>110.69960064898437</v>
      </c>
      <c r="H175" s="66">
        <f t="shared" si="139"/>
        <v>110.33082488592767</v>
      </c>
      <c r="I175" s="66">
        <f t="shared" si="139"/>
        <v>109.80789698019339</v>
      </c>
      <c r="J175" s="66">
        <f t="shared" si="139"/>
        <v>109.07015126918542</v>
      </c>
      <c r="K175" s="66">
        <f t="shared" si="139"/>
        <v>108.03706304586504</v>
      </c>
      <c r="L175" s="66">
        <f t="shared" si="139"/>
        <v>106.60592333147795</v>
      </c>
      <c r="M175" s="66">
        <f t="shared" si="139"/>
        <v>104.65376860427207</v>
      </c>
      <c r="N175" s="66">
        <f t="shared" si="139"/>
        <v>102.04828498254919</v>
      </c>
      <c r="O175" s="66">
        <f t="shared" si="139"/>
        <v>98.67354597555294</v>
      </c>
      <c r="P175" s="66">
        <f t="shared" si="139"/>
        <v>94.473817680494747</v>
      </c>
      <c r="Q175" s="66">
        <f t="shared" si="139"/>
        <v>89.508109521295069</v>
      </c>
      <c r="R175" s="66">
        <f t="shared" si="139"/>
        <v>83.990066180089855</v>
      </c>
      <c r="S175" s="66">
        <f t="shared" si="139"/>
        <v>78.276460509373933</v>
      </c>
      <c r="T175" s="66">
        <f t="shared" si="139"/>
        <v>72.786719895607476</v>
      </c>
      <c r="U175" s="66">
        <f t="shared" si="139"/>
        <v>67.885223574811775</v>
      </c>
      <c r="V175" s="66">
        <f t="shared" si="139"/>
        <v>63.79151444481969</v>
      </c>
      <c r="W175" s="66">
        <f t="shared" si="139"/>
        <v>60.560800034248587</v>
      </c>
      <c r="X175" s="66">
        <f t="shared" si="139"/>
        <v>58.124105988890307</v>
      </c>
      <c r="Y175" s="66">
        <f t="shared" si="139"/>
        <v>56.348663916424272</v>
      </c>
      <c r="Z175" s="66">
        <f t="shared" si="139"/>
        <v>55.087416625877268</v>
      </c>
      <c r="AA175" s="66">
        <f t="shared" si="139"/>
        <v>54.207527837269033</v>
      </c>
      <c r="AB175" s="66">
        <f t="shared" si="139"/>
        <v>53.601425334443761</v>
      </c>
      <c r="AC175" s="66">
        <f t="shared" si="139"/>
        <v>53.187559966725352</v>
      </c>
    </row>
    <row r="176" spans="1:29" ht="15" thickBot="1" x14ac:dyDescent="0.35">
      <c r="A176" s="59" t="str">
        <f t="shared" ref="A176" si="140">A164</f>
        <v>Emission Cost</v>
      </c>
      <c r="B176" s="66">
        <f>B147</f>
        <v>2.4864501794892204</v>
      </c>
      <c r="C176" s="66">
        <f t="shared" ref="C176:AC176" si="141">C147</f>
        <v>2.4840824730905622</v>
      </c>
      <c r="D176" s="66">
        <f t="shared" si="141"/>
        <v>2.4806931541172901</v>
      </c>
      <c r="E176" s="66">
        <f t="shared" si="141"/>
        <v>2.4758444949784595</v>
      </c>
      <c r="F176" s="66">
        <f t="shared" si="141"/>
        <v>2.4689146911593123</v>
      </c>
      <c r="G176" s="66">
        <f t="shared" si="141"/>
        <v>2.4590243635166811</v>
      </c>
      <c r="H176" s="66">
        <f t="shared" si="141"/>
        <v>2.4449381105906096</v>
      </c>
      <c r="I176" s="66">
        <f t="shared" si="141"/>
        <v>2.4249376507251341</v>
      </c>
      <c r="J176" s="66">
        <f t="shared" si="141"/>
        <v>2.3966689226267675</v>
      </c>
      <c r="K176" s="66">
        <f t="shared" si="141"/>
        <v>2.3569801383867617</v>
      </c>
      <c r="L176" s="66">
        <f t="shared" si="141"/>
        <v>2.3017983208183335</v>
      </c>
      <c r="M176" s="66">
        <f t="shared" si="141"/>
        <v>2.2261461132879194</v>
      </c>
      <c r="N176" s="66">
        <f t="shared" si="141"/>
        <v>2.1244776529298637</v>
      </c>
      <c r="O176" s="66">
        <f t="shared" si="141"/>
        <v>1.991577334339808</v>
      </c>
      <c r="P176" s="66">
        <f t="shared" si="141"/>
        <v>1.824211846145027</v>
      </c>
      <c r="Q176" s="66">
        <f t="shared" si="141"/>
        <v>1.6233780645383806</v>
      </c>
      <c r="R176" s="66">
        <f t="shared" si="141"/>
        <v>1.396280515461632</v>
      </c>
      <c r="S176" s="66">
        <f t="shared" si="141"/>
        <v>1.156534564659107</v>
      </c>
      <c r="T176" s="66">
        <f t="shared" si="141"/>
        <v>0.92150636573615219</v>
      </c>
      <c r="U176" s="66">
        <f t="shared" si="141"/>
        <v>0.70755535854084983</v>
      </c>
      <c r="V176" s="66">
        <f t="shared" si="141"/>
        <v>0.52572746963416073</v>
      </c>
      <c r="W176" s="66">
        <f t="shared" si="141"/>
        <v>0.38011589414984037</v>
      </c>
      <c r="X176" s="66">
        <f t="shared" si="141"/>
        <v>0.26900779935239649</v>
      </c>
      <c r="Y176" s="66">
        <f t="shared" si="141"/>
        <v>0.18733443879419109</v>
      </c>
      <c r="Z176" s="66">
        <f t="shared" si="141"/>
        <v>0.12893916753616796</v>
      </c>
      <c r="AA176" s="66">
        <f t="shared" si="141"/>
        <v>8.8012706177544864E-2</v>
      </c>
      <c r="AB176" s="66">
        <f t="shared" si="141"/>
        <v>5.9730005841827971E-2</v>
      </c>
      <c r="AC176" s="66">
        <f t="shared" si="141"/>
        <v>4.0374744621079817E-2</v>
      </c>
    </row>
    <row r="177" spans="1:29" ht="15" thickBot="1" x14ac:dyDescent="0.35">
      <c r="A177" s="31" t="s">
        <v>63</v>
      </c>
      <c r="B177" s="76">
        <f>B168+B169+B170-B171+B172+B173+B174+B175+B176</f>
        <v>150.63266373493786</v>
      </c>
      <c r="C177" s="76">
        <f t="shared" ref="C177:AC177" si="142">C168+C169+C170-C171+C172+C173+C174+C175+C176</f>
        <v>150.56053391832472</v>
      </c>
      <c r="D177" s="76">
        <f t="shared" si="142"/>
        <v>150.45730117798863</v>
      </c>
      <c r="E177" s="76">
        <f t="shared" si="142"/>
        <v>150.30965937154909</v>
      </c>
      <c r="F177" s="76">
        <f t="shared" si="142"/>
        <v>150.09872816164545</v>
      </c>
      <c r="G177" s="76">
        <f t="shared" si="142"/>
        <v>149.79784986900935</v>
      </c>
      <c r="H177" s="76">
        <f t="shared" si="142"/>
        <v>149.36966264286133</v>
      </c>
      <c r="I177" s="76">
        <f t="shared" si="142"/>
        <v>148.76237897627678</v>
      </c>
      <c r="J177" s="76">
        <f t="shared" si="142"/>
        <v>147.90540450337807</v>
      </c>
      <c r="K177" s="76">
        <f t="shared" si="142"/>
        <v>146.70492124942811</v>
      </c>
      <c r="L177" s="76">
        <f t="shared" si="142"/>
        <v>145.04104167618812</v>
      </c>
      <c r="M177" s="76">
        <f t="shared" si="142"/>
        <v>142.76980930931032</v>
      </c>
      <c r="N177" s="76">
        <f t="shared" si="142"/>
        <v>139.73551953084598</v>
      </c>
      <c r="O177" s="76">
        <f t="shared" si="142"/>
        <v>135.80024803773142</v>
      </c>
      <c r="P177" s="76">
        <f t="shared" si="142"/>
        <v>130.8946238186943</v>
      </c>
      <c r="Q177" s="76">
        <f t="shared" si="142"/>
        <v>125.08186081346558</v>
      </c>
      <c r="R177" s="76">
        <f t="shared" si="142"/>
        <v>118.60599016886604</v>
      </c>
      <c r="S177" s="76">
        <f t="shared" si="142"/>
        <v>111.88121014382328</v>
      </c>
      <c r="T177" s="76">
        <f t="shared" si="142"/>
        <v>105.40019319567455</v>
      </c>
      <c r="U177" s="76">
        <f t="shared" si="142"/>
        <v>99.596317623700216</v>
      </c>
      <c r="V177" s="76">
        <f t="shared" si="142"/>
        <v>94.735714631482793</v>
      </c>
      <c r="W177" s="76">
        <f t="shared" si="142"/>
        <v>90.890855580178425</v>
      </c>
      <c r="X177" s="76">
        <f t="shared" si="142"/>
        <v>87.985541916256352</v>
      </c>
      <c r="Y177" s="76">
        <f t="shared" si="142"/>
        <v>85.865626840798214</v>
      </c>
      <c r="Z177" s="76">
        <f t="shared" si="142"/>
        <v>84.358086336487148</v>
      </c>
      <c r="AA177" s="76">
        <f t="shared" si="142"/>
        <v>83.305582377526036</v>
      </c>
      <c r="AB177" s="76">
        <f t="shared" si="142"/>
        <v>82.580192182229382</v>
      </c>
      <c r="AC177" s="76">
        <f t="shared" si="142"/>
        <v>82.084692302219096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43">A156</f>
        <v>Capex vehicle</v>
      </c>
      <c r="B180" s="65">
        <f>((1+B141)^B148)*B141/(((1+B141)^B148)-1)*(B137)/B153/(B150)</f>
        <v>2.0676718491395704E-3</v>
      </c>
      <c r="C180" s="65">
        <f t="shared" ref="C180:AC180" si="144">((1+C141)^C148)*C141/(((1+C141)^C148)-1)*(C137)/C153/(C150)</f>
        <v>2.0668853169190406E-3</v>
      </c>
      <c r="D180" s="65">
        <f t="shared" si="144"/>
        <v>2.0657594135639443E-3</v>
      </c>
      <c r="E180" s="65">
        <f t="shared" si="144"/>
        <v>2.064148729637416E-3</v>
      </c>
      <c r="F180" s="65">
        <f t="shared" si="144"/>
        <v>2.0618467068913536E-3</v>
      </c>
      <c r="G180" s="65">
        <f t="shared" si="144"/>
        <v>2.0585612229449763E-3</v>
      </c>
      <c r="H180" s="65">
        <f t="shared" si="144"/>
        <v>2.0538818877878949E-3</v>
      </c>
      <c r="I180" s="65">
        <f t="shared" si="144"/>
        <v>2.0472379026559013E-3</v>
      </c>
      <c r="J180" s="65">
        <f t="shared" si="144"/>
        <v>2.0378472681180375E-3</v>
      </c>
      <c r="K180" s="65">
        <f t="shared" si="144"/>
        <v>2.0246629866479565E-3</v>
      </c>
      <c r="L180" s="65">
        <f t="shared" si="144"/>
        <v>2.0063320493621663E-3</v>
      </c>
      <c r="M180" s="65">
        <f t="shared" si="144"/>
        <v>1.9812010201050753E-3</v>
      </c>
      <c r="N180" s="65">
        <f t="shared" si="144"/>
        <v>1.9474276097157688E-3</v>
      </c>
      <c r="O180" s="65">
        <f t="shared" si="144"/>
        <v>1.9032792377938971E-3</v>
      </c>
      <c r="P180" s="65">
        <f t="shared" si="144"/>
        <v>1.8476818254016762E-3</v>
      </c>
      <c r="Q180" s="65">
        <f t="shared" si="144"/>
        <v>1.7809665264549839E-3</v>
      </c>
      <c r="R180" s="65">
        <f t="shared" si="144"/>
        <v>1.7055266240864123E-3</v>
      </c>
      <c r="S180" s="65">
        <f t="shared" si="144"/>
        <v>1.6258850286780425E-3</v>
      </c>
      <c r="T180" s="65">
        <f t="shared" si="144"/>
        <v>1.547810630901883E-3</v>
      </c>
      <c r="U180" s="65">
        <f t="shared" si="144"/>
        <v>1.4767378995576251E-3</v>
      </c>
      <c r="V180" s="65">
        <f t="shared" si="144"/>
        <v>1.4163361988665782E-3</v>
      </c>
      <c r="W180" s="65">
        <f t="shared" si="144"/>
        <v>1.3679652539447613E-3</v>
      </c>
      <c r="X180" s="65">
        <f t="shared" si="144"/>
        <v>1.3310560761136767E-3</v>
      </c>
      <c r="Y180" s="65">
        <f t="shared" si="144"/>
        <v>1.3039248702874885E-3</v>
      </c>
      <c r="Z180" s="65">
        <f t="shared" si="144"/>
        <v>1.2845264506198121E-3</v>
      </c>
      <c r="AA180" s="65">
        <f t="shared" si="144"/>
        <v>1.270931023184608E-3</v>
      </c>
      <c r="AB180" s="65">
        <f t="shared" si="144"/>
        <v>1.2615357471866049E-3</v>
      </c>
      <c r="AC180" s="65">
        <f t="shared" si="144"/>
        <v>1.2551060916366106E-3</v>
      </c>
    </row>
    <row r="181" spans="1:29" x14ac:dyDescent="0.3">
      <c r="A181" s="30" t="str">
        <f t="shared" si="143"/>
        <v>Residual value (vehicle)</v>
      </c>
      <c r="B181" s="68">
        <f>((1+B141)^B148)*B141/(((1+B141)^B148)-1)*(B138)/B153/(B150)</f>
        <v>-1.0351994625618128E-4</v>
      </c>
      <c r="C181" s="68">
        <f t="shared" ref="C181:AC181" si="145">((1+C141)^C148)*C141/(((1+C141)^C148)-1)*(C138)/C153/(C150)</f>
        <v>-1.0353960956169452E-4</v>
      </c>
      <c r="D181" s="68">
        <f t="shared" si="145"/>
        <v>-1.0356775714557191E-4</v>
      </c>
      <c r="E181" s="68">
        <f t="shared" si="145"/>
        <v>-1.0360802424373513E-4</v>
      </c>
      <c r="F181" s="68">
        <f t="shared" si="145"/>
        <v>-1.0366557481238669E-4</v>
      </c>
      <c r="G181" s="68">
        <f t="shared" si="145"/>
        <v>-1.0374771191104613E-4</v>
      </c>
      <c r="H181" s="68">
        <f t="shared" si="145"/>
        <v>-1.0386469528997317E-4</v>
      </c>
      <c r="I181" s="68">
        <f t="shared" si="145"/>
        <v>-1.0403079491827298E-4</v>
      </c>
      <c r="J181" s="68">
        <f t="shared" si="145"/>
        <v>-1.042655607817196E-4</v>
      </c>
      <c r="K181" s="68">
        <f t="shared" si="145"/>
        <v>-1.0459516781847161E-4</v>
      </c>
      <c r="L181" s="68">
        <f t="shared" si="145"/>
        <v>-1.0505344125061638E-4</v>
      </c>
      <c r="M181" s="68">
        <f t="shared" si="145"/>
        <v>-1.0568171698204363E-4</v>
      </c>
      <c r="N181" s="68">
        <f t="shared" si="145"/>
        <v>-1.0652605224177631E-4</v>
      </c>
      <c r="O181" s="68">
        <f t="shared" si="145"/>
        <v>-1.076297615398231E-4</v>
      </c>
      <c r="P181" s="68">
        <f t="shared" si="145"/>
        <v>-1.0901969684962864E-4</v>
      </c>
      <c r="Q181" s="68">
        <f t="shared" si="145"/>
        <v>-1.1068757932329594E-4</v>
      </c>
      <c r="R181" s="68">
        <f t="shared" si="145"/>
        <v>-1.1257357688251022E-4</v>
      </c>
      <c r="S181" s="68">
        <f t="shared" si="145"/>
        <v>-1.1456461676771947E-4</v>
      </c>
      <c r="T181" s="68">
        <f t="shared" si="145"/>
        <v>-1.1651647671212345E-4</v>
      </c>
      <c r="U181" s="68">
        <f t="shared" si="145"/>
        <v>-1.182932949957299E-4</v>
      </c>
      <c r="V181" s="68">
        <f t="shared" si="145"/>
        <v>-1.1980333751300609E-4</v>
      </c>
      <c r="W181" s="68">
        <f t="shared" si="145"/>
        <v>-1.210126111360515E-4</v>
      </c>
      <c r="X181" s="68">
        <f t="shared" si="145"/>
        <v>-1.2193534058182861E-4</v>
      </c>
      <c r="Y181" s="68">
        <f t="shared" si="145"/>
        <v>-1.2261362072748334E-4</v>
      </c>
      <c r="Z181" s="68">
        <f t="shared" si="145"/>
        <v>-1.2309858121917525E-4</v>
      </c>
      <c r="AA181" s="68">
        <f t="shared" si="145"/>
        <v>-1.2343846690505536E-4</v>
      </c>
      <c r="AB181" s="68">
        <f t="shared" si="145"/>
        <v>-1.2367334880500542E-4</v>
      </c>
      <c r="AC181" s="68">
        <f t="shared" si="145"/>
        <v>-1.2383409019375524E-4</v>
      </c>
    </row>
    <row r="182" spans="1:29" x14ac:dyDescent="0.3">
      <c r="A182" s="30" t="str">
        <f t="shared" si="143"/>
        <v>Capex costumization</v>
      </c>
      <c r="B182" s="66">
        <f>((1+B141)^B149)*B141/(((1+B141)^B149)-1)*(B139)/B153/(B150)</f>
        <v>3.4491498329926784E-4</v>
      </c>
      <c r="C182" s="66">
        <f t="shared" ref="C182:AC182" si="146">((1+C141)^C149)*C141/(((1+C141)^C149)-1)*(C139)/C153/(C150)</f>
        <v>3.4491498329926784E-4</v>
      </c>
      <c r="D182" s="66">
        <f t="shared" si="146"/>
        <v>3.4491498329926784E-4</v>
      </c>
      <c r="E182" s="66">
        <f t="shared" si="146"/>
        <v>3.4491498329926784E-4</v>
      </c>
      <c r="F182" s="66">
        <f t="shared" si="146"/>
        <v>3.4491498329926784E-4</v>
      </c>
      <c r="G182" s="66">
        <f t="shared" si="146"/>
        <v>3.4491498329926784E-4</v>
      </c>
      <c r="H182" s="66">
        <f t="shared" si="146"/>
        <v>3.4491498329926784E-4</v>
      </c>
      <c r="I182" s="66">
        <f t="shared" si="146"/>
        <v>3.4491498329926784E-4</v>
      </c>
      <c r="J182" s="66">
        <f t="shared" si="146"/>
        <v>3.4491498329926784E-4</v>
      </c>
      <c r="K182" s="66">
        <f t="shared" si="146"/>
        <v>3.4491498329926784E-4</v>
      </c>
      <c r="L182" s="66">
        <f t="shared" si="146"/>
        <v>3.4491498329926784E-4</v>
      </c>
      <c r="M182" s="66">
        <f t="shared" si="146"/>
        <v>3.4491498329926784E-4</v>
      </c>
      <c r="N182" s="66">
        <f t="shared" si="146"/>
        <v>3.4491498329926784E-4</v>
      </c>
      <c r="O182" s="66">
        <f t="shared" si="146"/>
        <v>3.4491498329926784E-4</v>
      </c>
      <c r="P182" s="66">
        <f t="shared" si="146"/>
        <v>3.4491498329926784E-4</v>
      </c>
      <c r="Q182" s="66">
        <f t="shared" si="146"/>
        <v>3.4491498329926784E-4</v>
      </c>
      <c r="R182" s="66">
        <f t="shared" si="146"/>
        <v>3.4491498329926784E-4</v>
      </c>
      <c r="S182" s="66">
        <f t="shared" si="146"/>
        <v>3.4491498329926784E-4</v>
      </c>
      <c r="T182" s="66">
        <f t="shared" si="146"/>
        <v>3.4491498329926784E-4</v>
      </c>
      <c r="U182" s="66">
        <f t="shared" si="146"/>
        <v>3.4491498329926784E-4</v>
      </c>
      <c r="V182" s="66">
        <f t="shared" si="146"/>
        <v>3.4491498329926784E-4</v>
      </c>
      <c r="W182" s="66">
        <f t="shared" si="146"/>
        <v>3.4491498329926784E-4</v>
      </c>
      <c r="X182" s="66">
        <f t="shared" si="146"/>
        <v>3.4491498329926784E-4</v>
      </c>
      <c r="Y182" s="66">
        <f t="shared" si="146"/>
        <v>3.4491498329926784E-4</v>
      </c>
      <c r="Z182" s="66">
        <f t="shared" si="146"/>
        <v>3.4491498329926784E-4</v>
      </c>
      <c r="AA182" s="66">
        <f t="shared" si="146"/>
        <v>3.4491498329926784E-4</v>
      </c>
      <c r="AB182" s="66">
        <f t="shared" si="146"/>
        <v>3.4491498329926784E-4</v>
      </c>
      <c r="AC182" s="66">
        <f t="shared" si="146"/>
        <v>3.4491498329926784E-4</v>
      </c>
    </row>
    <row r="183" spans="1:29" x14ac:dyDescent="0.3">
      <c r="A183" s="30" t="str">
        <f t="shared" si="143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7">((1+C141)^C149)*C141/(((1+C141)^C149)-1)*(C140)/C153/(C150)</f>
        <v>-3.4491498329926788E-5</v>
      </c>
      <c r="D183" s="69">
        <f t="shared" si="147"/>
        <v>-3.4491498329926788E-5</v>
      </c>
      <c r="E183" s="69">
        <f t="shared" si="147"/>
        <v>-3.4491498329926788E-5</v>
      </c>
      <c r="F183" s="69">
        <f t="shared" si="147"/>
        <v>-3.4491498329926788E-5</v>
      </c>
      <c r="G183" s="69">
        <f t="shared" si="147"/>
        <v>-3.4491498329926788E-5</v>
      </c>
      <c r="H183" s="69">
        <f t="shared" si="147"/>
        <v>-3.4491498329926788E-5</v>
      </c>
      <c r="I183" s="69">
        <f t="shared" si="147"/>
        <v>-3.4491498329926788E-5</v>
      </c>
      <c r="J183" s="69">
        <f t="shared" si="147"/>
        <v>-3.4491498329926788E-5</v>
      </c>
      <c r="K183" s="69">
        <f t="shared" si="147"/>
        <v>-3.4491498329926788E-5</v>
      </c>
      <c r="L183" s="69">
        <f t="shared" si="147"/>
        <v>-3.4491498329926788E-5</v>
      </c>
      <c r="M183" s="69">
        <f t="shared" si="147"/>
        <v>-3.4491498329926788E-5</v>
      </c>
      <c r="N183" s="69">
        <f t="shared" si="147"/>
        <v>-3.4491498329926788E-5</v>
      </c>
      <c r="O183" s="69">
        <f t="shared" si="147"/>
        <v>-3.4491498329926788E-5</v>
      </c>
      <c r="P183" s="69">
        <f t="shared" si="147"/>
        <v>-3.4491498329926788E-5</v>
      </c>
      <c r="Q183" s="69">
        <f t="shared" si="147"/>
        <v>-3.4491498329926788E-5</v>
      </c>
      <c r="R183" s="69">
        <f t="shared" si="147"/>
        <v>-3.4491498329926788E-5</v>
      </c>
      <c r="S183" s="69">
        <f t="shared" si="147"/>
        <v>-3.4491498329926788E-5</v>
      </c>
      <c r="T183" s="69">
        <f t="shared" si="147"/>
        <v>-3.4491498329926788E-5</v>
      </c>
      <c r="U183" s="69">
        <f t="shared" si="147"/>
        <v>-3.4491498329926788E-5</v>
      </c>
      <c r="V183" s="69">
        <f t="shared" si="147"/>
        <v>-3.4491498329926788E-5</v>
      </c>
      <c r="W183" s="69">
        <f t="shared" si="147"/>
        <v>-3.4491498329926788E-5</v>
      </c>
      <c r="X183" s="69">
        <f t="shared" si="147"/>
        <v>-3.4491498329926788E-5</v>
      </c>
      <c r="Y183" s="69">
        <f t="shared" si="147"/>
        <v>-3.4491498329926788E-5</v>
      </c>
      <c r="Z183" s="69">
        <f t="shared" si="147"/>
        <v>-3.4491498329926788E-5</v>
      </c>
      <c r="AA183" s="69">
        <f t="shared" si="147"/>
        <v>-3.4491498329926788E-5</v>
      </c>
      <c r="AB183" s="69">
        <f t="shared" si="147"/>
        <v>-3.4491498329926788E-5</v>
      </c>
      <c r="AC183" s="69">
        <f t="shared" si="147"/>
        <v>-3.4491498329926788E-5</v>
      </c>
    </row>
    <row r="184" spans="1:29" x14ac:dyDescent="0.3">
      <c r="A184" s="30" t="str">
        <f t="shared" si="143"/>
        <v>Opex fix (admin, crew, insurance)</v>
      </c>
      <c r="B184" s="66">
        <f>B142/B153/(B150)</f>
        <v>1.0654632223259673E-3</v>
      </c>
      <c r="C184" s="66">
        <f t="shared" ref="C184:AC184" si="148">C142/C153/(C150)</f>
        <v>1.0654632223259673E-3</v>
      </c>
      <c r="D184" s="66">
        <f t="shared" si="148"/>
        <v>1.0654632223259673E-3</v>
      </c>
      <c r="E184" s="66">
        <f t="shared" si="148"/>
        <v>1.0654632223259673E-3</v>
      </c>
      <c r="F184" s="66">
        <f t="shared" si="148"/>
        <v>1.0654632223259673E-3</v>
      </c>
      <c r="G184" s="66">
        <f t="shared" si="148"/>
        <v>1.0654632223259673E-3</v>
      </c>
      <c r="H184" s="66">
        <f t="shared" si="148"/>
        <v>1.0654632223259673E-3</v>
      </c>
      <c r="I184" s="66">
        <f t="shared" si="148"/>
        <v>1.0654632223259673E-3</v>
      </c>
      <c r="J184" s="66">
        <f t="shared" si="148"/>
        <v>1.0654632223259673E-3</v>
      </c>
      <c r="K184" s="66">
        <f t="shared" si="148"/>
        <v>1.0654632223259673E-3</v>
      </c>
      <c r="L184" s="66">
        <f t="shared" si="148"/>
        <v>1.0654632223259673E-3</v>
      </c>
      <c r="M184" s="66">
        <f t="shared" si="148"/>
        <v>1.0654632223259673E-3</v>
      </c>
      <c r="N184" s="66">
        <f t="shared" si="148"/>
        <v>1.0654632223259673E-3</v>
      </c>
      <c r="O184" s="66">
        <f t="shared" si="148"/>
        <v>1.0654632223259673E-3</v>
      </c>
      <c r="P184" s="66">
        <f t="shared" si="148"/>
        <v>1.0654632223259673E-3</v>
      </c>
      <c r="Q184" s="66">
        <f t="shared" si="148"/>
        <v>1.0654632223259673E-3</v>
      </c>
      <c r="R184" s="66">
        <f t="shared" si="148"/>
        <v>1.0654632223259673E-3</v>
      </c>
      <c r="S184" s="66">
        <f t="shared" si="148"/>
        <v>1.0654632223259673E-3</v>
      </c>
      <c r="T184" s="66">
        <f t="shared" si="148"/>
        <v>1.0654632223259673E-3</v>
      </c>
      <c r="U184" s="66">
        <f t="shared" si="148"/>
        <v>1.0654632223259673E-3</v>
      </c>
      <c r="V184" s="66">
        <f t="shared" si="148"/>
        <v>1.0654632223259673E-3</v>
      </c>
      <c r="W184" s="66">
        <f t="shared" si="148"/>
        <v>1.0654632223259673E-3</v>
      </c>
      <c r="X184" s="66">
        <f t="shared" si="148"/>
        <v>1.0654632223259673E-3</v>
      </c>
      <c r="Y184" s="66">
        <f t="shared" si="148"/>
        <v>1.0654632223259673E-3</v>
      </c>
      <c r="Z184" s="66">
        <f t="shared" si="148"/>
        <v>1.0654632223259673E-3</v>
      </c>
      <c r="AA184" s="66">
        <f t="shared" si="148"/>
        <v>1.0654632223259673E-3</v>
      </c>
      <c r="AB184" s="66">
        <f t="shared" si="148"/>
        <v>1.0654632223259673E-3</v>
      </c>
      <c r="AC184" s="66">
        <f t="shared" si="148"/>
        <v>1.0654632223259673E-3</v>
      </c>
    </row>
    <row r="185" spans="1:29" x14ac:dyDescent="0.3">
      <c r="A185" s="30" t="str">
        <f t="shared" si="143"/>
        <v>Opex maintenance &amp; repair</v>
      </c>
      <c r="B185" s="66">
        <f>B143/B153/(B150)</f>
        <v>2.9878618113912231E-4</v>
      </c>
      <c r="C185" s="66">
        <f t="shared" ref="C185:AC185" si="149">C143/C153/(C150)</f>
        <v>2.9878618113912231E-4</v>
      </c>
      <c r="D185" s="66">
        <f t="shared" si="149"/>
        <v>2.9878618113912231E-4</v>
      </c>
      <c r="E185" s="66">
        <f t="shared" si="149"/>
        <v>2.9878618113912231E-4</v>
      </c>
      <c r="F185" s="66">
        <f t="shared" si="149"/>
        <v>2.9878618113912231E-4</v>
      </c>
      <c r="G185" s="66">
        <f t="shared" si="149"/>
        <v>2.9878618113912231E-4</v>
      </c>
      <c r="H185" s="66">
        <f t="shared" si="149"/>
        <v>2.9878618113912231E-4</v>
      </c>
      <c r="I185" s="66">
        <f t="shared" si="149"/>
        <v>2.9878618113912231E-4</v>
      </c>
      <c r="J185" s="66">
        <f t="shared" si="149"/>
        <v>2.9878618113912231E-4</v>
      </c>
      <c r="K185" s="66">
        <f t="shared" si="149"/>
        <v>2.9878618113912231E-4</v>
      </c>
      <c r="L185" s="66">
        <f t="shared" si="149"/>
        <v>2.9878618113912231E-4</v>
      </c>
      <c r="M185" s="66">
        <f t="shared" si="149"/>
        <v>2.9878618113912231E-4</v>
      </c>
      <c r="N185" s="66">
        <f t="shared" si="149"/>
        <v>2.9878618113912231E-4</v>
      </c>
      <c r="O185" s="66">
        <f t="shared" si="149"/>
        <v>2.9878618113912231E-4</v>
      </c>
      <c r="P185" s="66">
        <f t="shared" si="149"/>
        <v>2.9878618113912231E-4</v>
      </c>
      <c r="Q185" s="66">
        <f t="shared" si="149"/>
        <v>2.9878618113912231E-4</v>
      </c>
      <c r="R185" s="66">
        <f t="shared" si="149"/>
        <v>2.9878618113912231E-4</v>
      </c>
      <c r="S185" s="66">
        <f t="shared" si="149"/>
        <v>2.9878618113912231E-4</v>
      </c>
      <c r="T185" s="66">
        <f t="shared" si="149"/>
        <v>2.9878618113912231E-4</v>
      </c>
      <c r="U185" s="66">
        <f t="shared" si="149"/>
        <v>2.9878618113912231E-4</v>
      </c>
      <c r="V185" s="66">
        <f t="shared" si="149"/>
        <v>2.9878618113912231E-4</v>
      </c>
      <c r="W185" s="66">
        <f t="shared" si="149"/>
        <v>2.9878618113912231E-4</v>
      </c>
      <c r="X185" s="66">
        <f t="shared" si="149"/>
        <v>2.9878618113912231E-4</v>
      </c>
      <c r="Y185" s="66">
        <f t="shared" si="149"/>
        <v>2.9878618113912231E-4</v>
      </c>
      <c r="Z185" s="66">
        <f t="shared" si="149"/>
        <v>2.9878618113912231E-4</v>
      </c>
      <c r="AA185" s="66">
        <f t="shared" si="149"/>
        <v>2.9878618113912231E-4</v>
      </c>
      <c r="AB185" s="66">
        <f t="shared" si="149"/>
        <v>2.9878618113912231E-4</v>
      </c>
      <c r="AC185" s="66">
        <f t="shared" si="149"/>
        <v>2.9878618113912231E-4</v>
      </c>
    </row>
    <row r="186" spans="1:29" x14ac:dyDescent="0.3">
      <c r="A186" s="30" t="str">
        <f t="shared" si="143"/>
        <v>Opex var (mode-fees)</v>
      </c>
      <c r="B186" s="66">
        <f>B144*B153/B153/(B150)</f>
        <v>1.7869725535414797E-4</v>
      </c>
      <c r="C186" s="66">
        <f t="shared" ref="C186:AC186" si="150">C144*C153/C153/(C150)</f>
        <v>1.7869725535414797E-4</v>
      </c>
      <c r="D186" s="66">
        <f t="shared" si="150"/>
        <v>1.7869725535414797E-4</v>
      </c>
      <c r="E186" s="66">
        <f t="shared" si="150"/>
        <v>1.7869725535414797E-4</v>
      </c>
      <c r="F186" s="66">
        <f t="shared" si="150"/>
        <v>1.7869725535414797E-4</v>
      </c>
      <c r="G186" s="66">
        <f t="shared" si="150"/>
        <v>1.7869725535414797E-4</v>
      </c>
      <c r="H186" s="66">
        <f t="shared" si="150"/>
        <v>1.7869725535414797E-4</v>
      </c>
      <c r="I186" s="66">
        <f t="shared" si="150"/>
        <v>1.7869725535414797E-4</v>
      </c>
      <c r="J186" s="66">
        <f t="shared" si="150"/>
        <v>1.7869725535414797E-4</v>
      </c>
      <c r="K186" s="66">
        <f t="shared" si="150"/>
        <v>1.7869725535414797E-4</v>
      </c>
      <c r="L186" s="66">
        <f t="shared" si="150"/>
        <v>1.7869725535414797E-4</v>
      </c>
      <c r="M186" s="66">
        <f t="shared" si="150"/>
        <v>1.7869725535414797E-4</v>
      </c>
      <c r="N186" s="66">
        <f t="shared" si="150"/>
        <v>1.7869725535414797E-4</v>
      </c>
      <c r="O186" s="66">
        <f t="shared" si="150"/>
        <v>1.7869725535414797E-4</v>
      </c>
      <c r="P186" s="66">
        <f t="shared" si="150"/>
        <v>1.7869725535414797E-4</v>
      </c>
      <c r="Q186" s="66">
        <f t="shared" si="150"/>
        <v>1.7869725535414797E-4</v>
      </c>
      <c r="R186" s="66">
        <f t="shared" si="150"/>
        <v>1.7869725535414797E-4</v>
      </c>
      <c r="S186" s="66">
        <f t="shared" si="150"/>
        <v>1.7869725535414797E-4</v>
      </c>
      <c r="T186" s="66">
        <f t="shared" si="150"/>
        <v>1.7869725535414797E-4</v>
      </c>
      <c r="U186" s="66">
        <f t="shared" si="150"/>
        <v>1.7869725535414797E-4</v>
      </c>
      <c r="V186" s="66">
        <f t="shared" si="150"/>
        <v>1.7869725535414797E-4</v>
      </c>
      <c r="W186" s="66">
        <f t="shared" si="150"/>
        <v>1.7869725535414797E-4</v>
      </c>
      <c r="X186" s="66">
        <f t="shared" si="150"/>
        <v>1.7869725535414797E-4</v>
      </c>
      <c r="Y186" s="66">
        <f t="shared" si="150"/>
        <v>1.7869725535414797E-4</v>
      </c>
      <c r="Z186" s="66">
        <f t="shared" si="150"/>
        <v>1.7869725535414797E-4</v>
      </c>
      <c r="AA186" s="66">
        <f t="shared" si="150"/>
        <v>1.7869725535414797E-4</v>
      </c>
      <c r="AB186" s="66">
        <f t="shared" si="150"/>
        <v>1.7869725535414797E-4</v>
      </c>
      <c r="AC186" s="66">
        <f t="shared" si="150"/>
        <v>1.7869725535414797E-4</v>
      </c>
    </row>
    <row r="187" spans="1:29" x14ac:dyDescent="0.3">
      <c r="A187" s="30" t="str">
        <f t="shared" si="143"/>
        <v>Fuel Cost</v>
      </c>
      <c r="B187" s="66">
        <f>B145*B146*B153/B153/(B150)</f>
        <v>1.1790342951953749E-2</v>
      </c>
      <c r="C187" s="66">
        <f t="shared" ref="C187:AC187" si="151">C145*C146*C153/C153/(C150)</f>
        <v>1.1783766913594665E-2</v>
      </c>
      <c r="D187" s="66">
        <f t="shared" si="151"/>
        <v>1.1774355523119581E-2</v>
      </c>
      <c r="E187" s="66">
        <f t="shared" si="151"/>
        <v>1.1760896088186527E-2</v>
      </c>
      <c r="F187" s="66">
        <f t="shared" si="151"/>
        <v>1.1741668211121929E-2</v>
      </c>
      <c r="G187" s="66">
        <f t="shared" si="151"/>
        <v>1.1714243454918982E-2</v>
      </c>
      <c r="H187" s="66">
        <f t="shared" si="151"/>
        <v>1.1675219564648431E-2</v>
      </c>
      <c r="I187" s="66">
        <f t="shared" si="151"/>
        <v>1.1619883278327343E-2</v>
      </c>
      <c r="J187" s="66">
        <f t="shared" si="151"/>
        <v>1.154181494912015E-2</v>
      </c>
      <c r="K187" s="66">
        <f t="shared" si="151"/>
        <v>1.1432493444006882E-2</v>
      </c>
      <c r="L187" s="66">
        <f t="shared" si="151"/>
        <v>1.1281050087987085E-2</v>
      </c>
      <c r="M187" s="66">
        <f t="shared" si="151"/>
        <v>1.1074472868176938E-2</v>
      </c>
      <c r="N187" s="66">
        <f t="shared" si="151"/>
        <v>1.0798760315613672E-2</v>
      </c>
      <c r="O187" s="66">
        <f t="shared" si="151"/>
        <v>1.0441645076778088E-2</v>
      </c>
      <c r="P187" s="66">
        <f t="shared" si="151"/>
        <v>9.9972293841793375E-3</v>
      </c>
      <c r="Q187" s="66">
        <f t="shared" si="151"/>
        <v>9.4717576213010652E-3</v>
      </c>
      <c r="R187" s="66">
        <f t="shared" si="151"/>
        <v>8.8878376910148001E-3</v>
      </c>
      <c r="S187" s="66">
        <f t="shared" si="151"/>
        <v>8.2832233343252838E-3</v>
      </c>
      <c r="T187" s="66">
        <f t="shared" si="151"/>
        <v>7.702298401651585E-3</v>
      </c>
      <c r="U187" s="66">
        <f t="shared" si="151"/>
        <v>7.183621542308124E-3</v>
      </c>
      <c r="V187" s="66">
        <f t="shared" si="151"/>
        <v>6.7504248089756283E-3</v>
      </c>
      <c r="W187" s="66">
        <f t="shared" si="151"/>
        <v>6.4085502681744538E-3</v>
      </c>
      <c r="X187" s="66">
        <f t="shared" si="151"/>
        <v>6.1506990464434185E-3</v>
      </c>
      <c r="Y187" s="66">
        <f t="shared" si="151"/>
        <v>5.9628215784575953E-3</v>
      </c>
      <c r="Z187" s="66">
        <f t="shared" si="151"/>
        <v>5.8293562567065891E-3</v>
      </c>
      <c r="AA187" s="66">
        <f t="shared" si="151"/>
        <v>5.7362463319861412E-3</v>
      </c>
      <c r="AB187" s="66">
        <f t="shared" si="151"/>
        <v>5.6721085009993396E-3</v>
      </c>
      <c r="AC187" s="66">
        <f t="shared" si="151"/>
        <v>5.6283132239921011E-3</v>
      </c>
    </row>
    <row r="188" spans="1:29" x14ac:dyDescent="0.3">
      <c r="A188" s="59" t="str">
        <f>A151</f>
        <v>Market failure (av. utilization)</v>
      </c>
      <c r="B188" s="66">
        <f t="shared" ref="B188:AC188" si="152">B177/B151-B177/B150</f>
        <v>2.1129720272896415E-2</v>
      </c>
      <c r="C188" s="66">
        <f t="shared" si="152"/>
        <v>2.1119602395335325E-2</v>
      </c>
      <c r="D188" s="66">
        <f t="shared" si="152"/>
        <v>2.1105121612268615E-2</v>
      </c>
      <c r="E188" s="66">
        <f t="shared" si="152"/>
        <v>2.1084411429010203E-2</v>
      </c>
      <c r="F188" s="66">
        <f t="shared" si="152"/>
        <v>2.1054823440910031E-2</v>
      </c>
      <c r="G188" s="66">
        <f t="shared" si="152"/>
        <v>2.1012618290964766E-2</v>
      </c>
      <c r="H188" s="66">
        <f t="shared" si="152"/>
        <v>2.0952555114170286E-2</v>
      </c>
      <c r="I188" s="66">
        <f t="shared" si="152"/>
        <v>2.0867369513098998E-2</v>
      </c>
      <c r="J188" s="66">
        <f t="shared" si="152"/>
        <v>2.0747158992721913E-2</v>
      </c>
      <c r="K188" s="66">
        <f t="shared" si="152"/>
        <v>2.0578763408926795E-2</v>
      </c>
      <c r="L188" s="66">
        <f t="shared" si="152"/>
        <v>2.0345365757457174E-2</v>
      </c>
      <c r="M188" s="66">
        <f t="shared" si="152"/>
        <v>2.0026772808245816E-2</v>
      </c>
      <c r="N188" s="66">
        <f t="shared" si="152"/>
        <v>1.9601143381956981E-2</v>
      </c>
      <c r="O188" s="66">
        <f t="shared" si="152"/>
        <v>1.9049130400272403E-2</v>
      </c>
      <c r="P188" s="66">
        <f t="shared" si="152"/>
        <v>1.8361002971983696E-2</v>
      </c>
      <c r="Q188" s="66">
        <f t="shared" si="152"/>
        <v>1.7545628316396059E-2</v>
      </c>
      <c r="R188" s="66">
        <f t="shared" si="152"/>
        <v>1.6637237454473645E-2</v>
      </c>
      <c r="S188" s="66">
        <f t="shared" si="152"/>
        <v>1.5693931286324417E-2</v>
      </c>
      <c r="T188" s="66">
        <f t="shared" si="152"/>
        <v>1.4784818536122676E-2</v>
      </c>
      <c r="U188" s="66">
        <f t="shared" si="152"/>
        <v>1.3970690548913282E-2</v>
      </c>
      <c r="V188" s="66">
        <f t="shared" si="152"/>
        <v>1.3288878390536532E-2</v>
      </c>
      <c r="W188" s="66">
        <f t="shared" si="152"/>
        <v>1.2749547848087042E-2</v>
      </c>
      <c r="X188" s="66">
        <f t="shared" si="152"/>
        <v>1.2342010309404731E-2</v>
      </c>
      <c r="Y188" s="66">
        <f t="shared" si="152"/>
        <v>1.2044643115357445E-2</v>
      </c>
      <c r="Z188" s="66">
        <f t="shared" si="152"/>
        <v>1.1833175639669661E-2</v>
      </c>
      <c r="AA188" s="66">
        <f t="shared" si="152"/>
        <v>1.1685537579719416E-2</v>
      </c>
      <c r="AB188" s="66">
        <f t="shared" si="152"/>
        <v>1.1583784802232249E-2</v>
      </c>
      <c r="AC188" s="66">
        <f t="shared" si="152"/>
        <v>1.151427946653498E-2</v>
      </c>
    </row>
    <row r="189" spans="1:29" x14ac:dyDescent="0.3">
      <c r="A189" s="59" t="str">
        <f>A152</f>
        <v>Payload loss (fuel)</v>
      </c>
      <c r="B189" s="66">
        <f>B177/(B150-B152)-B177/B150</f>
        <v>6.3126038560117073E-2</v>
      </c>
      <c r="C189" s="66">
        <f t="shared" ref="C189:AC189" si="153">C177/(C150-C152)-C177/C150</f>
        <v>6.2824848745846484E-2</v>
      </c>
      <c r="D189" s="66">
        <f t="shared" si="153"/>
        <v>6.2397377768932429E-2</v>
      </c>
      <c r="E189" s="66">
        <f t="shared" si="153"/>
        <v>6.1793260275941356E-2</v>
      </c>
      <c r="F189" s="66">
        <f t="shared" si="153"/>
        <v>6.0944659127348359E-2</v>
      </c>
      <c r="G189" s="66">
        <f t="shared" si="153"/>
        <v>5.9762803954882537E-2</v>
      </c>
      <c r="H189" s="66">
        <f t="shared" si="153"/>
        <v>5.8136481751051891E-2</v>
      </c>
      <c r="I189" s="66">
        <f t="shared" si="153"/>
        <v>5.5935508067743556E-2</v>
      </c>
      <c r="J189" s="66">
        <f t="shared" si="153"/>
        <v>5.3023780325162279E-2</v>
      </c>
      <c r="K189" s="66">
        <f t="shared" si="153"/>
        <v>4.9287016909951104E-2</v>
      </c>
      <c r="L189" s="66">
        <f t="shared" si="153"/>
        <v>4.467706902129423E-2</v>
      </c>
      <c r="M189" s="66">
        <f t="shared" si="153"/>
        <v>3.9264798195534044E-2</v>
      </c>
      <c r="N189" s="66">
        <f t="shared" si="153"/>
        <v>3.3278247032835752E-2</v>
      </c>
      <c r="O189" s="66">
        <f t="shared" si="153"/>
        <v>2.7093693788930256E-2</v>
      </c>
      <c r="P189" s="66">
        <f t="shared" si="153"/>
        <v>2.1161750072770283E-2</v>
      </c>
      <c r="Q189" s="66">
        <f t="shared" si="153"/>
        <v>1.5890349502787657E-2</v>
      </c>
      <c r="R189" s="66">
        <f t="shared" si="153"/>
        <v>1.1540755129321184E-2</v>
      </c>
      <c r="S189" s="66">
        <f t="shared" si="153"/>
        <v>8.1866577622018762E-3</v>
      </c>
      <c r="T189" s="66">
        <f t="shared" si="153"/>
        <v>5.7444929618762179E-3</v>
      </c>
      <c r="U189" s="66">
        <f t="shared" si="153"/>
        <v>4.0434390149819369E-3</v>
      </c>
      <c r="V189" s="66">
        <f t="shared" si="153"/>
        <v>2.8939644251415892E-3</v>
      </c>
      <c r="W189" s="66">
        <f t="shared" si="153"/>
        <v>2.1306798781344453E-3</v>
      </c>
      <c r="X189" s="66">
        <f t="shared" si="153"/>
        <v>1.6276744489559201E-3</v>
      </c>
      <c r="Y189" s="66">
        <f t="shared" si="153"/>
        <v>1.296607930532526E-3</v>
      </c>
      <c r="Z189" s="66">
        <f t="shared" si="153"/>
        <v>1.0782667821734124E-3</v>
      </c>
      <c r="AA189" s="66">
        <f t="shared" si="153"/>
        <v>9.3380911700965616E-4</v>
      </c>
      <c r="AB189" s="66">
        <f t="shared" si="153"/>
        <v>8.3792801445855582E-4</v>
      </c>
      <c r="AC189" s="66">
        <f t="shared" si="153"/>
        <v>7.7411621448580589E-4</v>
      </c>
    </row>
    <row r="190" spans="1:29" ht="15" thickBot="1" x14ac:dyDescent="0.35">
      <c r="A190" s="59" t="str">
        <f>A127</f>
        <v>Emission Cost</v>
      </c>
      <c r="B190" s="68">
        <f>B147*B153/B153/(B150)</f>
        <v>2.6311642110997044E-4</v>
      </c>
      <c r="C190" s="68">
        <f t="shared" ref="C190:AC190" si="154">C147*C153/C153/(C150)</f>
        <v>2.6286587016831347E-4</v>
      </c>
      <c r="D190" s="68">
        <f t="shared" si="154"/>
        <v>2.625072120759037E-4</v>
      </c>
      <c r="E190" s="68">
        <f t="shared" si="154"/>
        <v>2.6199412645274697E-4</v>
      </c>
      <c r="F190" s="68">
        <f t="shared" si="154"/>
        <v>2.6126081387929228E-4</v>
      </c>
      <c r="G190" s="68">
        <f t="shared" si="154"/>
        <v>2.6021421836155354E-4</v>
      </c>
      <c r="H190" s="68">
        <f t="shared" si="154"/>
        <v>2.587236095863079E-4</v>
      </c>
      <c r="I190" s="68">
        <f t="shared" si="154"/>
        <v>2.566071588068925E-4</v>
      </c>
      <c r="J190" s="68">
        <f t="shared" si="154"/>
        <v>2.5361575900812355E-4</v>
      </c>
      <c r="K190" s="68">
        <f t="shared" si="154"/>
        <v>2.4941588765997478E-4</v>
      </c>
      <c r="L190" s="68">
        <f t="shared" si="154"/>
        <v>2.4357654188553792E-4</v>
      </c>
      <c r="M190" s="68">
        <f t="shared" si="154"/>
        <v>2.3557101727914492E-4</v>
      </c>
      <c r="N190" s="68">
        <f t="shared" si="154"/>
        <v>2.2481245004548822E-4</v>
      </c>
      <c r="O190" s="68">
        <f t="shared" si="154"/>
        <v>2.1074892426876276E-4</v>
      </c>
      <c r="P190" s="68">
        <f t="shared" si="154"/>
        <v>1.9303829059735733E-4</v>
      </c>
      <c r="Q190" s="68">
        <f t="shared" si="154"/>
        <v>1.7178603857549002E-4</v>
      </c>
      <c r="R190" s="68">
        <f t="shared" si="154"/>
        <v>1.4775455190070181E-4</v>
      </c>
      <c r="S190" s="68">
        <f t="shared" si="154"/>
        <v>1.2238461001683673E-4</v>
      </c>
      <c r="T190" s="68">
        <f t="shared" si="154"/>
        <v>9.7513901136100757E-5</v>
      </c>
      <c r="U190" s="68">
        <f t="shared" si="154"/>
        <v>7.4873582914375649E-5</v>
      </c>
      <c r="V190" s="68">
        <f t="shared" si="154"/>
        <v>5.5632536469223359E-5</v>
      </c>
      <c r="W190" s="68">
        <f t="shared" si="154"/>
        <v>4.0223904142840252E-5</v>
      </c>
      <c r="X190" s="68">
        <f t="shared" si="154"/>
        <v>2.8466433793904391E-5</v>
      </c>
      <c r="Y190" s="68">
        <f t="shared" si="154"/>
        <v>1.9823750136951439E-5</v>
      </c>
      <c r="Z190" s="68">
        <f t="shared" si="154"/>
        <v>1.3644356353033646E-5</v>
      </c>
      <c r="AA190" s="68">
        <f t="shared" si="154"/>
        <v>9.3135138812216792E-6</v>
      </c>
      <c r="AB190" s="68">
        <f t="shared" si="154"/>
        <v>6.3206355388177748E-6</v>
      </c>
      <c r="AC190" s="68">
        <f t="shared" si="154"/>
        <v>4.2724597482624145E-6</v>
      </c>
    </row>
    <row r="191" spans="1:29" ht="15" thickBot="1" x14ac:dyDescent="0.35">
      <c r="A191" s="31" t="s">
        <v>210</v>
      </c>
      <c r="B191" s="67">
        <f>B180+B181+B182+B183+B184+B185+B186+B187+B188+B189+B190</f>
        <v>0.10012674025274917</v>
      </c>
      <c r="C191" s="67">
        <f t="shared" ref="C191:AC191" si="155">C180+C181+C182+C183+C184+C185+C186+C187+C188+C189+C190</f>
        <v>9.9807799776090708E-2</v>
      </c>
      <c r="D191" s="67">
        <f t="shared" si="155"/>
        <v>9.9354923916603485E-2</v>
      </c>
      <c r="E191" s="67">
        <f t="shared" si="155"/>
        <v>9.8714472768773098E-2</v>
      </c>
      <c r="F191" s="67">
        <f t="shared" si="155"/>
        <v>9.7813962869127163E-2</v>
      </c>
      <c r="G191" s="67">
        <f t="shared" si="155"/>
        <v>9.6558063573950359E-2</v>
      </c>
      <c r="H191" s="67">
        <f t="shared" si="155"/>
        <v>9.4826367375743431E-2</v>
      </c>
      <c r="I191" s="67">
        <f t="shared" si="155"/>
        <v>9.2475945269502993E-2</v>
      </c>
      <c r="J191" s="67">
        <f t="shared" si="155"/>
        <v>8.9353321877137348E-2</v>
      </c>
      <c r="K191" s="67">
        <f t="shared" si="155"/>
        <v>8.5321127613162823E-2</v>
      </c>
      <c r="L191" s="67">
        <f t="shared" si="155"/>
        <v>8.0301710160524148E-2</v>
      </c>
      <c r="M191" s="67">
        <f t="shared" si="155"/>
        <v>7.4330504336147546E-2</v>
      </c>
      <c r="N191" s="67">
        <f t="shared" si="155"/>
        <v>6.7597234881714457E-2</v>
      </c>
      <c r="O191" s="67">
        <f t="shared" si="155"/>
        <v>6.0444237810292165E-2</v>
      </c>
      <c r="P191" s="67">
        <f t="shared" si="155"/>
        <v>5.3305052991871299E-2</v>
      </c>
      <c r="Q191" s="67">
        <f t="shared" si="155"/>
        <v>4.6603170569980541E-2</v>
      </c>
      <c r="R191" s="67">
        <f t="shared" si="155"/>
        <v>4.0659908017702806E-2</v>
      </c>
      <c r="S191" s="67">
        <f t="shared" si="155"/>
        <v>3.5650887548567316E-2</v>
      </c>
      <c r="T191" s="67">
        <f t="shared" si="155"/>
        <v>3.1613788098764917E-2</v>
      </c>
      <c r="U191" s="67">
        <f t="shared" si="155"/>
        <v>2.848443943746819E-2</v>
      </c>
      <c r="V191" s="67">
        <f t="shared" si="155"/>
        <v>2.6138803166265122E-2</v>
      </c>
      <c r="W191" s="67">
        <f t="shared" si="155"/>
        <v>2.4429324685136065E-2</v>
      </c>
      <c r="X191" s="67">
        <f t="shared" si="155"/>
        <v>2.3211341117918401E-2</v>
      </c>
      <c r="Y191" s="67">
        <f t="shared" si="155"/>
        <v>2.2358577767833097E-2</v>
      </c>
      <c r="Z191" s="67">
        <f t="shared" si="155"/>
        <v>2.1769241048091911E-2</v>
      </c>
      <c r="AA191" s="67">
        <f t="shared" si="155"/>
        <v>2.1365769242664569E-2</v>
      </c>
      <c r="AB191" s="67">
        <f t="shared" si="155"/>
        <v>2.1091374495399138E-2</v>
      </c>
      <c r="AC191" s="67">
        <f t="shared" si="155"/>
        <v>2.0905623509992585E-2</v>
      </c>
    </row>
    <row r="193" spans="2:2" x14ac:dyDescent="0.3">
      <c r="B193" s="40"/>
    </row>
    <row r="215" spans="1:44" s="3" customFormat="1" ht="21" x14ac:dyDescent="0.4">
      <c r="A215" s="2" t="str">
        <f>'Parameter Input'!A165</f>
        <v>Short-sea: Break bulk</v>
      </c>
    </row>
    <row r="216" spans="1:44" s="3" customFormat="1" ht="21" x14ac:dyDescent="0.4">
      <c r="A216" s="2" t="s">
        <v>186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Input'!$L$179</f>
        <v>30000000</v>
      </c>
      <c r="C225" s="42">
        <f>'Parameter Input'!$M$179</f>
        <v>18000000</v>
      </c>
      <c r="D225" s="1" t="s">
        <v>15</v>
      </c>
      <c r="L225" s="51">
        <f>'Parameter Input'!$O$179</f>
        <v>17</v>
      </c>
      <c r="M225" s="52">
        <v>0</v>
      </c>
      <c r="N225" s="52">
        <v>1</v>
      </c>
      <c r="O225" s="52">
        <f>'Parameter Input'!$P$179</f>
        <v>0.9</v>
      </c>
      <c r="P225" s="53">
        <f>'Parameter Input'!$Q$179</f>
        <v>0.4</v>
      </c>
      <c r="Q225" s="4">
        <f t="shared" ref="Q225:AR234" si="156">$N225+($M225-$N225)*((1/(1+EXP(-$P225*(Q$9-$L225)))^$O225))</f>
        <v>0.99780374543478534</v>
      </c>
      <c r="R225" s="4">
        <f t="shared" si="156"/>
        <v>0.99685359315256394</v>
      </c>
      <c r="S225" s="4">
        <f t="shared" si="156"/>
        <v>0.99549347132349975</v>
      </c>
      <c r="T225" s="4">
        <f t="shared" si="156"/>
        <v>0.99354772139898062</v>
      </c>
      <c r="U225" s="4">
        <f t="shared" si="156"/>
        <v>0.99076681540580536</v>
      </c>
      <c r="V225" s="4">
        <f t="shared" si="156"/>
        <v>0.9867978615748374</v>
      </c>
      <c r="W225" s="4">
        <f t="shared" si="156"/>
        <v>0.98114509762858249</v>
      </c>
      <c r="X225" s="4">
        <f t="shared" si="156"/>
        <v>0.97311898315872036</v>
      </c>
      <c r="Y225" s="4">
        <f t="shared" si="156"/>
        <v>0.96177484161592774</v>
      </c>
      <c r="Z225" s="4">
        <f t="shared" si="156"/>
        <v>0.94584787155511363</v>
      </c>
      <c r="AA225" s="4">
        <f t="shared" si="156"/>
        <v>0.92370360150141495</v>
      </c>
      <c r="AB225" s="4">
        <f t="shared" si="156"/>
        <v>0.89334463567658451</v>
      </c>
      <c r="AC225" s="4">
        <f t="shared" si="156"/>
        <v>0.85254543874327005</v>
      </c>
      <c r="AD225" s="4">
        <f t="shared" si="156"/>
        <v>0.79921300652623883</v>
      </c>
      <c r="AE225" s="4">
        <f t="shared" si="156"/>
        <v>0.73204982249993378</v>
      </c>
      <c r="AF225" s="4">
        <f t="shared" si="156"/>
        <v>0.65145592958786691</v>
      </c>
      <c r="AG225" s="4">
        <f t="shared" si="156"/>
        <v>0.56032247880849573</v>
      </c>
      <c r="AH225" s="4">
        <f t="shared" si="156"/>
        <v>0.46411326873185343</v>
      </c>
      <c r="AI225" s="4">
        <f t="shared" si="156"/>
        <v>0.36979727595523937</v>
      </c>
      <c r="AJ225" s="4">
        <f t="shared" si="156"/>
        <v>0.28393948637231203</v>
      </c>
      <c r="AK225" s="4">
        <f t="shared" si="156"/>
        <v>0.21097259161117732</v>
      </c>
      <c r="AL225" s="4">
        <f t="shared" si="156"/>
        <v>0.15253917653798199</v>
      </c>
      <c r="AM225" s="4">
        <f t="shared" si="156"/>
        <v>0.10795188737709993</v>
      </c>
      <c r="AN225" s="4">
        <f t="shared" si="156"/>
        <v>7.5176653938091809E-2</v>
      </c>
      <c r="AO225" s="4">
        <f t="shared" si="156"/>
        <v>5.1742836177502194E-2</v>
      </c>
      <c r="AP225" s="4">
        <f t="shared" si="156"/>
        <v>3.5319190625345942E-2</v>
      </c>
      <c r="AQ225" s="4">
        <f t="shared" si="156"/>
        <v>2.3969442072658165E-2</v>
      </c>
      <c r="AR225" s="4">
        <f t="shared" si="156"/>
        <v>1.6202243558389728E-2</v>
      </c>
    </row>
    <row r="226" spans="1:44" x14ac:dyDescent="0.3">
      <c r="A226" s="24" t="s">
        <v>28</v>
      </c>
      <c r="B226" s="60">
        <f>'Parameter Input'!$L$180</f>
        <v>-1500000</v>
      </c>
      <c r="C226" s="61">
        <f>'Parameter Input'!$M$180</f>
        <v>-1800000</v>
      </c>
      <c r="D226" s="1" t="s">
        <v>15</v>
      </c>
      <c r="L226" s="54">
        <f>'Parameter Input'!$O$180</f>
        <v>17</v>
      </c>
      <c r="M226" s="37">
        <v>0</v>
      </c>
      <c r="N226" s="37">
        <v>1</v>
      </c>
      <c r="O226" s="37">
        <f>'Parameter Input'!$P$180</f>
        <v>0.9</v>
      </c>
      <c r="P226" s="55">
        <f>'Parameter Input'!$Q$180</f>
        <v>0.4</v>
      </c>
      <c r="Q226" s="4">
        <f t="shared" si="156"/>
        <v>0.99780374543478534</v>
      </c>
      <c r="R226" s="4">
        <f t="shared" si="156"/>
        <v>0.99685359315256394</v>
      </c>
      <c r="S226" s="4">
        <f t="shared" si="156"/>
        <v>0.99549347132349975</v>
      </c>
      <c r="T226" s="4">
        <f t="shared" si="156"/>
        <v>0.99354772139898062</v>
      </c>
      <c r="U226" s="4">
        <f t="shared" si="156"/>
        <v>0.99076681540580536</v>
      </c>
      <c r="V226" s="4">
        <f t="shared" si="156"/>
        <v>0.9867978615748374</v>
      </c>
      <c r="W226" s="4">
        <f t="shared" si="156"/>
        <v>0.98114509762858249</v>
      </c>
      <c r="X226" s="4">
        <f t="shared" si="156"/>
        <v>0.97311898315872036</v>
      </c>
      <c r="Y226" s="4">
        <f t="shared" si="156"/>
        <v>0.96177484161592774</v>
      </c>
      <c r="Z226" s="4">
        <f t="shared" si="156"/>
        <v>0.94584787155511363</v>
      </c>
      <c r="AA226" s="4">
        <f t="shared" si="156"/>
        <v>0.92370360150141495</v>
      </c>
      <c r="AB226" s="4">
        <f t="shared" si="156"/>
        <v>0.89334463567658451</v>
      </c>
      <c r="AC226" s="4">
        <f t="shared" si="156"/>
        <v>0.85254543874327005</v>
      </c>
      <c r="AD226" s="4">
        <f t="shared" si="156"/>
        <v>0.79921300652623883</v>
      </c>
      <c r="AE226" s="4">
        <f t="shared" si="156"/>
        <v>0.73204982249993378</v>
      </c>
      <c r="AF226" s="4">
        <f t="shared" si="156"/>
        <v>0.65145592958786691</v>
      </c>
      <c r="AG226" s="4">
        <f t="shared" si="156"/>
        <v>0.56032247880849573</v>
      </c>
      <c r="AH226" s="4">
        <f t="shared" si="156"/>
        <v>0.46411326873185343</v>
      </c>
      <c r="AI226" s="4">
        <f t="shared" si="156"/>
        <v>0.36979727595523937</v>
      </c>
      <c r="AJ226" s="4">
        <f t="shared" si="156"/>
        <v>0.28393948637231203</v>
      </c>
      <c r="AK226" s="4">
        <f t="shared" si="156"/>
        <v>0.21097259161117732</v>
      </c>
      <c r="AL226" s="4">
        <f t="shared" si="156"/>
        <v>0.15253917653798199</v>
      </c>
      <c r="AM226" s="4">
        <f t="shared" si="156"/>
        <v>0.10795188737709993</v>
      </c>
      <c r="AN226" s="4">
        <f t="shared" si="156"/>
        <v>7.5176653938091809E-2</v>
      </c>
      <c r="AO226" s="4">
        <f t="shared" si="156"/>
        <v>5.1742836177502194E-2</v>
      </c>
      <c r="AP226" s="4">
        <f t="shared" si="156"/>
        <v>3.5319190625345942E-2</v>
      </c>
      <c r="AQ226" s="4">
        <f t="shared" si="156"/>
        <v>2.3969442072658165E-2</v>
      </c>
      <c r="AR226" s="4">
        <f t="shared" si="156"/>
        <v>1.6202243558389728E-2</v>
      </c>
    </row>
    <row r="227" spans="1:44" x14ac:dyDescent="0.3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6"/>
        <v>0.99780374543478534</v>
      </c>
      <c r="R227" s="4">
        <f t="shared" si="156"/>
        <v>0.99685359315256394</v>
      </c>
      <c r="S227" s="4">
        <f t="shared" si="156"/>
        <v>0.99549347132349975</v>
      </c>
      <c r="T227" s="4">
        <f t="shared" si="156"/>
        <v>0.99354772139898062</v>
      </c>
      <c r="U227" s="4">
        <f t="shared" si="156"/>
        <v>0.99076681540580536</v>
      </c>
      <c r="V227" s="4">
        <f t="shared" si="156"/>
        <v>0.9867978615748374</v>
      </c>
      <c r="W227" s="4">
        <f t="shared" si="156"/>
        <v>0.98114509762858249</v>
      </c>
      <c r="X227" s="4">
        <f t="shared" si="156"/>
        <v>0.97311898315872036</v>
      </c>
      <c r="Y227" s="4">
        <f t="shared" si="156"/>
        <v>0.96177484161592774</v>
      </c>
      <c r="Z227" s="4">
        <f t="shared" si="156"/>
        <v>0.94584787155511363</v>
      </c>
      <c r="AA227" s="4">
        <f t="shared" si="156"/>
        <v>0.92370360150141495</v>
      </c>
      <c r="AB227" s="4">
        <f t="shared" si="156"/>
        <v>0.89334463567658451</v>
      </c>
      <c r="AC227" s="4">
        <f t="shared" si="156"/>
        <v>0.85254543874327005</v>
      </c>
      <c r="AD227" s="4">
        <f t="shared" si="156"/>
        <v>0.79921300652623883</v>
      </c>
      <c r="AE227" s="4">
        <f t="shared" si="156"/>
        <v>0.73204982249993378</v>
      </c>
      <c r="AF227" s="4">
        <f t="shared" si="156"/>
        <v>0.65145592958786691</v>
      </c>
      <c r="AG227" s="4">
        <f t="shared" si="156"/>
        <v>0.56032247880849573</v>
      </c>
      <c r="AH227" s="4">
        <f t="shared" si="156"/>
        <v>0.46411326873185343</v>
      </c>
      <c r="AI227" s="4">
        <f t="shared" si="156"/>
        <v>0.36979727595523937</v>
      </c>
      <c r="AJ227" s="4">
        <f t="shared" si="156"/>
        <v>0.28393948637231203</v>
      </c>
      <c r="AK227" s="4">
        <f t="shared" si="156"/>
        <v>0.21097259161117732</v>
      </c>
      <c r="AL227" s="4">
        <f t="shared" si="156"/>
        <v>0.15253917653798199</v>
      </c>
      <c r="AM227" s="4">
        <f t="shared" si="156"/>
        <v>0.10795188737709993</v>
      </c>
      <c r="AN227" s="4">
        <f t="shared" si="156"/>
        <v>7.5176653938091809E-2</v>
      </c>
      <c r="AO227" s="4">
        <f t="shared" si="156"/>
        <v>5.1742836177502194E-2</v>
      </c>
      <c r="AP227" s="4">
        <f t="shared" si="156"/>
        <v>3.5319190625345942E-2</v>
      </c>
      <c r="AQ227" s="4">
        <f t="shared" si="156"/>
        <v>2.3969442072658165E-2</v>
      </c>
      <c r="AR227" s="4">
        <f t="shared" si="156"/>
        <v>1.6202243558389728E-2</v>
      </c>
    </row>
    <row r="228" spans="1:44" x14ac:dyDescent="0.3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6"/>
        <v>0.99780374543478534</v>
      </c>
      <c r="R228" s="4">
        <f t="shared" si="156"/>
        <v>0.99685359315256394</v>
      </c>
      <c r="S228" s="4">
        <f t="shared" si="156"/>
        <v>0.99549347132349975</v>
      </c>
      <c r="T228" s="4">
        <f t="shared" si="156"/>
        <v>0.99354772139898062</v>
      </c>
      <c r="U228" s="4">
        <f t="shared" si="156"/>
        <v>0.99076681540580536</v>
      </c>
      <c r="V228" s="4">
        <f t="shared" si="156"/>
        <v>0.9867978615748374</v>
      </c>
      <c r="W228" s="4">
        <f t="shared" si="156"/>
        <v>0.98114509762858249</v>
      </c>
      <c r="X228" s="4">
        <f t="shared" si="156"/>
        <v>0.97311898315872036</v>
      </c>
      <c r="Y228" s="4">
        <f t="shared" si="156"/>
        <v>0.96177484161592774</v>
      </c>
      <c r="Z228" s="4">
        <f t="shared" si="156"/>
        <v>0.94584787155511363</v>
      </c>
      <c r="AA228" s="4">
        <f t="shared" si="156"/>
        <v>0.92370360150141495</v>
      </c>
      <c r="AB228" s="4">
        <f t="shared" si="156"/>
        <v>0.89334463567658451</v>
      </c>
      <c r="AC228" s="4">
        <f t="shared" si="156"/>
        <v>0.85254543874327005</v>
      </c>
      <c r="AD228" s="4">
        <f t="shared" si="156"/>
        <v>0.79921300652623883</v>
      </c>
      <c r="AE228" s="4">
        <f t="shared" si="156"/>
        <v>0.73204982249993378</v>
      </c>
      <c r="AF228" s="4">
        <f t="shared" si="156"/>
        <v>0.65145592958786691</v>
      </c>
      <c r="AG228" s="4">
        <f t="shared" si="156"/>
        <v>0.56032247880849573</v>
      </c>
      <c r="AH228" s="4">
        <f t="shared" si="156"/>
        <v>0.46411326873185343</v>
      </c>
      <c r="AI228" s="4">
        <f t="shared" si="156"/>
        <v>0.36979727595523937</v>
      </c>
      <c r="AJ228" s="4">
        <f t="shared" si="156"/>
        <v>0.28393948637231203</v>
      </c>
      <c r="AK228" s="4">
        <f t="shared" si="156"/>
        <v>0.21097259161117732</v>
      </c>
      <c r="AL228" s="4">
        <f t="shared" si="156"/>
        <v>0.15253917653798199</v>
      </c>
      <c r="AM228" s="4">
        <f t="shared" si="156"/>
        <v>0.10795188737709993</v>
      </c>
      <c r="AN228" s="4">
        <f t="shared" si="156"/>
        <v>7.5176653938091809E-2</v>
      </c>
      <c r="AO228" s="4">
        <f t="shared" si="156"/>
        <v>5.1742836177502194E-2</v>
      </c>
      <c r="AP228" s="4">
        <f t="shared" si="156"/>
        <v>3.5319190625345942E-2</v>
      </c>
      <c r="AQ228" s="4">
        <f t="shared" si="156"/>
        <v>2.3969442072658165E-2</v>
      </c>
      <c r="AR228" s="4">
        <f t="shared" si="156"/>
        <v>1.6202243558389728E-2</v>
      </c>
    </row>
    <row r="229" spans="1:44" x14ac:dyDescent="0.3">
      <c r="A229" s="24" t="s">
        <v>79</v>
      </c>
      <c r="B229" s="92">
        <f>'Parameter Input'!$L$186</f>
        <v>0.06</v>
      </c>
      <c r="C229" s="91">
        <f>'Parameter Input'!$M$186</f>
        <v>0.06</v>
      </c>
      <c r="D229" s="1" t="s">
        <v>57</v>
      </c>
      <c r="L229" s="54">
        <f>'Parameter Input'!$O$186</f>
        <v>17</v>
      </c>
      <c r="M229" s="37">
        <v>0</v>
      </c>
      <c r="N229" s="37">
        <v>1</v>
      </c>
      <c r="O229" s="37">
        <f>'Parameter Input'!$P$186</f>
        <v>0.9</v>
      </c>
      <c r="P229" s="55">
        <f>'Parameter Input'!$Q$186</f>
        <v>0.4</v>
      </c>
      <c r="Q229" s="4">
        <f t="shared" si="156"/>
        <v>0.99780374543478534</v>
      </c>
      <c r="R229" s="4">
        <f t="shared" si="156"/>
        <v>0.99685359315256394</v>
      </c>
      <c r="S229" s="4">
        <f t="shared" si="156"/>
        <v>0.99549347132349975</v>
      </c>
      <c r="T229" s="4">
        <f t="shared" si="156"/>
        <v>0.99354772139898062</v>
      </c>
      <c r="U229" s="4">
        <f t="shared" si="156"/>
        <v>0.99076681540580536</v>
      </c>
      <c r="V229" s="4">
        <f t="shared" si="156"/>
        <v>0.9867978615748374</v>
      </c>
      <c r="W229" s="4">
        <f t="shared" si="156"/>
        <v>0.98114509762858249</v>
      </c>
      <c r="X229" s="4">
        <f t="shared" si="156"/>
        <v>0.97311898315872036</v>
      </c>
      <c r="Y229" s="4">
        <f t="shared" si="156"/>
        <v>0.96177484161592774</v>
      </c>
      <c r="Z229" s="4">
        <f t="shared" si="156"/>
        <v>0.94584787155511363</v>
      </c>
      <c r="AA229" s="4">
        <f t="shared" si="156"/>
        <v>0.92370360150141495</v>
      </c>
      <c r="AB229" s="4">
        <f t="shared" si="156"/>
        <v>0.89334463567658451</v>
      </c>
      <c r="AC229" s="4">
        <f t="shared" si="156"/>
        <v>0.85254543874327005</v>
      </c>
      <c r="AD229" s="4">
        <f t="shared" si="156"/>
        <v>0.79921300652623883</v>
      </c>
      <c r="AE229" s="4">
        <f t="shared" si="156"/>
        <v>0.73204982249993378</v>
      </c>
      <c r="AF229" s="4">
        <f t="shared" si="156"/>
        <v>0.65145592958786691</v>
      </c>
      <c r="AG229" s="4">
        <f t="shared" si="156"/>
        <v>0.56032247880849573</v>
      </c>
      <c r="AH229" s="4">
        <f t="shared" si="156"/>
        <v>0.46411326873185343</v>
      </c>
      <c r="AI229" s="4">
        <f t="shared" si="156"/>
        <v>0.36979727595523937</v>
      </c>
      <c r="AJ229" s="4">
        <f t="shared" si="156"/>
        <v>0.28393948637231203</v>
      </c>
      <c r="AK229" s="4">
        <f t="shared" si="156"/>
        <v>0.21097259161117732</v>
      </c>
      <c r="AL229" s="4">
        <f t="shared" si="156"/>
        <v>0.15253917653798199</v>
      </c>
      <c r="AM229" s="4">
        <f t="shared" si="156"/>
        <v>0.10795188737709993</v>
      </c>
      <c r="AN229" s="4">
        <f t="shared" si="156"/>
        <v>7.5176653938091809E-2</v>
      </c>
      <c r="AO229" s="4">
        <f t="shared" si="156"/>
        <v>5.1742836177502194E-2</v>
      </c>
      <c r="AP229" s="4">
        <f t="shared" si="156"/>
        <v>3.5319190625345942E-2</v>
      </c>
      <c r="AQ229" s="4">
        <f t="shared" si="156"/>
        <v>2.3969442072658165E-2</v>
      </c>
      <c r="AR229" s="4">
        <f t="shared" si="156"/>
        <v>1.6202243558389728E-2</v>
      </c>
    </row>
    <row r="230" spans="1:44" x14ac:dyDescent="0.3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6"/>
        <v>0.99780374543478534</v>
      </c>
      <c r="R230" s="4">
        <f t="shared" si="156"/>
        <v>0.99685359315256394</v>
      </c>
      <c r="S230" s="4">
        <f t="shared" si="156"/>
        <v>0.99549347132349975</v>
      </c>
      <c r="T230" s="4">
        <f t="shared" si="156"/>
        <v>0.99354772139898062</v>
      </c>
      <c r="U230" s="4">
        <f t="shared" si="156"/>
        <v>0.99076681540580536</v>
      </c>
      <c r="V230" s="4">
        <f t="shared" si="156"/>
        <v>0.9867978615748374</v>
      </c>
      <c r="W230" s="4">
        <f t="shared" si="156"/>
        <v>0.98114509762858249</v>
      </c>
      <c r="X230" s="4">
        <f t="shared" si="156"/>
        <v>0.97311898315872036</v>
      </c>
      <c r="Y230" s="4">
        <f t="shared" si="156"/>
        <v>0.96177484161592774</v>
      </c>
      <c r="Z230" s="4">
        <f t="shared" si="156"/>
        <v>0.94584787155511363</v>
      </c>
      <c r="AA230" s="4">
        <f t="shared" si="156"/>
        <v>0.92370360150141495</v>
      </c>
      <c r="AB230" s="4">
        <f t="shared" si="156"/>
        <v>0.89334463567658451</v>
      </c>
      <c r="AC230" s="4">
        <f t="shared" si="156"/>
        <v>0.85254543874327005</v>
      </c>
      <c r="AD230" s="4">
        <f t="shared" si="156"/>
        <v>0.79921300652623883</v>
      </c>
      <c r="AE230" s="4">
        <f t="shared" si="156"/>
        <v>0.73204982249993378</v>
      </c>
      <c r="AF230" s="4">
        <f t="shared" si="156"/>
        <v>0.65145592958786691</v>
      </c>
      <c r="AG230" s="4">
        <f t="shared" si="156"/>
        <v>0.56032247880849573</v>
      </c>
      <c r="AH230" s="4">
        <f t="shared" si="156"/>
        <v>0.46411326873185343</v>
      </c>
      <c r="AI230" s="4">
        <f t="shared" si="156"/>
        <v>0.36979727595523937</v>
      </c>
      <c r="AJ230" s="4">
        <f t="shared" si="156"/>
        <v>0.28393948637231203</v>
      </c>
      <c r="AK230" s="4">
        <f t="shared" si="156"/>
        <v>0.21097259161117732</v>
      </c>
      <c r="AL230" s="4">
        <f t="shared" si="156"/>
        <v>0.15253917653798199</v>
      </c>
      <c r="AM230" s="4">
        <f t="shared" si="156"/>
        <v>0.10795188737709993</v>
      </c>
      <c r="AN230" s="4">
        <f t="shared" si="156"/>
        <v>7.5176653938091809E-2</v>
      </c>
      <c r="AO230" s="4">
        <f t="shared" si="156"/>
        <v>5.1742836177502194E-2</v>
      </c>
      <c r="AP230" s="4">
        <f t="shared" si="156"/>
        <v>3.5319190625345942E-2</v>
      </c>
      <c r="AQ230" s="4">
        <f t="shared" si="156"/>
        <v>2.3969442072658165E-2</v>
      </c>
      <c r="AR230" s="4">
        <f t="shared" si="156"/>
        <v>1.6202243558389728E-2</v>
      </c>
    </row>
    <row r="231" spans="1:44" x14ac:dyDescent="0.3">
      <c r="A231" s="24" t="s">
        <v>52</v>
      </c>
      <c r="B231" s="60">
        <f>'Parameter Input'!$L$182</f>
        <v>338823.5294117647</v>
      </c>
      <c r="C231" s="61">
        <f>'Parameter Input'!$M$182</f>
        <v>338823.5294117647</v>
      </c>
      <c r="D231" s="1" t="s">
        <v>38</v>
      </c>
      <c r="L231" s="54">
        <f>'Parameter Input'!$O$182</f>
        <v>17</v>
      </c>
      <c r="M231" s="37">
        <v>0</v>
      </c>
      <c r="N231" s="37">
        <v>1</v>
      </c>
      <c r="O231" s="37">
        <f>'Parameter Input'!$P$182</f>
        <v>0.9</v>
      </c>
      <c r="P231" s="55">
        <f>'Parameter Input'!$Q$182</f>
        <v>0.4</v>
      </c>
      <c r="Q231" s="4">
        <f t="shared" si="156"/>
        <v>0.99780374543478534</v>
      </c>
      <c r="R231" s="4">
        <f t="shared" si="156"/>
        <v>0.99685359315256394</v>
      </c>
      <c r="S231" s="4">
        <f t="shared" si="156"/>
        <v>0.99549347132349975</v>
      </c>
      <c r="T231" s="4">
        <f t="shared" si="156"/>
        <v>0.99354772139898062</v>
      </c>
      <c r="U231" s="4">
        <f t="shared" si="156"/>
        <v>0.99076681540580536</v>
      </c>
      <c r="V231" s="4">
        <f t="shared" si="156"/>
        <v>0.9867978615748374</v>
      </c>
      <c r="W231" s="4">
        <f t="shared" si="156"/>
        <v>0.98114509762858249</v>
      </c>
      <c r="X231" s="4">
        <f t="shared" si="156"/>
        <v>0.97311898315872036</v>
      </c>
      <c r="Y231" s="4">
        <f t="shared" si="156"/>
        <v>0.96177484161592774</v>
      </c>
      <c r="Z231" s="4">
        <f t="shared" si="156"/>
        <v>0.94584787155511363</v>
      </c>
      <c r="AA231" s="4">
        <f t="shared" si="156"/>
        <v>0.92370360150141495</v>
      </c>
      <c r="AB231" s="4">
        <f t="shared" si="156"/>
        <v>0.89334463567658451</v>
      </c>
      <c r="AC231" s="4">
        <f t="shared" si="156"/>
        <v>0.85254543874327005</v>
      </c>
      <c r="AD231" s="4">
        <f t="shared" si="156"/>
        <v>0.79921300652623883</v>
      </c>
      <c r="AE231" s="4">
        <f t="shared" si="156"/>
        <v>0.73204982249993378</v>
      </c>
      <c r="AF231" s="4">
        <f t="shared" si="156"/>
        <v>0.65145592958786691</v>
      </c>
      <c r="AG231" s="4">
        <f t="shared" si="156"/>
        <v>0.56032247880849573</v>
      </c>
      <c r="AH231" s="4">
        <f t="shared" si="156"/>
        <v>0.46411326873185343</v>
      </c>
      <c r="AI231" s="4">
        <f t="shared" si="156"/>
        <v>0.36979727595523937</v>
      </c>
      <c r="AJ231" s="4">
        <f t="shared" si="156"/>
        <v>0.28393948637231203</v>
      </c>
      <c r="AK231" s="4">
        <f t="shared" si="156"/>
        <v>0.21097259161117732</v>
      </c>
      <c r="AL231" s="4">
        <f t="shared" si="156"/>
        <v>0.15253917653798199</v>
      </c>
      <c r="AM231" s="4">
        <f t="shared" si="156"/>
        <v>0.10795188737709993</v>
      </c>
      <c r="AN231" s="4">
        <f t="shared" si="156"/>
        <v>7.5176653938091809E-2</v>
      </c>
      <c r="AO231" s="4">
        <f t="shared" si="156"/>
        <v>5.1742836177502194E-2</v>
      </c>
      <c r="AP231" s="4">
        <f t="shared" si="156"/>
        <v>3.5319190625345942E-2</v>
      </c>
      <c r="AQ231" s="4">
        <f t="shared" si="156"/>
        <v>2.3969442072658165E-2</v>
      </c>
      <c r="AR231" s="4">
        <f t="shared" si="156"/>
        <v>1.6202243558389728E-2</v>
      </c>
    </row>
    <row r="232" spans="1:44" x14ac:dyDescent="0.3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6"/>
        <v>0.99780374543478534</v>
      </c>
      <c r="R232" s="4">
        <f t="shared" si="156"/>
        <v>0.99685359315256394</v>
      </c>
      <c r="S232" s="4">
        <f t="shared" si="156"/>
        <v>0.99549347132349975</v>
      </c>
      <c r="T232" s="4">
        <f t="shared" si="156"/>
        <v>0.99354772139898062</v>
      </c>
      <c r="U232" s="4">
        <f t="shared" si="156"/>
        <v>0.99076681540580536</v>
      </c>
      <c r="V232" s="4">
        <f t="shared" si="156"/>
        <v>0.9867978615748374</v>
      </c>
      <c r="W232" s="4">
        <f t="shared" si="156"/>
        <v>0.98114509762858249</v>
      </c>
      <c r="X232" s="4">
        <f t="shared" si="156"/>
        <v>0.97311898315872036</v>
      </c>
      <c r="Y232" s="4">
        <f t="shared" si="156"/>
        <v>0.96177484161592774</v>
      </c>
      <c r="Z232" s="4">
        <f t="shared" si="156"/>
        <v>0.94584787155511363</v>
      </c>
      <c r="AA232" s="4">
        <f t="shared" si="156"/>
        <v>0.92370360150141495</v>
      </c>
      <c r="AB232" s="4">
        <f t="shared" si="156"/>
        <v>0.89334463567658451</v>
      </c>
      <c r="AC232" s="4">
        <f t="shared" si="156"/>
        <v>0.85254543874327005</v>
      </c>
      <c r="AD232" s="4">
        <f t="shared" si="156"/>
        <v>0.79921300652623883</v>
      </c>
      <c r="AE232" s="4">
        <f t="shared" si="156"/>
        <v>0.73204982249993378</v>
      </c>
      <c r="AF232" s="4">
        <f t="shared" si="156"/>
        <v>0.65145592958786691</v>
      </c>
      <c r="AG232" s="4">
        <f t="shared" si="156"/>
        <v>0.56032247880849573</v>
      </c>
      <c r="AH232" s="4">
        <f t="shared" si="156"/>
        <v>0.46411326873185343</v>
      </c>
      <c r="AI232" s="4">
        <f t="shared" si="156"/>
        <v>0.36979727595523937</v>
      </c>
      <c r="AJ232" s="4">
        <f t="shared" si="156"/>
        <v>0.28393948637231203</v>
      </c>
      <c r="AK232" s="4">
        <f t="shared" si="156"/>
        <v>0.21097259161117732</v>
      </c>
      <c r="AL232" s="4">
        <f t="shared" si="156"/>
        <v>0.15253917653798199</v>
      </c>
      <c r="AM232" s="4">
        <f t="shared" si="156"/>
        <v>0.10795188737709993</v>
      </c>
      <c r="AN232" s="4">
        <f t="shared" si="156"/>
        <v>7.5176653938091809E-2</v>
      </c>
      <c r="AO232" s="4">
        <f t="shared" si="156"/>
        <v>5.1742836177502194E-2</v>
      </c>
      <c r="AP232" s="4">
        <f t="shared" si="156"/>
        <v>3.5319190625345942E-2</v>
      </c>
      <c r="AQ232" s="4">
        <f t="shared" si="156"/>
        <v>2.3969442072658165E-2</v>
      </c>
      <c r="AR232" s="4">
        <f t="shared" si="156"/>
        <v>1.6202243558389728E-2</v>
      </c>
    </row>
    <row r="233" spans="1:44" x14ac:dyDescent="0.3">
      <c r="A233" s="24" t="s">
        <v>59</v>
      </c>
      <c r="B233" s="60">
        <f>'Parameter Input'!$L$183</f>
        <v>589</v>
      </c>
      <c r="C233" s="61">
        <f>'Parameter Input'!$M$183</f>
        <v>519</v>
      </c>
      <c r="D233" s="1" t="s">
        <v>60</v>
      </c>
      <c r="L233" s="54">
        <f>'Parameter Input'!$O$183</f>
        <v>17</v>
      </c>
      <c r="M233" s="37">
        <v>0</v>
      </c>
      <c r="N233" s="37">
        <v>1</v>
      </c>
      <c r="O233" s="37">
        <f>'Parameter Input'!$P$183</f>
        <v>0.9</v>
      </c>
      <c r="P233" s="55">
        <f>'Parameter Input'!$Q$183</f>
        <v>0.4</v>
      </c>
      <c r="Q233" s="4">
        <f t="shared" si="156"/>
        <v>0.99780374543478534</v>
      </c>
      <c r="R233" s="4">
        <f t="shared" si="156"/>
        <v>0.99685359315256394</v>
      </c>
      <c r="S233" s="4">
        <f t="shared" si="156"/>
        <v>0.99549347132349975</v>
      </c>
      <c r="T233" s="4">
        <f t="shared" si="156"/>
        <v>0.99354772139898062</v>
      </c>
      <c r="U233" s="4">
        <f t="shared" si="156"/>
        <v>0.99076681540580536</v>
      </c>
      <c r="V233" s="4">
        <f t="shared" si="156"/>
        <v>0.9867978615748374</v>
      </c>
      <c r="W233" s="4">
        <f t="shared" si="156"/>
        <v>0.98114509762858249</v>
      </c>
      <c r="X233" s="4">
        <f t="shared" si="156"/>
        <v>0.97311898315872036</v>
      </c>
      <c r="Y233" s="4">
        <f t="shared" si="156"/>
        <v>0.96177484161592774</v>
      </c>
      <c r="Z233" s="4">
        <f t="shared" si="156"/>
        <v>0.94584787155511363</v>
      </c>
      <c r="AA233" s="4">
        <f t="shared" si="156"/>
        <v>0.92370360150141495</v>
      </c>
      <c r="AB233" s="4">
        <f t="shared" si="156"/>
        <v>0.89334463567658451</v>
      </c>
      <c r="AC233" s="4">
        <f t="shared" si="156"/>
        <v>0.85254543874327005</v>
      </c>
      <c r="AD233" s="4">
        <f t="shared" si="156"/>
        <v>0.79921300652623883</v>
      </c>
      <c r="AE233" s="4">
        <f t="shared" si="156"/>
        <v>0.73204982249993378</v>
      </c>
      <c r="AF233" s="4">
        <f t="shared" si="156"/>
        <v>0.65145592958786691</v>
      </c>
      <c r="AG233" s="4">
        <f t="shared" si="156"/>
        <v>0.56032247880849573</v>
      </c>
      <c r="AH233" s="4">
        <f t="shared" si="156"/>
        <v>0.46411326873185343</v>
      </c>
      <c r="AI233" s="4">
        <f t="shared" si="156"/>
        <v>0.36979727595523937</v>
      </c>
      <c r="AJ233" s="4">
        <f t="shared" si="156"/>
        <v>0.28393948637231203</v>
      </c>
      <c r="AK233" s="4">
        <f t="shared" si="156"/>
        <v>0.21097259161117732</v>
      </c>
      <c r="AL233" s="4">
        <f t="shared" si="156"/>
        <v>0.15253917653798199</v>
      </c>
      <c r="AM233" s="4">
        <f t="shared" si="156"/>
        <v>0.10795188737709993</v>
      </c>
      <c r="AN233" s="4">
        <f t="shared" si="156"/>
        <v>7.5176653938091809E-2</v>
      </c>
      <c r="AO233" s="4">
        <f t="shared" si="156"/>
        <v>5.1742836177502194E-2</v>
      </c>
      <c r="AP233" s="4">
        <f t="shared" si="156"/>
        <v>3.5319190625345942E-2</v>
      </c>
      <c r="AQ233" s="4">
        <f t="shared" si="156"/>
        <v>2.3969442072658165E-2</v>
      </c>
      <c r="AR233" s="4">
        <f t="shared" si="156"/>
        <v>1.6202243558389728E-2</v>
      </c>
    </row>
    <row r="234" spans="1:44" x14ac:dyDescent="0.3">
      <c r="A234" s="24" t="s">
        <v>67</v>
      </c>
      <c r="B234" s="78">
        <f>'Parameter Input'!$L$184</f>
        <v>0.189409893251579</v>
      </c>
      <c r="C234" s="61">
        <f>'Parameter Input'!$M$184</f>
        <v>0.100822065784204</v>
      </c>
      <c r="D234" s="1" t="s">
        <v>68</v>
      </c>
      <c r="L234" s="54">
        <f>'Parameter Input'!$O$184</f>
        <v>17</v>
      </c>
      <c r="M234" s="37">
        <v>0</v>
      </c>
      <c r="N234" s="37">
        <v>1</v>
      </c>
      <c r="O234" s="37">
        <f>'Parameter Input'!$P$184</f>
        <v>0.9</v>
      </c>
      <c r="P234" s="55">
        <f>'Parameter Input'!$Q$184</f>
        <v>0.4</v>
      </c>
      <c r="Q234" s="4">
        <f t="shared" si="156"/>
        <v>0.99780374543478534</v>
      </c>
      <c r="R234" s="4">
        <f t="shared" si="156"/>
        <v>0.99685359315256394</v>
      </c>
      <c r="S234" s="4">
        <f t="shared" si="156"/>
        <v>0.99549347132349975</v>
      </c>
      <c r="T234" s="4">
        <f t="shared" ref="T234:AI241" si="157">$N234+($M234-$N234)*((1/(1+EXP(-$P234*(T$9-$L234)))^$O234))</f>
        <v>0.99354772139898062</v>
      </c>
      <c r="U234" s="4">
        <f t="shared" si="157"/>
        <v>0.99076681540580536</v>
      </c>
      <c r="V234" s="4">
        <f t="shared" si="157"/>
        <v>0.9867978615748374</v>
      </c>
      <c r="W234" s="4">
        <f t="shared" si="157"/>
        <v>0.98114509762858249</v>
      </c>
      <c r="X234" s="4">
        <f t="shared" si="157"/>
        <v>0.97311898315872036</v>
      </c>
      <c r="Y234" s="4">
        <f t="shared" si="157"/>
        <v>0.96177484161592774</v>
      </c>
      <c r="Z234" s="4">
        <f t="shared" si="157"/>
        <v>0.94584787155511363</v>
      </c>
      <c r="AA234" s="4">
        <f t="shared" si="157"/>
        <v>0.92370360150141495</v>
      </c>
      <c r="AB234" s="4">
        <f t="shared" si="157"/>
        <v>0.89334463567658451</v>
      </c>
      <c r="AC234" s="4">
        <f t="shared" si="157"/>
        <v>0.85254543874327005</v>
      </c>
      <c r="AD234" s="4">
        <f t="shared" si="157"/>
        <v>0.79921300652623883</v>
      </c>
      <c r="AE234" s="4">
        <f t="shared" si="157"/>
        <v>0.73204982249993378</v>
      </c>
      <c r="AF234" s="4">
        <f t="shared" si="157"/>
        <v>0.65145592958786691</v>
      </c>
      <c r="AG234" s="4">
        <f t="shared" si="157"/>
        <v>0.56032247880849573</v>
      </c>
      <c r="AH234" s="4">
        <f t="shared" si="157"/>
        <v>0.46411326873185343</v>
      </c>
      <c r="AI234" s="4">
        <f t="shared" si="157"/>
        <v>0.36979727595523937</v>
      </c>
      <c r="AJ234" s="4">
        <f t="shared" ref="AJ234:AR241" si="158">$N234+($M234-$N234)*((1/(1+EXP(-$P234*(AJ$9-$L234)))^$O234))</f>
        <v>0.28393948637231203</v>
      </c>
      <c r="AK234" s="4">
        <f t="shared" si="158"/>
        <v>0.21097259161117732</v>
      </c>
      <c r="AL234" s="4">
        <f t="shared" si="158"/>
        <v>0.15253917653798199</v>
      </c>
      <c r="AM234" s="4">
        <f t="shared" si="158"/>
        <v>0.10795188737709993</v>
      </c>
      <c r="AN234" s="4">
        <f t="shared" si="158"/>
        <v>7.5176653938091809E-2</v>
      </c>
      <c r="AO234" s="4">
        <f t="shared" si="158"/>
        <v>5.1742836177502194E-2</v>
      </c>
      <c r="AP234" s="4">
        <f t="shared" si="158"/>
        <v>3.5319190625345942E-2</v>
      </c>
      <c r="AQ234" s="4">
        <f t="shared" si="158"/>
        <v>2.3969442072658165E-2</v>
      </c>
      <c r="AR234" s="4">
        <f t="shared" si="158"/>
        <v>1.6202243558389728E-2</v>
      </c>
    </row>
    <row r="235" spans="1:44" x14ac:dyDescent="0.3">
      <c r="A235" s="24" t="s">
        <v>206</v>
      </c>
      <c r="B235" s="115">
        <f>'Parameter Input'!$L$187</f>
        <v>2.4919230769230767</v>
      </c>
      <c r="C235" s="116">
        <f>'Parameter Input'!$M$187</f>
        <v>0</v>
      </c>
      <c r="D235" s="1" t="s">
        <v>76</v>
      </c>
      <c r="L235" s="54">
        <f>'Parameter Input'!$O$187</f>
        <v>17</v>
      </c>
      <c r="M235" s="37">
        <v>0</v>
      </c>
      <c r="N235" s="37">
        <v>1</v>
      </c>
      <c r="O235" s="37">
        <f>'Parameter Input'!$P$187</f>
        <v>0.9</v>
      </c>
      <c r="P235" s="55">
        <f>'Parameter Input'!$Q$187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3">
      <c r="A236" s="24" t="s">
        <v>41</v>
      </c>
      <c r="B236" s="60">
        <f>'Parameter Input'!$L$181</f>
        <v>25</v>
      </c>
      <c r="C236" s="61">
        <f>'Parameter Input'!$M$181</f>
        <v>25</v>
      </c>
      <c r="D236" s="1" t="s">
        <v>42</v>
      </c>
      <c r="L236" s="54">
        <f>'Parameter Input'!$O$181</f>
        <v>17</v>
      </c>
      <c r="M236" s="37">
        <v>0</v>
      </c>
      <c r="N236" s="37">
        <v>1</v>
      </c>
      <c r="O236" s="37">
        <f>'Parameter Input'!$P$181</f>
        <v>0.9</v>
      </c>
      <c r="P236" s="55">
        <f>'Parameter Input'!$Q$181</f>
        <v>0.4</v>
      </c>
      <c r="Q236" s="4">
        <f t="shared" ref="Q236:AF241" si="160">$N236+($M236-$N236)*((1/(1+EXP(-$P236*(Q$9-$L236)))^$O236))</f>
        <v>0.99780374543478534</v>
      </c>
      <c r="R236" s="4">
        <f t="shared" si="160"/>
        <v>0.99685359315256394</v>
      </c>
      <c r="S236" s="4">
        <f t="shared" si="160"/>
        <v>0.99549347132349975</v>
      </c>
      <c r="T236" s="4">
        <f t="shared" si="160"/>
        <v>0.99354772139898062</v>
      </c>
      <c r="U236" s="4">
        <f t="shared" si="160"/>
        <v>0.99076681540580536</v>
      </c>
      <c r="V236" s="4">
        <f t="shared" si="160"/>
        <v>0.9867978615748374</v>
      </c>
      <c r="W236" s="4">
        <f t="shared" si="160"/>
        <v>0.98114509762858249</v>
      </c>
      <c r="X236" s="4">
        <f t="shared" si="160"/>
        <v>0.97311898315872036</v>
      </c>
      <c r="Y236" s="4">
        <f t="shared" si="160"/>
        <v>0.96177484161592774</v>
      </c>
      <c r="Z236" s="4">
        <f t="shared" si="160"/>
        <v>0.94584787155511363</v>
      </c>
      <c r="AA236" s="4">
        <f t="shared" si="160"/>
        <v>0.92370360150141495</v>
      </c>
      <c r="AB236" s="4">
        <f t="shared" si="160"/>
        <v>0.89334463567658451</v>
      </c>
      <c r="AC236" s="4">
        <f t="shared" si="160"/>
        <v>0.85254543874327005</v>
      </c>
      <c r="AD236" s="4">
        <f t="shared" si="160"/>
        <v>0.79921300652623883</v>
      </c>
      <c r="AE236" s="4">
        <f t="shared" si="160"/>
        <v>0.73204982249993378</v>
      </c>
      <c r="AF236" s="4">
        <f t="shared" si="160"/>
        <v>0.65145592958786691</v>
      </c>
      <c r="AG236" s="4">
        <f t="shared" si="157"/>
        <v>0.56032247880849573</v>
      </c>
      <c r="AH236" s="4">
        <f t="shared" si="157"/>
        <v>0.46411326873185343</v>
      </c>
      <c r="AI236" s="4">
        <f t="shared" si="157"/>
        <v>0.36979727595523937</v>
      </c>
      <c r="AJ236" s="4">
        <f t="shared" si="158"/>
        <v>0.28393948637231203</v>
      </c>
      <c r="AK236" s="4">
        <f t="shared" si="158"/>
        <v>0.21097259161117732</v>
      </c>
      <c r="AL236" s="4">
        <f t="shared" si="158"/>
        <v>0.15253917653798199</v>
      </c>
      <c r="AM236" s="4">
        <f t="shared" si="158"/>
        <v>0.10795188737709993</v>
      </c>
      <c r="AN236" s="4">
        <f t="shared" si="158"/>
        <v>7.5176653938091809E-2</v>
      </c>
      <c r="AO236" s="4">
        <f t="shared" si="158"/>
        <v>5.1742836177502194E-2</v>
      </c>
      <c r="AP236" s="4">
        <f t="shared" si="158"/>
        <v>3.5319190625345942E-2</v>
      </c>
      <c r="AQ236" s="4">
        <f t="shared" si="158"/>
        <v>2.3969442072658165E-2</v>
      </c>
      <c r="AR236" s="4">
        <f t="shared" si="158"/>
        <v>1.6202243558389728E-2</v>
      </c>
    </row>
    <row r="237" spans="1:44" x14ac:dyDescent="0.3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60"/>
        <v>0.99780374543478534</v>
      </c>
      <c r="R237" s="4">
        <f t="shared" si="160"/>
        <v>0.99685359315256394</v>
      </c>
      <c r="S237" s="4">
        <f t="shared" si="160"/>
        <v>0.99549347132349975</v>
      </c>
      <c r="T237" s="4">
        <f t="shared" si="160"/>
        <v>0.99354772139898062</v>
      </c>
      <c r="U237" s="4">
        <f t="shared" si="160"/>
        <v>0.99076681540580536</v>
      </c>
      <c r="V237" s="4">
        <f t="shared" si="160"/>
        <v>0.9867978615748374</v>
      </c>
      <c r="W237" s="4">
        <f t="shared" si="160"/>
        <v>0.98114509762858249</v>
      </c>
      <c r="X237" s="4">
        <f t="shared" si="160"/>
        <v>0.97311898315872036</v>
      </c>
      <c r="Y237" s="4">
        <f t="shared" si="160"/>
        <v>0.96177484161592774</v>
      </c>
      <c r="Z237" s="4">
        <f t="shared" si="160"/>
        <v>0.94584787155511363</v>
      </c>
      <c r="AA237" s="4">
        <f t="shared" si="160"/>
        <v>0.92370360150141495</v>
      </c>
      <c r="AB237" s="4">
        <f t="shared" si="160"/>
        <v>0.89334463567658451</v>
      </c>
      <c r="AC237" s="4">
        <f t="shared" si="160"/>
        <v>0.85254543874327005</v>
      </c>
      <c r="AD237" s="4">
        <f t="shared" si="160"/>
        <v>0.79921300652623883</v>
      </c>
      <c r="AE237" s="4">
        <f t="shared" si="160"/>
        <v>0.73204982249993378</v>
      </c>
      <c r="AF237" s="4">
        <f t="shared" si="160"/>
        <v>0.65145592958786691</v>
      </c>
      <c r="AG237" s="4">
        <f t="shared" si="157"/>
        <v>0.56032247880849573</v>
      </c>
      <c r="AH237" s="4">
        <f t="shared" si="157"/>
        <v>0.46411326873185343</v>
      </c>
      <c r="AI237" s="4">
        <f t="shared" si="157"/>
        <v>0.36979727595523937</v>
      </c>
      <c r="AJ237" s="4">
        <f t="shared" si="158"/>
        <v>0.28393948637231203</v>
      </c>
      <c r="AK237" s="4">
        <f t="shared" si="158"/>
        <v>0.21097259161117732</v>
      </c>
      <c r="AL237" s="4">
        <f t="shared" si="158"/>
        <v>0.15253917653798199</v>
      </c>
      <c r="AM237" s="4">
        <f t="shared" si="158"/>
        <v>0.10795188737709993</v>
      </c>
      <c r="AN237" s="4">
        <f t="shared" si="158"/>
        <v>7.5176653938091809E-2</v>
      </c>
      <c r="AO237" s="4">
        <f t="shared" si="158"/>
        <v>5.1742836177502194E-2</v>
      </c>
      <c r="AP237" s="4">
        <f t="shared" si="158"/>
        <v>3.5319190625345942E-2</v>
      </c>
      <c r="AQ237" s="4">
        <f t="shared" si="158"/>
        <v>2.3969442072658165E-2</v>
      </c>
      <c r="AR237" s="4">
        <f t="shared" si="158"/>
        <v>1.6202243558389728E-2</v>
      </c>
    </row>
    <row r="238" spans="1:44" x14ac:dyDescent="0.3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60"/>
        <v>0.99780374543478534</v>
      </c>
      <c r="R238" s="4">
        <f t="shared" si="160"/>
        <v>0.99685359315256394</v>
      </c>
      <c r="S238" s="4">
        <f t="shared" si="160"/>
        <v>0.99549347132349975</v>
      </c>
      <c r="T238" s="4">
        <f t="shared" si="160"/>
        <v>0.99354772139898062</v>
      </c>
      <c r="U238" s="4">
        <f t="shared" si="160"/>
        <v>0.99076681540580536</v>
      </c>
      <c r="V238" s="4">
        <f t="shared" si="160"/>
        <v>0.9867978615748374</v>
      </c>
      <c r="W238" s="4">
        <f t="shared" si="160"/>
        <v>0.98114509762858249</v>
      </c>
      <c r="X238" s="4">
        <f t="shared" si="160"/>
        <v>0.97311898315872036</v>
      </c>
      <c r="Y238" s="4">
        <f t="shared" si="160"/>
        <v>0.96177484161592774</v>
      </c>
      <c r="Z238" s="4">
        <f t="shared" si="160"/>
        <v>0.94584787155511363</v>
      </c>
      <c r="AA238" s="4">
        <f t="shared" si="160"/>
        <v>0.92370360150141495</v>
      </c>
      <c r="AB238" s="4">
        <f t="shared" si="160"/>
        <v>0.89334463567658451</v>
      </c>
      <c r="AC238" s="4">
        <f t="shared" si="160"/>
        <v>0.85254543874327005</v>
      </c>
      <c r="AD238" s="4">
        <f t="shared" si="160"/>
        <v>0.79921300652623883</v>
      </c>
      <c r="AE238" s="4">
        <f t="shared" si="160"/>
        <v>0.73204982249993378</v>
      </c>
      <c r="AF238" s="4">
        <f t="shared" si="160"/>
        <v>0.65145592958786691</v>
      </c>
      <c r="AG238" s="4">
        <f t="shared" si="157"/>
        <v>0.56032247880849573</v>
      </c>
      <c r="AH238" s="4">
        <f t="shared" si="157"/>
        <v>0.46411326873185343</v>
      </c>
      <c r="AI238" s="4">
        <f t="shared" si="157"/>
        <v>0.36979727595523937</v>
      </c>
      <c r="AJ238" s="4">
        <f t="shared" si="158"/>
        <v>0.28393948637231203</v>
      </c>
      <c r="AK238" s="4">
        <f t="shared" si="158"/>
        <v>0.21097259161117732</v>
      </c>
      <c r="AL238" s="4">
        <f t="shared" si="158"/>
        <v>0.15253917653798199</v>
      </c>
      <c r="AM238" s="4">
        <f t="shared" si="158"/>
        <v>0.10795188737709993</v>
      </c>
      <c r="AN238" s="4">
        <f t="shared" si="158"/>
        <v>7.5176653938091809E-2</v>
      </c>
      <c r="AO238" s="4">
        <f t="shared" si="158"/>
        <v>5.1742836177502194E-2</v>
      </c>
      <c r="AP238" s="4">
        <f t="shared" si="158"/>
        <v>3.5319190625345942E-2</v>
      </c>
      <c r="AQ238" s="4">
        <f t="shared" si="158"/>
        <v>2.3969442072658165E-2</v>
      </c>
      <c r="AR238" s="4">
        <f t="shared" si="158"/>
        <v>1.6202243558389728E-2</v>
      </c>
    </row>
    <row r="239" spans="1:44" x14ac:dyDescent="0.3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60"/>
        <v>0.99780374543478534</v>
      </c>
      <c r="R239" s="4">
        <f t="shared" si="160"/>
        <v>0.99685359315256394</v>
      </c>
      <c r="S239" s="4">
        <f t="shared" si="160"/>
        <v>0.99549347132349975</v>
      </c>
      <c r="T239" s="4">
        <f t="shared" si="160"/>
        <v>0.99354772139898062</v>
      </c>
      <c r="U239" s="4">
        <f t="shared" si="160"/>
        <v>0.99076681540580536</v>
      </c>
      <c r="V239" s="4">
        <f t="shared" si="160"/>
        <v>0.9867978615748374</v>
      </c>
      <c r="W239" s="4">
        <f t="shared" si="160"/>
        <v>0.98114509762858249</v>
      </c>
      <c r="X239" s="4">
        <f t="shared" si="160"/>
        <v>0.97311898315872036</v>
      </c>
      <c r="Y239" s="4">
        <f t="shared" si="160"/>
        <v>0.96177484161592774</v>
      </c>
      <c r="Z239" s="4">
        <f t="shared" si="160"/>
        <v>0.94584787155511363</v>
      </c>
      <c r="AA239" s="4">
        <f t="shared" si="160"/>
        <v>0.92370360150141495</v>
      </c>
      <c r="AB239" s="4">
        <f t="shared" si="160"/>
        <v>0.89334463567658451</v>
      </c>
      <c r="AC239" s="4">
        <f t="shared" si="160"/>
        <v>0.85254543874327005</v>
      </c>
      <c r="AD239" s="4">
        <f t="shared" si="160"/>
        <v>0.79921300652623883</v>
      </c>
      <c r="AE239" s="4">
        <f t="shared" si="160"/>
        <v>0.73204982249993378</v>
      </c>
      <c r="AF239" s="4">
        <f t="shared" si="160"/>
        <v>0.65145592958786691</v>
      </c>
      <c r="AG239" s="4">
        <f t="shared" si="157"/>
        <v>0.56032247880849573</v>
      </c>
      <c r="AH239" s="4">
        <f t="shared" si="157"/>
        <v>0.46411326873185343</v>
      </c>
      <c r="AI239" s="4">
        <f t="shared" si="157"/>
        <v>0.36979727595523937</v>
      </c>
      <c r="AJ239" s="4">
        <f t="shared" si="158"/>
        <v>0.28393948637231203</v>
      </c>
      <c r="AK239" s="4">
        <f t="shared" si="158"/>
        <v>0.21097259161117732</v>
      </c>
      <c r="AL239" s="4">
        <f t="shared" si="158"/>
        <v>0.15253917653798199</v>
      </c>
      <c r="AM239" s="4">
        <f t="shared" si="158"/>
        <v>0.10795188737709993</v>
      </c>
      <c r="AN239" s="4">
        <f t="shared" si="158"/>
        <v>7.5176653938091809E-2</v>
      </c>
      <c r="AO239" s="4">
        <f t="shared" si="158"/>
        <v>5.1742836177502194E-2</v>
      </c>
      <c r="AP239" s="4">
        <f t="shared" si="158"/>
        <v>3.5319190625345942E-2</v>
      </c>
      <c r="AQ239" s="4">
        <f t="shared" si="158"/>
        <v>2.3969442072658165E-2</v>
      </c>
      <c r="AR239" s="4">
        <f t="shared" si="158"/>
        <v>1.6202243558389728E-2</v>
      </c>
    </row>
    <row r="240" spans="1:44" x14ac:dyDescent="0.3">
      <c r="A240" s="24" t="s">
        <v>73</v>
      </c>
      <c r="B240" s="45">
        <f>'Parameter Input'!$L$185</f>
        <v>0.8</v>
      </c>
      <c r="C240" s="46">
        <f>'Parameter Input'!$M$185</f>
        <v>7.0000000000000007E-2</v>
      </c>
      <c r="D240" s="1" t="s">
        <v>57</v>
      </c>
      <c r="L240" s="54">
        <f>'Parameter Input'!$O$185</f>
        <v>17</v>
      </c>
      <c r="M240" s="37">
        <v>0</v>
      </c>
      <c r="N240" s="37">
        <v>1</v>
      </c>
      <c r="O240" s="37">
        <f>'Parameter Input'!$P$185</f>
        <v>0.9</v>
      </c>
      <c r="P240" s="55">
        <f>'Parameter Input'!$Q$185</f>
        <v>0.4</v>
      </c>
      <c r="Q240" s="4">
        <f t="shared" si="160"/>
        <v>0.99780374543478534</v>
      </c>
      <c r="R240" s="4">
        <f t="shared" si="160"/>
        <v>0.99685359315256394</v>
      </c>
      <c r="S240" s="4">
        <f t="shared" si="160"/>
        <v>0.99549347132349975</v>
      </c>
      <c r="T240" s="4">
        <f t="shared" si="160"/>
        <v>0.99354772139898062</v>
      </c>
      <c r="U240" s="4">
        <f t="shared" si="160"/>
        <v>0.99076681540580536</v>
      </c>
      <c r="V240" s="4">
        <f t="shared" si="160"/>
        <v>0.9867978615748374</v>
      </c>
      <c r="W240" s="4">
        <f t="shared" si="160"/>
        <v>0.98114509762858249</v>
      </c>
      <c r="X240" s="4">
        <f t="shared" si="160"/>
        <v>0.97311898315872036</v>
      </c>
      <c r="Y240" s="4">
        <f t="shared" si="160"/>
        <v>0.96177484161592774</v>
      </c>
      <c r="Z240" s="4">
        <f t="shared" si="160"/>
        <v>0.94584787155511363</v>
      </c>
      <c r="AA240" s="4">
        <f t="shared" si="160"/>
        <v>0.92370360150141495</v>
      </c>
      <c r="AB240" s="4">
        <f t="shared" si="160"/>
        <v>0.89334463567658451</v>
      </c>
      <c r="AC240" s="4">
        <f t="shared" si="160"/>
        <v>0.85254543874327005</v>
      </c>
      <c r="AD240" s="4">
        <f t="shared" si="160"/>
        <v>0.79921300652623883</v>
      </c>
      <c r="AE240" s="4">
        <f t="shared" si="160"/>
        <v>0.73204982249993378</v>
      </c>
      <c r="AF240" s="4">
        <f t="shared" si="160"/>
        <v>0.65145592958786691</v>
      </c>
      <c r="AG240" s="4">
        <f t="shared" si="157"/>
        <v>0.56032247880849573</v>
      </c>
      <c r="AH240" s="4">
        <f t="shared" si="157"/>
        <v>0.46411326873185343</v>
      </c>
      <c r="AI240" s="4">
        <f t="shared" si="157"/>
        <v>0.36979727595523937</v>
      </c>
      <c r="AJ240" s="4">
        <f t="shared" si="158"/>
        <v>0.28393948637231203</v>
      </c>
      <c r="AK240" s="4">
        <f t="shared" si="158"/>
        <v>0.21097259161117732</v>
      </c>
      <c r="AL240" s="4">
        <f t="shared" si="158"/>
        <v>0.15253917653798199</v>
      </c>
      <c r="AM240" s="4">
        <f t="shared" si="158"/>
        <v>0.10795188737709993</v>
      </c>
      <c r="AN240" s="4">
        <f t="shared" si="158"/>
        <v>7.5176653938091809E-2</v>
      </c>
      <c r="AO240" s="4">
        <f t="shared" si="158"/>
        <v>5.1742836177502194E-2</v>
      </c>
      <c r="AP240" s="4">
        <f t="shared" si="158"/>
        <v>3.5319190625345942E-2</v>
      </c>
      <c r="AQ240" s="4">
        <f t="shared" si="158"/>
        <v>2.3969442072658165E-2</v>
      </c>
      <c r="AR240" s="4">
        <f t="shared" si="158"/>
        <v>1.6202243558389728E-2</v>
      </c>
    </row>
    <row r="241" spans="1:44" ht="15" thickBot="1" x14ac:dyDescent="0.35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60"/>
        <v>0.99780374543478534</v>
      </c>
      <c r="R241" s="4">
        <f t="shared" si="160"/>
        <v>0.99685359315256394</v>
      </c>
      <c r="S241" s="4">
        <f t="shared" si="160"/>
        <v>0.99549347132349975</v>
      </c>
      <c r="T241" s="4">
        <f t="shared" si="160"/>
        <v>0.99354772139898062</v>
      </c>
      <c r="U241" s="4">
        <f t="shared" si="160"/>
        <v>0.99076681540580536</v>
      </c>
      <c r="V241" s="4">
        <f t="shared" si="160"/>
        <v>0.9867978615748374</v>
      </c>
      <c r="W241" s="4">
        <f t="shared" si="160"/>
        <v>0.98114509762858249</v>
      </c>
      <c r="X241" s="4">
        <f t="shared" si="160"/>
        <v>0.97311898315872036</v>
      </c>
      <c r="Y241" s="4">
        <f t="shared" si="160"/>
        <v>0.96177484161592774</v>
      </c>
      <c r="Z241" s="4">
        <f t="shared" si="160"/>
        <v>0.94584787155511363</v>
      </c>
      <c r="AA241" s="4">
        <f t="shared" si="160"/>
        <v>0.92370360150141495</v>
      </c>
      <c r="AB241" s="4">
        <f t="shared" si="160"/>
        <v>0.89334463567658451</v>
      </c>
      <c r="AC241" s="4">
        <f t="shared" si="160"/>
        <v>0.85254543874327005</v>
      </c>
      <c r="AD241" s="4">
        <f t="shared" si="160"/>
        <v>0.79921300652623883</v>
      </c>
      <c r="AE241" s="4">
        <f t="shared" si="160"/>
        <v>0.73204982249993378</v>
      </c>
      <c r="AF241" s="4">
        <f t="shared" si="160"/>
        <v>0.65145592958786691</v>
      </c>
      <c r="AG241" s="4">
        <f t="shared" si="157"/>
        <v>0.56032247880849573</v>
      </c>
      <c r="AH241" s="4">
        <f t="shared" si="157"/>
        <v>0.46411326873185343</v>
      </c>
      <c r="AI241" s="4">
        <f t="shared" si="157"/>
        <v>0.36979727595523937</v>
      </c>
      <c r="AJ241" s="4">
        <f t="shared" si="158"/>
        <v>0.28393948637231203</v>
      </c>
      <c r="AK241" s="4">
        <f t="shared" si="158"/>
        <v>0.21097259161117732</v>
      </c>
      <c r="AL241" s="4">
        <f t="shared" si="158"/>
        <v>0.15253917653798199</v>
      </c>
      <c r="AM241" s="4">
        <f t="shared" si="158"/>
        <v>0.10795188737709993</v>
      </c>
      <c r="AN241" s="4">
        <f t="shared" si="158"/>
        <v>7.5176653938091809E-2</v>
      </c>
      <c r="AO241" s="4">
        <f t="shared" si="158"/>
        <v>5.1742836177502194E-2</v>
      </c>
      <c r="AP241" s="4">
        <f t="shared" si="158"/>
        <v>3.5319190625345942E-2</v>
      </c>
      <c r="AQ241" s="4">
        <f t="shared" si="158"/>
        <v>2.3969442072658165E-2</v>
      </c>
      <c r="AR241" s="4">
        <f t="shared" si="158"/>
        <v>1.6202243558389728E-2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61">A225</f>
        <v>Capex vehicle</v>
      </c>
      <c r="B245" s="62">
        <f t="shared" ref="B245:B254" si="162">$B225+($C225-$B225)*(1-Q225)</f>
        <v>29973644.945217423</v>
      </c>
      <c r="C245" s="62">
        <f t="shared" ref="C245:C254" si="163">$B225+($C225-$B225)*(1-R225)</f>
        <v>29962243.117830768</v>
      </c>
      <c r="D245" s="62">
        <f t="shared" ref="D245:D254" si="164">$B225+($C225-$B225)*(1-S225)</f>
        <v>29945921.655881997</v>
      </c>
      <c r="E245" s="62">
        <f t="shared" ref="E245:E254" si="165">$B225+($C225-$B225)*(1-T225)</f>
        <v>29922572.656787768</v>
      </c>
      <c r="F245" s="62">
        <f t="shared" ref="F245:F254" si="166">$B225+($C225-$B225)*(1-U225)</f>
        <v>29889201.784869663</v>
      </c>
      <c r="G245" s="62">
        <f t="shared" ref="G245:G254" si="167">$B225+($C225-$B225)*(1-V225)</f>
        <v>29841574.338898048</v>
      </c>
      <c r="H245" s="62">
        <f t="shared" ref="H245:H254" si="168">$B225+($C225-$B225)*(1-W225)</f>
        <v>29773741.171542991</v>
      </c>
      <c r="I245" s="62">
        <f t="shared" ref="I245:I254" si="169">$B225+($C225-$B225)*(1-X225)</f>
        <v>29677427.797904644</v>
      </c>
      <c r="J245" s="62">
        <f t="shared" ref="J245:J254" si="170">$B225+($C225-$B225)*(1-Y225)</f>
        <v>29541298.099391133</v>
      </c>
      <c r="K245" s="62">
        <f t="shared" ref="K245:K254" si="171">$B225+($C225-$B225)*(1-Z225)</f>
        <v>29350174.458661363</v>
      </c>
      <c r="L245" s="62">
        <f t="shared" ref="L245:L254" si="172">$B225+($C225-$B225)*(1-AA225)</f>
        <v>29084443.218016978</v>
      </c>
      <c r="M245" s="62">
        <f t="shared" ref="M245:M254" si="173">$B225+($C225-$B225)*(1-AB225)</f>
        <v>28720135.628119014</v>
      </c>
      <c r="N245" s="62">
        <f t="shared" ref="N245:N254" si="174">$B225+($C225-$B225)*(1-AC225)</f>
        <v>28230545.26491924</v>
      </c>
      <c r="O245" s="62">
        <f t="shared" ref="O245:O254" si="175">$B225+($C225-$B225)*(1-AD225)</f>
        <v>27590556.078314867</v>
      </c>
      <c r="P245" s="62">
        <f t="shared" ref="P245:P254" si="176">$B225+($C225-$B225)*(1-AE225)</f>
        <v>26784597.869999204</v>
      </c>
      <c r="Q245" s="62">
        <f t="shared" ref="Q245:Q254" si="177">$B225+($C225-$B225)*(1-AF225)</f>
        <v>25817471.155054402</v>
      </c>
      <c r="R245" s="62">
        <f t="shared" ref="R245:R254" si="178">$B225+($C225-$B225)*(1-AG225)</f>
        <v>24723869.74570195</v>
      </c>
      <c r="S245" s="62">
        <f t="shared" ref="S245:S254" si="179">$B225+($C225-$B225)*(1-AH225)</f>
        <v>23569359.224782243</v>
      </c>
      <c r="T245" s="62">
        <f t="shared" ref="T245:T254" si="180">$B225+($C225-$B225)*(1-AI225)</f>
        <v>22437567.311462872</v>
      </c>
      <c r="U245" s="62">
        <f t="shared" ref="U245:U254" si="181">$B225+($C225-$B225)*(1-AJ225)</f>
        <v>21407273.836467743</v>
      </c>
      <c r="V245" s="62">
        <f t="shared" ref="V245:V254" si="182">$B225+($C225-$B225)*(1-AK225)</f>
        <v>20531671.099334128</v>
      </c>
      <c r="W245" s="62">
        <f t="shared" ref="W245:W254" si="183">$B225+($C225-$B225)*(1-AL225)</f>
        <v>19830470.118455783</v>
      </c>
      <c r="X245" s="62">
        <f t="shared" ref="X245:X254" si="184">$B225+($C225-$B225)*(1-AM225)</f>
        <v>19295422.648525201</v>
      </c>
      <c r="Y245" s="62">
        <f t="shared" ref="Y245:Y254" si="185">$B225+($C225-$B225)*(1-AN225)</f>
        <v>18902119.8472571</v>
      </c>
      <c r="Z245" s="62">
        <f t="shared" ref="Z245:Z254" si="186">$B225+($C225-$B225)*(1-AO225)</f>
        <v>18620914.034130026</v>
      </c>
      <c r="AA245" s="62">
        <f t="shared" ref="AA245:AA254" si="187">$B225+($C225-$B225)*(1-AP225)</f>
        <v>18423830.287504151</v>
      </c>
      <c r="AB245" s="62">
        <f t="shared" ref="AB245:AB254" si="188">$B225+($C225-$B225)*(1-AQ225)</f>
        <v>18287633.304871898</v>
      </c>
      <c r="AC245" s="62">
        <f t="shared" ref="AC245:AC254" si="189">$B225+($C225-$B225)*(1-AR225)</f>
        <v>18194426.922700677</v>
      </c>
    </row>
    <row r="246" spans="1:44" x14ac:dyDescent="0.3">
      <c r="A246" s="30" t="str">
        <f t="shared" si="161"/>
        <v>Residual value (vehicle)</v>
      </c>
      <c r="B246" s="62">
        <f t="shared" si="162"/>
        <v>-1500658.8763695643</v>
      </c>
      <c r="C246" s="62">
        <f t="shared" si="163"/>
        <v>-1500943.9220542307</v>
      </c>
      <c r="D246" s="62">
        <f t="shared" si="164"/>
        <v>-1501351.95860295</v>
      </c>
      <c r="E246" s="62">
        <f t="shared" si="165"/>
        <v>-1501935.6835803059</v>
      </c>
      <c r="F246" s="62">
        <f t="shared" si="166"/>
        <v>-1502769.9553782584</v>
      </c>
      <c r="G246" s="62">
        <f t="shared" si="167"/>
        <v>-1503960.6415275487</v>
      </c>
      <c r="H246" s="62">
        <f t="shared" si="168"/>
        <v>-1505656.4707114252</v>
      </c>
      <c r="I246" s="62">
        <f t="shared" si="169"/>
        <v>-1508064.3050523838</v>
      </c>
      <c r="J246" s="62">
        <f t="shared" si="170"/>
        <v>-1511467.5475152216</v>
      </c>
      <c r="K246" s="62">
        <f t="shared" si="171"/>
        <v>-1516245.6385334658</v>
      </c>
      <c r="L246" s="62">
        <f t="shared" si="172"/>
        <v>-1522888.9195495755</v>
      </c>
      <c r="M246" s="62">
        <f t="shared" si="173"/>
        <v>-1531996.6092970246</v>
      </c>
      <c r="N246" s="62">
        <f t="shared" si="174"/>
        <v>-1544236.368377019</v>
      </c>
      <c r="O246" s="62">
        <f t="shared" si="175"/>
        <v>-1560236.0980421284</v>
      </c>
      <c r="P246" s="62">
        <f t="shared" si="176"/>
        <v>-1580385.0532500199</v>
      </c>
      <c r="Q246" s="62">
        <f t="shared" si="177"/>
        <v>-1604563.22112364</v>
      </c>
      <c r="R246" s="62">
        <f t="shared" si="178"/>
        <v>-1631903.2563574512</v>
      </c>
      <c r="S246" s="62">
        <f t="shared" si="179"/>
        <v>-1660766.019380444</v>
      </c>
      <c r="T246" s="62">
        <f t="shared" si="180"/>
        <v>-1689060.8172134282</v>
      </c>
      <c r="U246" s="62">
        <f t="shared" si="181"/>
        <v>-1714818.1540883065</v>
      </c>
      <c r="V246" s="62">
        <f t="shared" si="182"/>
        <v>-1736708.2225166468</v>
      </c>
      <c r="W246" s="62">
        <f t="shared" si="183"/>
        <v>-1754238.2470386054</v>
      </c>
      <c r="X246" s="62">
        <f t="shared" si="184"/>
        <v>-1767614.43378687</v>
      </c>
      <c r="Y246" s="62">
        <f t="shared" si="185"/>
        <v>-1777447.0038185725</v>
      </c>
      <c r="Z246" s="62">
        <f t="shared" si="186"/>
        <v>-1784477.1491467494</v>
      </c>
      <c r="AA246" s="62">
        <f t="shared" si="187"/>
        <v>-1789404.2428123963</v>
      </c>
      <c r="AB246" s="62">
        <f t="shared" si="188"/>
        <v>-1792809.1673782025</v>
      </c>
      <c r="AC246" s="62">
        <f t="shared" si="189"/>
        <v>-1795139.3269324831</v>
      </c>
    </row>
    <row r="247" spans="1:44" x14ac:dyDescent="0.3">
      <c r="A247" s="30" t="str">
        <f t="shared" si="161"/>
        <v>Capex costumization</v>
      </c>
      <c r="B247" s="62">
        <f t="shared" si="162"/>
        <v>1000000</v>
      </c>
      <c r="C247" s="62">
        <f t="shared" si="163"/>
        <v>1000000</v>
      </c>
      <c r="D247" s="62">
        <f t="shared" si="164"/>
        <v>1000000</v>
      </c>
      <c r="E247" s="62">
        <f t="shared" si="165"/>
        <v>1000000</v>
      </c>
      <c r="F247" s="62">
        <f t="shared" si="166"/>
        <v>1000000</v>
      </c>
      <c r="G247" s="62">
        <f t="shared" si="167"/>
        <v>1000000</v>
      </c>
      <c r="H247" s="62">
        <f t="shared" si="168"/>
        <v>1000000</v>
      </c>
      <c r="I247" s="62">
        <f t="shared" si="169"/>
        <v>1000000</v>
      </c>
      <c r="J247" s="62">
        <f t="shared" si="170"/>
        <v>1000000</v>
      </c>
      <c r="K247" s="62">
        <f t="shared" si="171"/>
        <v>1000000</v>
      </c>
      <c r="L247" s="62">
        <f t="shared" si="172"/>
        <v>1000000</v>
      </c>
      <c r="M247" s="62">
        <f t="shared" si="173"/>
        <v>1000000</v>
      </c>
      <c r="N247" s="62">
        <f t="shared" si="174"/>
        <v>1000000</v>
      </c>
      <c r="O247" s="62">
        <f t="shared" si="175"/>
        <v>1000000</v>
      </c>
      <c r="P247" s="62">
        <f t="shared" si="176"/>
        <v>1000000</v>
      </c>
      <c r="Q247" s="62">
        <f t="shared" si="177"/>
        <v>1000000</v>
      </c>
      <c r="R247" s="62">
        <f t="shared" si="178"/>
        <v>1000000</v>
      </c>
      <c r="S247" s="62">
        <f t="shared" si="179"/>
        <v>1000000</v>
      </c>
      <c r="T247" s="62">
        <f t="shared" si="180"/>
        <v>1000000</v>
      </c>
      <c r="U247" s="62">
        <f t="shared" si="181"/>
        <v>1000000</v>
      </c>
      <c r="V247" s="62">
        <f t="shared" si="182"/>
        <v>1000000</v>
      </c>
      <c r="W247" s="62">
        <f t="shared" si="183"/>
        <v>1000000</v>
      </c>
      <c r="X247" s="62">
        <f t="shared" si="184"/>
        <v>1000000</v>
      </c>
      <c r="Y247" s="62">
        <f t="shared" si="185"/>
        <v>1000000</v>
      </c>
      <c r="Z247" s="62">
        <f t="shared" si="186"/>
        <v>1000000</v>
      </c>
      <c r="AA247" s="62">
        <f t="shared" si="187"/>
        <v>1000000</v>
      </c>
      <c r="AB247" s="62">
        <f t="shared" si="188"/>
        <v>1000000</v>
      </c>
      <c r="AC247" s="62">
        <f t="shared" si="189"/>
        <v>1000000</v>
      </c>
    </row>
    <row r="248" spans="1:44" x14ac:dyDescent="0.3">
      <c r="A248" s="30" t="str">
        <f t="shared" si="161"/>
        <v>Residual value (costumization)</v>
      </c>
      <c r="B248" s="62">
        <f t="shared" si="162"/>
        <v>-100000</v>
      </c>
      <c r="C248" s="62">
        <f t="shared" si="163"/>
        <v>-100000</v>
      </c>
      <c r="D248" s="62">
        <f t="shared" si="164"/>
        <v>-100000</v>
      </c>
      <c r="E248" s="62">
        <f t="shared" si="165"/>
        <v>-100000</v>
      </c>
      <c r="F248" s="62">
        <f t="shared" si="166"/>
        <v>-100000</v>
      </c>
      <c r="G248" s="62">
        <f t="shared" si="167"/>
        <v>-100000</v>
      </c>
      <c r="H248" s="62">
        <f t="shared" si="168"/>
        <v>-100000</v>
      </c>
      <c r="I248" s="62">
        <f t="shared" si="169"/>
        <v>-100000</v>
      </c>
      <c r="J248" s="62">
        <f t="shared" si="170"/>
        <v>-100000</v>
      </c>
      <c r="K248" s="62">
        <f t="shared" si="171"/>
        <v>-100000</v>
      </c>
      <c r="L248" s="62">
        <f t="shared" si="172"/>
        <v>-100000</v>
      </c>
      <c r="M248" s="62">
        <f t="shared" si="173"/>
        <v>-100000</v>
      </c>
      <c r="N248" s="62">
        <f t="shared" si="174"/>
        <v>-100000</v>
      </c>
      <c r="O248" s="62">
        <f t="shared" si="175"/>
        <v>-100000</v>
      </c>
      <c r="P248" s="62">
        <f t="shared" si="176"/>
        <v>-100000</v>
      </c>
      <c r="Q248" s="62">
        <f t="shared" si="177"/>
        <v>-100000</v>
      </c>
      <c r="R248" s="62">
        <f t="shared" si="178"/>
        <v>-100000</v>
      </c>
      <c r="S248" s="62">
        <f t="shared" si="179"/>
        <v>-100000</v>
      </c>
      <c r="T248" s="62">
        <f t="shared" si="180"/>
        <v>-100000</v>
      </c>
      <c r="U248" s="62">
        <f t="shared" si="181"/>
        <v>-100000</v>
      </c>
      <c r="V248" s="62">
        <f t="shared" si="182"/>
        <v>-100000</v>
      </c>
      <c r="W248" s="62">
        <f t="shared" si="183"/>
        <v>-100000</v>
      </c>
      <c r="X248" s="62">
        <f t="shared" si="184"/>
        <v>-100000</v>
      </c>
      <c r="Y248" s="62">
        <f t="shared" si="185"/>
        <v>-100000</v>
      </c>
      <c r="Z248" s="62">
        <f t="shared" si="186"/>
        <v>-100000</v>
      </c>
      <c r="AA248" s="62">
        <f t="shared" si="187"/>
        <v>-100000</v>
      </c>
      <c r="AB248" s="62">
        <f t="shared" si="188"/>
        <v>-100000</v>
      </c>
      <c r="AC248" s="62">
        <f t="shared" si="189"/>
        <v>-100000</v>
      </c>
    </row>
    <row r="249" spans="1:44" x14ac:dyDescent="0.3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3">
      <c r="A250" s="30" t="str">
        <f t="shared" si="161"/>
        <v>Opex fix (admin, crew, insurance)</v>
      </c>
      <c r="B250" s="62">
        <f t="shared" si="162"/>
        <v>1208235.294117647</v>
      </c>
      <c r="C250" s="62">
        <f t="shared" si="163"/>
        <v>1208235.294117647</v>
      </c>
      <c r="D250" s="62">
        <f t="shared" si="164"/>
        <v>1208235.294117647</v>
      </c>
      <c r="E250" s="62">
        <f t="shared" si="165"/>
        <v>1208235.294117647</v>
      </c>
      <c r="F250" s="62">
        <f t="shared" si="166"/>
        <v>1208235.294117647</v>
      </c>
      <c r="G250" s="62">
        <f t="shared" si="167"/>
        <v>1208235.294117647</v>
      </c>
      <c r="H250" s="62">
        <f t="shared" si="168"/>
        <v>1208235.294117647</v>
      </c>
      <c r="I250" s="62">
        <f t="shared" si="169"/>
        <v>1208235.294117647</v>
      </c>
      <c r="J250" s="62">
        <f t="shared" si="170"/>
        <v>1208235.294117647</v>
      </c>
      <c r="K250" s="62">
        <f t="shared" si="171"/>
        <v>1208235.294117647</v>
      </c>
      <c r="L250" s="62">
        <f t="shared" si="172"/>
        <v>1208235.294117647</v>
      </c>
      <c r="M250" s="62">
        <f t="shared" si="173"/>
        <v>1208235.294117647</v>
      </c>
      <c r="N250" s="62">
        <f t="shared" si="174"/>
        <v>1208235.294117647</v>
      </c>
      <c r="O250" s="62">
        <f t="shared" si="175"/>
        <v>1208235.294117647</v>
      </c>
      <c r="P250" s="62">
        <f t="shared" si="176"/>
        <v>1208235.294117647</v>
      </c>
      <c r="Q250" s="62">
        <f t="shared" si="177"/>
        <v>1208235.294117647</v>
      </c>
      <c r="R250" s="62">
        <f t="shared" si="178"/>
        <v>1208235.294117647</v>
      </c>
      <c r="S250" s="62">
        <f t="shared" si="179"/>
        <v>1208235.294117647</v>
      </c>
      <c r="T250" s="62">
        <f t="shared" si="180"/>
        <v>1208235.294117647</v>
      </c>
      <c r="U250" s="62">
        <f t="shared" si="181"/>
        <v>1208235.294117647</v>
      </c>
      <c r="V250" s="62">
        <f t="shared" si="182"/>
        <v>1208235.294117647</v>
      </c>
      <c r="W250" s="62">
        <f t="shared" si="183"/>
        <v>1208235.294117647</v>
      </c>
      <c r="X250" s="62">
        <f t="shared" si="184"/>
        <v>1208235.294117647</v>
      </c>
      <c r="Y250" s="62">
        <f t="shared" si="185"/>
        <v>1208235.294117647</v>
      </c>
      <c r="Z250" s="62">
        <f t="shared" si="186"/>
        <v>1208235.294117647</v>
      </c>
      <c r="AA250" s="62">
        <f t="shared" si="187"/>
        <v>1208235.294117647</v>
      </c>
      <c r="AB250" s="62">
        <f t="shared" si="188"/>
        <v>1208235.294117647</v>
      </c>
      <c r="AC250" s="62">
        <f t="shared" si="189"/>
        <v>1208235.294117647</v>
      </c>
    </row>
    <row r="251" spans="1:44" x14ac:dyDescent="0.3">
      <c r="A251" s="30" t="str">
        <f t="shared" si="161"/>
        <v>Opex maintenance &amp; repair</v>
      </c>
      <c r="B251" s="62">
        <f t="shared" si="162"/>
        <v>338823.5294117647</v>
      </c>
      <c r="C251" s="62">
        <f t="shared" si="163"/>
        <v>338823.5294117647</v>
      </c>
      <c r="D251" s="62">
        <f t="shared" si="164"/>
        <v>338823.5294117647</v>
      </c>
      <c r="E251" s="62">
        <f t="shared" si="165"/>
        <v>338823.5294117647</v>
      </c>
      <c r="F251" s="62">
        <f t="shared" si="166"/>
        <v>338823.5294117647</v>
      </c>
      <c r="G251" s="62">
        <f t="shared" si="167"/>
        <v>338823.5294117647</v>
      </c>
      <c r="H251" s="62">
        <f t="shared" si="168"/>
        <v>338823.5294117647</v>
      </c>
      <c r="I251" s="62">
        <f t="shared" si="169"/>
        <v>338823.5294117647</v>
      </c>
      <c r="J251" s="62">
        <f t="shared" si="170"/>
        <v>338823.5294117647</v>
      </c>
      <c r="K251" s="62">
        <f t="shared" si="171"/>
        <v>338823.5294117647</v>
      </c>
      <c r="L251" s="62">
        <f t="shared" si="172"/>
        <v>338823.5294117647</v>
      </c>
      <c r="M251" s="62">
        <f t="shared" si="173"/>
        <v>338823.5294117647</v>
      </c>
      <c r="N251" s="62">
        <f t="shared" si="174"/>
        <v>338823.5294117647</v>
      </c>
      <c r="O251" s="62">
        <f t="shared" si="175"/>
        <v>338823.5294117647</v>
      </c>
      <c r="P251" s="62">
        <f t="shared" si="176"/>
        <v>338823.5294117647</v>
      </c>
      <c r="Q251" s="62">
        <f t="shared" si="177"/>
        <v>338823.5294117647</v>
      </c>
      <c r="R251" s="62">
        <f t="shared" si="178"/>
        <v>338823.5294117647</v>
      </c>
      <c r="S251" s="62">
        <f t="shared" si="179"/>
        <v>338823.5294117647</v>
      </c>
      <c r="T251" s="62">
        <f t="shared" si="180"/>
        <v>338823.5294117647</v>
      </c>
      <c r="U251" s="62">
        <f t="shared" si="181"/>
        <v>338823.5294117647</v>
      </c>
      <c r="V251" s="62">
        <f t="shared" si="182"/>
        <v>338823.5294117647</v>
      </c>
      <c r="W251" s="62">
        <f t="shared" si="183"/>
        <v>338823.5294117647</v>
      </c>
      <c r="X251" s="62">
        <f t="shared" si="184"/>
        <v>338823.5294117647</v>
      </c>
      <c r="Y251" s="62">
        <f t="shared" si="185"/>
        <v>338823.5294117647</v>
      </c>
      <c r="Z251" s="62">
        <f t="shared" si="186"/>
        <v>338823.5294117647</v>
      </c>
      <c r="AA251" s="62">
        <f t="shared" si="187"/>
        <v>338823.5294117647</v>
      </c>
      <c r="AB251" s="62">
        <f t="shared" si="188"/>
        <v>338823.5294117647</v>
      </c>
      <c r="AC251" s="62">
        <f t="shared" si="189"/>
        <v>338823.5294117647</v>
      </c>
    </row>
    <row r="252" spans="1:44" x14ac:dyDescent="0.3">
      <c r="A252" s="30" t="str">
        <f t="shared" si="161"/>
        <v>Opex var (mode-fees)</v>
      </c>
      <c r="B252" s="62">
        <f t="shared" si="162"/>
        <v>0.81280569096848254</v>
      </c>
      <c r="C252" s="62">
        <f t="shared" si="163"/>
        <v>0.81280569096848254</v>
      </c>
      <c r="D252" s="62">
        <f t="shared" si="164"/>
        <v>0.81280569096848254</v>
      </c>
      <c r="E252" s="62">
        <f t="shared" si="165"/>
        <v>0.81280569096848254</v>
      </c>
      <c r="F252" s="62">
        <f t="shared" si="166"/>
        <v>0.81280569096848254</v>
      </c>
      <c r="G252" s="62">
        <f t="shared" si="167"/>
        <v>0.81280569096848254</v>
      </c>
      <c r="H252" s="62">
        <f t="shared" si="168"/>
        <v>0.81280569096848254</v>
      </c>
      <c r="I252" s="62">
        <f t="shared" si="169"/>
        <v>0.81280569096848254</v>
      </c>
      <c r="J252" s="62">
        <f t="shared" si="170"/>
        <v>0.81280569096848254</v>
      </c>
      <c r="K252" s="62">
        <f t="shared" si="171"/>
        <v>0.81280569096848254</v>
      </c>
      <c r="L252" s="62">
        <f t="shared" si="172"/>
        <v>0.81280569096848254</v>
      </c>
      <c r="M252" s="62">
        <f t="shared" si="173"/>
        <v>0.81280569096848254</v>
      </c>
      <c r="N252" s="62">
        <f t="shared" si="174"/>
        <v>0.81280569096848254</v>
      </c>
      <c r="O252" s="62">
        <f t="shared" si="175"/>
        <v>0.81280569096848254</v>
      </c>
      <c r="P252" s="62">
        <f t="shared" si="176"/>
        <v>0.81280569096848254</v>
      </c>
      <c r="Q252" s="62">
        <f t="shared" si="177"/>
        <v>0.81280569096848254</v>
      </c>
      <c r="R252" s="62">
        <f t="shared" si="178"/>
        <v>0.81280569096848254</v>
      </c>
      <c r="S252" s="62">
        <f t="shared" si="179"/>
        <v>0.81280569096848254</v>
      </c>
      <c r="T252" s="62">
        <f t="shared" si="180"/>
        <v>0.81280569096848254</v>
      </c>
      <c r="U252" s="62">
        <f t="shared" si="181"/>
        <v>0.81280569096848254</v>
      </c>
      <c r="V252" s="62">
        <f t="shared" si="182"/>
        <v>0.81280569096848254</v>
      </c>
      <c r="W252" s="62">
        <f t="shared" si="183"/>
        <v>0.81280569096848254</v>
      </c>
      <c r="X252" s="62">
        <f t="shared" si="184"/>
        <v>0.81280569096848254</v>
      </c>
      <c r="Y252" s="62">
        <f t="shared" si="185"/>
        <v>0.81280569096848254</v>
      </c>
      <c r="Z252" s="62">
        <f t="shared" si="186"/>
        <v>0.81280569096848254</v>
      </c>
      <c r="AA252" s="62">
        <f t="shared" si="187"/>
        <v>0.81280569096848254</v>
      </c>
      <c r="AB252" s="62">
        <f t="shared" si="188"/>
        <v>0.81280569096848254</v>
      </c>
      <c r="AC252" s="62">
        <f t="shared" si="189"/>
        <v>0.81280569096848254</v>
      </c>
    </row>
    <row r="253" spans="1:44" x14ac:dyDescent="0.3">
      <c r="A253" s="30" t="str">
        <f t="shared" si="161"/>
        <v>Fuel Economy</v>
      </c>
      <c r="B253" s="62">
        <f t="shared" si="162"/>
        <v>588.84626218043502</v>
      </c>
      <c r="C253" s="62">
        <f t="shared" si="163"/>
        <v>588.7797515206795</v>
      </c>
      <c r="D253" s="62">
        <f t="shared" si="164"/>
        <v>588.68454299264499</v>
      </c>
      <c r="E253" s="62">
        <f t="shared" si="165"/>
        <v>588.54834049792862</v>
      </c>
      <c r="F253" s="62">
        <f t="shared" si="166"/>
        <v>588.35367707840635</v>
      </c>
      <c r="G253" s="62">
        <f t="shared" si="167"/>
        <v>588.07585031023859</v>
      </c>
      <c r="H253" s="62">
        <f t="shared" si="168"/>
        <v>587.68015683400074</v>
      </c>
      <c r="I253" s="62">
        <f t="shared" si="169"/>
        <v>587.11832882111048</v>
      </c>
      <c r="J253" s="62">
        <f t="shared" si="170"/>
        <v>586.32423891311498</v>
      </c>
      <c r="K253" s="62">
        <f t="shared" si="171"/>
        <v>585.20935100885799</v>
      </c>
      <c r="L253" s="62">
        <f t="shared" si="172"/>
        <v>583.65925210509909</v>
      </c>
      <c r="M253" s="62">
        <f t="shared" si="173"/>
        <v>581.53412449736095</v>
      </c>
      <c r="N253" s="62">
        <f t="shared" si="174"/>
        <v>578.67818071202885</v>
      </c>
      <c r="O253" s="62">
        <f t="shared" si="175"/>
        <v>574.94491045683674</v>
      </c>
      <c r="P253" s="62">
        <f t="shared" si="176"/>
        <v>570.24348757499536</v>
      </c>
      <c r="Q253" s="62">
        <f t="shared" si="177"/>
        <v>564.60191507115064</v>
      </c>
      <c r="R253" s="62">
        <f t="shared" si="178"/>
        <v>558.22257351659471</v>
      </c>
      <c r="S253" s="62">
        <f t="shared" si="179"/>
        <v>551.48792881122972</v>
      </c>
      <c r="T253" s="62">
        <f t="shared" si="180"/>
        <v>544.8858093168667</v>
      </c>
      <c r="U253" s="62">
        <f t="shared" si="181"/>
        <v>538.87576404606182</v>
      </c>
      <c r="V253" s="62">
        <f t="shared" si="182"/>
        <v>533.76808141278241</v>
      </c>
      <c r="W253" s="62">
        <f t="shared" si="183"/>
        <v>529.67774235765876</v>
      </c>
      <c r="X253" s="62">
        <f t="shared" si="184"/>
        <v>526.55663211639694</v>
      </c>
      <c r="Y253" s="62">
        <f t="shared" si="185"/>
        <v>524.26236577566647</v>
      </c>
      <c r="Z253" s="62">
        <f t="shared" si="186"/>
        <v>522.6219985324251</v>
      </c>
      <c r="AA253" s="62">
        <f t="shared" si="187"/>
        <v>521.47234334377424</v>
      </c>
      <c r="AB253" s="62">
        <f t="shared" si="188"/>
        <v>520.67786094508608</v>
      </c>
      <c r="AC253" s="62">
        <f t="shared" si="189"/>
        <v>520.13415704908732</v>
      </c>
    </row>
    <row r="254" spans="1:44" x14ac:dyDescent="0.3">
      <c r="A254" s="30" t="str">
        <f t="shared" si="161"/>
        <v>Fuel Cost</v>
      </c>
      <c r="B254" s="62">
        <f t="shared" si="162"/>
        <v>0.18921533183108133</v>
      </c>
      <c r="C254" s="62">
        <f t="shared" si="163"/>
        <v>0.18913115990463616</v>
      </c>
      <c r="D254" s="62">
        <f t="shared" si="164"/>
        <v>0.18901066966670843</v>
      </c>
      <c r="E254" s="62">
        <f t="shared" si="165"/>
        <v>0.18883829990810047</v>
      </c>
      <c r="F254" s="62">
        <f t="shared" si="166"/>
        <v>0.18859194548777405</v>
      </c>
      <c r="G254" s="62">
        <f t="shared" si="167"/>
        <v>0.18824034449057031</v>
      </c>
      <c r="H254" s="62">
        <f t="shared" si="168"/>
        <v>0.18773957841338568</v>
      </c>
      <c r="I254" s="62">
        <f t="shared" si="169"/>
        <v>0.18702856236949611</v>
      </c>
      <c r="J254" s="62">
        <f t="shared" si="170"/>
        <v>0.18602360951573774</v>
      </c>
      <c r="K254" s="62">
        <f t="shared" si="171"/>
        <v>0.18461267383991228</v>
      </c>
      <c r="L254" s="62">
        <f t="shared" si="172"/>
        <v>0.18265096106500425</v>
      </c>
      <c r="M254" s="62">
        <f t="shared" si="173"/>
        <v>0.17996152623842626</v>
      </c>
      <c r="N254" s="62">
        <f t="shared" si="174"/>
        <v>0.17634721401969033</v>
      </c>
      <c r="O254" s="62">
        <f t="shared" si="175"/>
        <v>0.17162260971603249</v>
      </c>
      <c r="P254" s="62">
        <f t="shared" si="176"/>
        <v>0.16567276915735063</v>
      </c>
      <c r="Q254" s="62">
        <f t="shared" si="177"/>
        <v>0.15853313127713237</v>
      </c>
      <c r="R254" s="62">
        <f t="shared" si="178"/>
        <v>0.1504598168629829</v>
      </c>
      <c r="S254" s="62">
        <f t="shared" si="179"/>
        <v>0.14193685195994088</v>
      </c>
      <c r="T254" s="62">
        <f t="shared" si="180"/>
        <v>0.13358160306443201</v>
      </c>
      <c r="U254" s="62">
        <f t="shared" si="181"/>
        <v>0.12597564801412947</v>
      </c>
      <c r="V254" s="62">
        <f t="shared" si="182"/>
        <v>0.11951166933019994</v>
      </c>
      <c r="W254" s="62">
        <f t="shared" si="183"/>
        <v>0.1143351800373662</v>
      </c>
      <c r="X254" s="62">
        <f t="shared" si="184"/>
        <v>0.11038528895794403</v>
      </c>
      <c r="Y254" s="62">
        <f t="shared" si="185"/>
        <v>0.10748180223284623</v>
      </c>
      <c r="Z254" s="62">
        <f t="shared" si="186"/>
        <v>0.10540585122816921</v>
      </c>
      <c r="AA254" s="62">
        <f t="shared" si="187"/>
        <v>0.10395091614960947</v>
      </c>
      <c r="AB254" s="62">
        <f t="shared" si="188"/>
        <v>0.10294546658302588</v>
      </c>
      <c r="AC254" s="62">
        <f t="shared" si="189"/>
        <v>0.10225738734113901</v>
      </c>
    </row>
    <row r="255" spans="1:44" x14ac:dyDescent="0.3">
      <c r="A255" s="30" t="str">
        <f t="shared" ref="A255" si="190">A235</f>
        <v>Emission Cost</v>
      </c>
      <c r="B255" s="66">
        <f>$B235+($C235-$B235)*(1-Q235)</f>
        <v>2.4864501794892204</v>
      </c>
      <c r="C255" s="66">
        <f t="shared" ref="C255:AC255" si="191">$B235+($C235-$B235)*(1-R235)</f>
        <v>2.4840824730905622</v>
      </c>
      <c r="D255" s="66">
        <f t="shared" si="191"/>
        <v>2.4806931541172901</v>
      </c>
      <c r="E255" s="66">
        <f t="shared" si="191"/>
        <v>2.4758444949784595</v>
      </c>
      <c r="F255" s="66">
        <f t="shared" si="191"/>
        <v>2.4689146911593123</v>
      </c>
      <c r="G255" s="66">
        <f t="shared" si="191"/>
        <v>2.4590243635166811</v>
      </c>
      <c r="H255" s="66">
        <f t="shared" si="191"/>
        <v>2.4449381105906096</v>
      </c>
      <c r="I255" s="66">
        <f t="shared" si="191"/>
        <v>2.4249376507251341</v>
      </c>
      <c r="J255" s="66">
        <f t="shared" si="191"/>
        <v>2.3966689226267675</v>
      </c>
      <c r="K255" s="66">
        <f t="shared" si="191"/>
        <v>2.3569801383867617</v>
      </c>
      <c r="L255" s="66">
        <f t="shared" si="191"/>
        <v>2.3017983208183335</v>
      </c>
      <c r="M255" s="66">
        <f t="shared" si="191"/>
        <v>2.2261461132879194</v>
      </c>
      <c r="N255" s="66">
        <f t="shared" si="191"/>
        <v>2.1244776529298637</v>
      </c>
      <c r="O255" s="66">
        <f t="shared" si="191"/>
        <v>1.991577334339808</v>
      </c>
      <c r="P255" s="66">
        <f t="shared" si="191"/>
        <v>1.824211846145027</v>
      </c>
      <c r="Q255" s="66">
        <f t="shared" si="191"/>
        <v>1.6233780645383806</v>
      </c>
      <c r="R255" s="66">
        <f t="shared" si="191"/>
        <v>1.396280515461632</v>
      </c>
      <c r="S255" s="66">
        <f t="shared" si="191"/>
        <v>1.156534564659107</v>
      </c>
      <c r="T255" s="66">
        <f t="shared" si="191"/>
        <v>0.92150636573615219</v>
      </c>
      <c r="U255" s="66">
        <f t="shared" si="191"/>
        <v>0.70755535854084983</v>
      </c>
      <c r="V255" s="66">
        <f t="shared" si="191"/>
        <v>0.52572746963416073</v>
      </c>
      <c r="W255" s="66">
        <f t="shared" si="191"/>
        <v>0.38011589414984037</v>
      </c>
      <c r="X255" s="66">
        <f t="shared" si="191"/>
        <v>0.26900779935239649</v>
      </c>
      <c r="Y255" s="66">
        <f t="shared" si="191"/>
        <v>0.18733443879419109</v>
      </c>
      <c r="Z255" s="66">
        <f t="shared" si="191"/>
        <v>0.12893916753616796</v>
      </c>
      <c r="AA255" s="66">
        <f t="shared" si="191"/>
        <v>8.8012706177544864E-2</v>
      </c>
      <c r="AB255" s="66">
        <f t="shared" si="191"/>
        <v>5.9730005841827971E-2</v>
      </c>
      <c r="AC255" s="66">
        <f t="shared" si="191"/>
        <v>4.0374744621079817E-2</v>
      </c>
    </row>
    <row r="256" spans="1:44" x14ac:dyDescent="0.3">
      <c r="A256" s="30" t="str">
        <f>A236</f>
        <v>Lifetime vehicle</v>
      </c>
      <c r="B256" s="62">
        <f>$B236+($C236-$B236)*(1-Q236)</f>
        <v>25</v>
      </c>
      <c r="C256" s="62">
        <f t="shared" ref="C256:L258" si="192">$B236+($C236-$B236)*(1-R236)</f>
        <v>25</v>
      </c>
      <c r="D256" s="62">
        <f t="shared" si="192"/>
        <v>25</v>
      </c>
      <c r="E256" s="62">
        <f t="shared" si="192"/>
        <v>25</v>
      </c>
      <c r="F256" s="62">
        <f t="shared" si="192"/>
        <v>25</v>
      </c>
      <c r="G256" s="62">
        <f t="shared" si="192"/>
        <v>25</v>
      </c>
      <c r="H256" s="62">
        <f t="shared" si="192"/>
        <v>25</v>
      </c>
      <c r="I256" s="62">
        <f t="shared" si="192"/>
        <v>25</v>
      </c>
      <c r="J256" s="62">
        <f t="shared" si="192"/>
        <v>25</v>
      </c>
      <c r="K256" s="62">
        <f t="shared" si="192"/>
        <v>25</v>
      </c>
      <c r="L256" s="62">
        <f t="shared" si="192"/>
        <v>25</v>
      </c>
      <c r="M256" s="62">
        <f t="shared" ref="M256:V258" si="193">$B236+($C236-$B236)*(1-AB236)</f>
        <v>25</v>
      </c>
      <c r="N256" s="62">
        <f t="shared" si="193"/>
        <v>25</v>
      </c>
      <c r="O256" s="62">
        <f t="shared" si="193"/>
        <v>25</v>
      </c>
      <c r="P256" s="62">
        <f t="shared" si="193"/>
        <v>25</v>
      </c>
      <c r="Q256" s="62">
        <f t="shared" si="193"/>
        <v>25</v>
      </c>
      <c r="R256" s="62">
        <f t="shared" si="193"/>
        <v>25</v>
      </c>
      <c r="S256" s="62">
        <f t="shared" si="193"/>
        <v>25</v>
      </c>
      <c r="T256" s="62">
        <f t="shared" si="193"/>
        <v>25</v>
      </c>
      <c r="U256" s="62">
        <f t="shared" si="193"/>
        <v>25</v>
      </c>
      <c r="V256" s="62">
        <f t="shared" si="193"/>
        <v>25</v>
      </c>
      <c r="W256" s="62">
        <f t="shared" ref="W256:AC258" si="194">$B236+($C236-$B236)*(1-AL236)</f>
        <v>25</v>
      </c>
      <c r="X256" s="62">
        <f t="shared" si="194"/>
        <v>25</v>
      </c>
      <c r="Y256" s="62">
        <f t="shared" si="194"/>
        <v>25</v>
      </c>
      <c r="Z256" s="62">
        <f t="shared" si="194"/>
        <v>25</v>
      </c>
      <c r="AA256" s="62">
        <f t="shared" si="194"/>
        <v>25</v>
      </c>
      <c r="AB256" s="62">
        <f t="shared" si="194"/>
        <v>25</v>
      </c>
      <c r="AC256" s="62">
        <f t="shared" si="194"/>
        <v>25</v>
      </c>
    </row>
    <row r="257" spans="1:29" x14ac:dyDescent="0.3">
      <c r="A257" s="30" t="str">
        <f>A237</f>
        <v>Lifetime costumization</v>
      </c>
      <c r="B257" s="62">
        <f>$B237+($C237-$B237)*(1-Q237)</f>
        <v>25</v>
      </c>
      <c r="C257" s="62">
        <f t="shared" si="192"/>
        <v>25</v>
      </c>
      <c r="D257" s="62">
        <f t="shared" si="192"/>
        <v>25</v>
      </c>
      <c r="E257" s="62">
        <f t="shared" si="192"/>
        <v>25</v>
      </c>
      <c r="F257" s="62">
        <f t="shared" si="192"/>
        <v>25</v>
      </c>
      <c r="G257" s="62">
        <f t="shared" si="192"/>
        <v>25</v>
      </c>
      <c r="H257" s="62">
        <f t="shared" si="192"/>
        <v>25</v>
      </c>
      <c r="I257" s="62">
        <f t="shared" si="192"/>
        <v>25</v>
      </c>
      <c r="J257" s="62">
        <f t="shared" si="192"/>
        <v>25</v>
      </c>
      <c r="K257" s="62">
        <f t="shared" si="192"/>
        <v>25</v>
      </c>
      <c r="L257" s="62">
        <f t="shared" si="192"/>
        <v>25</v>
      </c>
      <c r="M257" s="62">
        <f t="shared" si="193"/>
        <v>25</v>
      </c>
      <c r="N257" s="62">
        <f t="shared" si="193"/>
        <v>25</v>
      </c>
      <c r="O257" s="62">
        <f t="shared" si="193"/>
        <v>25</v>
      </c>
      <c r="P257" s="62">
        <f t="shared" si="193"/>
        <v>25</v>
      </c>
      <c r="Q257" s="62">
        <f t="shared" si="193"/>
        <v>25</v>
      </c>
      <c r="R257" s="62">
        <f t="shared" si="193"/>
        <v>25</v>
      </c>
      <c r="S257" s="62">
        <f t="shared" si="193"/>
        <v>25</v>
      </c>
      <c r="T257" s="62">
        <f t="shared" si="193"/>
        <v>25</v>
      </c>
      <c r="U257" s="62">
        <f t="shared" si="193"/>
        <v>25</v>
      </c>
      <c r="V257" s="62">
        <f t="shared" si="193"/>
        <v>25</v>
      </c>
      <c r="W257" s="62">
        <f t="shared" si="194"/>
        <v>25</v>
      </c>
      <c r="X257" s="62">
        <f t="shared" si="194"/>
        <v>25</v>
      </c>
      <c r="Y257" s="62">
        <f t="shared" si="194"/>
        <v>25</v>
      </c>
      <c r="Z257" s="62">
        <f t="shared" si="194"/>
        <v>25</v>
      </c>
      <c r="AA257" s="62">
        <f t="shared" si="194"/>
        <v>25</v>
      </c>
      <c r="AB257" s="62">
        <f t="shared" si="194"/>
        <v>25</v>
      </c>
      <c r="AC257" s="62">
        <f t="shared" si="194"/>
        <v>25</v>
      </c>
    </row>
    <row r="258" spans="1:29" x14ac:dyDescent="0.3">
      <c r="A258" s="30" t="str">
        <f>A238</f>
        <v>Tonnage .</v>
      </c>
      <c r="B258" s="62">
        <f>$B238+($C238-$B238)*(1-Q238)</f>
        <v>9450</v>
      </c>
      <c r="C258" s="62">
        <f t="shared" si="192"/>
        <v>9450</v>
      </c>
      <c r="D258" s="62">
        <f t="shared" si="192"/>
        <v>9450</v>
      </c>
      <c r="E258" s="62">
        <f t="shared" si="192"/>
        <v>9450</v>
      </c>
      <c r="F258" s="62">
        <f t="shared" si="192"/>
        <v>9450</v>
      </c>
      <c r="G258" s="62">
        <f t="shared" si="192"/>
        <v>9450</v>
      </c>
      <c r="H258" s="62">
        <f t="shared" si="192"/>
        <v>9450</v>
      </c>
      <c r="I258" s="62">
        <f t="shared" si="192"/>
        <v>9450</v>
      </c>
      <c r="J258" s="62">
        <f t="shared" si="192"/>
        <v>9450</v>
      </c>
      <c r="K258" s="62">
        <f t="shared" si="192"/>
        <v>9450</v>
      </c>
      <c r="L258" s="62">
        <f t="shared" si="192"/>
        <v>9450</v>
      </c>
      <c r="M258" s="62">
        <f t="shared" si="193"/>
        <v>9450</v>
      </c>
      <c r="N258" s="62">
        <f t="shared" si="193"/>
        <v>9450</v>
      </c>
      <c r="O258" s="62">
        <f t="shared" si="193"/>
        <v>9450</v>
      </c>
      <c r="P258" s="62">
        <f t="shared" si="193"/>
        <v>9450</v>
      </c>
      <c r="Q258" s="62">
        <f t="shared" si="193"/>
        <v>9450</v>
      </c>
      <c r="R258" s="62">
        <f t="shared" si="193"/>
        <v>9450</v>
      </c>
      <c r="S258" s="62">
        <f t="shared" si="193"/>
        <v>9450</v>
      </c>
      <c r="T258" s="62">
        <f t="shared" si="193"/>
        <v>9450</v>
      </c>
      <c r="U258" s="62">
        <f t="shared" si="193"/>
        <v>9450</v>
      </c>
      <c r="V258" s="62">
        <f t="shared" si="193"/>
        <v>9450</v>
      </c>
      <c r="W258" s="62">
        <f t="shared" si="194"/>
        <v>9450</v>
      </c>
      <c r="X258" s="62">
        <f t="shared" si="194"/>
        <v>9450</v>
      </c>
      <c r="Y258" s="62">
        <f t="shared" si="194"/>
        <v>9450</v>
      </c>
      <c r="Z258" s="62">
        <f t="shared" si="194"/>
        <v>9450</v>
      </c>
      <c r="AA258" s="62">
        <f t="shared" si="194"/>
        <v>9450</v>
      </c>
      <c r="AB258" s="62">
        <f t="shared" si="194"/>
        <v>9450</v>
      </c>
      <c r="AC258" s="62">
        <f t="shared" si="194"/>
        <v>9450</v>
      </c>
    </row>
    <row r="259" spans="1:29" x14ac:dyDescent="0.3">
      <c r="A259" s="30" t="str">
        <f>A239</f>
        <v>Market failure (av. utilization)</v>
      </c>
      <c r="B259" s="62">
        <f t="shared" ref="B259:K260" si="195">($B239+($C239-$B239)*(1-Q239))*B$44</f>
        <v>3685.5</v>
      </c>
      <c r="C259" s="62">
        <f t="shared" si="195"/>
        <v>3685.5</v>
      </c>
      <c r="D259" s="62">
        <f t="shared" si="195"/>
        <v>3685.5</v>
      </c>
      <c r="E259" s="62">
        <f t="shared" si="195"/>
        <v>3685.5</v>
      </c>
      <c r="F259" s="62">
        <f t="shared" si="195"/>
        <v>3685.5</v>
      </c>
      <c r="G259" s="62">
        <f t="shared" si="195"/>
        <v>3685.5</v>
      </c>
      <c r="H259" s="62">
        <f t="shared" si="195"/>
        <v>3685.5</v>
      </c>
      <c r="I259" s="62">
        <f t="shared" si="195"/>
        <v>3685.5</v>
      </c>
      <c r="J259" s="62">
        <f t="shared" si="195"/>
        <v>3685.5</v>
      </c>
      <c r="K259" s="62">
        <f t="shared" si="195"/>
        <v>3685.5</v>
      </c>
      <c r="L259" s="62">
        <f t="shared" ref="L259:U260" si="196">($B239+($C239-$B239)*(1-AA239))*L$44</f>
        <v>3685.5</v>
      </c>
      <c r="M259" s="62">
        <f t="shared" si="196"/>
        <v>3685.5</v>
      </c>
      <c r="N259" s="62">
        <f t="shared" si="196"/>
        <v>3685.5</v>
      </c>
      <c r="O259" s="62">
        <f t="shared" si="196"/>
        <v>3685.5</v>
      </c>
      <c r="P259" s="62">
        <f t="shared" si="196"/>
        <v>3685.5</v>
      </c>
      <c r="Q259" s="62">
        <f t="shared" si="196"/>
        <v>3685.5</v>
      </c>
      <c r="R259" s="62">
        <f t="shared" si="196"/>
        <v>3685.5</v>
      </c>
      <c r="S259" s="62">
        <f t="shared" si="196"/>
        <v>3685.5</v>
      </c>
      <c r="T259" s="62">
        <f t="shared" si="196"/>
        <v>3685.5</v>
      </c>
      <c r="U259" s="62">
        <f t="shared" si="196"/>
        <v>3685.5</v>
      </c>
      <c r="V259" s="62">
        <f t="shared" ref="V259:AC260" si="197">($B239+($C239-$B239)*(1-AK239))*V$44</f>
        <v>3685.5</v>
      </c>
      <c r="W259" s="62">
        <f t="shared" si="197"/>
        <v>3685.5</v>
      </c>
      <c r="X259" s="62">
        <f t="shared" si="197"/>
        <v>3685.5</v>
      </c>
      <c r="Y259" s="62">
        <f t="shared" si="197"/>
        <v>3685.5</v>
      </c>
      <c r="Z259" s="62">
        <f t="shared" si="197"/>
        <v>3685.5</v>
      </c>
      <c r="AA259" s="62">
        <f t="shared" si="197"/>
        <v>3685.5</v>
      </c>
      <c r="AB259" s="62">
        <f t="shared" si="197"/>
        <v>3685.5</v>
      </c>
      <c r="AC259" s="62">
        <f t="shared" si="197"/>
        <v>3685.5</v>
      </c>
    </row>
    <row r="260" spans="1:29" x14ac:dyDescent="0.3">
      <c r="A260" s="30" t="s">
        <v>73</v>
      </c>
      <c r="B260" s="62">
        <f t="shared" si="195"/>
        <v>7544.8491378818671</v>
      </c>
      <c r="C260" s="62">
        <f t="shared" si="195"/>
        <v>7538.2945123629625</v>
      </c>
      <c r="D260" s="62">
        <f t="shared" si="195"/>
        <v>7528.9117119251632</v>
      </c>
      <c r="E260" s="62">
        <f t="shared" si="195"/>
        <v>7515.488956070868</v>
      </c>
      <c r="F260" s="62">
        <f t="shared" si="195"/>
        <v>7496.3048760769479</v>
      </c>
      <c r="G260" s="62">
        <f t="shared" si="195"/>
        <v>7468.9250480740156</v>
      </c>
      <c r="H260" s="62">
        <f t="shared" si="195"/>
        <v>7429.9294559907767</v>
      </c>
      <c r="I260" s="62">
        <f t="shared" si="195"/>
        <v>7374.5613053204333</v>
      </c>
      <c r="J260" s="62">
        <f t="shared" si="195"/>
        <v>7296.3037448874775</v>
      </c>
      <c r="K260" s="62">
        <f t="shared" si="195"/>
        <v>7186.4315419229515</v>
      </c>
      <c r="L260" s="62">
        <f t="shared" si="196"/>
        <v>7033.6692949575117</v>
      </c>
      <c r="M260" s="62">
        <f t="shared" si="196"/>
        <v>6824.2379692149188</v>
      </c>
      <c r="N260" s="62">
        <f t="shared" si="196"/>
        <v>6542.7847091704489</v>
      </c>
      <c r="O260" s="62">
        <f t="shared" si="196"/>
        <v>6174.8709255212598</v>
      </c>
      <c r="P260" s="62">
        <f t="shared" si="196"/>
        <v>5711.5457005157941</v>
      </c>
      <c r="Q260" s="62">
        <f t="shared" si="196"/>
        <v>5155.5687302619008</v>
      </c>
      <c r="R260" s="62">
        <f t="shared" si="196"/>
        <v>4526.8846200604085</v>
      </c>
      <c r="S260" s="62">
        <f t="shared" si="196"/>
        <v>3863.1853843466915</v>
      </c>
      <c r="T260" s="62">
        <f t="shared" si="196"/>
        <v>3212.546508177219</v>
      </c>
      <c r="U260" s="62">
        <f t="shared" si="196"/>
        <v>2620.2565467393952</v>
      </c>
      <c r="V260" s="62">
        <f t="shared" si="197"/>
        <v>2116.8944232297076</v>
      </c>
      <c r="W260" s="62">
        <f t="shared" si="197"/>
        <v>1713.7915093472698</v>
      </c>
      <c r="X260" s="62">
        <f t="shared" si="197"/>
        <v>1406.2060950709249</v>
      </c>
      <c r="Y260" s="62">
        <f t="shared" si="197"/>
        <v>1180.1061471919265</v>
      </c>
      <c r="Z260" s="62">
        <f t="shared" si="197"/>
        <v>1018.4479553704999</v>
      </c>
      <c r="AA260" s="62">
        <f t="shared" si="197"/>
        <v>905.14943652894976</v>
      </c>
      <c r="AB260" s="62">
        <f t="shared" si="197"/>
        <v>826.85319613823299</v>
      </c>
      <c r="AC260" s="62">
        <f t="shared" si="197"/>
        <v>773.27117718755233</v>
      </c>
    </row>
    <row r="261" spans="1:29" x14ac:dyDescent="0.3">
      <c r="A261" s="30" t="str">
        <f>A241</f>
        <v>Annual Mileage</v>
      </c>
      <c r="B261" s="62">
        <f t="shared" ref="B261:AC261" si="198">$B241+($C241-$B241)*(1-Q241)</f>
        <v>120000</v>
      </c>
      <c r="C261" s="62">
        <f t="shared" si="198"/>
        <v>120000</v>
      </c>
      <c r="D261" s="62">
        <f t="shared" si="198"/>
        <v>120000</v>
      </c>
      <c r="E261" s="62">
        <f t="shared" si="198"/>
        <v>120000</v>
      </c>
      <c r="F261" s="62">
        <f t="shared" si="198"/>
        <v>120000</v>
      </c>
      <c r="G261" s="62">
        <f t="shared" si="198"/>
        <v>120000</v>
      </c>
      <c r="H261" s="62">
        <f t="shared" si="198"/>
        <v>120000</v>
      </c>
      <c r="I261" s="62">
        <f t="shared" si="198"/>
        <v>120000</v>
      </c>
      <c r="J261" s="62">
        <f t="shared" si="198"/>
        <v>120000</v>
      </c>
      <c r="K261" s="62">
        <f t="shared" si="198"/>
        <v>120000</v>
      </c>
      <c r="L261" s="62">
        <f t="shared" si="198"/>
        <v>120000</v>
      </c>
      <c r="M261" s="62">
        <f t="shared" si="198"/>
        <v>120000</v>
      </c>
      <c r="N261" s="62">
        <f t="shared" si="198"/>
        <v>120000</v>
      </c>
      <c r="O261" s="62">
        <f t="shared" si="198"/>
        <v>120000</v>
      </c>
      <c r="P261" s="62">
        <f t="shared" si="198"/>
        <v>120000</v>
      </c>
      <c r="Q261" s="62">
        <f t="shared" si="198"/>
        <v>120000</v>
      </c>
      <c r="R261" s="62">
        <f t="shared" si="198"/>
        <v>120000</v>
      </c>
      <c r="S261" s="62">
        <f t="shared" si="198"/>
        <v>120000</v>
      </c>
      <c r="T261" s="62">
        <f t="shared" si="198"/>
        <v>120000</v>
      </c>
      <c r="U261" s="62">
        <f t="shared" si="198"/>
        <v>120000</v>
      </c>
      <c r="V261" s="62">
        <f t="shared" si="198"/>
        <v>120000</v>
      </c>
      <c r="W261" s="62">
        <f t="shared" si="198"/>
        <v>120000</v>
      </c>
      <c r="X261" s="62">
        <f t="shared" si="198"/>
        <v>120000</v>
      </c>
      <c r="Y261" s="62">
        <f t="shared" si="198"/>
        <v>120000</v>
      </c>
      <c r="Z261" s="62">
        <f t="shared" si="198"/>
        <v>120000</v>
      </c>
      <c r="AA261" s="62">
        <f t="shared" si="198"/>
        <v>120000</v>
      </c>
      <c r="AB261" s="62">
        <f t="shared" si="198"/>
        <v>120000</v>
      </c>
      <c r="AC261" s="62">
        <f t="shared" si="198"/>
        <v>120000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2344739.8769242726</v>
      </c>
      <c r="C264" s="63">
        <f t="shared" ref="C264:AC264" si="199">((1+C249)^C256)*C249/(((1+C249)^C256)-1)*(C245)</f>
        <v>2343847.949386192</v>
      </c>
      <c r="D264" s="63">
        <f t="shared" si="199"/>
        <v>2342571.1749815131</v>
      </c>
      <c r="E264" s="63">
        <f t="shared" si="199"/>
        <v>2340744.6594088301</v>
      </c>
      <c r="F264" s="63">
        <f t="shared" si="199"/>
        <v>2338134.1656147949</v>
      </c>
      <c r="G264" s="63">
        <f t="shared" si="199"/>
        <v>2334408.426819603</v>
      </c>
      <c r="H264" s="63">
        <f t="shared" si="199"/>
        <v>2329102.0607514726</v>
      </c>
      <c r="I264" s="63">
        <f t="shared" si="199"/>
        <v>2321567.7816117923</v>
      </c>
      <c r="J264" s="63">
        <f t="shared" si="199"/>
        <v>2310918.8020458543</v>
      </c>
      <c r="K264" s="63">
        <f t="shared" si="199"/>
        <v>2295967.8268587827</v>
      </c>
      <c r="L264" s="63">
        <f t="shared" si="199"/>
        <v>2275180.5439766962</v>
      </c>
      <c r="M264" s="63">
        <f t="shared" si="199"/>
        <v>2246681.9567991556</v>
      </c>
      <c r="N264" s="63">
        <f t="shared" si="199"/>
        <v>2208382.9094176819</v>
      </c>
      <c r="O264" s="63">
        <f t="shared" si="199"/>
        <v>2158318.6556582791</v>
      </c>
      <c r="P264" s="63">
        <f t="shared" si="199"/>
        <v>2095271.1900055008</v>
      </c>
      <c r="Q264" s="63">
        <f t="shared" si="199"/>
        <v>2019616.0409999515</v>
      </c>
      <c r="R264" s="63">
        <f t="shared" si="199"/>
        <v>1934067.1917139916</v>
      </c>
      <c r="S264" s="63">
        <f t="shared" si="199"/>
        <v>1843753.6225209001</v>
      </c>
      <c r="T264" s="63">
        <f t="shared" si="199"/>
        <v>1755217.2554427353</v>
      </c>
      <c r="U264" s="63">
        <f t="shared" si="199"/>
        <v>1674620.7780983469</v>
      </c>
      <c r="V264" s="63">
        <f t="shared" si="199"/>
        <v>1606125.2495146997</v>
      </c>
      <c r="W264" s="63">
        <f t="shared" si="199"/>
        <v>1551272.5979733593</v>
      </c>
      <c r="X264" s="63">
        <f t="shared" si="199"/>
        <v>1509417.5903129096</v>
      </c>
      <c r="Y264" s="63">
        <f t="shared" si="199"/>
        <v>1478650.8029060119</v>
      </c>
      <c r="Z264" s="63">
        <f t="shared" si="199"/>
        <v>1456652.995002867</v>
      </c>
      <c r="AA264" s="63">
        <f t="shared" si="199"/>
        <v>1441235.7802913454</v>
      </c>
      <c r="AB264" s="63">
        <f t="shared" si="199"/>
        <v>1430581.5373096101</v>
      </c>
      <c r="AC264" s="63">
        <f t="shared" si="199"/>
        <v>1423290.3079159164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-117391.61905450956</v>
      </c>
      <c r="C265" s="62">
        <f t="shared" ref="C265:AC265" si="200">((1+C249)^C256)*C249/(((1+C249)^C256)-1)*(C246)</f>
        <v>-117413.91724296159</v>
      </c>
      <c r="D265" s="62">
        <f t="shared" si="200"/>
        <v>-117445.83660307855</v>
      </c>
      <c r="E265" s="62">
        <f t="shared" si="200"/>
        <v>-117491.49949239564</v>
      </c>
      <c r="F265" s="62">
        <f t="shared" si="200"/>
        <v>-117556.76183724651</v>
      </c>
      <c r="G265" s="62">
        <f t="shared" si="200"/>
        <v>-117649.9053071263</v>
      </c>
      <c r="H265" s="62">
        <f t="shared" si="200"/>
        <v>-117782.56445882957</v>
      </c>
      <c r="I265" s="62">
        <f t="shared" si="200"/>
        <v>-117970.92143732157</v>
      </c>
      <c r="J265" s="62">
        <f t="shared" si="200"/>
        <v>-118237.14592647002</v>
      </c>
      <c r="K265" s="62">
        <f t="shared" si="200"/>
        <v>-118610.92030614681</v>
      </c>
      <c r="L265" s="62">
        <f t="shared" si="200"/>
        <v>-119130.60237819898</v>
      </c>
      <c r="M265" s="62">
        <f t="shared" si="200"/>
        <v>-119843.06705763748</v>
      </c>
      <c r="N265" s="62">
        <f t="shared" si="200"/>
        <v>-120800.54324217433</v>
      </c>
      <c r="O265" s="62">
        <f t="shared" si="200"/>
        <v>-122052.1495861594</v>
      </c>
      <c r="P265" s="62">
        <f t="shared" si="200"/>
        <v>-123628.33622747887</v>
      </c>
      <c r="Q265" s="62">
        <f t="shared" si="200"/>
        <v>-125519.71495261759</v>
      </c>
      <c r="R265" s="62">
        <f t="shared" si="200"/>
        <v>-127658.43618476659</v>
      </c>
      <c r="S265" s="62">
        <f t="shared" si="200"/>
        <v>-129916.27541459388</v>
      </c>
      <c r="T265" s="62">
        <f t="shared" si="200"/>
        <v>-132129.68459154799</v>
      </c>
      <c r="U265" s="62">
        <f t="shared" si="200"/>
        <v>-134144.59652515771</v>
      </c>
      <c r="V265" s="62">
        <f t="shared" si="200"/>
        <v>-135856.98473974891</v>
      </c>
      <c r="W265" s="62">
        <f t="shared" si="200"/>
        <v>-137228.30102828241</v>
      </c>
      <c r="X265" s="62">
        <f t="shared" si="200"/>
        <v>-138274.67621979365</v>
      </c>
      <c r="Y265" s="62">
        <f t="shared" si="200"/>
        <v>-139043.84590496609</v>
      </c>
      <c r="Z265" s="62">
        <f t="shared" si="200"/>
        <v>-139593.79110254472</v>
      </c>
      <c r="AA265" s="62">
        <f t="shared" si="200"/>
        <v>-139979.22147033276</v>
      </c>
      <c r="AB265" s="62">
        <f t="shared" si="200"/>
        <v>-140245.57754487614</v>
      </c>
      <c r="AC265" s="62">
        <f t="shared" si="200"/>
        <v>-140427.85827971846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201">((1+C249)^C257)*C249/(((1+C249)^C257)-1)*(C247)</f>
        <v>78226.718212273947</v>
      </c>
      <c r="D266" s="62">
        <f t="shared" si="201"/>
        <v>78226.718212273947</v>
      </c>
      <c r="E266" s="62">
        <f t="shared" si="201"/>
        <v>78226.718212273947</v>
      </c>
      <c r="F266" s="62">
        <f t="shared" si="201"/>
        <v>78226.718212273947</v>
      </c>
      <c r="G266" s="62">
        <f t="shared" si="201"/>
        <v>78226.718212273947</v>
      </c>
      <c r="H266" s="62">
        <f t="shared" si="201"/>
        <v>78226.718212273947</v>
      </c>
      <c r="I266" s="62">
        <f t="shared" si="201"/>
        <v>78226.718212273947</v>
      </c>
      <c r="J266" s="62">
        <f t="shared" si="201"/>
        <v>78226.718212273947</v>
      </c>
      <c r="K266" s="62">
        <f t="shared" si="201"/>
        <v>78226.718212273947</v>
      </c>
      <c r="L266" s="62">
        <f t="shared" si="201"/>
        <v>78226.718212273947</v>
      </c>
      <c r="M266" s="62">
        <f t="shared" si="201"/>
        <v>78226.718212273947</v>
      </c>
      <c r="N266" s="62">
        <f t="shared" si="201"/>
        <v>78226.718212273947</v>
      </c>
      <c r="O266" s="62">
        <f t="shared" si="201"/>
        <v>78226.718212273947</v>
      </c>
      <c r="P266" s="62">
        <f t="shared" si="201"/>
        <v>78226.718212273947</v>
      </c>
      <c r="Q266" s="62">
        <f t="shared" si="201"/>
        <v>78226.718212273947</v>
      </c>
      <c r="R266" s="62">
        <f t="shared" si="201"/>
        <v>78226.718212273947</v>
      </c>
      <c r="S266" s="62">
        <f t="shared" si="201"/>
        <v>78226.718212273947</v>
      </c>
      <c r="T266" s="62">
        <f t="shared" si="201"/>
        <v>78226.718212273947</v>
      </c>
      <c r="U266" s="62">
        <f t="shared" si="201"/>
        <v>78226.718212273947</v>
      </c>
      <c r="V266" s="62">
        <f t="shared" si="201"/>
        <v>78226.718212273947</v>
      </c>
      <c r="W266" s="62">
        <f t="shared" si="201"/>
        <v>78226.718212273947</v>
      </c>
      <c r="X266" s="62">
        <f t="shared" si="201"/>
        <v>78226.718212273947</v>
      </c>
      <c r="Y266" s="62">
        <f t="shared" si="201"/>
        <v>78226.718212273947</v>
      </c>
      <c r="Z266" s="62">
        <f t="shared" si="201"/>
        <v>78226.718212273947</v>
      </c>
      <c r="AA266" s="62">
        <f t="shared" si="201"/>
        <v>78226.718212273947</v>
      </c>
      <c r="AB266" s="62">
        <f t="shared" si="201"/>
        <v>78226.718212273947</v>
      </c>
      <c r="AC266" s="62">
        <f t="shared" si="201"/>
        <v>78226.718212273947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202">((1+C249)^C257)*C249/(((1+C249)^C257)-1)*(C248)</f>
        <v>-7822.6718212273945</v>
      </c>
      <c r="D267" s="62">
        <f t="shared" si="202"/>
        <v>-7822.6718212273945</v>
      </c>
      <c r="E267" s="62">
        <f t="shared" si="202"/>
        <v>-7822.6718212273945</v>
      </c>
      <c r="F267" s="62">
        <f t="shared" si="202"/>
        <v>-7822.6718212273945</v>
      </c>
      <c r="G267" s="62">
        <f t="shared" si="202"/>
        <v>-7822.6718212273945</v>
      </c>
      <c r="H267" s="62">
        <f t="shared" si="202"/>
        <v>-7822.6718212273945</v>
      </c>
      <c r="I267" s="62">
        <f t="shared" si="202"/>
        <v>-7822.6718212273945</v>
      </c>
      <c r="J267" s="62">
        <f t="shared" si="202"/>
        <v>-7822.6718212273945</v>
      </c>
      <c r="K267" s="62">
        <f t="shared" si="202"/>
        <v>-7822.6718212273945</v>
      </c>
      <c r="L267" s="62">
        <f t="shared" si="202"/>
        <v>-7822.6718212273945</v>
      </c>
      <c r="M267" s="62">
        <f t="shared" si="202"/>
        <v>-7822.6718212273945</v>
      </c>
      <c r="N267" s="62">
        <f t="shared" si="202"/>
        <v>-7822.6718212273945</v>
      </c>
      <c r="O267" s="62">
        <f t="shared" si="202"/>
        <v>-7822.6718212273945</v>
      </c>
      <c r="P267" s="62">
        <f t="shared" si="202"/>
        <v>-7822.6718212273945</v>
      </c>
      <c r="Q267" s="62">
        <f t="shared" si="202"/>
        <v>-7822.6718212273945</v>
      </c>
      <c r="R267" s="62">
        <f t="shared" si="202"/>
        <v>-7822.6718212273945</v>
      </c>
      <c r="S267" s="62">
        <f t="shared" si="202"/>
        <v>-7822.6718212273945</v>
      </c>
      <c r="T267" s="62">
        <f t="shared" si="202"/>
        <v>-7822.6718212273945</v>
      </c>
      <c r="U267" s="62">
        <f t="shared" si="202"/>
        <v>-7822.6718212273945</v>
      </c>
      <c r="V267" s="62">
        <f t="shared" si="202"/>
        <v>-7822.6718212273945</v>
      </c>
      <c r="W267" s="62">
        <f t="shared" si="202"/>
        <v>-7822.6718212273945</v>
      </c>
      <c r="X267" s="62">
        <f t="shared" si="202"/>
        <v>-7822.6718212273945</v>
      </c>
      <c r="Y267" s="62">
        <f t="shared" si="202"/>
        <v>-7822.6718212273945</v>
      </c>
      <c r="Z267" s="62">
        <f t="shared" si="202"/>
        <v>-7822.6718212273945</v>
      </c>
      <c r="AA267" s="62">
        <f t="shared" si="202"/>
        <v>-7822.6718212273945</v>
      </c>
      <c r="AB267" s="62">
        <f t="shared" si="202"/>
        <v>-7822.6718212273945</v>
      </c>
      <c r="AC267" s="62">
        <f t="shared" si="202"/>
        <v>-7822.6718212273945</v>
      </c>
    </row>
    <row r="268" spans="1:29" x14ac:dyDescent="0.3">
      <c r="A268" s="30" t="str">
        <f t="shared" ref="A268:AC268" si="203">A250</f>
        <v>Opex fix (admin, crew, insurance)</v>
      </c>
      <c r="B268" s="62">
        <f t="shared" si="203"/>
        <v>1208235.294117647</v>
      </c>
      <c r="C268" s="62">
        <f t="shared" si="203"/>
        <v>1208235.294117647</v>
      </c>
      <c r="D268" s="62">
        <f t="shared" si="203"/>
        <v>1208235.294117647</v>
      </c>
      <c r="E268" s="62">
        <f t="shared" si="203"/>
        <v>1208235.294117647</v>
      </c>
      <c r="F268" s="62">
        <f t="shared" si="203"/>
        <v>1208235.294117647</v>
      </c>
      <c r="G268" s="62">
        <f t="shared" si="203"/>
        <v>1208235.294117647</v>
      </c>
      <c r="H268" s="62">
        <f t="shared" si="203"/>
        <v>1208235.294117647</v>
      </c>
      <c r="I268" s="62">
        <f t="shared" si="203"/>
        <v>1208235.294117647</v>
      </c>
      <c r="J268" s="62">
        <f t="shared" si="203"/>
        <v>1208235.294117647</v>
      </c>
      <c r="K268" s="62">
        <f t="shared" si="203"/>
        <v>1208235.294117647</v>
      </c>
      <c r="L268" s="62">
        <f t="shared" si="203"/>
        <v>1208235.294117647</v>
      </c>
      <c r="M268" s="62">
        <f t="shared" si="203"/>
        <v>1208235.294117647</v>
      </c>
      <c r="N268" s="62">
        <f t="shared" si="203"/>
        <v>1208235.294117647</v>
      </c>
      <c r="O268" s="62">
        <f t="shared" si="203"/>
        <v>1208235.294117647</v>
      </c>
      <c r="P268" s="62">
        <f t="shared" si="203"/>
        <v>1208235.294117647</v>
      </c>
      <c r="Q268" s="62">
        <f t="shared" si="203"/>
        <v>1208235.294117647</v>
      </c>
      <c r="R268" s="62">
        <f t="shared" si="203"/>
        <v>1208235.294117647</v>
      </c>
      <c r="S268" s="62">
        <f t="shared" si="203"/>
        <v>1208235.294117647</v>
      </c>
      <c r="T268" s="62">
        <f t="shared" si="203"/>
        <v>1208235.294117647</v>
      </c>
      <c r="U268" s="62">
        <f t="shared" si="203"/>
        <v>1208235.294117647</v>
      </c>
      <c r="V268" s="62">
        <f t="shared" si="203"/>
        <v>1208235.294117647</v>
      </c>
      <c r="W268" s="62">
        <f t="shared" si="203"/>
        <v>1208235.294117647</v>
      </c>
      <c r="X268" s="62">
        <f t="shared" si="203"/>
        <v>1208235.294117647</v>
      </c>
      <c r="Y268" s="62">
        <f t="shared" si="203"/>
        <v>1208235.294117647</v>
      </c>
      <c r="Z268" s="62">
        <f t="shared" si="203"/>
        <v>1208235.294117647</v>
      </c>
      <c r="AA268" s="62">
        <f t="shared" si="203"/>
        <v>1208235.294117647</v>
      </c>
      <c r="AB268" s="62">
        <f t="shared" si="203"/>
        <v>1208235.294117647</v>
      </c>
      <c r="AC268" s="62">
        <f t="shared" si="203"/>
        <v>1208235.294117647</v>
      </c>
    </row>
    <row r="269" spans="1:29" x14ac:dyDescent="0.3">
      <c r="A269" s="30" t="str">
        <f t="shared" ref="A269:AC269" si="204">A251</f>
        <v>Opex maintenance &amp; repair</v>
      </c>
      <c r="B269" s="62">
        <f t="shared" si="204"/>
        <v>338823.5294117647</v>
      </c>
      <c r="C269" s="62">
        <f t="shared" si="204"/>
        <v>338823.5294117647</v>
      </c>
      <c r="D269" s="62">
        <f t="shared" si="204"/>
        <v>338823.5294117647</v>
      </c>
      <c r="E269" s="62">
        <f t="shared" si="204"/>
        <v>338823.5294117647</v>
      </c>
      <c r="F269" s="62">
        <f t="shared" si="204"/>
        <v>338823.5294117647</v>
      </c>
      <c r="G269" s="62">
        <f t="shared" si="204"/>
        <v>338823.5294117647</v>
      </c>
      <c r="H269" s="62">
        <f t="shared" si="204"/>
        <v>338823.5294117647</v>
      </c>
      <c r="I269" s="62">
        <f t="shared" si="204"/>
        <v>338823.5294117647</v>
      </c>
      <c r="J269" s="62">
        <f t="shared" si="204"/>
        <v>338823.5294117647</v>
      </c>
      <c r="K269" s="62">
        <f t="shared" si="204"/>
        <v>338823.5294117647</v>
      </c>
      <c r="L269" s="62">
        <f t="shared" si="204"/>
        <v>338823.5294117647</v>
      </c>
      <c r="M269" s="62">
        <f t="shared" si="204"/>
        <v>338823.5294117647</v>
      </c>
      <c r="N269" s="62">
        <f t="shared" si="204"/>
        <v>338823.5294117647</v>
      </c>
      <c r="O269" s="62">
        <f t="shared" si="204"/>
        <v>338823.5294117647</v>
      </c>
      <c r="P269" s="62">
        <f t="shared" si="204"/>
        <v>338823.5294117647</v>
      </c>
      <c r="Q269" s="62">
        <f t="shared" si="204"/>
        <v>338823.5294117647</v>
      </c>
      <c r="R269" s="62">
        <f t="shared" si="204"/>
        <v>338823.5294117647</v>
      </c>
      <c r="S269" s="62">
        <f t="shared" si="204"/>
        <v>338823.5294117647</v>
      </c>
      <c r="T269" s="62">
        <f t="shared" si="204"/>
        <v>338823.5294117647</v>
      </c>
      <c r="U269" s="62">
        <f t="shared" si="204"/>
        <v>338823.5294117647</v>
      </c>
      <c r="V269" s="62">
        <f t="shared" si="204"/>
        <v>338823.5294117647</v>
      </c>
      <c r="W269" s="62">
        <f t="shared" si="204"/>
        <v>338823.5294117647</v>
      </c>
      <c r="X269" s="62">
        <f t="shared" si="204"/>
        <v>338823.5294117647</v>
      </c>
      <c r="Y269" s="62">
        <f t="shared" si="204"/>
        <v>338823.5294117647</v>
      </c>
      <c r="Z269" s="62">
        <f t="shared" si="204"/>
        <v>338823.5294117647</v>
      </c>
      <c r="AA269" s="62">
        <f t="shared" si="204"/>
        <v>338823.5294117647</v>
      </c>
      <c r="AB269" s="62">
        <f t="shared" si="204"/>
        <v>338823.5294117647</v>
      </c>
      <c r="AC269" s="62">
        <f t="shared" si="204"/>
        <v>338823.5294117647</v>
      </c>
    </row>
    <row r="270" spans="1:29" x14ac:dyDescent="0.3">
      <c r="A270" s="30" t="str">
        <f>A252</f>
        <v>Opex var (mode-fees)</v>
      </c>
      <c r="B270" s="62">
        <f>B252*B261</f>
        <v>97536.682916217906</v>
      </c>
      <c r="C270" s="62">
        <f t="shared" ref="C270:AC270" si="205">C252*C261</f>
        <v>97536.682916217906</v>
      </c>
      <c r="D270" s="62">
        <f t="shared" si="205"/>
        <v>97536.682916217906</v>
      </c>
      <c r="E270" s="62">
        <f t="shared" si="205"/>
        <v>97536.682916217906</v>
      </c>
      <c r="F270" s="62">
        <f t="shared" si="205"/>
        <v>97536.682916217906</v>
      </c>
      <c r="G270" s="62">
        <f t="shared" si="205"/>
        <v>97536.682916217906</v>
      </c>
      <c r="H270" s="62">
        <f t="shared" si="205"/>
        <v>97536.682916217906</v>
      </c>
      <c r="I270" s="62">
        <f t="shared" si="205"/>
        <v>97536.682916217906</v>
      </c>
      <c r="J270" s="62">
        <f t="shared" si="205"/>
        <v>97536.682916217906</v>
      </c>
      <c r="K270" s="62">
        <f t="shared" si="205"/>
        <v>97536.682916217906</v>
      </c>
      <c r="L270" s="62">
        <f t="shared" si="205"/>
        <v>97536.682916217906</v>
      </c>
      <c r="M270" s="62">
        <f t="shared" si="205"/>
        <v>97536.682916217906</v>
      </c>
      <c r="N270" s="62">
        <f t="shared" si="205"/>
        <v>97536.682916217906</v>
      </c>
      <c r="O270" s="62">
        <f t="shared" si="205"/>
        <v>97536.682916217906</v>
      </c>
      <c r="P270" s="62">
        <f t="shared" si="205"/>
        <v>97536.682916217906</v>
      </c>
      <c r="Q270" s="62">
        <f t="shared" si="205"/>
        <v>97536.682916217906</v>
      </c>
      <c r="R270" s="62">
        <f t="shared" si="205"/>
        <v>97536.682916217906</v>
      </c>
      <c r="S270" s="62">
        <f t="shared" si="205"/>
        <v>97536.682916217906</v>
      </c>
      <c r="T270" s="62">
        <f t="shared" si="205"/>
        <v>97536.682916217906</v>
      </c>
      <c r="U270" s="62">
        <f t="shared" si="205"/>
        <v>97536.682916217906</v>
      </c>
      <c r="V270" s="62">
        <f t="shared" si="205"/>
        <v>97536.682916217906</v>
      </c>
      <c r="W270" s="62">
        <f t="shared" si="205"/>
        <v>97536.682916217906</v>
      </c>
      <c r="X270" s="62">
        <f t="shared" si="205"/>
        <v>97536.682916217906</v>
      </c>
      <c r="Y270" s="62">
        <f t="shared" si="205"/>
        <v>97536.682916217906</v>
      </c>
      <c r="Z270" s="62">
        <f t="shared" si="205"/>
        <v>97536.682916217906</v>
      </c>
      <c r="AA270" s="62">
        <f t="shared" si="205"/>
        <v>97536.682916217906</v>
      </c>
      <c r="AB270" s="62">
        <f t="shared" si="205"/>
        <v>97536.682916217906</v>
      </c>
      <c r="AC270" s="62">
        <f t="shared" si="205"/>
        <v>97536.682916217906</v>
      </c>
    </row>
    <row r="271" spans="1:29" x14ac:dyDescent="0.3">
      <c r="A271" s="30" t="str">
        <f>A254</f>
        <v>Fuel Cost</v>
      </c>
      <c r="B271" s="62">
        <f>B253*B254*B261</f>
        <v>13370248.907515552</v>
      </c>
      <c r="C271" s="62">
        <f t="shared" ref="C271:AC271" si="206">C253*C254*C261</f>
        <v>13362791.68001635</v>
      </c>
      <c r="D271" s="62">
        <f t="shared" si="206"/>
        <v>13352119.163217604</v>
      </c>
      <c r="E271" s="62">
        <f t="shared" si="206"/>
        <v>13336856.164003521</v>
      </c>
      <c r="F271" s="62">
        <f t="shared" si="206"/>
        <v>13315051.751412267</v>
      </c>
      <c r="G271" s="62">
        <f t="shared" si="206"/>
        <v>13283952.077878125</v>
      </c>
      <c r="H271" s="62">
        <f t="shared" si="206"/>
        <v>13239698.98631132</v>
      </c>
      <c r="I271" s="62">
        <f t="shared" si="206"/>
        <v>13176947.637623208</v>
      </c>
      <c r="J271" s="62">
        <f t="shared" si="206"/>
        <v>13088418.15230225</v>
      </c>
      <c r="K271" s="62">
        <f t="shared" si="206"/>
        <v>12964447.565503804</v>
      </c>
      <c r="L271" s="62">
        <f t="shared" si="206"/>
        <v>12792710.799777355</v>
      </c>
      <c r="M271" s="62">
        <f t="shared" si="206"/>
        <v>12558452.232512649</v>
      </c>
      <c r="N271" s="62">
        <f t="shared" si="206"/>
        <v>12245794.197905904</v>
      </c>
      <c r="O271" s="62">
        <f t="shared" si="206"/>
        <v>11840825.517066352</v>
      </c>
      <c r="P271" s="62">
        <f t="shared" si="206"/>
        <v>11336858.12165937</v>
      </c>
      <c r="Q271" s="62">
        <f t="shared" si="206"/>
        <v>10740973.142555408</v>
      </c>
      <c r="R271" s="62">
        <f t="shared" si="206"/>
        <v>10078807.941610783</v>
      </c>
      <c r="S271" s="62">
        <f t="shared" si="206"/>
        <v>9393175.2611248717</v>
      </c>
      <c r="T271" s="62">
        <f t="shared" si="206"/>
        <v>8734406.3874728978</v>
      </c>
      <c r="U271" s="62">
        <f t="shared" si="206"/>
        <v>8146226.8289774125</v>
      </c>
      <c r="V271" s="62">
        <f t="shared" si="206"/>
        <v>7654981.7333783628</v>
      </c>
      <c r="W271" s="62">
        <f t="shared" si="206"/>
        <v>7267296.0041098306</v>
      </c>
      <c r="X271" s="62">
        <f t="shared" si="206"/>
        <v>6974892.7186668366</v>
      </c>
      <c r="Y271" s="62">
        <f t="shared" si="206"/>
        <v>6761839.6699709129</v>
      </c>
      <c r="Z271" s="62">
        <f t="shared" si="206"/>
        <v>6610489.9951052722</v>
      </c>
      <c r="AA271" s="62">
        <f t="shared" si="206"/>
        <v>6504903.3404722838</v>
      </c>
      <c r="AB271" s="62">
        <f t="shared" si="206"/>
        <v>6432171.0401332509</v>
      </c>
      <c r="AC271" s="62">
        <f t="shared" si="206"/>
        <v>6382507.1960070422</v>
      </c>
    </row>
    <row r="272" spans="1:29" ht="15" thickBot="1" x14ac:dyDescent="0.35">
      <c r="A272" s="59" t="str">
        <f>A235</f>
        <v>Emission Cost</v>
      </c>
      <c r="B272" s="62">
        <f>B255*B261</f>
        <v>298374.02153870644</v>
      </c>
      <c r="C272" s="62">
        <f t="shared" ref="C272:AC272" si="207">C255*C261</f>
        <v>298089.89677086746</v>
      </c>
      <c r="D272" s="62">
        <f t="shared" si="207"/>
        <v>297683.17849407479</v>
      </c>
      <c r="E272" s="62">
        <f t="shared" si="207"/>
        <v>297101.33939741511</v>
      </c>
      <c r="F272" s="62">
        <f t="shared" si="207"/>
        <v>296269.7629391175</v>
      </c>
      <c r="G272" s="62">
        <f t="shared" si="207"/>
        <v>295082.92362200172</v>
      </c>
      <c r="H272" s="62">
        <f t="shared" si="207"/>
        <v>293392.57327087317</v>
      </c>
      <c r="I272" s="62">
        <f t="shared" si="207"/>
        <v>290992.51808701607</v>
      </c>
      <c r="J272" s="62">
        <f t="shared" si="207"/>
        <v>287600.2707152121</v>
      </c>
      <c r="K272" s="62">
        <f t="shared" si="207"/>
        <v>282837.61660641141</v>
      </c>
      <c r="L272" s="62">
        <f t="shared" si="207"/>
        <v>276215.79849820002</v>
      </c>
      <c r="M272" s="62">
        <f t="shared" si="207"/>
        <v>267137.53359455033</v>
      </c>
      <c r="N272" s="62">
        <f t="shared" si="207"/>
        <v>254937.31835158364</v>
      </c>
      <c r="O272" s="62">
        <f t="shared" si="207"/>
        <v>238989.28012077697</v>
      </c>
      <c r="P272" s="62">
        <f t="shared" si="207"/>
        <v>218905.42153740322</v>
      </c>
      <c r="Q272" s="62">
        <f t="shared" si="207"/>
        <v>194805.36774460567</v>
      </c>
      <c r="R272" s="62">
        <f t="shared" si="207"/>
        <v>167553.66185539585</v>
      </c>
      <c r="S272" s="62">
        <f t="shared" si="207"/>
        <v>138784.14775909283</v>
      </c>
      <c r="T272" s="62">
        <f t="shared" si="207"/>
        <v>110580.76388833826</v>
      </c>
      <c r="U272" s="62">
        <f t="shared" si="207"/>
        <v>84906.643024901976</v>
      </c>
      <c r="V272" s="62">
        <f t="shared" si="207"/>
        <v>63087.296356099287</v>
      </c>
      <c r="W272" s="62">
        <f t="shared" si="207"/>
        <v>45613.907297980848</v>
      </c>
      <c r="X272" s="62">
        <f t="shared" si="207"/>
        <v>32280.935922287579</v>
      </c>
      <c r="Y272" s="62">
        <f t="shared" si="207"/>
        <v>22480.132655302932</v>
      </c>
      <c r="Z272" s="62">
        <f t="shared" si="207"/>
        <v>15472.700104340156</v>
      </c>
      <c r="AA272" s="62">
        <f t="shared" si="207"/>
        <v>10561.524741305384</v>
      </c>
      <c r="AB272" s="62">
        <f t="shared" si="207"/>
        <v>7167.6007010193562</v>
      </c>
      <c r="AC272" s="62">
        <f t="shared" si="207"/>
        <v>4844.9693545295777</v>
      </c>
    </row>
    <row r="273" spans="1:29" ht="15" thickBot="1" x14ac:dyDescent="0.35">
      <c r="A273" s="31" t="s">
        <v>209</v>
      </c>
      <c r="B273" s="64">
        <f>B264+B265+B266+B267+B268+B269+B270+B271+B272</f>
        <v>17610970.739760697</v>
      </c>
      <c r="C273" s="64">
        <f t="shared" ref="C273:AC273" si="208">C264+C265+C266+C267+C268+C269+C270+C271+C272</f>
        <v>17602315.161767125</v>
      </c>
      <c r="D273" s="64">
        <f t="shared" si="208"/>
        <v>17589927.23292679</v>
      </c>
      <c r="E273" s="64">
        <f t="shared" si="208"/>
        <v>17572210.216154046</v>
      </c>
      <c r="F273" s="64">
        <f t="shared" si="208"/>
        <v>17546898.470965609</v>
      </c>
      <c r="G273" s="64">
        <f t="shared" si="208"/>
        <v>17510793.07584928</v>
      </c>
      <c r="H273" s="64">
        <f t="shared" si="208"/>
        <v>17459410.608711511</v>
      </c>
      <c r="I273" s="64">
        <f t="shared" si="208"/>
        <v>17386536.568721369</v>
      </c>
      <c r="J273" s="64">
        <f t="shared" si="208"/>
        <v>17283699.63197352</v>
      </c>
      <c r="K273" s="64">
        <f t="shared" si="208"/>
        <v>17139641.641499527</v>
      </c>
      <c r="L273" s="64">
        <f t="shared" si="208"/>
        <v>16939976.09271073</v>
      </c>
      <c r="M273" s="64">
        <f t="shared" si="208"/>
        <v>16667428.208685394</v>
      </c>
      <c r="N273" s="64">
        <f t="shared" si="208"/>
        <v>16303313.435269671</v>
      </c>
      <c r="O273" s="64">
        <f t="shared" si="208"/>
        <v>15831080.856095925</v>
      </c>
      <c r="P273" s="64">
        <f t="shared" si="208"/>
        <v>15242405.949811472</v>
      </c>
      <c r="Q273" s="64">
        <f t="shared" si="208"/>
        <v>14544874.389184024</v>
      </c>
      <c r="R273" s="64">
        <f t="shared" si="208"/>
        <v>13767769.911832081</v>
      </c>
      <c r="S273" s="64">
        <f t="shared" si="208"/>
        <v>12960796.308826948</v>
      </c>
      <c r="T273" s="64">
        <f t="shared" si="208"/>
        <v>12183074.2750491</v>
      </c>
      <c r="U273" s="64">
        <f t="shared" si="208"/>
        <v>11486609.206412181</v>
      </c>
      <c r="V273" s="64">
        <f t="shared" si="208"/>
        <v>10903336.847346088</v>
      </c>
      <c r="W273" s="64">
        <f t="shared" si="208"/>
        <v>10441953.761189563</v>
      </c>
      <c r="X273" s="64">
        <f t="shared" si="208"/>
        <v>10093316.121518916</v>
      </c>
      <c r="Y273" s="64">
        <f t="shared" si="208"/>
        <v>9838926.3124639373</v>
      </c>
      <c r="Z273" s="64">
        <f t="shared" si="208"/>
        <v>9658021.4519466124</v>
      </c>
      <c r="AA273" s="64">
        <f t="shared" si="208"/>
        <v>9531720.9768712781</v>
      </c>
      <c r="AB273" s="64">
        <f t="shared" si="208"/>
        <v>9444674.153435681</v>
      </c>
      <c r="AC273" s="64">
        <f t="shared" si="208"/>
        <v>9385214.1678344458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09">A264</f>
        <v>Capex vehicle</v>
      </c>
      <c r="B276" s="65">
        <f>((1+B249)^B256)*B249/(((1+B249)^B256)-1)*(B245)/B261</f>
        <v>19.539498974368939</v>
      </c>
      <c r="C276" s="65">
        <f t="shared" ref="C276:AC276" si="210">((1+C249)^C256)*C249/(((1+C249)^C256)-1)*(C245)/C261</f>
        <v>19.532066244884934</v>
      </c>
      <c r="D276" s="65">
        <f t="shared" si="210"/>
        <v>19.521426458179274</v>
      </c>
      <c r="E276" s="65">
        <f t="shared" si="210"/>
        <v>19.506205495073583</v>
      </c>
      <c r="F276" s="65">
        <f t="shared" si="210"/>
        <v>19.484451380123293</v>
      </c>
      <c r="G276" s="65">
        <f t="shared" si="210"/>
        <v>19.453403556830025</v>
      </c>
      <c r="H276" s="65">
        <f t="shared" si="210"/>
        <v>19.409183839595606</v>
      </c>
      <c r="I276" s="65">
        <f t="shared" si="210"/>
        <v>19.346398180098269</v>
      </c>
      <c r="J276" s="65">
        <f t="shared" si="210"/>
        <v>19.257656683715453</v>
      </c>
      <c r="K276" s="65">
        <f t="shared" si="210"/>
        <v>19.133065223823188</v>
      </c>
      <c r="L276" s="65">
        <f t="shared" si="210"/>
        <v>18.959837866472469</v>
      </c>
      <c r="M276" s="65">
        <f t="shared" si="210"/>
        <v>18.722349639992963</v>
      </c>
      <c r="N276" s="65">
        <f t="shared" si="210"/>
        <v>18.403190911814015</v>
      </c>
      <c r="O276" s="65">
        <f t="shared" si="210"/>
        <v>17.985988797152327</v>
      </c>
      <c r="P276" s="65">
        <f t="shared" si="210"/>
        <v>17.460593250045839</v>
      </c>
      <c r="Q276" s="65">
        <f t="shared" si="210"/>
        <v>16.830133674999598</v>
      </c>
      <c r="R276" s="65">
        <f t="shared" si="210"/>
        <v>16.117226597616597</v>
      </c>
      <c r="S276" s="65">
        <f t="shared" si="210"/>
        <v>15.364613521007501</v>
      </c>
      <c r="T276" s="65">
        <f t="shared" si="210"/>
        <v>14.626810462022794</v>
      </c>
      <c r="U276" s="65">
        <f t="shared" si="210"/>
        <v>13.955173150819558</v>
      </c>
      <c r="V276" s="65">
        <f t="shared" si="210"/>
        <v>13.384377079289164</v>
      </c>
      <c r="W276" s="65">
        <f t="shared" si="210"/>
        <v>12.927271649777994</v>
      </c>
      <c r="X276" s="65">
        <f t="shared" si="210"/>
        <v>12.578479919274246</v>
      </c>
      <c r="Y276" s="65">
        <f t="shared" si="210"/>
        <v>12.322090024216767</v>
      </c>
      <c r="Z276" s="65">
        <f t="shared" si="210"/>
        <v>12.138774958357224</v>
      </c>
      <c r="AA276" s="65">
        <f t="shared" si="210"/>
        <v>12.010298169094545</v>
      </c>
      <c r="AB276" s="65">
        <f t="shared" si="210"/>
        <v>11.921512810913416</v>
      </c>
      <c r="AC276" s="65">
        <f t="shared" si="210"/>
        <v>11.860752565965971</v>
      </c>
    </row>
    <row r="277" spans="1:29" x14ac:dyDescent="0.3">
      <c r="A277" s="30" t="str">
        <f t="shared" si="209"/>
        <v>Residual value (vehicle)</v>
      </c>
      <c r="B277" s="66">
        <f>((1+B249)^B256)*B249/(((1+B249)^B256)-1)*(B246)/B261</f>
        <v>-0.97826349212091301</v>
      </c>
      <c r="C277" s="66">
        <f t="shared" ref="C277:AC277" si="211">((1+C249)^C256)*C249/(((1+C249)^C256)-1)*(C246)/C261</f>
        <v>-0.97844931035801319</v>
      </c>
      <c r="D277" s="66">
        <f t="shared" si="211"/>
        <v>-0.97871530502565462</v>
      </c>
      <c r="E277" s="66">
        <f t="shared" si="211"/>
        <v>-0.97909582910329696</v>
      </c>
      <c r="F277" s="66">
        <f t="shared" si="211"/>
        <v>-0.9796396819770542</v>
      </c>
      <c r="G277" s="66">
        <f t="shared" si="211"/>
        <v>-0.98041587755938586</v>
      </c>
      <c r="H277" s="66">
        <f t="shared" si="211"/>
        <v>-0.98152137049024646</v>
      </c>
      <c r="I277" s="66">
        <f t="shared" si="211"/>
        <v>-0.98309101197767967</v>
      </c>
      <c r="J277" s="66">
        <f t="shared" si="211"/>
        <v>-0.98530954938725024</v>
      </c>
      <c r="K277" s="66">
        <f t="shared" si="211"/>
        <v>-0.9884243358845568</v>
      </c>
      <c r="L277" s="66">
        <f t="shared" si="211"/>
        <v>-0.99275501981832481</v>
      </c>
      <c r="M277" s="66">
        <f t="shared" si="211"/>
        <v>-0.99869222548031233</v>
      </c>
      <c r="N277" s="66">
        <f t="shared" si="211"/>
        <v>-1.0066711936847861</v>
      </c>
      <c r="O277" s="66">
        <f t="shared" si="211"/>
        <v>-1.0171012465513283</v>
      </c>
      <c r="P277" s="66">
        <f t="shared" si="211"/>
        <v>-1.0302361352289906</v>
      </c>
      <c r="Q277" s="66">
        <f t="shared" si="211"/>
        <v>-1.0459976246051466</v>
      </c>
      <c r="R277" s="66">
        <f t="shared" si="211"/>
        <v>-1.0638203015397216</v>
      </c>
      <c r="S277" s="66">
        <f t="shared" si="211"/>
        <v>-1.082635628454949</v>
      </c>
      <c r="T277" s="66">
        <f t="shared" si="211"/>
        <v>-1.1010807049295666</v>
      </c>
      <c r="U277" s="66">
        <f t="shared" si="211"/>
        <v>-1.1178716377096476</v>
      </c>
      <c r="V277" s="66">
        <f t="shared" si="211"/>
        <v>-1.1321415394979075</v>
      </c>
      <c r="W277" s="66">
        <f t="shared" si="211"/>
        <v>-1.1435691752356867</v>
      </c>
      <c r="X277" s="66">
        <f t="shared" si="211"/>
        <v>-1.1522889684982804</v>
      </c>
      <c r="Y277" s="66">
        <f t="shared" si="211"/>
        <v>-1.1586987158747175</v>
      </c>
      <c r="Z277" s="66">
        <f t="shared" si="211"/>
        <v>-1.1632815925212061</v>
      </c>
      <c r="AA277" s="66">
        <f t="shared" si="211"/>
        <v>-1.1664935122527731</v>
      </c>
      <c r="AB277" s="66">
        <f t="shared" si="211"/>
        <v>-1.1687131462073013</v>
      </c>
      <c r="AC277" s="66">
        <f t="shared" si="211"/>
        <v>-1.1702321523309871</v>
      </c>
    </row>
    <row r="278" spans="1:29" x14ac:dyDescent="0.3">
      <c r="A278" s="30" t="str">
        <f t="shared" si="209"/>
        <v>Capex costumization</v>
      </c>
      <c r="B278" s="66">
        <f>((1+B249)^B257)*B249/(((1+B249)^B257)-1)*(B247)/B261</f>
        <v>0.65188931843561626</v>
      </c>
      <c r="C278" s="66">
        <f t="shared" ref="C278:AC278" si="212">((1+C249)^C257)*C249/(((1+C249)^C257)-1)*(C247)/C261</f>
        <v>0.65188931843561626</v>
      </c>
      <c r="D278" s="66">
        <f t="shared" si="212"/>
        <v>0.65188931843561626</v>
      </c>
      <c r="E278" s="66">
        <f t="shared" si="212"/>
        <v>0.65188931843561626</v>
      </c>
      <c r="F278" s="66">
        <f t="shared" si="212"/>
        <v>0.65188931843561626</v>
      </c>
      <c r="G278" s="66">
        <f t="shared" si="212"/>
        <v>0.65188931843561626</v>
      </c>
      <c r="H278" s="66">
        <f t="shared" si="212"/>
        <v>0.65188931843561626</v>
      </c>
      <c r="I278" s="66">
        <f t="shared" si="212"/>
        <v>0.65188931843561626</v>
      </c>
      <c r="J278" s="66">
        <f t="shared" si="212"/>
        <v>0.65188931843561626</v>
      </c>
      <c r="K278" s="66">
        <f t="shared" si="212"/>
        <v>0.65188931843561626</v>
      </c>
      <c r="L278" s="66">
        <f t="shared" si="212"/>
        <v>0.65188931843561626</v>
      </c>
      <c r="M278" s="66">
        <f t="shared" si="212"/>
        <v>0.65188931843561626</v>
      </c>
      <c r="N278" s="66">
        <f t="shared" si="212"/>
        <v>0.65188931843561626</v>
      </c>
      <c r="O278" s="66">
        <f t="shared" si="212"/>
        <v>0.65188931843561626</v>
      </c>
      <c r="P278" s="66">
        <f t="shared" si="212"/>
        <v>0.65188931843561626</v>
      </c>
      <c r="Q278" s="66">
        <f t="shared" si="212"/>
        <v>0.65188931843561626</v>
      </c>
      <c r="R278" s="66">
        <f t="shared" si="212"/>
        <v>0.65188931843561626</v>
      </c>
      <c r="S278" s="66">
        <f t="shared" si="212"/>
        <v>0.65188931843561626</v>
      </c>
      <c r="T278" s="66">
        <f t="shared" si="212"/>
        <v>0.65188931843561626</v>
      </c>
      <c r="U278" s="66">
        <f t="shared" si="212"/>
        <v>0.65188931843561626</v>
      </c>
      <c r="V278" s="66">
        <f t="shared" si="212"/>
        <v>0.65188931843561626</v>
      </c>
      <c r="W278" s="66">
        <f t="shared" si="212"/>
        <v>0.65188931843561626</v>
      </c>
      <c r="X278" s="66">
        <f t="shared" si="212"/>
        <v>0.65188931843561626</v>
      </c>
      <c r="Y278" s="66">
        <f t="shared" si="212"/>
        <v>0.65188931843561626</v>
      </c>
      <c r="Z278" s="66">
        <f t="shared" si="212"/>
        <v>0.65188931843561626</v>
      </c>
      <c r="AA278" s="66">
        <f t="shared" si="212"/>
        <v>0.65188931843561626</v>
      </c>
      <c r="AB278" s="66">
        <f t="shared" si="212"/>
        <v>0.65188931843561626</v>
      </c>
      <c r="AC278" s="66">
        <f t="shared" si="212"/>
        <v>0.65188931843561626</v>
      </c>
    </row>
    <row r="279" spans="1:29" x14ac:dyDescent="0.3">
      <c r="A279" s="30" t="str">
        <f t="shared" si="209"/>
        <v>Residual value (costumization)</v>
      </c>
      <c r="B279" s="66">
        <f>((1+B249)^B257)*B249/(((1+B249)^B257)-1)*(B248)/B261</f>
        <v>-6.5188931843561615E-2</v>
      </c>
      <c r="C279" s="66">
        <f t="shared" ref="C279:AC279" si="213">((1+C249)^C257)*C249/(((1+C249)^C257)-1)*(C248)/C261</f>
        <v>-6.5188931843561615E-2</v>
      </c>
      <c r="D279" s="66">
        <f t="shared" si="213"/>
        <v>-6.5188931843561615E-2</v>
      </c>
      <c r="E279" s="66">
        <f t="shared" si="213"/>
        <v>-6.5188931843561615E-2</v>
      </c>
      <c r="F279" s="66">
        <f t="shared" si="213"/>
        <v>-6.5188931843561615E-2</v>
      </c>
      <c r="G279" s="66">
        <f t="shared" si="213"/>
        <v>-6.5188931843561615E-2</v>
      </c>
      <c r="H279" s="66">
        <f t="shared" si="213"/>
        <v>-6.5188931843561615E-2</v>
      </c>
      <c r="I279" s="66">
        <f t="shared" si="213"/>
        <v>-6.5188931843561615E-2</v>
      </c>
      <c r="J279" s="66">
        <f t="shared" si="213"/>
        <v>-6.5188931843561615E-2</v>
      </c>
      <c r="K279" s="66">
        <f t="shared" si="213"/>
        <v>-6.5188931843561615E-2</v>
      </c>
      <c r="L279" s="66">
        <f t="shared" si="213"/>
        <v>-6.5188931843561615E-2</v>
      </c>
      <c r="M279" s="66">
        <f t="shared" si="213"/>
        <v>-6.5188931843561615E-2</v>
      </c>
      <c r="N279" s="66">
        <f t="shared" si="213"/>
        <v>-6.5188931843561615E-2</v>
      </c>
      <c r="O279" s="66">
        <f t="shared" si="213"/>
        <v>-6.5188931843561615E-2</v>
      </c>
      <c r="P279" s="66">
        <f t="shared" si="213"/>
        <v>-6.5188931843561615E-2</v>
      </c>
      <c r="Q279" s="66">
        <f t="shared" si="213"/>
        <v>-6.5188931843561615E-2</v>
      </c>
      <c r="R279" s="66">
        <f t="shared" si="213"/>
        <v>-6.5188931843561615E-2</v>
      </c>
      <c r="S279" s="66">
        <f t="shared" si="213"/>
        <v>-6.5188931843561615E-2</v>
      </c>
      <c r="T279" s="66">
        <f t="shared" si="213"/>
        <v>-6.5188931843561615E-2</v>
      </c>
      <c r="U279" s="66">
        <f t="shared" si="213"/>
        <v>-6.5188931843561615E-2</v>
      </c>
      <c r="V279" s="66">
        <f t="shared" si="213"/>
        <v>-6.5188931843561615E-2</v>
      </c>
      <c r="W279" s="66">
        <f t="shared" si="213"/>
        <v>-6.5188931843561615E-2</v>
      </c>
      <c r="X279" s="66">
        <f t="shared" si="213"/>
        <v>-6.5188931843561615E-2</v>
      </c>
      <c r="Y279" s="66">
        <f t="shared" si="213"/>
        <v>-6.5188931843561615E-2</v>
      </c>
      <c r="Z279" s="66">
        <f t="shared" si="213"/>
        <v>-6.5188931843561615E-2</v>
      </c>
      <c r="AA279" s="66">
        <f t="shared" si="213"/>
        <v>-6.5188931843561615E-2</v>
      </c>
      <c r="AB279" s="66">
        <f t="shared" si="213"/>
        <v>-6.5188931843561615E-2</v>
      </c>
      <c r="AC279" s="66">
        <f t="shared" si="213"/>
        <v>-6.5188931843561615E-2</v>
      </c>
    </row>
    <row r="280" spans="1:29" x14ac:dyDescent="0.3">
      <c r="A280" s="30" t="str">
        <f t="shared" si="209"/>
        <v>Opex fix (admin, crew, insurance)</v>
      </c>
      <c r="B280" s="66">
        <f>B250/B261</f>
        <v>10.068627450980392</v>
      </c>
      <c r="C280" s="66">
        <f t="shared" ref="C280:AC280" si="214">C250/C261</f>
        <v>10.068627450980392</v>
      </c>
      <c r="D280" s="66">
        <f t="shared" si="214"/>
        <v>10.068627450980392</v>
      </c>
      <c r="E280" s="66">
        <f t="shared" si="214"/>
        <v>10.068627450980392</v>
      </c>
      <c r="F280" s="66">
        <f t="shared" si="214"/>
        <v>10.068627450980392</v>
      </c>
      <c r="G280" s="66">
        <f t="shared" si="214"/>
        <v>10.068627450980392</v>
      </c>
      <c r="H280" s="66">
        <f t="shared" si="214"/>
        <v>10.068627450980392</v>
      </c>
      <c r="I280" s="66">
        <f t="shared" si="214"/>
        <v>10.068627450980392</v>
      </c>
      <c r="J280" s="66">
        <f t="shared" si="214"/>
        <v>10.068627450980392</v>
      </c>
      <c r="K280" s="66">
        <f t="shared" si="214"/>
        <v>10.068627450980392</v>
      </c>
      <c r="L280" s="66">
        <f t="shared" si="214"/>
        <v>10.068627450980392</v>
      </c>
      <c r="M280" s="66">
        <f t="shared" si="214"/>
        <v>10.068627450980392</v>
      </c>
      <c r="N280" s="66">
        <f t="shared" si="214"/>
        <v>10.068627450980392</v>
      </c>
      <c r="O280" s="66">
        <f t="shared" si="214"/>
        <v>10.068627450980392</v>
      </c>
      <c r="P280" s="66">
        <f t="shared" si="214"/>
        <v>10.068627450980392</v>
      </c>
      <c r="Q280" s="66">
        <f t="shared" si="214"/>
        <v>10.068627450980392</v>
      </c>
      <c r="R280" s="66">
        <f t="shared" si="214"/>
        <v>10.068627450980392</v>
      </c>
      <c r="S280" s="66">
        <f t="shared" si="214"/>
        <v>10.068627450980392</v>
      </c>
      <c r="T280" s="66">
        <f t="shared" si="214"/>
        <v>10.068627450980392</v>
      </c>
      <c r="U280" s="66">
        <f t="shared" si="214"/>
        <v>10.068627450980392</v>
      </c>
      <c r="V280" s="66">
        <f t="shared" si="214"/>
        <v>10.068627450980392</v>
      </c>
      <c r="W280" s="66">
        <f t="shared" si="214"/>
        <v>10.068627450980392</v>
      </c>
      <c r="X280" s="66">
        <f t="shared" si="214"/>
        <v>10.068627450980392</v>
      </c>
      <c r="Y280" s="66">
        <f t="shared" si="214"/>
        <v>10.068627450980392</v>
      </c>
      <c r="Z280" s="66">
        <f t="shared" si="214"/>
        <v>10.068627450980392</v>
      </c>
      <c r="AA280" s="66">
        <f t="shared" si="214"/>
        <v>10.068627450980392</v>
      </c>
      <c r="AB280" s="66">
        <f t="shared" si="214"/>
        <v>10.068627450980392</v>
      </c>
      <c r="AC280" s="66">
        <f t="shared" si="214"/>
        <v>10.068627450980392</v>
      </c>
    </row>
    <row r="281" spans="1:29" x14ac:dyDescent="0.3">
      <c r="A281" s="30" t="str">
        <f t="shared" si="209"/>
        <v>Opex maintenance &amp; repair</v>
      </c>
      <c r="B281" s="66">
        <f>B251/B261</f>
        <v>2.8235294117647056</v>
      </c>
      <c r="C281" s="66">
        <f t="shared" ref="C281:AC281" si="215">C251/C261</f>
        <v>2.8235294117647056</v>
      </c>
      <c r="D281" s="66">
        <f t="shared" si="215"/>
        <v>2.8235294117647056</v>
      </c>
      <c r="E281" s="66">
        <f t="shared" si="215"/>
        <v>2.8235294117647056</v>
      </c>
      <c r="F281" s="66">
        <f t="shared" si="215"/>
        <v>2.8235294117647056</v>
      </c>
      <c r="G281" s="66">
        <f t="shared" si="215"/>
        <v>2.8235294117647056</v>
      </c>
      <c r="H281" s="66">
        <f t="shared" si="215"/>
        <v>2.8235294117647056</v>
      </c>
      <c r="I281" s="66">
        <f t="shared" si="215"/>
        <v>2.8235294117647056</v>
      </c>
      <c r="J281" s="66">
        <f t="shared" si="215"/>
        <v>2.8235294117647056</v>
      </c>
      <c r="K281" s="66">
        <f t="shared" si="215"/>
        <v>2.8235294117647056</v>
      </c>
      <c r="L281" s="66">
        <f t="shared" si="215"/>
        <v>2.8235294117647056</v>
      </c>
      <c r="M281" s="66">
        <f t="shared" si="215"/>
        <v>2.8235294117647056</v>
      </c>
      <c r="N281" s="66">
        <f t="shared" si="215"/>
        <v>2.8235294117647056</v>
      </c>
      <c r="O281" s="66">
        <f t="shared" si="215"/>
        <v>2.8235294117647056</v>
      </c>
      <c r="P281" s="66">
        <f t="shared" si="215"/>
        <v>2.8235294117647056</v>
      </c>
      <c r="Q281" s="66">
        <f t="shared" si="215"/>
        <v>2.8235294117647056</v>
      </c>
      <c r="R281" s="66">
        <f t="shared" si="215"/>
        <v>2.8235294117647056</v>
      </c>
      <c r="S281" s="66">
        <f t="shared" si="215"/>
        <v>2.8235294117647056</v>
      </c>
      <c r="T281" s="66">
        <f t="shared" si="215"/>
        <v>2.8235294117647056</v>
      </c>
      <c r="U281" s="66">
        <f t="shared" si="215"/>
        <v>2.8235294117647056</v>
      </c>
      <c r="V281" s="66">
        <f t="shared" si="215"/>
        <v>2.8235294117647056</v>
      </c>
      <c r="W281" s="66">
        <f t="shared" si="215"/>
        <v>2.8235294117647056</v>
      </c>
      <c r="X281" s="66">
        <f t="shared" si="215"/>
        <v>2.8235294117647056</v>
      </c>
      <c r="Y281" s="66">
        <f t="shared" si="215"/>
        <v>2.8235294117647056</v>
      </c>
      <c r="Z281" s="66">
        <f t="shared" si="215"/>
        <v>2.8235294117647056</v>
      </c>
      <c r="AA281" s="66">
        <f t="shared" si="215"/>
        <v>2.8235294117647056</v>
      </c>
      <c r="AB281" s="66">
        <f t="shared" si="215"/>
        <v>2.8235294117647056</v>
      </c>
      <c r="AC281" s="66">
        <f t="shared" si="215"/>
        <v>2.8235294117647056</v>
      </c>
    </row>
    <row r="282" spans="1:29" x14ac:dyDescent="0.3">
      <c r="A282" s="30" t="str">
        <f t="shared" si="209"/>
        <v>Opex var (mode-fees)</v>
      </c>
      <c r="B282" s="66">
        <f>B252*B261/B261</f>
        <v>0.81280569096848254</v>
      </c>
      <c r="C282" s="66">
        <f t="shared" ref="C282:AC282" si="216">C252*C261/C261</f>
        <v>0.81280569096848254</v>
      </c>
      <c r="D282" s="66">
        <f t="shared" si="216"/>
        <v>0.81280569096848254</v>
      </c>
      <c r="E282" s="66">
        <f t="shared" si="216"/>
        <v>0.81280569096848254</v>
      </c>
      <c r="F282" s="66">
        <f t="shared" si="216"/>
        <v>0.81280569096848254</v>
      </c>
      <c r="G282" s="66">
        <f t="shared" si="216"/>
        <v>0.81280569096848254</v>
      </c>
      <c r="H282" s="66">
        <f t="shared" si="216"/>
        <v>0.81280569096848254</v>
      </c>
      <c r="I282" s="66">
        <f t="shared" si="216"/>
        <v>0.81280569096848254</v>
      </c>
      <c r="J282" s="66">
        <f t="shared" si="216"/>
        <v>0.81280569096848254</v>
      </c>
      <c r="K282" s="66">
        <f t="shared" si="216"/>
        <v>0.81280569096848254</v>
      </c>
      <c r="L282" s="66">
        <f t="shared" si="216"/>
        <v>0.81280569096848254</v>
      </c>
      <c r="M282" s="66">
        <f t="shared" si="216"/>
        <v>0.81280569096848254</v>
      </c>
      <c r="N282" s="66">
        <f t="shared" si="216"/>
        <v>0.81280569096848254</v>
      </c>
      <c r="O282" s="66">
        <f t="shared" si="216"/>
        <v>0.81280569096848254</v>
      </c>
      <c r="P282" s="66">
        <f t="shared" si="216"/>
        <v>0.81280569096848254</v>
      </c>
      <c r="Q282" s="66">
        <f t="shared" si="216"/>
        <v>0.81280569096848254</v>
      </c>
      <c r="R282" s="66">
        <f t="shared" si="216"/>
        <v>0.81280569096848254</v>
      </c>
      <c r="S282" s="66">
        <f t="shared" si="216"/>
        <v>0.81280569096848254</v>
      </c>
      <c r="T282" s="66">
        <f t="shared" si="216"/>
        <v>0.81280569096848254</v>
      </c>
      <c r="U282" s="66">
        <f t="shared" si="216"/>
        <v>0.81280569096848254</v>
      </c>
      <c r="V282" s="66">
        <f t="shared" si="216"/>
        <v>0.81280569096848254</v>
      </c>
      <c r="W282" s="66">
        <f t="shared" si="216"/>
        <v>0.81280569096848254</v>
      </c>
      <c r="X282" s="66">
        <f t="shared" si="216"/>
        <v>0.81280569096848254</v>
      </c>
      <c r="Y282" s="66">
        <f t="shared" si="216"/>
        <v>0.81280569096848254</v>
      </c>
      <c r="Z282" s="66">
        <f t="shared" si="216"/>
        <v>0.81280569096848254</v>
      </c>
      <c r="AA282" s="66">
        <f t="shared" si="216"/>
        <v>0.81280569096848254</v>
      </c>
      <c r="AB282" s="66">
        <f t="shared" si="216"/>
        <v>0.81280569096848254</v>
      </c>
      <c r="AC282" s="66">
        <f t="shared" si="216"/>
        <v>0.81280569096848254</v>
      </c>
    </row>
    <row r="283" spans="1:29" x14ac:dyDescent="0.3">
      <c r="A283" s="30" t="str">
        <f t="shared" si="209"/>
        <v>Fuel Cost</v>
      </c>
      <c r="B283" s="66">
        <f>B253*B254*B261/B261</f>
        <v>111.41874089596293</v>
      </c>
      <c r="C283" s="66">
        <f t="shared" ref="C283:AC283" si="217">C253*C254*C261/C261</f>
        <v>111.35659733346958</v>
      </c>
      <c r="D283" s="66">
        <f t="shared" si="217"/>
        <v>111.26765969348004</v>
      </c>
      <c r="E283" s="66">
        <f t="shared" si="217"/>
        <v>111.14046803336268</v>
      </c>
      <c r="F283" s="66">
        <f t="shared" si="217"/>
        <v>110.95876459510222</v>
      </c>
      <c r="G283" s="66">
        <f t="shared" si="217"/>
        <v>110.69960064898437</v>
      </c>
      <c r="H283" s="66">
        <f t="shared" si="217"/>
        <v>110.33082488592767</v>
      </c>
      <c r="I283" s="66">
        <f t="shared" si="217"/>
        <v>109.80789698019339</v>
      </c>
      <c r="J283" s="66">
        <f t="shared" si="217"/>
        <v>109.07015126918542</v>
      </c>
      <c r="K283" s="66">
        <f t="shared" si="217"/>
        <v>108.03706304586504</v>
      </c>
      <c r="L283" s="66">
        <f t="shared" si="217"/>
        <v>106.60592333147795</v>
      </c>
      <c r="M283" s="66">
        <f t="shared" si="217"/>
        <v>104.65376860427207</v>
      </c>
      <c r="N283" s="66">
        <f t="shared" si="217"/>
        <v>102.04828498254919</v>
      </c>
      <c r="O283" s="66">
        <f t="shared" si="217"/>
        <v>98.67354597555294</v>
      </c>
      <c r="P283" s="66">
        <f t="shared" si="217"/>
        <v>94.473817680494747</v>
      </c>
      <c r="Q283" s="66">
        <f t="shared" si="217"/>
        <v>89.508109521295069</v>
      </c>
      <c r="R283" s="66">
        <f t="shared" si="217"/>
        <v>83.990066180089855</v>
      </c>
      <c r="S283" s="66">
        <f t="shared" si="217"/>
        <v>78.276460509373933</v>
      </c>
      <c r="T283" s="66">
        <f t="shared" si="217"/>
        <v>72.786719895607476</v>
      </c>
      <c r="U283" s="66">
        <f t="shared" si="217"/>
        <v>67.885223574811775</v>
      </c>
      <c r="V283" s="66">
        <f t="shared" si="217"/>
        <v>63.79151444481969</v>
      </c>
      <c r="W283" s="66">
        <f t="shared" si="217"/>
        <v>60.560800034248587</v>
      </c>
      <c r="X283" s="66">
        <f t="shared" si="217"/>
        <v>58.124105988890307</v>
      </c>
      <c r="Y283" s="66">
        <f t="shared" si="217"/>
        <v>56.348663916424272</v>
      </c>
      <c r="Z283" s="66">
        <f t="shared" si="217"/>
        <v>55.087416625877268</v>
      </c>
      <c r="AA283" s="66">
        <f t="shared" si="217"/>
        <v>54.207527837269033</v>
      </c>
      <c r="AB283" s="66">
        <f t="shared" si="217"/>
        <v>53.601425334443761</v>
      </c>
      <c r="AC283" s="66">
        <f t="shared" si="217"/>
        <v>53.187559966725352</v>
      </c>
    </row>
    <row r="284" spans="1:29" ht="15" thickBot="1" x14ac:dyDescent="0.35">
      <c r="A284" s="59" t="str">
        <f t="shared" ref="A284" si="218">A272</f>
        <v>Emission Cost</v>
      </c>
      <c r="B284" s="66">
        <f>B255</f>
        <v>2.4864501794892204</v>
      </c>
      <c r="C284" s="66">
        <f t="shared" ref="C284:AC284" si="219">C255</f>
        <v>2.4840824730905622</v>
      </c>
      <c r="D284" s="66">
        <f t="shared" si="219"/>
        <v>2.4806931541172901</v>
      </c>
      <c r="E284" s="66">
        <f t="shared" si="219"/>
        <v>2.4758444949784595</v>
      </c>
      <c r="F284" s="66">
        <f t="shared" si="219"/>
        <v>2.4689146911593123</v>
      </c>
      <c r="G284" s="66">
        <f t="shared" si="219"/>
        <v>2.4590243635166811</v>
      </c>
      <c r="H284" s="66">
        <f t="shared" si="219"/>
        <v>2.4449381105906096</v>
      </c>
      <c r="I284" s="66">
        <f t="shared" si="219"/>
        <v>2.4249376507251341</v>
      </c>
      <c r="J284" s="66">
        <f t="shared" si="219"/>
        <v>2.3966689226267675</v>
      </c>
      <c r="K284" s="66">
        <f t="shared" si="219"/>
        <v>2.3569801383867617</v>
      </c>
      <c r="L284" s="66">
        <f t="shared" si="219"/>
        <v>2.3017983208183335</v>
      </c>
      <c r="M284" s="66">
        <f t="shared" si="219"/>
        <v>2.2261461132879194</v>
      </c>
      <c r="N284" s="66">
        <f t="shared" si="219"/>
        <v>2.1244776529298637</v>
      </c>
      <c r="O284" s="66">
        <f t="shared" si="219"/>
        <v>1.991577334339808</v>
      </c>
      <c r="P284" s="66">
        <f t="shared" si="219"/>
        <v>1.824211846145027</v>
      </c>
      <c r="Q284" s="66">
        <f t="shared" si="219"/>
        <v>1.6233780645383806</v>
      </c>
      <c r="R284" s="66">
        <f t="shared" si="219"/>
        <v>1.396280515461632</v>
      </c>
      <c r="S284" s="66">
        <f t="shared" si="219"/>
        <v>1.156534564659107</v>
      </c>
      <c r="T284" s="66">
        <f t="shared" si="219"/>
        <v>0.92150636573615219</v>
      </c>
      <c r="U284" s="66">
        <f t="shared" si="219"/>
        <v>0.70755535854084983</v>
      </c>
      <c r="V284" s="66">
        <f t="shared" si="219"/>
        <v>0.52572746963416073</v>
      </c>
      <c r="W284" s="66">
        <f t="shared" si="219"/>
        <v>0.38011589414984037</v>
      </c>
      <c r="X284" s="66">
        <f t="shared" si="219"/>
        <v>0.26900779935239649</v>
      </c>
      <c r="Y284" s="66">
        <f t="shared" si="219"/>
        <v>0.18733443879419109</v>
      </c>
      <c r="Z284" s="66">
        <f t="shared" si="219"/>
        <v>0.12893916753616796</v>
      </c>
      <c r="AA284" s="66">
        <f t="shared" si="219"/>
        <v>8.8012706177544864E-2</v>
      </c>
      <c r="AB284" s="66">
        <f t="shared" si="219"/>
        <v>5.9730005841827971E-2</v>
      </c>
      <c r="AC284" s="66">
        <f t="shared" si="219"/>
        <v>4.0374744621079817E-2</v>
      </c>
    </row>
    <row r="285" spans="1:29" ht="15" thickBot="1" x14ac:dyDescent="0.35">
      <c r="A285" s="31" t="s">
        <v>63</v>
      </c>
      <c r="B285" s="76">
        <f>B276+B277+B278-B279+B280+B281+B282+B283+B284</f>
        <v>146.88846736169293</v>
      </c>
      <c r="C285" s="76">
        <f t="shared" ref="C285:AC285" si="220">C276+C277+C278-C279+C280+C281+C282+C283+C284</f>
        <v>146.81633754507982</v>
      </c>
      <c r="D285" s="76">
        <f t="shared" si="220"/>
        <v>146.71310480474369</v>
      </c>
      <c r="E285" s="76">
        <f t="shared" si="220"/>
        <v>146.56546299830416</v>
      </c>
      <c r="F285" s="76">
        <f t="shared" si="220"/>
        <v>146.35453178840052</v>
      </c>
      <c r="G285" s="76">
        <f t="shared" si="220"/>
        <v>146.05365349576442</v>
      </c>
      <c r="H285" s="76">
        <f t="shared" si="220"/>
        <v>145.6254662696164</v>
      </c>
      <c r="I285" s="76">
        <f t="shared" si="220"/>
        <v>145.01818260303187</v>
      </c>
      <c r="J285" s="76">
        <f t="shared" si="220"/>
        <v>144.16120813013313</v>
      </c>
      <c r="K285" s="76">
        <f t="shared" si="220"/>
        <v>142.96072487618321</v>
      </c>
      <c r="L285" s="76">
        <f t="shared" si="220"/>
        <v>141.29684530294318</v>
      </c>
      <c r="M285" s="76">
        <f t="shared" si="220"/>
        <v>139.02561293606539</v>
      </c>
      <c r="N285" s="76">
        <f t="shared" si="220"/>
        <v>135.99132315760104</v>
      </c>
      <c r="O285" s="76">
        <f t="shared" si="220"/>
        <v>132.05605166448652</v>
      </c>
      <c r="P285" s="76">
        <f t="shared" si="220"/>
        <v>127.15042744544938</v>
      </c>
      <c r="Q285" s="76">
        <f t="shared" si="220"/>
        <v>121.33766444022066</v>
      </c>
      <c r="R285" s="76">
        <f t="shared" si="220"/>
        <v>114.86179379562111</v>
      </c>
      <c r="S285" s="76">
        <f t="shared" si="220"/>
        <v>108.13701377057835</v>
      </c>
      <c r="T285" s="76">
        <f t="shared" si="220"/>
        <v>101.65599682242961</v>
      </c>
      <c r="U285" s="76">
        <f t="shared" si="220"/>
        <v>95.852121250455284</v>
      </c>
      <c r="V285" s="76">
        <f t="shared" si="220"/>
        <v>90.991518258237861</v>
      </c>
      <c r="W285" s="76">
        <f t="shared" si="220"/>
        <v>87.146659206933492</v>
      </c>
      <c r="X285" s="76">
        <f t="shared" si="220"/>
        <v>84.24134554301142</v>
      </c>
      <c r="Y285" s="76">
        <f t="shared" si="220"/>
        <v>82.121430467553282</v>
      </c>
      <c r="Z285" s="76">
        <f t="shared" si="220"/>
        <v>80.613889963242215</v>
      </c>
      <c r="AA285" s="76">
        <f t="shared" si="220"/>
        <v>79.561386004281118</v>
      </c>
      <c r="AB285" s="76">
        <f t="shared" si="220"/>
        <v>78.835995808984464</v>
      </c>
      <c r="AC285" s="76">
        <f t="shared" si="220"/>
        <v>78.340495928974164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21">A264</f>
        <v>Capex vehicle</v>
      </c>
      <c r="B288" s="65">
        <f>((1+B249)^B256)*B249/(((1+B249)^B256)-1)*(B245)/B261/(B258)</f>
        <v>2.0676718491395704E-3</v>
      </c>
      <c r="C288" s="65">
        <f t="shared" ref="C288:AC288" si="222">((1+C249)^C256)*C249/(((1+C249)^C256)-1)*(C245)/C261/(C258)</f>
        <v>2.0668853169190406E-3</v>
      </c>
      <c r="D288" s="65">
        <f t="shared" si="222"/>
        <v>2.0657594135639443E-3</v>
      </c>
      <c r="E288" s="65">
        <f t="shared" si="222"/>
        <v>2.064148729637416E-3</v>
      </c>
      <c r="F288" s="65">
        <f t="shared" si="222"/>
        <v>2.0618467068913536E-3</v>
      </c>
      <c r="G288" s="65">
        <f t="shared" si="222"/>
        <v>2.0585612229449763E-3</v>
      </c>
      <c r="H288" s="65">
        <f t="shared" si="222"/>
        <v>2.0538818877878949E-3</v>
      </c>
      <c r="I288" s="65">
        <f t="shared" si="222"/>
        <v>2.0472379026559013E-3</v>
      </c>
      <c r="J288" s="65">
        <f t="shared" si="222"/>
        <v>2.0378472681180375E-3</v>
      </c>
      <c r="K288" s="65">
        <f t="shared" si="222"/>
        <v>2.0246629866479565E-3</v>
      </c>
      <c r="L288" s="65">
        <f t="shared" si="222"/>
        <v>2.0063320493621663E-3</v>
      </c>
      <c r="M288" s="65">
        <f t="shared" si="222"/>
        <v>1.9812010201050753E-3</v>
      </c>
      <c r="N288" s="65">
        <f t="shared" si="222"/>
        <v>1.9474276097157688E-3</v>
      </c>
      <c r="O288" s="65">
        <f t="shared" si="222"/>
        <v>1.9032792377938971E-3</v>
      </c>
      <c r="P288" s="65">
        <f t="shared" si="222"/>
        <v>1.8476818254016762E-3</v>
      </c>
      <c r="Q288" s="65">
        <f t="shared" si="222"/>
        <v>1.7809665264549839E-3</v>
      </c>
      <c r="R288" s="65">
        <f t="shared" si="222"/>
        <v>1.7055266240864123E-3</v>
      </c>
      <c r="S288" s="65">
        <f t="shared" si="222"/>
        <v>1.6258850286780425E-3</v>
      </c>
      <c r="T288" s="65">
        <f t="shared" si="222"/>
        <v>1.547810630901883E-3</v>
      </c>
      <c r="U288" s="65">
        <f t="shared" si="222"/>
        <v>1.4767378995576251E-3</v>
      </c>
      <c r="V288" s="65">
        <f t="shared" si="222"/>
        <v>1.4163361988665782E-3</v>
      </c>
      <c r="W288" s="65">
        <f t="shared" si="222"/>
        <v>1.3679652539447613E-3</v>
      </c>
      <c r="X288" s="65">
        <f t="shared" si="222"/>
        <v>1.3310560761136767E-3</v>
      </c>
      <c r="Y288" s="65">
        <f t="shared" si="222"/>
        <v>1.3039248702874885E-3</v>
      </c>
      <c r="Z288" s="65">
        <f t="shared" si="222"/>
        <v>1.2845264506198121E-3</v>
      </c>
      <c r="AA288" s="65">
        <f t="shared" si="222"/>
        <v>1.270931023184608E-3</v>
      </c>
      <c r="AB288" s="65">
        <f t="shared" si="222"/>
        <v>1.2615357471866049E-3</v>
      </c>
      <c r="AC288" s="65">
        <f t="shared" si="222"/>
        <v>1.2551060916366106E-3</v>
      </c>
    </row>
    <row r="289" spans="1:29" x14ac:dyDescent="0.3">
      <c r="A289" s="30" t="str">
        <f t="shared" si="221"/>
        <v>Residual value (vehicle)</v>
      </c>
      <c r="B289" s="68">
        <f>((1+B249)^B256)*B249/(((1+B249)^B256)-1)*(B246)/B261/(B258)</f>
        <v>-1.0351994625618128E-4</v>
      </c>
      <c r="C289" s="68">
        <f t="shared" ref="C289:AC289" si="223">((1+C249)^C256)*C249/(((1+C249)^C256)-1)*(C246)/C261/(C258)</f>
        <v>-1.0353960956169452E-4</v>
      </c>
      <c r="D289" s="68">
        <f t="shared" si="223"/>
        <v>-1.0356775714557191E-4</v>
      </c>
      <c r="E289" s="68">
        <f t="shared" si="223"/>
        <v>-1.0360802424373513E-4</v>
      </c>
      <c r="F289" s="68">
        <f t="shared" si="223"/>
        <v>-1.0366557481238669E-4</v>
      </c>
      <c r="G289" s="68">
        <f t="shared" si="223"/>
        <v>-1.0374771191104613E-4</v>
      </c>
      <c r="H289" s="68">
        <f t="shared" si="223"/>
        <v>-1.0386469528997317E-4</v>
      </c>
      <c r="I289" s="68">
        <f t="shared" si="223"/>
        <v>-1.0403079491827298E-4</v>
      </c>
      <c r="J289" s="68">
        <f t="shared" si="223"/>
        <v>-1.042655607817196E-4</v>
      </c>
      <c r="K289" s="68">
        <f t="shared" si="223"/>
        <v>-1.0459516781847161E-4</v>
      </c>
      <c r="L289" s="68">
        <f t="shared" si="223"/>
        <v>-1.0505344125061638E-4</v>
      </c>
      <c r="M289" s="68">
        <f t="shared" si="223"/>
        <v>-1.0568171698204363E-4</v>
      </c>
      <c r="N289" s="68">
        <f t="shared" si="223"/>
        <v>-1.0652605224177631E-4</v>
      </c>
      <c r="O289" s="68">
        <f t="shared" si="223"/>
        <v>-1.076297615398231E-4</v>
      </c>
      <c r="P289" s="68">
        <f t="shared" si="223"/>
        <v>-1.0901969684962864E-4</v>
      </c>
      <c r="Q289" s="68">
        <f t="shared" si="223"/>
        <v>-1.1068757932329594E-4</v>
      </c>
      <c r="R289" s="68">
        <f t="shared" si="223"/>
        <v>-1.1257357688251022E-4</v>
      </c>
      <c r="S289" s="68">
        <f t="shared" si="223"/>
        <v>-1.1456461676771947E-4</v>
      </c>
      <c r="T289" s="68">
        <f t="shared" si="223"/>
        <v>-1.1651647671212345E-4</v>
      </c>
      <c r="U289" s="68">
        <f t="shared" si="223"/>
        <v>-1.182932949957299E-4</v>
      </c>
      <c r="V289" s="68">
        <f t="shared" si="223"/>
        <v>-1.1980333751300609E-4</v>
      </c>
      <c r="W289" s="68">
        <f t="shared" si="223"/>
        <v>-1.210126111360515E-4</v>
      </c>
      <c r="X289" s="68">
        <f t="shared" si="223"/>
        <v>-1.2193534058182861E-4</v>
      </c>
      <c r="Y289" s="68">
        <f t="shared" si="223"/>
        <v>-1.2261362072748334E-4</v>
      </c>
      <c r="Z289" s="68">
        <f t="shared" si="223"/>
        <v>-1.2309858121917525E-4</v>
      </c>
      <c r="AA289" s="68">
        <f t="shared" si="223"/>
        <v>-1.2343846690505536E-4</v>
      </c>
      <c r="AB289" s="68">
        <f t="shared" si="223"/>
        <v>-1.2367334880500542E-4</v>
      </c>
      <c r="AC289" s="68">
        <f t="shared" si="223"/>
        <v>-1.2383409019375524E-4</v>
      </c>
    </row>
    <row r="290" spans="1:29" x14ac:dyDescent="0.3">
      <c r="A290" s="30" t="str">
        <f t="shared" si="221"/>
        <v>Capex costumization</v>
      </c>
      <c r="B290" s="66">
        <f>((1+B249)^B257)*B249/(((1+B249)^B257)-1)*(B247)/B261/(B258)</f>
        <v>6.8982996659853576E-5</v>
      </c>
      <c r="C290" s="66">
        <f t="shared" ref="C290:AC290" si="224">((1+C249)^C257)*C249/(((1+C249)^C257)-1)*(C247)/C261/(C258)</f>
        <v>6.8982996659853576E-5</v>
      </c>
      <c r="D290" s="66">
        <f t="shared" si="224"/>
        <v>6.8982996659853576E-5</v>
      </c>
      <c r="E290" s="66">
        <f t="shared" si="224"/>
        <v>6.8982996659853576E-5</v>
      </c>
      <c r="F290" s="66">
        <f t="shared" si="224"/>
        <v>6.8982996659853576E-5</v>
      </c>
      <c r="G290" s="66">
        <f t="shared" si="224"/>
        <v>6.8982996659853576E-5</v>
      </c>
      <c r="H290" s="66">
        <f t="shared" si="224"/>
        <v>6.8982996659853576E-5</v>
      </c>
      <c r="I290" s="66">
        <f t="shared" si="224"/>
        <v>6.8982996659853576E-5</v>
      </c>
      <c r="J290" s="66">
        <f t="shared" si="224"/>
        <v>6.8982996659853576E-5</v>
      </c>
      <c r="K290" s="66">
        <f t="shared" si="224"/>
        <v>6.8982996659853576E-5</v>
      </c>
      <c r="L290" s="66">
        <f t="shared" si="224"/>
        <v>6.8982996659853576E-5</v>
      </c>
      <c r="M290" s="66">
        <f t="shared" si="224"/>
        <v>6.8982996659853576E-5</v>
      </c>
      <c r="N290" s="66">
        <f t="shared" si="224"/>
        <v>6.8982996659853576E-5</v>
      </c>
      <c r="O290" s="66">
        <f t="shared" si="224"/>
        <v>6.8982996659853576E-5</v>
      </c>
      <c r="P290" s="66">
        <f t="shared" si="224"/>
        <v>6.8982996659853576E-5</v>
      </c>
      <c r="Q290" s="66">
        <f t="shared" si="224"/>
        <v>6.8982996659853576E-5</v>
      </c>
      <c r="R290" s="66">
        <f t="shared" si="224"/>
        <v>6.8982996659853576E-5</v>
      </c>
      <c r="S290" s="66">
        <f t="shared" si="224"/>
        <v>6.8982996659853576E-5</v>
      </c>
      <c r="T290" s="66">
        <f t="shared" si="224"/>
        <v>6.8982996659853576E-5</v>
      </c>
      <c r="U290" s="66">
        <f t="shared" si="224"/>
        <v>6.8982996659853576E-5</v>
      </c>
      <c r="V290" s="66">
        <f t="shared" si="224"/>
        <v>6.8982996659853576E-5</v>
      </c>
      <c r="W290" s="66">
        <f t="shared" si="224"/>
        <v>6.8982996659853576E-5</v>
      </c>
      <c r="X290" s="66">
        <f t="shared" si="224"/>
        <v>6.8982996659853576E-5</v>
      </c>
      <c r="Y290" s="66">
        <f t="shared" si="224"/>
        <v>6.8982996659853576E-5</v>
      </c>
      <c r="Z290" s="66">
        <f t="shared" si="224"/>
        <v>6.8982996659853576E-5</v>
      </c>
      <c r="AA290" s="66">
        <f t="shared" si="224"/>
        <v>6.8982996659853576E-5</v>
      </c>
      <c r="AB290" s="66">
        <f t="shared" si="224"/>
        <v>6.8982996659853576E-5</v>
      </c>
      <c r="AC290" s="66">
        <f t="shared" si="224"/>
        <v>6.8982996659853576E-5</v>
      </c>
    </row>
    <row r="291" spans="1:29" x14ac:dyDescent="0.3">
      <c r="A291" s="30" t="str">
        <f t="shared" si="221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25">((1+C249)^C257)*C249/(((1+C249)^C257)-1)*(C248)/C261/(C258)</f>
        <v>-6.8982996659853564E-6</v>
      </c>
      <c r="D291" s="69">
        <f t="shared" si="225"/>
        <v>-6.8982996659853564E-6</v>
      </c>
      <c r="E291" s="69">
        <f t="shared" si="225"/>
        <v>-6.8982996659853564E-6</v>
      </c>
      <c r="F291" s="69">
        <f t="shared" si="225"/>
        <v>-6.8982996659853564E-6</v>
      </c>
      <c r="G291" s="69">
        <f t="shared" si="225"/>
        <v>-6.8982996659853564E-6</v>
      </c>
      <c r="H291" s="69">
        <f t="shared" si="225"/>
        <v>-6.8982996659853564E-6</v>
      </c>
      <c r="I291" s="69">
        <f t="shared" si="225"/>
        <v>-6.8982996659853564E-6</v>
      </c>
      <c r="J291" s="69">
        <f t="shared" si="225"/>
        <v>-6.8982996659853564E-6</v>
      </c>
      <c r="K291" s="69">
        <f t="shared" si="225"/>
        <v>-6.8982996659853564E-6</v>
      </c>
      <c r="L291" s="69">
        <f t="shared" si="225"/>
        <v>-6.8982996659853564E-6</v>
      </c>
      <c r="M291" s="69">
        <f t="shared" si="225"/>
        <v>-6.8982996659853564E-6</v>
      </c>
      <c r="N291" s="69">
        <f t="shared" si="225"/>
        <v>-6.8982996659853564E-6</v>
      </c>
      <c r="O291" s="69">
        <f t="shared" si="225"/>
        <v>-6.8982996659853564E-6</v>
      </c>
      <c r="P291" s="69">
        <f t="shared" si="225"/>
        <v>-6.8982996659853564E-6</v>
      </c>
      <c r="Q291" s="69">
        <f t="shared" si="225"/>
        <v>-6.8982996659853564E-6</v>
      </c>
      <c r="R291" s="69">
        <f t="shared" si="225"/>
        <v>-6.8982996659853564E-6</v>
      </c>
      <c r="S291" s="69">
        <f t="shared" si="225"/>
        <v>-6.8982996659853564E-6</v>
      </c>
      <c r="T291" s="69">
        <f t="shared" si="225"/>
        <v>-6.8982996659853564E-6</v>
      </c>
      <c r="U291" s="69">
        <f t="shared" si="225"/>
        <v>-6.8982996659853564E-6</v>
      </c>
      <c r="V291" s="69">
        <f t="shared" si="225"/>
        <v>-6.8982996659853564E-6</v>
      </c>
      <c r="W291" s="69">
        <f t="shared" si="225"/>
        <v>-6.8982996659853564E-6</v>
      </c>
      <c r="X291" s="69">
        <f t="shared" si="225"/>
        <v>-6.8982996659853564E-6</v>
      </c>
      <c r="Y291" s="69">
        <f t="shared" si="225"/>
        <v>-6.8982996659853564E-6</v>
      </c>
      <c r="Z291" s="69">
        <f t="shared" si="225"/>
        <v>-6.8982996659853564E-6</v>
      </c>
      <c r="AA291" s="69">
        <f t="shared" si="225"/>
        <v>-6.8982996659853564E-6</v>
      </c>
      <c r="AB291" s="69">
        <f t="shared" si="225"/>
        <v>-6.8982996659853564E-6</v>
      </c>
      <c r="AC291" s="69">
        <f t="shared" si="225"/>
        <v>-6.8982996659853564E-6</v>
      </c>
    </row>
    <row r="292" spans="1:29" x14ac:dyDescent="0.3">
      <c r="A292" s="30" t="str">
        <f t="shared" si="221"/>
        <v>Opex fix (admin, crew, insurance)</v>
      </c>
      <c r="B292" s="66">
        <f>B250/B261/(B258)</f>
        <v>1.0654632223259673E-3</v>
      </c>
      <c r="C292" s="66">
        <f t="shared" ref="C292:AC292" si="226">C250/C261/(C258)</f>
        <v>1.0654632223259673E-3</v>
      </c>
      <c r="D292" s="66">
        <f t="shared" si="226"/>
        <v>1.0654632223259673E-3</v>
      </c>
      <c r="E292" s="66">
        <f t="shared" si="226"/>
        <v>1.0654632223259673E-3</v>
      </c>
      <c r="F292" s="66">
        <f t="shared" si="226"/>
        <v>1.0654632223259673E-3</v>
      </c>
      <c r="G292" s="66">
        <f t="shared" si="226"/>
        <v>1.0654632223259673E-3</v>
      </c>
      <c r="H292" s="66">
        <f t="shared" si="226"/>
        <v>1.0654632223259673E-3</v>
      </c>
      <c r="I292" s="66">
        <f t="shared" si="226"/>
        <v>1.0654632223259673E-3</v>
      </c>
      <c r="J292" s="66">
        <f t="shared" si="226"/>
        <v>1.0654632223259673E-3</v>
      </c>
      <c r="K292" s="66">
        <f t="shared" si="226"/>
        <v>1.0654632223259673E-3</v>
      </c>
      <c r="L292" s="66">
        <f t="shared" si="226"/>
        <v>1.0654632223259673E-3</v>
      </c>
      <c r="M292" s="66">
        <f t="shared" si="226"/>
        <v>1.0654632223259673E-3</v>
      </c>
      <c r="N292" s="66">
        <f t="shared" si="226"/>
        <v>1.0654632223259673E-3</v>
      </c>
      <c r="O292" s="66">
        <f t="shared" si="226"/>
        <v>1.0654632223259673E-3</v>
      </c>
      <c r="P292" s="66">
        <f t="shared" si="226"/>
        <v>1.0654632223259673E-3</v>
      </c>
      <c r="Q292" s="66">
        <f t="shared" si="226"/>
        <v>1.0654632223259673E-3</v>
      </c>
      <c r="R292" s="66">
        <f t="shared" si="226"/>
        <v>1.0654632223259673E-3</v>
      </c>
      <c r="S292" s="66">
        <f t="shared" si="226"/>
        <v>1.0654632223259673E-3</v>
      </c>
      <c r="T292" s="66">
        <f t="shared" si="226"/>
        <v>1.0654632223259673E-3</v>
      </c>
      <c r="U292" s="66">
        <f t="shared" si="226"/>
        <v>1.0654632223259673E-3</v>
      </c>
      <c r="V292" s="66">
        <f t="shared" si="226"/>
        <v>1.0654632223259673E-3</v>
      </c>
      <c r="W292" s="66">
        <f t="shared" si="226"/>
        <v>1.0654632223259673E-3</v>
      </c>
      <c r="X292" s="66">
        <f t="shared" si="226"/>
        <v>1.0654632223259673E-3</v>
      </c>
      <c r="Y292" s="66">
        <f t="shared" si="226"/>
        <v>1.0654632223259673E-3</v>
      </c>
      <c r="Z292" s="66">
        <f t="shared" si="226"/>
        <v>1.0654632223259673E-3</v>
      </c>
      <c r="AA292" s="66">
        <f t="shared" si="226"/>
        <v>1.0654632223259673E-3</v>
      </c>
      <c r="AB292" s="66">
        <f t="shared" si="226"/>
        <v>1.0654632223259673E-3</v>
      </c>
      <c r="AC292" s="66">
        <f t="shared" si="226"/>
        <v>1.0654632223259673E-3</v>
      </c>
    </row>
    <row r="293" spans="1:29" x14ac:dyDescent="0.3">
      <c r="A293" s="30" t="str">
        <f t="shared" si="221"/>
        <v>Opex maintenance &amp; repair</v>
      </c>
      <c r="B293" s="66">
        <f>B251/B261/(B258)</f>
        <v>2.9878618113912231E-4</v>
      </c>
      <c r="C293" s="66">
        <f t="shared" ref="C293:AC293" si="227">C251/C261/(C258)</f>
        <v>2.9878618113912231E-4</v>
      </c>
      <c r="D293" s="66">
        <f t="shared" si="227"/>
        <v>2.9878618113912231E-4</v>
      </c>
      <c r="E293" s="66">
        <f t="shared" si="227"/>
        <v>2.9878618113912231E-4</v>
      </c>
      <c r="F293" s="66">
        <f t="shared" si="227"/>
        <v>2.9878618113912231E-4</v>
      </c>
      <c r="G293" s="66">
        <f t="shared" si="227"/>
        <v>2.9878618113912231E-4</v>
      </c>
      <c r="H293" s="66">
        <f t="shared" si="227"/>
        <v>2.9878618113912231E-4</v>
      </c>
      <c r="I293" s="66">
        <f t="shared" si="227"/>
        <v>2.9878618113912231E-4</v>
      </c>
      <c r="J293" s="66">
        <f t="shared" si="227"/>
        <v>2.9878618113912231E-4</v>
      </c>
      <c r="K293" s="66">
        <f t="shared" si="227"/>
        <v>2.9878618113912231E-4</v>
      </c>
      <c r="L293" s="66">
        <f t="shared" si="227"/>
        <v>2.9878618113912231E-4</v>
      </c>
      <c r="M293" s="66">
        <f t="shared" si="227"/>
        <v>2.9878618113912231E-4</v>
      </c>
      <c r="N293" s="66">
        <f t="shared" si="227"/>
        <v>2.9878618113912231E-4</v>
      </c>
      <c r="O293" s="66">
        <f t="shared" si="227"/>
        <v>2.9878618113912231E-4</v>
      </c>
      <c r="P293" s="66">
        <f t="shared" si="227"/>
        <v>2.9878618113912231E-4</v>
      </c>
      <c r="Q293" s="66">
        <f t="shared" si="227"/>
        <v>2.9878618113912231E-4</v>
      </c>
      <c r="R293" s="66">
        <f t="shared" si="227"/>
        <v>2.9878618113912231E-4</v>
      </c>
      <c r="S293" s="66">
        <f t="shared" si="227"/>
        <v>2.9878618113912231E-4</v>
      </c>
      <c r="T293" s="66">
        <f t="shared" si="227"/>
        <v>2.9878618113912231E-4</v>
      </c>
      <c r="U293" s="66">
        <f t="shared" si="227"/>
        <v>2.9878618113912231E-4</v>
      </c>
      <c r="V293" s="66">
        <f t="shared" si="227"/>
        <v>2.9878618113912231E-4</v>
      </c>
      <c r="W293" s="66">
        <f t="shared" si="227"/>
        <v>2.9878618113912231E-4</v>
      </c>
      <c r="X293" s="66">
        <f t="shared" si="227"/>
        <v>2.9878618113912231E-4</v>
      </c>
      <c r="Y293" s="66">
        <f t="shared" si="227"/>
        <v>2.9878618113912231E-4</v>
      </c>
      <c r="Z293" s="66">
        <f t="shared" si="227"/>
        <v>2.9878618113912231E-4</v>
      </c>
      <c r="AA293" s="66">
        <f t="shared" si="227"/>
        <v>2.9878618113912231E-4</v>
      </c>
      <c r="AB293" s="66">
        <f t="shared" si="227"/>
        <v>2.9878618113912231E-4</v>
      </c>
      <c r="AC293" s="66">
        <f t="shared" si="227"/>
        <v>2.9878618113912231E-4</v>
      </c>
    </row>
    <row r="294" spans="1:29" x14ac:dyDescent="0.3">
      <c r="A294" s="30" t="str">
        <f t="shared" si="221"/>
        <v>Opex var (mode-fees)</v>
      </c>
      <c r="B294" s="66">
        <f>B252*B261/B261/(B258)</f>
        <v>8.6011184229469056E-5</v>
      </c>
      <c r="C294" s="66">
        <f t="shared" ref="C294:AC294" si="228">C252*C261/C261/(C258)</f>
        <v>8.6011184229469056E-5</v>
      </c>
      <c r="D294" s="66">
        <f t="shared" si="228"/>
        <v>8.6011184229469056E-5</v>
      </c>
      <c r="E294" s="66">
        <f t="shared" si="228"/>
        <v>8.6011184229469056E-5</v>
      </c>
      <c r="F294" s="66">
        <f t="shared" si="228"/>
        <v>8.6011184229469056E-5</v>
      </c>
      <c r="G294" s="66">
        <f t="shared" si="228"/>
        <v>8.6011184229469056E-5</v>
      </c>
      <c r="H294" s="66">
        <f t="shared" si="228"/>
        <v>8.6011184229469056E-5</v>
      </c>
      <c r="I294" s="66">
        <f t="shared" si="228"/>
        <v>8.6011184229469056E-5</v>
      </c>
      <c r="J294" s="66">
        <f t="shared" si="228"/>
        <v>8.6011184229469056E-5</v>
      </c>
      <c r="K294" s="66">
        <f t="shared" si="228"/>
        <v>8.6011184229469056E-5</v>
      </c>
      <c r="L294" s="66">
        <f t="shared" si="228"/>
        <v>8.6011184229469056E-5</v>
      </c>
      <c r="M294" s="66">
        <f t="shared" si="228"/>
        <v>8.6011184229469056E-5</v>
      </c>
      <c r="N294" s="66">
        <f t="shared" si="228"/>
        <v>8.6011184229469056E-5</v>
      </c>
      <c r="O294" s="66">
        <f t="shared" si="228"/>
        <v>8.6011184229469056E-5</v>
      </c>
      <c r="P294" s="66">
        <f t="shared" si="228"/>
        <v>8.6011184229469056E-5</v>
      </c>
      <c r="Q294" s="66">
        <f t="shared" si="228"/>
        <v>8.6011184229469056E-5</v>
      </c>
      <c r="R294" s="66">
        <f t="shared" si="228"/>
        <v>8.6011184229469056E-5</v>
      </c>
      <c r="S294" s="66">
        <f t="shared" si="228"/>
        <v>8.6011184229469056E-5</v>
      </c>
      <c r="T294" s="66">
        <f t="shared" si="228"/>
        <v>8.6011184229469056E-5</v>
      </c>
      <c r="U294" s="66">
        <f t="shared" si="228"/>
        <v>8.6011184229469056E-5</v>
      </c>
      <c r="V294" s="66">
        <f t="shared" si="228"/>
        <v>8.6011184229469056E-5</v>
      </c>
      <c r="W294" s="66">
        <f t="shared" si="228"/>
        <v>8.6011184229469056E-5</v>
      </c>
      <c r="X294" s="66">
        <f t="shared" si="228"/>
        <v>8.6011184229469056E-5</v>
      </c>
      <c r="Y294" s="66">
        <f t="shared" si="228"/>
        <v>8.6011184229469056E-5</v>
      </c>
      <c r="Z294" s="66">
        <f t="shared" si="228"/>
        <v>8.6011184229469056E-5</v>
      </c>
      <c r="AA294" s="66">
        <f t="shared" si="228"/>
        <v>8.6011184229469056E-5</v>
      </c>
      <c r="AB294" s="66">
        <f t="shared" si="228"/>
        <v>8.6011184229469056E-5</v>
      </c>
      <c r="AC294" s="66">
        <f t="shared" si="228"/>
        <v>8.6011184229469056E-5</v>
      </c>
    </row>
    <row r="295" spans="1:29" x14ac:dyDescent="0.3">
      <c r="A295" s="30" t="str">
        <f t="shared" si="221"/>
        <v>Fuel Cost</v>
      </c>
      <c r="B295" s="66">
        <f>B253*B254*B261/B261/(B258)</f>
        <v>1.1790342951953749E-2</v>
      </c>
      <c r="C295" s="66">
        <f t="shared" ref="C295:AC295" si="229">C253*C254*C261/C261/(C258)</f>
        <v>1.1783766913594665E-2</v>
      </c>
      <c r="D295" s="66">
        <f t="shared" si="229"/>
        <v>1.1774355523119581E-2</v>
      </c>
      <c r="E295" s="66">
        <f t="shared" si="229"/>
        <v>1.1760896088186527E-2</v>
      </c>
      <c r="F295" s="66">
        <f t="shared" si="229"/>
        <v>1.1741668211121929E-2</v>
      </c>
      <c r="G295" s="66">
        <f t="shared" si="229"/>
        <v>1.1714243454918982E-2</v>
      </c>
      <c r="H295" s="66">
        <f t="shared" si="229"/>
        <v>1.1675219564648431E-2</v>
      </c>
      <c r="I295" s="66">
        <f t="shared" si="229"/>
        <v>1.1619883278327343E-2</v>
      </c>
      <c r="J295" s="66">
        <f t="shared" si="229"/>
        <v>1.154181494912015E-2</v>
      </c>
      <c r="K295" s="66">
        <f t="shared" si="229"/>
        <v>1.1432493444006882E-2</v>
      </c>
      <c r="L295" s="66">
        <f t="shared" si="229"/>
        <v>1.1281050087987085E-2</v>
      </c>
      <c r="M295" s="66">
        <f t="shared" si="229"/>
        <v>1.1074472868176938E-2</v>
      </c>
      <c r="N295" s="66">
        <f t="shared" si="229"/>
        <v>1.0798760315613672E-2</v>
      </c>
      <c r="O295" s="66">
        <f t="shared" si="229"/>
        <v>1.0441645076778088E-2</v>
      </c>
      <c r="P295" s="66">
        <f t="shared" si="229"/>
        <v>9.9972293841793375E-3</v>
      </c>
      <c r="Q295" s="66">
        <f t="shared" si="229"/>
        <v>9.4717576213010652E-3</v>
      </c>
      <c r="R295" s="66">
        <f t="shared" si="229"/>
        <v>8.8878376910148001E-3</v>
      </c>
      <c r="S295" s="66">
        <f t="shared" si="229"/>
        <v>8.2832233343252838E-3</v>
      </c>
      <c r="T295" s="66">
        <f t="shared" si="229"/>
        <v>7.702298401651585E-3</v>
      </c>
      <c r="U295" s="66">
        <f t="shared" si="229"/>
        <v>7.183621542308124E-3</v>
      </c>
      <c r="V295" s="66">
        <f t="shared" si="229"/>
        <v>6.7504248089756283E-3</v>
      </c>
      <c r="W295" s="66">
        <f t="shared" si="229"/>
        <v>6.4085502681744538E-3</v>
      </c>
      <c r="X295" s="66">
        <f t="shared" si="229"/>
        <v>6.1506990464434185E-3</v>
      </c>
      <c r="Y295" s="66">
        <f t="shared" si="229"/>
        <v>5.9628215784575953E-3</v>
      </c>
      <c r="Z295" s="66">
        <f t="shared" si="229"/>
        <v>5.8293562567065891E-3</v>
      </c>
      <c r="AA295" s="66">
        <f t="shared" si="229"/>
        <v>5.7362463319861412E-3</v>
      </c>
      <c r="AB295" s="66">
        <f t="shared" si="229"/>
        <v>5.6721085009993396E-3</v>
      </c>
      <c r="AC295" s="66">
        <f t="shared" si="229"/>
        <v>5.6283132239921011E-3</v>
      </c>
    </row>
    <row r="296" spans="1:29" x14ac:dyDescent="0.3">
      <c r="A296" s="59" t="str">
        <f>A259</f>
        <v>Market failure (av. utilization)</v>
      </c>
      <c r="B296" s="66">
        <f t="shared" ref="B296:AC296" si="230">B285/B259-B285/B258</f>
        <v>2.4312024173282508E-2</v>
      </c>
      <c r="C296" s="66">
        <f t="shared" si="230"/>
        <v>2.4300085714963695E-2</v>
      </c>
      <c r="D296" s="66">
        <f t="shared" si="230"/>
        <v>2.4282999302915113E-2</v>
      </c>
      <c r="E296" s="66">
        <f t="shared" si="230"/>
        <v>2.425856259095524E-2</v>
      </c>
      <c r="F296" s="66">
        <f t="shared" si="230"/>
        <v>2.4223650628388094E-2</v>
      </c>
      <c r="G296" s="66">
        <f t="shared" si="230"/>
        <v>2.4173851209446831E-2</v>
      </c>
      <c r="H296" s="66">
        <f t="shared" si="230"/>
        <v>2.410298044348555E-2</v>
      </c>
      <c r="I296" s="66">
        <f t="shared" si="230"/>
        <v>2.4002466799036615E-2</v>
      </c>
      <c r="J296" s="66">
        <f t="shared" si="230"/>
        <v>2.3860625955604724E-2</v>
      </c>
      <c r="K296" s="66">
        <f t="shared" si="230"/>
        <v>2.3661929771936444E-2</v>
      </c>
      <c r="L296" s="66">
        <f t="shared" si="230"/>
        <v>2.3386535242109714E-2</v>
      </c>
      <c r="M296" s="66">
        <f t="shared" si="230"/>
        <v>2.3010615626373594E-2</v>
      </c>
      <c r="N296" s="66">
        <f t="shared" si="230"/>
        <v>2.2508399708624786E-2</v>
      </c>
      <c r="O296" s="66">
        <f t="shared" si="230"/>
        <v>2.1857059154887198E-2</v>
      </c>
      <c r="P296" s="66">
        <f t="shared" si="230"/>
        <v>2.1045112126366602E-2</v>
      </c>
      <c r="Q296" s="66">
        <f t="shared" si="230"/>
        <v>2.0083021383403774E-2</v>
      </c>
      <c r="R296" s="66">
        <f t="shared" si="230"/>
        <v>1.901117737493661E-2</v>
      </c>
      <c r="S296" s="66">
        <f t="shared" si="230"/>
        <v>1.7898135504016498E-2</v>
      </c>
      <c r="T296" s="66">
        <f t="shared" si="230"/>
        <v>1.6825439712842782E-2</v>
      </c>
      <c r="U296" s="66">
        <f t="shared" si="230"/>
        <v>1.586481996005365E-2</v>
      </c>
      <c r="V296" s="66">
        <f t="shared" si="230"/>
        <v>1.5060324552306362E-2</v>
      </c>
      <c r="W296" s="66">
        <f t="shared" si="230"/>
        <v>1.4423948478152062E-2</v>
      </c>
      <c r="X296" s="66">
        <f t="shared" si="230"/>
        <v>1.3943079848388811E-2</v>
      </c>
      <c r="Y296" s="66">
        <f t="shared" si="230"/>
        <v>1.3592205286991592E-2</v>
      </c>
      <c r="Z296" s="66">
        <f t="shared" si="230"/>
        <v>1.3342686983469748E-2</v>
      </c>
      <c r="AA296" s="66">
        <f t="shared" si="230"/>
        <v>1.3168483370671953E-2</v>
      </c>
      <c r="AB296" s="66">
        <f t="shared" si="230"/>
        <v>1.3048421501419218E-2</v>
      </c>
      <c r="AC296" s="66">
        <f t="shared" si="230"/>
        <v>1.2966409582600527E-2</v>
      </c>
    </row>
    <row r="297" spans="1:29" x14ac:dyDescent="0.3">
      <c r="A297" s="59" t="str">
        <f>A260</f>
        <v>Payload loss (fuel)</v>
      </c>
      <c r="B297" s="66">
        <f>B285/(B258-B260)-B285/B258</f>
        <v>6.1556948040347628E-2</v>
      </c>
      <c r="C297" s="66">
        <f t="shared" ref="C297:AC297" si="231">C285/(C258-C260)-C285/C258</f>
        <v>6.1262496616094717E-2</v>
      </c>
      <c r="D297" s="66">
        <f t="shared" si="231"/>
        <v>6.0844591472001219E-2</v>
      </c>
      <c r="E297" s="66">
        <f t="shared" si="231"/>
        <v>6.025399725064072E-2</v>
      </c>
      <c r="F297" s="66">
        <f t="shared" si="231"/>
        <v>5.9424401264620008E-2</v>
      </c>
      <c r="G297" s="66">
        <f t="shared" si="231"/>
        <v>5.8269033022799795E-2</v>
      </c>
      <c r="H297" s="66">
        <f t="shared" si="231"/>
        <v>5.6679195175758736E-2</v>
      </c>
      <c r="I297" s="66">
        <f t="shared" si="231"/>
        <v>5.452766874785573E-2</v>
      </c>
      <c r="J297" s="66">
        <f t="shared" si="231"/>
        <v>5.1681493701790968E-2</v>
      </c>
      <c r="K297" s="66">
        <f t="shared" si="231"/>
        <v>4.8029115890744371E-2</v>
      </c>
      <c r="L297" s="66">
        <f t="shared" si="231"/>
        <v>4.352374222590203E-2</v>
      </c>
      <c r="M297" s="66">
        <f t="shared" si="231"/>
        <v>3.823506287746406E-2</v>
      </c>
      <c r="N297" s="66">
        <f t="shared" si="231"/>
        <v>3.2386560421824959E-2</v>
      </c>
      <c r="O297" s="66">
        <f t="shared" si="231"/>
        <v>2.6346684033880803E-2</v>
      </c>
      <c r="P297" s="66">
        <f t="shared" si="231"/>
        <v>2.0556425380568025E-2</v>
      </c>
      <c r="Q297" s="66">
        <f t="shared" si="231"/>
        <v>1.5414688295071385E-2</v>
      </c>
      <c r="R297" s="66">
        <f t="shared" si="231"/>
        <v>1.1176432438382972E-2</v>
      </c>
      <c r="S297" s="66">
        <f t="shared" si="231"/>
        <v>7.9126845520191297E-3</v>
      </c>
      <c r="T297" s="66">
        <f t="shared" si="231"/>
        <v>5.540427778864097E-3</v>
      </c>
      <c r="U297" s="66">
        <f t="shared" si="231"/>
        <v>3.8914310888201187E-3</v>
      </c>
      <c r="V297" s="66">
        <f t="shared" si="231"/>
        <v>2.779587591155961E-3</v>
      </c>
      <c r="W297" s="66">
        <f t="shared" si="231"/>
        <v>2.0429077494496239E-3</v>
      </c>
      <c r="X297" s="66">
        <f t="shared" si="231"/>
        <v>1.5584092874774049E-3</v>
      </c>
      <c r="Y297" s="66">
        <f t="shared" si="231"/>
        <v>1.240068953416322E-3</v>
      </c>
      <c r="Z297" s="66">
        <f t="shared" si="231"/>
        <v>1.0304083876728504E-3</v>
      </c>
      <c r="AA297" s="66">
        <f t="shared" si="231"/>
        <v>8.9183876389015322E-4</v>
      </c>
      <c r="AB297" s="66">
        <f t="shared" si="231"/>
        <v>7.9993625215007275E-4</v>
      </c>
      <c r="AC297" s="66">
        <f t="shared" si="231"/>
        <v>7.3880581687748616E-4</v>
      </c>
    </row>
    <row r="298" spans="1:29" ht="15" thickBot="1" x14ac:dyDescent="0.35">
      <c r="A298" s="59" t="str">
        <f>A235</f>
        <v>Emission Cost</v>
      </c>
      <c r="B298" s="68">
        <f>B255*B261/B261/(B258)</f>
        <v>2.6311642110997044E-4</v>
      </c>
      <c r="C298" s="68">
        <f t="shared" ref="C298:AC298" si="232">C255*C261/C261/(C258)</f>
        <v>2.6286587016831347E-4</v>
      </c>
      <c r="D298" s="68">
        <f t="shared" si="232"/>
        <v>2.625072120759037E-4</v>
      </c>
      <c r="E298" s="68">
        <f t="shared" si="232"/>
        <v>2.6199412645274697E-4</v>
      </c>
      <c r="F298" s="68">
        <f t="shared" si="232"/>
        <v>2.6126081387929228E-4</v>
      </c>
      <c r="G298" s="68">
        <f t="shared" si="232"/>
        <v>2.6021421836155354E-4</v>
      </c>
      <c r="H298" s="68">
        <f t="shared" si="232"/>
        <v>2.587236095863079E-4</v>
      </c>
      <c r="I298" s="68">
        <f t="shared" si="232"/>
        <v>2.566071588068925E-4</v>
      </c>
      <c r="J298" s="68">
        <f t="shared" si="232"/>
        <v>2.5361575900812355E-4</v>
      </c>
      <c r="K298" s="68">
        <f t="shared" si="232"/>
        <v>2.4941588765997478E-4</v>
      </c>
      <c r="L298" s="68">
        <f t="shared" si="232"/>
        <v>2.4357654188553792E-4</v>
      </c>
      <c r="M298" s="68">
        <f t="shared" si="232"/>
        <v>2.3557101727914492E-4</v>
      </c>
      <c r="N298" s="68">
        <f t="shared" si="232"/>
        <v>2.2481245004548822E-4</v>
      </c>
      <c r="O298" s="68">
        <f t="shared" si="232"/>
        <v>2.1074892426876276E-4</v>
      </c>
      <c r="P298" s="68">
        <f t="shared" si="232"/>
        <v>1.9303829059735733E-4</v>
      </c>
      <c r="Q298" s="68">
        <f t="shared" si="232"/>
        <v>1.7178603857549002E-4</v>
      </c>
      <c r="R298" s="68">
        <f t="shared" si="232"/>
        <v>1.4775455190070181E-4</v>
      </c>
      <c r="S298" s="68">
        <f t="shared" si="232"/>
        <v>1.2238461001683673E-4</v>
      </c>
      <c r="T298" s="68">
        <f t="shared" si="232"/>
        <v>9.7513901136100757E-5</v>
      </c>
      <c r="U298" s="68">
        <f t="shared" si="232"/>
        <v>7.4873582914375649E-5</v>
      </c>
      <c r="V298" s="68">
        <f t="shared" si="232"/>
        <v>5.5632536469223359E-5</v>
      </c>
      <c r="W298" s="68">
        <f t="shared" si="232"/>
        <v>4.0223904142840252E-5</v>
      </c>
      <c r="X298" s="68">
        <f t="shared" si="232"/>
        <v>2.8466433793904391E-5</v>
      </c>
      <c r="Y298" s="68">
        <f t="shared" si="232"/>
        <v>1.9823750136951439E-5</v>
      </c>
      <c r="Z298" s="68">
        <f t="shared" si="232"/>
        <v>1.3644356353033646E-5</v>
      </c>
      <c r="AA298" s="68">
        <f t="shared" si="232"/>
        <v>9.3135138812216792E-6</v>
      </c>
      <c r="AB298" s="68">
        <f t="shared" si="232"/>
        <v>6.3206355388177748E-6</v>
      </c>
      <c r="AC298" s="68">
        <f t="shared" si="232"/>
        <v>4.2724597482624145E-6</v>
      </c>
    </row>
    <row r="299" spans="1:29" ht="15" thickBot="1" x14ac:dyDescent="0.35">
      <c r="A299" s="31" t="s">
        <v>210</v>
      </c>
      <c r="B299" s="67">
        <f>B288+B289+B290+B291+B292+B293+B294+B295+B296+B297+B298</f>
        <v>0.10139892877426568</v>
      </c>
      <c r="C299" s="67">
        <f t="shared" ref="C299:AC299" si="233">C288+C289+C290+C291+C292+C293+C294+C295+C296+C297+C298</f>
        <v>0.10108490610686717</v>
      </c>
      <c r="D299" s="67">
        <f t="shared" si="233"/>
        <v>0.10063899045121862</v>
      </c>
      <c r="E299" s="67">
        <f t="shared" si="233"/>
        <v>0.10000833604631734</v>
      </c>
      <c r="F299" s="67">
        <f t="shared" si="233"/>
        <v>9.9121507334776718E-2</v>
      </c>
      <c r="G299" s="67">
        <f t="shared" si="233"/>
        <v>9.7884500701249516E-2</v>
      </c>
      <c r="H299" s="67">
        <f t="shared" si="233"/>
        <v>9.6178481270665389E-2</v>
      </c>
      <c r="I299" s="67">
        <f t="shared" si="233"/>
        <v>9.3862178376452624E-2</v>
      </c>
      <c r="J299" s="67">
        <f t="shared" si="233"/>
        <v>9.07834773575487E-2</v>
      </c>
      <c r="K299" s="67">
        <f t="shared" si="233"/>
        <v>8.6805368097865584E-2</v>
      </c>
      <c r="L299" s="67">
        <f t="shared" si="233"/>
        <v>8.1848527990684344E-2</v>
      </c>
      <c r="M299" s="67">
        <f t="shared" si="233"/>
        <v>7.5943586977105182E-2</v>
      </c>
      <c r="N299" s="67">
        <f t="shared" si="233"/>
        <v>6.9271779738271325E-2</v>
      </c>
      <c r="O299" s="67">
        <f t="shared" si="233"/>
        <v>6.2164131950757352E-2</v>
      </c>
      <c r="P299" s="67">
        <f t="shared" si="233"/>
        <v>5.5042812594951793E-2</v>
      </c>
      <c r="Q299" s="67">
        <f t="shared" si="233"/>
        <v>4.8323877570171828E-2</v>
      </c>
      <c r="R299" s="67">
        <f t="shared" si="233"/>
        <v>4.232850038812741E-2</v>
      </c>
      <c r="S299" s="67">
        <f t="shared" si="233"/>
        <v>3.7240093696976499E-2</v>
      </c>
      <c r="T299" s="67">
        <f t="shared" si="233"/>
        <v>3.3109319233372757E-2</v>
      </c>
      <c r="U299" s="67">
        <f t="shared" si="233"/>
        <v>2.9885536063346593E-2</v>
      </c>
      <c r="V299" s="67">
        <f t="shared" si="233"/>
        <v>2.7454847634949171E-2</v>
      </c>
      <c r="W299" s="67">
        <f t="shared" si="233"/>
        <v>2.5674928327416118E-2</v>
      </c>
      <c r="X299" s="67">
        <f t="shared" si="233"/>
        <v>2.4402120636323816E-2</v>
      </c>
      <c r="Y299" s="67">
        <f t="shared" si="233"/>
        <v>2.3508576103250894E-2</v>
      </c>
      <c r="Z299" s="67">
        <f t="shared" si="233"/>
        <v>2.2889869138291285E-2</v>
      </c>
      <c r="AA299" s="67">
        <f t="shared" si="233"/>
        <v>2.2465719821397449E-2</v>
      </c>
      <c r="AB299" s="67">
        <f t="shared" si="233"/>
        <v>2.2176994573177473E-2</v>
      </c>
      <c r="AC299" s="67">
        <f t="shared" si="233"/>
        <v>2.1981418369349661E-2</v>
      </c>
    </row>
    <row r="301" spans="1:29" x14ac:dyDescent="0.3">
      <c r="B301" s="40"/>
    </row>
    <row r="324" spans="1:44" s="3" customFormat="1" ht="21" x14ac:dyDescent="0.4">
      <c r="A324" s="2" t="str">
        <f>'Parameter Input'!A178</f>
        <v>Short-sea:  Neo bulk</v>
      </c>
    </row>
    <row r="325" spans="1:44" s="3" customFormat="1" ht="21" x14ac:dyDescent="0.4">
      <c r="A325" s="2" t="s">
        <v>186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Input'!$L$179</f>
        <v>30000000</v>
      </c>
      <c r="C334" s="42">
        <f>'Parameter Input'!$M$179</f>
        <v>18000000</v>
      </c>
      <c r="D334" s="1" t="s">
        <v>15</v>
      </c>
      <c r="L334" s="51">
        <f>'Parameter Input'!$O$179</f>
        <v>17</v>
      </c>
      <c r="M334" s="52">
        <v>0</v>
      </c>
      <c r="N334" s="52">
        <v>1</v>
      </c>
      <c r="O334" s="52">
        <f>'Parameter Input'!$P$179</f>
        <v>0.9</v>
      </c>
      <c r="P334" s="53">
        <f>'Parameter Input'!$Q$179</f>
        <v>0.4</v>
      </c>
      <c r="Q334" s="4">
        <f t="shared" ref="Q334:AR343" si="234">$N334+($M334-$N334)*((1/(1+EXP(-$P334*(Q$9-$L334)))^$O334))</f>
        <v>0.99780374543478534</v>
      </c>
      <c r="R334" s="4">
        <f t="shared" si="234"/>
        <v>0.99685359315256394</v>
      </c>
      <c r="S334" s="4">
        <f t="shared" si="234"/>
        <v>0.99549347132349975</v>
      </c>
      <c r="T334" s="4">
        <f t="shared" si="234"/>
        <v>0.99354772139898062</v>
      </c>
      <c r="U334" s="4">
        <f t="shared" si="234"/>
        <v>0.99076681540580536</v>
      </c>
      <c r="V334" s="4">
        <f t="shared" si="234"/>
        <v>0.9867978615748374</v>
      </c>
      <c r="W334" s="4">
        <f t="shared" si="234"/>
        <v>0.98114509762858249</v>
      </c>
      <c r="X334" s="4">
        <f t="shared" si="234"/>
        <v>0.97311898315872036</v>
      </c>
      <c r="Y334" s="4">
        <f t="shared" si="234"/>
        <v>0.96177484161592774</v>
      </c>
      <c r="Z334" s="4">
        <f t="shared" si="234"/>
        <v>0.94584787155511363</v>
      </c>
      <c r="AA334" s="4">
        <f t="shared" si="234"/>
        <v>0.92370360150141495</v>
      </c>
      <c r="AB334" s="4">
        <f t="shared" si="234"/>
        <v>0.89334463567658451</v>
      </c>
      <c r="AC334" s="4">
        <f t="shared" si="234"/>
        <v>0.85254543874327005</v>
      </c>
      <c r="AD334" s="4">
        <f t="shared" si="234"/>
        <v>0.79921300652623883</v>
      </c>
      <c r="AE334" s="4">
        <f t="shared" si="234"/>
        <v>0.73204982249993378</v>
      </c>
      <c r="AF334" s="4">
        <f t="shared" si="234"/>
        <v>0.65145592958786691</v>
      </c>
      <c r="AG334" s="4">
        <f t="shared" si="234"/>
        <v>0.56032247880849573</v>
      </c>
      <c r="AH334" s="4">
        <f t="shared" si="234"/>
        <v>0.46411326873185343</v>
      </c>
      <c r="AI334" s="4">
        <f t="shared" si="234"/>
        <v>0.36979727595523937</v>
      </c>
      <c r="AJ334" s="4">
        <f t="shared" si="234"/>
        <v>0.28393948637231203</v>
      </c>
      <c r="AK334" s="4">
        <f t="shared" si="234"/>
        <v>0.21097259161117732</v>
      </c>
      <c r="AL334" s="4">
        <f t="shared" si="234"/>
        <v>0.15253917653798199</v>
      </c>
      <c r="AM334" s="4">
        <f t="shared" si="234"/>
        <v>0.10795188737709993</v>
      </c>
      <c r="AN334" s="4">
        <f t="shared" si="234"/>
        <v>7.5176653938091809E-2</v>
      </c>
      <c r="AO334" s="4">
        <f t="shared" si="234"/>
        <v>5.1742836177502194E-2</v>
      </c>
      <c r="AP334" s="4">
        <f t="shared" si="234"/>
        <v>3.5319190625345942E-2</v>
      </c>
      <c r="AQ334" s="4">
        <f t="shared" si="234"/>
        <v>2.3969442072658165E-2</v>
      </c>
      <c r="AR334" s="4">
        <f t="shared" si="234"/>
        <v>1.6202243558389728E-2</v>
      </c>
    </row>
    <row r="335" spans="1:44" x14ac:dyDescent="0.3">
      <c r="A335" s="24" t="s">
        <v>28</v>
      </c>
      <c r="B335" s="60">
        <f>'Parameter Input'!$L$180</f>
        <v>-1500000</v>
      </c>
      <c r="C335" s="61">
        <f>'Parameter Input'!$M$180</f>
        <v>-1800000</v>
      </c>
      <c r="D335" s="1" t="s">
        <v>15</v>
      </c>
      <c r="L335" s="54">
        <f>'Parameter Input'!$O$180</f>
        <v>17</v>
      </c>
      <c r="M335" s="37">
        <v>0</v>
      </c>
      <c r="N335" s="37">
        <v>1</v>
      </c>
      <c r="O335" s="37">
        <f>'Parameter Input'!$P$180</f>
        <v>0.9</v>
      </c>
      <c r="P335" s="55">
        <f>'Parameter Input'!$Q$180</f>
        <v>0.4</v>
      </c>
      <c r="Q335" s="4">
        <f t="shared" si="234"/>
        <v>0.99780374543478534</v>
      </c>
      <c r="R335" s="4">
        <f t="shared" si="234"/>
        <v>0.99685359315256394</v>
      </c>
      <c r="S335" s="4">
        <f t="shared" si="234"/>
        <v>0.99549347132349975</v>
      </c>
      <c r="T335" s="4">
        <f t="shared" si="234"/>
        <v>0.99354772139898062</v>
      </c>
      <c r="U335" s="4">
        <f t="shared" si="234"/>
        <v>0.99076681540580536</v>
      </c>
      <c r="V335" s="4">
        <f t="shared" si="234"/>
        <v>0.9867978615748374</v>
      </c>
      <c r="W335" s="4">
        <f t="shared" si="234"/>
        <v>0.98114509762858249</v>
      </c>
      <c r="X335" s="4">
        <f t="shared" si="234"/>
        <v>0.97311898315872036</v>
      </c>
      <c r="Y335" s="4">
        <f t="shared" si="234"/>
        <v>0.96177484161592774</v>
      </c>
      <c r="Z335" s="4">
        <f t="shared" si="234"/>
        <v>0.94584787155511363</v>
      </c>
      <c r="AA335" s="4">
        <f t="shared" si="234"/>
        <v>0.92370360150141495</v>
      </c>
      <c r="AB335" s="4">
        <f t="shared" si="234"/>
        <v>0.89334463567658451</v>
      </c>
      <c r="AC335" s="4">
        <f t="shared" si="234"/>
        <v>0.85254543874327005</v>
      </c>
      <c r="AD335" s="4">
        <f t="shared" si="234"/>
        <v>0.79921300652623883</v>
      </c>
      <c r="AE335" s="4">
        <f t="shared" si="234"/>
        <v>0.73204982249993378</v>
      </c>
      <c r="AF335" s="4">
        <f t="shared" si="234"/>
        <v>0.65145592958786691</v>
      </c>
      <c r="AG335" s="4">
        <f t="shared" si="234"/>
        <v>0.56032247880849573</v>
      </c>
      <c r="AH335" s="4">
        <f t="shared" si="234"/>
        <v>0.46411326873185343</v>
      </c>
      <c r="AI335" s="4">
        <f t="shared" si="234"/>
        <v>0.36979727595523937</v>
      </c>
      <c r="AJ335" s="4">
        <f t="shared" si="234"/>
        <v>0.28393948637231203</v>
      </c>
      <c r="AK335" s="4">
        <f t="shared" si="234"/>
        <v>0.21097259161117732</v>
      </c>
      <c r="AL335" s="4">
        <f t="shared" si="234"/>
        <v>0.15253917653798199</v>
      </c>
      <c r="AM335" s="4">
        <f t="shared" si="234"/>
        <v>0.10795188737709993</v>
      </c>
      <c r="AN335" s="4">
        <f t="shared" si="234"/>
        <v>7.5176653938091809E-2</v>
      </c>
      <c r="AO335" s="4">
        <f t="shared" si="234"/>
        <v>5.1742836177502194E-2</v>
      </c>
      <c r="AP335" s="4">
        <f t="shared" si="234"/>
        <v>3.5319190625345942E-2</v>
      </c>
      <c r="AQ335" s="4">
        <f t="shared" si="234"/>
        <v>2.3969442072658165E-2</v>
      </c>
      <c r="AR335" s="4">
        <f t="shared" si="234"/>
        <v>1.6202243558389728E-2</v>
      </c>
    </row>
    <row r="336" spans="1:44" x14ac:dyDescent="0.3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34"/>
        <v>0.99780374543478534</v>
      </c>
      <c r="R336" s="4">
        <f t="shared" si="234"/>
        <v>0.99685359315256394</v>
      </c>
      <c r="S336" s="4">
        <f t="shared" si="234"/>
        <v>0.99549347132349975</v>
      </c>
      <c r="T336" s="4">
        <f t="shared" si="234"/>
        <v>0.99354772139898062</v>
      </c>
      <c r="U336" s="4">
        <f t="shared" si="234"/>
        <v>0.99076681540580536</v>
      </c>
      <c r="V336" s="4">
        <f t="shared" si="234"/>
        <v>0.9867978615748374</v>
      </c>
      <c r="W336" s="4">
        <f t="shared" si="234"/>
        <v>0.98114509762858249</v>
      </c>
      <c r="X336" s="4">
        <f t="shared" si="234"/>
        <v>0.97311898315872036</v>
      </c>
      <c r="Y336" s="4">
        <f t="shared" si="234"/>
        <v>0.96177484161592774</v>
      </c>
      <c r="Z336" s="4">
        <f t="shared" si="234"/>
        <v>0.94584787155511363</v>
      </c>
      <c r="AA336" s="4">
        <f t="shared" si="234"/>
        <v>0.92370360150141495</v>
      </c>
      <c r="AB336" s="4">
        <f t="shared" si="234"/>
        <v>0.89334463567658451</v>
      </c>
      <c r="AC336" s="4">
        <f t="shared" si="234"/>
        <v>0.85254543874327005</v>
      </c>
      <c r="AD336" s="4">
        <f t="shared" si="234"/>
        <v>0.79921300652623883</v>
      </c>
      <c r="AE336" s="4">
        <f t="shared" si="234"/>
        <v>0.73204982249993378</v>
      </c>
      <c r="AF336" s="4">
        <f t="shared" si="234"/>
        <v>0.65145592958786691</v>
      </c>
      <c r="AG336" s="4">
        <f t="shared" si="234"/>
        <v>0.56032247880849573</v>
      </c>
      <c r="AH336" s="4">
        <f t="shared" si="234"/>
        <v>0.46411326873185343</v>
      </c>
      <c r="AI336" s="4">
        <f t="shared" si="234"/>
        <v>0.36979727595523937</v>
      </c>
      <c r="AJ336" s="4">
        <f t="shared" si="234"/>
        <v>0.28393948637231203</v>
      </c>
      <c r="AK336" s="4">
        <f t="shared" si="234"/>
        <v>0.21097259161117732</v>
      </c>
      <c r="AL336" s="4">
        <f t="shared" si="234"/>
        <v>0.15253917653798199</v>
      </c>
      <c r="AM336" s="4">
        <f t="shared" si="234"/>
        <v>0.10795188737709993</v>
      </c>
      <c r="AN336" s="4">
        <f t="shared" si="234"/>
        <v>7.5176653938091809E-2</v>
      </c>
      <c r="AO336" s="4">
        <f t="shared" si="234"/>
        <v>5.1742836177502194E-2</v>
      </c>
      <c r="AP336" s="4">
        <f t="shared" si="234"/>
        <v>3.5319190625345942E-2</v>
      </c>
      <c r="AQ336" s="4">
        <f t="shared" si="234"/>
        <v>2.3969442072658165E-2</v>
      </c>
      <c r="AR336" s="4">
        <f t="shared" si="234"/>
        <v>1.6202243558389728E-2</v>
      </c>
    </row>
    <row r="337" spans="1:44" x14ac:dyDescent="0.3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34"/>
        <v>0.99780374543478534</v>
      </c>
      <c r="R337" s="4">
        <f t="shared" si="234"/>
        <v>0.99685359315256394</v>
      </c>
      <c r="S337" s="4">
        <f t="shared" si="234"/>
        <v>0.99549347132349975</v>
      </c>
      <c r="T337" s="4">
        <f t="shared" si="234"/>
        <v>0.99354772139898062</v>
      </c>
      <c r="U337" s="4">
        <f t="shared" si="234"/>
        <v>0.99076681540580536</v>
      </c>
      <c r="V337" s="4">
        <f t="shared" si="234"/>
        <v>0.9867978615748374</v>
      </c>
      <c r="W337" s="4">
        <f t="shared" si="234"/>
        <v>0.98114509762858249</v>
      </c>
      <c r="X337" s="4">
        <f t="shared" si="234"/>
        <v>0.97311898315872036</v>
      </c>
      <c r="Y337" s="4">
        <f t="shared" si="234"/>
        <v>0.96177484161592774</v>
      </c>
      <c r="Z337" s="4">
        <f t="shared" si="234"/>
        <v>0.94584787155511363</v>
      </c>
      <c r="AA337" s="4">
        <f t="shared" si="234"/>
        <v>0.92370360150141495</v>
      </c>
      <c r="AB337" s="4">
        <f t="shared" si="234"/>
        <v>0.89334463567658451</v>
      </c>
      <c r="AC337" s="4">
        <f t="shared" si="234"/>
        <v>0.85254543874327005</v>
      </c>
      <c r="AD337" s="4">
        <f t="shared" si="234"/>
        <v>0.79921300652623883</v>
      </c>
      <c r="AE337" s="4">
        <f t="shared" si="234"/>
        <v>0.73204982249993378</v>
      </c>
      <c r="AF337" s="4">
        <f t="shared" si="234"/>
        <v>0.65145592958786691</v>
      </c>
      <c r="AG337" s="4">
        <f t="shared" si="234"/>
        <v>0.56032247880849573</v>
      </c>
      <c r="AH337" s="4">
        <f t="shared" si="234"/>
        <v>0.46411326873185343</v>
      </c>
      <c r="AI337" s="4">
        <f t="shared" si="234"/>
        <v>0.36979727595523937</v>
      </c>
      <c r="AJ337" s="4">
        <f t="shared" si="234"/>
        <v>0.28393948637231203</v>
      </c>
      <c r="AK337" s="4">
        <f t="shared" si="234"/>
        <v>0.21097259161117732</v>
      </c>
      <c r="AL337" s="4">
        <f t="shared" si="234"/>
        <v>0.15253917653798199</v>
      </c>
      <c r="AM337" s="4">
        <f t="shared" si="234"/>
        <v>0.10795188737709993</v>
      </c>
      <c r="AN337" s="4">
        <f t="shared" si="234"/>
        <v>7.5176653938091809E-2</v>
      </c>
      <c r="AO337" s="4">
        <f t="shared" si="234"/>
        <v>5.1742836177502194E-2</v>
      </c>
      <c r="AP337" s="4">
        <f t="shared" si="234"/>
        <v>3.5319190625345942E-2</v>
      </c>
      <c r="AQ337" s="4">
        <f t="shared" si="234"/>
        <v>2.3969442072658165E-2</v>
      </c>
      <c r="AR337" s="4">
        <f t="shared" si="234"/>
        <v>1.6202243558389728E-2</v>
      </c>
    </row>
    <row r="338" spans="1:44" x14ac:dyDescent="0.3">
      <c r="A338" s="24" t="s">
        <v>79</v>
      </c>
      <c r="B338" s="92">
        <f>'Parameter Input'!$L$186</f>
        <v>0.06</v>
      </c>
      <c r="C338" s="91">
        <f>'Parameter Input'!$M$186</f>
        <v>0.06</v>
      </c>
      <c r="D338" s="1" t="s">
        <v>57</v>
      </c>
      <c r="L338" s="54">
        <f>'Parameter Input'!$O$186</f>
        <v>17</v>
      </c>
      <c r="M338" s="37">
        <v>0</v>
      </c>
      <c r="N338" s="37">
        <v>1</v>
      </c>
      <c r="O338" s="37">
        <f>'Parameter Input'!$P$186</f>
        <v>0.9</v>
      </c>
      <c r="P338" s="55">
        <f>'Parameter Input'!$Q$186</f>
        <v>0.4</v>
      </c>
      <c r="Q338" s="4">
        <f t="shared" si="234"/>
        <v>0.99780374543478534</v>
      </c>
      <c r="R338" s="4">
        <f t="shared" si="234"/>
        <v>0.99685359315256394</v>
      </c>
      <c r="S338" s="4">
        <f t="shared" si="234"/>
        <v>0.99549347132349975</v>
      </c>
      <c r="T338" s="4">
        <f t="shared" si="234"/>
        <v>0.99354772139898062</v>
      </c>
      <c r="U338" s="4">
        <f t="shared" si="234"/>
        <v>0.99076681540580536</v>
      </c>
      <c r="V338" s="4">
        <f t="shared" si="234"/>
        <v>0.9867978615748374</v>
      </c>
      <c r="W338" s="4">
        <f t="shared" si="234"/>
        <v>0.98114509762858249</v>
      </c>
      <c r="X338" s="4">
        <f t="shared" si="234"/>
        <v>0.97311898315872036</v>
      </c>
      <c r="Y338" s="4">
        <f t="shared" si="234"/>
        <v>0.96177484161592774</v>
      </c>
      <c r="Z338" s="4">
        <f t="shared" si="234"/>
        <v>0.94584787155511363</v>
      </c>
      <c r="AA338" s="4">
        <f t="shared" si="234"/>
        <v>0.92370360150141495</v>
      </c>
      <c r="AB338" s="4">
        <f t="shared" si="234"/>
        <v>0.89334463567658451</v>
      </c>
      <c r="AC338" s="4">
        <f t="shared" si="234"/>
        <v>0.85254543874327005</v>
      </c>
      <c r="AD338" s="4">
        <f t="shared" si="234"/>
        <v>0.79921300652623883</v>
      </c>
      <c r="AE338" s="4">
        <f t="shared" si="234"/>
        <v>0.73204982249993378</v>
      </c>
      <c r="AF338" s="4">
        <f t="shared" si="234"/>
        <v>0.65145592958786691</v>
      </c>
      <c r="AG338" s="4">
        <f t="shared" si="234"/>
        <v>0.56032247880849573</v>
      </c>
      <c r="AH338" s="4">
        <f t="shared" si="234"/>
        <v>0.46411326873185343</v>
      </c>
      <c r="AI338" s="4">
        <f t="shared" si="234"/>
        <v>0.36979727595523937</v>
      </c>
      <c r="AJ338" s="4">
        <f t="shared" si="234"/>
        <v>0.28393948637231203</v>
      </c>
      <c r="AK338" s="4">
        <f t="shared" si="234"/>
        <v>0.21097259161117732</v>
      </c>
      <c r="AL338" s="4">
        <f t="shared" si="234"/>
        <v>0.15253917653798199</v>
      </c>
      <c r="AM338" s="4">
        <f t="shared" si="234"/>
        <v>0.10795188737709993</v>
      </c>
      <c r="AN338" s="4">
        <f t="shared" si="234"/>
        <v>7.5176653938091809E-2</v>
      </c>
      <c r="AO338" s="4">
        <f t="shared" si="234"/>
        <v>5.1742836177502194E-2</v>
      </c>
      <c r="AP338" s="4">
        <f t="shared" si="234"/>
        <v>3.5319190625345942E-2</v>
      </c>
      <c r="AQ338" s="4">
        <f t="shared" si="234"/>
        <v>2.3969442072658165E-2</v>
      </c>
      <c r="AR338" s="4">
        <f t="shared" si="234"/>
        <v>1.6202243558389728E-2</v>
      </c>
    </row>
    <row r="339" spans="1:44" x14ac:dyDescent="0.3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34"/>
        <v>0.99780374543478534</v>
      </c>
      <c r="R339" s="4">
        <f t="shared" si="234"/>
        <v>0.99685359315256394</v>
      </c>
      <c r="S339" s="4">
        <f t="shared" si="234"/>
        <v>0.99549347132349975</v>
      </c>
      <c r="T339" s="4">
        <f t="shared" si="234"/>
        <v>0.99354772139898062</v>
      </c>
      <c r="U339" s="4">
        <f t="shared" si="234"/>
        <v>0.99076681540580536</v>
      </c>
      <c r="V339" s="4">
        <f t="shared" si="234"/>
        <v>0.9867978615748374</v>
      </c>
      <c r="W339" s="4">
        <f t="shared" si="234"/>
        <v>0.98114509762858249</v>
      </c>
      <c r="X339" s="4">
        <f t="shared" si="234"/>
        <v>0.97311898315872036</v>
      </c>
      <c r="Y339" s="4">
        <f t="shared" si="234"/>
        <v>0.96177484161592774</v>
      </c>
      <c r="Z339" s="4">
        <f t="shared" si="234"/>
        <v>0.94584787155511363</v>
      </c>
      <c r="AA339" s="4">
        <f t="shared" si="234"/>
        <v>0.92370360150141495</v>
      </c>
      <c r="AB339" s="4">
        <f t="shared" si="234"/>
        <v>0.89334463567658451</v>
      </c>
      <c r="AC339" s="4">
        <f t="shared" si="234"/>
        <v>0.85254543874327005</v>
      </c>
      <c r="AD339" s="4">
        <f t="shared" si="234"/>
        <v>0.79921300652623883</v>
      </c>
      <c r="AE339" s="4">
        <f t="shared" si="234"/>
        <v>0.73204982249993378</v>
      </c>
      <c r="AF339" s="4">
        <f t="shared" si="234"/>
        <v>0.65145592958786691</v>
      </c>
      <c r="AG339" s="4">
        <f t="shared" si="234"/>
        <v>0.56032247880849573</v>
      </c>
      <c r="AH339" s="4">
        <f t="shared" si="234"/>
        <v>0.46411326873185343</v>
      </c>
      <c r="AI339" s="4">
        <f t="shared" si="234"/>
        <v>0.36979727595523937</v>
      </c>
      <c r="AJ339" s="4">
        <f t="shared" si="234"/>
        <v>0.28393948637231203</v>
      </c>
      <c r="AK339" s="4">
        <f t="shared" si="234"/>
        <v>0.21097259161117732</v>
      </c>
      <c r="AL339" s="4">
        <f t="shared" si="234"/>
        <v>0.15253917653798199</v>
      </c>
      <c r="AM339" s="4">
        <f t="shared" si="234"/>
        <v>0.10795188737709993</v>
      </c>
      <c r="AN339" s="4">
        <f t="shared" si="234"/>
        <v>7.5176653938091809E-2</v>
      </c>
      <c r="AO339" s="4">
        <f t="shared" si="234"/>
        <v>5.1742836177502194E-2</v>
      </c>
      <c r="AP339" s="4">
        <f t="shared" si="234"/>
        <v>3.5319190625345942E-2</v>
      </c>
      <c r="AQ339" s="4">
        <f t="shared" si="234"/>
        <v>2.3969442072658165E-2</v>
      </c>
      <c r="AR339" s="4">
        <f t="shared" si="234"/>
        <v>1.6202243558389728E-2</v>
      </c>
    </row>
    <row r="340" spans="1:44" x14ac:dyDescent="0.3">
      <c r="A340" s="24" t="s">
        <v>52</v>
      </c>
      <c r="B340" s="60">
        <f>'Parameter Input'!$L$182</f>
        <v>338823.5294117647</v>
      </c>
      <c r="C340" s="61">
        <f>'Parameter Input'!$M$182</f>
        <v>338823.5294117647</v>
      </c>
      <c r="D340" s="1" t="s">
        <v>38</v>
      </c>
      <c r="L340" s="54">
        <f>'Parameter Input'!$O$182</f>
        <v>17</v>
      </c>
      <c r="M340" s="37">
        <v>0</v>
      </c>
      <c r="N340" s="37">
        <v>1</v>
      </c>
      <c r="O340" s="37">
        <f>'Parameter Input'!$P$182</f>
        <v>0.9</v>
      </c>
      <c r="P340" s="55">
        <f>'Parameter Input'!$Q$182</f>
        <v>0.4</v>
      </c>
      <c r="Q340" s="4">
        <f t="shared" si="234"/>
        <v>0.99780374543478534</v>
      </c>
      <c r="R340" s="4">
        <f t="shared" si="234"/>
        <v>0.99685359315256394</v>
      </c>
      <c r="S340" s="4">
        <f t="shared" si="234"/>
        <v>0.99549347132349975</v>
      </c>
      <c r="T340" s="4">
        <f t="shared" si="234"/>
        <v>0.99354772139898062</v>
      </c>
      <c r="U340" s="4">
        <f t="shared" si="234"/>
        <v>0.99076681540580536</v>
      </c>
      <c r="V340" s="4">
        <f t="shared" si="234"/>
        <v>0.9867978615748374</v>
      </c>
      <c r="W340" s="4">
        <f t="shared" si="234"/>
        <v>0.98114509762858249</v>
      </c>
      <c r="X340" s="4">
        <f t="shared" si="234"/>
        <v>0.97311898315872036</v>
      </c>
      <c r="Y340" s="4">
        <f t="shared" si="234"/>
        <v>0.96177484161592774</v>
      </c>
      <c r="Z340" s="4">
        <f t="shared" si="234"/>
        <v>0.94584787155511363</v>
      </c>
      <c r="AA340" s="4">
        <f t="shared" si="234"/>
        <v>0.92370360150141495</v>
      </c>
      <c r="AB340" s="4">
        <f t="shared" si="234"/>
        <v>0.89334463567658451</v>
      </c>
      <c r="AC340" s="4">
        <f t="shared" si="234"/>
        <v>0.85254543874327005</v>
      </c>
      <c r="AD340" s="4">
        <f t="shared" si="234"/>
        <v>0.79921300652623883</v>
      </c>
      <c r="AE340" s="4">
        <f t="shared" si="234"/>
        <v>0.73204982249993378</v>
      </c>
      <c r="AF340" s="4">
        <f t="shared" si="234"/>
        <v>0.65145592958786691</v>
      </c>
      <c r="AG340" s="4">
        <f t="shared" si="234"/>
        <v>0.56032247880849573</v>
      </c>
      <c r="AH340" s="4">
        <f t="shared" si="234"/>
        <v>0.46411326873185343</v>
      </c>
      <c r="AI340" s="4">
        <f t="shared" si="234"/>
        <v>0.36979727595523937</v>
      </c>
      <c r="AJ340" s="4">
        <f t="shared" si="234"/>
        <v>0.28393948637231203</v>
      </c>
      <c r="AK340" s="4">
        <f t="shared" si="234"/>
        <v>0.21097259161117732</v>
      </c>
      <c r="AL340" s="4">
        <f t="shared" si="234"/>
        <v>0.15253917653798199</v>
      </c>
      <c r="AM340" s="4">
        <f t="shared" si="234"/>
        <v>0.10795188737709993</v>
      </c>
      <c r="AN340" s="4">
        <f t="shared" si="234"/>
        <v>7.5176653938091809E-2</v>
      </c>
      <c r="AO340" s="4">
        <f t="shared" si="234"/>
        <v>5.1742836177502194E-2</v>
      </c>
      <c r="AP340" s="4">
        <f t="shared" si="234"/>
        <v>3.5319190625345942E-2</v>
      </c>
      <c r="AQ340" s="4">
        <f t="shared" si="234"/>
        <v>2.3969442072658165E-2</v>
      </c>
      <c r="AR340" s="4">
        <f t="shared" si="234"/>
        <v>1.6202243558389728E-2</v>
      </c>
    </row>
    <row r="341" spans="1:44" x14ac:dyDescent="0.3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34"/>
        <v>0.99780374543478534</v>
      </c>
      <c r="R341" s="4">
        <f t="shared" si="234"/>
        <v>0.99685359315256394</v>
      </c>
      <c r="S341" s="4">
        <f t="shared" si="234"/>
        <v>0.99549347132349975</v>
      </c>
      <c r="T341" s="4">
        <f t="shared" si="234"/>
        <v>0.99354772139898062</v>
      </c>
      <c r="U341" s="4">
        <f t="shared" si="234"/>
        <v>0.99076681540580536</v>
      </c>
      <c r="V341" s="4">
        <f t="shared" si="234"/>
        <v>0.9867978615748374</v>
      </c>
      <c r="W341" s="4">
        <f t="shared" si="234"/>
        <v>0.98114509762858249</v>
      </c>
      <c r="X341" s="4">
        <f t="shared" si="234"/>
        <v>0.97311898315872036</v>
      </c>
      <c r="Y341" s="4">
        <f t="shared" si="234"/>
        <v>0.96177484161592774</v>
      </c>
      <c r="Z341" s="4">
        <f t="shared" si="234"/>
        <v>0.94584787155511363</v>
      </c>
      <c r="AA341" s="4">
        <f t="shared" si="234"/>
        <v>0.92370360150141495</v>
      </c>
      <c r="AB341" s="4">
        <f t="shared" si="234"/>
        <v>0.89334463567658451</v>
      </c>
      <c r="AC341" s="4">
        <f t="shared" si="234"/>
        <v>0.85254543874327005</v>
      </c>
      <c r="AD341" s="4">
        <f t="shared" si="234"/>
        <v>0.79921300652623883</v>
      </c>
      <c r="AE341" s="4">
        <f t="shared" si="234"/>
        <v>0.73204982249993378</v>
      </c>
      <c r="AF341" s="4">
        <f t="shared" si="234"/>
        <v>0.65145592958786691</v>
      </c>
      <c r="AG341" s="4">
        <f t="shared" si="234"/>
        <v>0.56032247880849573</v>
      </c>
      <c r="AH341" s="4">
        <f t="shared" si="234"/>
        <v>0.46411326873185343</v>
      </c>
      <c r="AI341" s="4">
        <f t="shared" si="234"/>
        <v>0.36979727595523937</v>
      </c>
      <c r="AJ341" s="4">
        <f t="shared" si="234"/>
        <v>0.28393948637231203</v>
      </c>
      <c r="AK341" s="4">
        <f t="shared" si="234"/>
        <v>0.21097259161117732</v>
      </c>
      <c r="AL341" s="4">
        <f t="shared" si="234"/>
        <v>0.15253917653798199</v>
      </c>
      <c r="AM341" s="4">
        <f t="shared" si="234"/>
        <v>0.10795188737709993</v>
      </c>
      <c r="AN341" s="4">
        <f t="shared" si="234"/>
        <v>7.5176653938091809E-2</v>
      </c>
      <c r="AO341" s="4">
        <f t="shared" si="234"/>
        <v>5.1742836177502194E-2</v>
      </c>
      <c r="AP341" s="4">
        <f t="shared" si="234"/>
        <v>3.5319190625345942E-2</v>
      </c>
      <c r="AQ341" s="4">
        <f t="shared" si="234"/>
        <v>2.3969442072658165E-2</v>
      </c>
      <c r="AR341" s="4">
        <f t="shared" si="234"/>
        <v>1.6202243558389728E-2</v>
      </c>
    </row>
    <row r="342" spans="1:44" x14ac:dyDescent="0.3">
      <c r="A342" s="24" t="s">
        <v>59</v>
      </c>
      <c r="B342" s="60">
        <f>'Parameter Input'!$L$183</f>
        <v>589</v>
      </c>
      <c r="C342" s="61">
        <f>'Parameter Input'!$M$183</f>
        <v>519</v>
      </c>
      <c r="D342" s="1" t="s">
        <v>60</v>
      </c>
      <c r="L342" s="54">
        <f>'Parameter Input'!$O$183</f>
        <v>17</v>
      </c>
      <c r="M342" s="37">
        <v>0</v>
      </c>
      <c r="N342" s="37">
        <v>1</v>
      </c>
      <c r="O342" s="37">
        <f>'Parameter Input'!$P$183</f>
        <v>0.9</v>
      </c>
      <c r="P342" s="55">
        <f>'Parameter Input'!$Q$183</f>
        <v>0.4</v>
      </c>
      <c r="Q342" s="4">
        <f t="shared" si="234"/>
        <v>0.99780374543478534</v>
      </c>
      <c r="R342" s="4">
        <f t="shared" si="234"/>
        <v>0.99685359315256394</v>
      </c>
      <c r="S342" s="4">
        <f t="shared" si="234"/>
        <v>0.99549347132349975</v>
      </c>
      <c r="T342" s="4">
        <f t="shared" si="234"/>
        <v>0.99354772139898062</v>
      </c>
      <c r="U342" s="4">
        <f t="shared" si="234"/>
        <v>0.99076681540580536</v>
      </c>
      <c r="V342" s="4">
        <f t="shared" si="234"/>
        <v>0.9867978615748374</v>
      </c>
      <c r="W342" s="4">
        <f t="shared" si="234"/>
        <v>0.98114509762858249</v>
      </c>
      <c r="X342" s="4">
        <f t="shared" si="234"/>
        <v>0.97311898315872036</v>
      </c>
      <c r="Y342" s="4">
        <f t="shared" si="234"/>
        <v>0.96177484161592774</v>
      </c>
      <c r="Z342" s="4">
        <f t="shared" si="234"/>
        <v>0.94584787155511363</v>
      </c>
      <c r="AA342" s="4">
        <f t="shared" si="234"/>
        <v>0.92370360150141495</v>
      </c>
      <c r="AB342" s="4">
        <f t="shared" si="234"/>
        <v>0.89334463567658451</v>
      </c>
      <c r="AC342" s="4">
        <f t="shared" si="234"/>
        <v>0.85254543874327005</v>
      </c>
      <c r="AD342" s="4">
        <f t="shared" si="234"/>
        <v>0.79921300652623883</v>
      </c>
      <c r="AE342" s="4">
        <f t="shared" si="234"/>
        <v>0.73204982249993378</v>
      </c>
      <c r="AF342" s="4">
        <f t="shared" si="234"/>
        <v>0.65145592958786691</v>
      </c>
      <c r="AG342" s="4">
        <f t="shared" si="234"/>
        <v>0.56032247880849573</v>
      </c>
      <c r="AH342" s="4">
        <f t="shared" si="234"/>
        <v>0.46411326873185343</v>
      </c>
      <c r="AI342" s="4">
        <f t="shared" si="234"/>
        <v>0.36979727595523937</v>
      </c>
      <c r="AJ342" s="4">
        <f t="shared" si="234"/>
        <v>0.28393948637231203</v>
      </c>
      <c r="AK342" s="4">
        <f t="shared" si="234"/>
        <v>0.21097259161117732</v>
      </c>
      <c r="AL342" s="4">
        <f t="shared" si="234"/>
        <v>0.15253917653798199</v>
      </c>
      <c r="AM342" s="4">
        <f t="shared" si="234"/>
        <v>0.10795188737709993</v>
      </c>
      <c r="AN342" s="4">
        <f t="shared" si="234"/>
        <v>7.5176653938091809E-2</v>
      </c>
      <c r="AO342" s="4">
        <f t="shared" si="234"/>
        <v>5.1742836177502194E-2</v>
      </c>
      <c r="AP342" s="4">
        <f t="shared" si="234"/>
        <v>3.5319190625345942E-2</v>
      </c>
      <c r="AQ342" s="4">
        <f t="shared" si="234"/>
        <v>2.3969442072658165E-2</v>
      </c>
      <c r="AR342" s="4">
        <f t="shared" si="234"/>
        <v>1.6202243558389728E-2</v>
      </c>
    </row>
    <row r="343" spans="1:44" x14ac:dyDescent="0.3">
      <c r="A343" s="24" t="s">
        <v>67</v>
      </c>
      <c r="B343" s="78">
        <f>'Parameter Input'!$L$184</f>
        <v>0.189409893251579</v>
      </c>
      <c r="C343" s="61">
        <f>'Parameter Input'!$M$184</f>
        <v>0.100822065784204</v>
      </c>
      <c r="D343" s="1" t="s">
        <v>68</v>
      </c>
      <c r="L343" s="54">
        <f>'Parameter Input'!$O$184</f>
        <v>17</v>
      </c>
      <c r="M343" s="37">
        <v>0</v>
      </c>
      <c r="N343" s="37">
        <v>1</v>
      </c>
      <c r="O343" s="37">
        <f>'Parameter Input'!$P$184</f>
        <v>0.9</v>
      </c>
      <c r="P343" s="55">
        <f>'Parameter Input'!$Q$184</f>
        <v>0.4</v>
      </c>
      <c r="Q343" s="4">
        <f t="shared" si="234"/>
        <v>0.99780374543478534</v>
      </c>
      <c r="R343" s="4">
        <f t="shared" si="234"/>
        <v>0.99685359315256394</v>
      </c>
      <c r="S343" s="4">
        <f t="shared" si="234"/>
        <v>0.99549347132349975</v>
      </c>
      <c r="T343" s="4">
        <f t="shared" ref="T343:AI350" si="235">$N343+($M343-$N343)*((1/(1+EXP(-$P343*(T$9-$L343)))^$O343))</f>
        <v>0.99354772139898062</v>
      </c>
      <c r="U343" s="4">
        <f t="shared" si="235"/>
        <v>0.99076681540580536</v>
      </c>
      <c r="V343" s="4">
        <f t="shared" si="235"/>
        <v>0.9867978615748374</v>
      </c>
      <c r="W343" s="4">
        <f t="shared" si="235"/>
        <v>0.98114509762858249</v>
      </c>
      <c r="X343" s="4">
        <f t="shared" si="235"/>
        <v>0.97311898315872036</v>
      </c>
      <c r="Y343" s="4">
        <f t="shared" si="235"/>
        <v>0.96177484161592774</v>
      </c>
      <c r="Z343" s="4">
        <f t="shared" si="235"/>
        <v>0.94584787155511363</v>
      </c>
      <c r="AA343" s="4">
        <f t="shared" si="235"/>
        <v>0.92370360150141495</v>
      </c>
      <c r="AB343" s="4">
        <f t="shared" si="235"/>
        <v>0.89334463567658451</v>
      </c>
      <c r="AC343" s="4">
        <f t="shared" si="235"/>
        <v>0.85254543874327005</v>
      </c>
      <c r="AD343" s="4">
        <f t="shared" si="235"/>
        <v>0.79921300652623883</v>
      </c>
      <c r="AE343" s="4">
        <f t="shared" si="235"/>
        <v>0.73204982249993378</v>
      </c>
      <c r="AF343" s="4">
        <f t="shared" si="235"/>
        <v>0.65145592958786691</v>
      </c>
      <c r="AG343" s="4">
        <f t="shared" si="235"/>
        <v>0.56032247880849573</v>
      </c>
      <c r="AH343" s="4">
        <f t="shared" si="235"/>
        <v>0.46411326873185343</v>
      </c>
      <c r="AI343" s="4">
        <f t="shared" si="235"/>
        <v>0.36979727595523937</v>
      </c>
      <c r="AJ343" s="4">
        <f t="shared" ref="AJ343:AR350" si="236">$N343+($M343-$N343)*((1/(1+EXP(-$P343*(AJ$9-$L343)))^$O343))</f>
        <v>0.28393948637231203</v>
      </c>
      <c r="AK343" s="4">
        <f t="shared" si="236"/>
        <v>0.21097259161117732</v>
      </c>
      <c r="AL343" s="4">
        <f t="shared" si="236"/>
        <v>0.15253917653798199</v>
      </c>
      <c r="AM343" s="4">
        <f t="shared" si="236"/>
        <v>0.10795188737709993</v>
      </c>
      <c r="AN343" s="4">
        <f t="shared" si="236"/>
        <v>7.5176653938091809E-2</v>
      </c>
      <c r="AO343" s="4">
        <f t="shared" si="236"/>
        <v>5.1742836177502194E-2</v>
      </c>
      <c r="AP343" s="4">
        <f t="shared" si="236"/>
        <v>3.5319190625345942E-2</v>
      </c>
      <c r="AQ343" s="4">
        <f t="shared" si="236"/>
        <v>2.3969442072658165E-2</v>
      </c>
      <c r="AR343" s="4">
        <f t="shared" si="236"/>
        <v>1.6202243558389728E-2</v>
      </c>
    </row>
    <row r="344" spans="1:44" x14ac:dyDescent="0.3">
      <c r="A344" s="24" t="s">
        <v>206</v>
      </c>
      <c r="B344" s="115">
        <f>'Parameter Input'!$L$187</f>
        <v>2.4919230769230767</v>
      </c>
      <c r="C344" s="116">
        <f>'Parameter Input'!$M$187</f>
        <v>0</v>
      </c>
      <c r="D344" s="1" t="s">
        <v>76</v>
      </c>
      <c r="L344" s="54">
        <f>'Parameter Input'!$O$187</f>
        <v>17</v>
      </c>
      <c r="M344" s="37">
        <v>0</v>
      </c>
      <c r="N344" s="37">
        <v>1</v>
      </c>
      <c r="O344" s="37">
        <f>'Parameter Input'!$P$187</f>
        <v>0.9</v>
      </c>
      <c r="P344" s="55">
        <f>'Parameter Input'!$Q$187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3">
      <c r="A345" s="24" t="s">
        <v>41</v>
      </c>
      <c r="B345" s="60">
        <f>'Parameter Input'!$L$181</f>
        <v>25</v>
      </c>
      <c r="C345" s="61">
        <f>'Parameter Input'!$M$181</f>
        <v>25</v>
      </c>
      <c r="D345" s="1" t="s">
        <v>42</v>
      </c>
      <c r="L345" s="54">
        <f>'Parameter Input'!$O$181</f>
        <v>17</v>
      </c>
      <c r="M345" s="37">
        <v>0</v>
      </c>
      <c r="N345" s="37">
        <v>1</v>
      </c>
      <c r="O345" s="37">
        <f>'Parameter Input'!$P$181</f>
        <v>0.9</v>
      </c>
      <c r="P345" s="55">
        <f>'Parameter Input'!$Q$181</f>
        <v>0.4</v>
      </c>
      <c r="Q345" s="4">
        <f t="shared" ref="Q345:AF350" si="238">$N345+($M345-$N345)*((1/(1+EXP(-$P345*(Q$9-$L345)))^$O345))</f>
        <v>0.99780374543478534</v>
      </c>
      <c r="R345" s="4">
        <f t="shared" si="238"/>
        <v>0.99685359315256394</v>
      </c>
      <c r="S345" s="4">
        <f t="shared" si="238"/>
        <v>0.99549347132349975</v>
      </c>
      <c r="T345" s="4">
        <f t="shared" si="238"/>
        <v>0.99354772139898062</v>
      </c>
      <c r="U345" s="4">
        <f t="shared" si="238"/>
        <v>0.99076681540580536</v>
      </c>
      <c r="V345" s="4">
        <f t="shared" si="238"/>
        <v>0.9867978615748374</v>
      </c>
      <c r="W345" s="4">
        <f t="shared" si="238"/>
        <v>0.98114509762858249</v>
      </c>
      <c r="X345" s="4">
        <f t="shared" si="238"/>
        <v>0.97311898315872036</v>
      </c>
      <c r="Y345" s="4">
        <f t="shared" si="238"/>
        <v>0.96177484161592774</v>
      </c>
      <c r="Z345" s="4">
        <f t="shared" si="238"/>
        <v>0.94584787155511363</v>
      </c>
      <c r="AA345" s="4">
        <f t="shared" si="238"/>
        <v>0.92370360150141495</v>
      </c>
      <c r="AB345" s="4">
        <f t="shared" si="238"/>
        <v>0.89334463567658451</v>
      </c>
      <c r="AC345" s="4">
        <f t="shared" si="238"/>
        <v>0.85254543874327005</v>
      </c>
      <c r="AD345" s="4">
        <f t="shared" si="238"/>
        <v>0.79921300652623883</v>
      </c>
      <c r="AE345" s="4">
        <f t="shared" si="238"/>
        <v>0.73204982249993378</v>
      </c>
      <c r="AF345" s="4">
        <f t="shared" si="238"/>
        <v>0.65145592958786691</v>
      </c>
      <c r="AG345" s="4">
        <f t="shared" si="235"/>
        <v>0.56032247880849573</v>
      </c>
      <c r="AH345" s="4">
        <f t="shared" si="235"/>
        <v>0.46411326873185343</v>
      </c>
      <c r="AI345" s="4">
        <f t="shared" si="235"/>
        <v>0.36979727595523937</v>
      </c>
      <c r="AJ345" s="4">
        <f t="shared" si="236"/>
        <v>0.28393948637231203</v>
      </c>
      <c r="AK345" s="4">
        <f t="shared" si="236"/>
        <v>0.21097259161117732</v>
      </c>
      <c r="AL345" s="4">
        <f t="shared" si="236"/>
        <v>0.15253917653798199</v>
      </c>
      <c r="AM345" s="4">
        <f t="shared" si="236"/>
        <v>0.10795188737709993</v>
      </c>
      <c r="AN345" s="4">
        <f t="shared" si="236"/>
        <v>7.5176653938091809E-2</v>
      </c>
      <c r="AO345" s="4">
        <f t="shared" si="236"/>
        <v>5.1742836177502194E-2</v>
      </c>
      <c r="AP345" s="4">
        <f t="shared" si="236"/>
        <v>3.5319190625345942E-2</v>
      </c>
      <c r="AQ345" s="4">
        <f t="shared" si="236"/>
        <v>2.3969442072658165E-2</v>
      </c>
      <c r="AR345" s="4">
        <f t="shared" si="236"/>
        <v>1.6202243558389728E-2</v>
      </c>
    </row>
    <row r="346" spans="1:44" x14ac:dyDescent="0.3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8"/>
        <v>0.99780374543478534</v>
      </c>
      <c r="R346" s="4">
        <f t="shared" si="238"/>
        <v>0.99685359315256394</v>
      </c>
      <c r="S346" s="4">
        <f t="shared" si="238"/>
        <v>0.99549347132349975</v>
      </c>
      <c r="T346" s="4">
        <f t="shared" si="238"/>
        <v>0.99354772139898062</v>
      </c>
      <c r="U346" s="4">
        <f t="shared" si="238"/>
        <v>0.99076681540580536</v>
      </c>
      <c r="V346" s="4">
        <f t="shared" si="238"/>
        <v>0.9867978615748374</v>
      </c>
      <c r="W346" s="4">
        <f t="shared" si="238"/>
        <v>0.98114509762858249</v>
      </c>
      <c r="X346" s="4">
        <f t="shared" si="238"/>
        <v>0.97311898315872036</v>
      </c>
      <c r="Y346" s="4">
        <f t="shared" si="238"/>
        <v>0.96177484161592774</v>
      </c>
      <c r="Z346" s="4">
        <f t="shared" si="238"/>
        <v>0.94584787155511363</v>
      </c>
      <c r="AA346" s="4">
        <f t="shared" si="238"/>
        <v>0.92370360150141495</v>
      </c>
      <c r="AB346" s="4">
        <f t="shared" si="238"/>
        <v>0.89334463567658451</v>
      </c>
      <c r="AC346" s="4">
        <f t="shared" si="238"/>
        <v>0.85254543874327005</v>
      </c>
      <c r="AD346" s="4">
        <f t="shared" si="238"/>
        <v>0.79921300652623883</v>
      </c>
      <c r="AE346" s="4">
        <f t="shared" si="238"/>
        <v>0.73204982249993378</v>
      </c>
      <c r="AF346" s="4">
        <f t="shared" si="238"/>
        <v>0.65145592958786691</v>
      </c>
      <c r="AG346" s="4">
        <f t="shared" si="235"/>
        <v>0.56032247880849573</v>
      </c>
      <c r="AH346" s="4">
        <f t="shared" si="235"/>
        <v>0.46411326873185343</v>
      </c>
      <c r="AI346" s="4">
        <f t="shared" si="235"/>
        <v>0.36979727595523937</v>
      </c>
      <c r="AJ346" s="4">
        <f t="shared" si="236"/>
        <v>0.28393948637231203</v>
      </c>
      <c r="AK346" s="4">
        <f t="shared" si="236"/>
        <v>0.21097259161117732</v>
      </c>
      <c r="AL346" s="4">
        <f t="shared" si="236"/>
        <v>0.15253917653798199</v>
      </c>
      <c r="AM346" s="4">
        <f t="shared" si="236"/>
        <v>0.10795188737709993</v>
      </c>
      <c r="AN346" s="4">
        <f t="shared" si="236"/>
        <v>7.5176653938091809E-2</v>
      </c>
      <c r="AO346" s="4">
        <f t="shared" si="236"/>
        <v>5.1742836177502194E-2</v>
      </c>
      <c r="AP346" s="4">
        <f t="shared" si="236"/>
        <v>3.5319190625345942E-2</v>
      </c>
      <c r="AQ346" s="4">
        <f t="shared" si="236"/>
        <v>2.3969442072658165E-2</v>
      </c>
      <c r="AR346" s="4">
        <f t="shared" si="236"/>
        <v>1.6202243558389728E-2</v>
      </c>
    </row>
    <row r="347" spans="1:44" x14ac:dyDescent="0.3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8"/>
        <v>0.99780374543478534</v>
      </c>
      <c r="R347" s="4">
        <f t="shared" si="238"/>
        <v>0.99685359315256394</v>
      </c>
      <c r="S347" s="4">
        <f t="shared" si="238"/>
        <v>0.99549347132349975</v>
      </c>
      <c r="T347" s="4">
        <f t="shared" si="238"/>
        <v>0.99354772139898062</v>
      </c>
      <c r="U347" s="4">
        <f t="shared" si="238"/>
        <v>0.99076681540580536</v>
      </c>
      <c r="V347" s="4">
        <f t="shared" si="238"/>
        <v>0.9867978615748374</v>
      </c>
      <c r="W347" s="4">
        <f t="shared" si="238"/>
        <v>0.98114509762858249</v>
      </c>
      <c r="X347" s="4">
        <f t="shared" si="238"/>
        <v>0.97311898315872036</v>
      </c>
      <c r="Y347" s="4">
        <f t="shared" si="238"/>
        <v>0.96177484161592774</v>
      </c>
      <c r="Z347" s="4">
        <f t="shared" si="238"/>
        <v>0.94584787155511363</v>
      </c>
      <c r="AA347" s="4">
        <f t="shared" si="238"/>
        <v>0.92370360150141495</v>
      </c>
      <c r="AB347" s="4">
        <f t="shared" si="238"/>
        <v>0.89334463567658451</v>
      </c>
      <c r="AC347" s="4">
        <f t="shared" si="238"/>
        <v>0.85254543874327005</v>
      </c>
      <c r="AD347" s="4">
        <f t="shared" si="238"/>
        <v>0.79921300652623883</v>
      </c>
      <c r="AE347" s="4">
        <f t="shared" si="238"/>
        <v>0.73204982249993378</v>
      </c>
      <c r="AF347" s="4">
        <f t="shared" si="238"/>
        <v>0.65145592958786691</v>
      </c>
      <c r="AG347" s="4">
        <f t="shared" si="235"/>
        <v>0.56032247880849573</v>
      </c>
      <c r="AH347" s="4">
        <f t="shared" si="235"/>
        <v>0.46411326873185343</v>
      </c>
      <c r="AI347" s="4">
        <f t="shared" si="235"/>
        <v>0.36979727595523937</v>
      </c>
      <c r="AJ347" s="4">
        <f t="shared" si="236"/>
        <v>0.28393948637231203</v>
      </c>
      <c r="AK347" s="4">
        <f t="shared" si="236"/>
        <v>0.21097259161117732</v>
      </c>
      <c r="AL347" s="4">
        <f t="shared" si="236"/>
        <v>0.15253917653798199</v>
      </c>
      <c r="AM347" s="4">
        <f t="shared" si="236"/>
        <v>0.10795188737709993</v>
      </c>
      <c r="AN347" s="4">
        <f t="shared" si="236"/>
        <v>7.5176653938091809E-2</v>
      </c>
      <c r="AO347" s="4">
        <f t="shared" si="236"/>
        <v>5.1742836177502194E-2</v>
      </c>
      <c r="AP347" s="4">
        <f t="shared" si="236"/>
        <v>3.5319190625345942E-2</v>
      </c>
      <c r="AQ347" s="4">
        <f t="shared" si="236"/>
        <v>2.3969442072658165E-2</v>
      </c>
      <c r="AR347" s="4">
        <f t="shared" si="236"/>
        <v>1.6202243558389728E-2</v>
      </c>
    </row>
    <row r="348" spans="1:44" x14ac:dyDescent="0.3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8"/>
        <v>0.99780374543478534</v>
      </c>
      <c r="R348" s="4">
        <f t="shared" si="238"/>
        <v>0.99685359315256394</v>
      </c>
      <c r="S348" s="4">
        <f t="shared" si="238"/>
        <v>0.99549347132349975</v>
      </c>
      <c r="T348" s="4">
        <f t="shared" si="238"/>
        <v>0.99354772139898062</v>
      </c>
      <c r="U348" s="4">
        <f t="shared" si="238"/>
        <v>0.99076681540580536</v>
      </c>
      <c r="V348" s="4">
        <f t="shared" si="238"/>
        <v>0.9867978615748374</v>
      </c>
      <c r="W348" s="4">
        <f t="shared" si="238"/>
        <v>0.98114509762858249</v>
      </c>
      <c r="X348" s="4">
        <f t="shared" si="238"/>
        <v>0.97311898315872036</v>
      </c>
      <c r="Y348" s="4">
        <f t="shared" si="238"/>
        <v>0.96177484161592774</v>
      </c>
      <c r="Z348" s="4">
        <f t="shared" si="238"/>
        <v>0.94584787155511363</v>
      </c>
      <c r="AA348" s="4">
        <f t="shared" si="238"/>
        <v>0.92370360150141495</v>
      </c>
      <c r="AB348" s="4">
        <f t="shared" si="238"/>
        <v>0.89334463567658451</v>
      </c>
      <c r="AC348" s="4">
        <f t="shared" si="238"/>
        <v>0.85254543874327005</v>
      </c>
      <c r="AD348" s="4">
        <f t="shared" si="238"/>
        <v>0.79921300652623883</v>
      </c>
      <c r="AE348" s="4">
        <f t="shared" si="238"/>
        <v>0.73204982249993378</v>
      </c>
      <c r="AF348" s="4">
        <f t="shared" si="238"/>
        <v>0.65145592958786691</v>
      </c>
      <c r="AG348" s="4">
        <f t="shared" si="235"/>
        <v>0.56032247880849573</v>
      </c>
      <c r="AH348" s="4">
        <f t="shared" si="235"/>
        <v>0.46411326873185343</v>
      </c>
      <c r="AI348" s="4">
        <f t="shared" si="235"/>
        <v>0.36979727595523937</v>
      </c>
      <c r="AJ348" s="4">
        <f t="shared" si="236"/>
        <v>0.28393948637231203</v>
      </c>
      <c r="AK348" s="4">
        <f t="shared" si="236"/>
        <v>0.21097259161117732</v>
      </c>
      <c r="AL348" s="4">
        <f t="shared" si="236"/>
        <v>0.15253917653798199</v>
      </c>
      <c r="AM348" s="4">
        <f t="shared" si="236"/>
        <v>0.10795188737709993</v>
      </c>
      <c r="AN348" s="4">
        <f t="shared" si="236"/>
        <v>7.5176653938091809E-2</v>
      </c>
      <c r="AO348" s="4">
        <f t="shared" si="236"/>
        <v>5.1742836177502194E-2</v>
      </c>
      <c r="AP348" s="4">
        <f t="shared" si="236"/>
        <v>3.5319190625345942E-2</v>
      </c>
      <c r="AQ348" s="4">
        <f t="shared" si="236"/>
        <v>2.3969442072658165E-2</v>
      </c>
      <c r="AR348" s="4">
        <f t="shared" si="236"/>
        <v>1.6202243558389728E-2</v>
      </c>
    </row>
    <row r="349" spans="1:44" x14ac:dyDescent="0.3">
      <c r="A349" s="24" t="s">
        <v>73</v>
      </c>
      <c r="B349" s="45">
        <f>'Parameter Input'!$L$185</f>
        <v>0.8</v>
      </c>
      <c r="C349" s="46">
        <f>'Parameter Input'!$M$185</f>
        <v>7.0000000000000007E-2</v>
      </c>
      <c r="D349" s="1" t="s">
        <v>57</v>
      </c>
      <c r="L349" s="54">
        <f>'Parameter Input'!$O$185</f>
        <v>17</v>
      </c>
      <c r="M349" s="37">
        <v>0</v>
      </c>
      <c r="N349" s="37">
        <v>1</v>
      </c>
      <c r="O349" s="37">
        <f>'Parameter Input'!$P$185</f>
        <v>0.9</v>
      </c>
      <c r="P349" s="55">
        <f>'Parameter Input'!$Q$185</f>
        <v>0.4</v>
      </c>
      <c r="Q349" s="4">
        <f t="shared" si="238"/>
        <v>0.99780374543478534</v>
      </c>
      <c r="R349" s="4">
        <f t="shared" si="238"/>
        <v>0.99685359315256394</v>
      </c>
      <c r="S349" s="4">
        <f t="shared" si="238"/>
        <v>0.99549347132349975</v>
      </c>
      <c r="T349" s="4">
        <f t="shared" si="238"/>
        <v>0.99354772139898062</v>
      </c>
      <c r="U349" s="4">
        <f t="shared" si="238"/>
        <v>0.99076681540580536</v>
      </c>
      <c r="V349" s="4">
        <f t="shared" si="238"/>
        <v>0.9867978615748374</v>
      </c>
      <c r="W349" s="4">
        <f t="shared" si="238"/>
        <v>0.98114509762858249</v>
      </c>
      <c r="X349" s="4">
        <f t="shared" si="238"/>
        <v>0.97311898315872036</v>
      </c>
      <c r="Y349" s="4">
        <f t="shared" si="238"/>
        <v>0.96177484161592774</v>
      </c>
      <c r="Z349" s="4">
        <f t="shared" si="238"/>
        <v>0.94584787155511363</v>
      </c>
      <c r="AA349" s="4">
        <f t="shared" si="238"/>
        <v>0.92370360150141495</v>
      </c>
      <c r="AB349" s="4">
        <f t="shared" si="238"/>
        <v>0.89334463567658451</v>
      </c>
      <c r="AC349" s="4">
        <f t="shared" si="238"/>
        <v>0.85254543874327005</v>
      </c>
      <c r="AD349" s="4">
        <f t="shared" si="238"/>
        <v>0.79921300652623883</v>
      </c>
      <c r="AE349" s="4">
        <f t="shared" si="238"/>
        <v>0.73204982249993378</v>
      </c>
      <c r="AF349" s="4">
        <f t="shared" si="238"/>
        <v>0.65145592958786691</v>
      </c>
      <c r="AG349" s="4">
        <f t="shared" si="235"/>
        <v>0.56032247880849573</v>
      </c>
      <c r="AH349" s="4">
        <f t="shared" si="235"/>
        <v>0.46411326873185343</v>
      </c>
      <c r="AI349" s="4">
        <f t="shared" si="235"/>
        <v>0.36979727595523937</v>
      </c>
      <c r="AJ349" s="4">
        <f t="shared" si="236"/>
        <v>0.28393948637231203</v>
      </c>
      <c r="AK349" s="4">
        <f t="shared" si="236"/>
        <v>0.21097259161117732</v>
      </c>
      <c r="AL349" s="4">
        <f t="shared" si="236"/>
        <v>0.15253917653798199</v>
      </c>
      <c r="AM349" s="4">
        <f t="shared" si="236"/>
        <v>0.10795188737709993</v>
      </c>
      <c r="AN349" s="4">
        <f t="shared" si="236"/>
        <v>7.5176653938091809E-2</v>
      </c>
      <c r="AO349" s="4">
        <f t="shared" si="236"/>
        <v>5.1742836177502194E-2</v>
      </c>
      <c r="AP349" s="4">
        <f t="shared" si="236"/>
        <v>3.5319190625345942E-2</v>
      </c>
      <c r="AQ349" s="4">
        <f t="shared" si="236"/>
        <v>2.3969442072658165E-2</v>
      </c>
      <c r="AR349" s="4">
        <f t="shared" si="236"/>
        <v>1.6202243558389728E-2</v>
      </c>
    </row>
    <row r="350" spans="1:44" ht="15" thickBot="1" x14ac:dyDescent="0.35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8"/>
        <v>0.99780374543478534</v>
      </c>
      <c r="R350" s="4">
        <f t="shared" si="238"/>
        <v>0.99685359315256394</v>
      </c>
      <c r="S350" s="4">
        <f t="shared" si="238"/>
        <v>0.99549347132349975</v>
      </c>
      <c r="T350" s="4">
        <f t="shared" si="238"/>
        <v>0.99354772139898062</v>
      </c>
      <c r="U350" s="4">
        <f t="shared" si="238"/>
        <v>0.99076681540580536</v>
      </c>
      <c r="V350" s="4">
        <f t="shared" si="238"/>
        <v>0.9867978615748374</v>
      </c>
      <c r="W350" s="4">
        <f t="shared" si="238"/>
        <v>0.98114509762858249</v>
      </c>
      <c r="X350" s="4">
        <f t="shared" si="238"/>
        <v>0.97311898315872036</v>
      </c>
      <c r="Y350" s="4">
        <f t="shared" si="238"/>
        <v>0.96177484161592774</v>
      </c>
      <c r="Z350" s="4">
        <f t="shared" si="238"/>
        <v>0.94584787155511363</v>
      </c>
      <c r="AA350" s="4">
        <f t="shared" si="238"/>
        <v>0.92370360150141495</v>
      </c>
      <c r="AB350" s="4">
        <f t="shared" si="238"/>
        <v>0.89334463567658451</v>
      </c>
      <c r="AC350" s="4">
        <f t="shared" si="238"/>
        <v>0.85254543874327005</v>
      </c>
      <c r="AD350" s="4">
        <f t="shared" si="238"/>
        <v>0.79921300652623883</v>
      </c>
      <c r="AE350" s="4">
        <f t="shared" si="238"/>
        <v>0.73204982249993378</v>
      </c>
      <c r="AF350" s="4">
        <f t="shared" si="238"/>
        <v>0.65145592958786691</v>
      </c>
      <c r="AG350" s="4">
        <f t="shared" si="235"/>
        <v>0.56032247880849573</v>
      </c>
      <c r="AH350" s="4">
        <f t="shared" si="235"/>
        <v>0.46411326873185343</v>
      </c>
      <c r="AI350" s="4">
        <f t="shared" si="235"/>
        <v>0.36979727595523937</v>
      </c>
      <c r="AJ350" s="4">
        <f t="shared" si="236"/>
        <v>0.28393948637231203</v>
      </c>
      <c r="AK350" s="4">
        <f t="shared" si="236"/>
        <v>0.21097259161117732</v>
      </c>
      <c r="AL350" s="4">
        <f t="shared" si="236"/>
        <v>0.15253917653798199</v>
      </c>
      <c r="AM350" s="4">
        <f t="shared" si="236"/>
        <v>0.10795188737709993</v>
      </c>
      <c r="AN350" s="4">
        <f t="shared" si="236"/>
        <v>7.5176653938091809E-2</v>
      </c>
      <c r="AO350" s="4">
        <f t="shared" si="236"/>
        <v>5.1742836177502194E-2</v>
      </c>
      <c r="AP350" s="4">
        <f t="shared" si="236"/>
        <v>3.5319190625345942E-2</v>
      </c>
      <c r="AQ350" s="4">
        <f t="shared" si="236"/>
        <v>2.3969442072658165E-2</v>
      </c>
      <c r="AR350" s="4">
        <f t="shared" si="236"/>
        <v>1.6202243558389728E-2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39">A334</f>
        <v>Capex vehicle</v>
      </c>
      <c r="B354" s="62">
        <f t="shared" ref="B354:B363" si="240">$B334+($C334-$B334)*(1-Q334)</f>
        <v>29973644.945217423</v>
      </c>
      <c r="C354" s="62">
        <f t="shared" ref="C354:C363" si="241">$B334+($C334-$B334)*(1-R334)</f>
        <v>29962243.117830768</v>
      </c>
      <c r="D354" s="62">
        <f t="shared" ref="D354:D363" si="242">$B334+($C334-$B334)*(1-S334)</f>
        <v>29945921.655881997</v>
      </c>
      <c r="E354" s="62">
        <f t="shared" ref="E354:E363" si="243">$B334+($C334-$B334)*(1-T334)</f>
        <v>29922572.656787768</v>
      </c>
      <c r="F354" s="62">
        <f t="shared" ref="F354:F363" si="244">$B334+($C334-$B334)*(1-U334)</f>
        <v>29889201.784869663</v>
      </c>
      <c r="G354" s="62">
        <f t="shared" ref="G354:G363" si="245">$B334+($C334-$B334)*(1-V334)</f>
        <v>29841574.338898048</v>
      </c>
      <c r="H354" s="62">
        <f t="shared" ref="H354:H363" si="246">$B334+($C334-$B334)*(1-W334)</f>
        <v>29773741.171542991</v>
      </c>
      <c r="I354" s="62">
        <f t="shared" ref="I354:I363" si="247">$B334+($C334-$B334)*(1-X334)</f>
        <v>29677427.797904644</v>
      </c>
      <c r="J354" s="62">
        <f t="shared" ref="J354:J363" si="248">$B334+($C334-$B334)*(1-Y334)</f>
        <v>29541298.099391133</v>
      </c>
      <c r="K354" s="62">
        <f t="shared" ref="K354:K363" si="249">$B334+($C334-$B334)*(1-Z334)</f>
        <v>29350174.458661363</v>
      </c>
      <c r="L354" s="62">
        <f t="shared" ref="L354:L363" si="250">$B334+($C334-$B334)*(1-AA334)</f>
        <v>29084443.218016978</v>
      </c>
      <c r="M354" s="62">
        <f t="shared" ref="M354:M363" si="251">$B334+($C334-$B334)*(1-AB334)</f>
        <v>28720135.628119014</v>
      </c>
      <c r="N354" s="62">
        <f t="shared" ref="N354:N363" si="252">$B334+($C334-$B334)*(1-AC334)</f>
        <v>28230545.26491924</v>
      </c>
      <c r="O354" s="62">
        <f t="shared" ref="O354:O363" si="253">$B334+($C334-$B334)*(1-AD334)</f>
        <v>27590556.078314867</v>
      </c>
      <c r="P354" s="62">
        <f t="shared" ref="P354:P363" si="254">$B334+($C334-$B334)*(1-AE334)</f>
        <v>26784597.869999204</v>
      </c>
      <c r="Q354" s="62">
        <f t="shared" ref="Q354:Q363" si="255">$B334+($C334-$B334)*(1-AF334)</f>
        <v>25817471.155054402</v>
      </c>
      <c r="R354" s="62">
        <f t="shared" ref="R354:R363" si="256">$B334+($C334-$B334)*(1-AG334)</f>
        <v>24723869.74570195</v>
      </c>
      <c r="S354" s="62">
        <f t="shared" ref="S354:S363" si="257">$B334+($C334-$B334)*(1-AH334)</f>
        <v>23569359.224782243</v>
      </c>
      <c r="T354" s="62">
        <f t="shared" ref="T354:T363" si="258">$B334+($C334-$B334)*(1-AI334)</f>
        <v>22437567.311462872</v>
      </c>
      <c r="U354" s="62">
        <f t="shared" ref="U354:U363" si="259">$B334+($C334-$B334)*(1-AJ334)</f>
        <v>21407273.836467743</v>
      </c>
      <c r="V354" s="62">
        <f t="shared" ref="V354:V363" si="260">$B334+($C334-$B334)*(1-AK334)</f>
        <v>20531671.099334128</v>
      </c>
      <c r="W354" s="62">
        <f t="shared" ref="W354:W363" si="261">$B334+($C334-$B334)*(1-AL334)</f>
        <v>19830470.118455783</v>
      </c>
      <c r="X354" s="62">
        <f t="shared" ref="X354:X363" si="262">$B334+($C334-$B334)*(1-AM334)</f>
        <v>19295422.648525201</v>
      </c>
      <c r="Y354" s="62">
        <f t="shared" ref="Y354:Y363" si="263">$B334+($C334-$B334)*(1-AN334)</f>
        <v>18902119.8472571</v>
      </c>
      <c r="Z354" s="62">
        <f t="shared" ref="Z354:Z363" si="264">$B334+($C334-$B334)*(1-AO334)</f>
        <v>18620914.034130026</v>
      </c>
      <c r="AA354" s="62">
        <f t="shared" ref="AA354:AA363" si="265">$B334+($C334-$B334)*(1-AP334)</f>
        <v>18423830.287504151</v>
      </c>
      <c r="AB354" s="62">
        <f t="shared" ref="AB354:AB363" si="266">$B334+($C334-$B334)*(1-AQ334)</f>
        <v>18287633.304871898</v>
      </c>
      <c r="AC354" s="62">
        <f t="shared" ref="AC354:AC363" si="267">$B334+($C334-$B334)*(1-AR334)</f>
        <v>18194426.922700677</v>
      </c>
    </row>
    <row r="355" spans="1:29" x14ac:dyDescent="0.3">
      <c r="A355" s="30" t="str">
        <f t="shared" si="239"/>
        <v>Residual value (vehicle)</v>
      </c>
      <c r="B355" s="62">
        <f t="shared" si="240"/>
        <v>-1500658.8763695643</v>
      </c>
      <c r="C355" s="62">
        <f t="shared" si="241"/>
        <v>-1500943.9220542307</v>
      </c>
      <c r="D355" s="62">
        <f t="shared" si="242"/>
        <v>-1501351.95860295</v>
      </c>
      <c r="E355" s="62">
        <f t="shared" si="243"/>
        <v>-1501935.6835803059</v>
      </c>
      <c r="F355" s="62">
        <f t="shared" si="244"/>
        <v>-1502769.9553782584</v>
      </c>
      <c r="G355" s="62">
        <f t="shared" si="245"/>
        <v>-1503960.6415275487</v>
      </c>
      <c r="H355" s="62">
        <f t="shared" si="246"/>
        <v>-1505656.4707114252</v>
      </c>
      <c r="I355" s="62">
        <f t="shared" si="247"/>
        <v>-1508064.3050523838</v>
      </c>
      <c r="J355" s="62">
        <f t="shared" si="248"/>
        <v>-1511467.5475152216</v>
      </c>
      <c r="K355" s="62">
        <f t="shared" si="249"/>
        <v>-1516245.6385334658</v>
      </c>
      <c r="L355" s="62">
        <f t="shared" si="250"/>
        <v>-1522888.9195495755</v>
      </c>
      <c r="M355" s="62">
        <f t="shared" si="251"/>
        <v>-1531996.6092970246</v>
      </c>
      <c r="N355" s="62">
        <f t="shared" si="252"/>
        <v>-1544236.368377019</v>
      </c>
      <c r="O355" s="62">
        <f t="shared" si="253"/>
        <v>-1560236.0980421284</v>
      </c>
      <c r="P355" s="62">
        <f t="shared" si="254"/>
        <v>-1580385.0532500199</v>
      </c>
      <c r="Q355" s="62">
        <f t="shared" si="255"/>
        <v>-1604563.22112364</v>
      </c>
      <c r="R355" s="62">
        <f t="shared" si="256"/>
        <v>-1631903.2563574512</v>
      </c>
      <c r="S355" s="62">
        <f t="shared" si="257"/>
        <v>-1660766.019380444</v>
      </c>
      <c r="T355" s="62">
        <f t="shared" si="258"/>
        <v>-1689060.8172134282</v>
      </c>
      <c r="U355" s="62">
        <f t="shared" si="259"/>
        <v>-1714818.1540883065</v>
      </c>
      <c r="V355" s="62">
        <f t="shared" si="260"/>
        <v>-1736708.2225166468</v>
      </c>
      <c r="W355" s="62">
        <f t="shared" si="261"/>
        <v>-1754238.2470386054</v>
      </c>
      <c r="X355" s="62">
        <f t="shared" si="262"/>
        <v>-1767614.43378687</v>
      </c>
      <c r="Y355" s="62">
        <f t="shared" si="263"/>
        <v>-1777447.0038185725</v>
      </c>
      <c r="Z355" s="62">
        <f t="shared" si="264"/>
        <v>-1784477.1491467494</v>
      </c>
      <c r="AA355" s="62">
        <f t="shared" si="265"/>
        <v>-1789404.2428123963</v>
      </c>
      <c r="AB355" s="62">
        <f t="shared" si="266"/>
        <v>-1792809.1673782025</v>
      </c>
      <c r="AC355" s="62">
        <f t="shared" si="267"/>
        <v>-1795139.3269324831</v>
      </c>
    </row>
    <row r="356" spans="1:29" x14ac:dyDescent="0.3">
      <c r="A356" s="30" t="str">
        <f t="shared" si="239"/>
        <v>Capex costumization</v>
      </c>
      <c r="B356" s="62">
        <f t="shared" si="240"/>
        <v>1000000</v>
      </c>
      <c r="C356" s="62">
        <f t="shared" si="241"/>
        <v>1000000</v>
      </c>
      <c r="D356" s="62">
        <f t="shared" si="242"/>
        <v>1000000</v>
      </c>
      <c r="E356" s="62">
        <f t="shared" si="243"/>
        <v>1000000</v>
      </c>
      <c r="F356" s="62">
        <f t="shared" si="244"/>
        <v>1000000</v>
      </c>
      <c r="G356" s="62">
        <f t="shared" si="245"/>
        <v>1000000</v>
      </c>
      <c r="H356" s="62">
        <f t="shared" si="246"/>
        <v>1000000</v>
      </c>
      <c r="I356" s="62">
        <f t="shared" si="247"/>
        <v>1000000</v>
      </c>
      <c r="J356" s="62">
        <f t="shared" si="248"/>
        <v>1000000</v>
      </c>
      <c r="K356" s="62">
        <f t="shared" si="249"/>
        <v>1000000</v>
      </c>
      <c r="L356" s="62">
        <f t="shared" si="250"/>
        <v>1000000</v>
      </c>
      <c r="M356" s="62">
        <f t="shared" si="251"/>
        <v>1000000</v>
      </c>
      <c r="N356" s="62">
        <f t="shared" si="252"/>
        <v>1000000</v>
      </c>
      <c r="O356" s="62">
        <f t="shared" si="253"/>
        <v>1000000</v>
      </c>
      <c r="P356" s="62">
        <f t="shared" si="254"/>
        <v>1000000</v>
      </c>
      <c r="Q356" s="62">
        <f t="shared" si="255"/>
        <v>1000000</v>
      </c>
      <c r="R356" s="62">
        <f t="shared" si="256"/>
        <v>1000000</v>
      </c>
      <c r="S356" s="62">
        <f t="shared" si="257"/>
        <v>1000000</v>
      </c>
      <c r="T356" s="62">
        <f t="shared" si="258"/>
        <v>1000000</v>
      </c>
      <c r="U356" s="62">
        <f t="shared" si="259"/>
        <v>1000000</v>
      </c>
      <c r="V356" s="62">
        <f t="shared" si="260"/>
        <v>1000000</v>
      </c>
      <c r="W356" s="62">
        <f t="shared" si="261"/>
        <v>1000000</v>
      </c>
      <c r="X356" s="62">
        <f t="shared" si="262"/>
        <v>1000000</v>
      </c>
      <c r="Y356" s="62">
        <f t="shared" si="263"/>
        <v>1000000</v>
      </c>
      <c r="Z356" s="62">
        <f t="shared" si="264"/>
        <v>1000000</v>
      </c>
      <c r="AA356" s="62">
        <f t="shared" si="265"/>
        <v>1000000</v>
      </c>
      <c r="AB356" s="62">
        <f t="shared" si="266"/>
        <v>1000000</v>
      </c>
      <c r="AC356" s="62">
        <f t="shared" si="267"/>
        <v>1000000</v>
      </c>
    </row>
    <row r="357" spans="1:29" x14ac:dyDescent="0.3">
      <c r="A357" s="30" t="str">
        <f t="shared" si="239"/>
        <v>Residual value (costumization)</v>
      </c>
      <c r="B357" s="62">
        <f t="shared" si="240"/>
        <v>-100000</v>
      </c>
      <c r="C357" s="62">
        <f t="shared" si="241"/>
        <v>-100000</v>
      </c>
      <c r="D357" s="62">
        <f t="shared" si="242"/>
        <v>-100000</v>
      </c>
      <c r="E357" s="62">
        <f t="shared" si="243"/>
        <v>-100000</v>
      </c>
      <c r="F357" s="62">
        <f t="shared" si="244"/>
        <v>-100000</v>
      </c>
      <c r="G357" s="62">
        <f t="shared" si="245"/>
        <v>-100000</v>
      </c>
      <c r="H357" s="62">
        <f t="shared" si="246"/>
        <v>-100000</v>
      </c>
      <c r="I357" s="62">
        <f t="shared" si="247"/>
        <v>-100000</v>
      </c>
      <c r="J357" s="62">
        <f t="shared" si="248"/>
        <v>-100000</v>
      </c>
      <c r="K357" s="62">
        <f t="shared" si="249"/>
        <v>-100000</v>
      </c>
      <c r="L357" s="62">
        <f t="shared" si="250"/>
        <v>-100000</v>
      </c>
      <c r="M357" s="62">
        <f t="shared" si="251"/>
        <v>-100000</v>
      </c>
      <c r="N357" s="62">
        <f t="shared" si="252"/>
        <v>-100000</v>
      </c>
      <c r="O357" s="62">
        <f t="shared" si="253"/>
        <v>-100000</v>
      </c>
      <c r="P357" s="62">
        <f t="shared" si="254"/>
        <v>-100000</v>
      </c>
      <c r="Q357" s="62">
        <f t="shared" si="255"/>
        <v>-100000</v>
      </c>
      <c r="R357" s="62">
        <f t="shared" si="256"/>
        <v>-100000</v>
      </c>
      <c r="S357" s="62">
        <f t="shared" si="257"/>
        <v>-100000</v>
      </c>
      <c r="T357" s="62">
        <f t="shared" si="258"/>
        <v>-100000</v>
      </c>
      <c r="U357" s="62">
        <f t="shared" si="259"/>
        <v>-100000</v>
      </c>
      <c r="V357" s="62">
        <f t="shared" si="260"/>
        <v>-100000</v>
      </c>
      <c r="W357" s="62">
        <f t="shared" si="261"/>
        <v>-100000</v>
      </c>
      <c r="X357" s="62">
        <f t="shared" si="262"/>
        <v>-100000</v>
      </c>
      <c r="Y357" s="62">
        <f t="shared" si="263"/>
        <v>-100000</v>
      </c>
      <c r="Z357" s="62">
        <f t="shared" si="264"/>
        <v>-100000</v>
      </c>
      <c r="AA357" s="62">
        <f t="shared" si="265"/>
        <v>-100000</v>
      </c>
      <c r="AB357" s="62">
        <f t="shared" si="266"/>
        <v>-100000</v>
      </c>
      <c r="AC357" s="62">
        <f t="shared" si="267"/>
        <v>-100000</v>
      </c>
    </row>
    <row r="358" spans="1:29" x14ac:dyDescent="0.3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3">
      <c r="A359" s="30" t="str">
        <f t="shared" si="239"/>
        <v>Opex fix (admin, crew, insurance)</v>
      </c>
      <c r="B359" s="62">
        <f t="shared" si="240"/>
        <v>1208235.294117647</v>
      </c>
      <c r="C359" s="62">
        <f t="shared" si="241"/>
        <v>1208235.294117647</v>
      </c>
      <c r="D359" s="62">
        <f t="shared" si="242"/>
        <v>1208235.294117647</v>
      </c>
      <c r="E359" s="62">
        <f t="shared" si="243"/>
        <v>1208235.294117647</v>
      </c>
      <c r="F359" s="62">
        <f t="shared" si="244"/>
        <v>1208235.294117647</v>
      </c>
      <c r="G359" s="62">
        <f t="shared" si="245"/>
        <v>1208235.294117647</v>
      </c>
      <c r="H359" s="62">
        <f t="shared" si="246"/>
        <v>1208235.294117647</v>
      </c>
      <c r="I359" s="62">
        <f t="shared" si="247"/>
        <v>1208235.294117647</v>
      </c>
      <c r="J359" s="62">
        <f t="shared" si="248"/>
        <v>1208235.294117647</v>
      </c>
      <c r="K359" s="62">
        <f t="shared" si="249"/>
        <v>1208235.294117647</v>
      </c>
      <c r="L359" s="62">
        <f t="shared" si="250"/>
        <v>1208235.294117647</v>
      </c>
      <c r="M359" s="62">
        <f t="shared" si="251"/>
        <v>1208235.294117647</v>
      </c>
      <c r="N359" s="62">
        <f t="shared" si="252"/>
        <v>1208235.294117647</v>
      </c>
      <c r="O359" s="62">
        <f t="shared" si="253"/>
        <v>1208235.294117647</v>
      </c>
      <c r="P359" s="62">
        <f t="shared" si="254"/>
        <v>1208235.294117647</v>
      </c>
      <c r="Q359" s="62">
        <f t="shared" si="255"/>
        <v>1208235.294117647</v>
      </c>
      <c r="R359" s="62">
        <f t="shared" si="256"/>
        <v>1208235.294117647</v>
      </c>
      <c r="S359" s="62">
        <f t="shared" si="257"/>
        <v>1208235.294117647</v>
      </c>
      <c r="T359" s="62">
        <f t="shared" si="258"/>
        <v>1208235.294117647</v>
      </c>
      <c r="U359" s="62">
        <f t="shared" si="259"/>
        <v>1208235.294117647</v>
      </c>
      <c r="V359" s="62">
        <f t="shared" si="260"/>
        <v>1208235.294117647</v>
      </c>
      <c r="W359" s="62">
        <f t="shared" si="261"/>
        <v>1208235.294117647</v>
      </c>
      <c r="X359" s="62">
        <f t="shared" si="262"/>
        <v>1208235.294117647</v>
      </c>
      <c r="Y359" s="62">
        <f t="shared" si="263"/>
        <v>1208235.294117647</v>
      </c>
      <c r="Z359" s="62">
        <f t="shared" si="264"/>
        <v>1208235.294117647</v>
      </c>
      <c r="AA359" s="62">
        <f t="shared" si="265"/>
        <v>1208235.294117647</v>
      </c>
      <c r="AB359" s="62">
        <f t="shared" si="266"/>
        <v>1208235.294117647</v>
      </c>
      <c r="AC359" s="62">
        <f t="shared" si="267"/>
        <v>1208235.294117647</v>
      </c>
    </row>
    <row r="360" spans="1:29" x14ac:dyDescent="0.3">
      <c r="A360" s="30" t="str">
        <f t="shared" si="239"/>
        <v>Opex maintenance &amp; repair</v>
      </c>
      <c r="B360" s="62">
        <f t="shared" si="240"/>
        <v>338823.5294117647</v>
      </c>
      <c r="C360" s="62">
        <f t="shared" si="241"/>
        <v>338823.5294117647</v>
      </c>
      <c r="D360" s="62">
        <f t="shared" si="242"/>
        <v>338823.5294117647</v>
      </c>
      <c r="E360" s="62">
        <f t="shared" si="243"/>
        <v>338823.5294117647</v>
      </c>
      <c r="F360" s="62">
        <f t="shared" si="244"/>
        <v>338823.5294117647</v>
      </c>
      <c r="G360" s="62">
        <f t="shared" si="245"/>
        <v>338823.5294117647</v>
      </c>
      <c r="H360" s="62">
        <f t="shared" si="246"/>
        <v>338823.5294117647</v>
      </c>
      <c r="I360" s="62">
        <f t="shared" si="247"/>
        <v>338823.5294117647</v>
      </c>
      <c r="J360" s="62">
        <f t="shared" si="248"/>
        <v>338823.5294117647</v>
      </c>
      <c r="K360" s="62">
        <f t="shared" si="249"/>
        <v>338823.5294117647</v>
      </c>
      <c r="L360" s="62">
        <f t="shared" si="250"/>
        <v>338823.5294117647</v>
      </c>
      <c r="M360" s="62">
        <f t="shared" si="251"/>
        <v>338823.5294117647</v>
      </c>
      <c r="N360" s="62">
        <f t="shared" si="252"/>
        <v>338823.5294117647</v>
      </c>
      <c r="O360" s="62">
        <f t="shared" si="253"/>
        <v>338823.5294117647</v>
      </c>
      <c r="P360" s="62">
        <f t="shared" si="254"/>
        <v>338823.5294117647</v>
      </c>
      <c r="Q360" s="62">
        <f t="shared" si="255"/>
        <v>338823.5294117647</v>
      </c>
      <c r="R360" s="62">
        <f t="shared" si="256"/>
        <v>338823.5294117647</v>
      </c>
      <c r="S360" s="62">
        <f t="shared" si="257"/>
        <v>338823.5294117647</v>
      </c>
      <c r="T360" s="62">
        <f t="shared" si="258"/>
        <v>338823.5294117647</v>
      </c>
      <c r="U360" s="62">
        <f t="shared" si="259"/>
        <v>338823.5294117647</v>
      </c>
      <c r="V360" s="62">
        <f t="shared" si="260"/>
        <v>338823.5294117647</v>
      </c>
      <c r="W360" s="62">
        <f t="shared" si="261"/>
        <v>338823.5294117647</v>
      </c>
      <c r="X360" s="62">
        <f t="shared" si="262"/>
        <v>338823.5294117647</v>
      </c>
      <c r="Y360" s="62">
        <f t="shared" si="263"/>
        <v>338823.5294117647</v>
      </c>
      <c r="Z360" s="62">
        <f t="shared" si="264"/>
        <v>338823.5294117647</v>
      </c>
      <c r="AA360" s="62">
        <f t="shared" si="265"/>
        <v>338823.5294117647</v>
      </c>
      <c r="AB360" s="62">
        <f t="shared" si="266"/>
        <v>338823.5294117647</v>
      </c>
      <c r="AC360" s="62">
        <f t="shared" si="267"/>
        <v>338823.5294117647</v>
      </c>
    </row>
    <row r="361" spans="1:29" x14ac:dyDescent="0.3">
      <c r="A361" s="30" t="str">
        <f t="shared" si="239"/>
        <v>Opex var (mode-fees)</v>
      </c>
      <c r="B361" s="62">
        <f t="shared" si="240"/>
        <v>0.81280569096848254</v>
      </c>
      <c r="C361" s="62">
        <f t="shared" si="241"/>
        <v>0.81280569096848254</v>
      </c>
      <c r="D361" s="62">
        <f t="shared" si="242"/>
        <v>0.81280569096848254</v>
      </c>
      <c r="E361" s="62">
        <f t="shared" si="243"/>
        <v>0.81280569096848254</v>
      </c>
      <c r="F361" s="62">
        <f t="shared" si="244"/>
        <v>0.81280569096848254</v>
      </c>
      <c r="G361" s="62">
        <f t="shared" si="245"/>
        <v>0.81280569096848254</v>
      </c>
      <c r="H361" s="62">
        <f t="shared" si="246"/>
        <v>0.81280569096848254</v>
      </c>
      <c r="I361" s="62">
        <f t="shared" si="247"/>
        <v>0.81280569096848254</v>
      </c>
      <c r="J361" s="62">
        <f t="shared" si="248"/>
        <v>0.81280569096848254</v>
      </c>
      <c r="K361" s="62">
        <f t="shared" si="249"/>
        <v>0.81280569096848254</v>
      </c>
      <c r="L361" s="62">
        <f t="shared" si="250"/>
        <v>0.81280569096848254</v>
      </c>
      <c r="M361" s="62">
        <f t="shared" si="251"/>
        <v>0.81280569096848254</v>
      </c>
      <c r="N361" s="62">
        <f t="shared" si="252"/>
        <v>0.81280569096848254</v>
      </c>
      <c r="O361" s="62">
        <f t="shared" si="253"/>
        <v>0.81280569096848254</v>
      </c>
      <c r="P361" s="62">
        <f t="shared" si="254"/>
        <v>0.81280569096848254</v>
      </c>
      <c r="Q361" s="62">
        <f t="shared" si="255"/>
        <v>0.81280569096848254</v>
      </c>
      <c r="R361" s="62">
        <f t="shared" si="256"/>
        <v>0.81280569096848254</v>
      </c>
      <c r="S361" s="62">
        <f t="shared" si="257"/>
        <v>0.81280569096848254</v>
      </c>
      <c r="T361" s="62">
        <f t="shared" si="258"/>
        <v>0.81280569096848254</v>
      </c>
      <c r="U361" s="62">
        <f t="shared" si="259"/>
        <v>0.81280569096848254</v>
      </c>
      <c r="V361" s="62">
        <f t="shared" si="260"/>
        <v>0.81280569096848254</v>
      </c>
      <c r="W361" s="62">
        <f t="shared" si="261"/>
        <v>0.81280569096848254</v>
      </c>
      <c r="X361" s="62">
        <f t="shared" si="262"/>
        <v>0.81280569096848254</v>
      </c>
      <c r="Y361" s="62">
        <f t="shared" si="263"/>
        <v>0.81280569096848254</v>
      </c>
      <c r="Z361" s="62">
        <f t="shared" si="264"/>
        <v>0.81280569096848254</v>
      </c>
      <c r="AA361" s="62">
        <f t="shared" si="265"/>
        <v>0.81280569096848254</v>
      </c>
      <c r="AB361" s="62">
        <f t="shared" si="266"/>
        <v>0.81280569096848254</v>
      </c>
      <c r="AC361" s="62">
        <f t="shared" si="267"/>
        <v>0.81280569096848254</v>
      </c>
    </row>
    <row r="362" spans="1:29" x14ac:dyDescent="0.3">
      <c r="A362" s="30" t="str">
        <f t="shared" si="239"/>
        <v>Fuel Economy</v>
      </c>
      <c r="B362" s="62">
        <f t="shared" si="240"/>
        <v>588.84626218043502</v>
      </c>
      <c r="C362" s="62">
        <f t="shared" si="241"/>
        <v>588.7797515206795</v>
      </c>
      <c r="D362" s="62">
        <f t="shared" si="242"/>
        <v>588.68454299264499</v>
      </c>
      <c r="E362" s="62">
        <f t="shared" si="243"/>
        <v>588.54834049792862</v>
      </c>
      <c r="F362" s="62">
        <f t="shared" si="244"/>
        <v>588.35367707840635</v>
      </c>
      <c r="G362" s="62">
        <f t="shared" si="245"/>
        <v>588.07585031023859</v>
      </c>
      <c r="H362" s="62">
        <f t="shared" si="246"/>
        <v>587.68015683400074</v>
      </c>
      <c r="I362" s="62">
        <f t="shared" si="247"/>
        <v>587.11832882111048</v>
      </c>
      <c r="J362" s="62">
        <f t="shared" si="248"/>
        <v>586.32423891311498</v>
      </c>
      <c r="K362" s="62">
        <f t="shared" si="249"/>
        <v>585.20935100885799</v>
      </c>
      <c r="L362" s="62">
        <f t="shared" si="250"/>
        <v>583.65925210509909</v>
      </c>
      <c r="M362" s="62">
        <f t="shared" si="251"/>
        <v>581.53412449736095</v>
      </c>
      <c r="N362" s="62">
        <f t="shared" si="252"/>
        <v>578.67818071202885</v>
      </c>
      <c r="O362" s="62">
        <f t="shared" si="253"/>
        <v>574.94491045683674</v>
      </c>
      <c r="P362" s="62">
        <f t="shared" si="254"/>
        <v>570.24348757499536</v>
      </c>
      <c r="Q362" s="62">
        <f t="shared" si="255"/>
        <v>564.60191507115064</v>
      </c>
      <c r="R362" s="62">
        <f t="shared" si="256"/>
        <v>558.22257351659471</v>
      </c>
      <c r="S362" s="62">
        <f t="shared" si="257"/>
        <v>551.48792881122972</v>
      </c>
      <c r="T362" s="62">
        <f t="shared" si="258"/>
        <v>544.8858093168667</v>
      </c>
      <c r="U362" s="62">
        <f t="shared" si="259"/>
        <v>538.87576404606182</v>
      </c>
      <c r="V362" s="62">
        <f t="shared" si="260"/>
        <v>533.76808141278241</v>
      </c>
      <c r="W362" s="62">
        <f t="shared" si="261"/>
        <v>529.67774235765876</v>
      </c>
      <c r="X362" s="62">
        <f t="shared" si="262"/>
        <v>526.55663211639694</v>
      </c>
      <c r="Y362" s="62">
        <f t="shared" si="263"/>
        <v>524.26236577566647</v>
      </c>
      <c r="Z362" s="62">
        <f t="shared" si="264"/>
        <v>522.6219985324251</v>
      </c>
      <c r="AA362" s="62">
        <f t="shared" si="265"/>
        <v>521.47234334377424</v>
      </c>
      <c r="AB362" s="62">
        <f t="shared" si="266"/>
        <v>520.67786094508608</v>
      </c>
      <c r="AC362" s="62">
        <f t="shared" si="267"/>
        <v>520.13415704908732</v>
      </c>
    </row>
    <row r="363" spans="1:29" x14ac:dyDescent="0.3">
      <c r="A363" s="30" t="str">
        <f t="shared" si="239"/>
        <v>Fuel Cost</v>
      </c>
      <c r="B363" s="62">
        <f t="shared" si="240"/>
        <v>0.18921533183108133</v>
      </c>
      <c r="C363" s="62">
        <f t="shared" si="241"/>
        <v>0.18913115990463616</v>
      </c>
      <c r="D363" s="62">
        <f t="shared" si="242"/>
        <v>0.18901066966670843</v>
      </c>
      <c r="E363" s="62">
        <f t="shared" si="243"/>
        <v>0.18883829990810047</v>
      </c>
      <c r="F363" s="62">
        <f t="shared" si="244"/>
        <v>0.18859194548777405</v>
      </c>
      <c r="G363" s="62">
        <f t="shared" si="245"/>
        <v>0.18824034449057031</v>
      </c>
      <c r="H363" s="62">
        <f t="shared" si="246"/>
        <v>0.18773957841338568</v>
      </c>
      <c r="I363" s="62">
        <f t="shared" si="247"/>
        <v>0.18702856236949611</v>
      </c>
      <c r="J363" s="62">
        <f t="shared" si="248"/>
        <v>0.18602360951573774</v>
      </c>
      <c r="K363" s="62">
        <f t="shared" si="249"/>
        <v>0.18461267383991228</v>
      </c>
      <c r="L363" s="62">
        <f t="shared" si="250"/>
        <v>0.18265096106500425</v>
      </c>
      <c r="M363" s="62">
        <f t="shared" si="251"/>
        <v>0.17996152623842626</v>
      </c>
      <c r="N363" s="62">
        <f t="shared" si="252"/>
        <v>0.17634721401969033</v>
      </c>
      <c r="O363" s="62">
        <f t="shared" si="253"/>
        <v>0.17162260971603249</v>
      </c>
      <c r="P363" s="62">
        <f t="shared" si="254"/>
        <v>0.16567276915735063</v>
      </c>
      <c r="Q363" s="62">
        <f t="shared" si="255"/>
        <v>0.15853313127713237</v>
      </c>
      <c r="R363" s="62">
        <f t="shared" si="256"/>
        <v>0.1504598168629829</v>
      </c>
      <c r="S363" s="62">
        <f t="shared" si="257"/>
        <v>0.14193685195994088</v>
      </c>
      <c r="T363" s="62">
        <f t="shared" si="258"/>
        <v>0.13358160306443201</v>
      </c>
      <c r="U363" s="62">
        <f t="shared" si="259"/>
        <v>0.12597564801412947</v>
      </c>
      <c r="V363" s="62">
        <f t="shared" si="260"/>
        <v>0.11951166933019994</v>
      </c>
      <c r="W363" s="62">
        <f t="shared" si="261"/>
        <v>0.1143351800373662</v>
      </c>
      <c r="X363" s="62">
        <f t="shared" si="262"/>
        <v>0.11038528895794403</v>
      </c>
      <c r="Y363" s="62">
        <f t="shared" si="263"/>
        <v>0.10748180223284623</v>
      </c>
      <c r="Z363" s="62">
        <f t="shared" si="264"/>
        <v>0.10540585122816921</v>
      </c>
      <c r="AA363" s="62">
        <f t="shared" si="265"/>
        <v>0.10395091614960947</v>
      </c>
      <c r="AB363" s="62">
        <f t="shared" si="266"/>
        <v>0.10294546658302588</v>
      </c>
      <c r="AC363" s="62">
        <f t="shared" si="267"/>
        <v>0.10225738734113901</v>
      </c>
    </row>
    <row r="364" spans="1:29" x14ac:dyDescent="0.3">
      <c r="A364" s="30" t="str">
        <f t="shared" ref="A364" si="268">A344</f>
        <v>Emission Cost</v>
      </c>
      <c r="B364" s="66">
        <f>$B344+($C344-$B344)*(1-Q344)</f>
        <v>2.4864501794892204</v>
      </c>
      <c r="C364" s="66">
        <f t="shared" ref="C364:AC364" si="269">$B344+($C344-$B344)*(1-R344)</f>
        <v>2.4840824730905622</v>
      </c>
      <c r="D364" s="66">
        <f t="shared" si="269"/>
        <v>2.4806931541172901</v>
      </c>
      <c r="E364" s="66">
        <f t="shared" si="269"/>
        <v>2.4758444949784595</v>
      </c>
      <c r="F364" s="66">
        <f t="shared" si="269"/>
        <v>2.4689146911593123</v>
      </c>
      <c r="G364" s="66">
        <f t="shared" si="269"/>
        <v>2.4590243635166811</v>
      </c>
      <c r="H364" s="66">
        <f t="shared" si="269"/>
        <v>2.4449381105906096</v>
      </c>
      <c r="I364" s="66">
        <f t="shared" si="269"/>
        <v>2.4249376507251341</v>
      </c>
      <c r="J364" s="66">
        <f t="shared" si="269"/>
        <v>2.3966689226267675</v>
      </c>
      <c r="K364" s="66">
        <f t="shared" si="269"/>
        <v>2.3569801383867617</v>
      </c>
      <c r="L364" s="66">
        <f t="shared" si="269"/>
        <v>2.3017983208183335</v>
      </c>
      <c r="M364" s="66">
        <f t="shared" si="269"/>
        <v>2.2261461132879194</v>
      </c>
      <c r="N364" s="66">
        <f t="shared" si="269"/>
        <v>2.1244776529298637</v>
      </c>
      <c r="O364" s="66">
        <f t="shared" si="269"/>
        <v>1.991577334339808</v>
      </c>
      <c r="P364" s="66">
        <f t="shared" si="269"/>
        <v>1.824211846145027</v>
      </c>
      <c r="Q364" s="66">
        <f t="shared" si="269"/>
        <v>1.6233780645383806</v>
      </c>
      <c r="R364" s="66">
        <f t="shared" si="269"/>
        <v>1.396280515461632</v>
      </c>
      <c r="S364" s="66">
        <f t="shared" si="269"/>
        <v>1.156534564659107</v>
      </c>
      <c r="T364" s="66">
        <f t="shared" si="269"/>
        <v>0.92150636573615219</v>
      </c>
      <c r="U364" s="66">
        <f t="shared" si="269"/>
        <v>0.70755535854084983</v>
      </c>
      <c r="V364" s="66">
        <f t="shared" si="269"/>
        <v>0.52572746963416073</v>
      </c>
      <c r="W364" s="66">
        <f t="shared" si="269"/>
        <v>0.38011589414984037</v>
      </c>
      <c r="X364" s="66">
        <f t="shared" si="269"/>
        <v>0.26900779935239649</v>
      </c>
      <c r="Y364" s="66">
        <f t="shared" si="269"/>
        <v>0.18733443879419109</v>
      </c>
      <c r="Z364" s="66">
        <f t="shared" si="269"/>
        <v>0.12893916753616796</v>
      </c>
      <c r="AA364" s="66">
        <f t="shared" si="269"/>
        <v>8.8012706177544864E-2</v>
      </c>
      <c r="AB364" s="66">
        <f t="shared" si="269"/>
        <v>5.9730005841827971E-2</v>
      </c>
      <c r="AC364" s="66">
        <f t="shared" si="269"/>
        <v>4.0374744621079817E-2</v>
      </c>
    </row>
    <row r="365" spans="1:29" x14ac:dyDescent="0.3">
      <c r="A365" s="30" t="str">
        <f>A345</f>
        <v>Lifetime vehicle</v>
      </c>
      <c r="B365" s="62">
        <f>$B345+($C345-$B345)*(1-Q345)</f>
        <v>25</v>
      </c>
      <c r="C365" s="62">
        <f t="shared" ref="C365:L367" si="270">$B345+($C345-$B345)*(1-R345)</f>
        <v>25</v>
      </c>
      <c r="D365" s="62">
        <f t="shared" si="270"/>
        <v>25</v>
      </c>
      <c r="E365" s="62">
        <f t="shared" si="270"/>
        <v>25</v>
      </c>
      <c r="F365" s="62">
        <f t="shared" si="270"/>
        <v>25</v>
      </c>
      <c r="G365" s="62">
        <f t="shared" si="270"/>
        <v>25</v>
      </c>
      <c r="H365" s="62">
        <f t="shared" si="270"/>
        <v>25</v>
      </c>
      <c r="I365" s="62">
        <f t="shared" si="270"/>
        <v>25</v>
      </c>
      <c r="J365" s="62">
        <f t="shared" si="270"/>
        <v>25</v>
      </c>
      <c r="K365" s="62">
        <f t="shared" si="270"/>
        <v>25</v>
      </c>
      <c r="L365" s="62">
        <f t="shared" si="270"/>
        <v>25</v>
      </c>
      <c r="M365" s="62">
        <f t="shared" ref="M365:V367" si="271">$B345+($C345-$B345)*(1-AB345)</f>
        <v>25</v>
      </c>
      <c r="N365" s="62">
        <f t="shared" si="271"/>
        <v>25</v>
      </c>
      <c r="O365" s="62">
        <f t="shared" si="271"/>
        <v>25</v>
      </c>
      <c r="P365" s="62">
        <f t="shared" si="271"/>
        <v>25</v>
      </c>
      <c r="Q365" s="62">
        <f t="shared" si="271"/>
        <v>25</v>
      </c>
      <c r="R365" s="62">
        <f t="shared" si="271"/>
        <v>25</v>
      </c>
      <c r="S365" s="62">
        <f t="shared" si="271"/>
        <v>25</v>
      </c>
      <c r="T365" s="62">
        <f t="shared" si="271"/>
        <v>25</v>
      </c>
      <c r="U365" s="62">
        <f t="shared" si="271"/>
        <v>25</v>
      </c>
      <c r="V365" s="62">
        <f t="shared" si="271"/>
        <v>25</v>
      </c>
      <c r="W365" s="62">
        <f t="shared" ref="W365:AC367" si="272">$B345+($C345-$B345)*(1-AL345)</f>
        <v>25</v>
      </c>
      <c r="X365" s="62">
        <f t="shared" si="272"/>
        <v>25</v>
      </c>
      <c r="Y365" s="62">
        <f t="shared" si="272"/>
        <v>25</v>
      </c>
      <c r="Z365" s="62">
        <f t="shared" si="272"/>
        <v>25</v>
      </c>
      <c r="AA365" s="62">
        <f t="shared" si="272"/>
        <v>25</v>
      </c>
      <c r="AB365" s="62">
        <f t="shared" si="272"/>
        <v>25</v>
      </c>
      <c r="AC365" s="62">
        <f t="shared" si="272"/>
        <v>25</v>
      </c>
    </row>
    <row r="366" spans="1:29" x14ac:dyDescent="0.3">
      <c r="A366" s="30" t="str">
        <f>A346</f>
        <v>Lifetime costumization</v>
      </c>
      <c r="B366" s="62">
        <f>$B346+($C346-$B346)*(1-Q346)</f>
        <v>25</v>
      </c>
      <c r="C366" s="62">
        <f t="shared" si="270"/>
        <v>25</v>
      </c>
      <c r="D366" s="62">
        <f t="shared" si="270"/>
        <v>25</v>
      </c>
      <c r="E366" s="62">
        <f t="shared" si="270"/>
        <v>25</v>
      </c>
      <c r="F366" s="62">
        <f t="shared" si="270"/>
        <v>25</v>
      </c>
      <c r="G366" s="62">
        <f t="shared" si="270"/>
        <v>25</v>
      </c>
      <c r="H366" s="62">
        <f t="shared" si="270"/>
        <v>25</v>
      </c>
      <c r="I366" s="62">
        <f t="shared" si="270"/>
        <v>25</v>
      </c>
      <c r="J366" s="62">
        <f t="shared" si="270"/>
        <v>25</v>
      </c>
      <c r="K366" s="62">
        <f t="shared" si="270"/>
        <v>25</v>
      </c>
      <c r="L366" s="62">
        <f t="shared" si="270"/>
        <v>25</v>
      </c>
      <c r="M366" s="62">
        <f t="shared" si="271"/>
        <v>25</v>
      </c>
      <c r="N366" s="62">
        <f t="shared" si="271"/>
        <v>25</v>
      </c>
      <c r="O366" s="62">
        <f t="shared" si="271"/>
        <v>25</v>
      </c>
      <c r="P366" s="62">
        <f t="shared" si="271"/>
        <v>25</v>
      </c>
      <c r="Q366" s="62">
        <f t="shared" si="271"/>
        <v>25</v>
      </c>
      <c r="R366" s="62">
        <f t="shared" si="271"/>
        <v>25</v>
      </c>
      <c r="S366" s="62">
        <f t="shared" si="271"/>
        <v>25</v>
      </c>
      <c r="T366" s="62">
        <f t="shared" si="271"/>
        <v>25</v>
      </c>
      <c r="U366" s="62">
        <f t="shared" si="271"/>
        <v>25</v>
      </c>
      <c r="V366" s="62">
        <f t="shared" si="271"/>
        <v>25</v>
      </c>
      <c r="W366" s="62">
        <f t="shared" si="272"/>
        <v>25</v>
      </c>
      <c r="X366" s="62">
        <f t="shared" si="272"/>
        <v>25</v>
      </c>
      <c r="Y366" s="62">
        <f t="shared" si="272"/>
        <v>25</v>
      </c>
      <c r="Z366" s="62">
        <f t="shared" si="272"/>
        <v>25</v>
      </c>
      <c r="AA366" s="62">
        <f t="shared" si="272"/>
        <v>25</v>
      </c>
      <c r="AB366" s="62">
        <f t="shared" si="272"/>
        <v>25</v>
      </c>
      <c r="AC366" s="62">
        <f t="shared" si="272"/>
        <v>25</v>
      </c>
    </row>
    <row r="367" spans="1:29" x14ac:dyDescent="0.3">
      <c r="A367" s="30" t="str">
        <f>A347</f>
        <v>Tonnage .</v>
      </c>
      <c r="B367" s="62">
        <f>$B347+($C347-$B347)*(1-Q347)</f>
        <v>9450</v>
      </c>
      <c r="C367" s="62">
        <f t="shared" si="270"/>
        <v>9450</v>
      </c>
      <c r="D367" s="62">
        <f t="shared" si="270"/>
        <v>9450</v>
      </c>
      <c r="E367" s="62">
        <f t="shared" si="270"/>
        <v>9450</v>
      </c>
      <c r="F367" s="62">
        <f t="shared" si="270"/>
        <v>9450</v>
      </c>
      <c r="G367" s="62">
        <f t="shared" si="270"/>
        <v>9450</v>
      </c>
      <c r="H367" s="62">
        <f t="shared" si="270"/>
        <v>9450</v>
      </c>
      <c r="I367" s="62">
        <f t="shared" si="270"/>
        <v>9450</v>
      </c>
      <c r="J367" s="62">
        <f t="shared" si="270"/>
        <v>9450</v>
      </c>
      <c r="K367" s="62">
        <f t="shared" si="270"/>
        <v>9450</v>
      </c>
      <c r="L367" s="62">
        <f t="shared" si="270"/>
        <v>9450</v>
      </c>
      <c r="M367" s="62">
        <f t="shared" si="271"/>
        <v>9450</v>
      </c>
      <c r="N367" s="62">
        <f t="shared" si="271"/>
        <v>9450</v>
      </c>
      <c r="O367" s="62">
        <f t="shared" si="271"/>
        <v>9450</v>
      </c>
      <c r="P367" s="62">
        <f t="shared" si="271"/>
        <v>9450</v>
      </c>
      <c r="Q367" s="62">
        <f t="shared" si="271"/>
        <v>9450</v>
      </c>
      <c r="R367" s="62">
        <f t="shared" si="271"/>
        <v>9450</v>
      </c>
      <c r="S367" s="62">
        <f t="shared" si="271"/>
        <v>9450</v>
      </c>
      <c r="T367" s="62">
        <f t="shared" si="271"/>
        <v>9450</v>
      </c>
      <c r="U367" s="62">
        <f t="shared" si="271"/>
        <v>9450</v>
      </c>
      <c r="V367" s="62">
        <f t="shared" si="271"/>
        <v>9450</v>
      </c>
      <c r="W367" s="62">
        <f t="shared" si="272"/>
        <v>9450</v>
      </c>
      <c r="X367" s="62">
        <f t="shared" si="272"/>
        <v>9450</v>
      </c>
      <c r="Y367" s="62">
        <f t="shared" si="272"/>
        <v>9450</v>
      </c>
      <c r="Z367" s="62">
        <f t="shared" si="272"/>
        <v>9450</v>
      </c>
      <c r="AA367" s="62">
        <f t="shared" si="272"/>
        <v>9450</v>
      </c>
      <c r="AB367" s="62">
        <f t="shared" si="272"/>
        <v>9450</v>
      </c>
      <c r="AC367" s="62">
        <f t="shared" si="272"/>
        <v>9450</v>
      </c>
    </row>
    <row r="368" spans="1:29" x14ac:dyDescent="0.3">
      <c r="A368" s="30" t="str">
        <f>A348</f>
        <v>Market failure (av. utilization)</v>
      </c>
      <c r="B368" s="62">
        <f t="shared" ref="B368:K369" si="273">($B348+($C348-$B348)*(1-Q348))*B$44</f>
        <v>4819.5</v>
      </c>
      <c r="C368" s="62">
        <f t="shared" si="273"/>
        <v>4819.5</v>
      </c>
      <c r="D368" s="62">
        <f t="shared" si="273"/>
        <v>4819.5</v>
      </c>
      <c r="E368" s="62">
        <f t="shared" si="273"/>
        <v>4819.5</v>
      </c>
      <c r="F368" s="62">
        <f t="shared" si="273"/>
        <v>4819.5</v>
      </c>
      <c r="G368" s="62">
        <f t="shared" si="273"/>
        <v>4819.5</v>
      </c>
      <c r="H368" s="62">
        <f t="shared" si="273"/>
        <v>4819.5</v>
      </c>
      <c r="I368" s="62">
        <f t="shared" si="273"/>
        <v>4819.5</v>
      </c>
      <c r="J368" s="62">
        <f t="shared" si="273"/>
        <v>4819.5</v>
      </c>
      <c r="K368" s="62">
        <f t="shared" si="273"/>
        <v>4819.5</v>
      </c>
      <c r="L368" s="62">
        <f t="shared" ref="L368:U369" si="274">($B348+($C348-$B348)*(1-AA348))*L$44</f>
        <v>4819.5</v>
      </c>
      <c r="M368" s="62">
        <f t="shared" si="274"/>
        <v>4819.5</v>
      </c>
      <c r="N368" s="62">
        <f t="shared" si="274"/>
        <v>4819.5</v>
      </c>
      <c r="O368" s="62">
        <f t="shared" si="274"/>
        <v>4819.5</v>
      </c>
      <c r="P368" s="62">
        <f t="shared" si="274"/>
        <v>4819.5</v>
      </c>
      <c r="Q368" s="62">
        <f t="shared" si="274"/>
        <v>4819.5</v>
      </c>
      <c r="R368" s="62">
        <f t="shared" si="274"/>
        <v>4819.5</v>
      </c>
      <c r="S368" s="62">
        <f t="shared" si="274"/>
        <v>4819.5</v>
      </c>
      <c r="T368" s="62">
        <f t="shared" si="274"/>
        <v>4819.5</v>
      </c>
      <c r="U368" s="62">
        <f t="shared" si="274"/>
        <v>4819.5</v>
      </c>
      <c r="V368" s="62">
        <f t="shared" ref="V368:AC369" si="275">($B348+($C348-$B348)*(1-AK348))*V$44</f>
        <v>4819.5</v>
      </c>
      <c r="W368" s="62">
        <f t="shared" si="275"/>
        <v>4819.5</v>
      </c>
      <c r="X368" s="62">
        <f t="shared" si="275"/>
        <v>4819.5</v>
      </c>
      <c r="Y368" s="62">
        <f t="shared" si="275"/>
        <v>4819.5</v>
      </c>
      <c r="Z368" s="62">
        <f t="shared" si="275"/>
        <v>4819.5</v>
      </c>
      <c r="AA368" s="62">
        <f t="shared" si="275"/>
        <v>4819.5</v>
      </c>
      <c r="AB368" s="62">
        <f t="shared" si="275"/>
        <v>4819.5</v>
      </c>
      <c r="AC368" s="62">
        <f t="shared" si="275"/>
        <v>4819.5</v>
      </c>
    </row>
    <row r="369" spans="1:29" x14ac:dyDescent="0.3">
      <c r="A369" s="30" t="s">
        <v>73</v>
      </c>
      <c r="B369" s="62">
        <f t="shared" si="273"/>
        <v>7544.8491378818671</v>
      </c>
      <c r="C369" s="62">
        <f t="shared" si="273"/>
        <v>7538.2945123629625</v>
      </c>
      <c r="D369" s="62">
        <f t="shared" si="273"/>
        <v>7528.9117119251632</v>
      </c>
      <c r="E369" s="62">
        <f t="shared" si="273"/>
        <v>7515.488956070868</v>
      </c>
      <c r="F369" s="62">
        <f t="shared" si="273"/>
        <v>7496.3048760769479</v>
      </c>
      <c r="G369" s="62">
        <f t="shared" si="273"/>
        <v>7468.9250480740156</v>
      </c>
      <c r="H369" s="62">
        <f t="shared" si="273"/>
        <v>7429.9294559907767</v>
      </c>
      <c r="I369" s="62">
        <f t="shared" si="273"/>
        <v>7374.5613053204333</v>
      </c>
      <c r="J369" s="62">
        <f t="shared" si="273"/>
        <v>7296.3037448874775</v>
      </c>
      <c r="K369" s="62">
        <f t="shared" si="273"/>
        <v>7186.4315419229515</v>
      </c>
      <c r="L369" s="62">
        <f t="shared" si="274"/>
        <v>7033.6692949575117</v>
      </c>
      <c r="M369" s="62">
        <f t="shared" si="274"/>
        <v>6824.2379692149188</v>
      </c>
      <c r="N369" s="62">
        <f t="shared" si="274"/>
        <v>6542.7847091704489</v>
      </c>
      <c r="O369" s="62">
        <f t="shared" si="274"/>
        <v>6174.8709255212598</v>
      </c>
      <c r="P369" s="62">
        <f t="shared" si="274"/>
        <v>5711.5457005157941</v>
      </c>
      <c r="Q369" s="62">
        <f t="shared" si="274"/>
        <v>5155.5687302619008</v>
      </c>
      <c r="R369" s="62">
        <f t="shared" si="274"/>
        <v>4526.8846200604085</v>
      </c>
      <c r="S369" s="62">
        <f t="shared" si="274"/>
        <v>3863.1853843466915</v>
      </c>
      <c r="T369" s="62">
        <f t="shared" si="274"/>
        <v>3212.546508177219</v>
      </c>
      <c r="U369" s="62">
        <f t="shared" si="274"/>
        <v>2620.2565467393952</v>
      </c>
      <c r="V369" s="62">
        <f t="shared" si="275"/>
        <v>2116.8944232297076</v>
      </c>
      <c r="W369" s="62">
        <f t="shared" si="275"/>
        <v>1713.7915093472698</v>
      </c>
      <c r="X369" s="62">
        <f t="shared" si="275"/>
        <v>1406.2060950709249</v>
      </c>
      <c r="Y369" s="62">
        <f t="shared" si="275"/>
        <v>1180.1061471919265</v>
      </c>
      <c r="Z369" s="62">
        <f t="shared" si="275"/>
        <v>1018.4479553704999</v>
      </c>
      <c r="AA369" s="62">
        <f t="shared" si="275"/>
        <v>905.14943652894976</v>
      </c>
      <c r="AB369" s="62">
        <f t="shared" si="275"/>
        <v>826.85319613823299</v>
      </c>
      <c r="AC369" s="62">
        <f t="shared" si="275"/>
        <v>773.27117718755233</v>
      </c>
    </row>
    <row r="370" spans="1:29" x14ac:dyDescent="0.3">
      <c r="A370" s="30" t="str">
        <f>A350</f>
        <v>Annual Mileage</v>
      </c>
      <c r="B370" s="62">
        <f t="shared" ref="B370:AC370" si="276">$B350+($C350-$B350)*(1-Q350)</f>
        <v>120000</v>
      </c>
      <c r="C370" s="62">
        <f t="shared" si="276"/>
        <v>120000</v>
      </c>
      <c r="D370" s="62">
        <f t="shared" si="276"/>
        <v>120000</v>
      </c>
      <c r="E370" s="62">
        <f t="shared" si="276"/>
        <v>120000</v>
      </c>
      <c r="F370" s="62">
        <f t="shared" si="276"/>
        <v>120000</v>
      </c>
      <c r="G370" s="62">
        <f t="shared" si="276"/>
        <v>120000</v>
      </c>
      <c r="H370" s="62">
        <f t="shared" si="276"/>
        <v>120000</v>
      </c>
      <c r="I370" s="62">
        <f t="shared" si="276"/>
        <v>120000</v>
      </c>
      <c r="J370" s="62">
        <f t="shared" si="276"/>
        <v>120000</v>
      </c>
      <c r="K370" s="62">
        <f t="shared" si="276"/>
        <v>120000</v>
      </c>
      <c r="L370" s="62">
        <f t="shared" si="276"/>
        <v>120000</v>
      </c>
      <c r="M370" s="62">
        <f t="shared" si="276"/>
        <v>120000</v>
      </c>
      <c r="N370" s="62">
        <f t="shared" si="276"/>
        <v>120000</v>
      </c>
      <c r="O370" s="62">
        <f t="shared" si="276"/>
        <v>120000</v>
      </c>
      <c r="P370" s="62">
        <f t="shared" si="276"/>
        <v>120000</v>
      </c>
      <c r="Q370" s="62">
        <f t="shared" si="276"/>
        <v>120000</v>
      </c>
      <c r="R370" s="62">
        <f t="shared" si="276"/>
        <v>120000</v>
      </c>
      <c r="S370" s="62">
        <f t="shared" si="276"/>
        <v>120000</v>
      </c>
      <c r="T370" s="62">
        <f t="shared" si="276"/>
        <v>120000</v>
      </c>
      <c r="U370" s="62">
        <f t="shared" si="276"/>
        <v>120000</v>
      </c>
      <c r="V370" s="62">
        <f t="shared" si="276"/>
        <v>120000</v>
      </c>
      <c r="W370" s="62">
        <f t="shared" si="276"/>
        <v>120000</v>
      </c>
      <c r="X370" s="62">
        <f t="shared" si="276"/>
        <v>120000</v>
      </c>
      <c r="Y370" s="62">
        <f t="shared" si="276"/>
        <v>120000</v>
      </c>
      <c r="Z370" s="62">
        <f t="shared" si="276"/>
        <v>120000</v>
      </c>
      <c r="AA370" s="62">
        <f t="shared" si="276"/>
        <v>120000</v>
      </c>
      <c r="AB370" s="62">
        <f t="shared" si="276"/>
        <v>120000</v>
      </c>
      <c r="AC370" s="62">
        <f t="shared" si="276"/>
        <v>120000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2344739.8769242726</v>
      </c>
      <c r="C373" s="63">
        <f t="shared" ref="C373:AC373" si="277">((1+C358)^C365)*C358/(((1+C358)^C365)-1)*(C354)</f>
        <v>2343847.949386192</v>
      </c>
      <c r="D373" s="63">
        <f t="shared" si="277"/>
        <v>2342571.1749815131</v>
      </c>
      <c r="E373" s="63">
        <f t="shared" si="277"/>
        <v>2340744.6594088301</v>
      </c>
      <c r="F373" s="63">
        <f t="shared" si="277"/>
        <v>2338134.1656147949</v>
      </c>
      <c r="G373" s="63">
        <f t="shared" si="277"/>
        <v>2334408.426819603</v>
      </c>
      <c r="H373" s="63">
        <f t="shared" si="277"/>
        <v>2329102.0607514726</v>
      </c>
      <c r="I373" s="63">
        <f t="shared" si="277"/>
        <v>2321567.7816117923</v>
      </c>
      <c r="J373" s="63">
        <f t="shared" si="277"/>
        <v>2310918.8020458543</v>
      </c>
      <c r="K373" s="63">
        <f t="shared" si="277"/>
        <v>2295967.8268587827</v>
      </c>
      <c r="L373" s="63">
        <f t="shared" si="277"/>
        <v>2275180.5439766962</v>
      </c>
      <c r="M373" s="63">
        <f t="shared" si="277"/>
        <v>2246681.9567991556</v>
      </c>
      <c r="N373" s="63">
        <f t="shared" si="277"/>
        <v>2208382.9094176819</v>
      </c>
      <c r="O373" s="63">
        <f t="shared" si="277"/>
        <v>2158318.6556582791</v>
      </c>
      <c r="P373" s="63">
        <f t="shared" si="277"/>
        <v>2095271.1900055008</v>
      </c>
      <c r="Q373" s="63">
        <f t="shared" si="277"/>
        <v>2019616.0409999515</v>
      </c>
      <c r="R373" s="63">
        <f t="shared" si="277"/>
        <v>1934067.1917139916</v>
      </c>
      <c r="S373" s="63">
        <f t="shared" si="277"/>
        <v>1843753.6225209001</v>
      </c>
      <c r="T373" s="63">
        <f t="shared" si="277"/>
        <v>1755217.2554427353</v>
      </c>
      <c r="U373" s="63">
        <f t="shared" si="277"/>
        <v>1674620.7780983469</v>
      </c>
      <c r="V373" s="63">
        <f t="shared" si="277"/>
        <v>1606125.2495146997</v>
      </c>
      <c r="W373" s="63">
        <f t="shared" si="277"/>
        <v>1551272.5979733593</v>
      </c>
      <c r="X373" s="63">
        <f t="shared" si="277"/>
        <v>1509417.5903129096</v>
      </c>
      <c r="Y373" s="63">
        <f t="shared" si="277"/>
        <v>1478650.8029060119</v>
      </c>
      <c r="Z373" s="63">
        <f t="shared" si="277"/>
        <v>1456652.995002867</v>
      </c>
      <c r="AA373" s="63">
        <f t="shared" si="277"/>
        <v>1441235.7802913454</v>
      </c>
      <c r="AB373" s="63">
        <f t="shared" si="277"/>
        <v>1430581.5373096101</v>
      </c>
      <c r="AC373" s="63">
        <f t="shared" si="277"/>
        <v>1423290.3079159164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-117391.61905450956</v>
      </c>
      <c r="C374" s="62">
        <f t="shared" ref="C374:AC374" si="278">((1+C358)^C365)*C358/(((1+C358)^C365)-1)*(C355)</f>
        <v>-117413.91724296159</v>
      </c>
      <c r="D374" s="62">
        <f t="shared" si="278"/>
        <v>-117445.83660307855</v>
      </c>
      <c r="E374" s="62">
        <f t="shared" si="278"/>
        <v>-117491.49949239564</v>
      </c>
      <c r="F374" s="62">
        <f t="shared" si="278"/>
        <v>-117556.76183724651</v>
      </c>
      <c r="G374" s="62">
        <f t="shared" si="278"/>
        <v>-117649.9053071263</v>
      </c>
      <c r="H374" s="62">
        <f t="shared" si="278"/>
        <v>-117782.56445882957</v>
      </c>
      <c r="I374" s="62">
        <f t="shared" si="278"/>
        <v>-117970.92143732157</v>
      </c>
      <c r="J374" s="62">
        <f t="shared" si="278"/>
        <v>-118237.14592647002</v>
      </c>
      <c r="K374" s="62">
        <f t="shared" si="278"/>
        <v>-118610.92030614681</v>
      </c>
      <c r="L374" s="62">
        <f t="shared" si="278"/>
        <v>-119130.60237819898</v>
      </c>
      <c r="M374" s="62">
        <f t="shared" si="278"/>
        <v>-119843.06705763748</v>
      </c>
      <c r="N374" s="62">
        <f t="shared" si="278"/>
        <v>-120800.54324217433</v>
      </c>
      <c r="O374" s="62">
        <f t="shared" si="278"/>
        <v>-122052.1495861594</v>
      </c>
      <c r="P374" s="62">
        <f t="shared" si="278"/>
        <v>-123628.33622747887</v>
      </c>
      <c r="Q374" s="62">
        <f t="shared" si="278"/>
        <v>-125519.71495261759</v>
      </c>
      <c r="R374" s="62">
        <f t="shared" si="278"/>
        <v>-127658.43618476659</v>
      </c>
      <c r="S374" s="62">
        <f t="shared" si="278"/>
        <v>-129916.27541459388</v>
      </c>
      <c r="T374" s="62">
        <f t="shared" si="278"/>
        <v>-132129.68459154799</v>
      </c>
      <c r="U374" s="62">
        <f t="shared" si="278"/>
        <v>-134144.59652515771</v>
      </c>
      <c r="V374" s="62">
        <f t="shared" si="278"/>
        <v>-135856.98473974891</v>
      </c>
      <c r="W374" s="62">
        <f t="shared" si="278"/>
        <v>-137228.30102828241</v>
      </c>
      <c r="X374" s="62">
        <f t="shared" si="278"/>
        <v>-138274.67621979365</v>
      </c>
      <c r="Y374" s="62">
        <f t="shared" si="278"/>
        <v>-139043.84590496609</v>
      </c>
      <c r="Z374" s="62">
        <f t="shared" si="278"/>
        <v>-139593.79110254472</v>
      </c>
      <c r="AA374" s="62">
        <f t="shared" si="278"/>
        <v>-139979.22147033276</v>
      </c>
      <c r="AB374" s="62">
        <f t="shared" si="278"/>
        <v>-140245.57754487614</v>
      </c>
      <c r="AC374" s="62">
        <f t="shared" si="278"/>
        <v>-140427.85827971846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9">((1+C358)^C366)*C358/(((1+C358)^C366)-1)*(C356)</f>
        <v>78226.718212273947</v>
      </c>
      <c r="D375" s="62">
        <f t="shared" si="279"/>
        <v>78226.718212273947</v>
      </c>
      <c r="E375" s="62">
        <f t="shared" si="279"/>
        <v>78226.718212273947</v>
      </c>
      <c r="F375" s="62">
        <f t="shared" si="279"/>
        <v>78226.718212273947</v>
      </c>
      <c r="G375" s="62">
        <f t="shared" si="279"/>
        <v>78226.718212273947</v>
      </c>
      <c r="H375" s="62">
        <f t="shared" si="279"/>
        <v>78226.718212273947</v>
      </c>
      <c r="I375" s="62">
        <f t="shared" si="279"/>
        <v>78226.718212273947</v>
      </c>
      <c r="J375" s="62">
        <f t="shared" si="279"/>
        <v>78226.718212273947</v>
      </c>
      <c r="K375" s="62">
        <f t="shared" si="279"/>
        <v>78226.718212273947</v>
      </c>
      <c r="L375" s="62">
        <f t="shared" si="279"/>
        <v>78226.718212273947</v>
      </c>
      <c r="M375" s="62">
        <f t="shared" si="279"/>
        <v>78226.718212273947</v>
      </c>
      <c r="N375" s="62">
        <f t="shared" si="279"/>
        <v>78226.718212273947</v>
      </c>
      <c r="O375" s="62">
        <f t="shared" si="279"/>
        <v>78226.718212273947</v>
      </c>
      <c r="P375" s="62">
        <f t="shared" si="279"/>
        <v>78226.718212273947</v>
      </c>
      <c r="Q375" s="62">
        <f t="shared" si="279"/>
        <v>78226.718212273947</v>
      </c>
      <c r="R375" s="62">
        <f t="shared" si="279"/>
        <v>78226.718212273947</v>
      </c>
      <c r="S375" s="62">
        <f t="shared" si="279"/>
        <v>78226.718212273947</v>
      </c>
      <c r="T375" s="62">
        <f t="shared" si="279"/>
        <v>78226.718212273947</v>
      </c>
      <c r="U375" s="62">
        <f t="shared" si="279"/>
        <v>78226.718212273947</v>
      </c>
      <c r="V375" s="62">
        <f t="shared" si="279"/>
        <v>78226.718212273947</v>
      </c>
      <c r="W375" s="62">
        <f t="shared" si="279"/>
        <v>78226.718212273947</v>
      </c>
      <c r="X375" s="62">
        <f t="shared" si="279"/>
        <v>78226.718212273947</v>
      </c>
      <c r="Y375" s="62">
        <f t="shared" si="279"/>
        <v>78226.718212273947</v>
      </c>
      <c r="Z375" s="62">
        <f t="shared" si="279"/>
        <v>78226.718212273947</v>
      </c>
      <c r="AA375" s="62">
        <f t="shared" si="279"/>
        <v>78226.718212273947</v>
      </c>
      <c r="AB375" s="62">
        <f t="shared" si="279"/>
        <v>78226.718212273947</v>
      </c>
      <c r="AC375" s="62">
        <f t="shared" si="279"/>
        <v>78226.718212273947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80">((1+C358)^C366)*C358/(((1+C358)^C366)-1)*(C357)</f>
        <v>-7822.6718212273945</v>
      </c>
      <c r="D376" s="62">
        <f t="shared" si="280"/>
        <v>-7822.6718212273945</v>
      </c>
      <c r="E376" s="62">
        <f t="shared" si="280"/>
        <v>-7822.6718212273945</v>
      </c>
      <c r="F376" s="62">
        <f t="shared" si="280"/>
        <v>-7822.6718212273945</v>
      </c>
      <c r="G376" s="62">
        <f t="shared" si="280"/>
        <v>-7822.6718212273945</v>
      </c>
      <c r="H376" s="62">
        <f t="shared" si="280"/>
        <v>-7822.6718212273945</v>
      </c>
      <c r="I376" s="62">
        <f t="shared" si="280"/>
        <v>-7822.6718212273945</v>
      </c>
      <c r="J376" s="62">
        <f t="shared" si="280"/>
        <v>-7822.6718212273945</v>
      </c>
      <c r="K376" s="62">
        <f t="shared" si="280"/>
        <v>-7822.6718212273945</v>
      </c>
      <c r="L376" s="62">
        <f t="shared" si="280"/>
        <v>-7822.6718212273945</v>
      </c>
      <c r="M376" s="62">
        <f t="shared" si="280"/>
        <v>-7822.6718212273945</v>
      </c>
      <c r="N376" s="62">
        <f t="shared" si="280"/>
        <v>-7822.6718212273945</v>
      </c>
      <c r="O376" s="62">
        <f t="shared" si="280"/>
        <v>-7822.6718212273945</v>
      </c>
      <c r="P376" s="62">
        <f t="shared" si="280"/>
        <v>-7822.6718212273945</v>
      </c>
      <c r="Q376" s="62">
        <f t="shared" si="280"/>
        <v>-7822.6718212273945</v>
      </c>
      <c r="R376" s="62">
        <f t="shared" si="280"/>
        <v>-7822.6718212273945</v>
      </c>
      <c r="S376" s="62">
        <f t="shared" si="280"/>
        <v>-7822.6718212273945</v>
      </c>
      <c r="T376" s="62">
        <f t="shared" si="280"/>
        <v>-7822.6718212273945</v>
      </c>
      <c r="U376" s="62">
        <f t="shared" si="280"/>
        <v>-7822.6718212273945</v>
      </c>
      <c r="V376" s="62">
        <f t="shared" si="280"/>
        <v>-7822.6718212273945</v>
      </c>
      <c r="W376" s="62">
        <f t="shared" si="280"/>
        <v>-7822.6718212273945</v>
      </c>
      <c r="X376" s="62">
        <f t="shared" si="280"/>
        <v>-7822.6718212273945</v>
      </c>
      <c r="Y376" s="62">
        <f t="shared" si="280"/>
        <v>-7822.6718212273945</v>
      </c>
      <c r="Z376" s="62">
        <f t="shared" si="280"/>
        <v>-7822.6718212273945</v>
      </c>
      <c r="AA376" s="62">
        <f t="shared" si="280"/>
        <v>-7822.6718212273945</v>
      </c>
      <c r="AB376" s="62">
        <f t="shared" si="280"/>
        <v>-7822.6718212273945</v>
      </c>
      <c r="AC376" s="62">
        <f t="shared" si="280"/>
        <v>-7822.6718212273945</v>
      </c>
    </row>
    <row r="377" spans="1:29" x14ac:dyDescent="0.3">
      <c r="A377" s="30" t="str">
        <f t="shared" ref="A377:AC377" si="281">A359</f>
        <v>Opex fix (admin, crew, insurance)</v>
      </c>
      <c r="B377" s="62">
        <f t="shared" si="281"/>
        <v>1208235.294117647</v>
      </c>
      <c r="C377" s="62">
        <f t="shared" si="281"/>
        <v>1208235.294117647</v>
      </c>
      <c r="D377" s="62">
        <f t="shared" si="281"/>
        <v>1208235.294117647</v>
      </c>
      <c r="E377" s="62">
        <f t="shared" si="281"/>
        <v>1208235.294117647</v>
      </c>
      <c r="F377" s="62">
        <f t="shared" si="281"/>
        <v>1208235.294117647</v>
      </c>
      <c r="G377" s="62">
        <f t="shared" si="281"/>
        <v>1208235.294117647</v>
      </c>
      <c r="H377" s="62">
        <f t="shared" si="281"/>
        <v>1208235.294117647</v>
      </c>
      <c r="I377" s="62">
        <f t="shared" si="281"/>
        <v>1208235.294117647</v>
      </c>
      <c r="J377" s="62">
        <f t="shared" si="281"/>
        <v>1208235.294117647</v>
      </c>
      <c r="K377" s="62">
        <f t="shared" si="281"/>
        <v>1208235.294117647</v>
      </c>
      <c r="L377" s="62">
        <f t="shared" si="281"/>
        <v>1208235.294117647</v>
      </c>
      <c r="M377" s="62">
        <f t="shared" si="281"/>
        <v>1208235.294117647</v>
      </c>
      <c r="N377" s="62">
        <f t="shared" si="281"/>
        <v>1208235.294117647</v>
      </c>
      <c r="O377" s="62">
        <f t="shared" si="281"/>
        <v>1208235.294117647</v>
      </c>
      <c r="P377" s="62">
        <f t="shared" si="281"/>
        <v>1208235.294117647</v>
      </c>
      <c r="Q377" s="62">
        <f t="shared" si="281"/>
        <v>1208235.294117647</v>
      </c>
      <c r="R377" s="62">
        <f t="shared" si="281"/>
        <v>1208235.294117647</v>
      </c>
      <c r="S377" s="62">
        <f t="shared" si="281"/>
        <v>1208235.294117647</v>
      </c>
      <c r="T377" s="62">
        <f t="shared" si="281"/>
        <v>1208235.294117647</v>
      </c>
      <c r="U377" s="62">
        <f t="shared" si="281"/>
        <v>1208235.294117647</v>
      </c>
      <c r="V377" s="62">
        <f t="shared" si="281"/>
        <v>1208235.294117647</v>
      </c>
      <c r="W377" s="62">
        <f t="shared" si="281"/>
        <v>1208235.294117647</v>
      </c>
      <c r="X377" s="62">
        <f t="shared" si="281"/>
        <v>1208235.294117647</v>
      </c>
      <c r="Y377" s="62">
        <f t="shared" si="281"/>
        <v>1208235.294117647</v>
      </c>
      <c r="Z377" s="62">
        <f t="shared" si="281"/>
        <v>1208235.294117647</v>
      </c>
      <c r="AA377" s="62">
        <f t="shared" si="281"/>
        <v>1208235.294117647</v>
      </c>
      <c r="AB377" s="62">
        <f t="shared" si="281"/>
        <v>1208235.294117647</v>
      </c>
      <c r="AC377" s="62">
        <f t="shared" si="281"/>
        <v>1208235.294117647</v>
      </c>
    </row>
    <row r="378" spans="1:29" x14ac:dyDescent="0.3">
      <c r="A378" s="30" t="str">
        <f t="shared" ref="A378:AC378" si="282">A360</f>
        <v>Opex maintenance &amp; repair</v>
      </c>
      <c r="B378" s="62">
        <f t="shared" si="282"/>
        <v>338823.5294117647</v>
      </c>
      <c r="C378" s="62">
        <f t="shared" si="282"/>
        <v>338823.5294117647</v>
      </c>
      <c r="D378" s="62">
        <f t="shared" si="282"/>
        <v>338823.5294117647</v>
      </c>
      <c r="E378" s="62">
        <f t="shared" si="282"/>
        <v>338823.5294117647</v>
      </c>
      <c r="F378" s="62">
        <f t="shared" si="282"/>
        <v>338823.5294117647</v>
      </c>
      <c r="G378" s="62">
        <f t="shared" si="282"/>
        <v>338823.5294117647</v>
      </c>
      <c r="H378" s="62">
        <f t="shared" si="282"/>
        <v>338823.5294117647</v>
      </c>
      <c r="I378" s="62">
        <f t="shared" si="282"/>
        <v>338823.5294117647</v>
      </c>
      <c r="J378" s="62">
        <f t="shared" si="282"/>
        <v>338823.5294117647</v>
      </c>
      <c r="K378" s="62">
        <f t="shared" si="282"/>
        <v>338823.5294117647</v>
      </c>
      <c r="L378" s="62">
        <f t="shared" si="282"/>
        <v>338823.5294117647</v>
      </c>
      <c r="M378" s="62">
        <f t="shared" si="282"/>
        <v>338823.5294117647</v>
      </c>
      <c r="N378" s="62">
        <f t="shared" si="282"/>
        <v>338823.5294117647</v>
      </c>
      <c r="O378" s="62">
        <f t="shared" si="282"/>
        <v>338823.5294117647</v>
      </c>
      <c r="P378" s="62">
        <f t="shared" si="282"/>
        <v>338823.5294117647</v>
      </c>
      <c r="Q378" s="62">
        <f t="shared" si="282"/>
        <v>338823.5294117647</v>
      </c>
      <c r="R378" s="62">
        <f t="shared" si="282"/>
        <v>338823.5294117647</v>
      </c>
      <c r="S378" s="62">
        <f t="shared" si="282"/>
        <v>338823.5294117647</v>
      </c>
      <c r="T378" s="62">
        <f t="shared" si="282"/>
        <v>338823.5294117647</v>
      </c>
      <c r="U378" s="62">
        <f t="shared" si="282"/>
        <v>338823.5294117647</v>
      </c>
      <c r="V378" s="62">
        <f t="shared" si="282"/>
        <v>338823.5294117647</v>
      </c>
      <c r="W378" s="62">
        <f t="shared" si="282"/>
        <v>338823.5294117647</v>
      </c>
      <c r="X378" s="62">
        <f t="shared" si="282"/>
        <v>338823.5294117647</v>
      </c>
      <c r="Y378" s="62">
        <f t="shared" si="282"/>
        <v>338823.5294117647</v>
      </c>
      <c r="Z378" s="62">
        <f t="shared" si="282"/>
        <v>338823.5294117647</v>
      </c>
      <c r="AA378" s="62">
        <f t="shared" si="282"/>
        <v>338823.5294117647</v>
      </c>
      <c r="AB378" s="62">
        <f t="shared" si="282"/>
        <v>338823.5294117647</v>
      </c>
      <c r="AC378" s="62">
        <f t="shared" si="282"/>
        <v>338823.5294117647</v>
      </c>
    </row>
    <row r="379" spans="1:29" x14ac:dyDescent="0.3">
      <c r="A379" s="30" t="str">
        <f>A361</f>
        <v>Opex var (mode-fees)</v>
      </c>
      <c r="B379" s="62">
        <f>B361*B370</f>
        <v>97536.682916217906</v>
      </c>
      <c r="C379" s="62">
        <f t="shared" ref="C379:AC379" si="283">C361*C370</f>
        <v>97536.682916217906</v>
      </c>
      <c r="D379" s="62">
        <f t="shared" si="283"/>
        <v>97536.682916217906</v>
      </c>
      <c r="E379" s="62">
        <f t="shared" si="283"/>
        <v>97536.682916217906</v>
      </c>
      <c r="F379" s="62">
        <f t="shared" si="283"/>
        <v>97536.682916217906</v>
      </c>
      <c r="G379" s="62">
        <f t="shared" si="283"/>
        <v>97536.682916217906</v>
      </c>
      <c r="H379" s="62">
        <f t="shared" si="283"/>
        <v>97536.682916217906</v>
      </c>
      <c r="I379" s="62">
        <f t="shared" si="283"/>
        <v>97536.682916217906</v>
      </c>
      <c r="J379" s="62">
        <f t="shared" si="283"/>
        <v>97536.682916217906</v>
      </c>
      <c r="K379" s="62">
        <f t="shared" si="283"/>
        <v>97536.682916217906</v>
      </c>
      <c r="L379" s="62">
        <f t="shared" si="283"/>
        <v>97536.682916217906</v>
      </c>
      <c r="M379" s="62">
        <f t="shared" si="283"/>
        <v>97536.682916217906</v>
      </c>
      <c r="N379" s="62">
        <f t="shared" si="283"/>
        <v>97536.682916217906</v>
      </c>
      <c r="O379" s="62">
        <f t="shared" si="283"/>
        <v>97536.682916217906</v>
      </c>
      <c r="P379" s="62">
        <f t="shared" si="283"/>
        <v>97536.682916217906</v>
      </c>
      <c r="Q379" s="62">
        <f t="shared" si="283"/>
        <v>97536.682916217906</v>
      </c>
      <c r="R379" s="62">
        <f t="shared" si="283"/>
        <v>97536.682916217906</v>
      </c>
      <c r="S379" s="62">
        <f t="shared" si="283"/>
        <v>97536.682916217906</v>
      </c>
      <c r="T379" s="62">
        <f t="shared" si="283"/>
        <v>97536.682916217906</v>
      </c>
      <c r="U379" s="62">
        <f t="shared" si="283"/>
        <v>97536.682916217906</v>
      </c>
      <c r="V379" s="62">
        <f t="shared" si="283"/>
        <v>97536.682916217906</v>
      </c>
      <c r="W379" s="62">
        <f t="shared" si="283"/>
        <v>97536.682916217906</v>
      </c>
      <c r="X379" s="62">
        <f t="shared" si="283"/>
        <v>97536.682916217906</v>
      </c>
      <c r="Y379" s="62">
        <f t="shared" si="283"/>
        <v>97536.682916217906</v>
      </c>
      <c r="Z379" s="62">
        <f t="shared" si="283"/>
        <v>97536.682916217906</v>
      </c>
      <c r="AA379" s="62">
        <f t="shared" si="283"/>
        <v>97536.682916217906</v>
      </c>
      <c r="AB379" s="62">
        <f t="shared" si="283"/>
        <v>97536.682916217906</v>
      </c>
      <c r="AC379" s="62">
        <f t="shared" si="283"/>
        <v>97536.682916217906</v>
      </c>
    </row>
    <row r="380" spans="1:29" x14ac:dyDescent="0.3">
      <c r="A380" s="30" t="str">
        <f>A363</f>
        <v>Fuel Cost</v>
      </c>
      <c r="B380" s="62">
        <f>B362*B363*B370</f>
        <v>13370248.907515552</v>
      </c>
      <c r="C380" s="62">
        <f t="shared" ref="C380:AC380" si="284">C362*C363*C370</f>
        <v>13362791.68001635</v>
      </c>
      <c r="D380" s="62">
        <f t="shared" si="284"/>
        <v>13352119.163217604</v>
      </c>
      <c r="E380" s="62">
        <f t="shared" si="284"/>
        <v>13336856.164003521</v>
      </c>
      <c r="F380" s="62">
        <f t="shared" si="284"/>
        <v>13315051.751412267</v>
      </c>
      <c r="G380" s="62">
        <f t="shared" si="284"/>
        <v>13283952.077878125</v>
      </c>
      <c r="H380" s="62">
        <f t="shared" si="284"/>
        <v>13239698.98631132</v>
      </c>
      <c r="I380" s="62">
        <f t="shared" si="284"/>
        <v>13176947.637623208</v>
      </c>
      <c r="J380" s="62">
        <f t="shared" si="284"/>
        <v>13088418.15230225</v>
      </c>
      <c r="K380" s="62">
        <f t="shared" si="284"/>
        <v>12964447.565503804</v>
      </c>
      <c r="L380" s="62">
        <f t="shared" si="284"/>
        <v>12792710.799777355</v>
      </c>
      <c r="M380" s="62">
        <f t="shared" si="284"/>
        <v>12558452.232512649</v>
      </c>
      <c r="N380" s="62">
        <f t="shared" si="284"/>
        <v>12245794.197905904</v>
      </c>
      <c r="O380" s="62">
        <f t="shared" si="284"/>
        <v>11840825.517066352</v>
      </c>
      <c r="P380" s="62">
        <f t="shared" si="284"/>
        <v>11336858.12165937</v>
      </c>
      <c r="Q380" s="62">
        <f t="shared" si="284"/>
        <v>10740973.142555408</v>
      </c>
      <c r="R380" s="62">
        <f t="shared" si="284"/>
        <v>10078807.941610783</v>
      </c>
      <c r="S380" s="62">
        <f t="shared" si="284"/>
        <v>9393175.2611248717</v>
      </c>
      <c r="T380" s="62">
        <f t="shared" si="284"/>
        <v>8734406.3874728978</v>
      </c>
      <c r="U380" s="62">
        <f t="shared" si="284"/>
        <v>8146226.8289774125</v>
      </c>
      <c r="V380" s="62">
        <f t="shared" si="284"/>
        <v>7654981.7333783628</v>
      </c>
      <c r="W380" s="62">
        <f t="shared" si="284"/>
        <v>7267296.0041098306</v>
      </c>
      <c r="X380" s="62">
        <f t="shared" si="284"/>
        <v>6974892.7186668366</v>
      </c>
      <c r="Y380" s="62">
        <f t="shared" si="284"/>
        <v>6761839.6699709129</v>
      </c>
      <c r="Z380" s="62">
        <f t="shared" si="284"/>
        <v>6610489.9951052722</v>
      </c>
      <c r="AA380" s="62">
        <f t="shared" si="284"/>
        <v>6504903.3404722838</v>
      </c>
      <c r="AB380" s="62">
        <f t="shared" si="284"/>
        <v>6432171.0401332509</v>
      </c>
      <c r="AC380" s="62">
        <f t="shared" si="284"/>
        <v>6382507.1960070422</v>
      </c>
    </row>
    <row r="381" spans="1:29" ht="15" thickBot="1" x14ac:dyDescent="0.35">
      <c r="A381" s="59" t="str">
        <f>A344</f>
        <v>Emission Cost</v>
      </c>
      <c r="B381" s="62">
        <f>B364*B370</f>
        <v>298374.02153870644</v>
      </c>
      <c r="C381" s="62">
        <f t="shared" ref="C381:AC381" si="285">C364*C370</f>
        <v>298089.89677086746</v>
      </c>
      <c r="D381" s="62">
        <f t="shared" si="285"/>
        <v>297683.17849407479</v>
      </c>
      <c r="E381" s="62">
        <f t="shared" si="285"/>
        <v>297101.33939741511</v>
      </c>
      <c r="F381" s="62">
        <f t="shared" si="285"/>
        <v>296269.7629391175</v>
      </c>
      <c r="G381" s="62">
        <f t="shared" si="285"/>
        <v>295082.92362200172</v>
      </c>
      <c r="H381" s="62">
        <f t="shared" si="285"/>
        <v>293392.57327087317</v>
      </c>
      <c r="I381" s="62">
        <f t="shared" si="285"/>
        <v>290992.51808701607</v>
      </c>
      <c r="J381" s="62">
        <f t="shared" si="285"/>
        <v>287600.2707152121</v>
      </c>
      <c r="K381" s="62">
        <f t="shared" si="285"/>
        <v>282837.61660641141</v>
      </c>
      <c r="L381" s="62">
        <f t="shared" si="285"/>
        <v>276215.79849820002</v>
      </c>
      <c r="M381" s="62">
        <f t="shared" si="285"/>
        <v>267137.53359455033</v>
      </c>
      <c r="N381" s="62">
        <f t="shared" si="285"/>
        <v>254937.31835158364</v>
      </c>
      <c r="O381" s="62">
        <f t="shared" si="285"/>
        <v>238989.28012077697</v>
      </c>
      <c r="P381" s="62">
        <f t="shared" si="285"/>
        <v>218905.42153740322</v>
      </c>
      <c r="Q381" s="62">
        <f t="shared" si="285"/>
        <v>194805.36774460567</v>
      </c>
      <c r="R381" s="62">
        <f t="shared" si="285"/>
        <v>167553.66185539585</v>
      </c>
      <c r="S381" s="62">
        <f t="shared" si="285"/>
        <v>138784.14775909283</v>
      </c>
      <c r="T381" s="62">
        <f t="shared" si="285"/>
        <v>110580.76388833826</v>
      </c>
      <c r="U381" s="62">
        <f t="shared" si="285"/>
        <v>84906.643024901976</v>
      </c>
      <c r="V381" s="62">
        <f t="shared" si="285"/>
        <v>63087.296356099287</v>
      </c>
      <c r="W381" s="62">
        <f t="shared" si="285"/>
        <v>45613.907297980848</v>
      </c>
      <c r="X381" s="62">
        <f t="shared" si="285"/>
        <v>32280.935922287579</v>
      </c>
      <c r="Y381" s="62">
        <f t="shared" si="285"/>
        <v>22480.132655302932</v>
      </c>
      <c r="Z381" s="62">
        <f t="shared" si="285"/>
        <v>15472.700104340156</v>
      </c>
      <c r="AA381" s="62">
        <f t="shared" si="285"/>
        <v>10561.524741305384</v>
      </c>
      <c r="AB381" s="62">
        <f t="shared" si="285"/>
        <v>7167.6007010193562</v>
      </c>
      <c r="AC381" s="62">
        <f t="shared" si="285"/>
        <v>4844.9693545295777</v>
      </c>
    </row>
    <row r="382" spans="1:29" ht="15" thickBot="1" x14ac:dyDescent="0.35">
      <c r="A382" s="31" t="s">
        <v>209</v>
      </c>
      <c r="B382" s="64">
        <f>B373+B374+B375+B376+B377+B378+B379+B380+B381</f>
        <v>17610970.739760697</v>
      </c>
      <c r="C382" s="64">
        <f t="shared" ref="C382:AC382" si="286">C373+C374+C375+C376+C377+C378+C379+C380+C381</f>
        <v>17602315.161767125</v>
      </c>
      <c r="D382" s="64">
        <f t="shared" si="286"/>
        <v>17589927.23292679</v>
      </c>
      <c r="E382" s="64">
        <f t="shared" si="286"/>
        <v>17572210.216154046</v>
      </c>
      <c r="F382" s="64">
        <f t="shared" si="286"/>
        <v>17546898.470965609</v>
      </c>
      <c r="G382" s="64">
        <f t="shared" si="286"/>
        <v>17510793.07584928</v>
      </c>
      <c r="H382" s="64">
        <f t="shared" si="286"/>
        <v>17459410.608711511</v>
      </c>
      <c r="I382" s="64">
        <f t="shared" si="286"/>
        <v>17386536.568721369</v>
      </c>
      <c r="J382" s="64">
        <f t="shared" si="286"/>
        <v>17283699.63197352</v>
      </c>
      <c r="K382" s="64">
        <f t="shared" si="286"/>
        <v>17139641.641499527</v>
      </c>
      <c r="L382" s="64">
        <f t="shared" si="286"/>
        <v>16939976.09271073</v>
      </c>
      <c r="M382" s="64">
        <f t="shared" si="286"/>
        <v>16667428.208685394</v>
      </c>
      <c r="N382" s="64">
        <f t="shared" si="286"/>
        <v>16303313.435269671</v>
      </c>
      <c r="O382" s="64">
        <f t="shared" si="286"/>
        <v>15831080.856095925</v>
      </c>
      <c r="P382" s="64">
        <f t="shared" si="286"/>
        <v>15242405.949811472</v>
      </c>
      <c r="Q382" s="64">
        <f t="shared" si="286"/>
        <v>14544874.389184024</v>
      </c>
      <c r="R382" s="64">
        <f t="shared" si="286"/>
        <v>13767769.911832081</v>
      </c>
      <c r="S382" s="64">
        <f t="shared" si="286"/>
        <v>12960796.308826948</v>
      </c>
      <c r="T382" s="64">
        <f t="shared" si="286"/>
        <v>12183074.2750491</v>
      </c>
      <c r="U382" s="64">
        <f t="shared" si="286"/>
        <v>11486609.206412181</v>
      </c>
      <c r="V382" s="64">
        <f t="shared" si="286"/>
        <v>10903336.847346088</v>
      </c>
      <c r="W382" s="64">
        <f t="shared" si="286"/>
        <v>10441953.761189563</v>
      </c>
      <c r="X382" s="64">
        <f t="shared" si="286"/>
        <v>10093316.121518916</v>
      </c>
      <c r="Y382" s="64">
        <f t="shared" si="286"/>
        <v>9838926.3124639373</v>
      </c>
      <c r="Z382" s="64">
        <f t="shared" si="286"/>
        <v>9658021.4519466124</v>
      </c>
      <c r="AA382" s="64">
        <f t="shared" si="286"/>
        <v>9531720.9768712781</v>
      </c>
      <c r="AB382" s="64">
        <f t="shared" si="286"/>
        <v>9444674.153435681</v>
      </c>
      <c r="AC382" s="64">
        <f t="shared" si="286"/>
        <v>9385214.1678344458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87">A373</f>
        <v>Capex vehicle</v>
      </c>
      <c r="B385" s="65">
        <f>((1+B358)^B365)*B358/(((1+B358)^B365)-1)*(B354)/B370</f>
        <v>19.539498974368939</v>
      </c>
      <c r="C385" s="65">
        <f t="shared" ref="C385:AC385" si="288">((1+C358)^C365)*C358/(((1+C358)^C365)-1)*(C354)/C370</f>
        <v>19.532066244884934</v>
      </c>
      <c r="D385" s="65">
        <f t="shared" si="288"/>
        <v>19.521426458179274</v>
      </c>
      <c r="E385" s="65">
        <f t="shared" si="288"/>
        <v>19.506205495073583</v>
      </c>
      <c r="F385" s="65">
        <f t="shared" si="288"/>
        <v>19.484451380123293</v>
      </c>
      <c r="G385" s="65">
        <f t="shared" si="288"/>
        <v>19.453403556830025</v>
      </c>
      <c r="H385" s="65">
        <f t="shared" si="288"/>
        <v>19.409183839595606</v>
      </c>
      <c r="I385" s="65">
        <f t="shared" si="288"/>
        <v>19.346398180098269</v>
      </c>
      <c r="J385" s="65">
        <f t="shared" si="288"/>
        <v>19.257656683715453</v>
      </c>
      <c r="K385" s="65">
        <f t="shared" si="288"/>
        <v>19.133065223823188</v>
      </c>
      <c r="L385" s="65">
        <f t="shared" si="288"/>
        <v>18.959837866472469</v>
      </c>
      <c r="M385" s="65">
        <f t="shared" si="288"/>
        <v>18.722349639992963</v>
      </c>
      <c r="N385" s="65">
        <f t="shared" si="288"/>
        <v>18.403190911814015</v>
      </c>
      <c r="O385" s="65">
        <f t="shared" si="288"/>
        <v>17.985988797152327</v>
      </c>
      <c r="P385" s="65">
        <f t="shared" si="288"/>
        <v>17.460593250045839</v>
      </c>
      <c r="Q385" s="65">
        <f t="shared" si="288"/>
        <v>16.830133674999598</v>
      </c>
      <c r="R385" s="65">
        <f t="shared" si="288"/>
        <v>16.117226597616597</v>
      </c>
      <c r="S385" s="65">
        <f t="shared" si="288"/>
        <v>15.364613521007501</v>
      </c>
      <c r="T385" s="65">
        <f t="shared" si="288"/>
        <v>14.626810462022794</v>
      </c>
      <c r="U385" s="65">
        <f t="shared" si="288"/>
        <v>13.955173150819558</v>
      </c>
      <c r="V385" s="65">
        <f t="shared" si="288"/>
        <v>13.384377079289164</v>
      </c>
      <c r="W385" s="65">
        <f t="shared" si="288"/>
        <v>12.927271649777994</v>
      </c>
      <c r="X385" s="65">
        <f t="shared" si="288"/>
        <v>12.578479919274246</v>
      </c>
      <c r="Y385" s="65">
        <f t="shared" si="288"/>
        <v>12.322090024216767</v>
      </c>
      <c r="Z385" s="65">
        <f t="shared" si="288"/>
        <v>12.138774958357224</v>
      </c>
      <c r="AA385" s="65">
        <f t="shared" si="288"/>
        <v>12.010298169094545</v>
      </c>
      <c r="AB385" s="65">
        <f t="shared" si="288"/>
        <v>11.921512810913416</v>
      </c>
      <c r="AC385" s="65">
        <f t="shared" si="288"/>
        <v>11.860752565965971</v>
      </c>
    </row>
    <row r="386" spans="1:29" x14ac:dyDescent="0.3">
      <c r="A386" s="30" t="str">
        <f t="shared" si="287"/>
        <v>Residual value (vehicle)</v>
      </c>
      <c r="B386" s="66">
        <f>((1+B358)^B365)*B358/(((1+B358)^B365)-1)*(B355)/B370</f>
        <v>-0.97826349212091301</v>
      </c>
      <c r="C386" s="66">
        <f t="shared" ref="C386:AC386" si="289">((1+C358)^C365)*C358/(((1+C358)^C365)-1)*(C355)/C370</f>
        <v>-0.97844931035801319</v>
      </c>
      <c r="D386" s="66">
        <f t="shared" si="289"/>
        <v>-0.97871530502565462</v>
      </c>
      <c r="E386" s="66">
        <f t="shared" si="289"/>
        <v>-0.97909582910329696</v>
      </c>
      <c r="F386" s="66">
        <f t="shared" si="289"/>
        <v>-0.9796396819770542</v>
      </c>
      <c r="G386" s="66">
        <f t="shared" si="289"/>
        <v>-0.98041587755938586</v>
      </c>
      <c r="H386" s="66">
        <f t="shared" si="289"/>
        <v>-0.98152137049024646</v>
      </c>
      <c r="I386" s="66">
        <f t="shared" si="289"/>
        <v>-0.98309101197767967</v>
      </c>
      <c r="J386" s="66">
        <f t="shared" si="289"/>
        <v>-0.98530954938725024</v>
      </c>
      <c r="K386" s="66">
        <f t="shared" si="289"/>
        <v>-0.9884243358845568</v>
      </c>
      <c r="L386" s="66">
        <f t="shared" si="289"/>
        <v>-0.99275501981832481</v>
      </c>
      <c r="M386" s="66">
        <f t="shared" si="289"/>
        <v>-0.99869222548031233</v>
      </c>
      <c r="N386" s="66">
        <f t="shared" si="289"/>
        <v>-1.0066711936847861</v>
      </c>
      <c r="O386" s="66">
        <f t="shared" si="289"/>
        <v>-1.0171012465513283</v>
      </c>
      <c r="P386" s="66">
        <f t="shared" si="289"/>
        <v>-1.0302361352289906</v>
      </c>
      <c r="Q386" s="66">
        <f t="shared" si="289"/>
        <v>-1.0459976246051466</v>
      </c>
      <c r="R386" s="66">
        <f t="shared" si="289"/>
        <v>-1.0638203015397216</v>
      </c>
      <c r="S386" s="66">
        <f t="shared" si="289"/>
        <v>-1.082635628454949</v>
      </c>
      <c r="T386" s="66">
        <f t="shared" si="289"/>
        <v>-1.1010807049295666</v>
      </c>
      <c r="U386" s="66">
        <f t="shared" si="289"/>
        <v>-1.1178716377096476</v>
      </c>
      <c r="V386" s="66">
        <f t="shared" si="289"/>
        <v>-1.1321415394979075</v>
      </c>
      <c r="W386" s="66">
        <f t="shared" si="289"/>
        <v>-1.1435691752356867</v>
      </c>
      <c r="X386" s="66">
        <f t="shared" si="289"/>
        <v>-1.1522889684982804</v>
      </c>
      <c r="Y386" s="66">
        <f t="shared" si="289"/>
        <v>-1.1586987158747175</v>
      </c>
      <c r="Z386" s="66">
        <f t="shared" si="289"/>
        <v>-1.1632815925212061</v>
      </c>
      <c r="AA386" s="66">
        <f t="shared" si="289"/>
        <v>-1.1664935122527731</v>
      </c>
      <c r="AB386" s="66">
        <f t="shared" si="289"/>
        <v>-1.1687131462073013</v>
      </c>
      <c r="AC386" s="66">
        <f t="shared" si="289"/>
        <v>-1.1702321523309871</v>
      </c>
    </row>
    <row r="387" spans="1:29" x14ac:dyDescent="0.3">
      <c r="A387" s="30" t="str">
        <f t="shared" si="287"/>
        <v>Capex costumization</v>
      </c>
      <c r="B387" s="66">
        <f>((1+B358)^B366)*B358/(((1+B358)^B366)-1)*(B356)/B370</f>
        <v>0.65188931843561626</v>
      </c>
      <c r="C387" s="66">
        <f t="shared" ref="C387:AC387" si="290">((1+C358)^C366)*C358/(((1+C358)^C366)-1)*(C356)/C370</f>
        <v>0.65188931843561626</v>
      </c>
      <c r="D387" s="66">
        <f t="shared" si="290"/>
        <v>0.65188931843561626</v>
      </c>
      <c r="E387" s="66">
        <f t="shared" si="290"/>
        <v>0.65188931843561626</v>
      </c>
      <c r="F387" s="66">
        <f t="shared" si="290"/>
        <v>0.65188931843561626</v>
      </c>
      <c r="G387" s="66">
        <f t="shared" si="290"/>
        <v>0.65188931843561626</v>
      </c>
      <c r="H387" s="66">
        <f t="shared" si="290"/>
        <v>0.65188931843561626</v>
      </c>
      <c r="I387" s="66">
        <f t="shared" si="290"/>
        <v>0.65188931843561626</v>
      </c>
      <c r="J387" s="66">
        <f t="shared" si="290"/>
        <v>0.65188931843561626</v>
      </c>
      <c r="K387" s="66">
        <f t="shared" si="290"/>
        <v>0.65188931843561626</v>
      </c>
      <c r="L387" s="66">
        <f t="shared" si="290"/>
        <v>0.65188931843561626</v>
      </c>
      <c r="M387" s="66">
        <f t="shared" si="290"/>
        <v>0.65188931843561626</v>
      </c>
      <c r="N387" s="66">
        <f t="shared" si="290"/>
        <v>0.65188931843561626</v>
      </c>
      <c r="O387" s="66">
        <f t="shared" si="290"/>
        <v>0.65188931843561626</v>
      </c>
      <c r="P387" s="66">
        <f t="shared" si="290"/>
        <v>0.65188931843561626</v>
      </c>
      <c r="Q387" s="66">
        <f t="shared" si="290"/>
        <v>0.65188931843561626</v>
      </c>
      <c r="R387" s="66">
        <f t="shared" si="290"/>
        <v>0.65188931843561626</v>
      </c>
      <c r="S387" s="66">
        <f t="shared" si="290"/>
        <v>0.65188931843561626</v>
      </c>
      <c r="T387" s="66">
        <f t="shared" si="290"/>
        <v>0.65188931843561626</v>
      </c>
      <c r="U387" s="66">
        <f t="shared" si="290"/>
        <v>0.65188931843561626</v>
      </c>
      <c r="V387" s="66">
        <f t="shared" si="290"/>
        <v>0.65188931843561626</v>
      </c>
      <c r="W387" s="66">
        <f t="shared" si="290"/>
        <v>0.65188931843561626</v>
      </c>
      <c r="X387" s="66">
        <f t="shared" si="290"/>
        <v>0.65188931843561626</v>
      </c>
      <c r="Y387" s="66">
        <f t="shared" si="290"/>
        <v>0.65188931843561626</v>
      </c>
      <c r="Z387" s="66">
        <f t="shared" si="290"/>
        <v>0.65188931843561626</v>
      </c>
      <c r="AA387" s="66">
        <f t="shared" si="290"/>
        <v>0.65188931843561626</v>
      </c>
      <c r="AB387" s="66">
        <f t="shared" si="290"/>
        <v>0.65188931843561626</v>
      </c>
      <c r="AC387" s="66">
        <f t="shared" si="290"/>
        <v>0.65188931843561626</v>
      </c>
    </row>
    <row r="388" spans="1:29" x14ac:dyDescent="0.3">
      <c r="A388" s="30" t="str">
        <f t="shared" si="287"/>
        <v>Residual value (costumization)</v>
      </c>
      <c r="B388" s="66">
        <f>((1+B358)^B366)*B358/(((1+B358)^B366)-1)*(B357)/B370</f>
        <v>-6.5188931843561615E-2</v>
      </c>
      <c r="C388" s="66">
        <f t="shared" ref="C388:AC388" si="291">((1+C358)^C366)*C358/(((1+C358)^C366)-1)*(C357)/C370</f>
        <v>-6.5188931843561615E-2</v>
      </c>
      <c r="D388" s="66">
        <f t="shared" si="291"/>
        <v>-6.5188931843561615E-2</v>
      </c>
      <c r="E388" s="66">
        <f t="shared" si="291"/>
        <v>-6.5188931843561615E-2</v>
      </c>
      <c r="F388" s="66">
        <f t="shared" si="291"/>
        <v>-6.5188931843561615E-2</v>
      </c>
      <c r="G388" s="66">
        <f t="shared" si="291"/>
        <v>-6.5188931843561615E-2</v>
      </c>
      <c r="H388" s="66">
        <f t="shared" si="291"/>
        <v>-6.5188931843561615E-2</v>
      </c>
      <c r="I388" s="66">
        <f t="shared" si="291"/>
        <v>-6.5188931843561615E-2</v>
      </c>
      <c r="J388" s="66">
        <f t="shared" si="291"/>
        <v>-6.5188931843561615E-2</v>
      </c>
      <c r="K388" s="66">
        <f t="shared" si="291"/>
        <v>-6.5188931843561615E-2</v>
      </c>
      <c r="L388" s="66">
        <f t="shared" si="291"/>
        <v>-6.5188931843561615E-2</v>
      </c>
      <c r="M388" s="66">
        <f t="shared" si="291"/>
        <v>-6.5188931843561615E-2</v>
      </c>
      <c r="N388" s="66">
        <f t="shared" si="291"/>
        <v>-6.5188931843561615E-2</v>
      </c>
      <c r="O388" s="66">
        <f t="shared" si="291"/>
        <v>-6.5188931843561615E-2</v>
      </c>
      <c r="P388" s="66">
        <f t="shared" si="291"/>
        <v>-6.5188931843561615E-2</v>
      </c>
      <c r="Q388" s="66">
        <f t="shared" si="291"/>
        <v>-6.5188931843561615E-2</v>
      </c>
      <c r="R388" s="66">
        <f t="shared" si="291"/>
        <v>-6.5188931843561615E-2</v>
      </c>
      <c r="S388" s="66">
        <f t="shared" si="291"/>
        <v>-6.5188931843561615E-2</v>
      </c>
      <c r="T388" s="66">
        <f t="shared" si="291"/>
        <v>-6.5188931843561615E-2</v>
      </c>
      <c r="U388" s="66">
        <f t="shared" si="291"/>
        <v>-6.5188931843561615E-2</v>
      </c>
      <c r="V388" s="66">
        <f t="shared" si="291"/>
        <v>-6.5188931843561615E-2</v>
      </c>
      <c r="W388" s="66">
        <f t="shared" si="291"/>
        <v>-6.5188931843561615E-2</v>
      </c>
      <c r="X388" s="66">
        <f t="shared" si="291"/>
        <v>-6.5188931843561615E-2</v>
      </c>
      <c r="Y388" s="66">
        <f t="shared" si="291"/>
        <v>-6.5188931843561615E-2</v>
      </c>
      <c r="Z388" s="66">
        <f t="shared" si="291"/>
        <v>-6.5188931843561615E-2</v>
      </c>
      <c r="AA388" s="66">
        <f t="shared" si="291"/>
        <v>-6.5188931843561615E-2</v>
      </c>
      <c r="AB388" s="66">
        <f t="shared" si="291"/>
        <v>-6.5188931843561615E-2</v>
      </c>
      <c r="AC388" s="66">
        <f t="shared" si="291"/>
        <v>-6.5188931843561615E-2</v>
      </c>
    </row>
    <row r="389" spans="1:29" x14ac:dyDescent="0.3">
      <c r="A389" s="30" t="str">
        <f t="shared" si="287"/>
        <v>Opex fix (admin, crew, insurance)</v>
      </c>
      <c r="B389" s="66">
        <f>B359/B370</f>
        <v>10.068627450980392</v>
      </c>
      <c r="C389" s="66">
        <f t="shared" ref="C389:AC389" si="292">C359/C370</f>
        <v>10.068627450980392</v>
      </c>
      <c r="D389" s="66">
        <f t="shared" si="292"/>
        <v>10.068627450980392</v>
      </c>
      <c r="E389" s="66">
        <f t="shared" si="292"/>
        <v>10.068627450980392</v>
      </c>
      <c r="F389" s="66">
        <f t="shared" si="292"/>
        <v>10.068627450980392</v>
      </c>
      <c r="G389" s="66">
        <f t="shared" si="292"/>
        <v>10.068627450980392</v>
      </c>
      <c r="H389" s="66">
        <f t="shared" si="292"/>
        <v>10.068627450980392</v>
      </c>
      <c r="I389" s="66">
        <f t="shared" si="292"/>
        <v>10.068627450980392</v>
      </c>
      <c r="J389" s="66">
        <f t="shared" si="292"/>
        <v>10.068627450980392</v>
      </c>
      <c r="K389" s="66">
        <f t="shared" si="292"/>
        <v>10.068627450980392</v>
      </c>
      <c r="L389" s="66">
        <f t="shared" si="292"/>
        <v>10.068627450980392</v>
      </c>
      <c r="M389" s="66">
        <f t="shared" si="292"/>
        <v>10.068627450980392</v>
      </c>
      <c r="N389" s="66">
        <f t="shared" si="292"/>
        <v>10.068627450980392</v>
      </c>
      <c r="O389" s="66">
        <f t="shared" si="292"/>
        <v>10.068627450980392</v>
      </c>
      <c r="P389" s="66">
        <f t="shared" si="292"/>
        <v>10.068627450980392</v>
      </c>
      <c r="Q389" s="66">
        <f t="shared" si="292"/>
        <v>10.068627450980392</v>
      </c>
      <c r="R389" s="66">
        <f t="shared" si="292"/>
        <v>10.068627450980392</v>
      </c>
      <c r="S389" s="66">
        <f t="shared" si="292"/>
        <v>10.068627450980392</v>
      </c>
      <c r="T389" s="66">
        <f t="shared" si="292"/>
        <v>10.068627450980392</v>
      </c>
      <c r="U389" s="66">
        <f t="shared" si="292"/>
        <v>10.068627450980392</v>
      </c>
      <c r="V389" s="66">
        <f t="shared" si="292"/>
        <v>10.068627450980392</v>
      </c>
      <c r="W389" s="66">
        <f t="shared" si="292"/>
        <v>10.068627450980392</v>
      </c>
      <c r="X389" s="66">
        <f t="shared" si="292"/>
        <v>10.068627450980392</v>
      </c>
      <c r="Y389" s="66">
        <f t="shared" si="292"/>
        <v>10.068627450980392</v>
      </c>
      <c r="Z389" s="66">
        <f t="shared" si="292"/>
        <v>10.068627450980392</v>
      </c>
      <c r="AA389" s="66">
        <f t="shared" si="292"/>
        <v>10.068627450980392</v>
      </c>
      <c r="AB389" s="66">
        <f t="shared" si="292"/>
        <v>10.068627450980392</v>
      </c>
      <c r="AC389" s="66">
        <f t="shared" si="292"/>
        <v>10.068627450980392</v>
      </c>
    </row>
    <row r="390" spans="1:29" x14ac:dyDescent="0.3">
      <c r="A390" s="30" t="str">
        <f t="shared" si="287"/>
        <v>Opex maintenance &amp; repair</v>
      </c>
      <c r="B390" s="66">
        <f>B360/B370</f>
        <v>2.8235294117647056</v>
      </c>
      <c r="C390" s="66">
        <f t="shared" ref="C390:AC390" si="293">C360/C370</f>
        <v>2.8235294117647056</v>
      </c>
      <c r="D390" s="66">
        <f t="shared" si="293"/>
        <v>2.8235294117647056</v>
      </c>
      <c r="E390" s="66">
        <f t="shared" si="293"/>
        <v>2.8235294117647056</v>
      </c>
      <c r="F390" s="66">
        <f t="shared" si="293"/>
        <v>2.8235294117647056</v>
      </c>
      <c r="G390" s="66">
        <f t="shared" si="293"/>
        <v>2.8235294117647056</v>
      </c>
      <c r="H390" s="66">
        <f t="shared" si="293"/>
        <v>2.8235294117647056</v>
      </c>
      <c r="I390" s="66">
        <f t="shared" si="293"/>
        <v>2.8235294117647056</v>
      </c>
      <c r="J390" s="66">
        <f t="shared" si="293"/>
        <v>2.8235294117647056</v>
      </c>
      <c r="K390" s="66">
        <f t="shared" si="293"/>
        <v>2.8235294117647056</v>
      </c>
      <c r="L390" s="66">
        <f t="shared" si="293"/>
        <v>2.8235294117647056</v>
      </c>
      <c r="M390" s="66">
        <f t="shared" si="293"/>
        <v>2.8235294117647056</v>
      </c>
      <c r="N390" s="66">
        <f t="shared" si="293"/>
        <v>2.8235294117647056</v>
      </c>
      <c r="O390" s="66">
        <f t="shared" si="293"/>
        <v>2.8235294117647056</v>
      </c>
      <c r="P390" s="66">
        <f t="shared" si="293"/>
        <v>2.8235294117647056</v>
      </c>
      <c r="Q390" s="66">
        <f t="shared" si="293"/>
        <v>2.8235294117647056</v>
      </c>
      <c r="R390" s="66">
        <f t="shared" si="293"/>
        <v>2.8235294117647056</v>
      </c>
      <c r="S390" s="66">
        <f t="shared" si="293"/>
        <v>2.8235294117647056</v>
      </c>
      <c r="T390" s="66">
        <f t="shared" si="293"/>
        <v>2.8235294117647056</v>
      </c>
      <c r="U390" s="66">
        <f t="shared" si="293"/>
        <v>2.8235294117647056</v>
      </c>
      <c r="V390" s="66">
        <f t="shared" si="293"/>
        <v>2.8235294117647056</v>
      </c>
      <c r="W390" s="66">
        <f t="shared" si="293"/>
        <v>2.8235294117647056</v>
      </c>
      <c r="X390" s="66">
        <f t="shared" si="293"/>
        <v>2.8235294117647056</v>
      </c>
      <c r="Y390" s="66">
        <f t="shared" si="293"/>
        <v>2.8235294117647056</v>
      </c>
      <c r="Z390" s="66">
        <f t="shared" si="293"/>
        <v>2.8235294117647056</v>
      </c>
      <c r="AA390" s="66">
        <f t="shared" si="293"/>
        <v>2.8235294117647056</v>
      </c>
      <c r="AB390" s="66">
        <f t="shared" si="293"/>
        <v>2.8235294117647056</v>
      </c>
      <c r="AC390" s="66">
        <f t="shared" si="293"/>
        <v>2.8235294117647056</v>
      </c>
    </row>
    <row r="391" spans="1:29" x14ac:dyDescent="0.3">
      <c r="A391" s="30" t="str">
        <f t="shared" si="287"/>
        <v>Opex var (mode-fees)</v>
      </c>
      <c r="B391" s="66">
        <f>B361*B370/B370</f>
        <v>0.81280569096848254</v>
      </c>
      <c r="C391" s="66">
        <f t="shared" ref="C391:AC391" si="294">C361*C370/C370</f>
        <v>0.81280569096848254</v>
      </c>
      <c r="D391" s="66">
        <f t="shared" si="294"/>
        <v>0.81280569096848254</v>
      </c>
      <c r="E391" s="66">
        <f t="shared" si="294"/>
        <v>0.81280569096848254</v>
      </c>
      <c r="F391" s="66">
        <f t="shared" si="294"/>
        <v>0.81280569096848254</v>
      </c>
      <c r="G391" s="66">
        <f t="shared" si="294"/>
        <v>0.81280569096848254</v>
      </c>
      <c r="H391" s="66">
        <f t="shared" si="294"/>
        <v>0.81280569096848254</v>
      </c>
      <c r="I391" s="66">
        <f t="shared" si="294"/>
        <v>0.81280569096848254</v>
      </c>
      <c r="J391" s="66">
        <f t="shared" si="294"/>
        <v>0.81280569096848254</v>
      </c>
      <c r="K391" s="66">
        <f t="shared" si="294"/>
        <v>0.81280569096848254</v>
      </c>
      <c r="L391" s="66">
        <f t="shared" si="294"/>
        <v>0.81280569096848254</v>
      </c>
      <c r="M391" s="66">
        <f t="shared" si="294"/>
        <v>0.81280569096848254</v>
      </c>
      <c r="N391" s="66">
        <f t="shared" si="294"/>
        <v>0.81280569096848254</v>
      </c>
      <c r="O391" s="66">
        <f t="shared" si="294"/>
        <v>0.81280569096848254</v>
      </c>
      <c r="P391" s="66">
        <f t="shared" si="294"/>
        <v>0.81280569096848254</v>
      </c>
      <c r="Q391" s="66">
        <f t="shared" si="294"/>
        <v>0.81280569096848254</v>
      </c>
      <c r="R391" s="66">
        <f t="shared" si="294"/>
        <v>0.81280569096848254</v>
      </c>
      <c r="S391" s="66">
        <f t="shared" si="294"/>
        <v>0.81280569096848254</v>
      </c>
      <c r="T391" s="66">
        <f t="shared" si="294"/>
        <v>0.81280569096848254</v>
      </c>
      <c r="U391" s="66">
        <f t="shared" si="294"/>
        <v>0.81280569096848254</v>
      </c>
      <c r="V391" s="66">
        <f t="shared" si="294"/>
        <v>0.81280569096848254</v>
      </c>
      <c r="W391" s="66">
        <f t="shared" si="294"/>
        <v>0.81280569096848254</v>
      </c>
      <c r="X391" s="66">
        <f t="shared" si="294"/>
        <v>0.81280569096848254</v>
      </c>
      <c r="Y391" s="66">
        <f t="shared" si="294"/>
        <v>0.81280569096848254</v>
      </c>
      <c r="Z391" s="66">
        <f t="shared" si="294"/>
        <v>0.81280569096848254</v>
      </c>
      <c r="AA391" s="66">
        <f t="shared" si="294"/>
        <v>0.81280569096848254</v>
      </c>
      <c r="AB391" s="66">
        <f t="shared" si="294"/>
        <v>0.81280569096848254</v>
      </c>
      <c r="AC391" s="66">
        <f t="shared" si="294"/>
        <v>0.81280569096848254</v>
      </c>
    </row>
    <row r="392" spans="1:29" x14ac:dyDescent="0.3">
      <c r="A392" s="30" t="str">
        <f t="shared" si="287"/>
        <v>Fuel Cost</v>
      </c>
      <c r="B392" s="66">
        <f>B362*B363*B370/B370</f>
        <v>111.41874089596293</v>
      </c>
      <c r="C392" s="66">
        <f t="shared" ref="C392:AC392" si="295">C362*C363*C370/C370</f>
        <v>111.35659733346958</v>
      </c>
      <c r="D392" s="66">
        <f t="shared" si="295"/>
        <v>111.26765969348004</v>
      </c>
      <c r="E392" s="66">
        <f t="shared" si="295"/>
        <v>111.14046803336268</v>
      </c>
      <c r="F392" s="66">
        <f t="shared" si="295"/>
        <v>110.95876459510222</v>
      </c>
      <c r="G392" s="66">
        <f t="shared" si="295"/>
        <v>110.69960064898437</v>
      </c>
      <c r="H392" s="66">
        <f t="shared" si="295"/>
        <v>110.33082488592767</v>
      </c>
      <c r="I392" s="66">
        <f t="shared" si="295"/>
        <v>109.80789698019339</v>
      </c>
      <c r="J392" s="66">
        <f t="shared" si="295"/>
        <v>109.07015126918542</v>
      </c>
      <c r="K392" s="66">
        <f t="shared" si="295"/>
        <v>108.03706304586504</v>
      </c>
      <c r="L392" s="66">
        <f t="shared" si="295"/>
        <v>106.60592333147795</v>
      </c>
      <c r="M392" s="66">
        <f t="shared" si="295"/>
        <v>104.65376860427207</v>
      </c>
      <c r="N392" s="66">
        <f t="shared" si="295"/>
        <v>102.04828498254919</v>
      </c>
      <c r="O392" s="66">
        <f t="shared" si="295"/>
        <v>98.67354597555294</v>
      </c>
      <c r="P392" s="66">
        <f t="shared" si="295"/>
        <v>94.473817680494747</v>
      </c>
      <c r="Q392" s="66">
        <f t="shared" si="295"/>
        <v>89.508109521295069</v>
      </c>
      <c r="R392" s="66">
        <f t="shared" si="295"/>
        <v>83.990066180089855</v>
      </c>
      <c r="S392" s="66">
        <f t="shared" si="295"/>
        <v>78.276460509373933</v>
      </c>
      <c r="T392" s="66">
        <f t="shared" si="295"/>
        <v>72.786719895607476</v>
      </c>
      <c r="U392" s="66">
        <f t="shared" si="295"/>
        <v>67.885223574811775</v>
      </c>
      <c r="V392" s="66">
        <f t="shared" si="295"/>
        <v>63.79151444481969</v>
      </c>
      <c r="W392" s="66">
        <f t="shared" si="295"/>
        <v>60.560800034248587</v>
      </c>
      <c r="X392" s="66">
        <f t="shared" si="295"/>
        <v>58.124105988890307</v>
      </c>
      <c r="Y392" s="66">
        <f t="shared" si="295"/>
        <v>56.348663916424272</v>
      </c>
      <c r="Z392" s="66">
        <f t="shared" si="295"/>
        <v>55.087416625877268</v>
      </c>
      <c r="AA392" s="66">
        <f t="shared" si="295"/>
        <v>54.207527837269033</v>
      </c>
      <c r="AB392" s="66">
        <f t="shared" si="295"/>
        <v>53.601425334443761</v>
      </c>
      <c r="AC392" s="66">
        <f t="shared" si="295"/>
        <v>53.187559966725352</v>
      </c>
    </row>
    <row r="393" spans="1:29" ht="15" thickBot="1" x14ac:dyDescent="0.35">
      <c r="A393" s="59" t="str">
        <f t="shared" ref="A393" si="296">A381</f>
        <v>Emission Cost</v>
      </c>
      <c r="B393" s="66">
        <f>B364</f>
        <v>2.4864501794892204</v>
      </c>
      <c r="C393" s="66">
        <f t="shared" ref="C393:AC393" si="297">C364</f>
        <v>2.4840824730905622</v>
      </c>
      <c r="D393" s="66">
        <f t="shared" si="297"/>
        <v>2.4806931541172901</v>
      </c>
      <c r="E393" s="66">
        <f t="shared" si="297"/>
        <v>2.4758444949784595</v>
      </c>
      <c r="F393" s="66">
        <f t="shared" si="297"/>
        <v>2.4689146911593123</v>
      </c>
      <c r="G393" s="66">
        <f t="shared" si="297"/>
        <v>2.4590243635166811</v>
      </c>
      <c r="H393" s="66">
        <f t="shared" si="297"/>
        <v>2.4449381105906096</v>
      </c>
      <c r="I393" s="66">
        <f t="shared" si="297"/>
        <v>2.4249376507251341</v>
      </c>
      <c r="J393" s="66">
        <f t="shared" si="297"/>
        <v>2.3966689226267675</v>
      </c>
      <c r="K393" s="66">
        <f t="shared" si="297"/>
        <v>2.3569801383867617</v>
      </c>
      <c r="L393" s="66">
        <f t="shared" si="297"/>
        <v>2.3017983208183335</v>
      </c>
      <c r="M393" s="66">
        <f t="shared" si="297"/>
        <v>2.2261461132879194</v>
      </c>
      <c r="N393" s="66">
        <f t="shared" si="297"/>
        <v>2.1244776529298637</v>
      </c>
      <c r="O393" s="66">
        <f t="shared" si="297"/>
        <v>1.991577334339808</v>
      </c>
      <c r="P393" s="66">
        <f t="shared" si="297"/>
        <v>1.824211846145027</v>
      </c>
      <c r="Q393" s="66">
        <f t="shared" si="297"/>
        <v>1.6233780645383806</v>
      </c>
      <c r="R393" s="66">
        <f t="shared" si="297"/>
        <v>1.396280515461632</v>
      </c>
      <c r="S393" s="66">
        <f t="shared" si="297"/>
        <v>1.156534564659107</v>
      </c>
      <c r="T393" s="66">
        <f t="shared" si="297"/>
        <v>0.92150636573615219</v>
      </c>
      <c r="U393" s="66">
        <f t="shared" si="297"/>
        <v>0.70755535854084983</v>
      </c>
      <c r="V393" s="66">
        <f t="shared" si="297"/>
        <v>0.52572746963416073</v>
      </c>
      <c r="W393" s="66">
        <f t="shared" si="297"/>
        <v>0.38011589414984037</v>
      </c>
      <c r="X393" s="66">
        <f t="shared" si="297"/>
        <v>0.26900779935239649</v>
      </c>
      <c r="Y393" s="66">
        <f t="shared" si="297"/>
        <v>0.18733443879419109</v>
      </c>
      <c r="Z393" s="66">
        <f t="shared" si="297"/>
        <v>0.12893916753616796</v>
      </c>
      <c r="AA393" s="66">
        <f t="shared" si="297"/>
        <v>8.8012706177544864E-2</v>
      </c>
      <c r="AB393" s="66">
        <f t="shared" si="297"/>
        <v>5.9730005841827971E-2</v>
      </c>
      <c r="AC393" s="66">
        <f t="shared" si="297"/>
        <v>4.0374744621079817E-2</v>
      </c>
    </row>
    <row r="394" spans="1:29" ht="15" thickBot="1" x14ac:dyDescent="0.35">
      <c r="A394" s="31" t="s">
        <v>63</v>
      </c>
      <c r="B394" s="76">
        <f>B385+B386+B387-B388+B389+B390+B391+B392+B393</f>
        <v>146.88846736169293</v>
      </c>
      <c r="C394" s="76">
        <f t="shared" ref="C394:AC394" si="298">C385+C386+C387-C388+C389+C390+C391+C392+C393</f>
        <v>146.81633754507982</v>
      </c>
      <c r="D394" s="76">
        <f t="shared" si="298"/>
        <v>146.71310480474369</v>
      </c>
      <c r="E394" s="76">
        <f t="shared" si="298"/>
        <v>146.56546299830416</v>
      </c>
      <c r="F394" s="76">
        <f t="shared" si="298"/>
        <v>146.35453178840052</v>
      </c>
      <c r="G394" s="76">
        <f t="shared" si="298"/>
        <v>146.05365349576442</v>
      </c>
      <c r="H394" s="76">
        <f t="shared" si="298"/>
        <v>145.6254662696164</v>
      </c>
      <c r="I394" s="76">
        <f t="shared" si="298"/>
        <v>145.01818260303187</v>
      </c>
      <c r="J394" s="76">
        <f t="shared" si="298"/>
        <v>144.16120813013313</v>
      </c>
      <c r="K394" s="76">
        <f t="shared" si="298"/>
        <v>142.96072487618321</v>
      </c>
      <c r="L394" s="76">
        <f t="shared" si="298"/>
        <v>141.29684530294318</v>
      </c>
      <c r="M394" s="76">
        <f t="shared" si="298"/>
        <v>139.02561293606539</v>
      </c>
      <c r="N394" s="76">
        <f t="shared" si="298"/>
        <v>135.99132315760104</v>
      </c>
      <c r="O394" s="76">
        <f t="shared" si="298"/>
        <v>132.05605166448652</v>
      </c>
      <c r="P394" s="76">
        <f t="shared" si="298"/>
        <v>127.15042744544938</v>
      </c>
      <c r="Q394" s="76">
        <f t="shared" si="298"/>
        <v>121.33766444022066</v>
      </c>
      <c r="R394" s="76">
        <f t="shared" si="298"/>
        <v>114.86179379562111</v>
      </c>
      <c r="S394" s="76">
        <f t="shared" si="298"/>
        <v>108.13701377057835</v>
      </c>
      <c r="T394" s="76">
        <f t="shared" si="298"/>
        <v>101.65599682242961</v>
      </c>
      <c r="U394" s="76">
        <f t="shared" si="298"/>
        <v>95.852121250455284</v>
      </c>
      <c r="V394" s="76">
        <f t="shared" si="298"/>
        <v>90.991518258237861</v>
      </c>
      <c r="W394" s="76">
        <f t="shared" si="298"/>
        <v>87.146659206933492</v>
      </c>
      <c r="X394" s="76">
        <f t="shared" si="298"/>
        <v>84.24134554301142</v>
      </c>
      <c r="Y394" s="76">
        <f t="shared" si="298"/>
        <v>82.121430467553282</v>
      </c>
      <c r="Z394" s="76">
        <f t="shared" si="298"/>
        <v>80.613889963242215</v>
      </c>
      <c r="AA394" s="76">
        <f t="shared" si="298"/>
        <v>79.561386004281118</v>
      </c>
      <c r="AB394" s="76">
        <f t="shared" si="298"/>
        <v>78.835995808984464</v>
      </c>
      <c r="AC394" s="76">
        <f t="shared" si="298"/>
        <v>78.340495928974164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299">A373</f>
        <v>Capex vehicle</v>
      </c>
      <c r="B397" s="65">
        <f>((1+B358)^B365)*B358/(((1+B358)^B365)-1)*(B354)/B370/(B367)</f>
        <v>2.0676718491395704E-3</v>
      </c>
      <c r="C397" s="65">
        <f t="shared" ref="C397:AC397" si="300">((1+C358)^C365)*C358/(((1+C358)^C365)-1)*(C354)/C370/(C367)</f>
        <v>2.0668853169190406E-3</v>
      </c>
      <c r="D397" s="65">
        <f t="shared" si="300"/>
        <v>2.0657594135639443E-3</v>
      </c>
      <c r="E397" s="65">
        <f t="shared" si="300"/>
        <v>2.064148729637416E-3</v>
      </c>
      <c r="F397" s="65">
        <f t="shared" si="300"/>
        <v>2.0618467068913536E-3</v>
      </c>
      <c r="G397" s="65">
        <f t="shared" si="300"/>
        <v>2.0585612229449763E-3</v>
      </c>
      <c r="H397" s="65">
        <f t="shared" si="300"/>
        <v>2.0538818877878949E-3</v>
      </c>
      <c r="I397" s="65">
        <f t="shared" si="300"/>
        <v>2.0472379026559013E-3</v>
      </c>
      <c r="J397" s="65">
        <f t="shared" si="300"/>
        <v>2.0378472681180375E-3</v>
      </c>
      <c r="K397" s="65">
        <f t="shared" si="300"/>
        <v>2.0246629866479565E-3</v>
      </c>
      <c r="L397" s="65">
        <f t="shared" si="300"/>
        <v>2.0063320493621663E-3</v>
      </c>
      <c r="M397" s="65">
        <f t="shared" si="300"/>
        <v>1.9812010201050753E-3</v>
      </c>
      <c r="N397" s="65">
        <f t="shared" si="300"/>
        <v>1.9474276097157688E-3</v>
      </c>
      <c r="O397" s="65">
        <f t="shared" si="300"/>
        <v>1.9032792377938971E-3</v>
      </c>
      <c r="P397" s="65">
        <f t="shared" si="300"/>
        <v>1.8476818254016762E-3</v>
      </c>
      <c r="Q397" s="65">
        <f t="shared" si="300"/>
        <v>1.7809665264549839E-3</v>
      </c>
      <c r="R397" s="65">
        <f t="shared" si="300"/>
        <v>1.7055266240864123E-3</v>
      </c>
      <c r="S397" s="65">
        <f t="shared" si="300"/>
        <v>1.6258850286780425E-3</v>
      </c>
      <c r="T397" s="65">
        <f t="shared" si="300"/>
        <v>1.547810630901883E-3</v>
      </c>
      <c r="U397" s="65">
        <f t="shared" si="300"/>
        <v>1.4767378995576251E-3</v>
      </c>
      <c r="V397" s="65">
        <f t="shared" si="300"/>
        <v>1.4163361988665782E-3</v>
      </c>
      <c r="W397" s="65">
        <f t="shared" si="300"/>
        <v>1.3679652539447613E-3</v>
      </c>
      <c r="X397" s="65">
        <f t="shared" si="300"/>
        <v>1.3310560761136767E-3</v>
      </c>
      <c r="Y397" s="65">
        <f t="shared" si="300"/>
        <v>1.3039248702874885E-3</v>
      </c>
      <c r="Z397" s="65">
        <f t="shared" si="300"/>
        <v>1.2845264506198121E-3</v>
      </c>
      <c r="AA397" s="65">
        <f t="shared" si="300"/>
        <v>1.270931023184608E-3</v>
      </c>
      <c r="AB397" s="65">
        <f t="shared" si="300"/>
        <v>1.2615357471866049E-3</v>
      </c>
      <c r="AC397" s="65">
        <f t="shared" si="300"/>
        <v>1.2551060916366106E-3</v>
      </c>
    </row>
    <row r="398" spans="1:29" x14ac:dyDescent="0.3">
      <c r="A398" s="30" t="str">
        <f t="shared" si="299"/>
        <v>Residual value (vehicle)</v>
      </c>
      <c r="B398" s="68">
        <f>((1+B358)^B365)*B358/(((1+B358)^B365)-1)*(B355)/B370/(B367)</f>
        <v>-1.0351994625618128E-4</v>
      </c>
      <c r="C398" s="68">
        <f t="shared" ref="C398:AC398" si="301">((1+C358)^C365)*C358/(((1+C358)^C365)-1)*(C355)/C370/(C367)</f>
        <v>-1.0353960956169452E-4</v>
      </c>
      <c r="D398" s="68">
        <f t="shared" si="301"/>
        <v>-1.0356775714557191E-4</v>
      </c>
      <c r="E398" s="68">
        <f t="shared" si="301"/>
        <v>-1.0360802424373513E-4</v>
      </c>
      <c r="F398" s="68">
        <f t="shared" si="301"/>
        <v>-1.0366557481238669E-4</v>
      </c>
      <c r="G398" s="68">
        <f t="shared" si="301"/>
        <v>-1.0374771191104613E-4</v>
      </c>
      <c r="H398" s="68">
        <f t="shared" si="301"/>
        <v>-1.0386469528997317E-4</v>
      </c>
      <c r="I398" s="68">
        <f t="shared" si="301"/>
        <v>-1.0403079491827298E-4</v>
      </c>
      <c r="J398" s="68">
        <f t="shared" si="301"/>
        <v>-1.042655607817196E-4</v>
      </c>
      <c r="K398" s="68">
        <f t="shared" si="301"/>
        <v>-1.0459516781847161E-4</v>
      </c>
      <c r="L398" s="68">
        <f t="shared" si="301"/>
        <v>-1.0505344125061638E-4</v>
      </c>
      <c r="M398" s="68">
        <f t="shared" si="301"/>
        <v>-1.0568171698204363E-4</v>
      </c>
      <c r="N398" s="68">
        <f t="shared" si="301"/>
        <v>-1.0652605224177631E-4</v>
      </c>
      <c r="O398" s="68">
        <f t="shared" si="301"/>
        <v>-1.076297615398231E-4</v>
      </c>
      <c r="P398" s="68">
        <f t="shared" si="301"/>
        <v>-1.0901969684962864E-4</v>
      </c>
      <c r="Q398" s="68">
        <f t="shared" si="301"/>
        <v>-1.1068757932329594E-4</v>
      </c>
      <c r="R398" s="68">
        <f t="shared" si="301"/>
        <v>-1.1257357688251022E-4</v>
      </c>
      <c r="S398" s="68">
        <f t="shared" si="301"/>
        <v>-1.1456461676771947E-4</v>
      </c>
      <c r="T398" s="68">
        <f t="shared" si="301"/>
        <v>-1.1651647671212345E-4</v>
      </c>
      <c r="U398" s="68">
        <f t="shared" si="301"/>
        <v>-1.182932949957299E-4</v>
      </c>
      <c r="V398" s="68">
        <f t="shared" si="301"/>
        <v>-1.1980333751300609E-4</v>
      </c>
      <c r="W398" s="68">
        <f t="shared" si="301"/>
        <v>-1.210126111360515E-4</v>
      </c>
      <c r="X398" s="68">
        <f t="shared" si="301"/>
        <v>-1.2193534058182861E-4</v>
      </c>
      <c r="Y398" s="68">
        <f t="shared" si="301"/>
        <v>-1.2261362072748334E-4</v>
      </c>
      <c r="Z398" s="68">
        <f t="shared" si="301"/>
        <v>-1.2309858121917525E-4</v>
      </c>
      <c r="AA398" s="68">
        <f t="shared" si="301"/>
        <v>-1.2343846690505536E-4</v>
      </c>
      <c r="AB398" s="68">
        <f t="shared" si="301"/>
        <v>-1.2367334880500542E-4</v>
      </c>
      <c r="AC398" s="68">
        <f t="shared" si="301"/>
        <v>-1.2383409019375524E-4</v>
      </c>
    </row>
    <row r="399" spans="1:29" x14ac:dyDescent="0.3">
      <c r="A399" s="30" t="str">
        <f t="shared" si="299"/>
        <v>Capex costumization</v>
      </c>
      <c r="B399" s="66">
        <f>((1+B358)^B366)*B358/(((1+B358)^B366)-1)*(B356)/B370/(B367)</f>
        <v>6.8982996659853576E-5</v>
      </c>
      <c r="C399" s="66">
        <f t="shared" ref="C399:AC399" si="302">((1+C358)^C366)*C358/(((1+C358)^C366)-1)*(C356)/C370/(C367)</f>
        <v>6.8982996659853576E-5</v>
      </c>
      <c r="D399" s="66">
        <f t="shared" si="302"/>
        <v>6.8982996659853576E-5</v>
      </c>
      <c r="E399" s="66">
        <f t="shared" si="302"/>
        <v>6.8982996659853576E-5</v>
      </c>
      <c r="F399" s="66">
        <f t="shared" si="302"/>
        <v>6.8982996659853576E-5</v>
      </c>
      <c r="G399" s="66">
        <f t="shared" si="302"/>
        <v>6.8982996659853576E-5</v>
      </c>
      <c r="H399" s="66">
        <f t="shared" si="302"/>
        <v>6.8982996659853576E-5</v>
      </c>
      <c r="I399" s="66">
        <f t="shared" si="302"/>
        <v>6.8982996659853576E-5</v>
      </c>
      <c r="J399" s="66">
        <f t="shared" si="302"/>
        <v>6.8982996659853576E-5</v>
      </c>
      <c r="K399" s="66">
        <f t="shared" si="302"/>
        <v>6.8982996659853576E-5</v>
      </c>
      <c r="L399" s="66">
        <f t="shared" si="302"/>
        <v>6.8982996659853576E-5</v>
      </c>
      <c r="M399" s="66">
        <f t="shared" si="302"/>
        <v>6.8982996659853576E-5</v>
      </c>
      <c r="N399" s="66">
        <f t="shared" si="302"/>
        <v>6.8982996659853576E-5</v>
      </c>
      <c r="O399" s="66">
        <f t="shared" si="302"/>
        <v>6.8982996659853576E-5</v>
      </c>
      <c r="P399" s="66">
        <f t="shared" si="302"/>
        <v>6.8982996659853576E-5</v>
      </c>
      <c r="Q399" s="66">
        <f t="shared" si="302"/>
        <v>6.8982996659853576E-5</v>
      </c>
      <c r="R399" s="66">
        <f t="shared" si="302"/>
        <v>6.8982996659853576E-5</v>
      </c>
      <c r="S399" s="66">
        <f t="shared" si="302"/>
        <v>6.8982996659853576E-5</v>
      </c>
      <c r="T399" s="66">
        <f t="shared" si="302"/>
        <v>6.8982996659853576E-5</v>
      </c>
      <c r="U399" s="66">
        <f t="shared" si="302"/>
        <v>6.8982996659853576E-5</v>
      </c>
      <c r="V399" s="66">
        <f t="shared" si="302"/>
        <v>6.8982996659853576E-5</v>
      </c>
      <c r="W399" s="66">
        <f t="shared" si="302"/>
        <v>6.8982996659853576E-5</v>
      </c>
      <c r="X399" s="66">
        <f t="shared" si="302"/>
        <v>6.8982996659853576E-5</v>
      </c>
      <c r="Y399" s="66">
        <f t="shared" si="302"/>
        <v>6.8982996659853576E-5</v>
      </c>
      <c r="Z399" s="66">
        <f t="shared" si="302"/>
        <v>6.8982996659853576E-5</v>
      </c>
      <c r="AA399" s="66">
        <f t="shared" si="302"/>
        <v>6.8982996659853576E-5</v>
      </c>
      <c r="AB399" s="66">
        <f t="shared" si="302"/>
        <v>6.8982996659853576E-5</v>
      </c>
      <c r="AC399" s="66">
        <f t="shared" si="302"/>
        <v>6.8982996659853576E-5</v>
      </c>
    </row>
    <row r="400" spans="1:29" x14ac:dyDescent="0.3">
      <c r="A400" s="30" t="str">
        <f t="shared" si="299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303">((1+C358)^C366)*C358/(((1+C358)^C366)-1)*(C357)/C370/(C367)</f>
        <v>-6.8982996659853564E-6</v>
      </c>
      <c r="D400" s="69">
        <f t="shared" si="303"/>
        <v>-6.8982996659853564E-6</v>
      </c>
      <c r="E400" s="69">
        <f t="shared" si="303"/>
        <v>-6.8982996659853564E-6</v>
      </c>
      <c r="F400" s="69">
        <f t="shared" si="303"/>
        <v>-6.8982996659853564E-6</v>
      </c>
      <c r="G400" s="69">
        <f t="shared" si="303"/>
        <v>-6.8982996659853564E-6</v>
      </c>
      <c r="H400" s="69">
        <f t="shared" si="303"/>
        <v>-6.8982996659853564E-6</v>
      </c>
      <c r="I400" s="69">
        <f t="shared" si="303"/>
        <v>-6.8982996659853564E-6</v>
      </c>
      <c r="J400" s="69">
        <f t="shared" si="303"/>
        <v>-6.8982996659853564E-6</v>
      </c>
      <c r="K400" s="69">
        <f t="shared" si="303"/>
        <v>-6.8982996659853564E-6</v>
      </c>
      <c r="L400" s="69">
        <f t="shared" si="303"/>
        <v>-6.8982996659853564E-6</v>
      </c>
      <c r="M400" s="69">
        <f t="shared" si="303"/>
        <v>-6.8982996659853564E-6</v>
      </c>
      <c r="N400" s="69">
        <f t="shared" si="303"/>
        <v>-6.8982996659853564E-6</v>
      </c>
      <c r="O400" s="69">
        <f t="shared" si="303"/>
        <v>-6.8982996659853564E-6</v>
      </c>
      <c r="P400" s="69">
        <f t="shared" si="303"/>
        <v>-6.8982996659853564E-6</v>
      </c>
      <c r="Q400" s="69">
        <f t="shared" si="303"/>
        <v>-6.8982996659853564E-6</v>
      </c>
      <c r="R400" s="69">
        <f t="shared" si="303"/>
        <v>-6.8982996659853564E-6</v>
      </c>
      <c r="S400" s="69">
        <f t="shared" si="303"/>
        <v>-6.8982996659853564E-6</v>
      </c>
      <c r="T400" s="69">
        <f t="shared" si="303"/>
        <v>-6.8982996659853564E-6</v>
      </c>
      <c r="U400" s="69">
        <f t="shared" si="303"/>
        <v>-6.8982996659853564E-6</v>
      </c>
      <c r="V400" s="69">
        <f t="shared" si="303"/>
        <v>-6.8982996659853564E-6</v>
      </c>
      <c r="W400" s="69">
        <f t="shared" si="303"/>
        <v>-6.8982996659853564E-6</v>
      </c>
      <c r="X400" s="69">
        <f t="shared" si="303"/>
        <v>-6.8982996659853564E-6</v>
      </c>
      <c r="Y400" s="69">
        <f t="shared" si="303"/>
        <v>-6.8982996659853564E-6</v>
      </c>
      <c r="Z400" s="69">
        <f t="shared" si="303"/>
        <v>-6.8982996659853564E-6</v>
      </c>
      <c r="AA400" s="69">
        <f t="shared" si="303"/>
        <v>-6.8982996659853564E-6</v>
      </c>
      <c r="AB400" s="69">
        <f t="shared" si="303"/>
        <v>-6.8982996659853564E-6</v>
      </c>
      <c r="AC400" s="69">
        <f t="shared" si="303"/>
        <v>-6.8982996659853564E-6</v>
      </c>
    </row>
    <row r="401" spans="1:29" x14ac:dyDescent="0.3">
      <c r="A401" s="30" t="str">
        <f t="shared" si="299"/>
        <v>Opex fix (admin, crew, insurance)</v>
      </c>
      <c r="B401" s="66">
        <f>B359/B370/(B367)</f>
        <v>1.0654632223259673E-3</v>
      </c>
      <c r="C401" s="66">
        <f t="shared" ref="C401:AC401" si="304">C359/C370/(C367)</f>
        <v>1.0654632223259673E-3</v>
      </c>
      <c r="D401" s="66">
        <f t="shared" si="304"/>
        <v>1.0654632223259673E-3</v>
      </c>
      <c r="E401" s="66">
        <f t="shared" si="304"/>
        <v>1.0654632223259673E-3</v>
      </c>
      <c r="F401" s="66">
        <f t="shared" si="304"/>
        <v>1.0654632223259673E-3</v>
      </c>
      <c r="G401" s="66">
        <f t="shared" si="304"/>
        <v>1.0654632223259673E-3</v>
      </c>
      <c r="H401" s="66">
        <f t="shared" si="304"/>
        <v>1.0654632223259673E-3</v>
      </c>
      <c r="I401" s="66">
        <f t="shared" si="304"/>
        <v>1.0654632223259673E-3</v>
      </c>
      <c r="J401" s="66">
        <f t="shared" si="304"/>
        <v>1.0654632223259673E-3</v>
      </c>
      <c r="K401" s="66">
        <f t="shared" si="304"/>
        <v>1.0654632223259673E-3</v>
      </c>
      <c r="L401" s="66">
        <f t="shared" si="304"/>
        <v>1.0654632223259673E-3</v>
      </c>
      <c r="M401" s="66">
        <f t="shared" si="304"/>
        <v>1.0654632223259673E-3</v>
      </c>
      <c r="N401" s="66">
        <f t="shared" si="304"/>
        <v>1.0654632223259673E-3</v>
      </c>
      <c r="O401" s="66">
        <f t="shared" si="304"/>
        <v>1.0654632223259673E-3</v>
      </c>
      <c r="P401" s="66">
        <f t="shared" si="304"/>
        <v>1.0654632223259673E-3</v>
      </c>
      <c r="Q401" s="66">
        <f t="shared" si="304"/>
        <v>1.0654632223259673E-3</v>
      </c>
      <c r="R401" s="66">
        <f t="shared" si="304"/>
        <v>1.0654632223259673E-3</v>
      </c>
      <c r="S401" s="66">
        <f t="shared" si="304"/>
        <v>1.0654632223259673E-3</v>
      </c>
      <c r="T401" s="66">
        <f t="shared" si="304"/>
        <v>1.0654632223259673E-3</v>
      </c>
      <c r="U401" s="66">
        <f t="shared" si="304"/>
        <v>1.0654632223259673E-3</v>
      </c>
      <c r="V401" s="66">
        <f t="shared" si="304"/>
        <v>1.0654632223259673E-3</v>
      </c>
      <c r="W401" s="66">
        <f t="shared" si="304"/>
        <v>1.0654632223259673E-3</v>
      </c>
      <c r="X401" s="66">
        <f t="shared" si="304"/>
        <v>1.0654632223259673E-3</v>
      </c>
      <c r="Y401" s="66">
        <f t="shared" si="304"/>
        <v>1.0654632223259673E-3</v>
      </c>
      <c r="Z401" s="66">
        <f t="shared" si="304"/>
        <v>1.0654632223259673E-3</v>
      </c>
      <c r="AA401" s="66">
        <f t="shared" si="304"/>
        <v>1.0654632223259673E-3</v>
      </c>
      <c r="AB401" s="66">
        <f t="shared" si="304"/>
        <v>1.0654632223259673E-3</v>
      </c>
      <c r="AC401" s="66">
        <f t="shared" si="304"/>
        <v>1.0654632223259673E-3</v>
      </c>
    </row>
    <row r="402" spans="1:29" x14ac:dyDescent="0.3">
      <c r="A402" s="30" t="str">
        <f t="shared" si="299"/>
        <v>Opex maintenance &amp; repair</v>
      </c>
      <c r="B402" s="66">
        <f>B360/B370/(B367)</f>
        <v>2.9878618113912231E-4</v>
      </c>
      <c r="C402" s="66">
        <f t="shared" ref="C402:AC402" si="305">C360/C370/(C367)</f>
        <v>2.9878618113912231E-4</v>
      </c>
      <c r="D402" s="66">
        <f t="shared" si="305"/>
        <v>2.9878618113912231E-4</v>
      </c>
      <c r="E402" s="66">
        <f t="shared" si="305"/>
        <v>2.9878618113912231E-4</v>
      </c>
      <c r="F402" s="66">
        <f t="shared" si="305"/>
        <v>2.9878618113912231E-4</v>
      </c>
      <c r="G402" s="66">
        <f t="shared" si="305"/>
        <v>2.9878618113912231E-4</v>
      </c>
      <c r="H402" s="66">
        <f t="shared" si="305"/>
        <v>2.9878618113912231E-4</v>
      </c>
      <c r="I402" s="66">
        <f t="shared" si="305"/>
        <v>2.9878618113912231E-4</v>
      </c>
      <c r="J402" s="66">
        <f t="shared" si="305"/>
        <v>2.9878618113912231E-4</v>
      </c>
      <c r="K402" s="66">
        <f t="shared" si="305"/>
        <v>2.9878618113912231E-4</v>
      </c>
      <c r="L402" s="66">
        <f t="shared" si="305"/>
        <v>2.9878618113912231E-4</v>
      </c>
      <c r="M402" s="66">
        <f t="shared" si="305"/>
        <v>2.9878618113912231E-4</v>
      </c>
      <c r="N402" s="66">
        <f t="shared" si="305"/>
        <v>2.9878618113912231E-4</v>
      </c>
      <c r="O402" s="66">
        <f t="shared" si="305"/>
        <v>2.9878618113912231E-4</v>
      </c>
      <c r="P402" s="66">
        <f t="shared" si="305"/>
        <v>2.9878618113912231E-4</v>
      </c>
      <c r="Q402" s="66">
        <f t="shared" si="305"/>
        <v>2.9878618113912231E-4</v>
      </c>
      <c r="R402" s="66">
        <f t="shared" si="305"/>
        <v>2.9878618113912231E-4</v>
      </c>
      <c r="S402" s="66">
        <f t="shared" si="305"/>
        <v>2.9878618113912231E-4</v>
      </c>
      <c r="T402" s="66">
        <f t="shared" si="305"/>
        <v>2.9878618113912231E-4</v>
      </c>
      <c r="U402" s="66">
        <f t="shared" si="305"/>
        <v>2.9878618113912231E-4</v>
      </c>
      <c r="V402" s="66">
        <f t="shared" si="305"/>
        <v>2.9878618113912231E-4</v>
      </c>
      <c r="W402" s="66">
        <f t="shared" si="305"/>
        <v>2.9878618113912231E-4</v>
      </c>
      <c r="X402" s="66">
        <f t="shared" si="305"/>
        <v>2.9878618113912231E-4</v>
      </c>
      <c r="Y402" s="66">
        <f t="shared" si="305"/>
        <v>2.9878618113912231E-4</v>
      </c>
      <c r="Z402" s="66">
        <f t="shared" si="305"/>
        <v>2.9878618113912231E-4</v>
      </c>
      <c r="AA402" s="66">
        <f t="shared" si="305"/>
        <v>2.9878618113912231E-4</v>
      </c>
      <c r="AB402" s="66">
        <f t="shared" si="305"/>
        <v>2.9878618113912231E-4</v>
      </c>
      <c r="AC402" s="66">
        <f t="shared" si="305"/>
        <v>2.9878618113912231E-4</v>
      </c>
    </row>
    <row r="403" spans="1:29" x14ac:dyDescent="0.3">
      <c r="A403" s="30" t="str">
        <f t="shared" si="299"/>
        <v>Opex var (mode-fees)</v>
      </c>
      <c r="B403" s="66">
        <f>B361*B370/B370/(B367)</f>
        <v>8.6011184229469056E-5</v>
      </c>
      <c r="C403" s="66">
        <f t="shared" ref="C403:AC403" si="306">C361*C370/C370/(C367)</f>
        <v>8.6011184229469056E-5</v>
      </c>
      <c r="D403" s="66">
        <f t="shared" si="306"/>
        <v>8.6011184229469056E-5</v>
      </c>
      <c r="E403" s="66">
        <f t="shared" si="306"/>
        <v>8.6011184229469056E-5</v>
      </c>
      <c r="F403" s="66">
        <f t="shared" si="306"/>
        <v>8.6011184229469056E-5</v>
      </c>
      <c r="G403" s="66">
        <f t="shared" si="306"/>
        <v>8.6011184229469056E-5</v>
      </c>
      <c r="H403" s="66">
        <f t="shared" si="306"/>
        <v>8.6011184229469056E-5</v>
      </c>
      <c r="I403" s="66">
        <f t="shared" si="306"/>
        <v>8.6011184229469056E-5</v>
      </c>
      <c r="J403" s="66">
        <f t="shared" si="306"/>
        <v>8.6011184229469056E-5</v>
      </c>
      <c r="K403" s="66">
        <f t="shared" si="306"/>
        <v>8.6011184229469056E-5</v>
      </c>
      <c r="L403" s="66">
        <f t="shared" si="306"/>
        <v>8.6011184229469056E-5</v>
      </c>
      <c r="M403" s="66">
        <f t="shared" si="306"/>
        <v>8.6011184229469056E-5</v>
      </c>
      <c r="N403" s="66">
        <f t="shared" si="306"/>
        <v>8.6011184229469056E-5</v>
      </c>
      <c r="O403" s="66">
        <f t="shared" si="306"/>
        <v>8.6011184229469056E-5</v>
      </c>
      <c r="P403" s="66">
        <f t="shared" si="306"/>
        <v>8.6011184229469056E-5</v>
      </c>
      <c r="Q403" s="66">
        <f t="shared" si="306"/>
        <v>8.6011184229469056E-5</v>
      </c>
      <c r="R403" s="66">
        <f t="shared" si="306"/>
        <v>8.6011184229469056E-5</v>
      </c>
      <c r="S403" s="66">
        <f t="shared" si="306"/>
        <v>8.6011184229469056E-5</v>
      </c>
      <c r="T403" s="66">
        <f t="shared" si="306"/>
        <v>8.6011184229469056E-5</v>
      </c>
      <c r="U403" s="66">
        <f t="shared" si="306"/>
        <v>8.6011184229469056E-5</v>
      </c>
      <c r="V403" s="66">
        <f t="shared" si="306"/>
        <v>8.6011184229469056E-5</v>
      </c>
      <c r="W403" s="66">
        <f t="shared" si="306"/>
        <v>8.6011184229469056E-5</v>
      </c>
      <c r="X403" s="66">
        <f t="shared" si="306"/>
        <v>8.6011184229469056E-5</v>
      </c>
      <c r="Y403" s="66">
        <f t="shared" si="306"/>
        <v>8.6011184229469056E-5</v>
      </c>
      <c r="Z403" s="66">
        <f t="shared" si="306"/>
        <v>8.6011184229469056E-5</v>
      </c>
      <c r="AA403" s="66">
        <f t="shared" si="306"/>
        <v>8.6011184229469056E-5</v>
      </c>
      <c r="AB403" s="66">
        <f t="shared" si="306"/>
        <v>8.6011184229469056E-5</v>
      </c>
      <c r="AC403" s="66">
        <f t="shared" si="306"/>
        <v>8.6011184229469056E-5</v>
      </c>
    </row>
    <row r="404" spans="1:29" x14ac:dyDescent="0.3">
      <c r="A404" s="30" t="str">
        <f t="shared" si="299"/>
        <v>Fuel Cost</v>
      </c>
      <c r="B404" s="66">
        <f>B362*B363*B370/B370/(B367)</f>
        <v>1.1790342951953749E-2</v>
      </c>
      <c r="C404" s="66">
        <f t="shared" ref="C404:AC404" si="307">C362*C363*C370/C370/(C367)</f>
        <v>1.1783766913594665E-2</v>
      </c>
      <c r="D404" s="66">
        <f t="shared" si="307"/>
        <v>1.1774355523119581E-2</v>
      </c>
      <c r="E404" s="66">
        <f t="shared" si="307"/>
        <v>1.1760896088186527E-2</v>
      </c>
      <c r="F404" s="66">
        <f t="shared" si="307"/>
        <v>1.1741668211121929E-2</v>
      </c>
      <c r="G404" s="66">
        <f t="shared" si="307"/>
        <v>1.1714243454918982E-2</v>
      </c>
      <c r="H404" s="66">
        <f t="shared" si="307"/>
        <v>1.1675219564648431E-2</v>
      </c>
      <c r="I404" s="66">
        <f t="shared" si="307"/>
        <v>1.1619883278327343E-2</v>
      </c>
      <c r="J404" s="66">
        <f t="shared" si="307"/>
        <v>1.154181494912015E-2</v>
      </c>
      <c r="K404" s="66">
        <f t="shared" si="307"/>
        <v>1.1432493444006882E-2</v>
      </c>
      <c r="L404" s="66">
        <f t="shared" si="307"/>
        <v>1.1281050087987085E-2</v>
      </c>
      <c r="M404" s="66">
        <f t="shared" si="307"/>
        <v>1.1074472868176938E-2</v>
      </c>
      <c r="N404" s="66">
        <f t="shared" si="307"/>
        <v>1.0798760315613672E-2</v>
      </c>
      <c r="O404" s="66">
        <f t="shared" si="307"/>
        <v>1.0441645076778088E-2</v>
      </c>
      <c r="P404" s="66">
        <f t="shared" si="307"/>
        <v>9.9972293841793375E-3</v>
      </c>
      <c r="Q404" s="66">
        <f t="shared" si="307"/>
        <v>9.4717576213010652E-3</v>
      </c>
      <c r="R404" s="66">
        <f t="shared" si="307"/>
        <v>8.8878376910148001E-3</v>
      </c>
      <c r="S404" s="66">
        <f t="shared" si="307"/>
        <v>8.2832233343252838E-3</v>
      </c>
      <c r="T404" s="66">
        <f t="shared" si="307"/>
        <v>7.702298401651585E-3</v>
      </c>
      <c r="U404" s="66">
        <f t="shared" si="307"/>
        <v>7.183621542308124E-3</v>
      </c>
      <c r="V404" s="66">
        <f t="shared" si="307"/>
        <v>6.7504248089756283E-3</v>
      </c>
      <c r="W404" s="66">
        <f t="shared" si="307"/>
        <v>6.4085502681744538E-3</v>
      </c>
      <c r="X404" s="66">
        <f t="shared" si="307"/>
        <v>6.1506990464434185E-3</v>
      </c>
      <c r="Y404" s="66">
        <f t="shared" si="307"/>
        <v>5.9628215784575953E-3</v>
      </c>
      <c r="Z404" s="66">
        <f t="shared" si="307"/>
        <v>5.8293562567065891E-3</v>
      </c>
      <c r="AA404" s="66">
        <f t="shared" si="307"/>
        <v>5.7362463319861412E-3</v>
      </c>
      <c r="AB404" s="66">
        <f t="shared" si="307"/>
        <v>5.6721085009993396E-3</v>
      </c>
      <c r="AC404" s="66">
        <f t="shared" si="307"/>
        <v>5.6283132239921011E-3</v>
      </c>
    </row>
    <row r="405" spans="1:29" x14ac:dyDescent="0.3">
      <c r="A405" s="59" t="str">
        <f>A368</f>
        <v>Market failure (av. utilization)</v>
      </c>
      <c r="B405" s="66">
        <f t="shared" ref="B405:AC405" si="308">B394/B368-B394/B367</f>
        <v>1.4934194212517798E-2</v>
      </c>
      <c r="C405" s="66">
        <f t="shared" si="308"/>
        <v>1.4926860752586184E-2</v>
      </c>
      <c r="D405" s="66">
        <f t="shared" si="308"/>
        <v>1.4916365049138791E-2</v>
      </c>
      <c r="E405" s="66">
        <f t="shared" si="308"/>
        <v>1.4901354262717924E-2</v>
      </c>
      <c r="F405" s="66">
        <f t="shared" si="308"/>
        <v>1.4879908823802523E-2</v>
      </c>
      <c r="G405" s="66">
        <f t="shared" si="308"/>
        <v>1.4849318438204081E-2</v>
      </c>
      <c r="H405" s="66">
        <f t="shared" si="308"/>
        <v>1.4805784515429408E-2</v>
      </c>
      <c r="I405" s="66">
        <f t="shared" si="308"/>
        <v>1.4744041804229821E-2</v>
      </c>
      <c r="J405" s="66">
        <f t="shared" si="308"/>
        <v>1.4656912954407146E-2</v>
      </c>
      <c r="K405" s="66">
        <f t="shared" si="308"/>
        <v>1.4534859464535694E-2</v>
      </c>
      <c r="L405" s="66">
        <f t="shared" si="308"/>
        <v>1.4365692332906351E-2</v>
      </c>
      <c r="M405" s="66">
        <f t="shared" si="308"/>
        <v>1.4134775461909336E-2</v>
      </c>
      <c r="N405" s="66">
        <f t="shared" si="308"/>
        <v>1.3826278316676939E-2</v>
      </c>
      <c r="O405" s="66">
        <f t="shared" si="308"/>
        <v>1.3426178092249901E-2</v>
      </c>
      <c r="P405" s="66">
        <f t="shared" si="308"/>
        <v>1.2927421817257019E-2</v>
      </c>
      <c r="Q405" s="66">
        <f t="shared" si="308"/>
        <v>1.2336436471772615E-2</v>
      </c>
      <c r="R405" s="66">
        <f t="shared" si="308"/>
        <v>1.1678032775153925E-2</v>
      </c>
      <c r="S405" s="66">
        <f t="shared" si="308"/>
        <v>1.0994322387713121E-2</v>
      </c>
      <c r="T405" s="66">
        <f t="shared" si="308"/>
        <v>1.0335395464880279E-2</v>
      </c>
      <c r="U405" s="66">
        <f t="shared" si="308"/>
        <v>9.7453137073810741E-3</v>
      </c>
      <c r="V405" s="66">
        <f t="shared" si="308"/>
        <v>9.2511347539239678E-3</v>
      </c>
      <c r="W405" s="66">
        <f t="shared" si="308"/>
        <v>8.8602267893759523E-3</v>
      </c>
      <c r="X405" s="66">
        <f t="shared" si="308"/>
        <v>8.5648426841115483E-3</v>
      </c>
      <c r="Y405" s="66">
        <f t="shared" si="308"/>
        <v>8.3493102871876976E-3</v>
      </c>
      <c r="Z405" s="66">
        <f t="shared" si="308"/>
        <v>8.1960381952461223E-3</v>
      </c>
      <c r="AA405" s="66">
        <f t="shared" si="308"/>
        <v>8.0890298043568322E-3</v>
      </c>
      <c r="AB405" s="66">
        <f t="shared" si="308"/>
        <v>8.015279167217013E-3</v>
      </c>
      <c r="AC405" s="66">
        <f t="shared" si="308"/>
        <v>7.9649015468819025E-3</v>
      </c>
    </row>
    <row r="406" spans="1:29" x14ac:dyDescent="0.3">
      <c r="A406" s="59" t="str">
        <f>A369</f>
        <v>Payload loss (fuel)</v>
      </c>
      <c r="B406" s="66">
        <f>B394/(B367-B369)-B394/B367</f>
        <v>6.1556948040347628E-2</v>
      </c>
      <c r="C406" s="66">
        <f t="shared" ref="C406:AC406" si="309">C394/(C367-C369)-C394/C367</f>
        <v>6.1262496616094717E-2</v>
      </c>
      <c r="D406" s="66">
        <f t="shared" si="309"/>
        <v>6.0844591472001219E-2</v>
      </c>
      <c r="E406" s="66">
        <f t="shared" si="309"/>
        <v>6.025399725064072E-2</v>
      </c>
      <c r="F406" s="66">
        <f t="shared" si="309"/>
        <v>5.9424401264620008E-2</v>
      </c>
      <c r="G406" s="66">
        <f t="shared" si="309"/>
        <v>5.8269033022799795E-2</v>
      </c>
      <c r="H406" s="66">
        <f t="shared" si="309"/>
        <v>5.6679195175758736E-2</v>
      </c>
      <c r="I406" s="66">
        <f t="shared" si="309"/>
        <v>5.452766874785573E-2</v>
      </c>
      <c r="J406" s="66">
        <f t="shared" si="309"/>
        <v>5.1681493701790968E-2</v>
      </c>
      <c r="K406" s="66">
        <f t="shared" si="309"/>
        <v>4.8029115890744371E-2</v>
      </c>
      <c r="L406" s="66">
        <f t="shared" si="309"/>
        <v>4.352374222590203E-2</v>
      </c>
      <c r="M406" s="66">
        <f t="shared" si="309"/>
        <v>3.823506287746406E-2</v>
      </c>
      <c r="N406" s="66">
        <f t="shared" si="309"/>
        <v>3.2386560421824959E-2</v>
      </c>
      <c r="O406" s="66">
        <f t="shared" si="309"/>
        <v>2.6346684033880803E-2</v>
      </c>
      <c r="P406" s="66">
        <f t="shared" si="309"/>
        <v>2.0556425380568025E-2</v>
      </c>
      <c r="Q406" s="66">
        <f t="shared" si="309"/>
        <v>1.5414688295071385E-2</v>
      </c>
      <c r="R406" s="66">
        <f t="shared" si="309"/>
        <v>1.1176432438382972E-2</v>
      </c>
      <c r="S406" s="66">
        <f t="shared" si="309"/>
        <v>7.9126845520191297E-3</v>
      </c>
      <c r="T406" s="66">
        <f t="shared" si="309"/>
        <v>5.540427778864097E-3</v>
      </c>
      <c r="U406" s="66">
        <f t="shared" si="309"/>
        <v>3.8914310888201187E-3</v>
      </c>
      <c r="V406" s="66">
        <f t="shared" si="309"/>
        <v>2.779587591155961E-3</v>
      </c>
      <c r="W406" s="66">
        <f t="shared" si="309"/>
        <v>2.0429077494496239E-3</v>
      </c>
      <c r="X406" s="66">
        <f t="shared" si="309"/>
        <v>1.5584092874774049E-3</v>
      </c>
      <c r="Y406" s="66">
        <f t="shared" si="309"/>
        <v>1.240068953416322E-3</v>
      </c>
      <c r="Z406" s="66">
        <f t="shared" si="309"/>
        <v>1.0304083876728504E-3</v>
      </c>
      <c r="AA406" s="66">
        <f t="shared" si="309"/>
        <v>8.9183876389015322E-4</v>
      </c>
      <c r="AB406" s="66">
        <f t="shared" si="309"/>
        <v>7.9993625215007275E-4</v>
      </c>
      <c r="AC406" s="66">
        <f t="shared" si="309"/>
        <v>7.3880581687748616E-4</v>
      </c>
    </row>
    <row r="407" spans="1:29" ht="15" thickBot="1" x14ac:dyDescent="0.35">
      <c r="A407" s="59" t="str">
        <f>A344</f>
        <v>Emission Cost</v>
      </c>
      <c r="B407" s="68">
        <f>B364*B370/B370/(B367)</f>
        <v>2.6311642110997044E-4</v>
      </c>
      <c r="C407" s="68">
        <f t="shared" ref="C407:AC407" si="310">C364*C370/C370/(C367)</f>
        <v>2.6286587016831347E-4</v>
      </c>
      <c r="D407" s="68">
        <f t="shared" si="310"/>
        <v>2.625072120759037E-4</v>
      </c>
      <c r="E407" s="68">
        <f t="shared" si="310"/>
        <v>2.6199412645274697E-4</v>
      </c>
      <c r="F407" s="68">
        <f t="shared" si="310"/>
        <v>2.6126081387929228E-4</v>
      </c>
      <c r="G407" s="68">
        <f t="shared" si="310"/>
        <v>2.6021421836155354E-4</v>
      </c>
      <c r="H407" s="68">
        <f t="shared" si="310"/>
        <v>2.587236095863079E-4</v>
      </c>
      <c r="I407" s="68">
        <f t="shared" si="310"/>
        <v>2.566071588068925E-4</v>
      </c>
      <c r="J407" s="68">
        <f t="shared" si="310"/>
        <v>2.5361575900812355E-4</v>
      </c>
      <c r="K407" s="68">
        <f t="shared" si="310"/>
        <v>2.4941588765997478E-4</v>
      </c>
      <c r="L407" s="68">
        <f t="shared" si="310"/>
        <v>2.4357654188553792E-4</v>
      </c>
      <c r="M407" s="68">
        <f t="shared" si="310"/>
        <v>2.3557101727914492E-4</v>
      </c>
      <c r="N407" s="68">
        <f t="shared" si="310"/>
        <v>2.2481245004548822E-4</v>
      </c>
      <c r="O407" s="68">
        <f t="shared" si="310"/>
        <v>2.1074892426876276E-4</v>
      </c>
      <c r="P407" s="68">
        <f t="shared" si="310"/>
        <v>1.9303829059735733E-4</v>
      </c>
      <c r="Q407" s="68">
        <f t="shared" si="310"/>
        <v>1.7178603857549002E-4</v>
      </c>
      <c r="R407" s="68">
        <f t="shared" si="310"/>
        <v>1.4775455190070181E-4</v>
      </c>
      <c r="S407" s="68">
        <f t="shared" si="310"/>
        <v>1.2238461001683673E-4</v>
      </c>
      <c r="T407" s="68">
        <f t="shared" si="310"/>
        <v>9.7513901136100757E-5</v>
      </c>
      <c r="U407" s="68">
        <f t="shared" si="310"/>
        <v>7.4873582914375649E-5</v>
      </c>
      <c r="V407" s="68">
        <f t="shared" si="310"/>
        <v>5.5632536469223359E-5</v>
      </c>
      <c r="W407" s="68">
        <f t="shared" si="310"/>
        <v>4.0223904142840252E-5</v>
      </c>
      <c r="X407" s="68">
        <f t="shared" si="310"/>
        <v>2.8466433793904391E-5</v>
      </c>
      <c r="Y407" s="68">
        <f t="shared" si="310"/>
        <v>1.9823750136951439E-5</v>
      </c>
      <c r="Z407" s="68">
        <f t="shared" si="310"/>
        <v>1.3644356353033646E-5</v>
      </c>
      <c r="AA407" s="68">
        <f t="shared" si="310"/>
        <v>9.3135138812216792E-6</v>
      </c>
      <c r="AB407" s="68">
        <f t="shared" si="310"/>
        <v>6.3206355388177748E-6</v>
      </c>
      <c r="AC407" s="68">
        <f t="shared" si="310"/>
        <v>4.2724597482624145E-6</v>
      </c>
    </row>
    <row r="408" spans="1:29" ht="15" thickBot="1" x14ac:dyDescent="0.35">
      <c r="A408" s="31" t="s">
        <v>210</v>
      </c>
      <c r="B408" s="67">
        <f>B397+B398+B399+B400+B401+B402+B403+B404+B405+B406+B407</f>
        <v>9.2021098813500971E-2</v>
      </c>
      <c r="C408" s="67">
        <f t="shared" ref="C408:AC408" si="311">C397+C398+C399+C400+C401+C402+C403+C404+C405+C406+C407</f>
        <v>9.1711681144489646E-2</v>
      </c>
      <c r="D408" s="67">
        <f t="shared" si="311"/>
        <v>9.1272356197442298E-2</v>
      </c>
      <c r="E408" s="67">
        <f t="shared" si="311"/>
        <v>9.0651127718080038E-2</v>
      </c>
      <c r="F408" s="67">
        <f t="shared" si="311"/>
        <v>8.977776553019115E-2</v>
      </c>
      <c r="G408" s="67">
        <f t="shared" si="311"/>
        <v>8.8559967930006783E-2</v>
      </c>
      <c r="H408" s="67">
        <f t="shared" si="311"/>
        <v>8.6881285342609235E-2</v>
      </c>
      <c r="I408" s="67">
        <f t="shared" si="311"/>
        <v>8.4603753381645844E-2</v>
      </c>
      <c r="J408" s="67">
        <f t="shared" si="311"/>
        <v>8.1579764356351128E-2</v>
      </c>
      <c r="K408" s="67">
        <f t="shared" si="311"/>
        <v>7.767829779046484E-2</v>
      </c>
      <c r="L408" s="67">
        <f t="shared" si="311"/>
        <v>7.2827685081480978E-2</v>
      </c>
      <c r="M408" s="67">
        <f t="shared" si="311"/>
        <v>6.7067746812640938E-2</v>
      </c>
      <c r="N408" s="67">
        <f t="shared" si="311"/>
        <v>6.0589658346323474E-2</v>
      </c>
      <c r="O408" s="67">
        <f t="shared" si="311"/>
        <v>5.3733250888120053E-2</v>
      </c>
      <c r="P408" s="67">
        <f t="shared" si="311"/>
        <v>4.6925122285842211E-2</v>
      </c>
      <c r="Q408" s="67">
        <f t="shared" si="311"/>
        <v>4.0577292658540674E-2</v>
      </c>
      <c r="R408" s="67">
        <f t="shared" si="311"/>
        <v>3.4995355788344722E-2</v>
      </c>
      <c r="S408" s="67">
        <f t="shared" si="311"/>
        <v>3.0336280580673117E-2</v>
      </c>
      <c r="T408" s="67">
        <f t="shared" si="311"/>
        <v>2.6619274985410248E-2</v>
      </c>
      <c r="U408" s="67">
        <f t="shared" si="311"/>
        <v>2.3766029810674015E-2</v>
      </c>
      <c r="V408" s="67">
        <f t="shared" si="311"/>
        <v>2.1645657836566776E-2</v>
      </c>
      <c r="W408" s="67">
        <f t="shared" si="311"/>
        <v>2.0111206638640005E-2</v>
      </c>
      <c r="X408" s="67">
        <f t="shared" si="311"/>
        <v>1.902388347204655E-2</v>
      </c>
      <c r="Y408" s="67">
        <f t="shared" si="311"/>
        <v>1.8265681103446996E-2</v>
      </c>
      <c r="Z408" s="67">
        <f t="shared" si="311"/>
        <v>1.7743220350067656E-2</v>
      </c>
      <c r="AA408" s="67">
        <f t="shared" si="311"/>
        <v>1.7386266255082331E-2</v>
      </c>
      <c r="AB408" s="67">
        <f t="shared" si="311"/>
        <v>1.7143852238975268E-2</v>
      </c>
      <c r="AC408" s="67">
        <f t="shared" si="311"/>
        <v>1.6979910333631037E-2</v>
      </c>
    </row>
    <row r="410" spans="1:29" x14ac:dyDescent="0.3">
      <c r="B410" s="40"/>
    </row>
  </sheetData>
  <conditionalFormatting sqref="Q11:AR20 Q22:AR27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10634-C2AE-458B-BBD3-2592A74EF315}">
  <sheetPr>
    <tabColor theme="5"/>
  </sheetPr>
  <dimension ref="A1:AR410"/>
  <sheetViews>
    <sheetView zoomScale="80" zoomScaleNormal="80" workbookViewId="0">
      <selection activeCell="A341" sqref="A341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tr">
        <f>'Parameter Input'!A141</f>
        <v>Short-sea: Dry bulk</v>
      </c>
    </row>
    <row r="2" spans="1:44" s="3" customFormat="1" ht="21" x14ac:dyDescent="0.4">
      <c r="A2" s="2" t="s">
        <v>187</v>
      </c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f>'Parameter Input'!$L$191</f>
        <v>19500000</v>
      </c>
      <c r="C11" s="42">
        <f>'Parameter Input'!$M$191</f>
        <v>15000000</v>
      </c>
      <c r="D11" s="1" t="s">
        <v>15</v>
      </c>
      <c r="L11" s="51">
        <f>'Parameter Input'!$O$191</f>
        <v>17</v>
      </c>
      <c r="M11" s="52">
        <v>0</v>
      </c>
      <c r="N11" s="52">
        <v>1</v>
      </c>
      <c r="O11" s="52">
        <f>'Parameter Input'!$P$191</f>
        <v>0.9</v>
      </c>
      <c r="P11" s="53">
        <f>'Parameter Input'!$Q$191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3">
      <c r="A12" s="24" t="s">
        <v>28</v>
      </c>
      <c r="B12" s="60">
        <f>'Parameter Input'!$L$192</f>
        <v>-975000</v>
      </c>
      <c r="C12" s="61">
        <f>'Parameter Input'!$M$192</f>
        <v>-1500000</v>
      </c>
      <c r="D12" s="1" t="s">
        <v>15</v>
      </c>
      <c r="L12" s="54">
        <f>'Parameter Input'!$O$192</f>
        <v>17</v>
      </c>
      <c r="M12" s="37">
        <v>0</v>
      </c>
      <c r="N12" s="37">
        <v>1</v>
      </c>
      <c r="O12" s="37">
        <f>'Parameter Input'!$P$192</f>
        <v>0.9</v>
      </c>
      <c r="P12" s="55">
        <f>'Parameter Input'!$Q$192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3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3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3">
      <c r="A15" s="24" t="s">
        <v>79</v>
      </c>
      <c r="B15" s="92">
        <f>'Parameter Input'!$L$198</f>
        <v>0.06</v>
      </c>
      <c r="C15" s="91">
        <f>'Parameter Input'!$M$198</f>
        <v>0.06</v>
      </c>
      <c r="D15" s="1" t="s">
        <v>57</v>
      </c>
      <c r="L15" s="54">
        <f>'Parameter Input'!$O$198</f>
        <v>17</v>
      </c>
      <c r="M15" s="37">
        <v>0</v>
      </c>
      <c r="N15" s="37">
        <v>1</v>
      </c>
      <c r="O15" s="37">
        <f>'Parameter Input'!$P$198</f>
        <v>0.9</v>
      </c>
      <c r="P15" s="55">
        <f>'Parameter Input'!$Q$198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3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3">
      <c r="A17" s="24" t="s">
        <v>52</v>
      </c>
      <c r="B17" s="60">
        <f>'Parameter Input'!$L$194</f>
        <v>488235.29411764705</v>
      </c>
      <c r="C17" s="61">
        <f>'Parameter Input'!$M$194</f>
        <v>488235.29411764705</v>
      </c>
      <c r="D17" s="1" t="s">
        <v>38</v>
      </c>
      <c r="L17" s="54">
        <f>'Parameter Input'!$O$194</f>
        <v>17</v>
      </c>
      <c r="M17" s="37">
        <v>0</v>
      </c>
      <c r="N17" s="37">
        <v>1</v>
      </c>
      <c r="O17" s="37">
        <f>'Parameter Input'!$P$194</f>
        <v>0.9</v>
      </c>
      <c r="P17" s="55">
        <f>'Parameter Input'!$Q$194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3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3">
      <c r="A19" s="24" t="s">
        <v>59</v>
      </c>
      <c r="B19" s="60">
        <f>'Parameter Input'!$L$195</f>
        <v>647</v>
      </c>
      <c r="C19" s="61">
        <f>'Parameter Input'!$M$195</f>
        <v>600</v>
      </c>
      <c r="D19" s="1" t="s">
        <v>60</v>
      </c>
      <c r="L19" s="54">
        <f>'Parameter Input'!$O$195</f>
        <v>17</v>
      </c>
      <c r="M19" s="37">
        <v>0</v>
      </c>
      <c r="N19" s="37">
        <v>1</v>
      </c>
      <c r="O19" s="37">
        <f>'Parameter Input'!$P$195</f>
        <v>0.9</v>
      </c>
      <c r="P19" s="55">
        <f>'Parameter Input'!$Q$195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3">
      <c r="A20" s="24" t="s">
        <v>67</v>
      </c>
      <c r="B20" s="78">
        <f>'Parameter Input'!$L$196</f>
        <v>0.38698275991804565</v>
      </c>
      <c r="C20" s="61">
        <f>'Parameter Input'!$M$196</f>
        <v>9.8895594201278345E-2</v>
      </c>
      <c r="D20" s="1" t="s">
        <v>68</v>
      </c>
      <c r="L20" s="54">
        <f>'Parameter Input'!$O$196</f>
        <v>17</v>
      </c>
      <c r="M20" s="37">
        <v>0</v>
      </c>
      <c r="N20" s="37">
        <v>1</v>
      </c>
      <c r="O20" s="37">
        <f>'Parameter Input'!$P$196</f>
        <v>0.9</v>
      </c>
      <c r="P20" s="55">
        <f>'Parameter Input'!$Q$196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3">
      <c r="A21" s="24" t="s">
        <v>206</v>
      </c>
      <c r="B21" s="115">
        <f>'Parameter Input'!$L$199</f>
        <v>3.1631111111111108</v>
      </c>
      <c r="C21" s="116">
        <f>'Parameter Input'!$M$199</f>
        <v>0</v>
      </c>
      <c r="D21" s="1" t="s">
        <v>76</v>
      </c>
      <c r="L21" s="54">
        <f>'Parameter Input'!$O$199</f>
        <v>17</v>
      </c>
      <c r="M21" s="37">
        <v>0</v>
      </c>
      <c r="N21" s="37">
        <v>1</v>
      </c>
      <c r="O21" s="37">
        <f>'Parameter Input'!$P$199</f>
        <v>0.9</v>
      </c>
      <c r="P21" s="55">
        <f>'Parameter Input'!$Q$199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3">
      <c r="A22" s="24" t="s">
        <v>41</v>
      </c>
      <c r="B22" s="60">
        <f>'Parameter Input'!$L$193</f>
        <v>25</v>
      </c>
      <c r="C22" s="61">
        <f>'Parameter Input'!$M$193</f>
        <v>25</v>
      </c>
      <c r="D22" s="1" t="s">
        <v>42</v>
      </c>
      <c r="L22" s="54">
        <f>'Parameter Input'!$O$193</f>
        <v>17</v>
      </c>
      <c r="M22" s="37">
        <v>0</v>
      </c>
      <c r="N22" s="37">
        <v>1</v>
      </c>
      <c r="O22" s="37">
        <f>'Parameter Input'!$P$193</f>
        <v>0.9</v>
      </c>
      <c r="P22" s="55">
        <f>'Parameter Input'!$Q$193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3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3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3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3">
      <c r="A26" s="24" t="s">
        <v>73</v>
      </c>
      <c r="B26" s="45">
        <f>'Parameter Input'!$L$197</f>
        <v>0.04</v>
      </c>
      <c r="C26" s="46">
        <f>'Parameter Input'!$M$197</f>
        <v>0.04</v>
      </c>
      <c r="D26" s="1" t="s">
        <v>57</v>
      </c>
      <c r="L26" s="54">
        <f>'Parameter Input'!$O$197</f>
        <v>17</v>
      </c>
      <c r="M26" s="37">
        <v>0</v>
      </c>
      <c r="N26" s="37">
        <v>1</v>
      </c>
      <c r="O26" s="37">
        <f>'Parameter Input'!$P$197</f>
        <v>0.9</v>
      </c>
      <c r="P26" s="55">
        <f>'Parameter Input'!$Q$197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" thickBot="1" x14ac:dyDescent="0.35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3">
      <c r="A28" s="25"/>
      <c r="B28" s="40"/>
    </row>
    <row r="29" spans="1:44" ht="15" thickBot="1" x14ac:dyDescent="0.35"/>
    <row r="30" spans="1:44" ht="15" thickBot="1" x14ac:dyDescent="0.35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3">
      <c r="A31" s="29" t="str">
        <f t="shared" ref="A31:A40" si="4">A11</f>
        <v>Capex vehicle</v>
      </c>
      <c r="B31" s="62">
        <f t="shared" ref="B31:B39" si="5">$B11+($C11-$B11)*(1-Q11)</f>
        <v>19490116.854456533</v>
      </c>
      <c r="C31" s="62">
        <f t="shared" ref="C31:C39" si="6">$B11+($C11-$B11)*(1-R11)</f>
        <v>19485841.169186536</v>
      </c>
      <c r="D31" s="62">
        <f t="shared" ref="D31:D39" si="7">$B11+($C11-$B11)*(1-S11)</f>
        <v>19479720.62095575</v>
      </c>
      <c r="E31" s="62">
        <f t="shared" ref="E31:E39" si="8">$B11+($C11-$B11)*(1-T11)</f>
        <v>19470964.746295411</v>
      </c>
      <c r="F31" s="62">
        <f t="shared" ref="F31:F39" si="9">$B11+($C11-$B11)*(1-U11)</f>
        <v>19458450.669326123</v>
      </c>
      <c r="G31" s="62">
        <f t="shared" ref="G31:G39" si="10">$B11+($C11-$B11)*(1-V11)</f>
        <v>19440590.37708677</v>
      </c>
      <c r="H31" s="62">
        <f t="shared" ref="H31:H39" si="11">$B11+($C11-$B11)*(1-W11)</f>
        <v>19415152.939328622</v>
      </c>
      <c r="I31" s="62">
        <f t="shared" ref="I31:I39" si="12">$B11+($C11-$B11)*(1-X11)</f>
        <v>19379035.42421424</v>
      </c>
      <c r="J31" s="62">
        <f t="shared" ref="J31:J39" si="13">$B11+($C11-$B11)*(1-Y11)</f>
        <v>19327986.787271675</v>
      </c>
      <c r="K31" s="62">
        <f t="shared" ref="K31:K39" si="14">$B11+($C11-$B11)*(1-Z11)</f>
        <v>19256315.421998013</v>
      </c>
      <c r="L31" s="62">
        <f t="shared" ref="L31:L39" si="15">$B11+($C11-$B11)*(1-AA11)</f>
        <v>19156666.206756368</v>
      </c>
      <c r="M31" s="62">
        <f t="shared" ref="M31:M39" si="16">$B11+($C11-$B11)*(1-AB11)</f>
        <v>19020050.860544629</v>
      </c>
      <c r="N31" s="62">
        <f t="shared" ref="N31:N39" si="17">$B11+($C11-$B11)*(1-AC11)</f>
        <v>18836454.474344715</v>
      </c>
      <c r="O31" s="62">
        <f t="shared" ref="O31:O39" si="18">$B11+($C11-$B11)*(1-AD11)</f>
        <v>18596458.529368076</v>
      </c>
      <c r="P31" s="62">
        <f t="shared" ref="P31:P39" si="19">$B11+($C11-$B11)*(1-AE11)</f>
        <v>18294224.201249704</v>
      </c>
      <c r="Q31" s="62">
        <f t="shared" ref="Q31:Q39" si="20">$B11+($C11-$B11)*(1-AF11)</f>
        <v>17931551.6831454</v>
      </c>
      <c r="R31" s="62">
        <f t="shared" ref="R31:R39" si="21">$B11+($C11-$B11)*(1-AG11)</f>
        <v>17521451.154638231</v>
      </c>
      <c r="S31" s="62">
        <f t="shared" ref="S31:S39" si="22">$B11+($C11-$B11)*(1-AH11)</f>
        <v>17088509.709293339</v>
      </c>
      <c r="T31" s="62">
        <f t="shared" ref="T31:T39" si="23">$B11+($C11-$B11)*(1-AI11)</f>
        <v>16664087.741798578</v>
      </c>
      <c r="U31" s="62">
        <f t="shared" ref="U31:U39" si="24">$B11+($C11-$B11)*(1-AJ11)</f>
        <v>16277727.688675404</v>
      </c>
      <c r="V31" s="62">
        <f t="shared" ref="V31:V39" si="25">$B11+($C11-$B11)*(1-AK11)</f>
        <v>15949376.662250299</v>
      </c>
      <c r="W31" s="62">
        <f t="shared" ref="W31:W39" si="26">$B11+($C11-$B11)*(1-AL11)</f>
        <v>15686426.294420918</v>
      </c>
      <c r="X31" s="62">
        <f t="shared" ref="X31:X39" si="27">$B11+($C11-$B11)*(1-AM11)</f>
        <v>15485783.493196949</v>
      </c>
      <c r="Y31" s="62">
        <f t="shared" ref="Y31:Y39" si="28">$B11+($C11-$B11)*(1-AN11)</f>
        <v>15338294.942721413</v>
      </c>
      <c r="Z31" s="62">
        <f t="shared" ref="Z31:Z39" si="29">$B11+($C11-$B11)*(1-AO11)</f>
        <v>15232842.76279876</v>
      </c>
      <c r="AA31" s="62">
        <f t="shared" ref="AA31:AA39" si="30">$B11+($C11-$B11)*(1-AP11)</f>
        <v>15158936.357814057</v>
      </c>
      <c r="AB31" s="62">
        <f t="shared" ref="AB31:AB39" si="31">$B11+($C11-$B11)*(1-AQ11)</f>
        <v>15107862.489326961</v>
      </c>
      <c r="AC31" s="62">
        <f t="shared" ref="AC31:AC39" si="32">$B11+($C11-$B11)*(1-AR11)</f>
        <v>15072910.096012753</v>
      </c>
    </row>
    <row r="32" spans="1:44" x14ac:dyDescent="0.3">
      <c r="A32" s="30" t="str">
        <f t="shared" si="4"/>
        <v>Residual value (vehicle)</v>
      </c>
      <c r="B32" s="62">
        <f t="shared" si="5"/>
        <v>-976153.03364673769</v>
      </c>
      <c r="C32" s="62">
        <f t="shared" si="6"/>
        <v>-976651.86359490396</v>
      </c>
      <c r="D32" s="62">
        <f t="shared" si="7"/>
        <v>-977365.92755516258</v>
      </c>
      <c r="E32" s="62">
        <f t="shared" si="8"/>
        <v>-978387.4462655352</v>
      </c>
      <c r="F32" s="62">
        <f t="shared" si="9"/>
        <v>-979847.4219119522</v>
      </c>
      <c r="G32" s="62">
        <f t="shared" si="10"/>
        <v>-981931.12267321034</v>
      </c>
      <c r="H32" s="62">
        <f t="shared" si="11"/>
        <v>-984898.82374499424</v>
      </c>
      <c r="I32" s="62">
        <f t="shared" si="12"/>
        <v>-989112.53384167177</v>
      </c>
      <c r="J32" s="62">
        <f t="shared" si="13"/>
        <v>-995068.20815163793</v>
      </c>
      <c r="K32" s="62">
        <f t="shared" si="14"/>
        <v>-1003429.8674335653</v>
      </c>
      <c r="L32" s="62">
        <f t="shared" si="15"/>
        <v>-1015055.6092117572</v>
      </c>
      <c r="M32" s="62">
        <f t="shared" si="16"/>
        <v>-1030994.0662697931</v>
      </c>
      <c r="N32" s="62">
        <f t="shared" si="17"/>
        <v>-1052413.6446597832</v>
      </c>
      <c r="O32" s="62">
        <f t="shared" si="18"/>
        <v>-1080413.1715737246</v>
      </c>
      <c r="P32" s="62">
        <f t="shared" si="19"/>
        <v>-1115673.8431875347</v>
      </c>
      <c r="Q32" s="62">
        <f t="shared" si="20"/>
        <v>-1157985.6369663698</v>
      </c>
      <c r="R32" s="62">
        <f t="shared" si="21"/>
        <v>-1205830.6986255397</v>
      </c>
      <c r="S32" s="62">
        <f t="shared" si="22"/>
        <v>-1256340.533915777</v>
      </c>
      <c r="T32" s="62">
        <f t="shared" si="23"/>
        <v>-1305856.4301234994</v>
      </c>
      <c r="U32" s="62">
        <f t="shared" si="24"/>
        <v>-1350931.7696545362</v>
      </c>
      <c r="V32" s="62">
        <f t="shared" si="25"/>
        <v>-1389239.389404132</v>
      </c>
      <c r="W32" s="62">
        <f t="shared" si="26"/>
        <v>-1419916.9323175594</v>
      </c>
      <c r="X32" s="62">
        <f t="shared" si="27"/>
        <v>-1443325.2591270225</v>
      </c>
      <c r="Y32" s="62">
        <f t="shared" si="28"/>
        <v>-1460532.2566825019</v>
      </c>
      <c r="Z32" s="62">
        <f t="shared" si="29"/>
        <v>-1472835.0110068114</v>
      </c>
      <c r="AA32" s="62">
        <f t="shared" si="30"/>
        <v>-1481457.4249216933</v>
      </c>
      <c r="AB32" s="62">
        <f t="shared" si="31"/>
        <v>-1487416.0429118546</v>
      </c>
      <c r="AC32" s="62">
        <f t="shared" si="32"/>
        <v>-1491493.8221318454</v>
      </c>
    </row>
    <row r="33" spans="1:29" x14ac:dyDescent="0.3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3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3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3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3">
      <c r="A37" s="30" t="str">
        <f t="shared" si="4"/>
        <v>Opex maintenance &amp; repair</v>
      </c>
      <c r="B37" s="62">
        <f t="shared" si="5"/>
        <v>488235.29411764705</v>
      </c>
      <c r="C37" s="62">
        <f t="shared" si="6"/>
        <v>488235.29411764705</v>
      </c>
      <c r="D37" s="62">
        <f t="shared" si="7"/>
        <v>488235.29411764705</v>
      </c>
      <c r="E37" s="62">
        <f t="shared" si="8"/>
        <v>488235.29411764705</v>
      </c>
      <c r="F37" s="62">
        <f t="shared" si="9"/>
        <v>488235.29411764705</v>
      </c>
      <c r="G37" s="62">
        <f t="shared" si="10"/>
        <v>488235.29411764705</v>
      </c>
      <c r="H37" s="62">
        <f t="shared" si="11"/>
        <v>488235.29411764705</v>
      </c>
      <c r="I37" s="62">
        <f t="shared" si="12"/>
        <v>488235.29411764705</v>
      </c>
      <c r="J37" s="62">
        <f t="shared" si="13"/>
        <v>488235.29411764705</v>
      </c>
      <c r="K37" s="62">
        <f t="shared" si="14"/>
        <v>488235.29411764705</v>
      </c>
      <c r="L37" s="62">
        <f t="shared" si="15"/>
        <v>488235.29411764705</v>
      </c>
      <c r="M37" s="62">
        <f t="shared" si="16"/>
        <v>488235.29411764705</v>
      </c>
      <c r="N37" s="62">
        <f t="shared" si="17"/>
        <v>488235.29411764705</v>
      </c>
      <c r="O37" s="62">
        <f t="shared" si="18"/>
        <v>488235.29411764705</v>
      </c>
      <c r="P37" s="62">
        <f t="shared" si="19"/>
        <v>488235.29411764705</v>
      </c>
      <c r="Q37" s="62">
        <f t="shared" si="20"/>
        <v>488235.29411764705</v>
      </c>
      <c r="R37" s="62">
        <f t="shared" si="21"/>
        <v>488235.29411764705</v>
      </c>
      <c r="S37" s="62">
        <f t="shared" si="22"/>
        <v>488235.29411764705</v>
      </c>
      <c r="T37" s="62">
        <f t="shared" si="23"/>
        <v>488235.29411764705</v>
      </c>
      <c r="U37" s="62">
        <f t="shared" si="24"/>
        <v>488235.29411764705</v>
      </c>
      <c r="V37" s="62">
        <f t="shared" si="25"/>
        <v>488235.29411764705</v>
      </c>
      <c r="W37" s="62">
        <f t="shared" si="26"/>
        <v>488235.29411764705</v>
      </c>
      <c r="X37" s="62">
        <f t="shared" si="27"/>
        <v>488235.29411764705</v>
      </c>
      <c r="Y37" s="62">
        <f t="shared" si="28"/>
        <v>488235.29411764705</v>
      </c>
      <c r="Z37" s="62">
        <f t="shared" si="29"/>
        <v>488235.29411764705</v>
      </c>
      <c r="AA37" s="62">
        <f t="shared" si="30"/>
        <v>488235.29411764705</v>
      </c>
      <c r="AB37" s="62">
        <f t="shared" si="31"/>
        <v>488235.29411764705</v>
      </c>
      <c r="AC37" s="62">
        <f t="shared" si="32"/>
        <v>488235.29411764705</v>
      </c>
    </row>
    <row r="38" spans="1:29" x14ac:dyDescent="0.3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3">
      <c r="A39" s="30" t="str">
        <f t="shared" si="4"/>
        <v>Fuel Economy</v>
      </c>
      <c r="B39" s="62">
        <f t="shared" si="5"/>
        <v>646.89677603543487</v>
      </c>
      <c r="C39" s="62">
        <f t="shared" si="6"/>
        <v>646.85211887817047</v>
      </c>
      <c r="D39" s="62">
        <f t="shared" si="7"/>
        <v>646.78819315220449</v>
      </c>
      <c r="E39" s="62">
        <f t="shared" si="8"/>
        <v>646.6967429057521</v>
      </c>
      <c r="F39" s="62">
        <f t="shared" si="9"/>
        <v>646.5660403240729</v>
      </c>
      <c r="G39" s="62">
        <f t="shared" si="10"/>
        <v>646.37949949401741</v>
      </c>
      <c r="H39" s="62">
        <f t="shared" si="11"/>
        <v>646.11381958854338</v>
      </c>
      <c r="I39" s="62">
        <f t="shared" si="12"/>
        <v>645.73659220845991</v>
      </c>
      <c r="J39" s="62">
        <f t="shared" si="13"/>
        <v>645.20341755594859</v>
      </c>
      <c r="K39" s="62">
        <f t="shared" si="14"/>
        <v>644.4548499630904</v>
      </c>
      <c r="L39" s="62">
        <f t="shared" si="15"/>
        <v>643.41406927056653</v>
      </c>
      <c r="M39" s="62">
        <f t="shared" si="16"/>
        <v>641.98719787679943</v>
      </c>
      <c r="N39" s="62">
        <f t="shared" si="17"/>
        <v>640.0696356209337</v>
      </c>
      <c r="O39" s="62">
        <f t="shared" si="18"/>
        <v>637.56301130673319</v>
      </c>
      <c r="P39" s="62">
        <f t="shared" si="19"/>
        <v>634.40634165749691</v>
      </c>
      <c r="Q39" s="62">
        <f t="shared" si="20"/>
        <v>630.6184286906298</v>
      </c>
      <c r="R39" s="62">
        <f t="shared" si="21"/>
        <v>626.33515650399931</v>
      </c>
      <c r="S39" s="62">
        <f t="shared" si="22"/>
        <v>621.81332363039712</v>
      </c>
      <c r="T39" s="62">
        <f t="shared" si="23"/>
        <v>617.38047196989623</v>
      </c>
      <c r="U39" s="62">
        <f t="shared" si="24"/>
        <v>613.34515585949862</v>
      </c>
      <c r="V39" s="62">
        <f t="shared" si="25"/>
        <v>609.91571180572532</v>
      </c>
      <c r="W39" s="62">
        <f t="shared" si="26"/>
        <v>607.1693412972852</v>
      </c>
      <c r="X39" s="62">
        <f t="shared" si="27"/>
        <v>605.0737387067237</v>
      </c>
      <c r="Y39" s="62">
        <f t="shared" si="28"/>
        <v>603.53330273509027</v>
      </c>
      <c r="Z39" s="62">
        <f t="shared" si="29"/>
        <v>602.43191330034256</v>
      </c>
      <c r="AA39" s="62">
        <f t="shared" si="30"/>
        <v>601.66000195939125</v>
      </c>
      <c r="AB39" s="62">
        <f t="shared" si="31"/>
        <v>601.12656377741496</v>
      </c>
      <c r="AC39" s="62">
        <f t="shared" si="32"/>
        <v>600.7615054472443</v>
      </c>
    </row>
    <row r="40" spans="1:29" x14ac:dyDescent="0.3">
      <c r="A40" s="30" t="str">
        <f t="shared" si="4"/>
        <v>Fuel Cost</v>
      </c>
      <c r="B40" s="62">
        <f>$B20+($C20-$B20)*(1-Q20)</f>
        <v>0.38635004716516047</v>
      </c>
      <c r="C40" s="62">
        <f>$B20+($C20-$B20)*(1-R20)</f>
        <v>0.38607632048717594</v>
      </c>
      <c r="D40" s="62">
        <f>$B20+($C20-$B20)*(1-S20)</f>
        <v>0.38568448684441137</v>
      </c>
      <c r="E40" s="62">
        <f t="shared" ref="E40:AC40" si="33">$B20+($C20-$B20)*(1-T20)</f>
        <v>0.38512394126346305</v>
      </c>
      <c r="F40" s="62">
        <f t="shared" si="33"/>
        <v>0.38432279793776442</v>
      </c>
      <c r="G40" s="62">
        <f t="shared" si="33"/>
        <v>0.38317939327774014</v>
      </c>
      <c r="H40" s="62">
        <f t="shared" si="33"/>
        <v>0.38155090453399765</v>
      </c>
      <c r="I40" s="62">
        <f t="shared" si="33"/>
        <v>0.37923868396465671</v>
      </c>
      <c r="J40" s="62">
        <f t="shared" si="33"/>
        <v>0.37597058238010372</v>
      </c>
      <c r="K40" s="62">
        <f t="shared" si="33"/>
        <v>0.37138222671682802</v>
      </c>
      <c r="L40" s="62">
        <f t="shared" si="33"/>
        <v>0.36500274672019128</v>
      </c>
      <c r="M40" s="62">
        <f t="shared" si="33"/>
        <v>0.35625671830162364</v>
      </c>
      <c r="N40" s="62">
        <f t="shared" si="33"/>
        <v>0.34450299329358486</v>
      </c>
      <c r="O40" s="62">
        <f t="shared" si="33"/>
        <v>0.32913860405539874</v>
      </c>
      <c r="P40" s="62">
        <f t="shared" si="33"/>
        <v>0.30978975272874687</v>
      </c>
      <c r="Q40" s="62">
        <f t="shared" si="33"/>
        <v>0.28657168654562887</v>
      </c>
      <c r="R40" s="62">
        <f t="shared" si="33"/>
        <v>0.26031730900861128</v>
      </c>
      <c r="S40" s="62">
        <f t="shared" si="33"/>
        <v>0.23260067036178236</v>
      </c>
      <c r="T40" s="62">
        <f t="shared" si="33"/>
        <v>0.20542944332100452</v>
      </c>
      <c r="U40" s="62">
        <f t="shared" si="33"/>
        <v>0.1806949160653524</v>
      </c>
      <c r="V40" s="62">
        <f t="shared" si="33"/>
        <v>0.15967409016246348</v>
      </c>
      <c r="W40" s="62">
        <f t="shared" si="33"/>
        <v>0.14284017323087519</v>
      </c>
      <c r="X40" s="62">
        <f t="shared" si="33"/>
        <v>0.12999514746952273</v>
      </c>
      <c r="Y40" s="62">
        <f t="shared" si="33"/>
        <v>0.1205530233623735</v>
      </c>
      <c r="Z40" s="62">
        <f t="shared" si="33"/>
        <v>0.11380204122180199</v>
      </c>
      <c r="AA40" s="62">
        <f t="shared" si="33"/>
        <v>0.10907059972394451</v>
      </c>
      <c r="AB40" s="62">
        <f t="shared" si="33"/>
        <v>0.10580088283180267</v>
      </c>
      <c r="AC40" s="62">
        <f t="shared" si="33"/>
        <v>0.10356325262626759</v>
      </c>
    </row>
    <row r="41" spans="1:29" x14ac:dyDescent="0.3">
      <c r="A41" s="30" t="str">
        <f t="shared" ref="A41" si="34">A21</f>
        <v>Emission Cost</v>
      </c>
      <c r="B41" s="66">
        <f>$B21+($C21-$B21)*(1-Q21)</f>
        <v>3.1561641138930518</v>
      </c>
      <c r="C41" s="66">
        <f t="shared" ref="C41:AC41" si="35">$B21+($C21-$B21)*(1-R21)</f>
        <v>3.1531586766519095</v>
      </c>
      <c r="D41" s="66">
        <f t="shared" si="35"/>
        <v>3.148856460181932</v>
      </c>
      <c r="E41" s="66">
        <f t="shared" si="35"/>
        <v>3.1427018369762418</v>
      </c>
      <c r="F41" s="66">
        <f t="shared" si="35"/>
        <v>3.1339055223302736</v>
      </c>
      <c r="G41" s="66">
        <f t="shared" si="35"/>
        <v>3.1213512803680521</v>
      </c>
      <c r="H41" s="66">
        <f t="shared" si="35"/>
        <v>3.103470959921165</v>
      </c>
      <c r="I41" s="66">
        <f t="shared" si="35"/>
        <v>3.0780834680624944</v>
      </c>
      <c r="J41" s="66">
        <f t="shared" si="35"/>
        <v>3.0422006879024699</v>
      </c>
      <c r="K41" s="66">
        <f t="shared" si="35"/>
        <v>2.9918219119367748</v>
      </c>
      <c r="L41" s="66">
        <f t="shared" si="35"/>
        <v>2.9217771252824751</v>
      </c>
      <c r="M41" s="66">
        <f t="shared" si="35"/>
        <v>2.8257483431601118</v>
      </c>
      <c r="N41" s="66">
        <f t="shared" si="35"/>
        <v>2.6966959500159344</v>
      </c>
      <c r="O41" s="66">
        <f t="shared" si="35"/>
        <v>2.527999541087663</v>
      </c>
      <c r="P41" s="66">
        <f t="shared" si="35"/>
        <v>2.3155549274364571</v>
      </c>
      <c r="Q41" s="66">
        <f t="shared" si="35"/>
        <v>2.0606274892785992</v>
      </c>
      <c r="R41" s="66">
        <f t="shared" si="35"/>
        <v>1.7723622585244727</v>
      </c>
      <c r="S41" s="66">
        <f t="shared" si="35"/>
        <v>1.4680418371398225</v>
      </c>
      <c r="T41" s="66">
        <f t="shared" si="35"/>
        <v>1.1697098724326394</v>
      </c>
      <c r="U41" s="66">
        <f t="shared" si="35"/>
        <v>0.89813214422744192</v>
      </c>
      <c r="V41" s="66">
        <f t="shared" si="35"/>
        <v>0.66732974866522188</v>
      </c>
      <c r="W41" s="66">
        <f t="shared" si="35"/>
        <v>0.48249836418702996</v>
      </c>
      <c r="X41" s="66">
        <f t="shared" si="35"/>
        <v>0.34146381442791984</v>
      </c>
      <c r="Y41" s="66">
        <f t="shared" si="35"/>
        <v>0.23779210936773287</v>
      </c>
      <c r="Z41" s="66">
        <f t="shared" si="35"/>
        <v>0.16366834003345909</v>
      </c>
      <c r="AA41" s="66">
        <f t="shared" si="35"/>
        <v>0.11171852430248297</v>
      </c>
      <c r="AB41" s="66">
        <f t="shared" si="35"/>
        <v>7.5818008547159366E-2</v>
      </c>
      <c r="AC41" s="66">
        <f t="shared" si="35"/>
        <v>5.1249496624470758E-2</v>
      </c>
    </row>
    <row r="42" spans="1:29" x14ac:dyDescent="0.3">
      <c r="A42" s="30" t="str">
        <f>A22</f>
        <v>Lifetime vehicle</v>
      </c>
      <c r="B42" s="62">
        <f>$B22+($C22-$B22)*(1-Q22)</f>
        <v>25</v>
      </c>
      <c r="C42" s="62">
        <f t="shared" ref="C42:L44" si="36">$B22+($C22-$B22)*(1-R22)</f>
        <v>25</v>
      </c>
      <c r="D42" s="62">
        <f t="shared" si="36"/>
        <v>25</v>
      </c>
      <c r="E42" s="62">
        <f t="shared" si="36"/>
        <v>25</v>
      </c>
      <c r="F42" s="62">
        <f t="shared" si="36"/>
        <v>25</v>
      </c>
      <c r="G42" s="62">
        <f t="shared" si="36"/>
        <v>25</v>
      </c>
      <c r="H42" s="62">
        <f t="shared" si="36"/>
        <v>25</v>
      </c>
      <c r="I42" s="62">
        <f t="shared" si="36"/>
        <v>25</v>
      </c>
      <c r="J42" s="62">
        <f t="shared" si="36"/>
        <v>25</v>
      </c>
      <c r="K42" s="62">
        <f t="shared" si="36"/>
        <v>25</v>
      </c>
      <c r="L42" s="62">
        <f t="shared" si="36"/>
        <v>25</v>
      </c>
      <c r="M42" s="62">
        <f t="shared" ref="M42:V44" si="37">$B22+($C22-$B22)*(1-AB22)</f>
        <v>25</v>
      </c>
      <c r="N42" s="62">
        <f t="shared" si="37"/>
        <v>25</v>
      </c>
      <c r="O42" s="62">
        <f t="shared" si="37"/>
        <v>25</v>
      </c>
      <c r="P42" s="62">
        <f t="shared" si="37"/>
        <v>25</v>
      </c>
      <c r="Q42" s="62">
        <f t="shared" si="37"/>
        <v>25</v>
      </c>
      <c r="R42" s="62">
        <f t="shared" si="37"/>
        <v>25</v>
      </c>
      <c r="S42" s="62">
        <f t="shared" si="37"/>
        <v>25</v>
      </c>
      <c r="T42" s="62">
        <f t="shared" si="37"/>
        <v>25</v>
      </c>
      <c r="U42" s="62">
        <f t="shared" si="37"/>
        <v>25</v>
      </c>
      <c r="V42" s="62">
        <f t="shared" si="37"/>
        <v>25</v>
      </c>
      <c r="W42" s="62">
        <f t="shared" ref="W42:AC44" si="38">$B22+($C22-$B22)*(1-AL22)</f>
        <v>25</v>
      </c>
      <c r="X42" s="62">
        <f t="shared" si="38"/>
        <v>25</v>
      </c>
      <c r="Y42" s="62">
        <f t="shared" si="38"/>
        <v>25</v>
      </c>
      <c r="Z42" s="62">
        <f t="shared" si="38"/>
        <v>25</v>
      </c>
      <c r="AA42" s="62">
        <f t="shared" si="38"/>
        <v>25</v>
      </c>
      <c r="AB42" s="62">
        <f t="shared" si="38"/>
        <v>25</v>
      </c>
      <c r="AC42" s="62">
        <f t="shared" si="38"/>
        <v>25</v>
      </c>
    </row>
    <row r="43" spans="1:29" x14ac:dyDescent="0.3">
      <c r="A43" s="30" t="str">
        <f>A23</f>
        <v>Lifetime costumization</v>
      </c>
      <c r="B43" s="62">
        <f>$B23+($C23-$B23)*(1-Q23)</f>
        <v>25</v>
      </c>
      <c r="C43" s="62">
        <f t="shared" si="36"/>
        <v>25</v>
      </c>
      <c r="D43" s="62">
        <f t="shared" si="36"/>
        <v>25</v>
      </c>
      <c r="E43" s="62">
        <f t="shared" si="36"/>
        <v>25</v>
      </c>
      <c r="F43" s="62">
        <f t="shared" si="36"/>
        <v>25</v>
      </c>
      <c r="G43" s="62">
        <f t="shared" si="36"/>
        <v>25</v>
      </c>
      <c r="H43" s="62">
        <f t="shared" si="36"/>
        <v>25</v>
      </c>
      <c r="I43" s="62">
        <f t="shared" si="36"/>
        <v>25</v>
      </c>
      <c r="J43" s="62">
        <f t="shared" si="36"/>
        <v>25</v>
      </c>
      <c r="K43" s="62">
        <f t="shared" si="36"/>
        <v>25</v>
      </c>
      <c r="L43" s="62">
        <f t="shared" si="36"/>
        <v>25</v>
      </c>
      <c r="M43" s="62">
        <f t="shared" si="37"/>
        <v>25</v>
      </c>
      <c r="N43" s="62">
        <f t="shared" si="37"/>
        <v>25</v>
      </c>
      <c r="O43" s="62">
        <f t="shared" si="37"/>
        <v>25</v>
      </c>
      <c r="P43" s="62">
        <f t="shared" si="37"/>
        <v>25</v>
      </c>
      <c r="Q43" s="62">
        <f t="shared" si="37"/>
        <v>25</v>
      </c>
      <c r="R43" s="62">
        <f t="shared" si="37"/>
        <v>25</v>
      </c>
      <c r="S43" s="62">
        <f t="shared" si="37"/>
        <v>25</v>
      </c>
      <c r="T43" s="62">
        <f t="shared" si="37"/>
        <v>25</v>
      </c>
      <c r="U43" s="62">
        <f t="shared" si="37"/>
        <v>25</v>
      </c>
      <c r="V43" s="62">
        <f t="shared" si="37"/>
        <v>25</v>
      </c>
      <c r="W43" s="62">
        <f t="shared" si="38"/>
        <v>25</v>
      </c>
      <c r="X43" s="62">
        <f t="shared" si="38"/>
        <v>25</v>
      </c>
      <c r="Y43" s="62">
        <f t="shared" si="38"/>
        <v>25</v>
      </c>
      <c r="Z43" s="62">
        <f t="shared" si="38"/>
        <v>25</v>
      </c>
      <c r="AA43" s="62">
        <f t="shared" si="38"/>
        <v>25</v>
      </c>
      <c r="AB43" s="62">
        <f t="shared" si="38"/>
        <v>25</v>
      </c>
      <c r="AC43" s="62">
        <f t="shared" si="38"/>
        <v>25</v>
      </c>
    </row>
    <row r="44" spans="1:29" x14ac:dyDescent="0.3">
      <c r="A44" s="30" t="str">
        <f>A24</f>
        <v>Tonnage .</v>
      </c>
      <c r="B44" s="62">
        <f>$B24+($C24-$B24)*(1-Q24)</f>
        <v>9450</v>
      </c>
      <c r="C44" s="62">
        <f t="shared" si="36"/>
        <v>9450</v>
      </c>
      <c r="D44" s="62">
        <f t="shared" si="36"/>
        <v>9450</v>
      </c>
      <c r="E44" s="62">
        <f t="shared" si="36"/>
        <v>9450</v>
      </c>
      <c r="F44" s="62">
        <f t="shared" si="36"/>
        <v>9450</v>
      </c>
      <c r="G44" s="62">
        <f t="shared" si="36"/>
        <v>9450</v>
      </c>
      <c r="H44" s="62">
        <f t="shared" si="36"/>
        <v>9450</v>
      </c>
      <c r="I44" s="62">
        <f t="shared" si="36"/>
        <v>9450</v>
      </c>
      <c r="J44" s="62">
        <f t="shared" si="36"/>
        <v>9450</v>
      </c>
      <c r="K44" s="62">
        <f t="shared" si="36"/>
        <v>9450</v>
      </c>
      <c r="L44" s="62">
        <f t="shared" si="36"/>
        <v>9450</v>
      </c>
      <c r="M44" s="62">
        <f t="shared" si="37"/>
        <v>9450</v>
      </c>
      <c r="N44" s="62">
        <f t="shared" si="37"/>
        <v>9450</v>
      </c>
      <c r="O44" s="62">
        <f t="shared" si="37"/>
        <v>9450</v>
      </c>
      <c r="P44" s="62">
        <f t="shared" si="37"/>
        <v>9450</v>
      </c>
      <c r="Q44" s="62">
        <f t="shared" si="37"/>
        <v>9450</v>
      </c>
      <c r="R44" s="62">
        <f t="shared" si="37"/>
        <v>9450</v>
      </c>
      <c r="S44" s="62">
        <f t="shared" si="37"/>
        <v>9450</v>
      </c>
      <c r="T44" s="62">
        <f t="shared" si="37"/>
        <v>9450</v>
      </c>
      <c r="U44" s="62">
        <f t="shared" si="37"/>
        <v>9450</v>
      </c>
      <c r="V44" s="62">
        <f t="shared" si="37"/>
        <v>9450</v>
      </c>
      <c r="W44" s="62">
        <f t="shared" si="38"/>
        <v>9450</v>
      </c>
      <c r="X44" s="62">
        <f t="shared" si="38"/>
        <v>9450</v>
      </c>
      <c r="Y44" s="62">
        <f t="shared" si="38"/>
        <v>9450</v>
      </c>
      <c r="Z44" s="62">
        <f t="shared" si="38"/>
        <v>9450</v>
      </c>
      <c r="AA44" s="62">
        <f t="shared" si="38"/>
        <v>9450</v>
      </c>
      <c r="AB44" s="62">
        <f t="shared" si="38"/>
        <v>9450</v>
      </c>
      <c r="AC44" s="62">
        <f t="shared" si="38"/>
        <v>9450</v>
      </c>
    </row>
    <row r="45" spans="1:29" x14ac:dyDescent="0.3">
      <c r="A45" s="30" t="str">
        <f>A25</f>
        <v>Market failure (av. utilization)</v>
      </c>
      <c r="B45" s="62">
        <f t="shared" ref="B45:K46" si="39">($B25+($C25-$B25)*(1-Q25))*B$44</f>
        <v>4819.5</v>
      </c>
      <c r="C45" s="62">
        <f t="shared" si="39"/>
        <v>4819.5</v>
      </c>
      <c r="D45" s="62">
        <f t="shared" si="39"/>
        <v>4819.5</v>
      </c>
      <c r="E45" s="62">
        <f t="shared" si="39"/>
        <v>4819.5</v>
      </c>
      <c r="F45" s="62">
        <f t="shared" si="39"/>
        <v>4819.5</v>
      </c>
      <c r="G45" s="62">
        <f t="shared" si="39"/>
        <v>4819.5</v>
      </c>
      <c r="H45" s="62">
        <f t="shared" si="39"/>
        <v>4819.5</v>
      </c>
      <c r="I45" s="62">
        <f t="shared" si="39"/>
        <v>4819.5</v>
      </c>
      <c r="J45" s="62">
        <f t="shared" si="39"/>
        <v>4819.5</v>
      </c>
      <c r="K45" s="62">
        <f t="shared" si="39"/>
        <v>4819.5</v>
      </c>
      <c r="L45" s="62">
        <f t="shared" ref="L45:U46" si="40">($B25+($C25-$B25)*(1-AA25))*L$44</f>
        <v>4819.5</v>
      </c>
      <c r="M45" s="62">
        <f t="shared" si="40"/>
        <v>4819.5</v>
      </c>
      <c r="N45" s="62">
        <f t="shared" si="40"/>
        <v>4819.5</v>
      </c>
      <c r="O45" s="62">
        <f t="shared" si="40"/>
        <v>4819.5</v>
      </c>
      <c r="P45" s="62">
        <f t="shared" si="40"/>
        <v>4819.5</v>
      </c>
      <c r="Q45" s="62">
        <f t="shared" si="40"/>
        <v>4819.5</v>
      </c>
      <c r="R45" s="62">
        <f t="shared" si="40"/>
        <v>4819.5</v>
      </c>
      <c r="S45" s="62">
        <f t="shared" si="40"/>
        <v>4819.5</v>
      </c>
      <c r="T45" s="62">
        <f t="shared" si="40"/>
        <v>4819.5</v>
      </c>
      <c r="U45" s="62">
        <f t="shared" si="40"/>
        <v>4819.5</v>
      </c>
      <c r="V45" s="62">
        <f t="shared" ref="V45:AC46" si="41">($B25+($C25-$B25)*(1-AK25))*V$44</f>
        <v>4819.5</v>
      </c>
      <c r="W45" s="62">
        <f t="shared" si="41"/>
        <v>4819.5</v>
      </c>
      <c r="X45" s="62">
        <f t="shared" si="41"/>
        <v>4819.5</v>
      </c>
      <c r="Y45" s="62">
        <f t="shared" si="41"/>
        <v>4819.5</v>
      </c>
      <c r="Z45" s="62">
        <f t="shared" si="41"/>
        <v>4819.5</v>
      </c>
      <c r="AA45" s="62">
        <f t="shared" si="41"/>
        <v>4819.5</v>
      </c>
      <c r="AB45" s="62">
        <f t="shared" si="41"/>
        <v>4819.5</v>
      </c>
      <c r="AC45" s="62">
        <f t="shared" si="41"/>
        <v>4819.5</v>
      </c>
    </row>
    <row r="46" spans="1:29" x14ac:dyDescent="0.3">
      <c r="A46" s="30" t="s">
        <v>73</v>
      </c>
      <c r="B46" s="62">
        <f t="shared" si="39"/>
        <v>378</v>
      </c>
      <c r="C46" s="62">
        <f t="shared" si="39"/>
        <v>378</v>
      </c>
      <c r="D46" s="62">
        <f t="shared" si="39"/>
        <v>378</v>
      </c>
      <c r="E46" s="62">
        <f t="shared" si="39"/>
        <v>378</v>
      </c>
      <c r="F46" s="62">
        <f t="shared" si="39"/>
        <v>378</v>
      </c>
      <c r="G46" s="62">
        <f t="shared" si="39"/>
        <v>378</v>
      </c>
      <c r="H46" s="62">
        <f t="shared" si="39"/>
        <v>378</v>
      </c>
      <c r="I46" s="62">
        <f t="shared" si="39"/>
        <v>378</v>
      </c>
      <c r="J46" s="62">
        <f t="shared" si="39"/>
        <v>378</v>
      </c>
      <c r="K46" s="62">
        <f t="shared" si="39"/>
        <v>378</v>
      </c>
      <c r="L46" s="62">
        <f t="shared" si="40"/>
        <v>378</v>
      </c>
      <c r="M46" s="62">
        <f t="shared" si="40"/>
        <v>378</v>
      </c>
      <c r="N46" s="62">
        <f t="shared" si="40"/>
        <v>378</v>
      </c>
      <c r="O46" s="62">
        <f t="shared" si="40"/>
        <v>378</v>
      </c>
      <c r="P46" s="62">
        <f t="shared" si="40"/>
        <v>378</v>
      </c>
      <c r="Q46" s="62">
        <f t="shared" si="40"/>
        <v>378</v>
      </c>
      <c r="R46" s="62">
        <f t="shared" si="40"/>
        <v>378</v>
      </c>
      <c r="S46" s="62">
        <f t="shared" si="40"/>
        <v>378</v>
      </c>
      <c r="T46" s="62">
        <f t="shared" si="40"/>
        <v>378</v>
      </c>
      <c r="U46" s="62">
        <f t="shared" si="40"/>
        <v>378</v>
      </c>
      <c r="V46" s="62">
        <f t="shared" si="41"/>
        <v>378</v>
      </c>
      <c r="W46" s="62">
        <f t="shared" si="41"/>
        <v>378</v>
      </c>
      <c r="X46" s="62">
        <f t="shared" si="41"/>
        <v>378</v>
      </c>
      <c r="Y46" s="62">
        <f t="shared" si="41"/>
        <v>378</v>
      </c>
      <c r="Z46" s="62">
        <f t="shared" si="41"/>
        <v>378</v>
      </c>
      <c r="AA46" s="62">
        <f t="shared" si="41"/>
        <v>378</v>
      </c>
      <c r="AB46" s="62">
        <f t="shared" si="41"/>
        <v>378</v>
      </c>
      <c r="AC46" s="62">
        <f t="shared" si="41"/>
        <v>378</v>
      </c>
    </row>
    <row r="47" spans="1:29" x14ac:dyDescent="0.3">
      <c r="A47" s="30" t="str">
        <f>A27</f>
        <v>Annual Mileage</v>
      </c>
      <c r="B47" s="62">
        <f t="shared" ref="B47:AC47" si="42">$B27+($C27-$B27)*(1-Q27)</f>
        <v>120000</v>
      </c>
      <c r="C47" s="62">
        <f t="shared" si="42"/>
        <v>120000</v>
      </c>
      <c r="D47" s="62">
        <f t="shared" si="42"/>
        <v>120000</v>
      </c>
      <c r="E47" s="62">
        <f t="shared" si="42"/>
        <v>120000</v>
      </c>
      <c r="F47" s="62">
        <f t="shared" si="42"/>
        <v>120000</v>
      </c>
      <c r="G47" s="62">
        <f t="shared" si="42"/>
        <v>120000</v>
      </c>
      <c r="H47" s="62">
        <f t="shared" si="42"/>
        <v>120000</v>
      </c>
      <c r="I47" s="62">
        <f t="shared" si="42"/>
        <v>120000</v>
      </c>
      <c r="J47" s="62">
        <f t="shared" si="42"/>
        <v>120000</v>
      </c>
      <c r="K47" s="62">
        <f t="shared" si="42"/>
        <v>120000</v>
      </c>
      <c r="L47" s="62">
        <f t="shared" si="42"/>
        <v>120000</v>
      </c>
      <c r="M47" s="62">
        <f t="shared" si="42"/>
        <v>120000</v>
      </c>
      <c r="N47" s="62">
        <f t="shared" si="42"/>
        <v>120000</v>
      </c>
      <c r="O47" s="62">
        <f t="shared" si="42"/>
        <v>120000</v>
      </c>
      <c r="P47" s="62">
        <f t="shared" si="42"/>
        <v>120000</v>
      </c>
      <c r="Q47" s="62">
        <f t="shared" si="42"/>
        <v>120000</v>
      </c>
      <c r="R47" s="62">
        <f t="shared" si="42"/>
        <v>120000</v>
      </c>
      <c r="S47" s="62">
        <f t="shared" si="42"/>
        <v>120000</v>
      </c>
      <c r="T47" s="62">
        <f t="shared" si="42"/>
        <v>120000</v>
      </c>
      <c r="U47" s="62">
        <f t="shared" si="42"/>
        <v>120000</v>
      </c>
      <c r="V47" s="62">
        <f t="shared" si="42"/>
        <v>120000</v>
      </c>
      <c r="W47" s="62">
        <f t="shared" si="42"/>
        <v>120000</v>
      </c>
      <c r="X47" s="62">
        <f t="shared" si="42"/>
        <v>120000</v>
      </c>
      <c r="Y47" s="62">
        <f t="shared" si="42"/>
        <v>120000</v>
      </c>
      <c r="Z47" s="62">
        <f t="shared" si="42"/>
        <v>120000</v>
      </c>
      <c r="AA47" s="62">
        <f t="shared" si="42"/>
        <v>120000</v>
      </c>
      <c r="AB47" s="62">
        <f t="shared" si="42"/>
        <v>120000</v>
      </c>
      <c r="AC47" s="62">
        <f t="shared" si="42"/>
        <v>120000</v>
      </c>
    </row>
    <row r="48" spans="1:29" ht="15" thickBot="1" x14ac:dyDescent="0.35">
      <c r="AC48" s="32"/>
    </row>
    <row r="49" spans="1:29" ht="15" thickBot="1" x14ac:dyDescent="0.35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3">
      <c r="A50" s="29" t="str">
        <f>A31</f>
        <v>Capex vehicle</v>
      </c>
      <c r="B50" s="63">
        <f>((1+B35)^B42)*B35/(((1+B35)^B42)-1)*(B31)</f>
        <v>1524647.8790978624</v>
      </c>
      <c r="C50" s="63">
        <f t="shared" ref="C50:AC50" si="43">((1+C35)^C42)*C35/(((1+C35)^C42)-1)*(C31)</f>
        <v>1524313.4062710819</v>
      </c>
      <c r="D50" s="63">
        <f t="shared" si="43"/>
        <v>1523834.6158693277</v>
      </c>
      <c r="E50" s="63">
        <f t="shared" si="43"/>
        <v>1523149.6725295712</v>
      </c>
      <c r="F50" s="63">
        <f t="shared" si="43"/>
        <v>1522170.737356808</v>
      </c>
      <c r="G50" s="63">
        <f t="shared" si="43"/>
        <v>1520773.5853086114</v>
      </c>
      <c r="H50" s="63">
        <f t="shared" si="43"/>
        <v>1518783.6980330625</v>
      </c>
      <c r="I50" s="63">
        <f t="shared" si="43"/>
        <v>1515958.3433556822</v>
      </c>
      <c r="J50" s="63">
        <f t="shared" si="43"/>
        <v>1511964.9760184553</v>
      </c>
      <c r="K50" s="63">
        <f t="shared" si="43"/>
        <v>1506358.3603233036</v>
      </c>
      <c r="L50" s="63">
        <f t="shared" si="43"/>
        <v>1498563.1292425212</v>
      </c>
      <c r="M50" s="63">
        <f t="shared" si="43"/>
        <v>1487876.1590509433</v>
      </c>
      <c r="N50" s="63">
        <f t="shared" si="43"/>
        <v>1473514.0162828909</v>
      </c>
      <c r="O50" s="63">
        <f t="shared" si="43"/>
        <v>1454739.9211231149</v>
      </c>
      <c r="P50" s="63">
        <f t="shared" si="43"/>
        <v>1431097.1215033231</v>
      </c>
      <c r="Q50" s="63">
        <f t="shared" si="43"/>
        <v>1402726.440626242</v>
      </c>
      <c r="R50" s="63">
        <f t="shared" si="43"/>
        <v>1370645.6221440069</v>
      </c>
      <c r="S50" s="63">
        <f t="shared" si="43"/>
        <v>1336778.0336965974</v>
      </c>
      <c r="T50" s="63">
        <f t="shared" si="43"/>
        <v>1303576.896042286</v>
      </c>
      <c r="U50" s="63">
        <f t="shared" si="43"/>
        <v>1273353.2170381402</v>
      </c>
      <c r="V50" s="63">
        <f t="shared" si="43"/>
        <v>1247667.3938192725</v>
      </c>
      <c r="W50" s="63">
        <f t="shared" si="43"/>
        <v>1227097.6494912698</v>
      </c>
      <c r="X50" s="63">
        <f t="shared" si="43"/>
        <v>1211402.0216186012</v>
      </c>
      <c r="Y50" s="63">
        <f t="shared" si="43"/>
        <v>1199864.4763410145</v>
      </c>
      <c r="Z50" s="63">
        <f t="shared" si="43"/>
        <v>1191615.2983773351</v>
      </c>
      <c r="AA50" s="63">
        <f t="shared" si="43"/>
        <v>1185833.8428605145</v>
      </c>
      <c r="AB50" s="63">
        <f t="shared" si="43"/>
        <v>1181838.5017423639</v>
      </c>
      <c r="AC50" s="63">
        <f t="shared" si="43"/>
        <v>1179104.2907197287</v>
      </c>
    </row>
    <row r="51" spans="1:29" x14ac:dyDescent="0.3">
      <c r="A51" s="30" t="str">
        <f>A32</f>
        <v>Residual value (vehicle)</v>
      </c>
      <c r="B51" s="62">
        <f>((1+B35)^B42)*B35/(((1+B35)^B42)-1)*(B32)</f>
        <v>-76361.248295139725</v>
      </c>
      <c r="C51" s="62">
        <f t="shared" ref="C51:AC51" si="44">((1+C35)^C42)*C35/(((1+C35)^C42)-1)*(C32)</f>
        <v>-76400.270124930772</v>
      </c>
      <c r="D51" s="62">
        <f t="shared" si="44"/>
        <v>-76456.129005135459</v>
      </c>
      <c r="E51" s="62">
        <f t="shared" si="44"/>
        <v>-76536.039061440344</v>
      </c>
      <c r="F51" s="62">
        <f t="shared" si="44"/>
        <v>-76650.248164929391</v>
      </c>
      <c r="G51" s="62">
        <f t="shared" si="44"/>
        <v>-76813.249237219032</v>
      </c>
      <c r="H51" s="62">
        <f t="shared" si="44"/>
        <v>-77045.402752699738</v>
      </c>
      <c r="I51" s="62">
        <f t="shared" si="44"/>
        <v>-77375.027465060732</v>
      </c>
      <c r="J51" s="62">
        <f t="shared" si="44"/>
        <v>-77840.920321070545</v>
      </c>
      <c r="K51" s="62">
        <f t="shared" si="44"/>
        <v>-78495.025485504913</v>
      </c>
      <c r="L51" s="62">
        <f t="shared" si="44"/>
        <v>-79404.46911159619</v>
      </c>
      <c r="M51" s="62">
        <f t="shared" si="44"/>
        <v>-80651.282300613602</v>
      </c>
      <c r="N51" s="62">
        <f t="shared" si="44"/>
        <v>-82326.865623553065</v>
      </c>
      <c r="O51" s="62">
        <f t="shared" si="44"/>
        <v>-84517.176725526937</v>
      </c>
      <c r="P51" s="62">
        <f t="shared" si="44"/>
        <v>-87275.503347835998</v>
      </c>
      <c r="Q51" s="62">
        <f t="shared" si="44"/>
        <v>-90585.416116828768</v>
      </c>
      <c r="R51" s="62">
        <f t="shared" si="44"/>
        <v>-94328.178273089521</v>
      </c>
      <c r="S51" s="62">
        <f t="shared" si="44"/>
        <v>-98279.396925287292</v>
      </c>
      <c r="T51" s="62">
        <f t="shared" si="44"/>
        <v>-102152.86298495698</v>
      </c>
      <c r="U51" s="62">
        <f t="shared" si="44"/>
        <v>-105678.95886877397</v>
      </c>
      <c r="V51" s="62">
        <f t="shared" si="44"/>
        <v>-108675.63824430856</v>
      </c>
      <c r="W51" s="62">
        <f t="shared" si="44"/>
        <v>-111075.44174924218</v>
      </c>
      <c r="X51" s="62">
        <f t="shared" si="44"/>
        <v>-112906.59833438687</v>
      </c>
      <c r="Y51" s="62">
        <f t="shared" si="44"/>
        <v>-114252.64528343864</v>
      </c>
      <c r="Z51" s="62">
        <f t="shared" si="44"/>
        <v>-115215.04937920124</v>
      </c>
      <c r="AA51" s="62">
        <f t="shared" si="44"/>
        <v>-115889.55252283029</v>
      </c>
      <c r="AB51" s="62">
        <f t="shared" si="44"/>
        <v>-116355.67565328123</v>
      </c>
      <c r="AC51" s="62">
        <f t="shared" si="44"/>
        <v>-116674.66693925532</v>
      </c>
    </row>
    <row r="52" spans="1:29" x14ac:dyDescent="0.3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5">((1+C35)^C43)*C35/(((1+C35)^C43)-1)*(C33)</f>
        <v>78226.718212273947</v>
      </c>
      <c r="D52" s="62">
        <f t="shared" si="45"/>
        <v>78226.718212273947</v>
      </c>
      <c r="E52" s="62">
        <f t="shared" si="45"/>
        <v>78226.718212273947</v>
      </c>
      <c r="F52" s="62">
        <f t="shared" si="45"/>
        <v>78226.718212273947</v>
      </c>
      <c r="G52" s="62">
        <f t="shared" si="45"/>
        <v>78226.718212273947</v>
      </c>
      <c r="H52" s="62">
        <f t="shared" si="45"/>
        <v>78226.718212273947</v>
      </c>
      <c r="I52" s="62">
        <f t="shared" si="45"/>
        <v>78226.718212273947</v>
      </c>
      <c r="J52" s="62">
        <f t="shared" si="45"/>
        <v>78226.718212273947</v>
      </c>
      <c r="K52" s="62">
        <f t="shared" si="45"/>
        <v>78226.718212273947</v>
      </c>
      <c r="L52" s="62">
        <f t="shared" si="45"/>
        <v>78226.718212273947</v>
      </c>
      <c r="M52" s="62">
        <f t="shared" si="45"/>
        <v>78226.718212273947</v>
      </c>
      <c r="N52" s="62">
        <f t="shared" si="45"/>
        <v>78226.718212273947</v>
      </c>
      <c r="O52" s="62">
        <f t="shared" si="45"/>
        <v>78226.718212273947</v>
      </c>
      <c r="P52" s="62">
        <f t="shared" si="45"/>
        <v>78226.718212273947</v>
      </c>
      <c r="Q52" s="62">
        <f t="shared" si="45"/>
        <v>78226.718212273947</v>
      </c>
      <c r="R52" s="62">
        <f t="shared" si="45"/>
        <v>78226.718212273947</v>
      </c>
      <c r="S52" s="62">
        <f t="shared" si="45"/>
        <v>78226.718212273947</v>
      </c>
      <c r="T52" s="62">
        <f t="shared" si="45"/>
        <v>78226.718212273947</v>
      </c>
      <c r="U52" s="62">
        <f t="shared" si="45"/>
        <v>78226.718212273947</v>
      </c>
      <c r="V52" s="62">
        <f t="shared" si="45"/>
        <v>78226.718212273947</v>
      </c>
      <c r="W52" s="62">
        <f t="shared" si="45"/>
        <v>78226.718212273947</v>
      </c>
      <c r="X52" s="62">
        <f t="shared" si="45"/>
        <v>78226.718212273947</v>
      </c>
      <c r="Y52" s="62">
        <f t="shared" si="45"/>
        <v>78226.718212273947</v>
      </c>
      <c r="Z52" s="62">
        <f t="shared" si="45"/>
        <v>78226.718212273947</v>
      </c>
      <c r="AA52" s="62">
        <f t="shared" si="45"/>
        <v>78226.718212273947</v>
      </c>
      <c r="AB52" s="62">
        <f t="shared" si="45"/>
        <v>78226.718212273947</v>
      </c>
      <c r="AC52" s="62">
        <f t="shared" si="45"/>
        <v>78226.718212273947</v>
      </c>
    </row>
    <row r="53" spans="1:29" x14ac:dyDescent="0.3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6">((1+C35)^C43)*C35/(((1+C35)^C43)-1)*(C34)</f>
        <v>-7822.6718212273945</v>
      </c>
      <c r="D53" s="62">
        <f t="shared" si="46"/>
        <v>-7822.6718212273945</v>
      </c>
      <c r="E53" s="62">
        <f t="shared" si="46"/>
        <v>-7822.6718212273945</v>
      </c>
      <c r="F53" s="62">
        <f t="shared" si="46"/>
        <v>-7822.6718212273945</v>
      </c>
      <c r="G53" s="62">
        <f t="shared" si="46"/>
        <v>-7822.6718212273945</v>
      </c>
      <c r="H53" s="62">
        <f t="shared" si="46"/>
        <v>-7822.6718212273945</v>
      </c>
      <c r="I53" s="62">
        <f t="shared" si="46"/>
        <v>-7822.6718212273945</v>
      </c>
      <c r="J53" s="62">
        <f t="shared" si="46"/>
        <v>-7822.6718212273945</v>
      </c>
      <c r="K53" s="62">
        <f t="shared" si="46"/>
        <v>-7822.6718212273945</v>
      </c>
      <c r="L53" s="62">
        <f t="shared" si="46"/>
        <v>-7822.6718212273945</v>
      </c>
      <c r="M53" s="62">
        <f t="shared" si="46"/>
        <v>-7822.6718212273945</v>
      </c>
      <c r="N53" s="62">
        <f t="shared" si="46"/>
        <v>-7822.6718212273945</v>
      </c>
      <c r="O53" s="62">
        <f t="shared" si="46"/>
        <v>-7822.6718212273945</v>
      </c>
      <c r="P53" s="62">
        <f t="shared" si="46"/>
        <v>-7822.6718212273945</v>
      </c>
      <c r="Q53" s="62">
        <f t="shared" si="46"/>
        <v>-7822.6718212273945</v>
      </c>
      <c r="R53" s="62">
        <f t="shared" si="46"/>
        <v>-7822.6718212273945</v>
      </c>
      <c r="S53" s="62">
        <f t="shared" si="46"/>
        <v>-7822.6718212273945</v>
      </c>
      <c r="T53" s="62">
        <f t="shared" si="46"/>
        <v>-7822.6718212273945</v>
      </c>
      <c r="U53" s="62">
        <f t="shared" si="46"/>
        <v>-7822.6718212273945</v>
      </c>
      <c r="V53" s="62">
        <f t="shared" si="46"/>
        <v>-7822.6718212273945</v>
      </c>
      <c r="W53" s="62">
        <f t="shared" si="46"/>
        <v>-7822.6718212273945</v>
      </c>
      <c r="X53" s="62">
        <f t="shared" si="46"/>
        <v>-7822.6718212273945</v>
      </c>
      <c r="Y53" s="62">
        <f t="shared" si="46"/>
        <v>-7822.6718212273945</v>
      </c>
      <c r="Z53" s="62">
        <f t="shared" si="46"/>
        <v>-7822.6718212273945</v>
      </c>
      <c r="AA53" s="62">
        <f t="shared" si="46"/>
        <v>-7822.6718212273945</v>
      </c>
      <c r="AB53" s="62">
        <f t="shared" si="46"/>
        <v>-7822.6718212273945</v>
      </c>
      <c r="AC53" s="62">
        <f t="shared" si="46"/>
        <v>-7822.6718212273945</v>
      </c>
    </row>
    <row r="54" spans="1:29" x14ac:dyDescent="0.3">
      <c r="A54" s="30" t="str">
        <f t="shared" ref="A54:AC54" si="47">A36</f>
        <v>Opex fix (admin, crew, insurance)</v>
      </c>
      <c r="B54" s="62">
        <f t="shared" si="47"/>
        <v>1208235.294117647</v>
      </c>
      <c r="C54" s="62">
        <f t="shared" si="47"/>
        <v>1208235.294117647</v>
      </c>
      <c r="D54" s="62">
        <f t="shared" si="47"/>
        <v>1208235.294117647</v>
      </c>
      <c r="E54" s="62">
        <f t="shared" si="47"/>
        <v>1208235.294117647</v>
      </c>
      <c r="F54" s="62">
        <f t="shared" si="47"/>
        <v>1208235.294117647</v>
      </c>
      <c r="G54" s="62">
        <f t="shared" si="47"/>
        <v>1208235.294117647</v>
      </c>
      <c r="H54" s="62">
        <f t="shared" si="47"/>
        <v>1208235.294117647</v>
      </c>
      <c r="I54" s="62">
        <f t="shared" si="47"/>
        <v>1208235.294117647</v>
      </c>
      <c r="J54" s="62">
        <f t="shared" si="47"/>
        <v>1208235.294117647</v>
      </c>
      <c r="K54" s="62">
        <f t="shared" si="47"/>
        <v>1208235.294117647</v>
      </c>
      <c r="L54" s="62">
        <f t="shared" si="47"/>
        <v>1208235.294117647</v>
      </c>
      <c r="M54" s="62">
        <f t="shared" si="47"/>
        <v>1208235.294117647</v>
      </c>
      <c r="N54" s="62">
        <f t="shared" si="47"/>
        <v>1208235.294117647</v>
      </c>
      <c r="O54" s="62">
        <f t="shared" si="47"/>
        <v>1208235.294117647</v>
      </c>
      <c r="P54" s="62">
        <f t="shared" si="47"/>
        <v>1208235.294117647</v>
      </c>
      <c r="Q54" s="62">
        <f t="shared" si="47"/>
        <v>1208235.294117647</v>
      </c>
      <c r="R54" s="62">
        <f t="shared" si="47"/>
        <v>1208235.294117647</v>
      </c>
      <c r="S54" s="62">
        <f t="shared" si="47"/>
        <v>1208235.294117647</v>
      </c>
      <c r="T54" s="62">
        <f t="shared" si="47"/>
        <v>1208235.294117647</v>
      </c>
      <c r="U54" s="62">
        <f t="shared" si="47"/>
        <v>1208235.294117647</v>
      </c>
      <c r="V54" s="62">
        <f t="shared" si="47"/>
        <v>1208235.294117647</v>
      </c>
      <c r="W54" s="62">
        <f t="shared" si="47"/>
        <v>1208235.294117647</v>
      </c>
      <c r="X54" s="62">
        <f t="shared" si="47"/>
        <v>1208235.294117647</v>
      </c>
      <c r="Y54" s="62">
        <f t="shared" si="47"/>
        <v>1208235.294117647</v>
      </c>
      <c r="Z54" s="62">
        <f t="shared" si="47"/>
        <v>1208235.294117647</v>
      </c>
      <c r="AA54" s="62">
        <f t="shared" si="47"/>
        <v>1208235.294117647</v>
      </c>
      <c r="AB54" s="62">
        <f t="shared" si="47"/>
        <v>1208235.294117647</v>
      </c>
      <c r="AC54" s="62">
        <f t="shared" si="47"/>
        <v>1208235.294117647</v>
      </c>
    </row>
    <row r="55" spans="1:29" x14ac:dyDescent="0.3">
      <c r="A55" s="30" t="str">
        <f t="shared" ref="A55:AC55" si="48">A37</f>
        <v>Opex maintenance &amp; repair</v>
      </c>
      <c r="B55" s="62">
        <f t="shared" si="48"/>
        <v>488235.29411764705</v>
      </c>
      <c r="C55" s="62">
        <f t="shared" si="48"/>
        <v>488235.29411764705</v>
      </c>
      <c r="D55" s="62">
        <f t="shared" si="48"/>
        <v>488235.29411764705</v>
      </c>
      <c r="E55" s="62">
        <f t="shared" si="48"/>
        <v>488235.29411764705</v>
      </c>
      <c r="F55" s="62">
        <f t="shared" si="48"/>
        <v>488235.29411764705</v>
      </c>
      <c r="G55" s="62">
        <f t="shared" si="48"/>
        <v>488235.29411764705</v>
      </c>
      <c r="H55" s="62">
        <f t="shared" si="48"/>
        <v>488235.29411764705</v>
      </c>
      <c r="I55" s="62">
        <f t="shared" si="48"/>
        <v>488235.29411764705</v>
      </c>
      <c r="J55" s="62">
        <f t="shared" si="48"/>
        <v>488235.29411764705</v>
      </c>
      <c r="K55" s="62">
        <f t="shared" si="48"/>
        <v>488235.29411764705</v>
      </c>
      <c r="L55" s="62">
        <f t="shared" si="48"/>
        <v>488235.29411764705</v>
      </c>
      <c r="M55" s="62">
        <f t="shared" si="48"/>
        <v>488235.29411764705</v>
      </c>
      <c r="N55" s="62">
        <f t="shared" si="48"/>
        <v>488235.29411764705</v>
      </c>
      <c r="O55" s="62">
        <f t="shared" si="48"/>
        <v>488235.29411764705</v>
      </c>
      <c r="P55" s="62">
        <f t="shared" si="48"/>
        <v>488235.29411764705</v>
      </c>
      <c r="Q55" s="62">
        <f t="shared" si="48"/>
        <v>488235.29411764705</v>
      </c>
      <c r="R55" s="62">
        <f t="shared" si="48"/>
        <v>488235.29411764705</v>
      </c>
      <c r="S55" s="62">
        <f t="shared" si="48"/>
        <v>488235.29411764705</v>
      </c>
      <c r="T55" s="62">
        <f t="shared" si="48"/>
        <v>488235.29411764705</v>
      </c>
      <c r="U55" s="62">
        <f t="shared" si="48"/>
        <v>488235.29411764705</v>
      </c>
      <c r="V55" s="62">
        <f t="shared" si="48"/>
        <v>488235.29411764705</v>
      </c>
      <c r="W55" s="62">
        <f t="shared" si="48"/>
        <v>488235.29411764705</v>
      </c>
      <c r="X55" s="62">
        <f t="shared" si="48"/>
        <v>488235.29411764705</v>
      </c>
      <c r="Y55" s="62">
        <f t="shared" si="48"/>
        <v>488235.29411764705</v>
      </c>
      <c r="Z55" s="62">
        <f t="shared" si="48"/>
        <v>488235.29411764705</v>
      </c>
      <c r="AA55" s="62">
        <f t="shared" si="48"/>
        <v>488235.29411764705</v>
      </c>
      <c r="AB55" s="62">
        <f t="shared" si="48"/>
        <v>488235.29411764705</v>
      </c>
      <c r="AC55" s="62">
        <f t="shared" si="48"/>
        <v>488235.29411764705</v>
      </c>
    </row>
    <row r="56" spans="1:29" x14ac:dyDescent="0.3">
      <c r="A56" s="30" t="str">
        <f>A38</f>
        <v>Opex var (mode-fees)</v>
      </c>
      <c r="B56" s="62">
        <f>B38*B47</f>
        <v>101496.22349468413</v>
      </c>
      <c r="C56" s="62">
        <f t="shared" ref="C56:AC56" si="49">C38*C47</f>
        <v>101496.22349468413</v>
      </c>
      <c r="D56" s="62">
        <f t="shared" si="49"/>
        <v>101496.22349468413</v>
      </c>
      <c r="E56" s="62">
        <f t="shared" si="49"/>
        <v>101496.22349468413</v>
      </c>
      <c r="F56" s="62">
        <f t="shared" si="49"/>
        <v>101496.22349468413</v>
      </c>
      <c r="G56" s="62">
        <f t="shared" si="49"/>
        <v>101496.22349468413</v>
      </c>
      <c r="H56" s="62">
        <f t="shared" si="49"/>
        <v>101496.22349468413</v>
      </c>
      <c r="I56" s="62">
        <f t="shared" si="49"/>
        <v>101496.22349468413</v>
      </c>
      <c r="J56" s="62">
        <f t="shared" si="49"/>
        <v>101496.22349468413</v>
      </c>
      <c r="K56" s="62">
        <f t="shared" si="49"/>
        <v>101496.22349468413</v>
      </c>
      <c r="L56" s="62">
        <f t="shared" si="49"/>
        <v>101496.22349468413</v>
      </c>
      <c r="M56" s="62">
        <f t="shared" si="49"/>
        <v>101496.22349468413</v>
      </c>
      <c r="N56" s="62">
        <f t="shared" si="49"/>
        <v>101496.22349468413</v>
      </c>
      <c r="O56" s="62">
        <f t="shared" si="49"/>
        <v>101496.22349468413</v>
      </c>
      <c r="P56" s="62">
        <f t="shared" si="49"/>
        <v>101496.22349468413</v>
      </c>
      <c r="Q56" s="62">
        <f t="shared" si="49"/>
        <v>101496.22349468413</v>
      </c>
      <c r="R56" s="62">
        <f t="shared" si="49"/>
        <v>101496.22349468413</v>
      </c>
      <c r="S56" s="62">
        <f t="shared" si="49"/>
        <v>101496.22349468413</v>
      </c>
      <c r="T56" s="62">
        <f t="shared" si="49"/>
        <v>101496.22349468413</v>
      </c>
      <c r="U56" s="62">
        <f t="shared" si="49"/>
        <v>101496.22349468413</v>
      </c>
      <c r="V56" s="62">
        <f t="shared" si="49"/>
        <v>101496.22349468413</v>
      </c>
      <c r="W56" s="62">
        <f t="shared" si="49"/>
        <v>101496.22349468413</v>
      </c>
      <c r="X56" s="62">
        <f t="shared" si="49"/>
        <v>101496.22349468413</v>
      </c>
      <c r="Y56" s="62">
        <f t="shared" si="49"/>
        <v>101496.22349468413</v>
      </c>
      <c r="Z56" s="62">
        <f t="shared" si="49"/>
        <v>101496.22349468413</v>
      </c>
      <c r="AA56" s="62">
        <f t="shared" si="49"/>
        <v>101496.22349468413</v>
      </c>
      <c r="AB56" s="62">
        <f t="shared" si="49"/>
        <v>101496.22349468413</v>
      </c>
      <c r="AC56" s="62">
        <f t="shared" si="49"/>
        <v>101496.22349468413</v>
      </c>
    </row>
    <row r="57" spans="1:29" x14ac:dyDescent="0.3">
      <c r="A57" s="30" t="str">
        <f>A40</f>
        <v>Fuel Cost</v>
      </c>
      <c r="B57" s="62">
        <f>B39*B40*B47</f>
        <v>29991431.991873663</v>
      </c>
      <c r="C57" s="62">
        <f t="shared" ref="C57:AC57" si="50">C39*C40*C47</f>
        <v>29968114.314698085</v>
      </c>
      <c r="D57" s="62">
        <f t="shared" si="50"/>
        <v>29934740.684751838</v>
      </c>
      <c r="E57" s="62">
        <f t="shared" si="50"/>
        <v>29887007.811612926</v>
      </c>
      <c r="F57" s="62">
        <f t="shared" si="50"/>
        <v>29818808.360266693</v>
      </c>
      <c r="G57" s="62">
        <f t="shared" si="50"/>
        <v>29721516.53319443</v>
      </c>
      <c r="H57" s="62">
        <f t="shared" si="50"/>
        <v>29583037.475510988</v>
      </c>
      <c r="I57" s="62">
        <f t="shared" si="50"/>
        <v>29386595.450035024</v>
      </c>
      <c r="J57" s="62">
        <f t="shared" si="50"/>
        <v>29109300.558257189</v>
      </c>
      <c r="K57" s="62">
        <f t="shared" si="50"/>
        <v>28720689.26373022</v>
      </c>
      <c r="L57" s="62">
        <f t="shared" si="50"/>
        <v>28181748.307460666</v>
      </c>
      <c r="M57" s="62">
        <f t="shared" si="50"/>
        <v>27445470.276869237</v>
      </c>
      <c r="N57" s="62">
        <f t="shared" si="50"/>
        <v>26460708.646529499</v>
      </c>
      <c r="O57" s="62">
        <f t="shared" si="50"/>
        <v>25181591.944662549</v>
      </c>
      <c r="P57" s="62">
        <f t="shared" si="50"/>
        <v>23583910.045394987</v>
      </c>
      <c r="Q57" s="62">
        <f t="shared" si="50"/>
        <v>21686086.401195381</v>
      </c>
      <c r="R57" s="62">
        <f t="shared" si="50"/>
        <v>19565505.89743302</v>
      </c>
      <c r="S57" s="62">
        <f t="shared" si="50"/>
        <v>17356103.509958196</v>
      </c>
      <c r="T57" s="62">
        <f t="shared" si="50"/>
        <v>15219375.200884178</v>
      </c>
      <c r="U57" s="62">
        <f t="shared" si="50"/>
        <v>13299402.174854711</v>
      </c>
      <c r="V57" s="62">
        <f t="shared" si="50"/>
        <v>11686528.363004457</v>
      </c>
      <c r="W57" s="62">
        <f t="shared" si="50"/>
        <v>10407380.866965672</v>
      </c>
      <c r="X57" s="62">
        <f t="shared" si="50"/>
        <v>9438797.9871739205</v>
      </c>
      <c r="Y57" s="62">
        <f t="shared" si="50"/>
        <v>8730931.7213512529</v>
      </c>
      <c r="Z57" s="62">
        <f t="shared" si="50"/>
        <v>8226957.7716881558</v>
      </c>
      <c r="AA57" s="62">
        <f t="shared" si="50"/>
        <v>7874810.0692344503</v>
      </c>
      <c r="AB57" s="62">
        <f t="shared" si="50"/>
        <v>7631966.536955812</v>
      </c>
      <c r="AC57" s="62">
        <f t="shared" si="50"/>
        <v>7466017.8668123754</v>
      </c>
    </row>
    <row r="58" spans="1:29" ht="15" thickBot="1" x14ac:dyDescent="0.35">
      <c r="A58" s="59" t="str">
        <f>A21</f>
        <v>Emission Cost</v>
      </c>
      <c r="B58" s="62">
        <f>B41*B47</f>
        <v>378739.69366716623</v>
      </c>
      <c r="C58" s="62">
        <f t="shared" ref="C58:AC58" si="51">C41*C47</f>
        <v>378379.04119822913</v>
      </c>
      <c r="D58" s="62">
        <f t="shared" si="51"/>
        <v>377862.77522183186</v>
      </c>
      <c r="E58" s="62">
        <f t="shared" si="51"/>
        <v>377124.22043714899</v>
      </c>
      <c r="F58" s="62">
        <f t="shared" si="51"/>
        <v>376068.66267963283</v>
      </c>
      <c r="G58" s="62">
        <f t="shared" si="51"/>
        <v>374562.15364416625</v>
      </c>
      <c r="H58" s="62">
        <f t="shared" si="51"/>
        <v>372416.51519053977</v>
      </c>
      <c r="I58" s="62">
        <f t="shared" si="51"/>
        <v>369370.01616749936</v>
      </c>
      <c r="J58" s="62">
        <f t="shared" si="51"/>
        <v>365064.08254829637</v>
      </c>
      <c r="K58" s="62">
        <f t="shared" si="51"/>
        <v>359018.62943241297</v>
      </c>
      <c r="L58" s="62">
        <f t="shared" si="51"/>
        <v>350613.255033897</v>
      </c>
      <c r="M58" s="62">
        <f t="shared" si="51"/>
        <v>339089.80117921339</v>
      </c>
      <c r="N58" s="62">
        <f t="shared" si="51"/>
        <v>323603.51400191215</v>
      </c>
      <c r="O58" s="62">
        <f t="shared" si="51"/>
        <v>303359.94493051956</v>
      </c>
      <c r="P58" s="62">
        <f t="shared" si="51"/>
        <v>277866.59129237483</v>
      </c>
      <c r="Q58" s="62">
        <f t="shared" si="51"/>
        <v>247275.2987134319</v>
      </c>
      <c r="R58" s="62">
        <f t="shared" si="51"/>
        <v>212683.47102293672</v>
      </c>
      <c r="S58" s="62">
        <f t="shared" si="51"/>
        <v>176165.0204567787</v>
      </c>
      <c r="T58" s="62">
        <f t="shared" si="51"/>
        <v>140365.18469191671</v>
      </c>
      <c r="U58" s="62">
        <f t="shared" si="51"/>
        <v>107775.85730729303</v>
      </c>
      <c r="V58" s="62">
        <f t="shared" si="51"/>
        <v>80079.569839826625</v>
      </c>
      <c r="W58" s="62">
        <f t="shared" si="51"/>
        <v>57899.803702443598</v>
      </c>
      <c r="X58" s="62">
        <f t="shared" si="51"/>
        <v>40975.65773135038</v>
      </c>
      <c r="Y58" s="62">
        <f t="shared" si="51"/>
        <v>28535.053124127946</v>
      </c>
      <c r="Z58" s="62">
        <f t="shared" si="51"/>
        <v>19640.20080401509</v>
      </c>
      <c r="AA58" s="62">
        <f t="shared" si="51"/>
        <v>13406.222916297957</v>
      </c>
      <c r="AB58" s="62">
        <f t="shared" si="51"/>
        <v>9098.161025659123</v>
      </c>
      <c r="AC58" s="62">
        <f t="shared" si="51"/>
        <v>6149.9395949364907</v>
      </c>
    </row>
    <row r="59" spans="1:29" ht="15" thickBot="1" x14ac:dyDescent="0.35">
      <c r="A59" s="31" t="s">
        <v>209</v>
      </c>
      <c r="B59" s="64">
        <f>B50+B51+B52+B53+B54+B55+B56+B57+B58</f>
        <v>33686829.174464576</v>
      </c>
      <c r="C59" s="64">
        <f t="shared" ref="C59:AC59" si="52">C50+C51+C52+C53+C54+C55+C56+C57+C58</f>
        <v>33662777.35016349</v>
      </c>
      <c r="D59" s="64">
        <f t="shared" si="52"/>
        <v>33628352.804958887</v>
      </c>
      <c r="E59" s="64">
        <f t="shared" si="52"/>
        <v>33579116.523639232</v>
      </c>
      <c r="F59" s="64">
        <f t="shared" si="52"/>
        <v>33508768.370259229</v>
      </c>
      <c r="G59" s="64">
        <f t="shared" si="52"/>
        <v>33408409.881031014</v>
      </c>
      <c r="H59" s="64">
        <f t="shared" si="52"/>
        <v>33265563.144102912</v>
      </c>
      <c r="I59" s="64">
        <f t="shared" si="52"/>
        <v>33062919.640214171</v>
      </c>
      <c r="J59" s="64">
        <f t="shared" si="52"/>
        <v>32776859.554623894</v>
      </c>
      <c r="K59" s="64">
        <f t="shared" si="52"/>
        <v>32375942.086121459</v>
      </c>
      <c r="L59" s="64">
        <f t="shared" si="52"/>
        <v>31819891.080746509</v>
      </c>
      <c r="M59" s="64">
        <f t="shared" si="52"/>
        <v>31060155.812919803</v>
      </c>
      <c r="N59" s="64">
        <f t="shared" si="52"/>
        <v>30043870.169311777</v>
      </c>
      <c r="O59" s="64">
        <f t="shared" si="52"/>
        <v>28723545.492111683</v>
      </c>
      <c r="P59" s="64">
        <f t="shared" si="52"/>
        <v>27073969.112963874</v>
      </c>
      <c r="Q59" s="64">
        <f t="shared" si="52"/>
        <v>25113873.582539249</v>
      </c>
      <c r="R59" s="64">
        <f t="shared" si="52"/>
        <v>22922877.670447901</v>
      </c>
      <c r="S59" s="64">
        <f t="shared" si="52"/>
        <v>20639138.025307313</v>
      </c>
      <c r="T59" s="64">
        <f t="shared" si="52"/>
        <v>18429535.27675445</v>
      </c>
      <c r="U59" s="64">
        <f t="shared" si="52"/>
        <v>16443223.148452394</v>
      </c>
      <c r="V59" s="64">
        <f t="shared" si="52"/>
        <v>14773970.546540273</v>
      </c>
      <c r="W59" s="64">
        <f t="shared" si="52"/>
        <v>13449673.736531168</v>
      </c>
      <c r="X59" s="64">
        <f t="shared" si="52"/>
        <v>12446639.926310509</v>
      </c>
      <c r="Y59" s="64">
        <f t="shared" si="52"/>
        <v>11713449.463653982</v>
      </c>
      <c r="Z59" s="64">
        <f t="shared" si="52"/>
        <v>11191369.079611329</v>
      </c>
      <c r="AA59" s="64">
        <f t="shared" si="52"/>
        <v>10826531.440609457</v>
      </c>
      <c r="AB59" s="64">
        <f t="shared" si="52"/>
        <v>10574918.382191578</v>
      </c>
      <c r="AC59" s="64">
        <f t="shared" si="52"/>
        <v>10402968.28830881</v>
      </c>
    </row>
    <row r="60" spans="1:29" ht="15" thickBot="1" x14ac:dyDescent="0.35">
      <c r="AC60" s="32"/>
    </row>
    <row r="61" spans="1:29" ht="15" thickBot="1" x14ac:dyDescent="0.35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3">
      <c r="A62" s="29" t="str">
        <f t="shared" ref="A62:A69" si="53">A50</f>
        <v>Capex vehicle</v>
      </c>
      <c r="B62" s="65">
        <f>((1+B35)^B42)*B35/(((1+B35)^B42)-1)*(B31)/B47</f>
        <v>12.705398992482186</v>
      </c>
      <c r="C62" s="65">
        <f t="shared" ref="C62:AC62" si="54">((1+C35)^C42)*C35/(((1+C35)^C42)-1)*(C31)/C47</f>
        <v>12.702611718925683</v>
      </c>
      <c r="D62" s="65">
        <f t="shared" si="54"/>
        <v>12.698621798911065</v>
      </c>
      <c r="E62" s="65">
        <f t="shared" si="54"/>
        <v>12.692913937746427</v>
      </c>
      <c r="F62" s="65">
        <f t="shared" si="54"/>
        <v>12.684756144640067</v>
      </c>
      <c r="G62" s="65">
        <f t="shared" si="54"/>
        <v>12.673113210905095</v>
      </c>
      <c r="H62" s="65">
        <f t="shared" si="54"/>
        <v>12.656530816942187</v>
      </c>
      <c r="I62" s="65">
        <f t="shared" si="54"/>
        <v>12.632986194630686</v>
      </c>
      <c r="J62" s="65">
        <f t="shared" si="54"/>
        <v>12.599708133487129</v>
      </c>
      <c r="K62" s="65">
        <f t="shared" si="54"/>
        <v>12.55298633602753</v>
      </c>
      <c r="L62" s="65">
        <f t="shared" si="54"/>
        <v>12.48802607702101</v>
      </c>
      <c r="M62" s="65">
        <f t="shared" si="54"/>
        <v>12.398967992091194</v>
      </c>
      <c r="N62" s="65">
        <f t="shared" si="54"/>
        <v>12.27928346902409</v>
      </c>
      <c r="O62" s="65">
        <f t="shared" si="54"/>
        <v>12.122832676025958</v>
      </c>
      <c r="P62" s="65">
        <f t="shared" si="54"/>
        <v>11.925809345861026</v>
      </c>
      <c r="Q62" s="65">
        <f t="shared" si="54"/>
        <v>11.689387005218682</v>
      </c>
      <c r="R62" s="65">
        <f t="shared" si="54"/>
        <v>11.422046851200058</v>
      </c>
      <c r="S62" s="65">
        <f t="shared" si="54"/>
        <v>11.139816947471646</v>
      </c>
      <c r="T62" s="65">
        <f t="shared" si="54"/>
        <v>10.863140800352383</v>
      </c>
      <c r="U62" s="65">
        <f t="shared" si="54"/>
        <v>10.611276808651168</v>
      </c>
      <c r="V62" s="65">
        <f t="shared" si="54"/>
        <v>10.397228281827271</v>
      </c>
      <c r="W62" s="65">
        <f t="shared" si="54"/>
        <v>10.225813745760583</v>
      </c>
      <c r="X62" s="65">
        <f t="shared" si="54"/>
        <v>10.095016846821677</v>
      </c>
      <c r="Y62" s="65">
        <f t="shared" si="54"/>
        <v>9.9988706361751216</v>
      </c>
      <c r="Z62" s="65">
        <f t="shared" si="54"/>
        <v>9.930127486477792</v>
      </c>
      <c r="AA62" s="65">
        <f t="shared" si="54"/>
        <v>9.8819486905042879</v>
      </c>
      <c r="AB62" s="65">
        <f t="shared" si="54"/>
        <v>9.8486541811863653</v>
      </c>
      <c r="AC62" s="65">
        <f t="shared" si="54"/>
        <v>9.8258690893310732</v>
      </c>
    </row>
    <row r="63" spans="1:29" x14ac:dyDescent="0.3">
      <c r="A63" s="30" t="str">
        <f t="shared" si="53"/>
        <v>Residual value (vehicle)</v>
      </c>
      <c r="B63" s="66">
        <f>((1+B35)^B42)*B35/(((1+B35)^B42)-1)*(B32)/B47</f>
        <v>-0.63634373579283099</v>
      </c>
      <c r="C63" s="66">
        <f t="shared" ref="C63:AC63" si="55">((1+C35)^C42)*C35/(((1+C35)^C42)-1)*(C32)/C47</f>
        <v>-0.63666891770775647</v>
      </c>
      <c r="D63" s="66">
        <f t="shared" si="55"/>
        <v>-0.63713440837612878</v>
      </c>
      <c r="E63" s="66">
        <f t="shared" si="55"/>
        <v>-0.63780032551200283</v>
      </c>
      <c r="F63" s="66">
        <f t="shared" si="55"/>
        <v>-0.63875206804107831</v>
      </c>
      <c r="G63" s="66">
        <f t="shared" si="55"/>
        <v>-0.64011041031015858</v>
      </c>
      <c r="H63" s="66">
        <f t="shared" si="55"/>
        <v>-0.64204502293916443</v>
      </c>
      <c r="I63" s="66">
        <f t="shared" si="55"/>
        <v>-0.64479189554217275</v>
      </c>
      <c r="J63" s="66">
        <f t="shared" si="55"/>
        <v>-0.64867433600892122</v>
      </c>
      <c r="K63" s="66">
        <f t="shared" si="55"/>
        <v>-0.65412521237920762</v>
      </c>
      <c r="L63" s="66">
        <f t="shared" si="55"/>
        <v>-0.66170390926330158</v>
      </c>
      <c r="M63" s="66">
        <f t="shared" si="55"/>
        <v>-0.67209401917178002</v>
      </c>
      <c r="N63" s="66">
        <f t="shared" si="55"/>
        <v>-0.68605721352960891</v>
      </c>
      <c r="O63" s="66">
        <f t="shared" si="55"/>
        <v>-0.70430980604605786</v>
      </c>
      <c r="P63" s="66">
        <f t="shared" si="55"/>
        <v>-0.72729586123196666</v>
      </c>
      <c r="Q63" s="66">
        <f t="shared" si="55"/>
        <v>-0.75487846764023969</v>
      </c>
      <c r="R63" s="66">
        <f t="shared" si="55"/>
        <v>-0.786068152275746</v>
      </c>
      <c r="S63" s="66">
        <f t="shared" si="55"/>
        <v>-0.8189949743773941</v>
      </c>
      <c r="T63" s="66">
        <f t="shared" si="55"/>
        <v>-0.85127385820797485</v>
      </c>
      <c r="U63" s="66">
        <f t="shared" si="55"/>
        <v>-0.88065799057311644</v>
      </c>
      <c r="V63" s="66">
        <f t="shared" si="55"/>
        <v>-0.90563031870257138</v>
      </c>
      <c r="W63" s="66">
        <f t="shared" si="55"/>
        <v>-0.9256286812436848</v>
      </c>
      <c r="X63" s="66">
        <f t="shared" si="55"/>
        <v>-0.94088831945322393</v>
      </c>
      <c r="Y63" s="66">
        <f t="shared" si="55"/>
        <v>-0.95210537736198875</v>
      </c>
      <c r="Z63" s="66">
        <f t="shared" si="55"/>
        <v>-0.96012541149334374</v>
      </c>
      <c r="AA63" s="66">
        <f t="shared" si="55"/>
        <v>-0.96574627102358568</v>
      </c>
      <c r="AB63" s="66">
        <f t="shared" si="55"/>
        <v>-0.96963063044401021</v>
      </c>
      <c r="AC63" s="66">
        <f t="shared" si="55"/>
        <v>-0.97228889116046091</v>
      </c>
    </row>
    <row r="64" spans="1:29" x14ac:dyDescent="0.3">
      <c r="A64" s="30" t="str">
        <f t="shared" si="53"/>
        <v>Capex costumization</v>
      </c>
      <c r="B64" s="66">
        <f>((1+B35)^B43)*B35/(((1+B35)^B43)-1)*(B33)/B47</f>
        <v>0.65188931843561626</v>
      </c>
      <c r="C64" s="66">
        <f t="shared" ref="C64:AC64" si="56">((1+C35)^C43)*C35/(((1+C35)^C43)-1)*(C33)/C47</f>
        <v>0.65188931843561626</v>
      </c>
      <c r="D64" s="66">
        <f t="shared" si="56"/>
        <v>0.65188931843561626</v>
      </c>
      <c r="E64" s="66">
        <f t="shared" si="56"/>
        <v>0.65188931843561626</v>
      </c>
      <c r="F64" s="66">
        <f t="shared" si="56"/>
        <v>0.65188931843561626</v>
      </c>
      <c r="G64" s="66">
        <f t="shared" si="56"/>
        <v>0.65188931843561626</v>
      </c>
      <c r="H64" s="66">
        <f t="shared" si="56"/>
        <v>0.65188931843561626</v>
      </c>
      <c r="I64" s="66">
        <f t="shared" si="56"/>
        <v>0.65188931843561626</v>
      </c>
      <c r="J64" s="66">
        <f t="shared" si="56"/>
        <v>0.65188931843561626</v>
      </c>
      <c r="K64" s="66">
        <f t="shared" si="56"/>
        <v>0.65188931843561626</v>
      </c>
      <c r="L64" s="66">
        <f t="shared" si="56"/>
        <v>0.65188931843561626</v>
      </c>
      <c r="M64" s="66">
        <f t="shared" si="56"/>
        <v>0.65188931843561626</v>
      </c>
      <c r="N64" s="66">
        <f t="shared" si="56"/>
        <v>0.65188931843561626</v>
      </c>
      <c r="O64" s="66">
        <f t="shared" si="56"/>
        <v>0.65188931843561626</v>
      </c>
      <c r="P64" s="66">
        <f t="shared" si="56"/>
        <v>0.65188931843561626</v>
      </c>
      <c r="Q64" s="66">
        <f t="shared" si="56"/>
        <v>0.65188931843561626</v>
      </c>
      <c r="R64" s="66">
        <f t="shared" si="56"/>
        <v>0.65188931843561626</v>
      </c>
      <c r="S64" s="66">
        <f t="shared" si="56"/>
        <v>0.65188931843561626</v>
      </c>
      <c r="T64" s="66">
        <f t="shared" si="56"/>
        <v>0.65188931843561626</v>
      </c>
      <c r="U64" s="66">
        <f t="shared" si="56"/>
        <v>0.65188931843561626</v>
      </c>
      <c r="V64" s="66">
        <f t="shared" si="56"/>
        <v>0.65188931843561626</v>
      </c>
      <c r="W64" s="66">
        <f t="shared" si="56"/>
        <v>0.65188931843561626</v>
      </c>
      <c r="X64" s="66">
        <f t="shared" si="56"/>
        <v>0.65188931843561626</v>
      </c>
      <c r="Y64" s="66">
        <f t="shared" si="56"/>
        <v>0.65188931843561626</v>
      </c>
      <c r="Z64" s="66">
        <f t="shared" si="56"/>
        <v>0.65188931843561626</v>
      </c>
      <c r="AA64" s="66">
        <f t="shared" si="56"/>
        <v>0.65188931843561626</v>
      </c>
      <c r="AB64" s="66">
        <f t="shared" si="56"/>
        <v>0.65188931843561626</v>
      </c>
      <c r="AC64" s="66">
        <f t="shared" si="56"/>
        <v>0.65188931843561626</v>
      </c>
    </row>
    <row r="65" spans="1:29" x14ac:dyDescent="0.3">
      <c r="A65" s="30" t="str">
        <f t="shared" si="53"/>
        <v>Residual value (costumization)</v>
      </c>
      <c r="B65" s="66">
        <f>((1+B35)^B43)*B35/(((1+B35)^B43)-1)*(B34)/B47</f>
        <v>-6.5188931843561615E-2</v>
      </c>
      <c r="C65" s="66">
        <f t="shared" ref="C65:AC65" si="57">((1+C35)^C43)*C35/(((1+C35)^C43)-1)*(C34)/C47</f>
        <v>-6.5188931843561615E-2</v>
      </c>
      <c r="D65" s="66">
        <f t="shared" si="57"/>
        <v>-6.5188931843561615E-2</v>
      </c>
      <c r="E65" s="66">
        <f t="shared" si="57"/>
        <v>-6.5188931843561615E-2</v>
      </c>
      <c r="F65" s="66">
        <f t="shared" si="57"/>
        <v>-6.5188931843561615E-2</v>
      </c>
      <c r="G65" s="66">
        <f t="shared" si="57"/>
        <v>-6.5188931843561615E-2</v>
      </c>
      <c r="H65" s="66">
        <f t="shared" si="57"/>
        <v>-6.5188931843561615E-2</v>
      </c>
      <c r="I65" s="66">
        <f t="shared" si="57"/>
        <v>-6.5188931843561615E-2</v>
      </c>
      <c r="J65" s="66">
        <f t="shared" si="57"/>
        <v>-6.5188931843561615E-2</v>
      </c>
      <c r="K65" s="66">
        <f t="shared" si="57"/>
        <v>-6.5188931843561615E-2</v>
      </c>
      <c r="L65" s="66">
        <f t="shared" si="57"/>
        <v>-6.5188931843561615E-2</v>
      </c>
      <c r="M65" s="66">
        <f t="shared" si="57"/>
        <v>-6.5188931843561615E-2</v>
      </c>
      <c r="N65" s="66">
        <f t="shared" si="57"/>
        <v>-6.5188931843561615E-2</v>
      </c>
      <c r="O65" s="66">
        <f t="shared" si="57"/>
        <v>-6.5188931843561615E-2</v>
      </c>
      <c r="P65" s="66">
        <f t="shared" si="57"/>
        <v>-6.5188931843561615E-2</v>
      </c>
      <c r="Q65" s="66">
        <f t="shared" si="57"/>
        <v>-6.5188931843561615E-2</v>
      </c>
      <c r="R65" s="66">
        <f t="shared" si="57"/>
        <v>-6.5188931843561615E-2</v>
      </c>
      <c r="S65" s="66">
        <f t="shared" si="57"/>
        <v>-6.5188931843561615E-2</v>
      </c>
      <c r="T65" s="66">
        <f t="shared" si="57"/>
        <v>-6.5188931843561615E-2</v>
      </c>
      <c r="U65" s="66">
        <f t="shared" si="57"/>
        <v>-6.5188931843561615E-2</v>
      </c>
      <c r="V65" s="66">
        <f t="shared" si="57"/>
        <v>-6.5188931843561615E-2</v>
      </c>
      <c r="W65" s="66">
        <f t="shared" si="57"/>
        <v>-6.5188931843561615E-2</v>
      </c>
      <c r="X65" s="66">
        <f t="shared" si="57"/>
        <v>-6.5188931843561615E-2</v>
      </c>
      <c r="Y65" s="66">
        <f t="shared" si="57"/>
        <v>-6.5188931843561615E-2</v>
      </c>
      <c r="Z65" s="66">
        <f t="shared" si="57"/>
        <v>-6.5188931843561615E-2</v>
      </c>
      <c r="AA65" s="66">
        <f t="shared" si="57"/>
        <v>-6.5188931843561615E-2</v>
      </c>
      <c r="AB65" s="66">
        <f t="shared" si="57"/>
        <v>-6.5188931843561615E-2</v>
      </c>
      <c r="AC65" s="66">
        <f t="shared" si="57"/>
        <v>-6.5188931843561615E-2</v>
      </c>
    </row>
    <row r="66" spans="1:29" x14ac:dyDescent="0.3">
      <c r="A66" s="30" t="str">
        <f t="shared" si="53"/>
        <v>Opex fix (admin, crew, insurance)</v>
      </c>
      <c r="B66" s="66">
        <f>B36/B47</f>
        <v>10.068627450980392</v>
      </c>
      <c r="C66" s="66">
        <f t="shared" ref="C66:AC66" si="58">C36/C47</f>
        <v>10.068627450980392</v>
      </c>
      <c r="D66" s="66">
        <f t="shared" si="58"/>
        <v>10.068627450980392</v>
      </c>
      <c r="E66" s="66">
        <f t="shared" si="58"/>
        <v>10.068627450980392</v>
      </c>
      <c r="F66" s="66">
        <f t="shared" si="58"/>
        <v>10.068627450980392</v>
      </c>
      <c r="G66" s="66">
        <f t="shared" si="58"/>
        <v>10.068627450980392</v>
      </c>
      <c r="H66" s="66">
        <f t="shared" si="58"/>
        <v>10.068627450980392</v>
      </c>
      <c r="I66" s="66">
        <f t="shared" si="58"/>
        <v>10.068627450980392</v>
      </c>
      <c r="J66" s="66">
        <f t="shared" si="58"/>
        <v>10.068627450980392</v>
      </c>
      <c r="K66" s="66">
        <f t="shared" si="58"/>
        <v>10.068627450980392</v>
      </c>
      <c r="L66" s="66">
        <f t="shared" si="58"/>
        <v>10.068627450980392</v>
      </c>
      <c r="M66" s="66">
        <f t="shared" si="58"/>
        <v>10.068627450980392</v>
      </c>
      <c r="N66" s="66">
        <f t="shared" si="58"/>
        <v>10.068627450980392</v>
      </c>
      <c r="O66" s="66">
        <f t="shared" si="58"/>
        <v>10.068627450980392</v>
      </c>
      <c r="P66" s="66">
        <f t="shared" si="58"/>
        <v>10.068627450980392</v>
      </c>
      <c r="Q66" s="66">
        <f t="shared" si="58"/>
        <v>10.068627450980392</v>
      </c>
      <c r="R66" s="66">
        <f t="shared" si="58"/>
        <v>10.068627450980392</v>
      </c>
      <c r="S66" s="66">
        <f t="shared" si="58"/>
        <v>10.068627450980392</v>
      </c>
      <c r="T66" s="66">
        <f t="shared" si="58"/>
        <v>10.068627450980392</v>
      </c>
      <c r="U66" s="66">
        <f t="shared" si="58"/>
        <v>10.068627450980392</v>
      </c>
      <c r="V66" s="66">
        <f t="shared" si="58"/>
        <v>10.068627450980392</v>
      </c>
      <c r="W66" s="66">
        <f t="shared" si="58"/>
        <v>10.068627450980392</v>
      </c>
      <c r="X66" s="66">
        <f t="shared" si="58"/>
        <v>10.068627450980392</v>
      </c>
      <c r="Y66" s="66">
        <f t="shared" si="58"/>
        <v>10.068627450980392</v>
      </c>
      <c r="Z66" s="66">
        <f t="shared" si="58"/>
        <v>10.068627450980392</v>
      </c>
      <c r="AA66" s="66">
        <f t="shared" si="58"/>
        <v>10.068627450980392</v>
      </c>
      <c r="AB66" s="66">
        <f t="shared" si="58"/>
        <v>10.068627450980392</v>
      </c>
      <c r="AC66" s="66">
        <f t="shared" si="58"/>
        <v>10.068627450980392</v>
      </c>
    </row>
    <row r="67" spans="1:29" x14ac:dyDescent="0.3">
      <c r="A67" s="30" t="str">
        <f t="shared" si="53"/>
        <v>Opex maintenance &amp; repair</v>
      </c>
      <c r="B67" s="66">
        <f>B37/B47</f>
        <v>4.0686274509803919</v>
      </c>
      <c r="C67" s="66">
        <f t="shared" ref="C67:AC67" si="59">C37/C47</f>
        <v>4.0686274509803919</v>
      </c>
      <c r="D67" s="66">
        <f t="shared" si="59"/>
        <v>4.0686274509803919</v>
      </c>
      <c r="E67" s="66">
        <f t="shared" si="59"/>
        <v>4.0686274509803919</v>
      </c>
      <c r="F67" s="66">
        <f t="shared" si="59"/>
        <v>4.0686274509803919</v>
      </c>
      <c r="G67" s="66">
        <f t="shared" si="59"/>
        <v>4.0686274509803919</v>
      </c>
      <c r="H67" s="66">
        <f t="shared" si="59"/>
        <v>4.0686274509803919</v>
      </c>
      <c r="I67" s="66">
        <f t="shared" si="59"/>
        <v>4.0686274509803919</v>
      </c>
      <c r="J67" s="66">
        <f t="shared" si="59"/>
        <v>4.0686274509803919</v>
      </c>
      <c r="K67" s="66">
        <f t="shared" si="59"/>
        <v>4.0686274509803919</v>
      </c>
      <c r="L67" s="66">
        <f t="shared" si="59"/>
        <v>4.0686274509803919</v>
      </c>
      <c r="M67" s="66">
        <f t="shared" si="59"/>
        <v>4.0686274509803919</v>
      </c>
      <c r="N67" s="66">
        <f t="shared" si="59"/>
        <v>4.0686274509803919</v>
      </c>
      <c r="O67" s="66">
        <f t="shared" si="59"/>
        <v>4.0686274509803919</v>
      </c>
      <c r="P67" s="66">
        <f t="shared" si="59"/>
        <v>4.0686274509803919</v>
      </c>
      <c r="Q67" s="66">
        <f t="shared" si="59"/>
        <v>4.0686274509803919</v>
      </c>
      <c r="R67" s="66">
        <f t="shared" si="59"/>
        <v>4.0686274509803919</v>
      </c>
      <c r="S67" s="66">
        <f t="shared" si="59"/>
        <v>4.0686274509803919</v>
      </c>
      <c r="T67" s="66">
        <f t="shared" si="59"/>
        <v>4.0686274509803919</v>
      </c>
      <c r="U67" s="66">
        <f t="shared" si="59"/>
        <v>4.0686274509803919</v>
      </c>
      <c r="V67" s="66">
        <f t="shared" si="59"/>
        <v>4.0686274509803919</v>
      </c>
      <c r="W67" s="66">
        <f t="shared" si="59"/>
        <v>4.0686274509803919</v>
      </c>
      <c r="X67" s="66">
        <f t="shared" si="59"/>
        <v>4.0686274509803919</v>
      </c>
      <c r="Y67" s="66">
        <f t="shared" si="59"/>
        <v>4.0686274509803919</v>
      </c>
      <c r="Z67" s="66">
        <f t="shared" si="59"/>
        <v>4.0686274509803919</v>
      </c>
      <c r="AA67" s="66">
        <f t="shared" si="59"/>
        <v>4.0686274509803919</v>
      </c>
      <c r="AB67" s="66">
        <f t="shared" si="59"/>
        <v>4.0686274509803919</v>
      </c>
      <c r="AC67" s="66">
        <f t="shared" si="59"/>
        <v>4.0686274509803919</v>
      </c>
    </row>
    <row r="68" spans="1:29" x14ac:dyDescent="0.3">
      <c r="A68" s="30" t="str">
        <f t="shared" si="53"/>
        <v>Opex var (mode-fees)</v>
      </c>
      <c r="B68" s="66">
        <f>B38*B47/B47</f>
        <v>0.8458018624557011</v>
      </c>
      <c r="C68" s="66">
        <f t="shared" ref="C68:AC68" si="60">C38*C47/C47</f>
        <v>0.8458018624557011</v>
      </c>
      <c r="D68" s="66">
        <f t="shared" si="60"/>
        <v>0.8458018624557011</v>
      </c>
      <c r="E68" s="66">
        <f t="shared" si="60"/>
        <v>0.8458018624557011</v>
      </c>
      <c r="F68" s="66">
        <f t="shared" si="60"/>
        <v>0.8458018624557011</v>
      </c>
      <c r="G68" s="66">
        <f t="shared" si="60"/>
        <v>0.8458018624557011</v>
      </c>
      <c r="H68" s="66">
        <f t="shared" si="60"/>
        <v>0.8458018624557011</v>
      </c>
      <c r="I68" s="66">
        <f t="shared" si="60"/>
        <v>0.8458018624557011</v>
      </c>
      <c r="J68" s="66">
        <f t="shared" si="60"/>
        <v>0.8458018624557011</v>
      </c>
      <c r="K68" s="66">
        <f t="shared" si="60"/>
        <v>0.8458018624557011</v>
      </c>
      <c r="L68" s="66">
        <f t="shared" si="60"/>
        <v>0.8458018624557011</v>
      </c>
      <c r="M68" s="66">
        <f t="shared" si="60"/>
        <v>0.8458018624557011</v>
      </c>
      <c r="N68" s="66">
        <f t="shared" si="60"/>
        <v>0.8458018624557011</v>
      </c>
      <c r="O68" s="66">
        <f t="shared" si="60"/>
        <v>0.8458018624557011</v>
      </c>
      <c r="P68" s="66">
        <f t="shared" si="60"/>
        <v>0.8458018624557011</v>
      </c>
      <c r="Q68" s="66">
        <f t="shared" si="60"/>
        <v>0.8458018624557011</v>
      </c>
      <c r="R68" s="66">
        <f t="shared" si="60"/>
        <v>0.8458018624557011</v>
      </c>
      <c r="S68" s="66">
        <f t="shared" si="60"/>
        <v>0.8458018624557011</v>
      </c>
      <c r="T68" s="66">
        <f t="shared" si="60"/>
        <v>0.8458018624557011</v>
      </c>
      <c r="U68" s="66">
        <f t="shared" si="60"/>
        <v>0.8458018624557011</v>
      </c>
      <c r="V68" s="66">
        <f t="shared" si="60"/>
        <v>0.8458018624557011</v>
      </c>
      <c r="W68" s="66">
        <f t="shared" si="60"/>
        <v>0.8458018624557011</v>
      </c>
      <c r="X68" s="66">
        <f t="shared" si="60"/>
        <v>0.8458018624557011</v>
      </c>
      <c r="Y68" s="66">
        <f t="shared" si="60"/>
        <v>0.8458018624557011</v>
      </c>
      <c r="Z68" s="66">
        <f t="shared" si="60"/>
        <v>0.8458018624557011</v>
      </c>
      <c r="AA68" s="66">
        <f t="shared" si="60"/>
        <v>0.8458018624557011</v>
      </c>
      <c r="AB68" s="66">
        <f t="shared" si="60"/>
        <v>0.8458018624557011</v>
      </c>
      <c r="AC68" s="66">
        <f t="shared" si="60"/>
        <v>0.8458018624557011</v>
      </c>
    </row>
    <row r="69" spans="1:29" x14ac:dyDescent="0.3">
      <c r="A69" s="30" t="str">
        <f t="shared" si="53"/>
        <v>Fuel Cost</v>
      </c>
      <c r="B69" s="66">
        <f>B39*B40*B47/B47</f>
        <v>249.92859993228052</v>
      </c>
      <c r="C69" s="66">
        <f t="shared" ref="C69:AC69" si="61">C39*C40*C47/C47</f>
        <v>249.73428595581737</v>
      </c>
      <c r="D69" s="66">
        <f t="shared" si="61"/>
        <v>249.45617237293197</v>
      </c>
      <c r="E69" s="66">
        <f t="shared" si="61"/>
        <v>249.05839843010773</v>
      </c>
      <c r="F69" s="66">
        <f t="shared" si="61"/>
        <v>248.49006966888911</v>
      </c>
      <c r="G69" s="66">
        <f t="shared" si="61"/>
        <v>247.67930444328692</v>
      </c>
      <c r="H69" s="66">
        <f t="shared" si="61"/>
        <v>246.52531229592489</v>
      </c>
      <c r="I69" s="66">
        <f t="shared" si="61"/>
        <v>244.88829541695853</v>
      </c>
      <c r="J69" s="66">
        <f t="shared" si="61"/>
        <v>242.57750465214323</v>
      </c>
      <c r="K69" s="66">
        <f t="shared" si="61"/>
        <v>239.33907719775183</v>
      </c>
      <c r="L69" s="66">
        <f t="shared" si="61"/>
        <v>234.84790256217221</v>
      </c>
      <c r="M69" s="66">
        <f t="shared" si="61"/>
        <v>228.71225230724366</v>
      </c>
      <c r="N69" s="66">
        <f t="shared" si="61"/>
        <v>220.50590538774583</v>
      </c>
      <c r="O69" s="66">
        <f t="shared" si="61"/>
        <v>209.84659953885458</v>
      </c>
      <c r="P69" s="66">
        <f t="shared" si="61"/>
        <v>196.53258371162488</v>
      </c>
      <c r="Q69" s="66">
        <f t="shared" si="61"/>
        <v>180.71738667662817</v>
      </c>
      <c r="R69" s="66">
        <f t="shared" si="61"/>
        <v>163.04588247860849</v>
      </c>
      <c r="S69" s="66">
        <f t="shared" si="61"/>
        <v>144.6341959163183</v>
      </c>
      <c r="T69" s="66">
        <f t="shared" si="61"/>
        <v>126.82812667403482</v>
      </c>
      <c r="U69" s="66">
        <f t="shared" si="61"/>
        <v>110.82835145712259</v>
      </c>
      <c r="V69" s="66">
        <f t="shared" si="61"/>
        <v>97.387736358370475</v>
      </c>
      <c r="W69" s="66">
        <f t="shared" si="61"/>
        <v>86.728173891380607</v>
      </c>
      <c r="X69" s="66">
        <f t="shared" si="61"/>
        <v>78.656649893116011</v>
      </c>
      <c r="Y69" s="66">
        <f t="shared" si="61"/>
        <v>72.757764344593781</v>
      </c>
      <c r="Z69" s="66">
        <f t="shared" si="61"/>
        <v>68.557981430734628</v>
      </c>
      <c r="AA69" s="66">
        <f t="shared" si="61"/>
        <v>65.623417243620423</v>
      </c>
      <c r="AB69" s="66">
        <f t="shared" si="61"/>
        <v>63.599721141298431</v>
      </c>
      <c r="AC69" s="66">
        <f t="shared" si="61"/>
        <v>62.216815556769795</v>
      </c>
    </row>
    <row r="70" spans="1:29" ht="15" thickBot="1" x14ac:dyDescent="0.35">
      <c r="A70" s="59" t="str">
        <f t="shared" ref="A70" si="62">A58</f>
        <v>Emission Cost</v>
      </c>
      <c r="B70" s="66">
        <f>B41</f>
        <v>3.1561641138930518</v>
      </c>
      <c r="C70" s="66">
        <f t="shared" ref="C70:AC70" si="63">C41</f>
        <v>3.1531586766519095</v>
      </c>
      <c r="D70" s="66">
        <f t="shared" si="63"/>
        <v>3.148856460181932</v>
      </c>
      <c r="E70" s="66">
        <f t="shared" si="63"/>
        <v>3.1427018369762418</v>
      </c>
      <c r="F70" s="66">
        <f t="shared" si="63"/>
        <v>3.1339055223302736</v>
      </c>
      <c r="G70" s="66">
        <f t="shared" si="63"/>
        <v>3.1213512803680521</v>
      </c>
      <c r="H70" s="66">
        <f t="shared" si="63"/>
        <v>3.103470959921165</v>
      </c>
      <c r="I70" s="66">
        <f t="shared" si="63"/>
        <v>3.0780834680624944</v>
      </c>
      <c r="J70" s="66">
        <f t="shared" si="63"/>
        <v>3.0422006879024699</v>
      </c>
      <c r="K70" s="66">
        <f t="shared" si="63"/>
        <v>2.9918219119367748</v>
      </c>
      <c r="L70" s="66">
        <f t="shared" si="63"/>
        <v>2.9217771252824751</v>
      </c>
      <c r="M70" s="66">
        <f t="shared" si="63"/>
        <v>2.8257483431601118</v>
      </c>
      <c r="N70" s="66">
        <f t="shared" si="63"/>
        <v>2.6966959500159344</v>
      </c>
      <c r="O70" s="66">
        <f t="shared" si="63"/>
        <v>2.527999541087663</v>
      </c>
      <c r="P70" s="66">
        <f t="shared" si="63"/>
        <v>2.3155549274364571</v>
      </c>
      <c r="Q70" s="66">
        <f t="shared" si="63"/>
        <v>2.0606274892785992</v>
      </c>
      <c r="R70" s="66">
        <f t="shared" si="63"/>
        <v>1.7723622585244727</v>
      </c>
      <c r="S70" s="66">
        <f t="shared" si="63"/>
        <v>1.4680418371398225</v>
      </c>
      <c r="T70" s="66">
        <f t="shared" si="63"/>
        <v>1.1697098724326394</v>
      </c>
      <c r="U70" s="66">
        <f t="shared" si="63"/>
        <v>0.89813214422744192</v>
      </c>
      <c r="V70" s="66">
        <f t="shared" si="63"/>
        <v>0.66732974866522188</v>
      </c>
      <c r="W70" s="66">
        <f t="shared" si="63"/>
        <v>0.48249836418702996</v>
      </c>
      <c r="X70" s="66">
        <f t="shared" si="63"/>
        <v>0.34146381442791984</v>
      </c>
      <c r="Y70" s="66">
        <f t="shared" si="63"/>
        <v>0.23779210936773287</v>
      </c>
      <c r="Z70" s="66">
        <f t="shared" si="63"/>
        <v>0.16366834003345909</v>
      </c>
      <c r="AA70" s="66">
        <f t="shared" si="63"/>
        <v>0.11171852430248297</v>
      </c>
      <c r="AB70" s="66">
        <f t="shared" si="63"/>
        <v>7.5818008547159366E-2</v>
      </c>
      <c r="AC70" s="66">
        <f t="shared" si="63"/>
        <v>5.1249496624470758E-2</v>
      </c>
    </row>
    <row r="71" spans="1:29" ht="15" thickBot="1" x14ac:dyDescent="0.35">
      <c r="A71" s="31" t="s">
        <v>63</v>
      </c>
      <c r="B71" s="76">
        <f>B62+B63+B64-B65+B66+B67+B68+B69+B70</f>
        <v>280.85395431755859</v>
      </c>
      <c r="C71" s="76">
        <f t="shared" ref="C71:AC71" si="64">C62+C63+C64-C65+C66+C67+C68+C69+C70</f>
        <v>280.65352244838289</v>
      </c>
      <c r="D71" s="76">
        <f t="shared" si="64"/>
        <v>280.3666512383445</v>
      </c>
      <c r="E71" s="76">
        <f t="shared" si="64"/>
        <v>279.95634889401407</v>
      </c>
      <c r="F71" s="76">
        <f t="shared" si="64"/>
        <v>279.37011428251407</v>
      </c>
      <c r="G71" s="76">
        <f t="shared" si="64"/>
        <v>278.53379353894559</v>
      </c>
      <c r="H71" s="76">
        <f t="shared" si="64"/>
        <v>277.3434040645447</v>
      </c>
      <c r="I71" s="76">
        <f t="shared" si="64"/>
        <v>275.65470819880522</v>
      </c>
      <c r="J71" s="76">
        <f t="shared" si="64"/>
        <v>273.27087415221962</v>
      </c>
      <c r="K71" s="76">
        <f t="shared" si="64"/>
        <v>269.92989524803261</v>
      </c>
      <c r="L71" s="76">
        <f t="shared" si="64"/>
        <v>265.29613686990803</v>
      </c>
      <c r="M71" s="76">
        <f t="shared" si="64"/>
        <v>258.96500963801884</v>
      </c>
      <c r="N71" s="76">
        <f t="shared" si="64"/>
        <v>250.4959626079519</v>
      </c>
      <c r="O71" s="76">
        <f t="shared" si="64"/>
        <v>239.49325696461781</v>
      </c>
      <c r="P71" s="76">
        <f t="shared" si="64"/>
        <v>225.74678713838605</v>
      </c>
      <c r="Q71" s="76">
        <f t="shared" si="64"/>
        <v>209.41265771818087</v>
      </c>
      <c r="R71" s="76">
        <f t="shared" si="64"/>
        <v>191.15435845075294</v>
      </c>
      <c r="S71" s="76">
        <f t="shared" si="64"/>
        <v>172.12319474124803</v>
      </c>
      <c r="T71" s="76">
        <f t="shared" si="64"/>
        <v>153.70983850330754</v>
      </c>
      <c r="U71" s="76">
        <f t="shared" si="64"/>
        <v>137.15723743412374</v>
      </c>
      <c r="V71" s="76">
        <f t="shared" si="64"/>
        <v>123.24679908485606</v>
      </c>
      <c r="W71" s="76">
        <f t="shared" si="64"/>
        <v>112.2109923347802</v>
      </c>
      <c r="X71" s="76">
        <f t="shared" si="64"/>
        <v>103.85237724960805</v>
      </c>
      <c r="Y71" s="76">
        <f t="shared" si="64"/>
        <v>97.742456727470312</v>
      </c>
      <c r="Z71" s="76">
        <f t="shared" si="64"/>
        <v>93.391786860448192</v>
      </c>
      <c r="AA71" s="76">
        <f t="shared" si="64"/>
        <v>90.351473202099271</v>
      </c>
      <c r="AB71" s="76">
        <f t="shared" si="64"/>
        <v>88.254697715283612</v>
      </c>
      <c r="AC71" s="76">
        <f t="shared" si="64"/>
        <v>86.821780266260532</v>
      </c>
    </row>
    <row r="72" spans="1:29" ht="15" thickBot="1" x14ac:dyDescent="0.35"/>
    <row r="73" spans="1:29" ht="15" thickBot="1" x14ac:dyDescent="0.35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3">
      <c r="A74" s="29" t="str">
        <f t="shared" ref="A74:A81" si="65">A50</f>
        <v>Capex vehicle</v>
      </c>
      <c r="B74" s="65">
        <f>((1+B35)^B42)*B35/(((1+B35)^B42)-1)*(B31)/B47/(B44)</f>
        <v>1.3444866658711308E-3</v>
      </c>
      <c r="C74" s="65">
        <f t="shared" ref="C74:AC74" si="66">((1+C35)^C42)*C35/(((1+C35)^C42)-1)*(C31)/C47/(C44)</f>
        <v>1.344191716288432E-3</v>
      </c>
      <c r="D74" s="65">
        <f t="shared" si="66"/>
        <v>1.3437695025302714E-3</v>
      </c>
      <c r="E74" s="65">
        <f t="shared" si="66"/>
        <v>1.343165496057823E-3</v>
      </c>
      <c r="F74" s="65">
        <f t="shared" si="66"/>
        <v>1.3423022375280494E-3</v>
      </c>
      <c r="G74" s="65">
        <f t="shared" si="66"/>
        <v>1.3410701810481582E-3</v>
      </c>
      <c r="H74" s="65">
        <f t="shared" si="66"/>
        <v>1.3393154303642525E-3</v>
      </c>
      <c r="I74" s="65">
        <f t="shared" si="66"/>
        <v>1.3368239359397552E-3</v>
      </c>
      <c r="J74" s="65">
        <f t="shared" si="66"/>
        <v>1.3333024479880559E-3</v>
      </c>
      <c r="K74" s="65">
        <f t="shared" si="66"/>
        <v>1.3283583424367757E-3</v>
      </c>
      <c r="L74" s="65">
        <f t="shared" si="66"/>
        <v>1.3214842409546043E-3</v>
      </c>
      <c r="M74" s="65">
        <f t="shared" si="66"/>
        <v>1.3120601049831952E-3</v>
      </c>
      <c r="N74" s="65">
        <f t="shared" si="66"/>
        <v>1.2993950760872054E-3</v>
      </c>
      <c r="O74" s="65">
        <f t="shared" si="66"/>
        <v>1.2828394366165034E-3</v>
      </c>
      <c r="P74" s="65">
        <f t="shared" si="66"/>
        <v>1.2619904069694208E-3</v>
      </c>
      <c r="Q74" s="65">
        <f t="shared" si="66"/>
        <v>1.2369721698644108E-3</v>
      </c>
      <c r="R74" s="65">
        <f t="shared" si="66"/>
        <v>1.2086822064761966E-3</v>
      </c>
      <c r="S74" s="65">
        <f t="shared" si="66"/>
        <v>1.1788166081980577E-3</v>
      </c>
      <c r="T74" s="65">
        <f t="shared" si="66"/>
        <v>1.1495387090319981E-3</v>
      </c>
      <c r="U74" s="65">
        <f t="shared" si="66"/>
        <v>1.1228864347779014E-3</v>
      </c>
      <c r="V74" s="65">
        <f t="shared" si="66"/>
        <v>1.1002357970187589E-3</v>
      </c>
      <c r="W74" s="65">
        <f t="shared" si="66"/>
        <v>1.0820966926730776E-3</v>
      </c>
      <c r="X74" s="65">
        <f t="shared" si="66"/>
        <v>1.0682557509864208E-3</v>
      </c>
      <c r="Y74" s="65">
        <f t="shared" si="66"/>
        <v>1.0580815488016001E-3</v>
      </c>
      <c r="Z74" s="65">
        <f t="shared" si="66"/>
        <v>1.0508071414262214E-3</v>
      </c>
      <c r="AA74" s="65">
        <f t="shared" si="66"/>
        <v>1.0457088561380199E-3</v>
      </c>
      <c r="AB74" s="65">
        <f t="shared" si="66"/>
        <v>1.0421856276387688E-3</v>
      </c>
      <c r="AC74" s="65">
        <f t="shared" si="66"/>
        <v>1.0397745068075209E-3</v>
      </c>
    </row>
    <row r="75" spans="1:29" x14ac:dyDescent="0.3">
      <c r="A75" s="30" t="str">
        <f t="shared" si="65"/>
        <v>Residual value (vehicle)</v>
      </c>
      <c r="B75" s="68">
        <f>((1+B35)^B42)*B35/(((1+B35)^B42)-1)*(B32)/B47/(B44)</f>
        <v>-6.7337961459558828E-5</v>
      </c>
      <c r="C75" s="68">
        <f t="shared" ref="C75:AC75" si="67">((1+C35)^C42)*C35/(((1+C35)^C42)-1)*(C32)/C47/(C44)</f>
        <v>-6.7372372244207035E-5</v>
      </c>
      <c r="D75" s="68">
        <f t="shared" si="67"/>
        <v>-6.7421630515992462E-5</v>
      </c>
      <c r="E75" s="68">
        <f t="shared" si="67"/>
        <v>-6.7492097937778083E-5</v>
      </c>
      <c r="F75" s="68">
        <f t="shared" si="67"/>
        <v>-6.7592811432918334E-5</v>
      </c>
      <c r="G75" s="68">
        <f t="shared" si="67"/>
        <v>-6.773655135557234E-5</v>
      </c>
      <c r="H75" s="68">
        <f t="shared" si="67"/>
        <v>-6.7941272268694643E-5</v>
      </c>
      <c r="I75" s="68">
        <f t="shared" si="67"/>
        <v>-6.8231946618219335E-5</v>
      </c>
      <c r="J75" s="68">
        <f t="shared" si="67"/>
        <v>-6.8642786879250924E-5</v>
      </c>
      <c r="K75" s="68">
        <f t="shared" si="67"/>
        <v>-6.9219599193566945E-5</v>
      </c>
      <c r="L75" s="68">
        <f t="shared" si="67"/>
        <v>-7.0021577699820272E-5</v>
      </c>
      <c r="M75" s="68">
        <f t="shared" si="67"/>
        <v>-7.1121060229817985E-5</v>
      </c>
      <c r="N75" s="68">
        <f t="shared" si="67"/>
        <v>-7.2598646934350151E-5</v>
      </c>
      <c r="O75" s="68">
        <f t="shared" si="67"/>
        <v>-7.4530138205932043E-5</v>
      </c>
      <c r="P75" s="68">
        <f t="shared" si="67"/>
        <v>-7.6962524998091712E-5</v>
      </c>
      <c r="Q75" s="68">
        <f t="shared" si="67"/>
        <v>-7.9881319327009486E-5</v>
      </c>
      <c r="R75" s="68">
        <f t="shared" si="67"/>
        <v>-8.3181815055634491E-5</v>
      </c>
      <c r="S75" s="68">
        <f t="shared" si="67"/>
        <v>-8.6666134854750698E-5</v>
      </c>
      <c r="T75" s="68">
        <f t="shared" si="67"/>
        <v>-9.008188975745766E-5</v>
      </c>
      <c r="U75" s="68">
        <f t="shared" si="67"/>
        <v>-9.3191321753768942E-5</v>
      </c>
      <c r="V75" s="68">
        <f t="shared" si="67"/>
        <v>-9.583389615900226E-5</v>
      </c>
      <c r="W75" s="68">
        <f t="shared" si="67"/>
        <v>-9.7950124999331722E-5</v>
      </c>
      <c r="X75" s="68">
        <f t="shared" si="67"/>
        <v>-9.9564901529441686E-5</v>
      </c>
      <c r="Y75" s="68">
        <f t="shared" si="67"/>
        <v>-1.0075189178433743E-4</v>
      </c>
      <c r="Z75" s="68">
        <f t="shared" si="67"/>
        <v>-1.0160057264479828E-4</v>
      </c>
      <c r="AA75" s="68">
        <f t="shared" si="67"/>
        <v>-1.0219537259508843E-4</v>
      </c>
      <c r="AB75" s="68">
        <f t="shared" si="67"/>
        <v>-1.0260641592000108E-4</v>
      </c>
      <c r="AC75" s="68">
        <f t="shared" si="67"/>
        <v>-1.0288771335031333E-4</v>
      </c>
    </row>
    <row r="76" spans="1:29" x14ac:dyDescent="0.3">
      <c r="A76" s="30" t="str">
        <f t="shared" si="65"/>
        <v>Capex costumization</v>
      </c>
      <c r="B76" s="66">
        <f>((1+B35)^B43)*B35/(((1+B35)^B43)-1)*(B33)/B47/(B44)</f>
        <v>6.8982996659853576E-5</v>
      </c>
      <c r="C76" s="66">
        <f t="shared" ref="C76:AC76" si="68">((1+C35)^C43)*C35/(((1+C35)^C43)-1)*(C33)/C47/(C44)</f>
        <v>6.8982996659853576E-5</v>
      </c>
      <c r="D76" s="66">
        <f t="shared" si="68"/>
        <v>6.8982996659853576E-5</v>
      </c>
      <c r="E76" s="66">
        <f t="shared" si="68"/>
        <v>6.8982996659853576E-5</v>
      </c>
      <c r="F76" s="66">
        <f t="shared" si="68"/>
        <v>6.8982996659853576E-5</v>
      </c>
      <c r="G76" s="66">
        <f t="shared" si="68"/>
        <v>6.8982996659853576E-5</v>
      </c>
      <c r="H76" s="66">
        <f t="shared" si="68"/>
        <v>6.8982996659853576E-5</v>
      </c>
      <c r="I76" s="66">
        <f t="shared" si="68"/>
        <v>6.8982996659853576E-5</v>
      </c>
      <c r="J76" s="66">
        <f t="shared" si="68"/>
        <v>6.8982996659853576E-5</v>
      </c>
      <c r="K76" s="66">
        <f t="shared" si="68"/>
        <v>6.8982996659853576E-5</v>
      </c>
      <c r="L76" s="66">
        <f t="shared" si="68"/>
        <v>6.8982996659853576E-5</v>
      </c>
      <c r="M76" s="66">
        <f t="shared" si="68"/>
        <v>6.8982996659853576E-5</v>
      </c>
      <c r="N76" s="66">
        <f t="shared" si="68"/>
        <v>6.8982996659853576E-5</v>
      </c>
      <c r="O76" s="66">
        <f t="shared" si="68"/>
        <v>6.8982996659853576E-5</v>
      </c>
      <c r="P76" s="66">
        <f t="shared" si="68"/>
        <v>6.8982996659853576E-5</v>
      </c>
      <c r="Q76" s="66">
        <f t="shared" si="68"/>
        <v>6.8982996659853576E-5</v>
      </c>
      <c r="R76" s="66">
        <f t="shared" si="68"/>
        <v>6.8982996659853576E-5</v>
      </c>
      <c r="S76" s="66">
        <f t="shared" si="68"/>
        <v>6.8982996659853576E-5</v>
      </c>
      <c r="T76" s="66">
        <f t="shared" si="68"/>
        <v>6.8982996659853576E-5</v>
      </c>
      <c r="U76" s="66">
        <f t="shared" si="68"/>
        <v>6.8982996659853576E-5</v>
      </c>
      <c r="V76" s="66">
        <f t="shared" si="68"/>
        <v>6.8982996659853576E-5</v>
      </c>
      <c r="W76" s="66">
        <f t="shared" si="68"/>
        <v>6.8982996659853576E-5</v>
      </c>
      <c r="X76" s="66">
        <f t="shared" si="68"/>
        <v>6.8982996659853576E-5</v>
      </c>
      <c r="Y76" s="66">
        <f t="shared" si="68"/>
        <v>6.8982996659853576E-5</v>
      </c>
      <c r="Z76" s="66">
        <f t="shared" si="68"/>
        <v>6.8982996659853576E-5</v>
      </c>
      <c r="AA76" s="66">
        <f t="shared" si="68"/>
        <v>6.8982996659853576E-5</v>
      </c>
      <c r="AB76" s="66">
        <f t="shared" si="68"/>
        <v>6.8982996659853576E-5</v>
      </c>
      <c r="AC76" s="66">
        <f t="shared" si="68"/>
        <v>6.8982996659853576E-5</v>
      </c>
    </row>
    <row r="77" spans="1:29" x14ac:dyDescent="0.3">
      <c r="A77" s="30" t="str">
        <f t="shared" si="65"/>
        <v>Residual value (costumization)</v>
      </c>
      <c r="B77" s="69">
        <f>((1+B35)^B43)*B35/(((1+B35)^B43)-1)*(B34)/B47/(B44)</f>
        <v>-6.8982996659853564E-6</v>
      </c>
      <c r="C77" s="69">
        <f t="shared" ref="C77:AC77" si="69">((1+C35)^C43)*C35/(((1+C35)^C43)-1)*(C34)/C47/(C44)</f>
        <v>-6.8982996659853564E-6</v>
      </c>
      <c r="D77" s="69">
        <f t="shared" si="69"/>
        <v>-6.8982996659853564E-6</v>
      </c>
      <c r="E77" s="69">
        <f t="shared" si="69"/>
        <v>-6.8982996659853564E-6</v>
      </c>
      <c r="F77" s="69">
        <f t="shared" si="69"/>
        <v>-6.8982996659853564E-6</v>
      </c>
      <c r="G77" s="69">
        <f t="shared" si="69"/>
        <v>-6.8982996659853564E-6</v>
      </c>
      <c r="H77" s="69">
        <f t="shared" si="69"/>
        <v>-6.8982996659853564E-6</v>
      </c>
      <c r="I77" s="69">
        <f t="shared" si="69"/>
        <v>-6.8982996659853564E-6</v>
      </c>
      <c r="J77" s="69">
        <f t="shared" si="69"/>
        <v>-6.8982996659853564E-6</v>
      </c>
      <c r="K77" s="69">
        <f t="shared" si="69"/>
        <v>-6.8982996659853564E-6</v>
      </c>
      <c r="L77" s="69">
        <f t="shared" si="69"/>
        <v>-6.8982996659853564E-6</v>
      </c>
      <c r="M77" s="69">
        <f t="shared" si="69"/>
        <v>-6.8982996659853564E-6</v>
      </c>
      <c r="N77" s="69">
        <f t="shared" si="69"/>
        <v>-6.8982996659853564E-6</v>
      </c>
      <c r="O77" s="69">
        <f t="shared" si="69"/>
        <v>-6.8982996659853564E-6</v>
      </c>
      <c r="P77" s="69">
        <f t="shared" si="69"/>
        <v>-6.8982996659853564E-6</v>
      </c>
      <c r="Q77" s="69">
        <f t="shared" si="69"/>
        <v>-6.8982996659853564E-6</v>
      </c>
      <c r="R77" s="69">
        <f t="shared" si="69"/>
        <v>-6.8982996659853564E-6</v>
      </c>
      <c r="S77" s="69">
        <f t="shared" si="69"/>
        <v>-6.8982996659853564E-6</v>
      </c>
      <c r="T77" s="69">
        <f t="shared" si="69"/>
        <v>-6.8982996659853564E-6</v>
      </c>
      <c r="U77" s="69">
        <f t="shared" si="69"/>
        <v>-6.8982996659853564E-6</v>
      </c>
      <c r="V77" s="69">
        <f t="shared" si="69"/>
        <v>-6.8982996659853564E-6</v>
      </c>
      <c r="W77" s="69">
        <f t="shared" si="69"/>
        <v>-6.8982996659853564E-6</v>
      </c>
      <c r="X77" s="69">
        <f t="shared" si="69"/>
        <v>-6.8982996659853564E-6</v>
      </c>
      <c r="Y77" s="69">
        <f t="shared" si="69"/>
        <v>-6.8982996659853564E-6</v>
      </c>
      <c r="Z77" s="69">
        <f t="shared" si="69"/>
        <v>-6.8982996659853564E-6</v>
      </c>
      <c r="AA77" s="69">
        <f t="shared" si="69"/>
        <v>-6.8982996659853564E-6</v>
      </c>
      <c r="AB77" s="69">
        <f t="shared" si="69"/>
        <v>-6.8982996659853564E-6</v>
      </c>
      <c r="AC77" s="69">
        <f t="shared" si="69"/>
        <v>-6.8982996659853564E-6</v>
      </c>
    </row>
    <row r="78" spans="1:29" x14ac:dyDescent="0.3">
      <c r="A78" s="30" t="str">
        <f t="shared" si="65"/>
        <v>Opex fix (admin, crew, insurance)</v>
      </c>
      <c r="B78" s="66">
        <f>B36/B47/(B44)</f>
        <v>1.0654632223259673E-3</v>
      </c>
      <c r="C78" s="66">
        <f t="shared" ref="C78:AC78" si="70">C36/C47/(C44)</f>
        <v>1.0654632223259673E-3</v>
      </c>
      <c r="D78" s="66">
        <f t="shared" si="70"/>
        <v>1.0654632223259673E-3</v>
      </c>
      <c r="E78" s="66">
        <f t="shared" si="70"/>
        <v>1.0654632223259673E-3</v>
      </c>
      <c r="F78" s="66">
        <f t="shared" si="70"/>
        <v>1.0654632223259673E-3</v>
      </c>
      <c r="G78" s="66">
        <f t="shared" si="70"/>
        <v>1.0654632223259673E-3</v>
      </c>
      <c r="H78" s="66">
        <f t="shared" si="70"/>
        <v>1.0654632223259673E-3</v>
      </c>
      <c r="I78" s="66">
        <f t="shared" si="70"/>
        <v>1.0654632223259673E-3</v>
      </c>
      <c r="J78" s="66">
        <f t="shared" si="70"/>
        <v>1.0654632223259673E-3</v>
      </c>
      <c r="K78" s="66">
        <f t="shared" si="70"/>
        <v>1.0654632223259673E-3</v>
      </c>
      <c r="L78" s="66">
        <f t="shared" si="70"/>
        <v>1.0654632223259673E-3</v>
      </c>
      <c r="M78" s="66">
        <f t="shared" si="70"/>
        <v>1.0654632223259673E-3</v>
      </c>
      <c r="N78" s="66">
        <f t="shared" si="70"/>
        <v>1.0654632223259673E-3</v>
      </c>
      <c r="O78" s="66">
        <f t="shared" si="70"/>
        <v>1.0654632223259673E-3</v>
      </c>
      <c r="P78" s="66">
        <f t="shared" si="70"/>
        <v>1.0654632223259673E-3</v>
      </c>
      <c r="Q78" s="66">
        <f t="shared" si="70"/>
        <v>1.0654632223259673E-3</v>
      </c>
      <c r="R78" s="66">
        <f t="shared" si="70"/>
        <v>1.0654632223259673E-3</v>
      </c>
      <c r="S78" s="66">
        <f t="shared" si="70"/>
        <v>1.0654632223259673E-3</v>
      </c>
      <c r="T78" s="66">
        <f t="shared" si="70"/>
        <v>1.0654632223259673E-3</v>
      </c>
      <c r="U78" s="66">
        <f t="shared" si="70"/>
        <v>1.0654632223259673E-3</v>
      </c>
      <c r="V78" s="66">
        <f t="shared" si="70"/>
        <v>1.0654632223259673E-3</v>
      </c>
      <c r="W78" s="66">
        <f t="shared" si="70"/>
        <v>1.0654632223259673E-3</v>
      </c>
      <c r="X78" s="66">
        <f t="shared" si="70"/>
        <v>1.0654632223259673E-3</v>
      </c>
      <c r="Y78" s="66">
        <f t="shared" si="70"/>
        <v>1.0654632223259673E-3</v>
      </c>
      <c r="Z78" s="66">
        <f t="shared" si="70"/>
        <v>1.0654632223259673E-3</v>
      </c>
      <c r="AA78" s="66">
        <f t="shared" si="70"/>
        <v>1.0654632223259673E-3</v>
      </c>
      <c r="AB78" s="66">
        <f t="shared" si="70"/>
        <v>1.0654632223259673E-3</v>
      </c>
      <c r="AC78" s="66">
        <f t="shared" si="70"/>
        <v>1.0654632223259673E-3</v>
      </c>
    </row>
    <row r="79" spans="1:29" x14ac:dyDescent="0.3">
      <c r="A79" s="30" t="str">
        <f t="shared" si="65"/>
        <v>Opex maintenance &amp; repair</v>
      </c>
      <c r="B79" s="66">
        <f>B37/B47/(B44)</f>
        <v>4.305425874053325E-4</v>
      </c>
      <c r="C79" s="66">
        <f t="shared" ref="C79:AC79" si="71">C37/C47/(C44)</f>
        <v>4.305425874053325E-4</v>
      </c>
      <c r="D79" s="66">
        <f t="shared" si="71"/>
        <v>4.305425874053325E-4</v>
      </c>
      <c r="E79" s="66">
        <f t="shared" si="71"/>
        <v>4.305425874053325E-4</v>
      </c>
      <c r="F79" s="66">
        <f t="shared" si="71"/>
        <v>4.305425874053325E-4</v>
      </c>
      <c r="G79" s="66">
        <f t="shared" si="71"/>
        <v>4.305425874053325E-4</v>
      </c>
      <c r="H79" s="66">
        <f t="shared" si="71"/>
        <v>4.305425874053325E-4</v>
      </c>
      <c r="I79" s="66">
        <f t="shared" si="71"/>
        <v>4.305425874053325E-4</v>
      </c>
      <c r="J79" s="66">
        <f t="shared" si="71"/>
        <v>4.305425874053325E-4</v>
      </c>
      <c r="K79" s="66">
        <f t="shared" si="71"/>
        <v>4.305425874053325E-4</v>
      </c>
      <c r="L79" s="66">
        <f t="shared" si="71"/>
        <v>4.305425874053325E-4</v>
      </c>
      <c r="M79" s="66">
        <f t="shared" si="71"/>
        <v>4.305425874053325E-4</v>
      </c>
      <c r="N79" s="66">
        <f t="shared" si="71"/>
        <v>4.305425874053325E-4</v>
      </c>
      <c r="O79" s="66">
        <f t="shared" si="71"/>
        <v>4.305425874053325E-4</v>
      </c>
      <c r="P79" s="66">
        <f t="shared" si="71"/>
        <v>4.305425874053325E-4</v>
      </c>
      <c r="Q79" s="66">
        <f t="shared" si="71"/>
        <v>4.305425874053325E-4</v>
      </c>
      <c r="R79" s="66">
        <f t="shared" si="71"/>
        <v>4.305425874053325E-4</v>
      </c>
      <c r="S79" s="66">
        <f t="shared" si="71"/>
        <v>4.305425874053325E-4</v>
      </c>
      <c r="T79" s="66">
        <f t="shared" si="71"/>
        <v>4.305425874053325E-4</v>
      </c>
      <c r="U79" s="66">
        <f t="shared" si="71"/>
        <v>4.305425874053325E-4</v>
      </c>
      <c r="V79" s="66">
        <f t="shared" si="71"/>
        <v>4.305425874053325E-4</v>
      </c>
      <c r="W79" s="66">
        <f t="shared" si="71"/>
        <v>4.305425874053325E-4</v>
      </c>
      <c r="X79" s="66">
        <f t="shared" si="71"/>
        <v>4.305425874053325E-4</v>
      </c>
      <c r="Y79" s="66">
        <f t="shared" si="71"/>
        <v>4.305425874053325E-4</v>
      </c>
      <c r="Z79" s="66">
        <f t="shared" si="71"/>
        <v>4.305425874053325E-4</v>
      </c>
      <c r="AA79" s="66">
        <f t="shared" si="71"/>
        <v>4.305425874053325E-4</v>
      </c>
      <c r="AB79" s="66">
        <f t="shared" si="71"/>
        <v>4.305425874053325E-4</v>
      </c>
      <c r="AC79" s="66">
        <f t="shared" si="71"/>
        <v>4.305425874053325E-4</v>
      </c>
    </row>
    <row r="80" spans="1:29" x14ac:dyDescent="0.3">
      <c r="A80" s="30" t="str">
        <f t="shared" si="65"/>
        <v>Opex var (mode-fees)</v>
      </c>
      <c r="B80" s="66">
        <f>B38*B47/B47/(B44)</f>
        <v>8.9502842587904882E-5</v>
      </c>
      <c r="C80" s="66">
        <f t="shared" ref="C80:AC80" si="72">C38*C47/C47/(C44)</f>
        <v>8.9502842587904882E-5</v>
      </c>
      <c r="D80" s="66">
        <f t="shared" si="72"/>
        <v>8.9502842587904882E-5</v>
      </c>
      <c r="E80" s="66">
        <f t="shared" si="72"/>
        <v>8.9502842587904882E-5</v>
      </c>
      <c r="F80" s="66">
        <f t="shared" si="72"/>
        <v>8.9502842587904882E-5</v>
      </c>
      <c r="G80" s="66">
        <f t="shared" si="72"/>
        <v>8.9502842587904882E-5</v>
      </c>
      <c r="H80" s="66">
        <f t="shared" si="72"/>
        <v>8.9502842587904882E-5</v>
      </c>
      <c r="I80" s="66">
        <f t="shared" si="72"/>
        <v>8.9502842587904882E-5</v>
      </c>
      <c r="J80" s="66">
        <f t="shared" si="72"/>
        <v>8.9502842587904882E-5</v>
      </c>
      <c r="K80" s="66">
        <f t="shared" si="72"/>
        <v>8.9502842587904882E-5</v>
      </c>
      <c r="L80" s="66">
        <f t="shared" si="72"/>
        <v>8.9502842587904882E-5</v>
      </c>
      <c r="M80" s="66">
        <f t="shared" si="72"/>
        <v>8.9502842587904882E-5</v>
      </c>
      <c r="N80" s="66">
        <f t="shared" si="72"/>
        <v>8.9502842587904882E-5</v>
      </c>
      <c r="O80" s="66">
        <f t="shared" si="72"/>
        <v>8.9502842587904882E-5</v>
      </c>
      <c r="P80" s="66">
        <f t="shared" si="72"/>
        <v>8.9502842587904882E-5</v>
      </c>
      <c r="Q80" s="66">
        <f t="shared" si="72"/>
        <v>8.9502842587904882E-5</v>
      </c>
      <c r="R80" s="66">
        <f t="shared" si="72"/>
        <v>8.9502842587904882E-5</v>
      </c>
      <c r="S80" s="66">
        <f t="shared" si="72"/>
        <v>8.9502842587904882E-5</v>
      </c>
      <c r="T80" s="66">
        <f t="shared" si="72"/>
        <v>8.9502842587904882E-5</v>
      </c>
      <c r="U80" s="66">
        <f t="shared" si="72"/>
        <v>8.9502842587904882E-5</v>
      </c>
      <c r="V80" s="66">
        <f t="shared" si="72"/>
        <v>8.9502842587904882E-5</v>
      </c>
      <c r="W80" s="66">
        <f t="shared" si="72"/>
        <v>8.9502842587904882E-5</v>
      </c>
      <c r="X80" s="66">
        <f t="shared" si="72"/>
        <v>8.9502842587904882E-5</v>
      </c>
      <c r="Y80" s="66">
        <f t="shared" si="72"/>
        <v>8.9502842587904882E-5</v>
      </c>
      <c r="Z80" s="66">
        <f t="shared" si="72"/>
        <v>8.9502842587904882E-5</v>
      </c>
      <c r="AA80" s="66">
        <f t="shared" si="72"/>
        <v>8.9502842587904882E-5</v>
      </c>
      <c r="AB80" s="66">
        <f t="shared" si="72"/>
        <v>8.9502842587904882E-5</v>
      </c>
      <c r="AC80" s="66">
        <f t="shared" si="72"/>
        <v>8.9502842587904882E-5</v>
      </c>
    </row>
    <row r="81" spans="1:29" x14ac:dyDescent="0.3">
      <c r="A81" s="30" t="str">
        <f t="shared" si="65"/>
        <v>Fuel Cost</v>
      </c>
      <c r="B81" s="66">
        <f>B39*B40*B47/B47/(B44)</f>
        <v>2.6447470892304818E-2</v>
      </c>
      <c r="C81" s="66">
        <f t="shared" ref="C81:AC81" si="73">C39*C40*C47/C47/(C44)</f>
        <v>2.6426908566753161E-2</v>
      </c>
      <c r="D81" s="66">
        <f t="shared" si="73"/>
        <v>2.6397478557982218E-2</v>
      </c>
      <c r="E81" s="66">
        <f t="shared" si="73"/>
        <v>2.6355386077260078E-2</v>
      </c>
      <c r="F81" s="66">
        <f t="shared" si="73"/>
        <v>2.6295245467607312E-2</v>
      </c>
      <c r="G81" s="66">
        <f t="shared" si="73"/>
        <v>2.6209450205638828E-2</v>
      </c>
      <c r="H81" s="66">
        <f t="shared" si="73"/>
        <v>2.6087334634489406E-2</v>
      </c>
      <c r="I81" s="66">
        <f t="shared" si="73"/>
        <v>2.5914105335127887E-2</v>
      </c>
      <c r="J81" s="66">
        <f t="shared" si="73"/>
        <v>2.5669577211867009E-2</v>
      </c>
      <c r="K81" s="66">
        <f t="shared" si="73"/>
        <v>2.5326886475952576E-2</v>
      </c>
      <c r="L81" s="66">
        <f t="shared" si="73"/>
        <v>2.4851629900758964E-2</v>
      </c>
      <c r="M81" s="66">
        <f t="shared" si="73"/>
        <v>2.4202354741507264E-2</v>
      </c>
      <c r="N81" s="66">
        <f t="shared" si="73"/>
        <v>2.3333958242089507E-2</v>
      </c>
      <c r="O81" s="66">
        <f t="shared" si="73"/>
        <v>2.2205989369190961E-2</v>
      </c>
      <c r="P81" s="66">
        <f t="shared" si="73"/>
        <v>2.079709880546295E-2</v>
      </c>
      <c r="Q81" s="66">
        <f t="shared" si="73"/>
        <v>1.9123532981653774E-2</v>
      </c>
      <c r="R81" s="66">
        <f t="shared" si="73"/>
        <v>1.7253532537418889E-2</v>
      </c>
      <c r="S81" s="66">
        <f t="shared" si="73"/>
        <v>1.530520591707072E-2</v>
      </c>
      <c r="T81" s="66">
        <f t="shared" si="73"/>
        <v>1.342096578561215E-2</v>
      </c>
      <c r="U81" s="66">
        <f t="shared" si="73"/>
        <v>1.1727867879060591E-2</v>
      </c>
      <c r="V81" s="66">
        <f t="shared" si="73"/>
        <v>1.0305580567023331E-2</v>
      </c>
      <c r="W81" s="66">
        <f t="shared" si="73"/>
        <v>9.1775845387704353E-3</v>
      </c>
      <c r="X81" s="66">
        <f t="shared" si="73"/>
        <v>8.323455015144551E-3</v>
      </c>
      <c r="Y81" s="66">
        <f t="shared" si="73"/>
        <v>7.6992343221792357E-3</v>
      </c>
      <c r="Z81" s="66">
        <f t="shared" si="73"/>
        <v>7.2548128498131879E-3</v>
      </c>
      <c r="AA81" s="66">
        <f t="shared" si="73"/>
        <v>6.9442769569968699E-3</v>
      </c>
      <c r="AB81" s="66">
        <f t="shared" si="73"/>
        <v>6.7301292213014213E-3</v>
      </c>
      <c r="AC81" s="66">
        <f t="shared" si="73"/>
        <v>6.5837900060073855E-3</v>
      </c>
    </row>
    <row r="82" spans="1:29" x14ac:dyDescent="0.3">
      <c r="A82" s="59" t="str">
        <f>A45</f>
        <v>Market failure (av. utilization)</v>
      </c>
      <c r="B82" s="66">
        <f t="shared" ref="B82:AC82" si="74">B71/B45-B71/B44</f>
        <v>2.855450515937415E-2</v>
      </c>
      <c r="C82" s="66">
        <f t="shared" si="74"/>
        <v>2.8534127191556718E-2</v>
      </c>
      <c r="D82" s="66">
        <f t="shared" si="74"/>
        <v>2.8504960910216582E-2</v>
      </c>
      <c r="E82" s="66">
        <f t="shared" si="74"/>
        <v>2.84632453487015E-2</v>
      </c>
      <c r="F82" s="66">
        <f t="shared" si="74"/>
        <v>2.8403642701199688E-2</v>
      </c>
      <c r="G82" s="66">
        <f t="shared" si="74"/>
        <v>2.8318613722187639E-2</v>
      </c>
      <c r="H82" s="66">
        <f t="shared" si="74"/>
        <v>2.8197586469888347E-2</v>
      </c>
      <c r="I82" s="66">
        <f t="shared" si="74"/>
        <v>2.8025896258411571E-2</v>
      </c>
      <c r="J82" s="66">
        <f t="shared" si="74"/>
        <v>2.7783531141111654E-2</v>
      </c>
      <c r="K82" s="66">
        <f t="shared" si="74"/>
        <v>2.7443852821150735E-2</v>
      </c>
      <c r="L82" s="66">
        <f t="shared" si="74"/>
        <v>2.6972737227151142E-2</v>
      </c>
      <c r="M82" s="66">
        <f t="shared" si="74"/>
        <v>2.6329049636399881E-2</v>
      </c>
      <c r="N82" s="66">
        <f t="shared" si="74"/>
        <v>2.5467999103204984E-2</v>
      </c>
      <c r="O82" s="66">
        <f t="shared" si="74"/>
        <v>2.4349350744405585E-2</v>
      </c>
      <c r="P82" s="66">
        <f t="shared" si="74"/>
        <v>2.2951743064178683E-2</v>
      </c>
      <c r="Q82" s="66">
        <f t="shared" si="74"/>
        <v>2.1291047262560148E-2</v>
      </c>
      <c r="R82" s="66">
        <f t="shared" si="74"/>
        <v>1.9434720539655347E-2</v>
      </c>
      <c r="S82" s="66">
        <f t="shared" si="74"/>
        <v>1.7499816458805172E-2</v>
      </c>
      <c r="T82" s="66">
        <f t="shared" si="74"/>
        <v>1.5627725047540345E-2</v>
      </c>
      <c r="U82" s="66">
        <f t="shared" si="74"/>
        <v>1.3944817168320496E-2</v>
      </c>
      <c r="V82" s="66">
        <f t="shared" si="74"/>
        <v>1.2530538759535111E-2</v>
      </c>
      <c r="W82" s="66">
        <f t="shared" si="74"/>
        <v>1.1408525001357465E-2</v>
      </c>
      <c r="X82" s="66">
        <f t="shared" si="74"/>
        <v>1.0558702116880992E-2</v>
      </c>
      <c r="Y82" s="66">
        <f t="shared" si="74"/>
        <v>9.9375046781741763E-3</v>
      </c>
      <c r="Z82" s="66">
        <f t="shared" si="74"/>
        <v>9.495170777387615E-3</v>
      </c>
      <c r="AA82" s="66">
        <f t="shared" si="74"/>
        <v>9.1860611824937533E-3</v>
      </c>
      <c r="AB82" s="66">
        <f t="shared" si="74"/>
        <v>8.9728813944369677E-3</v>
      </c>
      <c r="AC82" s="66">
        <f t="shared" si="74"/>
        <v>8.8271962507454425E-3</v>
      </c>
    </row>
    <row r="83" spans="1:29" x14ac:dyDescent="0.3">
      <c r="A83" s="59" t="str">
        <f>A46</f>
        <v>Payload loss (fuel)</v>
      </c>
      <c r="B83" s="66">
        <f>B71/(B44-B46)-B71/B44</f>
        <v>1.2383331319116356E-3</v>
      </c>
      <c r="C83" s="66">
        <f t="shared" ref="C83:AC83" si="75">C71/(C44-C46)-C71/C44</f>
        <v>1.2374493935113882E-3</v>
      </c>
      <c r="D83" s="66">
        <f t="shared" si="75"/>
        <v>1.2361845292695947E-3</v>
      </c>
      <c r="E83" s="66">
        <f t="shared" si="75"/>
        <v>1.2343754360406266E-3</v>
      </c>
      <c r="F83" s="66">
        <f t="shared" si="75"/>
        <v>1.2317906273479479E-3</v>
      </c>
      <c r="G83" s="66">
        <f t="shared" si="75"/>
        <v>1.2281031461152808E-3</v>
      </c>
      <c r="H83" s="66">
        <f t="shared" si="75"/>
        <v>1.2228545152757689E-3</v>
      </c>
      <c r="I83" s="66">
        <f t="shared" si="75"/>
        <v>1.215408766308667E-3</v>
      </c>
      <c r="J83" s="66">
        <f t="shared" si="75"/>
        <v>1.2048980341808624E-3</v>
      </c>
      <c r="K83" s="66">
        <f t="shared" si="75"/>
        <v>1.1901670866315377E-3</v>
      </c>
      <c r="L83" s="66">
        <f t="shared" si="75"/>
        <v>1.1697360532182885E-3</v>
      </c>
      <c r="M83" s="66">
        <f t="shared" si="75"/>
        <v>1.1418210301499948E-3</v>
      </c>
      <c r="N83" s="66">
        <f t="shared" si="75"/>
        <v>1.1044795529451153E-3</v>
      </c>
      <c r="O83" s="66">
        <f t="shared" si="75"/>
        <v>1.0559667414665672E-3</v>
      </c>
      <c r="P83" s="66">
        <f t="shared" si="75"/>
        <v>9.9535620431387417E-4</v>
      </c>
      <c r="Q83" s="66">
        <f t="shared" si="75"/>
        <v>9.2333623332531076E-4</v>
      </c>
      <c r="R83" s="66">
        <f t="shared" si="75"/>
        <v>8.4283226830137933E-4</v>
      </c>
      <c r="S83" s="66">
        <f t="shared" si="75"/>
        <v>7.5892061173389938E-4</v>
      </c>
      <c r="T83" s="66">
        <f t="shared" si="75"/>
        <v>6.7773297400047436E-4</v>
      </c>
      <c r="U83" s="66">
        <f t="shared" si="75"/>
        <v>6.0474972413634802E-4</v>
      </c>
      <c r="V83" s="66">
        <f t="shared" si="75"/>
        <v>5.4341622171453184E-4</v>
      </c>
      <c r="W83" s="66">
        <f t="shared" si="75"/>
        <v>4.9475746179356364E-4</v>
      </c>
      <c r="X83" s="66">
        <f t="shared" si="75"/>
        <v>4.5790289792596237E-4</v>
      </c>
      <c r="Y83" s="66">
        <f t="shared" si="75"/>
        <v>4.3096321308408285E-4</v>
      </c>
      <c r="Z83" s="66">
        <f t="shared" si="75"/>
        <v>4.1178036534589117E-4</v>
      </c>
      <c r="AA83" s="66">
        <f t="shared" si="75"/>
        <v>3.9837510230202565E-4</v>
      </c>
      <c r="AB83" s="66">
        <f t="shared" si="75"/>
        <v>3.8913006047303252E-4</v>
      </c>
      <c r="AC83" s="66">
        <f t="shared" si="75"/>
        <v>3.8281208230273554E-4</v>
      </c>
    </row>
    <row r="84" spans="1:29" ht="15" thickBot="1" x14ac:dyDescent="0.35">
      <c r="A84" s="59" t="str">
        <f>A21</f>
        <v>Emission Cost</v>
      </c>
      <c r="B84" s="68">
        <f>B41*B47/B47/(B44)</f>
        <v>3.3398562051778328E-4</v>
      </c>
      <c r="C84" s="68">
        <f t="shared" ref="C84:AC84" si="76">C41*C47/C47/(C44)</f>
        <v>3.3366758483088988E-4</v>
      </c>
      <c r="D84" s="68">
        <f t="shared" si="76"/>
        <v>3.3321232382877585E-4</v>
      </c>
      <c r="E84" s="68">
        <f t="shared" si="76"/>
        <v>3.3256104094986681E-4</v>
      </c>
      <c r="F84" s="68">
        <f t="shared" si="76"/>
        <v>3.3163021400320358E-4</v>
      </c>
      <c r="G84" s="68">
        <f t="shared" si="76"/>
        <v>3.3030172279027004E-4</v>
      </c>
      <c r="H84" s="68">
        <f t="shared" si="76"/>
        <v>3.2840962538848302E-4</v>
      </c>
      <c r="I84" s="68">
        <f t="shared" si="76"/>
        <v>3.2572311831349148E-4</v>
      </c>
      <c r="J84" s="68">
        <f t="shared" si="76"/>
        <v>3.2192599871983809E-4</v>
      </c>
      <c r="K84" s="68">
        <f t="shared" si="76"/>
        <v>3.1659491131606082E-4</v>
      </c>
      <c r="L84" s="68">
        <f t="shared" si="76"/>
        <v>3.091827645801561E-4</v>
      </c>
      <c r="M84" s="68">
        <f t="shared" si="76"/>
        <v>2.9902098869419172E-4</v>
      </c>
      <c r="N84" s="68">
        <f t="shared" si="76"/>
        <v>2.8536465079533697E-4</v>
      </c>
      <c r="O84" s="68">
        <f t="shared" si="76"/>
        <v>2.6751317895107546E-4</v>
      </c>
      <c r="P84" s="68">
        <f t="shared" si="76"/>
        <v>2.4503226745359335E-4</v>
      </c>
      <c r="Q84" s="68">
        <f t="shared" si="76"/>
        <v>2.1805581897128034E-4</v>
      </c>
      <c r="R84" s="68">
        <f t="shared" si="76"/>
        <v>1.8755156174862146E-4</v>
      </c>
      <c r="S84" s="68">
        <f t="shared" si="76"/>
        <v>1.5534834255447857E-4</v>
      </c>
      <c r="T84" s="68">
        <f t="shared" si="76"/>
        <v>1.2377882247964437E-4</v>
      </c>
      <c r="U84" s="68">
        <f t="shared" si="76"/>
        <v>9.5040438542586453E-5</v>
      </c>
      <c r="V84" s="68">
        <f t="shared" si="76"/>
        <v>7.06169046206584E-5</v>
      </c>
      <c r="W84" s="68">
        <f t="shared" si="76"/>
        <v>5.1058027956299464E-5</v>
      </c>
      <c r="X84" s="68">
        <f t="shared" si="76"/>
        <v>3.6133736976499454E-5</v>
      </c>
      <c r="Y84" s="68">
        <f t="shared" si="76"/>
        <v>2.5163186176479669E-5</v>
      </c>
      <c r="Z84" s="68">
        <f t="shared" si="76"/>
        <v>1.7319401061741704E-5</v>
      </c>
      <c r="AA84" s="68">
        <f t="shared" si="76"/>
        <v>1.1822066063754811E-5</v>
      </c>
      <c r="AB84" s="68">
        <f t="shared" si="76"/>
        <v>8.0230696875300903E-6</v>
      </c>
      <c r="AC84" s="68">
        <f t="shared" si="76"/>
        <v>5.4232271560286516E-6</v>
      </c>
    </row>
    <row r="85" spans="1:29" ht="15" thickBot="1" x14ac:dyDescent="0.35">
      <c r="A85" s="31" t="s">
        <v>210</v>
      </c>
      <c r="B85" s="67">
        <f>B74+B75+B76+B77+B78+B79+B80+B81+B82+B83+B84</f>
        <v>5.9499036857833032E-2</v>
      </c>
      <c r="C85" s="67">
        <f t="shared" ref="C85:AC85" si="77">C74+C75+C76+C77+C78+C79+C80+C81+C82+C83+C84</f>
        <v>5.9456565430009461E-2</v>
      </c>
      <c r="D85" s="67">
        <f t="shared" si="77"/>
        <v>5.9395777542624525E-2</v>
      </c>
      <c r="E85" s="67">
        <f t="shared" si="77"/>
        <v>5.9308834650385195E-2</v>
      </c>
      <c r="F85" s="67">
        <f t="shared" si="77"/>
        <v>5.918461178556636E-2</v>
      </c>
      <c r="G85" s="67">
        <f t="shared" si="77"/>
        <v>5.900739577573768E-2</v>
      </c>
      <c r="H85" s="67">
        <f t="shared" si="77"/>
        <v>5.8755152752450635E-2</v>
      </c>
      <c r="I85" s="67">
        <f t="shared" si="77"/>
        <v>5.8397318816796225E-2</v>
      </c>
      <c r="J85" s="67">
        <f t="shared" si="77"/>
        <v>5.7892185396301241E-2</v>
      </c>
      <c r="K85" s="67">
        <f t="shared" si="77"/>
        <v>5.718423338760719E-2</v>
      </c>
      <c r="L85" s="67">
        <f t="shared" si="77"/>
        <v>5.6202341958276406E-2</v>
      </c>
      <c r="M85" s="67">
        <f t="shared" si="77"/>
        <v>5.4860778790817785E-2</v>
      </c>
      <c r="N85" s="67">
        <f t="shared" si="77"/>
        <v>5.3066191327500865E-2</v>
      </c>
      <c r="O85" s="67">
        <f t="shared" si="77"/>
        <v>5.0734722681737829E-2</v>
      </c>
      <c r="P85" s="67">
        <f t="shared" si="77"/>
        <v>4.7821851572693502E-2</v>
      </c>
      <c r="Q85" s="67">
        <f t="shared" si="77"/>
        <v>4.4360656496360985E-2</v>
      </c>
      <c r="R85" s="67">
        <f t="shared" si="77"/>
        <v>4.0491730647857875E-2</v>
      </c>
      <c r="S85" s="67">
        <f t="shared" si="77"/>
        <v>3.6459035152820653E-2</v>
      </c>
      <c r="T85" s="67">
        <f t="shared" si="77"/>
        <v>3.2557252798220235E-2</v>
      </c>
      <c r="U85" s="67">
        <f t="shared" si="77"/>
        <v>2.9049763672397231E-2</v>
      </c>
      <c r="V85" s="67">
        <f t="shared" si="77"/>
        <v>2.6102147703066465E-2</v>
      </c>
      <c r="W85" s="67">
        <f t="shared" si="77"/>
        <v>2.3763664946864584E-2</v>
      </c>
      <c r="X85" s="67">
        <f t="shared" si="77"/>
        <v>2.1992477965698056E-2</v>
      </c>
      <c r="Y85" s="67">
        <f t="shared" si="77"/>
        <v>2.0697788405944308E-2</v>
      </c>
      <c r="Z85" s="67">
        <f t="shared" si="77"/>
        <v>1.9775883311702935E-2</v>
      </c>
      <c r="AA85" s="67">
        <f t="shared" si="77"/>
        <v>1.9131642140712404E-2</v>
      </c>
      <c r="AB85" s="67">
        <f t="shared" si="77"/>
        <v>1.8687336306930792E-2</v>
      </c>
      <c r="AC85" s="67">
        <f t="shared" si="77"/>
        <v>1.8383701708981876E-2</v>
      </c>
    </row>
    <row r="87" spans="1:29" x14ac:dyDescent="0.3">
      <c r="B87" s="40"/>
    </row>
    <row r="107" spans="1:2" s="3" customFormat="1" ht="21" x14ac:dyDescent="0.4">
      <c r="A107" s="2" t="str">
        <f>'Parameter Input'!A153</f>
        <v>Short-sea: Container</v>
      </c>
    </row>
    <row r="108" spans="1:2" s="3" customFormat="1" ht="21" x14ac:dyDescent="0.4">
      <c r="A108" s="2" t="s">
        <v>187</v>
      </c>
    </row>
    <row r="109" spans="1:2" x14ac:dyDescent="0.3">
      <c r="A109" s="33" t="s">
        <v>195</v>
      </c>
    </row>
    <row r="110" spans="1:2" x14ac:dyDescent="0.3">
      <c r="A110" s="33" t="s">
        <v>196</v>
      </c>
    </row>
    <row r="111" spans="1:2" ht="15" thickBot="1" x14ac:dyDescent="0.35">
      <c r="A111" s="34" t="s">
        <v>197</v>
      </c>
      <c r="B111" s="34"/>
    </row>
    <row r="112" spans="1:2" ht="15" thickBot="1" x14ac:dyDescent="0.35">
      <c r="A112" s="39" t="s">
        <v>198</v>
      </c>
      <c r="B112" s="35"/>
    </row>
    <row r="113" spans="1:44" ht="15" thickBot="1" x14ac:dyDescent="0.35">
      <c r="A113" s="38" t="s">
        <v>199</v>
      </c>
      <c r="B113" s="36"/>
    </row>
    <row r="114" spans="1:44" ht="15" thickBot="1" x14ac:dyDescent="0.35"/>
    <row r="115" spans="1:44" x14ac:dyDescent="0.3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" thickBot="1" x14ac:dyDescent="0.35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3">
      <c r="A117" s="24" t="s">
        <v>18</v>
      </c>
      <c r="B117" s="41">
        <f>'Parameter Input'!$L$191</f>
        <v>19500000</v>
      </c>
      <c r="C117" s="42">
        <f>'Parameter Input'!$M$191</f>
        <v>15000000</v>
      </c>
      <c r="D117" s="1" t="s">
        <v>15</v>
      </c>
      <c r="L117" s="51">
        <f>'Parameter Input'!$O$191</f>
        <v>17</v>
      </c>
      <c r="M117" s="52">
        <v>0</v>
      </c>
      <c r="N117" s="52">
        <v>1</v>
      </c>
      <c r="O117" s="52">
        <f>'Parameter Input'!$P$191</f>
        <v>0.9</v>
      </c>
      <c r="P117" s="53">
        <f>'Parameter Input'!$Q$191</f>
        <v>0.4</v>
      </c>
      <c r="Q117" s="4">
        <f t="shared" ref="Q117:AR126" si="78">$N117+($M117-$N117)*((1/(1+EXP(-$P117*(Q$9-$L117)))^$O117))</f>
        <v>0.99780374543478534</v>
      </c>
      <c r="R117" s="4">
        <f t="shared" si="78"/>
        <v>0.99685359315256394</v>
      </c>
      <c r="S117" s="4">
        <f t="shared" si="78"/>
        <v>0.99549347132349975</v>
      </c>
      <c r="T117" s="4">
        <f t="shared" si="78"/>
        <v>0.99354772139898062</v>
      </c>
      <c r="U117" s="4">
        <f t="shared" si="78"/>
        <v>0.99076681540580536</v>
      </c>
      <c r="V117" s="4">
        <f t="shared" si="78"/>
        <v>0.9867978615748374</v>
      </c>
      <c r="W117" s="4">
        <f t="shared" si="78"/>
        <v>0.98114509762858249</v>
      </c>
      <c r="X117" s="4">
        <f t="shared" si="78"/>
        <v>0.97311898315872036</v>
      </c>
      <c r="Y117" s="4">
        <f t="shared" si="78"/>
        <v>0.96177484161592774</v>
      </c>
      <c r="Z117" s="4">
        <f t="shared" si="78"/>
        <v>0.94584787155511363</v>
      </c>
      <c r="AA117" s="4">
        <f t="shared" si="78"/>
        <v>0.92370360150141495</v>
      </c>
      <c r="AB117" s="4">
        <f t="shared" si="78"/>
        <v>0.89334463567658451</v>
      </c>
      <c r="AC117" s="4">
        <f t="shared" si="78"/>
        <v>0.85254543874327005</v>
      </c>
      <c r="AD117" s="4">
        <f t="shared" si="78"/>
        <v>0.79921300652623883</v>
      </c>
      <c r="AE117" s="4">
        <f t="shared" si="78"/>
        <v>0.73204982249993378</v>
      </c>
      <c r="AF117" s="4">
        <f t="shared" si="78"/>
        <v>0.65145592958786691</v>
      </c>
      <c r="AG117" s="4">
        <f t="shared" si="78"/>
        <v>0.56032247880849573</v>
      </c>
      <c r="AH117" s="4">
        <f t="shared" si="78"/>
        <v>0.46411326873185343</v>
      </c>
      <c r="AI117" s="4">
        <f t="shared" si="78"/>
        <v>0.36979727595523937</v>
      </c>
      <c r="AJ117" s="4">
        <f t="shared" si="78"/>
        <v>0.28393948637231203</v>
      </c>
      <c r="AK117" s="4">
        <f t="shared" si="78"/>
        <v>0.21097259161117732</v>
      </c>
      <c r="AL117" s="4">
        <f t="shared" si="78"/>
        <v>0.15253917653798199</v>
      </c>
      <c r="AM117" s="4">
        <f t="shared" si="78"/>
        <v>0.10795188737709993</v>
      </c>
      <c r="AN117" s="4">
        <f t="shared" si="78"/>
        <v>7.5176653938091809E-2</v>
      </c>
      <c r="AO117" s="4">
        <f t="shared" si="78"/>
        <v>5.1742836177502194E-2</v>
      </c>
      <c r="AP117" s="4">
        <f t="shared" si="78"/>
        <v>3.5319190625345942E-2</v>
      </c>
      <c r="AQ117" s="4">
        <f t="shared" si="78"/>
        <v>2.3969442072658165E-2</v>
      </c>
      <c r="AR117" s="4">
        <f t="shared" si="78"/>
        <v>1.6202243558389728E-2</v>
      </c>
    </row>
    <row r="118" spans="1:44" x14ac:dyDescent="0.3">
      <c r="A118" s="24" t="s">
        <v>28</v>
      </c>
      <c r="B118" s="60">
        <f>'Parameter Input'!$L$192</f>
        <v>-975000</v>
      </c>
      <c r="C118" s="61">
        <f>'Parameter Input'!$M$192</f>
        <v>-1500000</v>
      </c>
      <c r="D118" s="1" t="s">
        <v>15</v>
      </c>
      <c r="L118" s="54">
        <f>'Parameter Input'!$O$192</f>
        <v>17</v>
      </c>
      <c r="M118" s="37">
        <v>0</v>
      </c>
      <c r="N118" s="37">
        <v>1</v>
      </c>
      <c r="O118" s="37">
        <f>'Parameter Input'!$P$192</f>
        <v>0.9</v>
      </c>
      <c r="P118" s="55">
        <f>'Parameter Input'!$Q$192</f>
        <v>0.4</v>
      </c>
      <c r="Q118" s="4">
        <f t="shared" si="78"/>
        <v>0.99780374543478534</v>
      </c>
      <c r="R118" s="4">
        <f t="shared" si="78"/>
        <v>0.99685359315256394</v>
      </c>
      <c r="S118" s="4">
        <f t="shared" si="78"/>
        <v>0.99549347132349975</v>
      </c>
      <c r="T118" s="4">
        <f t="shared" si="78"/>
        <v>0.99354772139898062</v>
      </c>
      <c r="U118" s="4">
        <f t="shared" si="78"/>
        <v>0.99076681540580536</v>
      </c>
      <c r="V118" s="4">
        <f t="shared" si="78"/>
        <v>0.9867978615748374</v>
      </c>
      <c r="W118" s="4">
        <f t="shared" si="78"/>
        <v>0.98114509762858249</v>
      </c>
      <c r="X118" s="4">
        <f t="shared" si="78"/>
        <v>0.97311898315872036</v>
      </c>
      <c r="Y118" s="4">
        <f t="shared" si="78"/>
        <v>0.96177484161592774</v>
      </c>
      <c r="Z118" s="4">
        <f t="shared" si="78"/>
        <v>0.94584787155511363</v>
      </c>
      <c r="AA118" s="4">
        <f t="shared" si="78"/>
        <v>0.92370360150141495</v>
      </c>
      <c r="AB118" s="4">
        <f t="shared" si="78"/>
        <v>0.89334463567658451</v>
      </c>
      <c r="AC118" s="4">
        <f t="shared" si="78"/>
        <v>0.85254543874327005</v>
      </c>
      <c r="AD118" s="4">
        <f t="shared" si="78"/>
        <v>0.79921300652623883</v>
      </c>
      <c r="AE118" s="4">
        <f t="shared" si="78"/>
        <v>0.73204982249993378</v>
      </c>
      <c r="AF118" s="4">
        <f t="shared" si="78"/>
        <v>0.65145592958786691</v>
      </c>
      <c r="AG118" s="4">
        <f t="shared" si="78"/>
        <v>0.56032247880849573</v>
      </c>
      <c r="AH118" s="4">
        <f t="shared" si="78"/>
        <v>0.46411326873185343</v>
      </c>
      <c r="AI118" s="4">
        <f t="shared" si="78"/>
        <v>0.36979727595523937</v>
      </c>
      <c r="AJ118" s="4">
        <f t="shared" si="78"/>
        <v>0.28393948637231203</v>
      </c>
      <c r="AK118" s="4">
        <f t="shared" si="78"/>
        <v>0.21097259161117732</v>
      </c>
      <c r="AL118" s="4">
        <f t="shared" si="78"/>
        <v>0.15253917653798199</v>
      </c>
      <c r="AM118" s="4">
        <f t="shared" si="78"/>
        <v>0.10795188737709993</v>
      </c>
      <c r="AN118" s="4">
        <f t="shared" si="78"/>
        <v>7.5176653938091809E-2</v>
      </c>
      <c r="AO118" s="4">
        <f t="shared" si="78"/>
        <v>5.1742836177502194E-2</v>
      </c>
      <c r="AP118" s="4">
        <f t="shared" si="78"/>
        <v>3.5319190625345942E-2</v>
      </c>
      <c r="AQ118" s="4">
        <f t="shared" si="78"/>
        <v>2.3969442072658165E-2</v>
      </c>
      <c r="AR118" s="4">
        <f t="shared" si="78"/>
        <v>1.6202243558389728E-2</v>
      </c>
    </row>
    <row r="119" spans="1:44" x14ac:dyDescent="0.3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8"/>
        <v>0.99780374543478534</v>
      </c>
      <c r="R119" s="4">
        <f t="shared" si="78"/>
        <v>0.99685359315256394</v>
      </c>
      <c r="S119" s="4">
        <f t="shared" si="78"/>
        <v>0.99549347132349975</v>
      </c>
      <c r="T119" s="4">
        <f t="shared" si="78"/>
        <v>0.99354772139898062</v>
      </c>
      <c r="U119" s="4">
        <f t="shared" si="78"/>
        <v>0.99076681540580536</v>
      </c>
      <c r="V119" s="4">
        <f t="shared" si="78"/>
        <v>0.9867978615748374</v>
      </c>
      <c r="W119" s="4">
        <f t="shared" si="78"/>
        <v>0.98114509762858249</v>
      </c>
      <c r="X119" s="4">
        <f t="shared" si="78"/>
        <v>0.97311898315872036</v>
      </c>
      <c r="Y119" s="4">
        <f t="shared" si="78"/>
        <v>0.96177484161592774</v>
      </c>
      <c r="Z119" s="4">
        <f t="shared" si="78"/>
        <v>0.94584787155511363</v>
      </c>
      <c r="AA119" s="4">
        <f t="shared" si="78"/>
        <v>0.92370360150141495</v>
      </c>
      <c r="AB119" s="4">
        <f t="shared" si="78"/>
        <v>0.89334463567658451</v>
      </c>
      <c r="AC119" s="4">
        <f t="shared" si="78"/>
        <v>0.85254543874327005</v>
      </c>
      <c r="AD119" s="4">
        <f t="shared" si="78"/>
        <v>0.79921300652623883</v>
      </c>
      <c r="AE119" s="4">
        <f t="shared" si="78"/>
        <v>0.73204982249993378</v>
      </c>
      <c r="AF119" s="4">
        <f t="shared" si="78"/>
        <v>0.65145592958786691</v>
      </c>
      <c r="AG119" s="4">
        <f t="shared" si="78"/>
        <v>0.56032247880849573</v>
      </c>
      <c r="AH119" s="4">
        <f t="shared" si="78"/>
        <v>0.46411326873185343</v>
      </c>
      <c r="AI119" s="4">
        <f t="shared" si="78"/>
        <v>0.36979727595523937</v>
      </c>
      <c r="AJ119" s="4">
        <f t="shared" si="78"/>
        <v>0.28393948637231203</v>
      </c>
      <c r="AK119" s="4">
        <f t="shared" si="78"/>
        <v>0.21097259161117732</v>
      </c>
      <c r="AL119" s="4">
        <f t="shared" si="78"/>
        <v>0.15253917653798199</v>
      </c>
      <c r="AM119" s="4">
        <f t="shared" si="78"/>
        <v>0.10795188737709993</v>
      </c>
      <c r="AN119" s="4">
        <f t="shared" si="78"/>
        <v>7.5176653938091809E-2</v>
      </c>
      <c r="AO119" s="4">
        <f t="shared" si="78"/>
        <v>5.1742836177502194E-2</v>
      </c>
      <c r="AP119" s="4">
        <f t="shared" si="78"/>
        <v>3.5319190625345942E-2</v>
      </c>
      <c r="AQ119" s="4">
        <f t="shared" si="78"/>
        <v>2.3969442072658165E-2</v>
      </c>
      <c r="AR119" s="4">
        <f t="shared" si="78"/>
        <v>1.6202243558389728E-2</v>
      </c>
    </row>
    <row r="120" spans="1:44" x14ac:dyDescent="0.3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8"/>
        <v>0.99780374543478534</v>
      </c>
      <c r="R120" s="4">
        <f t="shared" si="78"/>
        <v>0.99685359315256394</v>
      </c>
      <c r="S120" s="4">
        <f t="shared" si="78"/>
        <v>0.99549347132349975</v>
      </c>
      <c r="T120" s="4">
        <f t="shared" si="78"/>
        <v>0.99354772139898062</v>
      </c>
      <c r="U120" s="4">
        <f t="shared" si="78"/>
        <v>0.99076681540580536</v>
      </c>
      <c r="V120" s="4">
        <f t="shared" si="78"/>
        <v>0.9867978615748374</v>
      </c>
      <c r="W120" s="4">
        <f t="shared" si="78"/>
        <v>0.98114509762858249</v>
      </c>
      <c r="X120" s="4">
        <f t="shared" si="78"/>
        <v>0.97311898315872036</v>
      </c>
      <c r="Y120" s="4">
        <f t="shared" si="78"/>
        <v>0.96177484161592774</v>
      </c>
      <c r="Z120" s="4">
        <f t="shared" si="78"/>
        <v>0.94584787155511363</v>
      </c>
      <c r="AA120" s="4">
        <f t="shared" si="78"/>
        <v>0.92370360150141495</v>
      </c>
      <c r="AB120" s="4">
        <f t="shared" si="78"/>
        <v>0.89334463567658451</v>
      </c>
      <c r="AC120" s="4">
        <f t="shared" si="78"/>
        <v>0.85254543874327005</v>
      </c>
      <c r="AD120" s="4">
        <f t="shared" si="78"/>
        <v>0.79921300652623883</v>
      </c>
      <c r="AE120" s="4">
        <f t="shared" si="78"/>
        <v>0.73204982249993378</v>
      </c>
      <c r="AF120" s="4">
        <f t="shared" si="78"/>
        <v>0.65145592958786691</v>
      </c>
      <c r="AG120" s="4">
        <f t="shared" si="78"/>
        <v>0.56032247880849573</v>
      </c>
      <c r="AH120" s="4">
        <f t="shared" si="78"/>
        <v>0.46411326873185343</v>
      </c>
      <c r="AI120" s="4">
        <f t="shared" si="78"/>
        <v>0.36979727595523937</v>
      </c>
      <c r="AJ120" s="4">
        <f t="shared" si="78"/>
        <v>0.28393948637231203</v>
      </c>
      <c r="AK120" s="4">
        <f t="shared" si="78"/>
        <v>0.21097259161117732</v>
      </c>
      <c r="AL120" s="4">
        <f t="shared" si="78"/>
        <v>0.15253917653798199</v>
      </c>
      <c r="AM120" s="4">
        <f t="shared" si="78"/>
        <v>0.10795188737709993</v>
      </c>
      <c r="AN120" s="4">
        <f t="shared" si="78"/>
        <v>7.5176653938091809E-2</v>
      </c>
      <c r="AO120" s="4">
        <f t="shared" si="78"/>
        <v>5.1742836177502194E-2</v>
      </c>
      <c r="AP120" s="4">
        <f t="shared" si="78"/>
        <v>3.5319190625345942E-2</v>
      </c>
      <c r="AQ120" s="4">
        <f t="shared" si="78"/>
        <v>2.3969442072658165E-2</v>
      </c>
      <c r="AR120" s="4">
        <f t="shared" si="78"/>
        <v>1.6202243558389728E-2</v>
      </c>
    </row>
    <row r="121" spans="1:44" x14ac:dyDescent="0.3">
      <c r="A121" s="24" t="s">
        <v>79</v>
      </c>
      <c r="B121" s="92">
        <f>'Parameter Input'!$L$198</f>
        <v>0.06</v>
      </c>
      <c r="C121" s="91">
        <f>'Parameter Input'!$M$198</f>
        <v>0.06</v>
      </c>
      <c r="D121" s="1" t="s">
        <v>57</v>
      </c>
      <c r="L121" s="54">
        <f>'Parameter Input'!$O$198</f>
        <v>17</v>
      </c>
      <c r="M121" s="37">
        <v>0</v>
      </c>
      <c r="N121" s="37">
        <v>1</v>
      </c>
      <c r="O121" s="37">
        <f>'Parameter Input'!$P$198</f>
        <v>0.9</v>
      </c>
      <c r="P121" s="55">
        <f>'Parameter Input'!$Q$198</f>
        <v>0.4</v>
      </c>
      <c r="Q121" s="4">
        <f t="shared" si="78"/>
        <v>0.99780374543478534</v>
      </c>
      <c r="R121" s="4">
        <f t="shared" si="78"/>
        <v>0.99685359315256394</v>
      </c>
      <c r="S121" s="4">
        <f t="shared" si="78"/>
        <v>0.99549347132349975</v>
      </c>
      <c r="T121" s="4">
        <f t="shared" si="78"/>
        <v>0.99354772139898062</v>
      </c>
      <c r="U121" s="4">
        <f t="shared" si="78"/>
        <v>0.99076681540580536</v>
      </c>
      <c r="V121" s="4">
        <f t="shared" si="78"/>
        <v>0.9867978615748374</v>
      </c>
      <c r="W121" s="4">
        <f t="shared" si="78"/>
        <v>0.98114509762858249</v>
      </c>
      <c r="X121" s="4">
        <f t="shared" si="78"/>
        <v>0.97311898315872036</v>
      </c>
      <c r="Y121" s="4">
        <f t="shared" si="78"/>
        <v>0.96177484161592774</v>
      </c>
      <c r="Z121" s="4">
        <f t="shared" si="78"/>
        <v>0.94584787155511363</v>
      </c>
      <c r="AA121" s="4">
        <f t="shared" si="78"/>
        <v>0.92370360150141495</v>
      </c>
      <c r="AB121" s="4">
        <f t="shared" si="78"/>
        <v>0.89334463567658451</v>
      </c>
      <c r="AC121" s="4">
        <f t="shared" si="78"/>
        <v>0.85254543874327005</v>
      </c>
      <c r="AD121" s="4">
        <f t="shared" si="78"/>
        <v>0.79921300652623883</v>
      </c>
      <c r="AE121" s="4">
        <f t="shared" si="78"/>
        <v>0.73204982249993378</v>
      </c>
      <c r="AF121" s="4">
        <f t="shared" si="78"/>
        <v>0.65145592958786691</v>
      </c>
      <c r="AG121" s="4">
        <f t="shared" si="78"/>
        <v>0.56032247880849573</v>
      </c>
      <c r="AH121" s="4">
        <f t="shared" si="78"/>
        <v>0.46411326873185343</v>
      </c>
      <c r="AI121" s="4">
        <f t="shared" si="78"/>
        <v>0.36979727595523937</v>
      </c>
      <c r="AJ121" s="4">
        <f t="shared" si="78"/>
        <v>0.28393948637231203</v>
      </c>
      <c r="AK121" s="4">
        <f t="shared" si="78"/>
        <v>0.21097259161117732</v>
      </c>
      <c r="AL121" s="4">
        <f t="shared" si="78"/>
        <v>0.15253917653798199</v>
      </c>
      <c r="AM121" s="4">
        <f t="shared" si="78"/>
        <v>0.10795188737709993</v>
      </c>
      <c r="AN121" s="4">
        <f t="shared" si="78"/>
        <v>7.5176653938091809E-2</v>
      </c>
      <c r="AO121" s="4">
        <f t="shared" si="78"/>
        <v>5.1742836177502194E-2</v>
      </c>
      <c r="AP121" s="4">
        <f t="shared" si="78"/>
        <v>3.5319190625345942E-2</v>
      </c>
      <c r="AQ121" s="4">
        <f t="shared" si="78"/>
        <v>2.3969442072658165E-2</v>
      </c>
      <c r="AR121" s="4">
        <f t="shared" si="78"/>
        <v>1.6202243558389728E-2</v>
      </c>
    </row>
    <row r="122" spans="1:44" x14ac:dyDescent="0.3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8"/>
        <v>0.99780374543478534</v>
      </c>
      <c r="R122" s="4">
        <f t="shared" si="78"/>
        <v>0.99685359315256394</v>
      </c>
      <c r="S122" s="4">
        <f t="shared" si="78"/>
        <v>0.99549347132349975</v>
      </c>
      <c r="T122" s="4">
        <f t="shared" si="78"/>
        <v>0.99354772139898062</v>
      </c>
      <c r="U122" s="4">
        <f t="shared" si="78"/>
        <v>0.99076681540580536</v>
      </c>
      <c r="V122" s="4">
        <f t="shared" si="78"/>
        <v>0.9867978615748374</v>
      </c>
      <c r="W122" s="4">
        <f t="shared" si="78"/>
        <v>0.98114509762858249</v>
      </c>
      <c r="X122" s="4">
        <f t="shared" si="78"/>
        <v>0.97311898315872036</v>
      </c>
      <c r="Y122" s="4">
        <f t="shared" si="78"/>
        <v>0.96177484161592774</v>
      </c>
      <c r="Z122" s="4">
        <f t="shared" si="78"/>
        <v>0.94584787155511363</v>
      </c>
      <c r="AA122" s="4">
        <f t="shared" si="78"/>
        <v>0.92370360150141495</v>
      </c>
      <c r="AB122" s="4">
        <f t="shared" si="78"/>
        <v>0.89334463567658451</v>
      </c>
      <c r="AC122" s="4">
        <f t="shared" si="78"/>
        <v>0.85254543874327005</v>
      </c>
      <c r="AD122" s="4">
        <f t="shared" si="78"/>
        <v>0.79921300652623883</v>
      </c>
      <c r="AE122" s="4">
        <f t="shared" si="78"/>
        <v>0.73204982249993378</v>
      </c>
      <c r="AF122" s="4">
        <f t="shared" si="78"/>
        <v>0.65145592958786691</v>
      </c>
      <c r="AG122" s="4">
        <f t="shared" si="78"/>
        <v>0.56032247880849573</v>
      </c>
      <c r="AH122" s="4">
        <f t="shared" si="78"/>
        <v>0.46411326873185343</v>
      </c>
      <c r="AI122" s="4">
        <f t="shared" si="78"/>
        <v>0.36979727595523937</v>
      </c>
      <c r="AJ122" s="4">
        <f t="shared" si="78"/>
        <v>0.28393948637231203</v>
      </c>
      <c r="AK122" s="4">
        <f t="shared" si="78"/>
        <v>0.21097259161117732</v>
      </c>
      <c r="AL122" s="4">
        <f t="shared" si="78"/>
        <v>0.15253917653798199</v>
      </c>
      <c r="AM122" s="4">
        <f t="shared" si="78"/>
        <v>0.10795188737709993</v>
      </c>
      <c r="AN122" s="4">
        <f t="shared" si="78"/>
        <v>7.5176653938091809E-2</v>
      </c>
      <c r="AO122" s="4">
        <f t="shared" si="78"/>
        <v>5.1742836177502194E-2</v>
      </c>
      <c r="AP122" s="4">
        <f t="shared" si="78"/>
        <v>3.5319190625345942E-2</v>
      </c>
      <c r="AQ122" s="4">
        <f t="shared" si="78"/>
        <v>2.3969442072658165E-2</v>
      </c>
      <c r="AR122" s="4">
        <f t="shared" si="78"/>
        <v>1.6202243558389728E-2</v>
      </c>
    </row>
    <row r="123" spans="1:44" x14ac:dyDescent="0.3">
      <c r="A123" s="24" t="s">
        <v>52</v>
      </c>
      <c r="B123" s="60">
        <f>'Parameter Input'!$L$194</f>
        <v>488235.29411764705</v>
      </c>
      <c r="C123" s="61">
        <f>'Parameter Input'!$M$194</f>
        <v>488235.29411764705</v>
      </c>
      <c r="D123" s="1" t="s">
        <v>38</v>
      </c>
      <c r="L123" s="54">
        <f>'Parameter Input'!$O$194</f>
        <v>17</v>
      </c>
      <c r="M123" s="37">
        <v>0</v>
      </c>
      <c r="N123" s="37">
        <v>1</v>
      </c>
      <c r="O123" s="37">
        <f>'Parameter Input'!$P$194</f>
        <v>0.9</v>
      </c>
      <c r="P123" s="55">
        <f>'Parameter Input'!$Q$194</f>
        <v>0.4</v>
      </c>
      <c r="Q123" s="4">
        <f t="shared" si="78"/>
        <v>0.99780374543478534</v>
      </c>
      <c r="R123" s="4">
        <f t="shared" si="78"/>
        <v>0.99685359315256394</v>
      </c>
      <c r="S123" s="4">
        <f t="shared" si="78"/>
        <v>0.99549347132349975</v>
      </c>
      <c r="T123" s="4">
        <f t="shared" si="78"/>
        <v>0.99354772139898062</v>
      </c>
      <c r="U123" s="4">
        <f t="shared" si="78"/>
        <v>0.99076681540580536</v>
      </c>
      <c r="V123" s="4">
        <f t="shared" si="78"/>
        <v>0.9867978615748374</v>
      </c>
      <c r="W123" s="4">
        <f t="shared" si="78"/>
        <v>0.98114509762858249</v>
      </c>
      <c r="X123" s="4">
        <f t="shared" si="78"/>
        <v>0.97311898315872036</v>
      </c>
      <c r="Y123" s="4">
        <f t="shared" si="78"/>
        <v>0.96177484161592774</v>
      </c>
      <c r="Z123" s="4">
        <f t="shared" si="78"/>
        <v>0.94584787155511363</v>
      </c>
      <c r="AA123" s="4">
        <f t="shared" si="78"/>
        <v>0.92370360150141495</v>
      </c>
      <c r="AB123" s="4">
        <f t="shared" si="78"/>
        <v>0.89334463567658451</v>
      </c>
      <c r="AC123" s="4">
        <f t="shared" si="78"/>
        <v>0.85254543874327005</v>
      </c>
      <c r="AD123" s="4">
        <f t="shared" si="78"/>
        <v>0.79921300652623883</v>
      </c>
      <c r="AE123" s="4">
        <f t="shared" si="78"/>
        <v>0.73204982249993378</v>
      </c>
      <c r="AF123" s="4">
        <f t="shared" si="78"/>
        <v>0.65145592958786691</v>
      </c>
      <c r="AG123" s="4">
        <f t="shared" si="78"/>
        <v>0.56032247880849573</v>
      </c>
      <c r="AH123" s="4">
        <f t="shared" si="78"/>
        <v>0.46411326873185343</v>
      </c>
      <c r="AI123" s="4">
        <f t="shared" si="78"/>
        <v>0.36979727595523937</v>
      </c>
      <c r="AJ123" s="4">
        <f t="shared" si="78"/>
        <v>0.28393948637231203</v>
      </c>
      <c r="AK123" s="4">
        <f t="shared" si="78"/>
        <v>0.21097259161117732</v>
      </c>
      <c r="AL123" s="4">
        <f t="shared" si="78"/>
        <v>0.15253917653798199</v>
      </c>
      <c r="AM123" s="4">
        <f t="shared" si="78"/>
        <v>0.10795188737709993</v>
      </c>
      <c r="AN123" s="4">
        <f t="shared" si="78"/>
        <v>7.5176653938091809E-2</v>
      </c>
      <c r="AO123" s="4">
        <f t="shared" si="78"/>
        <v>5.1742836177502194E-2</v>
      </c>
      <c r="AP123" s="4">
        <f t="shared" si="78"/>
        <v>3.5319190625345942E-2</v>
      </c>
      <c r="AQ123" s="4">
        <f t="shared" si="78"/>
        <v>2.3969442072658165E-2</v>
      </c>
      <c r="AR123" s="4">
        <f t="shared" si="78"/>
        <v>1.6202243558389728E-2</v>
      </c>
    </row>
    <row r="124" spans="1:44" x14ac:dyDescent="0.3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8"/>
        <v>0.99780374543478534</v>
      </c>
      <c r="R124" s="4">
        <f t="shared" si="78"/>
        <v>0.99685359315256394</v>
      </c>
      <c r="S124" s="4">
        <f t="shared" si="78"/>
        <v>0.99549347132349975</v>
      </c>
      <c r="T124" s="4">
        <f t="shared" si="78"/>
        <v>0.99354772139898062</v>
      </c>
      <c r="U124" s="4">
        <f t="shared" si="78"/>
        <v>0.99076681540580536</v>
      </c>
      <c r="V124" s="4">
        <f t="shared" si="78"/>
        <v>0.9867978615748374</v>
      </c>
      <c r="W124" s="4">
        <f t="shared" si="78"/>
        <v>0.98114509762858249</v>
      </c>
      <c r="X124" s="4">
        <f t="shared" si="78"/>
        <v>0.97311898315872036</v>
      </c>
      <c r="Y124" s="4">
        <f t="shared" si="78"/>
        <v>0.96177484161592774</v>
      </c>
      <c r="Z124" s="4">
        <f t="shared" si="78"/>
        <v>0.94584787155511363</v>
      </c>
      <c r="AA124" s="4">
        <f t="shared" si="78"/>
        <v>0.92370360150141495</v>
      </c>
      <c r="AB124" s="4">
        <f t="shared" si="78"/>
        <v>0.89334463567658451</v>
      </c>
      <c r="AC124" s="4">
        <f t="shared" si="78"/>
        <v>0.85254543874327005</v>
      </c>
      <c r="AD124" s="4">
        <f t="shared" si="78"/>
        <v>0.79921300652623883</v>
      </c>
      <c r="AE124" s="4">
        <f t="shared" si="78"/>
        <v>0.73204982249993378</v>
      </c>
      <c r="AF124" s="4">
        <f t="shared" si="78"/>
        <v>0.65145592958786691</v>
      </c>
      <c r="AG124" s="4">
        <f t="shared" si="78"/>
        <v>0.56032247880849573</v>
      </c>
      <c r="AH124" s="4">
        <f t="shared" si="78"/>
        <v>0.46411326873185343</v>
      </c>
      <c r="AI124" s="4">
        <f t="shared" si="78"/>
        <v>0.36979727595523937</v>
      </c>
      <c r="AJ124" s="4">
        <f t="shared" si="78"/>
        <v>0.28393948637231203</v>
      </c>
      <c r="AK124" s="4">
        <f t="shared" si="78"/>
        <v>0.21097259161117732</v>
      </c>
      <c r="AL124" s="4">
        <f t="shared" si="78"/>
        <v>0.15253917653798199</v>
      </c>
      <c r="AM124" s="4">
        <f t="shared" si="78"/>
        <v>0.10795188737709993</v>
      </c>
      <c r="AN124" s="4">
        <f t="shared" si="78"/>
        <v>7.5176653938091809E-2</v>
      </c>
      <c r="AO124" s="4">
        <f t="shared" si="78"/>
        <v>5.1742836177502194E-2</v>
      </c>
      <c r="AP124" s="4">
        <f t="shared" si="78"/>
        <v>3.5319190625345942E-2</v>
      </c>
      <c r="AQ124" s="4">
        <f t="shared" si="78"/>
        <v>2.3969442072658165E-2</v>
      </c>
      <c r="AR124" s="4">
        <f t="shared" si="78"/>
        <v>1.6202243558389728E-2</v>
      </c>
    </row>
    <row r="125" spans="1:44" x14ac:dyDescent="0.3">
      <c r="A125" s="24" t="s">
        <v>59</v>
      </c>
      <c r="B125" s="60">
        <f>'Parameter Input'!$L$195</f>
        <v>647</v>
      </c>
      <c r="C125" s="61">
        <f>'Parameter Input'!$M$195</f>
        <v>600</v>
      </c>
      <c r="D125" s="1" t="s">
        <v>60</v>
      </c>
      <c r="L125" s="54">
        <f>'Parameter Input'!$O$195</f>
        <v>17</v>
      </c>
      <c r="M125" s="37">
        <v>0</v>
      </c>
      <c r="N125" s="37">
        <v>1</v>
      </c>
      <c r="O125" s="37">
        <f>'Parameter Input'!$P$195</f>
        <v>0.9</v>
      </c>
      <c r="P125" s="55">
        <f>'Parameter Input'!$Q$195</f>
        <v>0.4</v>
      </c>
      <c r="Q125" s="4">
        <f t="shared" si="78"/>
        <v>0.99780374543478534</v>
      </c>
      <c r="R125" s="4">
        <f t="shared" si="78"/>
        <v>0.99685359315256394</v>
      </c>
      <c r="S125" s="4">
        <f t="shared" si="78"/>
        <v>0.99549347132349975</v>
      </c>
      <c r="T125" s="4">
        <f t="shared" si="78"/>
        <v>0.99354772139898062</v>
      </c>
      <c r="U125" s="4">
        <f t="shared" si="78"/>
        <v>0.99076681540580536</v>
      </c>
      <c r="V125" s="4">
        <f t="shared" si="78"/>
        <v>0.9867978615748374</v>
      </c>
      <c r="W125" s="4">
        <f t="shared" si="78"/>
        <v>0.98114509762858249</v>
      </c>
      <c r="X125" s="4">
        <f t="shared" si="78"/>
        <v>0.97311898315872036</v>
      </c>
      <c r="Y125" s="4">
        <f t="shared" si="78"/>
        <v>0.96177484161592774</v>
      </c>
      <c r="Z125" s="4">
        <f t="shared" si="78"/>
        <v>0.94584787155511363</v>
      </c>
      <c r="AA125" s="4">
        <f t="shared" si="78"/>
        <v>0.92370360150141495</v>
      </c>
      <c r="AB125" s="4">
        <f t="shared" si="78"/>
        <v>0.89334463567658451</v>
      </c>
      <c r="AC125" s="4">
        <f t="shared" si="78"/>
        <v>0.85254543874327005</v>
      </c>
      <c r="AD125" s="4">
        <f t="shared" si="78"/>
        <v>0.79921300652623883</v>
      </c>
      <c r="AE125" s="4">
        <f t="shared" si="78"/>
        <v>0.73204982249993378</v>
      </c>
      <c r="AF125" s="4">
        <f t="shared" si="78"/>
        <v>0.65145592958786691</v>
      </c>
      <c r="AG125" s="4">
        <f t="shared" si="78"/>
        <v>0.56032247880849573</v>
      </c>
      <c r="AH125" s="4">
        <f t="shared" si="78"/>
        <v>0.46411326873185343</v>
      </c>
      <c r="AI125" s="4">
        <f t="shared" si="78"/>
        <v>0.36979727595523937</v>
      </c>
      <c r="AJ125" s="4">
        <f t="shared" si="78"/>
        <v>0.28393948637231203</v>
      </c>
      <c r="AK125" s="4">
        <f t="shared" si="78"/>
        <v>0.21097259161117732</v>
      </c>
      <c r="AL125" s="4">
        <f t="shared" si="78"/>
        <v>0.15253917653798199</v>
      </c>
      <c r="AM125" s="4">
        <f t="shared" si="78"/>
        <v>0.10795188737709993</v>
      </c>
      <c r="AN125" s="4">
        <f t="shared" si="78"/>
        <v>7.5176653938091809E-2</v>
      </c>
      <c r="AO125" s="4">
        <f t="shared" si="78"/>
        <v>5.1742836177502194E-2</v>
      </c>
      <c r="AP125" s="4">
        <f t="shared" si="78"/>
        <v>3.5319190625345942E-2</v>
      </c>
      <c r="AQ125" s="4">
        <f t="shared" si="78"/>
        <v>2.3969442072658165E-2</v>
      </c>
      <c r="AR125" s="4">
        <f t="shared" si="78"/>
        <v>1.6202243558389728E-2</v>
      </c>
    </row>
    <row r="126" spans="1:44" x14ac:dyDescent="0.3">
      <c r="A126" s="24" t="s">
        <v>67</v>
      </c>
      <c r="B126" s="78">
        <f>'Parameter Input'!$L$196</f>
        <v>0.38698275991804565</v>
      </c>
      <c r="C126" s="61">
        <f>'Parameter Input'!$M$196</f>
        <v>9.8895594201278345E-2</v>
      </c>
      <c r="D126" s="1" t="s">
        <v>68</v>
      </c>
      <c r="L126" s="54">
        <f>'Parameter Input'!$O$196</f>
        <v>17</v>
      </c>
      <c r="M126" s="37">
        <v>0</v>
      </c>
      <c r="N126" s="37">
        <v>1</v>
      </c>
      <c r="O126" s="37">
        <f>'Parameter Input'!$P$196</f>
        <v>0.9</v>
      </c>
      <c r="P126" s="55">
        <f>'Parameter Input'!$Q$196</f>
        <v>0.4</v>
      </c>
      <c r="Q126" s="4">
        <f t="shared" si="78"/>
        <v>0.99780374543478534</v>
      </c>
      <c r="R126" s="4">
        <f t="shared" si="78"/>
        <v>0.99685359315256394</v>
      </c>
      <c r="S126" s="4">
        <f t="shared" si="78"/>
        <v>0.99549347132349975</v>
      </c>
      <c r="T126" s="4">
        <f t="shared" ref="T126:AI133" si="79">$N126+($M126-$N126)*((1/(1+EXP(-$P126*(T$9-$L126)))^$O126))</f>
        <v>0.99354772139898062</v>
      </c>
      <c r="U126" s="4">
        <f t="shared" si="79"/>
        <v>0.99076681540580536</v>
      </c>
      <c r="V126" s="4">
        <f t="shared" si="79"/>
        <v>0.9867978615748374</v>
      </c>
      <c r="W126" s="4">
        <f t="shared" si="79"/>
        <v>0.98114509762858249</v>
      </c>
      <c r="X126" s="4">
        <f t="shared" si="79"/>
        <v>0.97311898315872036</v>
      </c>
      <c r="Y126" s="4">
        <f t="shared" si="79"/>
        <v>0.96177484161592774</v>
      </c>
      <c r="Z126" s="4">
        <f t="shared" si="79"/>
        <v>0.94584787155511363</v>
      </c>
      <c r="AA126" s="4">
        <f t="shared" si="79"/>
        <v>0.92370360150141495</v>
      </c>
      <c r="AB126" s="4">
        <f t="shared" si="79"/>
        <v>0.89334463567658451</v>
      </c>
      <c r="AC126" s="4">
        <f t="shared" si="79"/>
        <v>0.85254543874327005</v>
      </c>
      <c r="AD126" s="4">
        <f t="shared" si="79"/>
        <v>0.79921300652623883</v>
      </c>
      <c r="AE126" s="4">
        <f t="shared" si="79"/>
        <v>0.73204982249993378</v>
      </c>
      <c r="AF126" s="4">
        <f t="shared" si="79"/>
        <v>0.65145592958786691</v>
      </c>
      <c r="AG126" s="4">
        <f t="shared" si="79"/>
        <v>0.56032247880849573</v>
      </c>
      <c r="AH126" s="4">
        <f t="shared" si="79"/>
        <v>0.46411326873185343</v>
      </c>
      <c r="AI126" s="4">
        <f t="shared" si="79"/>
        <v>0.36979727595523937</v>
      </c>
      <c r="AJ126" s="4">
        <f t="shared" ref="AJ126:AR133" si="80">$N126+($M126-$N126)*((1/(1+EXP(-$P126*(AJ$9-$L126)))^$O126))</f>
        <v>0.28393948637231203</v>
      </c>
      <c r="AK126" s="4">
        <f t="shared" si="80"/>
        <v>0.21097259161117732</v>
      </c>
      <c r="AL126" s="4">
        <f t="shared" si="80"/>
        <v>0.15253917653798199</v>
      </c>
      <c r="AM126" s="4">
        <f t="shared" si="80"/>
        <v>0.10795188737709993</v>
      </c>
      <c r="AN126" s="4">
        <f t="shared" si="80"/>
        <v>7.5176653938091809E-2</v>
      </c>
      <c r="AO126" s="4">
        <f t="shared" si="80"/>
        <v>5.1742836177502194E-2</v>
      </c>
      <c r="AP126" s="4">
        <f t="shared" si="80"/>
        <v>3.5319190625345942E-2</v>
      </c>
      <c r="AQ126" s="4">
        <f t="shared" si="80"/>
        <v>2.3969442072658165E-2</v>
      </c>
      <c r="AR126" s="4">
        <f t="shared" si="80"/>
        <v>1.6202243558389728E-2</v>
      </c>
    </row>
    <row r="127" spans="1:44" x14ac:dyDescent="0.3">
      <c r="A127" s="24" t="s">
        <v>206</v>
      </c>
      <c r="B127" s="115">
        <f>'Parameter Input'!$L$199</f>
        <v>3.1631111111111108</v>
      </c>
      <c r="C127" s="116">
        <f>'Parameter Input'!$M$199</f>
        <v>0</v>
      </c>
      <c r="D127" s="1" t="s">
        <v>76</v>
      </c>
      <c r="L127" s="54">
        <f>'Parameter Input'!$O$199</f>
        <v>17</v>
      </c>
      <c r="M127" s="37">
        <v>0</v>
      </c>
      <c r="N127" s="37">
        <v>1</v>
      </c>
      <c r="O127" s="37">
        <f>'Parameter Input'!$P$199</f>
        <v>0.9</v>
      </c>
      <c r="P127" s="55">
        <f>'Parameter Input'!$Q$199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3">
      <c r="A128" s="24" t="s">
        <v>41</v>
      </c>
      <c r="B128" s="60">
        <f>'Parameter Input'!$L$193</f>
        <v>25</v>
      </c>
      <c r="C128" s="61">
        <f>'Parameter Input'!$M$193</f>
        <v>25</v>
      </c>
      <c r="D128" s="1" t="s">
        <v>42</v>
      </c>
      <c r="L128" s="54">
        <f>'Parameter Input'!$O$193</f>
        <v>17</v>
      </c>
      <c r="M128" s="37">
        <v>0</v>
      </c>
      <c r="N128" s="37">
        <v>1</v>
      </c>
      <c r="O128" s="37">
        <f>'Parameter Input'!$P$193</f>
        <v>0.9</v>
      </c>
      <c r="P128" s="55">
        <f>'Parameter Input'!$Q$193</f>
        <v>0.4</v>
      </c>
      <c r="Q128" s="4">
        <f t="shared" ref="Q128:AF133" si="82">$N128+($M128-$N128)*((1/(1+EXP(-$P128*(Q$9-$L128)))^$O128))</f>
        <v>0.99780374543478534</v>
      </c>
      <c r="R128" s="4">
        <f t="shared" si="82"/>
        <v>0.99685359315256394</v>
      </c>
      <c r="S128" s="4">
        <f t="shared" si="82"/>
        <v>0.99549347132349975</v>
      </c>
      <c r="T128" s="4">
        <f t="shared" si="82"/>
        <v>0.99354772139898062</v>
      </c>
      <c r="U128" s="4">
        <f t="shared" si="82"/>
        <v>0.99076681540580536</v>
      </c>
      <c r="V128" s="4">
        <f t="shared" si="82"/>
        <v>0.9867978615748374</v>
      </c>
      <c r="W128" s="4">
        <f t="shared" si="82"/>
        <v>0.98114509762858249</v>
      </c>
      <c r="X128" s="4">
        <f t="shared" si="82"/>
        <v>0.97311898315872036</v>
      </c>
      <c r="Y128" s="4">
        <f t="shared" si="82"/>
        <v>0.96177484161592774</v>
      </c>
      <c r="Z128" s="4">
        <f t="shared" si="82"/>
        <v>0.94584787155511363</v>
      </c>
      <c r="AA128" s="4">
        <f t="shared" si="82"/>
        <v>0.92370360150141495</v>
      </c>
      <c r="AB128" s="4">
        <f t="shared" si="82"/>
        <v>0.89334463567658451</v>
      </c>
      <c r="AC128" s="4">
        <f t="shared" si="82"/>
        <v>0.85254543874327005</v>
      </c>
      <c r="AD128" s="4">
        <f t="shared" si="82"/>
        <v>0.79921300652623883</v>
      </c>
      <c r="AE128" s="4">
        <f t="shared" si="82"/>
        <v>0.73204982249993378</v>
      </c>
      <c r="AF128" s="4">
        <f t="shared" si="82"/>
        <v>0.65145592958786691</v>
      </c>
      <c r="AG128" s="4">
        <f t="shared" si="79"/>
        <v>0.56032247880849573</v>
      </c>
      <c r="AH128" s="4">
        <f t="shared" si="79"/>
        <v>0.46411326873185343</v>
      </c>
      <c r="AI128" s="4">
        <f t="shared" si="79"/>
        <v>0.36979727595523937</v>
      </c>
      <c r="AJ128" s="4">
        <f t="shared" si="80"/>
        <v>0.28393948637231203</v>
      </c>
      <c r="AK128" s="4">
        <f t="shared" si="80"/>
        <v>0.21097259161117732</v>
      </c>
      <c r="AL128" s="4">
        <f t="shared" si="80"/>
        <v>0.15253917653798199</v>
      </c>
      <c r="AM128" s="4">
        <f t="shared" si="80"/>
        <v>0.10795188737709993</v>
      </c>
      <c r="AN128" s="4">
        <f t="shared" si="80"/>
        <v>7.5176653938091809E-2</v>
      </c>
      <c r="AO128" s="4">
        <f t="shared" si="80"/>
        <v>5.1742836177502194E-2</v>
      </c>
      <c r="AP128" s="4">
        <f t="shared" si="80"/>
        <v>3.5319190625345942E-2</v>
      </c>
      <c r="AQ128" s="4">
        <f t="shared" si="80"/>
        <v>2.3969442072658165E-2</v>
      </c>
      <c r="AR128" s="4">
        <f t="shared" si="80"/>
        <v>1.6202243558389728E-2</v>
      </c>
    </row>
    <row r="129" spans="1:44" x14ac:dyDescent="0.3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2"/>
        <v>0.99780374543478534</v>
      </c>
      <c r="R129" s="4">
        <f t="shared" si="82"/>
        <v>0.99685359315256394</v>
      </c>
      <c r="S129" s="4">
        <f t="shared" si="82"/>
        <v>0.99549347132349975</v>
      </c>
      <c r="T129" s="4">
        <f t="shared" si="82"/>
        <v>0.99354772139898062</v>
      </c>
      <c r="U129" s="4">
        <f t="shared" si="82"/>
        <v>0.99076681540580536</v>
      </c>
      <c r="V129" s="4">
        <f t="shared" si="82"/>
        <v>0.9867978615748374</v>
      </c>
      <c r="W129" s="4">
        <f t="shared" si="82"/>
        <v>0.98114509762858249</v>
      </c>
      <c r="X129" s="4">
        <f t="shared" si="82"/>
        <v>0.97311898315872036</v>
      </c>
      <c r="Y129" s="4">
        <f t="shared" si="82"/>
        <v>0.96177484161592774</v>
      </c>
      <c r="Z129" s="4">
        <f t="shared" si="82"/>
        <v>0.94584787155511363</v>
      </c>
      <c r="AA129" s="4">
        <f t="shared" si="82"/>
        <v>0.92370360150141495</v>
      </c>
      <c r="AB129" s="4">
        <f t="shared" si="82"/>
        <v>0.89334463567658451</v>
      </c>
      <c r="AC129" s="4">
        <f t="shared" si="82"/>
        <v>0.85254543874327005</v>
      </c>
      <c r="AD129" s="4">
        <f t="shared" si="82"/>
        <v>0.79921300652623883</v>
      </c>
      <c r="AE129" s="4">
        <f t="shared" si="82"/>
        <v>0.73204982249993378</v>
      </c>
      <c r="AF129" s="4">
        <f t="shared" si="82"/>
        <v>0.65145592958786691</v>
      </c>
      <c r="AG129" s="4">
        <f t="shared" si="79"/>
        <v>0.56032247880849573</v>
      </c>
      <c r="AH129" s="4">
        <f t="shared" si="79"/>
        <v>0.46411326873185343</v>
      </c>
      <c r="AI129" s="4">
        <f t="shared" si="79"/>
        <v>0.36979727595523937</v>
      </c>
      <c r="AJ129" s="4">
        <f t="shared" si="80"/>
        <v>0.28393948637231203</v>
      </c>
      <c r="AK129" s="4">
        <f t="shared" si="80"/>
        <v>0.21097259161117732</v>
      </c>
      <c r="AL129" s="4">
        <f t="shared" si="80"/>
        <v>0.15253917653798199</v>
      </c>
      <c r="AM129" s="4">
        <f t="shared" si="80"/>
        <v>0.10795188737709993</v>
      </c>
      <c r="AN129" s="4">
        <f t="shared" si="80"/>
        <v>7.5176653938091809E-2</v>
      </c>
      <c r="AO129" s="4">
        <f t="shared" si="80"/>
        <v>5.1742836177502194E-2</v>
      </c>
      <c r="AP129" s="4">
        <f t="shared" si="80"/>
        <v>3.5319190625345942E-2</v>
      </c>
      <c r="AQ129" s="4">
        <f t="shared" si="80"/>
        <v>2.3969442072658165E-2</v>
      </c>
      <c r="AR129" s="4">
        <f t="shared" si="80"/>
        <v>1.6202243558389728E-2</v>
      </c>
    </row>
    <row r="130" spans="1:44" x14ac:dyDescent="0.3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2"/>
        <v>0.99780374543478534</v>
      </c>
      <c r="R130" s="4">
        <f t="shared" si="82"/>
        <v>0.99685359315256394</v>
      </c>
      <c r="S130" s="4">
        <f t="shared" si="82"/>
        <v>0.99549347132349975</v>
      </c>
      <c r="T130" s="4">
        <f t="shared" si="82"/>
        <v>0.99354772139898062</v>
      </c>
      <c r="U130" s="4">
        <f t="shared" si="82"/>
        <v>0.99076681540580536</v>
      </c>
      <c r="V130" s="4">
        <f t="shared" si="82"/>
        <v>0.9867978615748374</v>
      </c>
      <c r="W130" s="4">
        <f t="shared" si="82"/>
        <v>0.98114509762858249</v>
      </c>
      <c r="X130" s="4">
        <f t="shared" si="82"/>
        <v>0.97311898315872036</v>
      </c>
      <c r="Y130" s="4">
        <f t="shared" si="82"/>
        <v>0.96177484161592774</v>
      </c>
      <c r="Z130" s="4">
        <f t="shared" si="82"/>
        <v>0.94584787155511363</v>
      </c>
      <c r="AA130" s="4">
        <f t="shared" si="82"/>
        <v>0.92370360150141495</v>
      </c>
      <c r="AB130" s="4">
        <f t="shared" si="82"/>
        <v>0.89334463567658451</v>
      </c>
      <c r="AC130" s="4">
        <f t="shared" si="82"/>
        <v>0.85254543874327005</v>
      </c>
      <c r="AD130" s="4">
        <f t="shared" si="82"/>
        <v>0.79921300652623883</v>
      </c>
      <c r="AE130" s="4">
        <f t="shared" si="82"/>
        <v>0.73204982249993378</v>
      </c>
      <c r="AF130" s="4">
        <f t="shared" si="82"/>
        <v>0.65145592958786691</v>
      </c>
      <c r="AG130" s="4">
        <f t="shared" si="79"/>
        <v>0.56032247880849573</v>
      </c>
      <c r="AH130" s="4">
        <f t="shared" si="79"/>
        <v>0.46411326873185343</v>
      </c>
      <c r="AI130" s="4">
        <f t="shared" si="79"/>
        <v>0.36979727595523937</v>
      </c>
      <c r="AJ130" s="4">
        <f t="shared" si="80"/>
        <v>0.28393948637231203</v>
      </c>
      <c r="AK130" s="4">
        <f t="shared" si="80"/>
        <v>0.21097259161117732</v>
      </c>
      <c r="AL130" s="4">
        <f t="shared" si="80"/>
        <v>0.15253917653798199</v>
      </c>
      <c r="AM130" s="4">
        <f t="shared" si="80"/>
        <v>0.10795188737709993</v>
      </c>
      <c r="AN130" s="4">
        <f t="shared" si="80"/>
        <v>7.5176653938091809E-2</v>
      </c>
      <c r="AO130" s="4">
        <f t="shared" si="80"/>
        <v>5.1742836177502194E-2</v>
      </c>
      <c r="AP130" s="4">
        <f t="shared" si="80"/>
        <v>3.5319190625345942E-2</v>
      </c>
      <c r="AQ130" s="4">
        <f t="shared" si="80"/>
        <v>2.3969442072658165E-2</v>
      </c>
      <c r="AR130" s="4">
        <f t="shared" si="80"/>
        <v>1.6202243558389728E-2</v>
      </c>
    </row>
    <row r="131" spans="1:44" x14ac:dyDescent="0.3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2"/>
        <v>0.99780374543478534</v>
      </c>
      <c r="R131" s="4">
        <f t="shared" si="82"/>
        <v>0.99685359315256394</v>
      </c>
      <c r="S131" s="4">
        <f t="shared" si="82"/>
        <v>0.99549347132349975</v>
      </c>
      <c r="T131" s="4">
        <f t="shared" si="82"/>
        <v>0.99354772139898062</v>
      </c>
      <c r="U131" s="4">
        <f t="shared" si="82"/>
        <v>0.99076681540580536</v>
      </c>
      <c r="V131" s="4">
        <f t="shared" si="82"/>
        <v>0.9867978615748374</v>
      </c>
      <c r="W131" s="4">
        <f t="shared" si="82"/>
        <v>0.98114509762858249</v>
      </c>
      <c r="X131" s="4">
        <f t="shared" si="82"/>
        <v>0.97311898315872036</v>
      </c>
      <c r="Y131" s="4">
        <f t="shared" si="82"/>
        <v>0.96177484161592774</v>
      </c>
      <c r="Z131" s="4">
        <f t="shared" si="82"/>
        <v>0.94584787155511363</v>
      </c>
      <c r="AA131" s="4">
        <f t="shared" si="82"/>
        <v>0.92370360150141495</v>
      </c>
      <c r="AB131" s="4">
        <f t="shared" si="82"/>
        <v>0.89334463567658451</v>
      </c>
      <c r="AC131" s="4">
        <f t="shared" si="82"/>
        <v>0.85254543874327005</v>
      </c>
      <c r="AD131" s="4">
        <f t="shared" si="82"/>
        <v>0.79921300652623883</v>
      </c>
      <c r="AE131" s="4">
        <f t="shared" si="82"/>
        <v>0.73204982249993378</v>
      </c>
      <c r="AF131" s="4">
        <f t="shared" si="82"/>
        <v>0.65145592958786691</v>
      </c>
      <c r="AG131" s="4">
        <f t="shared" si="79"/>
        <v>0.56032247880849573</v>
      </c>
      <c r="AH131" s="4">
        <f t="shared" si="79"/>
        <v>0.46411326873185343</v>
      </c>
      <c r="AI131" s="4">
        <f t="shared" si="79"/>
        <v>0.36979727595523937</v>
      </c>
      <c r="AJ131" s="4">
        <f t="shared" si="80"/>
        <v>0.28393948637231203</v>
      </c>
      <c r="AK131" s="4">
        <f t="shared" si="80"/>
        <v>0.21097259161117732</v>
      </c>
      <c r="AL131" s="4">
        <f t="shared" si="80"/>
        <v>0.15253917653798199</v>
      </c>
      <c r="AM131" s="4">
        <f t="shared" si="80"/>
        <v>0.10795188737709993</v>
      </c>
      <c r="AN131" s="4">
        <f t="shared" si="80"/>
        <v>7.5176653938091809E-2</v>
      </c>
      <c r="AO131" s="4">
        <f t="shared" si="80"/>
        <v>5.1742836177502194E-2</v>
      </c>
      <c r="AP131" s="4">
        <f t="shared" si="80"/>
        <v>3.5319190625345942E-2</v>
      </c>
      <c r="AQ131" s="4">
        <f t="shared" si="80"/>
        <v>2.3969442072658165E-2</v>
      </c>
      <c r="AR131" s="4">
        <f t="shared" si="80"/>
        <v>1.6202243558389728E-2</v>
      </c>
    </row>
    <row r="132" spans="1:44" x14ac:dyDescent="0.3">
      <c r="A132" s="24" t="s">
        <v>73</v>
      </c>
      <c r="B132" s="45">
        <f>'Parameter Input'!$L$197</f>
        <v>0.04</v>
      </c>
      <c r="C132" s="46">
        <f>'Parameter Input'!$M$197</f>
        <v>0.04</v>
      </c>
      <c r="D132" s="1" t="s">
        <v>57</v>
      </c>
      <c r="L132" s="54">
        <f>'Parameter Input'!$O$197</f>
        <v>17</v>
      </c>
      <c r="M132" s="37">
        <v>0</v>
      </c>
      <c r="N132" s="37">
        <v>1</v>
      </c>
      <c r="O132" s="37">
        <f>'Parameter Input'!$P$197</f>
        <v>0.9</v>
      </c>
      <c r="P132" s="55">
        <f>'Parameter Input'!$Q$197</f>
        <v>0.4</v>
      </c>
      <c r="Q132" s="4">
        <f t="shared" si="82"/>
        <v>0.99780374543478534</v>
      </c>
      <c r="R132" s="4">
        <f t="shared" si="82"/>
        <v>0.99685359315256394</v>
      </c>
      <c r="S132" s="4">
        <f t="shared" si="82"/>
        <v>0.99549347132349975</v>
      </c>
      <c r="T132" s="4">
        <f t="shared" si="82"/>
        <v>0.99354772139898062</v>
      </c>
      <c r="U132" s="4">
        <f t="shared" si="82"/>
        <v>0.99076681540580536</v>
      </c>
      <c r="V132" s="4">
        <f t="shared" si="82"/>
        <v>0.9867978615748374</v>
      </c>
      <c r="W132" s="4">
        <f t="shared" si="82"/>
        <v>0.98114509762858249</v>
      </c>
      <c r="X132" s="4">
        <f t="shared" si="82"/>
        <v>0.97311898315872036</v>
      </c>
      <c r="Y132" s="4">
        <f t="shared" si="82"/>
        <v>0.96177484161592774</v>
      </c>
      <c r="Z132" s="4">
        <f t="shared" si="82"/>
        <v>0.94584787155511363</v>
      </c>
      <c r="AA132" s="4">
        <f t="shared" si="82"/>
        <v>0.92370360150141495</v>
      </c>
      <c r="AB132" s="4">
        <f t="shared" si="82"/>
        <v>0.89334463567658451</v>
      </c>
      <c r="AC132" s="4">
        <f t="shared" si="82"/>
        <v>0.85254543874327005</v>
      </c>
      <c r="AD132" s="4">
        <f t="shared" si="82"/>
        <v>0.79921300652623883</v>
      </c>
      <c r="AE132" s="4">
        <f t="shared" si="82"/>
        <v>0.73204982249993378</v>
      </c>
      <c r="AF132" s="4">
        <f t="shared" si="82"/>
        <v>0.65145592958786691</v>
      </c>
      <c r="AG132" s="4">
        <f t="shared" si="79"/>
        <v>0.56032247880849573</v>
      </c>
      <c r="AH132" s="4">
        <f t="shared" si="79"/>
        <v>0.46411326873185343</v>
      </c>
      <c r="AI132" s="4">
        <f t="shared" si="79"/>
        <v>0.36979727595523937</v>
      </c>
      <c r="AJ132" s="4">
        <f t="shared" si="80"/>
        <v>0.28393948637231203</v>
      </c>
      <c r="AK132" s="4">
        <f t="shared" si="80"/>
        <v>0.21097259161117732</v>
      </c>
      <c r="AL132" s="4">
        <f t="shared" si="80"/>
        <v>0.15253917653798199</v>
      </c>
      <c r="AM132" s="4">
        <f t="shared" si="80"/>
        <v>0.10795188737709993</v>
      </c>
      <c r="AN132" s="4">
        <f t="shared" si="80"/>
        <v>7.5176653938091809E-2</v>
      </c>
      <c r="AO132" s="4">
        <f t="shared" si="80"/>
        <v>5.1742836177502194E-2</v>
      </c>
      <c r="AP132" s="4">
        <f t="shared" si="80"/>
        <v>3.5319190625345942E-2</v>
      </c>
      <c r="AQ132" s="4">
        <f t="shared" si="80"/>
        <v>2.3969442072658165E-2</v>
      </c>
      <c r="AR132" s="4">
        <f t="shared" si="80"/>
        <v>1.6202243558389728E-2</v>
      </c>
    </row>
    <row r="133" spans="1:44" ht="15" thickBot="1" x14ac:dyDescent="0.35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2"/>
        <v>0.99780374543478534</v>
      </c>
      <c r="R133" s="4">
        <f t="shared" si="82"/>
        <v>0.99685359315256394</v>
      </c>
      <c r="S133" s="4">
        <f t="shared" si="82"/>
        <v>0.99549347132349975</v>
      </c>
      <c r="T133" s="4">
        <f t="shared" si="82"/>
        <v>0.99354772139898062</v>
      </c>
      <c r="U133" s="4">
        <f t="shared" si="82"/>
        <v>0.99076681540580536</v>
      </c>
      <c r="V133" s="4">
        <f t="shared" si="82"/>
        <v>0.9867978615748374</v>
      </c>
      <c r="W133" s="4">
        <f t="shared" si="82"/>
        <v>0.98114509762858249</v>
      </c>
      <c r="X133" s="4">
        <f t="shared" si="82"/>
        <v>0.97311898315872036</v>
      </c>
      <c r="Y133" s="4">
        <f t="shared" si="82"/>
        <v>0.96177484161592774</v>
      </c>
      <c r="Z133" s="4">
        <f t="shared" si="82"/>
        <v>0.94584787155511363</v>
      </c>
      <c r="AA133" s="4">
        <f t="shared" si="82"/>
        <v>0.92370360150141495</v>
      </c>
      <c r="AB133" s="4">
        <f t="shared" si="82"/>
        <v>0.89334463567658451</v>
      </c>
      <c r="AC133" s="4">
        <f t="shared" si="82"/>
        <v>0.85254543874327005</v>
      </c>
      <c r="AD133" s="4">
        <f t="shared" si="82"/>
        <v>0.79921300652623883</v>
      </c>
      <c r="AE133" s="4">
        <f t="shared" si="82"/>
        <v>0.73204982249993378</v>
      </c>
      <c r="AF133" s="4">
        <f t="shared" si="82"/>
        <v>0.65145592958786691</v>
      </c>
      <c r="AG133" s="4">
        <f t="shared" si="79"/>
        <v>0.56032247880849573</v>
      </c>
      <c r="AH133" s="4">
        <f t="shared" si="79"/>
        <v>0.46411326873185343</v>
      </c>
      <c r="AI133" s="4">
        <f t="shared" si="79"/>
        <v>0.36979727595523937</v>
      </c>
      <c r="AJ133" s="4">
        <f t="shared" si="80"/>
        <v>0.28393948637231203</v>
      </c>
      <c r="AK133" s="4">
        <f t="shared" si="80"/>
        <v>0.21097259161117732</v>
      </c>
      <c r="AL133" s="4">
        <f t="shared" si="80"/>
        <v>0.15253917653798199</v>
      </c>
      <c r="AM133" s="4">
        <f t="shared" si="80"/>
        <v>0.10795188737709993</v>
      </c>
      <c r="AN133" s="4">
        <f t="shared" si="80"/>
        <v>7.5176653938091809E-2</v>
      </c>
      <c r="AO133" s="4">
        <f t="shared" si="80"/>
        <v>5.1742836177502194E-2</v>
      </c>
      <c r="AP133" s="4">
        <f t="shared" si="80"/>
        <v>3.5319190625345942E-2</v>
      </c>
      <c r="AQ133" s="4">
        <f t="shared" si="80"/>
        <v>2.3969442072658165E-2</v>
      </c>
      <c r="AR133" s="4">
        <f t="shared" si="80"/>
        <v>1.6202243558389728E-2</v>
      </c>
    </row>
    <row r="134" spans="1:44" x14ac:dyDescent="0.3">
      <c r="A134" s="25"/>
      <c r="B134" s="40"/>
    </row>
    <row r="135" spans="1:44" ht="15" thickBot="1" x14ac:dyDescent="0.35"/>
    <row r="136" spans="1:44" ht="15" thickBot="1" x14ac:dyDescent="0.35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3">
      <c r="A137" s="29" t="str">
        <f t="shared" ref="A137:A146" si="83">A117</f>
        <v>Capex vehicle</v>
      </c>
      <c r="B137" s="62">
        <f t="shared" ref="B137:B146" si="84">$B117+($C117-$B117)*(1-Q117)</f>
        <v>19490116.854456533</v>
      </c>
      <c r="C137" s="62">
        <f t="shared" ref="C137:C146" si="85">$B117+($C117-$B117)*(1-R117)</f>
        <v>19485841.169186536</v>
      </c>
      <c r="D137" s="62">
        <f t="shared" ref="D137:D146" si="86">$B117+($C117-$B117)*(1-S117)</f>
        <v>19479720.62095575</v>
      </c>
      <c r="E137" s="62">
        <f t="shared" ref="E137:E146" si="87">$B117+($C117-$B117)*(1-T117)</f>
        <v>19470964.746295411</v>
      </c>
      <c r="F137" s="62">
        <f t="shared" ref="F137:F146" si="88">$B117+($C117-$B117)*(1-U117)</f>
        <v>19458450.669326123</v>
      </c>
      <c r="G137" s="62">
        <f t="shared" ref="G137:G146" si="89">$B117+($C117-$B117)*(1-V117)</f>
        <v>19440590.37708677</v>
      </c>
      <c r="H137" s="62">
        <f t="shared" ref="H137:H146" si="90">$B117+($C117-$B117)*(1-W117)</f>
        <v>19415152.939328622</v>
      </c>
      <c r="I137" s="62">
        <f t="shared" ref="I137:I146" si="91">$B117+($C117-$B117)*(1-X117)</f>
        <v>19379035.42421424</v>
      </c>
      <c r="J137" s="62">
        <f t="shared" ref="J137:J146" si="92">$B117+($C117-$B117)*(1-Y117)</f>
        <v>19327986.787271675</v>
      </c>
      <c r="K137" s="62">
        <f t="shared" ref="K137:K146" si="93">$B117+($C117-$B117)*(1-Z117)</f>
        <v>19256315.421998013</v>
      </c>
      <c r="L137" s="62">
        <f t="shared" ref="L137:L146" si="94">$B117+($C117-$B117)*(1-AA117)</f>
        <v>19156666.206756368</v>
      </c>
      <c r="M137" s="62">
        <f t="shared" ref="M137:M146" si="95">$B117+($C117-$B117)*(1-AB117)</f>
        <v>19020050.860544629</v>
      </c>
      <c r="N137" s="62">
        <f t="shared" ref="N137:N146" si="96">$B117+($C117-$B117)*(1-AC117)</f>
        <v>18836454.474344715</v>
      </c>
      <c r="O137" s="62">
        <f t="shared" ref="O137:O146" si="97">$B117+($C117-$B117)*(1-AD117)</f>
        <v>18596458.529368076</v>
      </c>
      <c r="P137" s="62">
        <f t="shared" ref="P137:P146" si="98">$B117+($C117-$B117)*(1-AE117)</f>
        <v>18294224.201249704</v>
      </c>
      <c r="Q137" s="62">
        <f t="shared" ref="Q137:Q146" si="99">$B117+($C117-$B117)*(1-AF117)</f>
        <v>17931551.6831454</v>
      </c>
      <c r="R137" s="62">
        <f t="shared" ref="R137:R146" si="100">$B117+($C117-$B117)*(1-AG117)</f>
        <v>17521451.154638231</v>
      </c>
      <c r="S137" s="62">
        <f t="shared" ref="S137:S146" si="101">$B117+($C117-$B117)*(1-AH117)</f>
        <v>17088509.709293339</v>
      </c>
      <c r="T137" s="62">
        <f t="shared" ref="T137:T146" si="102">$B117+($C117-$B117)*(1-AI117)</f>
        <v>16664087.741798578</v>
      </c>
      <c r="U137" s="62">
        <f t="shared" ref="U137:U146" si="103">$B117+($C117-$B117)*(1-AJ117)</f>
        <v>16277727.688675404</v>
      </c>
      <c r="V137" s="62">
        <f t="shared" ref="V137:V146" si="104">$B117+($C117-$B117)*(1-AK117)</f>
        <v>15949376.662250299</v>
      </c>
      <c r="W137" s="62">
        <f t="shared" ref="W137:W146" si="105">$B117+($C117-$B117)*(1-AL117)</f>
        <v>15686426.294420918</v>
      </c>
      <c r="X137" s="62">
        <f t="shared" ref="X137:X146" si="106">$B117+($C117-$B117)*(1-AM117)</f>
        <v>15485783.493196949</v>
      </c>
      <c r="Y137" s="62">
        <f t="shared" ref="Y137:Y146" si="107">$B117+($C117-$B117)*(1-AN117)</f>
        <v>15338294.942721413</v>
      </c>
      <c r="Z137" s="62">
        <f t="shared" ref="Z137:Z146" si="108">$B117+($C117-$B117)*(1-AO117)</f>
        <v>15232842.76279876</v>
      </c>
      <c r="AA137" s="62">
        <f t="shared" ref="AA137:AA146" si="109">$B117+($C117-$B117)*(1-AP117)</f>
        <v>15158936.357814057</v>
      </c>
      <c r="AB137" s="62">
        <f t="shared" ref="AB137:AB146" si="110">$B117+($C117-$B117)*(1-AQ117)</f>
        <v>15107862.489326961</v>
      </c>
      <c r="AC137" s="62">
        <f t="shared" ref="AC137:AC146" si="111">$B117+($C117-$B117)*(1-AR117)</f>
        <v>15072910.096012753</v>
      </c>
    </row>
    <row r="138" spans="1:44" x14ac:dyDescent="0.3">
      <c r="A138" s="30" t="str">
        <f t="shared" si="83"/>
        <v>Residual value (vehicle)</v>
      </c>
      <c r="B138" s="62">
        <f t="shared" si="84"/>
        <v>-976153.03364673769</v>
      </c>
      <c r="C138" s="62">
        <f t="shared" si="85"/>
        <v>-976651.86359490396</v>
      </c>
      <c r="D138" s="62">
        <f t="shared" si="86"/>
        <v>-977365.92755516258</v>
      </c>
      <c r="E138" s="62">
        <f t="shared" si="87"/>
        <v>-978387.4462655352</v>
      </c>
      <c r="F138" s="62">
        <f t="shared" si="88"/>
        <v>-979847.4219119522</v>
      </c>
      <c r="G138" s="62">
        <f t="shared" si="89"/>
        <v>-981931.12267321034</v>
      </c>
      <c r="H138" s="62">
        <f t="shared" si="90"/>
        <v>-984898.82374499424</v>
      </c>
      <c r="I138" s="62">
        <f t="shared" si="91"/>
        <v>-989112.53384167177</v>
      </c>
      <c r="J138" s="62">
        <f t="shared" si="92"/>
        <v>-995068.20815163793</v>
      </c>
      <c r="K138" s="62">
        <f t="shared" si="93"/>
        <v>-1003429.8674335653</v>
      </c>
      <c r="L138" s="62">
        <f t="shared" si="94"/>
        <v>-1015055.6092117572</v>
      </c>
      <c r="M138" s="62">
        <f t="shared" si="95"/>
        <v>-1030994.0662697931</v>
      </c>
      <c r="N138" s="62">
        <f t="shared" si="96"/>
        <v>-1052413.6446597832</v>
      </c>
      <c r="O138" s="62">
        <f t="shared" si="97"/>
        <v>-1080413.1715737246</v>
      </c>
      <c r="P138" s="62">
        <f t="shared" si="98"/>
        <v>-1115673.8431875347</v>
      </c>
      <c r="Q138" s="62">
        <f t="shared" si="99"/>
        <v>-1157985.6369663698</v>
      </c>
      <c r="R138" s="62">
        <f t="shared" si="100"/>
        <v>-1205830.6986255397</v>
      </c>
      <c r="S138" s="62">
        <f t="shared" si="101"/>
        <v>-1256340.533915777</v>
      </c>
      <c r="T138" s="62">
        <f t="shared" si="102"/>
        <v>-1305856.4301234994</v>
      </c>
      <c r="U138" s="62">
        <f t="shared" si="103"/>
        <v>-1350931.7696545362</v>
      </c>
      <c r="V138" s="62">
        <f t="shared" si="104"/>
        <v>-1389239.389404132</v>
      </c>
      <c r="W138" s="62">
        <f t="shared" si="105"/>
        <v>-1419916.9323175594</v>
      </c>
      <c r="X138" s="62">
        <f t="shared" si="106"/>
        <v>-1443325.2591270225</v>
      </c>
      <c r="Y138" s="62">
        <f t="shared" si="107"/>
        <v>-1460532.2566825019</v>
      </c>
      <c r="Z138" s="62">
        <f t="shared" si="108"/>
        <v>-1472835.0110068114</v>
      </c>
      <c r="AA138" s="62">
        <f t="shared" si="109"/>
        <v>-1481457.4249216933</v>
      </c>
      <c r="AB138" s="62">
        <f t="shared" si="110"/>
        <v>-1487416.0429118546</v>
      </c>
      <c r="AC138" s="62">
        <f t="shared" si="111"/>
        <v>-1491493.8221318454</v>
      </c>
    </row>
    <row r="139" spans="1:44" x14ac:dyDescent="0.3">
      <c r="A139" s="30" t="str">
        <f t="shared" si="83"/>
        <v>Capex costumization</v>
      </c>
      <c r="B139" s="62">
        <f t="shared" si="84"/>
        <v>5000000</v>
      </c>
      <c r="C139" s="62">
        <f t="shared" si="85"/>
        <v>5000000</v>
      </c>
      <c r="D139" s="62">
        <f t="shared" si="86"/>
        <v>5000000</v>
      </c>
      <c r="E139" s="62">
        <f t="shared" si="87"/>
        <v>5000000</v>
      </c>
      <c r="F139" s="62">
        <f t="shared" si="88"/>
        <v>5000000</v>
      </c>
      <c r="G139" s="62">
        <f t="shared" si="89"/>
        <v>5000000</v>
      </c>
      <c r="H139" s="62">
        <f t="shared" si="90"/>
        <v>5000000</v>
      </c>
      <c r="I139" s="62">
        <f t="shared" si="91"/>
        <v>5000000</v>
      </c>
      <c r="J139" s="62">
        <f t="shared" si="92"/>
        <v>5000000</v>
      </c>
      <c r="K139" s="62">
        <f t="shared" si="93"/>
        <v>5000000</v>
      </c>
      <c r="L139" s="62">
        <f t="shared" si="94"/>
        <v>5000000</v>
      </c>
      <c r="M139" s="62">
        <f t="shared" si="95"/>
        <v>5000000</v>
      </c>
      <c r="N139" s="62">
        <f t="shared" si="96"/>
        <v>5000000</v>
      </c>
      <c r="O139" s="62">
        <f t="shared" si="97"/>
        <v>5000000</v>
      </c>
      <c r="P139" s="62">
        <f t="shared" si="98"/>
        <v>5000000</v>
      </c>
      <c r="Q139" s="62">
        <f t="shared" si="99"/>
        <v>5000000</v>
      </c>
      <c r="R139" s="62">
        <f t="shared" si="100"/>
        <v>5000000</v>
      </c>
      <c r="S139" s="62">
        <f t="shared" si="101"/>
        <v>5000000</v>
      </c>
      <c r="T139" s="62">
        <f t="shared" si="102"/>
        <v>5000000</v>
      </c>
      <c r="U139" s="62">
        <f t="shared" si="103"/>
        <v>5000000</v>
      </c>
      <c r="V139" s="62">
        <f t="shared" si="104"/>
        <v>5000000</v>
      </c>
      <c r="W139" s="62">
        <f t="shared" si="105"/>
        <v>5000000</v>
      </c>
      <c r="X139" s="62">
        <f t="shared" si="106"/>
        <v>5000000</v>
      </c>
      <c r="Y139" s="62">
        <f t="shared" si="107"/>
        <v>5000000</v>
      </c>
      <c r="Z139" s="62">
        <f t="shared" si="108"/>
        <v>5000000</v>
      </c>
      <c r="AA139" s="62">
        <f t="shared" si="109"/>
        <v>5000000</v>
      </c>
      <c r="AB139" s="62">
        <f t="shared" si="110"/>
        <v>5000000</v>
      </c>
      <c r="AC139" s="62">
        <f t="shared" si="111"/>
        <v>5000000</v>
      </c>
    </row>
    <row r="140" spans="1:44" x14ac:dyDescent="0.3">
      <c r="A140" s="30" t="str">
        <f t="shared" si="83"/>
        <v>Residual value (costumization)</v>
      </c>
      <c r="B140" s="62">
        <f t="shared" si="84"/>
        <v>-500000</v>
      </c>
      <c r="C140" s="62">
        <f t="shared" si="85"/>
        <v>-500000</v>
      </c>
      <c r="D140" s="62">
        <f t="shared" si="86"/>
        <v>-500000</v>
      </c>
      <c r="E140" s="62">
        <f t="shared" si="87"/>
        <v>-500000</v>
      </c>
      <c r="F140" s="62">
        <f t="shared" si="88"/>
        <v>-500000</v>
      </c>
      <c r="G140" s="62">
        <f t="shared" si="89"/>
        <v>-500000</v>
      </c>
      <c r="H140" s="62">
        <f t="shared" si="90"/>
        <v>-500000</v>
      </c>
      <c r="I140" s="62">
        <f t="shared" si="91"/>
        <v>-500000</v>
      </c>
      <c r="J140" s="62">
        <f t="shared" si="92"/>
        <v>-500000</v>
      </c>
      <c r="K140" s="62">
        <f t="shared" si="93"/>
        <v>-500000</v>
      </c>
      <c r="L140" s="62">
        <f t="shared" si="94"/>
        <v>-500000</v>
      </c>
      <c r="M140" s="62">
        <f t="shared" si="95"/>
        <v>-500000</v>
      </c>
      <c r="N140" s="62">
        <f t="shared" si="96"/>
        <v>-500000</v>
      </c>
      <c r="O140" s="62">
        <f t="shared" si="97"/>
        <v>-500000</v>
      </c>
      <c r="P140" s="62">
        <f t="shared" si="98"/>
        <v>-500000</v>
      </c>
      <c r="Q140" s="62">
        <f t="shared" si="99"/>
        <v>-500000</v>
      </c>
      <c r="R140" s="62">
        <f t="shared" si="100"/>
        <v>-500000</v>
      </c>
      <c r="S140" s="62">
        <f t="shared" si="101"/>
        <v>-500000</v>
      </c>
      <c r="T140" s="62">
        <f t="shared" si="102"/>
        <v>-500000</v>
      </c>
      <c r="U140" s="62">
        <f t="shared" si="103"/>
        <v>-500000</v>
      </c>
      <c r="V140" s="62">
        <f t="shared" si="104"/>
        <v>-500000</v>
      </c>
      <c r="W140" s="62">
        <f t="shared" si="105"/>
        <v>-500000</v>
      </c>
      <c r="X140" s="62">
        <f t="shared" si="106"/>
        <v>-500000</v>
      </c>
      <c r="Y140" s="62">
        <f t="shared" si="107"/>
        <v>-500000</v>
      </c>
      <c r="Z140" s="62">
        <f t="shared" si="108"/>
        <v>-500000</v>
      </c>
      <c r="AA140" s="62">
        <f t="shared" si="109"/>
        <v>-500000</v>
      </c>
      <c r="AB140" s="62">
        <f t="shared" si="110"/>
        <v>-500000</v>
      </c>
      <c r="AC140" s="62">
        <f t="shared" si="111"/>
        <v>-500000</v>
      </c>
    </row>
    <row r="141" spans="1:44" x14ac:dyDescent="0.3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3">
      <c r="A142" s="30" t="str">
        <f t="shared" si="83"/>
        <v>Opex fix (admin, crew, insurance)</v>
      </c>
      <c r="B142" s="62">
        <f t="shared" si="84"/>
        <v>1208235.294117647</v>
      </c>
      <c r="C142" s="62">
        <f t="shared" si="85"/>
        <v>1208235.294117647</v>
      </c>
      <c r="D142" s="62">
        <f t="shared" si="86"/>
        <v>1208235.294117647</v>
      </c>
      <c r="E142" s="62">
        <f t="shared" si="87"/>
        <v>1208235.294117647</v>
      </c>
      <c r="F142" s="62">
        <f t="shared" si="88"/>
        <v>1208235.294117647</v>
      </c>
      <c r="G142" s="62">
        <f t="shared" si="89"/>
        <v>1208235.294117647</v>
      </c>
      <c r="H142" s="62">
        <f t="shared" si="90"/>
        <v>1208235.294117647</v>
      </c>
      <c r="I142" s="62">
        <f t="shared" si="91"/>
        <v>1208235.294117647</v>
      </c>
      <c r="J142" s="62">
        <f t="shared" si="92"/>
        <v>1208235.294117647</v>
      </c>
      <c r="K142" s="62">
        <f t="shared" si="93"/>
        <v>1208235.294117647</v>
      </c>
      <c r="L142" s="62">
        <f t="shared" si="94"/>
        <v>1208235.294117647</v>
      </c>
      <c r="M142" s="62">
        <f t="shared" si="95"/>
        <v>1208235.294117647</v>
      </c>
      <c r="N142" s="62">
        <f t="shared" si="96"/>
        <v>1208235.294117647</v>
      </c>
      <c r="O142" s="62">
        <f t="shared" si="97"/>
        <v>1208235.294117647</v>
      </c>
      <c r="P142" s="62">
        <f t="shared" si="98"/>
        <v>1208235.294117647</v>
      </c>
      <c r="Q142" s="62">
        <f t="shared" si="99"/>
        <v>1208235.294117647</v>
      </c>
      <c r="R142" s="62">
        <f t="shared" si="100"/>
        <v>1208235.294117647</v>
      </c>
      <c r="S142" s="62">
        <f t="shared" si="101"/>
        <v>1208235.294117647</v>
      </c>
      <c r="T142" s="62">
        <f t="shared" si="102"/>
        <v>1208235.294117647</v>
      </c>
      <c r="U142" s="62">
        <f t="shared" si="103"/>
        <v>1208235.294117647</v>
      </c>
      <c r="V142" s="62">
        <f t="shared" si="104"/>
        <v>1208235.294117647</v>
      </c>
      <c r="W142" s="62">
        <f t="shared" si="105"/>
        <v>1208235.294117647</v>
      </c>
      <c r="X142" s="62">
        <f t="shared" si="106"/>
        <v>1208235.294117647</v>
      </c>
      <c r="Y142" s="62">
        <f t="shared" si="107"/>
        <v>1208235.294117647</v>
      </c>
      <c r="Z142" s="62">
        <f t="shared" si="108"/>
        <v>1208235.294117647</v>
      </c>
      <c r="AA142" s="62">
        <f t="shared" si="109"/>
        <v>1208235.294117647</v>
      </c>
      <c r="AB142" s="62">
        <f t="shared" si="110"/>
        <v>1208235.294117647</v>
      </c>
      <c r="AC142" s="62">
        <f t="shared" si="111"/>
        <v>1208235.294117647</v>
      </c>
    </row>
    <row r="143" spans="1:44" x14ac:dyDescent="0.3">
      <c r="A143" s="30" t="str">
        <f t="shared" si="83"/>
        <v>Opex maintenance &amp; repair</v>
      </c>
      <c r="B143" s="62">
        <f t="shared" si="84"/>
        <v>488235.29411764705</v>
      </c>
      <c r="C143" s="62">
        <f t="shared" si="85"/>
        <v>488235.29411764705</v>
      </c>
      <c r="D143" s="62">
        <f t="shared" si="86"/>
        <v>488235.29411764705</v>
      </c>
      <c r="E143" s="62">
        <f t="shared" si="87"/>
        <v>488235.29411764705</v>
      </c>
      <c r="F143" s="62">
        <f t="shared" si="88"/>
        <v>488235.29411764705</v>
      </c>
      <c r="G143" s="62">
        <f t="shared" si="89"/>
        <v>488235.29411764705</v>
      </c>
      <c r="H143" s="62">
        <f t="shared" si="90"/>
        <v>488235.29411764705</v>
      </c>
      <c r="I143" s="62">
        <f t="shared" si="91"/>
        <v>488235.29411764705</v>
      </c>
      <c r="J143" s="62">
        <f t="shared" si="92"/>
        <v>488235.29411764705</v>
      </c>
      <c r="K143" s="62">
        <f t="shared" si="93"/>
        <v>488235.29411764705</v>
      </c>
      <c r="L143" s="62">
        <f t="shared" si="94"/>
        <v>488235.29411764705</v>
      </c>
      <c r="M143" s="62">
        <f t="shared" si="95"/>
        <v>488235.29411764705</v>
      </c>
      <c r="N143" s="62">
        <f t="shared" si="96"/>
        <v>488235.29411764705</v>
      </c>
      <c r="O143" s="62">
        <f t="shared" si="97"/>
        <v>488235.29411764705</v>
      </c>
      <c r="P143" s="62">
        <f t="shared" si="98"/>
        <v>488235.29411764705</v>
      </c>
      <c r="Q143" s="62">
        <f t="shared" si="99"/>
        <v>488235.29411764705</v>
      </c>
      <c r="R143" s="62">
        <f t="shared" si="100"/>
        <v>488235.29411764705</v>
      </c>
      <c r="S143" s="62">
        <f t="shared" si="101"/>
        <v>488235.29411764705</v>
      </c>
      <c r="T143" s="62">
        <f t="shared" si="102"/>
        <v>488235.29411764705</v>
      </c>
      <c r="U143" s="62">
        <f t="shared" si="103"/>
        <v>488235.29411764705</v>
      </c>
      <c r="V143" s="62">
        <f t="shared" si="104"/>
        <v>488235.29411764705</v>
      </c>
      <c r="W143" s="62">
        <f t="shared" si="105"/>
        <v>488235.29411764705</v>
      </c>
      <c r="X143" s="62">
        <f t="shared" si="106"/>
        <v>488235.29411764705</v>
      </c>
      <c r="Y143" s="62">
        <f t="shared" si="107"/>
        <v>488235.29411764705</v>
      </c>
      <c r="Z143" s="62">
        <f t="shared" si="108"/>
        <v>488235.29411764705</v>
      </c>
      <c r="AA143" s="62">
        <f t="shared" si="109"/>
        <v>488235.29411764705</v>
      </c>
      <c r="AB143" s="62">
        <f t="shared" si="110"/>
        <v>488235.29411764705</v>
      </c>
      <c r="AC143" s="62">
        <f t="shared" si="111"/>
        <v>488235.29411764705</v>
      </c>
    </row>
    <row r="144" spans="1:44" x14ac:dyDescent="0.3">
      <c r="A144" s="30" t="str">
        <f t="shared" si="83"/>
        <v>Opex var (mode-fees)</v>
      </c>
      <c r="B144" s="62">
        <f t="shared" si="84"/>
        <v>1.6886890630966982</v>
      </c>
      <c r="C144" s="62">
        <f t="shared" si="85"/>
        <v>1.6886890630966982</v>
      </c>
      <c r="D144" s="62">
        <f t="shared" si="86"/>
        <v>1.6886890630966982</v>
      </c>
      <c r="E144" s="62">
        <f t="shared" si="87"/>
        <v>1.6886890630966982</v>
      </c>
      <c r="F144" s="62">
        <f t="shared" si="88"/>
        <v>1.6886890630966982</v>
      </c>
      <c r="G144" s="62">
        <f t="shared" si="89"/>
        <v>1.6886890630966982</v>
      </c>
      <c r="H144" s="62">
        <f t="shared" si="90"/>
        <v>1.6886890630966982</v>
      </c>
      <c r="I144" s="62">
        <f t="shared" si="91"/>
        <v>1.6886890630966982</v>
      </c>
      <c r="J144" s="62">
        <f t="shared" si="92"/>
        <v>1.6886890630966982</v>
      </c>
      <c r="K144" s="62">
        <f t="shared" si="93"/>
        <v>1.6886890630966982</v>
      </c>
      <c r="L144" s="62">
        <f t="shared" si="94"/>
        <v>1.6886890630966982</v>
      </c>
      <c r="M144" s="62">
        <f t="shared" si="95"/>
        <v>1.6886890630966982</v>
      </c>
      <c r="N144" s="62">
        <f t="shared" si="96"/>
        <v>1.6886890630966982</v>
      </c>
      <c r="O144" s="62">
        <f t="shared" si="97"/>
        <v>1.6886890630966982</v>
      </c>
      <c r="P144" s="62">
        <f t="shared" si="98"/>
        <v>1.6886890630966982</v>
      </c>
      <c r="Q144" s="62">
        <f t="shared" si="99"/>
        <v>1.6886890630966982</v>
      </c>
      <c r="R144" s="62">
        <f t="shared" si="100"/>
        <v>1.6886890630966982</v>
      </c>
      <c r="S144" s="62">
        <f t="shared" si="101"/>
        <v>1.6886890630966982</v>
      </c>
      <c r="T144" s="62">
        <f t="shared" si="102"/>
        <v>1.6886890630966982</v>
      </c>
      <c r="U144" s="62">
        <f t="shared" si="103"/>
        <v>1.6886890630966982</v>
      </c>
      <c r="V144" s="62">
        <f t="shared" si="104"/>
        <v>1.6886890630966982</v>
      </c>
      <c r="W144" s="62">
        <f t="shared" si="105"/>
        <v>1.6886890630966982</v>
      </c>
      <c r="X144" s="62">
        <f t="shared" si="106"/>
        <v>1.6886890630966982</v>
      </c>
      <c r="Y144" s="62">
        <f t="shared" si="107"/>
        <v>1.6886890630966982</v>
      </c>
      <c r="Z144" s="62">
        <f t="shared" si="108"/>
        <v>1.6886890630966982</v>
      </c>
      <c r="AA144" s="62">
        <f t="shared" si="109"/>
        <v>1.6886890630966982</v>
      </c>
      <c r="AB144" s="62">
        <f t="shared" si="110"/>
        <v>1.6886890630966982</v>
      </c>
      <c r="AC144" s="62">
        <f t="shared" si="111"/>
        <v>1.6886890630966982</v>
      </c>
    </row>
    <row r="145" spans="1:29" x14ac:dyDescent="0.3">
      <c r="A145" s="30" t="str">
        <f t="shared" si="83"/>
        <v>Fuel Economy</v>
      </c>
      <c r="B145" s="62">
        <f t="shared" si="84"/>
        <v>646.89677603543487</v>
      </c>
      <c r="C145" s="62">
        <f t="shared" si="85"/>
        <v>646.85211887817047</v>
      </c>
      <c r="D145" s="62">
        <f t="shared" si="86"/>
        <v>646.78819315220449</v>
      </c>
      <c r="E145" s="62">
        <f t="shared" si="87"/>
        <v>646.6967429057521</v>
      </c>
      <c r="F145" s="62">
        <f t="shared" si="88"/>
        <v>646.5660403240729</v>
      </c>
      <c r="G145" s="62">
        <f t="shared" si="89"/>
        <v>646.37949949401741</v>
      </c>
      <c r="H145" s="62">
        <f t="shared" si="90"/>
        <v>646.11381958854338</v>
      </c>
      <c r="I145" s="62">
        <f t="shared" si="91"/>
        <v>645.73659220845991</v>
      </c>
      <c r="J145" s="62">
        <f t="shared" si="92"/>
        <v>645.20341755594859</v>
      </c>
      <c r="K145" s="62">
        <f t="shared" si="93"/>
        <v>644.4548499630904</v>
      </c>
      <c r="L145" s="62">
        <f t="shared" si="94"/>
        <v>643.41406927056653</v>
      </c>
      <c r="M145" s="62">
        <f t="shared" si="95"/>
        <v>641.98719787679943</v>
      </c>
      <c r="N145" s="62">
        <f t="shared" si="96"/>
        <v>640.0696356209337</v>
      </c>
      <c r="O145" s="62">
        <f t="shared" si="97"/>
        <v>637.56301130673319</v>
      </c>
      <c r="P145" s="62">
        <f t="shared" si="98"/>
        <v>634.40634165749691</v>
      </c>
      <c r="Q145" s="62">
        <f t="shared" si="99"/>
        <v>630.6184286906298</v>
      </c>
      <c r="R145" s="62">
        <f t="shared" si="100"/>
        <v>626.33515650399931</v>
      </c>
      <c r="S145" s="62">
        <f t="shared" si="101"/>
        <v>621.81332363039712</v>
      </c>
      <c r="T145" s="62">
        <f t="shared" si="102"/>
        <v>617.38047196989623</v>
      </c>
      <c r="U145" s="62">
        <f t="shared" si="103"/>
        <v>613.34515585949862</v>
      </c>
      <c r="V145" s="62">
        <f t="shared" si="104"/>
        <v>609.91571180572532</v>
      </c>
      <c r="W145" s="62">
        <f t="shared" si="105"/>
        <v>607.1693412972852</v>
      </c>
      <c r="X145" s="62">
        <f t="shared" si="106"/>
        <v>605.0737387067237</v>
      </c>
      <c r="Y145" s="62">
        <f t="shared" si="107"/>
        <v>603.53330273509027</v>
      </c>
      <c r="Z145" s="62">
        <f t="shared" si="108"/>
        <v>602.43191330034256</v>
      </c>
      <c r="AA145" s="62">
        <f t="shared" si="109"/>
        <v>601.66000195939125</v>
      </c>
      <c r="AB145" s="62">
        <f t="shared" si="110"/>
        <v>601.12656377741496</v>
      </c>
      <c r="AC145" s="62">
        <f t="shared" si="111"/>
        <v>600.7615054472443</v>
      </c>
    </row>
    <row r="146" spans="1:29" x14ac:dyDescent="0.3">
      <c r="A146" s="30" t="str">
        <f t="shared" si="83"/>
        <v>Fuel Cost</v>
      </c>
      <c r="B146" s="62">
        <f t="shared" si="84"/>
        <v>0.38635004716516047</v>
      </c>
      <c r="C146" s="62">
        <f t="shared" si="85"/>
        <v>0.38607632048717594</v>
      </c>
      <c r="D146" s="62">
        <f t="shared" si="86"/>
        <v>0.38568448684441137</v>
      </c>
      <c r="E146" s="62">
        <f t="shared" si="87"/>
        <v>0.38512394126346305</v>
      </c>
      <c r="F146" s="62">
        <f t="shared" si="88"/>
        <v>0.38432279793776442</v>
      </c>
      <c r="G146" s="62">
        <f t="shared" si="89"/>
        <v>0.38317939327774014</v>
      </c>
      <c r="H146" s="62">
        <f t="shared" si="90"/>
        <v>0.38155090453399765</v>
      </c>
      <c r="I146" s="62">
        <f t="shared" si="91"/>
        <v>0.37923868396465671</v>
      </c>
      <c r="J146" s="62">
        <f t="shared" si="92"/>
        <v>0.37597058238010372</v>
      </c>
      <c r="K146" s="62">
        <f t="shared" si="93"/>
        <v>0.37138222671682802</v>
      </c>
      <c r="L146" s="62">
        <f t="shared" si="94"/>
        <v>0.36500274672019128</v>
      </c>
      <c r="M146" s="62">
        <f t="shared" si="95"/>
        <v>0.35625671830162364</v>
      </c>
      <c r="N146" s="62">
        <f t="shared" si="96"/>
        <v>0.34450299329358486</v>
      </c>
      <c r="O146" s="62">
        <f t="shared" si="97"/>
        <v>0.32913860405539874</v>
      </c>
      <c r="P146" s="62">
        <f t="shared" si="98"/>
        <v>0.30978975272874687</v>
      </c>
      <c r="Q146" s="62">
        <f t="shared" si="99"/>
        <v>0.28657168654562887</v>
      </c>
      <c r="R146" s="62">
        <f t="shared" si="100"/>
        <v>0.26031730900861128</v>
      </c>
      <c r="S146" s="62">
        <f t="shared" si="101"/>
        <v>0.23260067036178236</v>
      </c>
      <c r="T146" s="62">
        <f t="shared" si="102"/>
        <v>0.20542944332100452</v>
      </c>
      <c r="U146" s="62">
        <f t="shared" si="103"/>
        <v>0.1806949160653524</v>
      </c>
      <c r="V146" s="62">
        <f t="shared" si="104"/>
        <v>0.15967409016246348</v>
      </c>
      <c r="W146" s="62">
        <f t="shared" si="105"/>
        <v>0.14284017323087519</v>
      </c>
      <c r="X146" s="62">
        <f t="shared" si="106"/>
        <v>0.12999514746952273</v>
      </c>
      <c r="Y146" s="62">
        <f t="shared" si="107"/>
        <v>0.1205530233623735</v>
      </c>
      <c r="Z146" s="62">
        <f t="shared" si="108"/>
        <v>0.11380204122180199</v>
      </c>
      <c r="AA146" s="62">
        <f t="shared" si="109"/>
        <v>0.10907059972394451</v>
      </c>
      <c r="AB146" s="62">
        <f t="shared" si="110"/>
        <v>0.10580088283180267</v>
      </c>
      <c r="AC146" s="62">
        <f t="shared" si="111"/>
        <v>0.10356325262626759</v>
      </c>
    </row>
    <row r="147" spans="1:29" x14ac:dyDescent="0.3">
      <c r="A147" s="30" t="str">
        <f t="shared" ref="A147" si="112">A127</f>
        <v>Emission Cost</v>
      </c>
      <c r="B147" s="66">
        <f>$B127+($C127-$B127)*(1-Q127)</f>
        <v>3.1561641138930518</v>
      </c>
      <c r="C147" s="66">
        <f t="shared" ref="C147:AC147" si="113">$B127+($C127-$B127)*(1-R127)</f>
        <v>3.1531586766519095</v>
      </c>
      <c r="D147" s="66">
        <f t="shared" si="113"/>
        <v>3.148856460181932</v>
      </c>
      <c r="E147" s="66">
        <f t="shared" si="113"/>
        <v>3.1427018369762418</v>
      </c>
      <c r="F147" s="66">
        <f t="shared" si="113"/>
        <v>3.1339055223302736</v>
      </c>
      <c r="G147" s="66">
        <f t="shared" si="113"/>
        <v>3.1213512803680521</v>
      </c>
      <c r="H147" s="66">
        <f t="shared" si="113"/>
        <v>3.103470959921165</v>
      </c>
      <c r="I147" s="66">
        <f t="shared" si="113"/>
        <v>3.0780834680624944</v>
      </c>
      <c r="J147" s="66">
        <f t="shared" si="113"/>
        <v>3.0422006879024699</v>
      </c>
      <c r="K147" s="66">
        <f t="shared" si="113"/>
        <v>2.9918219119367748</v>
      </c>
      <c r="L147" s="66">
        <f t="shared" si="113"/>
        <v>2.9217771252824751</v>
      </c>
      <c r="M147" s="66">
        <f t="shared" si="113"/>
        <v>2.8257483431601118</v>
      </c>
      <c r="N147" s="66">
        <f t="shared" si="113"/>
        <v>2.6966959500159344</v>
      </c>
      <c r="O147" s="66">
        <f t="shared" si="113"/>
        <v>2.527999541087663</v>
      </c>
      <c r="P147" s="66">
        <f t="shared" si="113"/>
        <v>2.3155549274364571</v>
      </c>
      <c r="Q147" s="66">
        <f t="shared" si="113"/>
        <v>2.0606274892785992</v>
      </c>
      <c r="R147" s="66">
        <f t="shared" si="113"/>
        <v>1.7723622585244727</v>
      </c>
      <c r="S147" s="66">
        <f t="shared" si="113"/>
        <v>1.4680418371398225</v>
      </c>
      <c r="T147" s="66">
        <f t="shared" si="113"/>
        <v>1.1697098724326394</v>
      </c>
      <c r="U147" s="66">
        <f t="shared" si="113"/>
        <v>0.89813214422744192</v>
      </c>
      <c r="V147" s="66">
        <f t="shared" si="113"/>
        <v>0.66732974866522188</v>
      </c>
      <c r="W147" s="66">
        <f t="shared" si="113"/>
        <v>0.48249836418702996</v>
      </c>
      <c r="X147" s="66">
        <f t="shared" si="113"/>
        <v>0.34146381442791984</v>
      </c>
      <c r="Y147" s="66">
        <f t="shared" si="113"/>
        <v>0.23779210936773287</v>
      </c>
      <c r="Z147" s="66">
        <f t="shared" si="113"/>
        <v>0.16366834003345909</v>
      </c>
      <c r="AA147" s="66">
        <f t="shared" si="113"/>
        <v>0.11171852430248297</v>
      </c>
      <c r="AB147" s="66">
        <f t="shared" si="113"/>
        <v>7.5818008547159366E-2</v>
      </c>
      <c r="AC147" s="66">
        <f t="shared" si="113"/>
        <v>5.1249496624470758E-2</v>
      </c>
    </row>
    <row r="148" spans="1:29" x14ac:dyDescent="0.3">
      <c r="A148" s="30" t="str">
        <f>A128</f>
        <v>Lifetime vehicle</v>
      </c>
      <c r="B148" s="62">
        <f>$B128+($C128-$B128)*(1-Q128)</f>
        <v>25</v>
      </c>
      <c r="C148" s="62">
        <f t="shared" ref="C148:L150" si="114">$B128+($C128-$B128)*(1-R128)</f>
        <v>25</v>
      </c>
      <c r="D148" s="62">
        <f t="shared" si="114"/>
        <v>25</v>
      </c>
      <c r="E148" s="62">
        <f t="shared" si="114"/>
        <v>25</v>
      </c>
      <c r="F148" s="62">
        <f t="shared" si="114"/>
        <v>25</v>
      </c>
      <c r="G148" s="62">
        <f t="shared" si="114"/>
        <v>25</v>
      </c>
      <c r="H148" s="62">
        <f t="shared" si="114"/>
        <v>25</v>
      </c>
      <c r="I148" s="62">
        <f t="shared" si="114"/>
        <v>25</v>
      </c>
      <c r="J148" s="62">
        <f t="shared" si="114"/>
        <v>25</v>
      </c>
      <c r="K148" s="62">
        <f t="shared" si="114"/>
        <v>25</v>
      </c>
      <c r="L148" s="62">
        <f t="shared" si="114"/>
        <v>25</v>
      </c>
      <c r="M148" s="62">
        <f t="shared" ref="M148:V150" si="115">$B128+($C128-$B128)*(1-AB128)</f>
        <v>25</v>
      </c>
      <c r="N148" s="62">
        <f t="shared" si="115"/>
        <v>25</v>
      </c>
      <c r="O148" s="62">
        <f t="shared" si="115"/>
        <v>25</v>
      </c>
      <c r="P148" s="62">
        <f t="shared" si="115"/>
        <v>25</v>
      </c>
      <c r="Q148" s="62">
        <f t="shared" si="115"/>
        <v>25</v>
      </c>
      <c r="R148" s="62">
        <f t="shared" si="115"/>
        <v>25</v>
      </c>
      <c r="S148" s="62">
        <f t="shared" si="115"/>
        <v>25</v>
      </c>
      <c r="T148" s="62">
        <f t="shared" si="115"/>
        <v>25</v>
      </c>
      <c r="U148" s="62">
        <f t="shared" si="115"/>
        <v>25</v>
      </c>
      <c r="V148" s="62">
        <f t="shared" si="115"/>
        <v>25</v>
      </c>
      <c r="W148" s="62">
        <f t="shared" ref="W148:AC150" si="116">$B128+($C128-$B128)*(1-AL128)</f>
        <v>25</v>
      </c>
      <c r="X148" s="62">
        <f t="shared" si="116"/>
        <v>25</v>
      </c>
      <c r="Y148" s="62">
        <f t="shared" si="116"/>
        <v>25</v>
      </c>
      <c r="Z148" s="62">
        <f t="shared" si="116"/>
        <v>25</v>
      </c>
      <c r="AA148" s="62">
        <f t="shared" si="116"/>
        <v>25</v>
      </c>
      <c r="AB148" s="62">
        <f t="shared" si="116"/>
        <v>25</v>
      </c>
      <c r="AC148" s="62">
        <f t="shared" si="116"/>
        <v>25</v>
      </c>
    </row>
    <row r="149" spans="1:29" x14ac:dyDescent="0.3">
      <c r="A149" s="30" t="str">
        <f>A129</f>
        <v>Lifetime costumization</v>
      </c>
      <c r="B149" s="62">
        <f>$B129+($C129-$B129)*(1-Q129)</f>
        <v>25</v>
      </c>
      <c r="C149" s="62">
        <f t="shared" si="114"/>
        <v>25</v>
      </c>
      <c r="D149" s="62">
        <f t="shared" si="114"/>
        <v>25</v>
      </c>
      <c r="E149" s="62">
        <f t="shared" si="114"/>
        <v>25</v>
      </c>
      <c r="F149" s="62">
        <f t="shared" si="114"/>
        <v>25</v>
      </c>
      <c r="G149" s="62">
        <f t="shared" si="114"/>
        <v>25</v>
      </c>
      <c r="H149" s="62">
        <f t="shared" si="114"/>
        <v>25</v>
      </c>
      <c r="I149" s="62">
        <f t="shared" si="114"/>
        <v>25</v>
      </c>
      <c r="J149" s="62">
        <f t="shared" si="114"/>
        <v>25</v>
      </c>
      <c r="K149" s="62">
        <f t="shared" si="114"/>
        <v>25</v>
      </c>
      <c r="L149" s="62">
        <f t="shared" si="114"/>
        <v>25</v>
      </c>
      <c r="M149" s="62">
        <f t="shared" si="115"/>
        <v>25</v>
      </c>
      <c r="N149" s="62">
        <f t="shared" si="115"/>
        <v>25</v>
      </c>
      <c r="O149" s="62">
        <f t="shared" si="115"/>
        <v>25</v>
      </c>
      <c r="P149" s="62">
        <f t="shared" si="115"/>
        <v>25</v>
      </c>
      <c r="Q149" s="62">
        <f t="shared" si="115"/>
        <v>25</v>
      </c>
      <c r="R149" s="62">
        <f t="shared" si="115"/>
        <v>25</v>
      </c>
      <c r="S149" s="62">
        <f t="shared" si="115"/>
        <v>25</v>
      </c>
      <c r="T149" s="62">
        <f t="shared" si="115"/>
        <v>25</v>
      </c>
      <c r="U149" s="62">
        <f t="shared" si="115"/>
        <v>25</v>
      </c>
      <c r="V149" s="62">
        <f t="shared" si="115"/>
        <v>25</v>
      </c>
      <c r="W149" s="62">
        <f t="shared" si="116"/>
        <v>25</v>
      </c>
      <c r="X149" s="62">
        <f t="shared" si="116"/>
        <v>25</v>
      </c>
      <c r="Y149" s="62">
        <f t="shared" si="116"/>
        <v>25</v>
      </c>
      <c r="Z149" s="62">
        <f t="shared" si="116"/>
        <v>25</v>
      </c>
      <c r="AA149" s="62">
        <f t="shared" si="116"/>
        <v>25</v>
      </c>
      <c r="AB149" s="62">
        <f t="shared" si="116"/>
        <v>25</v>
      </c>
      <c r="AC149" s="62">
        <f t="shared" si="116"/>
        <v>25</v>
      </c>
    </row>
    <row r="150" spans="1:29" x14ac:dyDescent="0.3">
      <c r="A150" s="30" t="str">
        <f>A130</f>
        <v>Tonnage .</v>
      </c>
      <c r="B150" s="62">
        <f>$B130+($C130-$B130)*(1-Q130)</f>
        <v>9450</v>
      </c>
      <c r="C150" s="62">
        <f t="shared" si="114"/>
        <v>9450</v>
      </c>
      <c r="D150" s="62">
        <f t="shared" si="114"/>
        <v>9450</v>
      </c>
      <c r="E150" s="62">
        <f t="shared" si="114"/>
        <v>9450</v>
      </c>
      <c r="F150" s="62">
        <f t="shared" si="114"/>
        <v>9450</v>
      </c>
      <c r="G150" s="62">
        <f t="shared" si="114"/>
        <v>9450</v>
      </c>
      <c r="H150" s="62">
        <f t="shared" si="114"/>
        <v>9450</v>
      </c>
      <c r="I150" s="62">
        <f t="shared" si="114"/>
        <v>9450</v>
      </c>
      <c r="J150" s="62">
        <f t="shared" si="114"/>
        <v>9450</v>
      </c>
      <c r="K150" s="62">
        <f t="shared" si="114"/>
        <v>9450</v>
      </c>
      <c r="L150" s="62">
        <f t="shared" si="114"/>
        <v>9450</v>
      </c>
      <c r="M150" s="62">
        <f t="shared" si="115"/>
        <v>9450</v>
      </c>
      <c r="N150" s="62">
        <f t="shared" si="115"/>
        <v>9450</v>
      </c>
      <c r="O150" s="62">
        <f t="shared" si="115"/>
        <v>9450</v>
      </c>
      <c r="P150" s="62">
        <f t="shared" si="115"/>
        <v>9450</v>
      </c>
      <c r="Q150" s="62">
        <f t="shared" si="115"/>
        <v>9450</v>
      </c>
      <c r="R150" s="62">
        <f t="shared" si="115"/>
        <v>9450</v>
      </c>
      <c r="S150" s="62">
        <f t="shared" si="115"/>
        <v>9450</v>
      </c>
      <c r="T150" s="62">
        <f t="shared" si="115"/>
        <v>9450</v>
      </c>
      <c r="U150" s="62">
        <f t="shared" si="115"/>
        <v>9450</v>
      </c>
      <c r="V150" s="62">
        <f t="shared" si="115"/>
        <v>9450</v>
      </c>
      <c r="W150" s="62">
        <f t="shared" si="116"/>
        <v>9450</v>
      </c>
      <c r="X150" s="62">
        <f t="shared" si="116"/>
        <v>9450</v>
      </c>
      <c r="Y150" s="62">
        <f t="shared" si="116"/>
        <v>9450</v>
      </c>
      <c r="Z150" s="62">
        <f t="shared" si="116"/>
        <v>9450</v>
      </c>
      <c r="AA150" s="62">
        <f t="shared" si="116"/>
        <v>9450</v>
      </c>
      <c r="AB150" s="62">
        <f t="shared" si="116"/>
        <v>9450</v>
      </c>
      <c r="AC150" s="62">
        <f t="shared" si="116"/>
        <v>9450</v>
      </c>
    </row>
    <row r="151" spans="1:29" x14ac:dyDescent="0.3">
      <c r="A151" s="30" t="str">
        <f>A131</f>
        <v>Market failure (av. utilization)</v>
      </c>
      <c r="B151" s="62">
        <f t="shared" ref="B151:K152" si="117">($B131+($C131-$B131)*(1-Q131))*B$44</f>
        <v>4063.5</v>
      </c>
      <c r="C151" s="62">
        <f t="shared" si="117"/>
        <v>4063.5</v>
      </c>
      <c r="D151" s="62">
        <f t="shared" si="117"/>
        <v>4063.5</v>
      </c>
      <c r="E151" s="62">
        <f t="shared" si="117"/>
        <v>4063.5</v>
      </c>
      <c r="F151" s="62">
        <f t="shared" si="117"/>
        <v>4063.5</v>
      </c>
      <c r="G151" s="62">
        <f t="shared" si="117"/>
        <v>4063.5</v>
      </c>
      <c r="H151" s="62">
        <f t="shared" si="117"/>
        <v>4063.5</v>
      </c>
      <c r="I151" s="62">
        <f t="shared" si="117"/>
        <v>4063.5</v>
      </c>
      <c r="J151" s="62">
        <f t="shared" si="117"/>
        <v>4063.5</v>
      </c>
      <c r="K151" s="62">
        <f t="shared" si="117"/>
        <v>4063.5</v>
      </c>
      <c r="L151" s="62">
        <f t="shared" ref="L151:U152" si="118">($B131+($C131-$B131)*(1-AA131))*L$44</f>
        <v>4063.5</v>
      </c>
      <c r="M151" s="62">
        <f t="shared" si="118"/>
        <v>4063.5</v>
      </c>
      <c r="N151" s="62">
        <f t="shared" si="118"/>
        <v>4063.5</v>
      </c>
      <c r="O151" s="62">
        <f t="shared" si="118"/>
        <v>4063.5</v>
      </c>
      <c r="P151" s="62">
        <f t="shared" si="118"/>
        <v>4063.5</v>
      </c>
      <c r="Q151" s="62">
        <f t="shared" si="118"/>
        <v>4063.5</v>
      </c>
      <c r="R151" s="62">
        <f t="shared" si="118"/>
        <v>4063.5</v>
      </c>
      <c r="S151" s="62">
        <f t="shared" si="118"/>
        <v>4063.5</v>
      </c>
      <c r="T151" s="62">
        <f t="shared" si="118"/>
        <v>4063.5</v>
      </c>
      <c r="U151" s="62">
        <f t="shared" si="118"/>
        <v>4063.5</v>
      </c>
      <c r="V151" s="62">
        <f t="shared" ref="V151:AC152" si="119">($B131+($C131-$B131)*(1-AK131))*V$44</f>
        <v>4063.5</v>
      </c>
      <c r="W151" s="62">
        <f t="shared" si="119"/>
        <v>4063.5</v>
      </c>
      <c r="X151" s="62">
        <f t="shared" si="119"/>
        <v>4063.5</v>
      </c>
      <c r="Y151" s="62">
        <f t="shared" si="119"/>
        <v>4063.5</v>
      </c>
      <c r="Z151" s="62">
        <f t="shared" si="119"/>
        <v>4063.5</v>
      </c>
      <c r="AA151" s="62">
        <f t="shared" si="119"/>
        <v>4063.5</v>
      </c>
      <c r="AB151" s="62">
        <f t="shared" si="119"/>
        <v>4063.5</v>
      </c>
      <c r="AC151" s="62">
        <f t="shared" si="119"/>
        <v>4063.5</v>
      </c>
    </row>
    <row r="152" spans="1:29" x14ac:dyDescent="0.3">
      <c r="A152" s="30" t="s">
        <v>73</v>
      </c>
      <c r="B152" s="62">
        <f t="shared" si="117"/>
        <v>378</v>
      </c>
      <c r="C152" s="62">
        <f t="shared" si="117"/>
        <v>378</v>
      </c>
      <c r="D152" s="62">
        <f t="shared" si="117"/>
        <v>378</v>
      </c>
      <c r="E152" s="62">
        <f t="shared" si="117"/>
        <v>378</v>
      </c>
      <c r="F152" s="62">
        <f t="shared" si="117"/>
        <v>378</v>
      </c>
      <c r="G152" s="62">
        <f t="shared" si="117"/>
        <v>378</v>
      </c>
      <c r="H152" s="62">
        <f t="shared" si="117"/>
        <v>378</v>
      </c>
      <c r="I152" s="62">
        <f t="shared" si="117"/>
        <v>378</v>
      </c>
      <c r="J152" s="62">
        <f t="shared" si="117"/>
        <v>378</v>
      </c>
      <c r="K152" s="62">
        <f t="shared" si="117"/>
        <v>378</v>
      </c>
      <c r="L152" s="62">
        <f t="shared" si="118"/>
        <v>378</v>
      </c>
      <c r="M152" s="62">
        <f t="shared" si="118"/>
        <v>378</v>
      </c>
      <c r="N152" s="62">
        <f t="shared" si="118"/>
        <v>378</v>
      </c>
      <c r="O152" s="62">
        <f t="shared" si="118"/>
        <v>378</v>
      </c>
      <c r="P152" s="62">
        <f t="shared" si="118"/>
        <v>378</v>
      </c>
      <c r="Q152" s="62">
        <f t="shared" si="118"/>
        <v>378</v>
      </c>
      <c r="R152" s="62">
        <f t="shared" si="118"/>
        <v>378</v>
      </c>
      <c r="S152" s="62">
        <f t="shared" si="118"/>
        <v>378</v>
      </c>
      <c r="T152" s="62">
        <f t="shared" si="118"/>
        <v>378</v>
      </c>
      <c r="U152" s="62">
        <f t="shared" si="118"/>
        <v>378</v>
      </c>
      <c r="V152" s="62">
        <f t="shared" si="119"/>
        <v>378</v>
      </c>
      <c r="W152" s="62">
        <f t="shared" si="119"/>
        <v>378</v>
      </c>
      <c r="X152" s="62">
        <f t="shared" si="119"/>
        <v>378</v>
      </c>
      <c r="Y152" s="62">
        <f t="shared" si="119"/>
        <v>378</v>
      </c>
      <c r="Z152" s="62">
        <f t="shared" si="119"/>
        <v>378</v>
      </c>
      <c r="AA152" s="62">
        <f t="shared" si="119"/>
        <v>378</v>
      </c>
      <c r="AB152" s="62">
        <f t="shared" si="119"/>
        <v>378</v>
      </c>
      <c r="AC152" s="62">
        <f t="shared" si="119"/>
        <v>378</v>
      </c>
    </row>
    <row r="153" spans="1:29" x14ac:dyDescent="0.3">
      <c r="A153" s="30" t="str">
        <f>A133</f>
        <v>Annual Mileage</v>
      </c>
      <c r="B153" s="62">
        <f t="shared" ref="B153:AC153" si="120">$B133+($C133-$B133)*(1-Q133)</f>
        <v>120000</v>
      </c>
      <c r="C153" s="62">
        <f t="shared" si="120"/>
        <v>120000</v>
      </c>
      <c r="D153" s="62">
        <f t="shared" si="120"/>
        <v>120000</v>
      </c>
      <c r="E153" s="62">
        <f t="shared" si="120"/>
        <v>120000</v>
      </c>
      <c r="F153" s="62">
        <f t="shared" si="120"/>
        <v>120000</v>
      </c>
      <c r="G153" s="62">
        <f t="shared" si="120"/>
        <v>120000</v>
      </c>
      <c r="H153" s="62">
        <f t="shared" si="120"/>
        <v>120000</v>
      </c>
      <c r="I153" s="62">
        <f t="shared" si="120"/>
        <v>120000</v>
      </c>
      <c r="J153" s="62">
        <f t="shared" si="120"/>
        <v>120000</v>
      </c>
      <c r="K153" s="62">
        <f t="shared" si="120"/>
        <v>120000</v>
      </c>
      <c r="L153" s="62">
        <f t="shared" si="120"/>
        <v>120000</v>
      </c>
      <c r="M153" s="62">
        <f t="shared" si="120"/>
        <v>120000</v>
      </c>
      <c r="N153" s="62">
        <f t="shared" si="120"/>
        <v>120000</v>
      </c>
      <c r="O153" s="62">
        <f t="shared" si="120"/>
        <v>120000</v>
      </c>
      <c r="P153" s="62">
        <f t="shared" si="120"/>
        <v>120000</v>
      </c>
      <c r="Q153" s="62">
        <f t="shared" si="120"/>
        <v>120000</v>
      </c>
      <c r="R153" s="62">
        <f t="shared" si="120"/>
        <v>120000</v>
      </c>
      <c r="S153" s="62">
        <f t="shared" si="120"/>
        <v>120000</v>
      </c>
      <c r="T153" s="62">
        <f t="shared" si="120"/>
        <v>120000</v>
      </c>
      <c r="U153" s="62">
        <f t="shared" si="120"/>
        <v>120000</v>
      </c>
      <c r="V153" s="62">
        <f t="shared" si="120"/>
        <v>120000</v>
      </c>
      <c r="W153" s="62">
        <f t="shared" si="120"/>
        <v>120000</v>
      </c>
      <c r="X153" s="62">
        <f t="shared" si="120"/>
        <v>120000</v>
      </c>
      <c r="Y153" s="62">
        <f t="shared" si="120"/>
        <v>120000</v>
      </c>
      <c r="Z153" s="62">
        <f t="shared" si="120"/>
        <v>120000</v>
      </c>
      <c r="AA153" s="62">
        <f t="shared" si="120"/>
        <v>120000</v>
      </c>
      <c r="AB153" s="62">
        <f t="shared" si="120"/>
        <v>120000</v>
      </c>
      <c r="AC153" s="62">
        <f t="shared" si="120"/>
        <v>120000</v>
      </c>
    </row>
    <row r="154" spans="1:29" ht="15" thickBot="1" x14ac:dyDescent="0.35">
      <c r="AC154" s="32"/>
    </row>
    <row r="155" spans="1:29" ht="15" thickBot="1" x14ac:dyDescent="0.35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3">
      <c r="A156" s="29" t="str">
        <f>A137</f>
        <v>Capex vehicle</v>
      </c>
      <c r="B156" s="63">
        <f>((1+B141)^B148)*B141/(((1+B141)^B148)-1)*(B137)</f>
        <v>1524647.8790978624</v>
      </c>
      <c r="C156" s="63">
        <f t="shared" ref="C156:AC156" si="121">((1+C141)^C148)*C141/(((1+C141)^C148)-1)*(C137)</f>
        <v>1524313.4062710819</v>
      </c>
      <c r="D156" s="63">
        <f t="shared" si="121"/>
        <v>1523834.6158693277</v>
      </c>
      <c r="E156" s="63">
        <f t="shared" si="121"/>
        <v>1523149.6725295712</v>
      </c>
      <c r="F156" s="63">
        <f t="shared" si="121"/>
        <v>1522170.737356808</v>
      </c>
      <c r="G156" s="63">
        <f t="shared" si="121"/>
        <v>1520773.5853086114</v>
      </c>
      <c r="H156" s="63">
        <f t="shared" si="121"/>
        <v>1518783.6980330625</v>
      </c>
      <c r="I156" s="63">
        <f t="shared" si="121"/>
        <v>1515958.3433556822</v>
      </c>
      <c r="J156" s="63">
        <f t="shared" si="121"/>
        <v>1511964.9760184553</v>
      </c>
      <c r="K156" s="63">
        <f t="shared" si="121"/>
        <v>1506358.3603233036</v>
      </c>
      <c r="L156" s="63">
        <f t="shared" si="121"/>
        <v>1498563.1292425212</v>
      </c>
      <c r="M156" s="63">
        <f t="shared" si="121"/>
        <v>1487876.1590509433</v>
      </c>
      <c r="N156" s="63">
        <f t="shared" si="121"/>
        <v>1473514.0162828909</v>
      </c>
      <c r="O156" s="63">
        <f t="shared" si="121"/>
        <v>1454739.9211231149</v>
      </c>
      <c r="P156" s="63">
        <f t="shared" si="121"/>
        <v>1431097.1215033231</v>
      </c>
      <c r="Q156" s="63">
        <f t="shared" si="121"/>
        <v>1402726.440626242</v>
      </c>
      <c r="R156" s="63">
        <f t="shared" si="121"/>
        <v>1370645.6221440069</v>
      </c>
      <c r="S156" s="63">
        <f t="shared" si="121"/>
        <v>1336778.0336965974</v>
      </c>
      <c r="T156" s="63">
        <f t="shared" si="121"/>
        <v>1303576.896042286</v>
      </c>
      <c r="U156" s="63">
        <f t="shared" si="121"/>
        <v>1273353.2170381402</v>
      </c>
      <c r="V156" s="63">
        <f t="shared" si="121"/>
        <v>1247667.3938192725</v>
      </c>
      <c r="W156" s="63">
        <f t="shared" si="121"/>
        <v>1227097.6494912698</v>
      </c>
      <c r="X156" s="63">
        <f t="shared" si="121"/>
        <v>1211402.0216186012</v>
      </c>
      <c r="Y156" s="63">
        <f t="shared" si="121"/>
        <v>1199864.4763410145</v>
      </c>
      <c r="Z156" s="63">
        <f t="shared" si="121"/>
        <v>1191615.2983773351</v>
      </c>
      <c r="AA156" s="63">
        <f t="shared" si="121"/>
        <v>1185833.8428605145</v>
      </c>
      <c r="AB156" s="63">
        <f t="shared" si="121"/>
        <v>1181838.5017423639</v>
      </c>
      <c r="AC156" s="63">
        <f t="shared" si="121"/>
        <v>1179104.2907197287</v>
      </c>
    </row>
    <row r="157" spans="1:29" x14ac:dyDescent="0.3">
      <c r="A157" s="30" t="str">
        <f>A138</f>
        <v>Residual value (vehicle)</v>
      </c>
      <c r="B157" s="62">
        <f>((1+B141)^B148)*B141/(((1+B141)^B148)-1)*(B138)</f>
        <v>-76361.248295139725</v>
      </c>
      <c r="C157" s="62">
        <f t="shared" ref="C157:AC157" si="122">((1+C141)^C148)*C141/(((1+C141)^C148)-1)*(C138)</f>
        <v>-76400.270124930772</v>
      </c>
      <c r="D157" s="62">
        <f t="shared" si="122"/>
        <v>-76456.129005135459</v>
      </c>
      <c r="E157" s="62">
        <f t="shared" si="122"/>
        <v>-76536.039061440344</v>
      </c>
      <c r="F157" s="62">
        <f t="shared" si="122"/>
        <v>-76650.248164929391</v>
      </c>
      <c r="G157" s="62">
        <f t="shared" si="122"/>
        <v>-76813.249237219032</v>
      </c>
      <c r="H157" s="62">
        <f t="shared" si="122"/>
        <v>-77045.402752699738</v>
      </c>
      <c r="I157" s="62">
        <f t="shared" si="122"/>
        <v>-77375.027465060732</v>
      </c>
      <c r="J157" s="62">
        <f t="shared" si="122"/>
        <v>-77840.920321070545</v>
      </c>
      <c r="K157" s="62">
        <f t="shared" si="122"/>
        <v>-78495.025485504913</v>
      </c>
      <c r="L157" s="62">
        <f t="shared" si="122"/>
        <v>-79404.46911159619</v>
      </c>
      <c r="M157" s="62">
        <f t="shared" si="122"/>
        <v>-80651.282300613602</v>
      </c>
      <c r="N157" s="62">
        <f t="shared" si="122"/>
        <v>-82326.865623553065</v>
      </c>
      <c r="O157" s="62">
        <f t="shared" si="122"/>
        <v>-84517.176725526937</v>
      </c>
      <c r="P157" s="62">
        <f t="shared" si="122"/>
        <v>-87275.503347835998</v>
      </c>
      <c r="Q157" s="62">
        <f t="shared" si="122"/>
        <v>-90585.416116828768</v>
      </c>
      <c r="R157" s="62">
        <f t="shared" si="122"/>
        <v>-94328.178273089521</v>
      </c>
      <c r="S157" s="62">
        <f t="shared" si="122"/>
        <v>-98279.396925287292</v>
      </c>
      <c r="T157" s="62">
        <f t="shared" si="122"/>
        <v>-102152.86298495698</v>
      </c>
      <c r="U157" s="62">
        <f t="shared" si="122"/>
        <v>-105678.95886877397</v>
      </c>
      <c r="V157" s="62">
        <f t="shared" si="122"/>
        <v>-108675.63824430856</v>
      </c>
      <c r="W157" s="62">
        <f t="shared" si="122"/>
        <v>-111075.44174924218</v>
      </c>
      <c r="X157" s="62">
        <f t="shared" si="122"/>
        <v>-112906.59833438687</v>
      </c>
      <c r="Y157" s="62">
        <f t="shared" si="122"/>
        <v>-114252.64528343864</v>
      </c>
      <c r="Z157" s="62">
        <f t="shared" si="122"/>
        <v>-115215.04937920124</v>
      </c>
      <c r="AA157" s="62">
        <f t="shared" si="122"/>
        <v>-115889.55252283029</v>
      </c>
      <c r="AB157" s="62">
        <f t="shared" si="122"/>
        <v>-116355.67565328123</v>
      </c>
      <c r="AC157" s="62">
        <f t="shared" si="122"/>
        <v>-116674.66693925532</v>
      </c>
    </row>
    <row r="158" spans="1:29" x14ac:dyDescent="0.3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3">((1+C141)^C149)*C141/(((1+C141)^C149)-1)*(C139)</f>
        <v>391133.59106136975</v>
      </c>
      <c r="D158" s="62">
        <f t="shared" si="123"/>
        <v>391133.59106136975</v>
      </c>
      <c r="E158" s="62">
        <f t="shared" si="123"/>
        <v>391133.59106136975</v>
      </c>
      <c r="F158" s="62">
        <f t="shared" si="123"/>
        <v>391133.59106136975</v>
      </c>
      <c r="G158" s="62">
        <f t="shared" si="123"/>
        <v>391133.59106136975</v>
      </c>
      <c r="H158" s="62">
        <f t="shared" si="123"/>
        <v>391133.59106136975</v>
      </c>
      <c r="I158" s="62">
        <f t="shared" si="123"/>
        <v>391133.59106136975</v>
      </c>
      <c r="J158" s="62">
        <f t="shared" si="123"/>
        <v>391133.59106136975</v>
      </c>
      <c r="K158" s="62">
        <f t="shared" si="123"/>
        <v>391133.59106136975</v>
      </c>
      <c r="L158" s="62">
        <f t="shared" si="123"/>
        <v>391133.59106136975</v>
      </c>
      <c r="M158" s="62">
        <f t="shared" si="123"/>
        <v>391133.59106136975</v>
      </c>
      <c r="N158" s="62">
        <f t="shared" si="123"/>
        <v>391133.59106136975</v>
      </c>
      <c r="O158" s="62">
        <f t="shared" si="123"/>
        <v>391133.59106136975</v>
      </c>
      <c r="P158" s="62">
        <f t="shared" si="123"/>
        <v>391133.59106136975</v>
      </c>
      <c r="Q158" s="62">
        <f t="shared" si="123"/>
        <v>391133.59106136975</v>
      </c>
      <c r="R158" s="62">
        <f t="shared" si="123"/>
        <v>391133.59106136975</v>
      </c>
      <c r="S158" s="62">
        <f t="shared" si="123"/>
        <v>391133.59106136975</v>
      </c>
      <c r="T158" s="62">
        <f t="shared" si="123"/>
        <v>391133.59106136975</v>
      </c>
      <c r="U158" s="62">
        <f t="shared" si="123"/>
        <v>391133.59106136975</v>
      </c>
      <c r="V158" s="62">
        <f t="shared" si="123"/>
        <v>391133.59106136975</v>
      </c>
      <c r="W158" s="62">
        <f t="shared" si="123"/>
        <v>391133.59106136975</v>
      </c>
      <c r="X158" s="62">
        <f t="shared" si="123"/>
        <v>391133.59106136975</v>
      </c>
      <c r="Y158" s="62">
        <f t="shared" si="123"/>
        <v>391133.59106136975</v>
      </c>
      <c r="Z158" s="62">
        <f t="shared" si="123"/>
        <v>391133.59106136975</v>
      </c>
      <c r="AA158" s="62">
        <f t="shared" si="123"/>
        <v>391133.59106136975</v>
      </c>
      <c r="AB158" s="62">
        <f t="shared" si="123"/>
        <v>391133.59106136975</v>
      </c>
      <c r="AC158" s="62">
        <f t="shared" si="123"/>
        <v>391133.59106136975</v>
      </c>
    </row>
    <row r="159" spans="1:29" x14ac:dyDescent="0.3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4">((1+C141)^C149)*C141/(((1+C141)^C149)-1)*(C140)</f>
        <v>-39113.359106136973</v>
      </c>
      <c r="D159" s="62">
        <f t="shared" si="124"/>
        <v>-39113.359106136973</v>
      </c>
      <c r="E159" s="62">
        <f t="shared" si="124"/>
        <v>-39113.359106136973</v>
      </c>
      <c r="F159" s="62">
        <f t="shared" si="124"/>
        <v>-39113.359106136973</v>
      </c>
      <c r="G159" s="62">
        <f t="shared" si="124"/>
        <v>-39113.359106136973</v>
      </c>
      <c r="H159" s="62">
        <f t="shared" si="124"/>
        <v>-39113.359106136973</v>
      </c>
      <c r="I159" s="62">
        <f t="shared" si="124"/>
        <v>-39113.359106136973</v>
      </c>
      <c r="J159" s="62">
        <f t="shared" si="124"/>
        <v>-39113.359106136973</v>
      </c>
      <c r="K159" s="62">
        <f t="shared" si="124"/>
        <v>-39113.359106136973</v>
      </c>
      <c r="L159" s="62">
        <f t="shared" si="124"/>
        <v>-39113.359106136973</v>
      </c>
      <c r="M159" s="62">
        <f t="shared" si="124"/>
        <v>-39113.359106136973</v>
      </c>
      <c r="N159" s="62">
        <f t="shared" si="124"/>
        <v>-39113.359106136973</v>
      </c>
      <c r="O159" s="62">
        <f t="shared" si="124"/>
        <v>-39113.359106136973</v>
      </c>
      <c r="P159" s="62">
        <f t="shared" si="124"/>
        <v>-39113.359106136973</v>
      </c>
      <c r="Q159" s="62">
        <f t="shared" si="124"/>
        <v>-39113.359106136973</v>
      </c>
      <c r="R159" s="62">
        <f t="shared" si="124"/>
        <v>-39113.359106136973</v>
      </c>
      <c r="S159" s="62">
        <f t="shared" si="124"/>
        <v>-39113.359106136973</v>
      </c>
      <c r="T159" s="62">
        <f t="shared" si="124"/>
        <v>-39113.359106136973</v>
      </c>
      <c r="U159" s="62">
        <f t="shared" si="124"/>
        <v>-39113.359106136973</v>
      </c>
      <c r="V159" s="62">
        <f t="shared" si="124"/>
        <v>-39113.359106136973</v>
      </c>
      <c r="W159" s="62">
        <f t="shared" si="124"/>
        <v>-39113.359106136973</v>
      </c>
      <c r="X159" s="62">
        <f t="shared" si="124"/>
        <v>-39113.359106136973</v>
      </c>
      <c r="Y159" s="62">
        <f t="shared" si="124"/>
        <v>-39113.359106136973</v>
      </c>
      <c r="Z159" s="62">
        <f t="shared" si="124"/>
        <v>-39113.359106136973</v>
      </c>
      <c r="AA159" s="62">
        <f t="shared" si="124"/>
        <v>-39113.359106136973</v>
      </c>
      <c r="AB159" s="62">
        <f t="shared" si="124"/>
        <v>-39113.359106136973</v>
      </c>
      <c r="AC159" s="62">
        <f t="shared" si="124"/>
        <v>-39113.359106136973</v>
      </c>
    </row>
    <row r="160" spans="1:29" x14ac:dyDescent="0.3">
      <c r="A160" s="30" t="str">
        <f t="shared" ref="A160:AC160" si="125">A142</f>
        <v>Opex fix (admin, crew, insurance)</v>
      </c>
      <c r="B160" s="62">
        <f t="shared" si="125"/>
        <v>1208235.294117647</v>
      </c>
      <c r="C160" s="62">
        <f t="shared" si="125"/>
        <v>1208235.294117647</v>
      </c>
      <c r="D160" s="62">
        <f t="shared" si="125"/>
        <v>1208235.294117647</v>
      </c>
      <c r="E160" s="62">
        <f t="shared" si="125"/>
        <v>1208235.294117647</v>
      </c>
      <c r="F160" s="62">
        <f t="shared" si="125"/>
        <v>1208235.294117647</v>
      </c>
      <c r="G160" s="62">
        <f t="shared" si="125"/>
        <v>1208235.294117647</v>
      </c>
      <c r="H160" s="62">
        <f t="shared" si="125"/>
        <v>1208235.294117647</v>
      </c>
      <c r="I160" s="62">
        <f t="shared" si="125"/>
        <v>1208235.294117647</v>
      </c>
      <c r="J160" s="62">
        <f t="shared" si="125"/>
        <v>1208235.294117647</v>
      </c>
      <c r="K160" s="62">
        <f t="shared" si="125"/>
        <v>1208235.294117647</v>
      </c>
      <c r="L160" s="62">
        <f t="shared" si="125"/>
        <v>1208235.294117647</v>
      </c>
      <c r="M160" s="62">
        <f t="shared" si="125"/>
        <v>1208235.294117647</v>
      </c>
      <c r="N160" s="62">
        <f t="shared" si="125"/>
        <v>1208235.294117647</v>
      </c>
      <c r="O160" s="62">
        <f t="shared" si="125"/>
        <v>1208235.294117647</v>
      </c>
      <c r="P160" s="62">
        <f t="shared" si="125"/>
        <v>1208235.294117647</v>
      </c>
      <c r="Q160" s="62">
        <f t="shared" si="125"/>
        <v>1208235.294117647</v>
      </c>
      <c r="R160" s="62">
        <f t="shared" si="125"/>
        <v>1208235.294117647</v>
      </c>
      <c r="S160" s="62">
        <f t="shared" si="125"/>
        <v>1208235.294117647</v>
      </c>
      <c r="T160" s="62">
        <f t="shared" si="125"/>
        <v>1208235.294117647</v>
      </c>
      <c r="U160" s="62">
        <f t="shared" si="125"/>
        <v>1208235.294117647</v>
      </c>
      <c r="V160" s="62">
        <f t="shared" si="125"/>
        <v>1208235.294117647</v>
      </c>
      <c r="W160" s="62">
        <f t="shared" si="125"/>
        <v>1208235.294117647</v>
      </c>
      <c r="X160" s="62">
        <f t="shared" si="125"/>
        <v>1208235.294117647</v>
      </c>
      <c r="Y160" s="62">
        <f t="shared" si="125"/>
        <v>1208235.294117647</v>
      </c>
      <c r="Z160" s="62">
        <f t="shared" si="125"/>
        <v>1208235.294117647</v>
      </c>
      <c r="AA160" s="62">
        <f t="shared" si="125"/>
        <v>1208235.294117647</v>
      </c>
      <c r="AB160" s="62">
        <f t="shared" si="125"/>
        <v>1208235.294117647</v>
      </c>
      <c r="AC160" s="62">
        <f t="shared" si="125"/>
        <v>1208235.294117647</v>
      </c>
    </row>
    <row r="161" spans="1:29" x14ac:dyDescent="0.3">
      <c r="A161" s="30" t="str">
        <f t="shared" ref="A161:AC161" si="126">A143</f>
        <v>Opex maintenance &amp; repair</v>
      </c>
      <c r="B161" s="62">
        <f t="shared" si="126"/>
        <v>488235.29411764705</v>
      </c>
      <c r="C161" s="62">
        <f t="shared" si="126"/>
        <v>488235.29411764705</v>
      </c>
      <c r="D161" s="62">
        <f t="shared" si="126"/>
        <v>488235.29411764705</v>
      </c>
      <c r="E161" s="62">
        <f t="shared" si="126"/>
        <v>488235.29411764705</v>
      </c>
      <c r="F161" s="62">
        <f t="shared" si="126"/>
        <v>488235.29411764705</v>
      </c>
      <c r="G161" s="62">
        <f t="shared" si="126"/>
        <v>488235.29411764705</v>
      </c>
      <c r="H161" s="62">
        <f t="shared" si="126"/>
        <v>488235.29411764705</v>
      </c>
      <c r="I161" s="62">
        <f t="shared" si="126"/>
        <v>488235.29411764705</v>
      </c>
      <c r="J161" s="62">
        <f t="shared" si="126"/>
        <v>488235.29411764705</v>
      </c>
      <c r="K161" s="62">
        <f t="shared" si="126"/>
        <v>488235.29411764705</v>
      </c>
      <c r="L161" s="62">
        <f t="shared" si="126"/>
        <v>488235.29411764705</v>
      </c>
      <c r="M161" s="62">
        <f t="shared" si="126"/>
        <v>488235.29411764705</v>
      </c>
      <c r="N161" s="62">
        <f t="shared" si="126"/>
        <v>488235.29411764705</v>
      </c>
      <c r="O161" s="62">
        <f t="shared" si="126"/>
        <v>488235.29411764705</v>
      </c>
      <c r="P161" s="62">
        <f t="shared" si="126"/>
        <v>488235.29411764705</v>
      </c>
      <c r="Q161" s="62">
        <f t="shared" si="126"/>
        <v>488235.29411764705</v>
      </c>
      <c r="R161" s="62">
        <f t="shared" si="126"/>
        <v>488235.29411764705</v>
      </c>
      <c r="S161" s="62">
        <f t="shared" si="126"/>
        <v>488235.29411764705</v>
      </c>
      <c r="T161" s="62">
        <f t="shared" si="126"/>
        <v>488235.29411764705</v>
      </c>
      <c r="U161" s="62">
        <f t="shared" si="126"/>
        <v>488235.29411764705</v>
      </c>
      <c r="V161" s="62">
        <f t="shared" si="126"/>
        <v>488235.29411764705</v>
      </c>
      <c r="W161" s="62">
        <f t="shared" si="126"/>
        <v>488235.29411764705</v>
      </c>
      <c r="X161" s="62">
        <f t="shared" si="126"/>
        <v>488235.29411764705</v>
      </c>
      <c r="Y161" s="62">
        <f t="shared" si="126"/>
        <v>488235.29411764705</v>
      </c>
      <c r="Z161" s="62">
        <f t="shared" si="126"/>
        <v>488235.29411764705</v>
      </c>
      <c r="AA161" s="62">
        <f t="shared" si="126"/>
        <v>488235.29411764705</v>
      </c>
      <c r="AB161" s="62">
        <f t="shared" si="126"/>
        <v>488235.29411764705</v>
      </c>
      <c r="AC161" s="62">
        <f t="shared" si="126"/>
        <v>488235.29411764705</v>
      </c>
    </row>
    <row r="162" spans="1:29" x14ac:dyDescent="0.3">
      <c r="A162" s="30" t="str">
        <f>A144</f>
        <v>Opex var (mode-fees)</v>
      </c>
      <c r="B162" s="62">
        <f>B144*B153</f>
        <v>202642.68757160378</v>
      </c>
      <c r="C162" s="62">
        <f t="shared" ref="C162:AC162" si="127">C144*C153</f>
        <v>202642.68757160378</v>
      </c>
      <c r="D162" s="62">
        <f t="shared" si="127"/>
        <v>202642.68757160378</v>
      </c>
      <c r="E162" s="62">
        <f t="shared" si="127"/>
        <v>202642.68757160378</v>
      </c>
      <c r="F162" s="62">
        <f t="shared" si="127"/>
        <v>202642.68757160378</v>
      </c>
      <c r="G162" s="62">
        <f t="shared" si="127"/>
        <v>202642.68757160378</v>
      </c>
      <c r="H162" s="62">
        <f t="shared" si="127"/>
        <v>202642.68757160378</v>
      </c>
      <c r="I162" s="62">
        <f t="shared" si="127"/>
        <v>202642.68757160378</v>
      </c>
      <c r="J162" s="62">
        <f t="shared" si="127"/>
        <v>202642.68757160378</v>
      </c>
      <c r="K162" s="62">
        <f t="shared" si="127"/>
        <v>202642.68757160378</v>
      </c>
      <c r="L162" s="62">
        <f t="shared" si="127"/>
        <v>202642.68757160378</v>
      </c>
      <c r="M162" s="62">
        <f t="shared" si="127"/>
        <v>202642.68757160378</v>
      </c>
      <c r="N162" s="62">
        <f t="shared" si="127"/>
        <v>202642.68757160378</v>
      </c>
      <c r="O162" s="62">
        <f t="shared" si="127"/>
        <v>202642.68757160378</v>
      </c>
      <c r="P162" s="62">
        <f t="shared" si="127"/>
        <v>202642.68757160378</v>
      </c>
      <c r="Q162" s="62">
        <f t="shared" si="127"/>
        <v>202642.68757160378</v>
      </c>
      <c r="R162" s="62">
        <f t="shared" si="127"/>
        <v>202642.68757160378</v>
      </c>
      <c r="S162" s="62">
        <f t="shared" si="127"/>
        <v>202642.68757160378</v>
      </c>
      <c r="T162" s="62">
        <f t="shared" si="127"/>
        <v>202642.68757160378</v>
      </c>
      <c r="U162" s="62">
        <f t="shared" si="127"/>
        <v>202642.68757160378</v>
      </c>
      <c r="V162" s="62">
        <f t="shared" si="127"/>
        <v>202642.68757160378</v>
      </c>
      <c r="W162" s="62">
        <f t="shared" si="127"/>
        <v>202642.68757160378</v>
      </c>
      <c r="X162" s="62">
        <f t="shared" si="127"/>
        <v>202642.68757160378</v>
      </c>
      <c r="Y162" s="62">
        <f t="shared" si="127"/>
        <v>202642.68757160378</v>
      </c>
      <c r="Z162" s="62">
        <f t="shared" si="127"/>
        <v>202642.68757160378</v>
      </c>
      <c r="AA162" s="62">
        <f t="shared" si="127"/>
        <v>202642.68757160378</v>
      </c>
      <c r="AB162" s="62">
        <f t="shared" si="127"/>
        <v>202642.68757160378</v>
      </c>
      <c r="AC162" s="62">
        <f t="shared" si="127"/>
        <v>202642.68757160378</v>
      </c>
    </row>
    <row r="163" spans="1:29" x14ac:dyDescent="0.3">
      <c r="A163" s="30" t="str">
        <f>A146</f>
        <v>Fuel Cost</v>
      </c>
      <c r="B163" s="62">
        <f>B145*B146*B153</f>
        <v>29991431.991873663</v>
      </c>
      <c r="C163" s="62">
        <f t="shared" ref="C163:AC163" si="128">C145*C146*C153</f>
        <v>29968114.314698085</v>
      </c>
      <c r="D163" s="62">
        <f t="shared" si="128"/>
        <v>29934740.684751838</v>
      </c>
      <c r="E163" s="62">
        <f t="shared" si="128"/>
        <v>29887007.811612926</v>
      </c>
      <c r="F163" s="62">
        <f t="shared" si="128"/>
        <v>29818808.360266693</v>
      </c>
      <c r="G163" s="62">
        <f t="shared" si="128"/>
        <v>29721516.53319443</v>
      </c>
      <c r="H163" s="62">
        <f t="shared" si="128"/>
        <v>29583037.475510988</v>
      </c>
      <c r="I163" s="62">
        <f t="shared" si="128"/>
        <v>29386595.450035024</v>
      </c>
      <c r="J163" s="62">
        <f t="shared" si="128"/>
        <v>29109300.558257189</v>
      </c>
      <c r="K163" s="62">
        <f t="shared" si="128"/>
        <v>28720689.26373022</v>
      </c>
      <c r="L163" s="62">
        <f t="shared" si="128"/>
        <v>28181748.307460666</v>
      </c>
      <c r="M163" s="62">
        <f t="shared" si="128"/>
        <v>27445470.276869237</v>
      </c>
      <c r="N163" s="62">
        <f t="shared" si="128"/>
        <v>26460708.646529499</v>
      </c>
      <c r="O163" s="62">
        <f t="shared" si="128"/>
        <v>25181591.944662549</v>
      </c>
      <c r="P163" s="62">
        <f t="shared" si="128"/>
        <v>23583910.045394987</v>
      </c>
      <c r="Q163" s="62">
        <f t="shared" si="128"/>
        <v>21686086.401195381</v>
      </c>
      <c r="R163" s="62">
        <f t="shared" si="128"/>
        <v>19565505.89743302</v>
      </c>
      <c r="S163" s="62">
        <f t="shared" si="128"/>
        <v>17356103.509958196</v>
      </c>
      <c r="T163" s="62">
        <f t="shared" si="128"/>
        <v>15219375.200884178</v>
      </c>
      <c r="U163" s="62">
        <f t="shared" si="128"/>
        <v>13299402.174854711</v>
      </c>
      <c r="V163" s="62">
        <f t="shared" si="128"/>
        <v>11686528.363004457</v>
      </c>
      <c r="W163" s="62">
        <f t="shared" si="128"/>
        <v>10407380.866965672</v>
      </c>
      <c r="X163" s="62">
        <f t="shared" si="128"/>
        <v>9438797.9871739205</v>
      </c>
      <c r="Y163" s="62">
        <f t="shared" si="128"/>
        <v>8730931.7213512529</v>
      </c>
      <c r="Z163" s="62">
        <f t="shared" si="128"/>
        <v>8226957.7716881558</v>
      </c>
      <c r="AA163" s="62">
        <f t="shared" si="128"/>
        <v>7874810.0692344503</v>
      </c>
      <c r="AB163" s="62">
        <f t="shared" si="128"/>
        <v>7631966.536955812</v>
      </c>
      <c r="AC163" s="62">
        <f t="shared" si="128"/>
        <v>7466017.8668123754</v>
      </c>
    </row>
    <row r="164" spans="1:29" ht="15" thickBot="1" x14ac:dyDescent="0.35">
      <c r="A164" s="59" t="str">
        <f>A127</f>
        <v>Emission Cost</v>
      </c>
      <c r="B164" s="62">
        <f>B147*B153</f>
        <v>378739.69366716623</v>
      </c>
      <c r="C164" s="62">
        <f t="shared" ref="C164:AC164" si="129">C147*C153</f>
        <v>378379.04119822913</v>
      </c>
      <c r="D164" s="62">
        <f t="shared" si="129"/>
        <v>377862.77522183186</v>
      </c>
      <c r="E164" s="62">
        <f t="shared" si="129"/>
        <v>377124.22043714899</v>
      </c>
      <c r="F164" s="62">
        <f t="shared" si="129"/>
        <v>376068.66267963283</v>
      </c>
      <c r="G164" s="62">
        <f t="shared" si="129"/>
        <v>374562.15364416625</v>
      </c>
      <c r="H164" s="62">
        <f t="shared" si="129"/>
        <v>372416.51519053977</v>
      </c>
      <c r="I164" s="62">
        <f t="shared" si="129"/>
        <v>369370.01616749936</v>
      </c>
      <c r="J164" s="62">
        <f t="shared" si="129"/>
        <v>365064.08254829637</v>
      </c>
      <c r="K164" s="62">
        <f t="shared" si="129"/>
        <v>359018.62943241297</v>
      </c>
      <c r="L164" s="62">
        <f t="shared" si="129"/>
        <v>350613.255033897</v>
      </c>
      <c r="M164" s="62">
        <f t="shared" si="129"/>
        <v>339089.80117921339</v>
      </c>
      <c r="N164" s="62">
        <f t="shared" si="129"/>
        <v>323603.51400191215</v>
      </c>
      <c r="O164" s="62">
        <f t="shared" si="129"/>
        <v>303359.94493051956</v>
      </c>
      <c r="P164" s="62">
        <f t="shared" si="129"/>
        <v>277866.59129237483</v>
      </c>
      <c r="Q164" s="62">
        <f t="shared" si="129"/>
        <v>247275.2987134319</v>
      </c>
      <c r="R164" s="62">
        <f t="shared" si="129"/>
        <v>212683.47102293672</v>
      </c>
      <c r="S164" s="62">
        <f t="shared" si="129"/>
        <v>176165.0204567787</v>
      </c>
      <c r="T164" s="62">
        <f t="shared" si="129"/>
        <v>140365.18469191671</v>
      </c>
      <c r="U164" s="62">
        <f t="shared" si="129"/>
        <v>107775.85730729303</v>
      </c>
      <c r="V164" s="62">
        <f t="shared" si="129"/>
        <v>80079.569839826625</v>
      </c>
      <c r="W164" s="62">
        <f t="shared" si="129"/>
        <v>57899.803702443598</v>
      </c>
      <c r="X164" s="62">
        <f t="shared" si="129"/>
        <v>40975.65773135038</v>
      </c>
      <c r="Y164" s="62">
        <f t="shared" si="129"/>
        <v>28535.053124127946</v>
      </c>
      <c r="Z164" s="62">
        <f t="shared" si="129"/>
        <v>19640.20080401509</v>
      </c>
      <c r="AA164" s="62">
        <f t="shared" si="129"/>
        <v>13406.222916297957</v>
      </c>
      <c r="AB164" s="62">
        <f t="shared" si="129"/>
        <v>9098.161025659123</v>
      </c>
      <c r="AC164" s="62">
        <f t="shared" si="129"/>
        <v>6149.9395949364907</v>
      </c>
    </row>
    <row r="165" spans="1:29" ht="15" thickBot="1" x14ac:dyDescent="0.35">
      <c r="A165" s="31" t="s">
        <v>209</v>
      </c>
      <c r="B165" s="64">
        <f>B156+B157+B158+B159+B160+B161+B162+B163+B164</f>
        <v>34069591.82410568</v>
      </c>
      <c r="C165" s="64">
        <f t="shared" ref="C165:AC165" si="130">C156+C157+C158+C159+C160+C161+C162+C163+C164</f>
        <v>34045539.999804601</v>
      </c>
      <c r="D165" s="64">
        <f t="shared" si="130"/>
        <v>34011115.454599991</v>
      </c>
      <c r="E165" s="64">
        <f t="shared" si="130"/>
        <v>33961879.173280336</v>
      </c>
      <c r="F165" s="64">
        <f t="shared" si="130"/>
        <v>33891531.019900337</v>
      </c>
      <c r="G165" s="64">
        <f t="shared" si="130"/>
        <v>33791172.530672118</v>
      </c>
      <c r="H165" s="64">
        <f t="shared" si="130"/>
        <v>33648325.79374402</v>
      </c>
      <c r="I165" s="64">
        <f t="shared" si="130"/>
        <v>33445682.289855275</v>
      </c>
      <c r="J165" s="64">
        <f t="shared" si="130"/>
        <v>33159622.204265002</v>
      </c>
      <c r="K165" s="64">
        <f t="shared" si="130"/>
        <v>32758704.735762563</v>
      </c>
      <c r="L165" s="64">
        <f t="shared" si="130"/>
        <v>32202653.730387617</v>
      </c>
      <c r="M165" s="64">
        <f t="shared" si="130"/>
        <v>31442918.462560911</v>
      </c>
      <c r="N165" s="64">
        <f t="shared" si="130"/>
        <v>30426632.818952881</v>
      </c>
      <c r="O165" s="64">
        <f t="shared" si="130"/>
        <v>29106308.141752787</v>
      </c>
      <c r="P165" s="64">
        <f t="shared" si="130"/>
        <v>27456731.762604978</v>
      </c>
      <c r="Q165" s="64">
        <f t="shared" si="130"/>
        <v>25496636.232180357</v>
      </c>
      <c r="R165" s="64">
        <f t="shared" si="130"/>
        <v>23305640.320089005</v>
      </c>
      <c r="S165" s="64">
        <f t="shared" si="130"/>
        <v>21021900.674948417</v>
      </c>
      <c r="T165" s="64">
        <f t="shared" si="130"/>
        <v>18812297.926395554</v>
      </c>
      <c r="U165" s="64">
        <f t="shared" si="130"/>
        <v>16825985.798093501</v>
      </c>
      <c r="V165" s="64">
        <f t="shared" si="130"/>
        <v>15156733.196181377</v>
      </c>
      <c r="W165" s="64">
        <f t="shared" si="130"/>
        <v>13832436.386172274</v>
      </c>
      <c r="X165" s="64">
        <f t="shared" si="130"/>
        <v>12829402.575951617</v>
      </c>
      <c r="Y165" s="64">
        <f t="shared" si="130"/>
        <v>12096212.113295088</v>
      </c>
      <c r="Z165" s="64">
        <f t="shared" si="130"/>
        <v>11574131.729252437</v>
      </c>
      <c r="AA165" s="64">
        <f t="shared" si="130"/>
        <v>11209294.090250563</v>
      </c>
      <c r="AB165" s="64">
        <f t="shared" si="130"/>
        <v>10957681.031832684</v>
      </c>
      <c r="AC165" s="64">
        <f t="shared" si="130"/>
        <v>10785730.937949914</v>
      </c>
    </row>
    <row r="166" spans="1:29" ht="15" thickBot="1" x14ac:dyDescent="0.35">
      <c r="AC166" s="32"/>
    </row>
    <row r="167" spans="1:29" ht="15" thickBot="1" x14ac:dyDescent="0.35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3">
      <c r="A168" s="29" t="str">
        <f t="shared" ref="A168:A175" si="131">A156</f>
        <v>Capex vehicle</v>
      </c>
      <c r="B168" s="65">
        <f>((1+B141)^B148)*B141/(((1+B141)^B148)-1)*(B137)/B153</f>
        <v>12.705398992482186</v>
      </c>
      <c r="C168" s="65">
        <f t="shared" ref="C168:AC168" si="132">((1+C141)^C148)*C141/(((1+C141)^C148)-1)*(C137)/C153</f>
        <v>12.702611718925683</v>
      </c>
      <c r="D168" s="65">
        <f t="shared" si="132"/>
        <v>12.698621798911065</v>
      </c>
      <c r="E168" s="65">
        <f t="shared" si="132"/>
        <v>12.692913937746427</v>
      </c>
      <c r="F168" s="65">
        <f t="shared" si="132"/>
        <v>12.684756144640067</v>
      </c>
      <c r="G168" s="65">
        <f t="shared" si="132"/>
        <v>12.673113210905095</v>
      </c>
      <c r="H168" s="65">
        <f t="shared" si="132"/>
        <v>12.656530816942187</v>
      </c>
      <c r="I168" s="65">
        <f t="shared" si="132"/>
        <v>12.632986194630686</v>
      </c>
      <c r="J168" s="65">
        <f t="shared" si="132"/>
        <v>12.599708133487129</v>
      </c>
      <c r="K168" s="65">
        <f t="shared" si="132"/>
        <v>12.55298633602753</v>
      </c>
      <c r="L168" s="65">
        <f t="shared" si="132"/>
        <v>12.48802607702101</v>
      </c>
      <c r="M168" s="65">
        <f t="shared" si="132"/>
        <v>12.398967992091194</v>
      </c>
      <c r="N168" s="65">
        <f t="shared" si="132"/>
        <v>12.27928346902409</v>
      </c>
      <c r="O168" s="65">
        <f t="shared" si="132"/>
        <v>12.122832676025958</v>
      </c>
      <c r="P168" s="65">
        <f t="shared" si="132"/>
        <v>11.925809345861026</v>
      </c>
      <c r="Q168" s="65">
        <f t="shared" si="132"/>
        <v>11.689387005218682</v>
      </c>
      <c r="R168" s="65">
        <f t="shared" si="132"/>
        <v>11.422046851200058</v>
      </c>
      <c r="S168" s="65">
        <f t="shared" si="132"/>
        <v>11.139816947471646</v>
      </c>
      <c r="T168" s="65">
        <f t="shared" si="132"/>
        <v>10.863140800352383</v>
      </c>
      <c r="U168" s="65">
        <f t="shared" si="132"/>
        <v>10.611276808651168</v>
      </c>
      <c r="V168" s="65">
        <f t="shared" si="132"/>
        <v>10.397228281827271</v>
      </c>
      <c r="W168" s="65">
        <f t="shared" si="132"/>
        <v>10.225813745760583</v>
      </c>
      <c r="X168" s="65">
        <f t="shared" si="132"/>
        <v>10.095016846821677</v>
      </c>
      <c r="Y168" s="65">
        <f t="shared" si="132"/>
        <v>9.9988706361751216</v>
      </c>
      <c r="Z168" s="65">
        <f t="shared" si="132"/>
        <v>9.930127486477792</v>
      </c>
      <c r="AA168" s="65">
        <f t="shared" si="132"/>
        <v>9.8819486905042879</v>
      </c>
      <c r="AB168" s="65">
        <f t="shared" si="132"/>
        <v>9.8486541811863653</v>
      </c>
      <c r="AC168" s="65">
        <f t="shared" si="132"/>
        <v>9.8258690893310732</v>
      </c>
    </row>
    <row r="169" spans="1:29" x14ac:dyDescent="0.3">
      <c r="A169" s="30" t="str">
        <f t="shared" si="131"/>
        <v>Residual value (vehicle)</v>
      </c>
      <c r="B169" s="66">
        <f>((1+B141)^B148)*B141/(((1+B141)^B148)-1)*(B138)/B153</f>
        <v>-0.63634373579283099</v>
      </c>
      <c r="C169" s="66">
        <f t="shared" ref="C169:AC169" si="133">((1+C141)^C148)*C141/(((1+C141)^C148)-1)*(C138)/C153</f>
        <v>-0.63666891770775647</v>
      </c>
      <c r="D169" s="66">
        <f t="shared" si="133"/>
        <v>-0.63713440837612878</v>
      </c>
      <c r="E169" s="66">
        <f t="shared" si="133"/>
        <v>-0.63780032551200283</v>
      </c>
      <c r="F169" s="66">
        <f t="shared" si="133"/>
        <v>-0.63875206804107831</v>
      </c>
      <c r="G169" s="66">
        <f t="shared" si="133"/>
        <v>-0.64011041031015858</v>
      </c>
      <c r="H169" s="66">
        <f t="shared" si="133"/>
        <v>-0.64204502293916443</v>
      </c>
      <c r="I169" s="66">
        <f t="shared" si="133"/>
        <v>-0.64479189554217275</v>
      </c>
      <c r="J169" s="66">
        <f t="shared" si="133"/>
        <v>-0.64867433600892122</v>
      </c>
      <c r="K169" s="66">
        <f t="shared" si="133"/>
        <v>-0.65412521237920762</v>
      </c>
      <c r="L169" s="66">
        <f t="shared" si="133"/>
        <v>-0.66170390926330158</v>
      </c>
      <c r="M169" s="66">
        <f t="shared" si="133"/>
        <v>-0.67209401917178002</v>
      </c>
      <c r="N169" s="66">
        <f t="shared" si="133"/>
        <v>-0.68605721352960891</v>
      </c>
      <c r="O169" s="66">
        <f t="shared" si="133"/>
        <v>-0.70430980604605786</v>
      </c>
      <c r="P169" s="66">
        <f t="shared" si="133"/>
        <v>-0.72729586123196666</v>
      </c>
      <c r="Q169" s="66">
        <f t="shared" si="133"/>
        <v>-0.75487846764023969</v>
      </c>
      <c r="R169" s="66">
        <f t="shared" si="133"/>
        <v>-0.786068152275746</v>
      </c>
      <c r="S169" s="66">
        <f t="shared" si="133"/>
        <v>-0.8189949743773941</v>
      </c>
      <c r="T169" s="66">
        <f t="shared" si="133"/>
        <v>-0.85127385820797485</v>
      </c>
      <c r="U169" s="66">
        <f t="shared" si="133"/>
        <v>-0.88065799057311644</v>
      </c>
      <c r="V169" s="66">
        <f t="shared" si="133"/>
        <v>-0.90563031870257138</v>
      </c>
      <c r="W169" s="66">
        <f t="shared" si="133"/>
        <v>-0.9256286812436848</v>
      </c>
      <c r="X169" s="66">
        <f t="shared" si="133"/>
        <v>-0.94088831945322393</v>
      </c>
      <c r="Y169" s="66">
        <f t="shared" si="133"/>
        <v>-0.95210537736198875</v>
      </c>
      <c r="Z169" s="66">
        <f t="shared" si="133"/>
        <v>-0.96012541149334374</v>
      </c>
      <c r="AA169" s="66">
        <f t="shared" si="133"/>
        <v>-0.96574627102358568</v>
      </c>
      <c r="AB169" s="66">
        <f t="shared" si="133"/>
        <v>-0.96963063044401021</v>
      </c>
      <c r="AC169" s="66">
        <f t="shared" si="133"/>
        <v>-0.97228889116046091</v>
      </c>
    </row>
    <row r="170" spans="1:29" x14ac:dyDescent="0.3">
      <c r="A170" s="30" t="str">
        <f t="shared" si="131"/>
        <v>Capex costumization</v>
      </c>
      <c r="B170" s="66">
        <f>((1+B141)^B149)*B141/(((1+B141)^B149)-1)*(B139)/B153</f>
        <v>3.2594465921780813</v>
      </c>
      <c r="C170" s="66">
        <f t="shared" ref="C170:AC170" si="134">((1+C141)^C149)*C141/(((1+C141)^C149)-1)*(C139)/C153</f>
        <v>3.2594465921780813</v>
      </c>
      <c r="D170" s="66">
        <f t="shared" si="134"/>
        <v>3.2594465921780813</v>
      </c>
      <c r="E170" s="66">
        <f t="shared" si="134"/>
        <v>3.2594465921780813</v>
      </c>
      <c r="F170" s="66">
        <f t="shared" si="134"/>
        <v>3.2594465921780813</v>
      </c>
      <c r="G170" s="66">
        <f t="shared" si="134"/>
        <v>3.2594465921780813</v>
      </c>
      <c r="H170" s="66">
        <f t="shared" si="134"/>
        <v>3.2594465921780813</v>
      </c>
      <c r="I170" s="66">
        <f t="shared" si="134"/>
        <v>3.2594465921780813</v>
      </c>
      <c r="J170" s="66">
        <f t="shared" si="134"/>
        <v>3.2594465921780813</v>
      </c>
      <c r="K170" s="66">
        <f t="shared" si="134"/>
        <v>3.2594465921780813</v>
      </c>
      <c r="L170" s="66">
        <f t="shared" si="134"/>
        <v>3.2594465921780813</v>
      </c>
      <c r="M170" s="66">
        <f t="shared" si="134"/>
        <v>3.2594465921780813</v>
      </c>
      <c r="N170" s="66">
        <f t="shared" si="134"/>
        <v>3.2594465921780813</v>
      </c>
      <c r="O170" s="66">
        <f t="shared" si="134"/>
        <v>3.2594465921780813</v>
      </c>
      <c r="P170" s="66">
        <f t="shared" si="134"/>
        <v>3.2594465921780813</v>
      </c>
      <c r="Q170" s="66">
        <f t="shared" si="134"/>
        <v>3.2594465921780813</v>
      </c>
      <c r="R170" s="66">
        <f t="shared" si="134"/>
        <v>3.2594465921780813</v>
      </c>
      <c r="S170" s="66">
        <f t="shared" si="134"/>
        <v>3.2594465921780813</v>
      </c>
      <c r="T170" s="66">
        <f t="shared" si="134"/>
        <v>3.2594465921780813</v>
      </c>
      <c r="U170" s="66">
        <f t="shared" si="134"/>
        <v>3.2594465921780813</v>
      </c>
      <c r="V170" s="66">
        <f t="shared" si="134"/>
        <v>3.2594465921780813</v>
      </c>
      <c r="W170" s="66">
        <f t="shared" si="134"/>
        <v>3.2594465921780813</v>
      </c>
      <c r="X170" s="66">
        <f t="shared" si="134"/>
        <v>3.2594465921780813</v>
      </c>
      <c r="Y170" s="66">
        <f t="shared" si="134"/>
        <v>3.2594465921780813</v>
      </c>
      <c r="Z170" s="66">
        <f t="shared" si="134"/>
        <v>3.2594465921780813</v>
      </c>
      <c r="AA170" s="66">
        <f t="shared" si="134"/>
        <v>3.2594465921780813</v>
      </c>
      <c r="AB170" s="66">
        <f t="shared" si="134"/>
        <v>3.2594465921780813</v>
      </c>
      <c r="AC170" s="66">
        <f t="shared" si="134"/>
        <v>3.2594465921780813</v>
      </c>
    </row>
    <row r="171" spans="1:29" x14ac:dyDescent="0.3">
      <c r="A171" s="30" t="str">
        <f t="shared" si="131"/>
        <v>Residual value (costumization)</v>
      </c>
      <c r="B171" s="66">
        <f>((1+B141)^B149)*B141/(((1+B141)^B149)-1)*(B140)/B153</f>
        <v>-0.32594465921780813</v>
      </c>
      <c r="C171" s="66">
        <f t="shared" ref="C171:AC171" si="135">((1+C141)^C149)*C141/(((1+C141)^C149)-1)*(C140)/C153</f>
        <v>-0.32594465921780813</v>
      </c>
      <c r="D171" s="66">
        <f t="shared" si="135"/>
        <v>-0.32594465921780813</v>
      </c>
      <c r="E171" s="66">
        <f t="shared" si="135"/>
        <v>-0.32594465921780813</v>
      </c>
      <c r="F171" s="66">
        <f t="shared" si="135"/>
        <v>-0.32594465921780813</v>
      </c>
      <c r="G171" s="66">
        <f t="shared" si="135"/>
        <v>-0.32594465921780813</v>
      </c>
      <c r="H171" s="66">
        <f t="shared" si="135"/>
        <v>-0.32594465921780813</v>
      </c>
      <c r="I171" s="66">
        <f t="shared" si="135"/>
        <v>-0.32594465921780813</v>
      </c>
      <c r="J171" s="66">
        <f t="shared" si="135"/>
        <v>-0.32594465921780813</v>
      </c>
      <c r="K171" s="66">
        <f t="shared" si="135"/>
        <v>-0.32594465921780813</v>
      </c>
      <c r="L171" s="66">
        <f t="shared" si="135"/>
        <v>-0.32594465921780813</v>
      </c>
      <c r="M171" s="66">
        <f t="shared" si="135"/>
        <v>-0.32594465921780813</v>
      </c>
      <c r="N171" s="66">
        <f t="shared" si="135"/>
        <v>-0.32594465921780813</v>
      </c>
      <c r="O171" s="66">
        <f t="shared" si="135"/>
        <v>-0.32594465921780813</v>
      </c>
      <c r="P171" s="66">
        <f t="shared" si="135"/>
        <v>-0.32594465921780813</v>
      </c>
      <c r="Q171" s="66">
        <f t="shared" si="135"/>
        <v>-0.32594465921780813</v>
      </c>
      <c r="R171" s="66">
        <f t="shared" si="135"/>
        <v>-0.32594465921780813</v>
      </c>
      <c r="S171" s="66">
        <f t="shared" si="135"/>
        <v>-0.32594465921780813</v>
      </c>
      <c r="T171" s="66">
        <f t="shared" si="135"/>
        <v>-0.32594465921780813</v>
      </c>
      <c r="U171" s="66">
        <f t="shared" si="135"/>
        <v>-0.32594465921780813</v>
      </c>
      <c r="V171" s="66">
        <f t="shared" si="135"/>
        <v>-0.32594465921780813</v>
      </c>
      <c r="W171" s="66">
        <f t="shared" si="135"/>
        <v>-0.32594465921780813</v>
      </c>
      <c r="X171" s="66">
        <f t="shared" si="135"/>
        <v>-0.32594465921780813</v>
      </c>
      <c r="Y171" s="66">
        <f t="shared" si="135"/>
        <v>-0.32594465921780813</v>
      </c>
      <c r="Z171" s="66">
        <f t="shared" si="135"/>
        <v>-0.32594465921780813</v>
      </c>
      <c r="AA171" s="66">
        <f t="shared" si="135"/>
        <v>-0.32594465921780813</v>
      </c>
      <c r="AB171" s="66">
        <f t="shared" si="135"/>
        <v>-0.32594465921780813</v>
      </c>
      <c r="AC171" s="66">
        <f t="shared" si="135"/>
        <v>-0.32594465921780813</v>
      </c>
    </row>
    <row r="172" spans="1:29" x14ac:dyDescent="0.3">
      <c r="A172" s="30" t="str">
        <f t="shared" si="131"/>
        <v>Opex fix (admin, crew, insurance)</v>
      </c>
      <c r="B172" s="66">
        <f>B142/B153</f>
        <v>10.068627450980392</v>
      </c>
      <c r="C172" s="66">
        <f t="shared" ref="C172:AC172" si="136">C142/C153</f>
        <v>10.068627450980392</v>
      </c>
      <c r="D172" s="66">
        <f t="shared" si="136"/>
        <v>10.068627450980392</v>
      </c>
      <c r="E172" s="66">
        <f t="shared" si="136"/>
        <v>10.068627450980392</v>
      </c>
      <c r="F172" s="66">
        <f t="shared" si="136"/>
        <v>10.068627450980392</v>
      </c>
      <c r="G172" s="66">
        <f t="shared" si="136"/>
        <v>10.068627450980392</v>
      </c>
      <c r="H172" s="66">
        <f t="shared" si="136"/>
        <v>10.068627450980392</v>
      </c>
      <c r="I172" s="66">
        <f t="shared" si="136"/>
        <v>10.068627450980392</v>
      </c>
      <c r="J172" s="66">
        <f t="shared" si="136"/>
        <v>10.068627450980392</v>
      </c>
      <c r="K172" s="66">
        <f t="shared" si="136"/>
        <v>10.068627450980392</v>
      </c>
      <c r="L172" s="66">
        <f t="shared" si="136"/>
        <v>10.068627450980392</v>
      </c>
      <c r="M172" s="66">
        <f t="shared" si="136"/>
        <v>10.068627450980392</v>
      </c>
      <c r="N172" s="66">
        <f t="shared" si="136"/>
        <v>10.068627450980392</v>
      </c>
      <c r="O172" s="66">
        <f t="shared" si="136"/>
        <v>10.068627450980392</v>
      </c>
      <c r="P172" s="66">
        <f t="shared" si="136"/>
        <v>10.068627450980392</v>
      </c>
      <c r="Q172" s="66">
        <f t="shared" si="136"/>
        <v>10.068627450980392</v>
      </c>
      <c r="R172" s="66">
        <f t="shared" si="136"/>
        <v>10.068627450980392</v>
      </c>
      <c r="S172" s="66">
        <f t="shared" si="136"/>
        <v>10.068627450980392</v>
      </c>
      <c r="T172" s="66">
        <f t="shared" si="136"/>
        <v>10.068627450980392</v>
      </c>
      <c r="U172" s="66">
        <f t="shared" si="136"/>
        <v>10.068627450980392</v>
      </c>
      <c r="V172" s="66">
        <f t="shared" si="136"/>
        <v>10.068627450980392</v>
      </c>
      <c r="W172" s="66">
        <f t="shared" si="136"/>
        <v>10.068627450980392</v>
      </c>
      <c r="X172" s="66">
        <f t="shared" si="136"/>
        <v>10.068627450980392</v>
      </c>
      <c r="Y172" s="66">
        <f t="shared" si="136"/>
        <v>10.068627450980392</v>
      </c>
      <c r="Z172" s="66">
        <f t="shared" si="136"/>
        <v>10.068627450980392</v>
      </c>
      <c r="AA172" s="66">
        <f t="shared" si="136"/>
        <v>10.068627450980392</v>
      </c>
      <c r="AB172" s="66">
        <f t="shared" si="136"/>
        <v>10.068627450980392</v>
      </c>
      <c r="AC172" s="66">
        <f t="shared" si="136"/>
        <v>10.068627450980392</v>
      </c>
    </row>
    <row r="173" spans="1:29" x14ac:dyDescent="0.3">
      <c r="A173" s="30" t="str">
        <f t="shared" si="131"/>
        <v>Opex maintenance &amp; repair</v>
      </c>
      <c r="B173" s="66">
        <f>B143/B153</f>
        <v>4.0686274509803919</v>
      </c>
      <c r="C173" s="66">
        <f t="shared" ref="C173:AC173" si="137">C143/C153</f>
        <v>4.0686274509803919</v>
      </c>
      <c r="D173" s="66">
        <f t="shared" si="137"/>
        <v>4.0686274509803919</v>
      </c>
      <c r="E173" s="66">
        <f t="shared" si="137"/>
        <v>4.0686274509803919</v>
      </c>
      <c r="F173" s="66">
        <f t="shared" si="137"/>
        <v>4.0686274509803919</v>
      </c>
      <c r="G173" s="66">
        <f t="shared" si="137"/>
        <v>4.0686274509803919</v>
      </c>
      <c r="H173" s="66">
        <f t="shared" si="137"/>
        <v>4.0686274509803919</v>
      </c>
      <c r="I173" s="66">
        <f t="shared" si="137"/>
        <v>4.0686274509803919</v>
      </c>
      <c r="J173" s="66">
        <f t="shared" si="137"/>
        <v>4.0686274509803919</v>
      </c>
      <c r="K173" s="66">
        <f t="shared" si="137"/>
        <v>4.0686274509803919</v>
      </c>
      <c r="L173" s="66">
        <f t="shared" si="137"/>
        <v>4.0686274509803919</v>
      </c>
      <c r="M173" s="66">
        <f t="shared" si="137"/>
        <v>4.0686274509803919</v>
      </c>
      <c r="N173" s="66">
        <f t="shared" si="137"/>
        <v>4.0686274509803919</v>
      </c>
      <c r="O173" s="66">
        <f t="shared" si="137"/>
        <v>4.0686274509803919</v>
      </c>
      <c r="P173" s="66">
        <f t="shared" si="137"/>
        <v>4.0686274509803919</v>
      </c>
      <c r="Q173" s="66">
        <f t="shared" si="137"/>
        <v>4.0686274509803919</v>
      </c>
      <c r="R173" s="66">
        <f t="shared" si="137"/>
        <v>4.0686274509803919</v>
      </c>
      <c r="S173" s="66">
        <f t="shared" si="137"/>
        <v>4.0686274509803919</v>
      </c>
      <c r="T173" s="66">
        <f t="shared" si="137"/>
        <v>4.0686274509803919</v>
      </c>
      <c r="U173" s="66">
        <f t="shared" si="137"/>
        <v>4.0686274509803919</v>
      </c>
      <c r="V173" s="66">
        <f t="shared" si="137"/>
        <v>4.0686274509803919</v>
      </c>
      <c r="W173" s="66">
        <f t="shared" si="137"/>
        <v>4.0686274509803919</v>
      </c>
      <c r="X173" s="66">
        <f t="shared" si="137"/>
        <v>4.0686274509803919</v>
      </c>
      <c r="Y173" s="66">
        <f t="shared" si="137"/>
        <v>4.0686274509803919</v>
      </c>
      <c r="Z173" s="66">
        <f t="shared" si="137"/>
        <v>4.0686274509803919</v>
      </c>
      <c r="AA173" s="66">
        <f t="shared" si="137"/>
        <v>4.0686274509803919</v>
      </c>
      <c r="AB173" s="66">
        <f t="shared" si="137"/>
        <v>4.0686274509803919</v>
      </c>
      <c r="AC173" s="66">
        <f t="shared" si="137"/>
        <v>4.0686274509803919</v>
      </c>
    </row>
    <row r="174" spans="1:29" x14ac:dyDescent="0.3">
      <c r="A174" s="30" t="str">
        <f t="shared" si="131"/>
        <v>Opex var (mode-fees)</v>
      </c>
      <c r="B174" s="66">
        <f>B144*B153/B153</f>
        <v>1.6886890630966982</v>
      </c>
      <c r="C174" s="66">
        <f t="shared" ref="C174:AC174" si="138">C144*C153/C153</f>
        <v>1.6886890630966982</v>
      </c>
      <c r="D174" s="66">
        <f t="shared" si="138"/>
        <v>1.6886890630966982</v>
      </c>
      <c r="E174" s="66">
        <f t="shared" si="138"/>
        <v>1.6886890630966982</v>
      </c>
      <c r="F174" s="66">
        <f t="shared" si="138"/>
        <v>1.6886890630966982</v>
      </c>
      <c r="G174" s="66">
        <f t="shared" si="138"/>
        <v>1.6886890630966982</v>
      </c>
      <c r="H174" s="66">
        <f t="shared" si="138"/>
        <v>1.6886890630966982</v>
      </c>
      <c r="I174" s="66">
        <f t="shared" si="138"/>
        <v>1.6886890630966982</v>
      </c>
      <c r="J174" s="66">
        <f t="shared" si="138"/>
        <v>1.6886890630966982</v>
      </c>
      <c r="K174" s="66">
        <f t="shared" si="138"/>
        <v>1.6886890630966982</v>
      </c>
      <c r="L174" s="66">
        <f t="shared" si="138"/>
        <v>1.6886890630966982</v>
      </c>
      <c r="M174" s="66">
        <f t="shared" si="138"/>
        <v>1.6886890630966982</v>
      </c>
      <c r="N174" s="66">
        <f t="shared" si="138"/>
        <v>1.6886890630966982</v>
      </c>
      <c r="O174" s="66">
        <f t="shared" si="138"/>
        <v>1.6886890630966982</v>
      </c>
      <c r="P174" s="66">
        <f t="shared" si="138"/>
        <v>1.6886890630966982</v>
      </c>
      <c r="Q174" s="66">
        <f t="shared" si="138"/>
        <v>1.6886890630966982</v>
      </c>
      <c r="R174" s="66">
        <f t="shared" si="138"/>
        <v>1.6886890630966982</v>
      </c>
      <c r="S174" s="66">
        <f t="shared" si="138"/>
        <v>1.6886890630966982</v>
      </c>
      <c r="T174" s="66">
        <f t="shared" si="138"/>
        <v>1.6886890630966982</v>
      </c>
      <c r="U174" s="66">
        <f t="shared" si="138"/>
        <v>1.6886890630966982</v>
      </c>
      <c r="V174" s="66">
        <f t="shared" si="138"/>
        <v>1.6886890630966982</v>
      </c>
      <c r="W174" s="66">
        <f t="shared" si="138"/>
        <v>1.6886890630966982</v>
      </c>
      <c r="X174" s="66">
        <f t="shared" si="138"/>
        <v>1.6886890630966982</v>
      </c>
      <c r="Y174" s="66">
        <f t="shared" si="138"/>
        <v>1.6886890630966982</v>
      </c>
      <c r="Z174" s="66">
        <f t="shared" si="138"/>
        <v>1.6886890630966982</v>
      </c>
      <c r="AA174" s="66">
        <f t="shared" si="138"/>
        <v>1.6886890630966982</v>
      </c>
      <c r="AB174" s="66">
        <f t="shared" si="138"/>
        <v>1.6886890630966982</v>
      </c>
      <c r="AC174" s="66">
        <f t="shared" si="138"/>
        <v>1.6886890630966982</v>
      </c>
    </row>
    <row r="175" spans="1:29" x14ac:dyDescent="0.3">
      <c r="A175" s="30" t="str">
        <f t="shared" si="131"/>
        <v>Fuel Cost</v>
      </c>
      <c r="B175" s="66">
        <f>B145*B146*B153/B153</f>
        <v>249.92859993228052</v>
      </c>
      <c r="C175" s="66">
        <f t="shared" ref="C175:AC175" si="139">C145*C146*C153/C153</f>
        <v>249.73428595581737</v>
      </c>
      <c r="D175" s="66">
        <f t="shared" si="139"/>
        <v>249.45617237293197</v>
      </c>
      <c r="E175" s="66">
        <f t="shared" si="139"/>
        <v>249.05839843010773</v>
      </c>
      <c r="F175" s="66">
        <f t="shared" si="139"/>
        <v>248.49006966888911</v>
      </c>
      <c r="G175" s="66">
        <f t="shared" si="139"/>
        <v>247.67930444328692</v>
      </c>
      <c r="H175" s="66">
        <f t="shared" si="139"/>
        <v>246.52531229592489</v>
      </c>
      <c r="I175" s="66">
        <f t="shared" si="139"/>
        <v>244.88829541695853</v>
      </c>
      <c r="J175" s="66">
        <f t="shared" si="139"/>
        <v>242.57750465214323</v>
      </c>
      <c r="K175" s="66">
        <f t="shared" si="139"/>
        <v>239.33907719775183</v>
      </c>
      <c r="L175" s="66">
        <f t="shared" si="139"/>
        <v>234.84790256217221</v>
      </c>
      <c r="M175" s="66">
        <f t="shared" si="139"/>
        <v>228.71225230724366</v>
      </c>
      <c r="N175" s="66">
        <f t="shared" si="139"/>
        <v>220.50590538774583</v>
      </c>
      <c r="O175" s="66">
        <f t="shared" si="139"/>
        <v>209.84659953885458</v>
      </c>
      <c r="P175" s="66">
        <f t="shared" si="139"/>
        <v>196.53258371162488</v>
      </c>
      <c r="Q175" s="66">
        <f t="shared" si="139"/>
        <v>180.71738667662817</v>
      </c>
      <c r="R175" s="66">
        <f t="shared" si="139"/>
        <v>163.04588247860849</v>
      </c>
      <c r="S175" s="66">
        <f t="shared" si="139"/>
        <v>144.6341959163183</v>
      </c>
      <c r="T175" s="66">
        <f t="shared" si="139"/>
        <v>126.82812667403482</v>
      </c>
      <c r="U175" s="66">
        <f t="shared" si="139"/>
        <v>110.82835145712259</v>
      </c>
      <c r="V175" s="66">
        <f t="shared" si="139"/>
        <v>97.387736358370475</v>
      </c>
      <c r="W175" s="66">
        <f t="shared" si="139"/>
        <v>86.728173891380607</v>
      </c>
      <c r="X175" s="66">
        <f t="shared" si="139"/>
        <v>78.656649893116011</v>
      </c>
      <c r="Y175" s="66">
        <f t="shared" si="139"/>
        <v>72.757764344593781</v>
      </c>
      <c r="Z175" s="66">
        <f t="shared" si="139"/>
        <v>68.557981430734628</v>
      </c>
      <c r="AA175" s="66">
        <f t="shared" si="139"/>
        <v>65.623417243620423</v>
      </c>
      <c r="AB175" s="66">
        <f t="shared" si="139"/>
        <v>63.599721141298431</v>
      </c>
      <c r="AC175" s="66">
        <f t="shared" si="139"/>
        <v>62.216815556769795</v>
      </c>
    </row>
    <row r="176" spans="1:29" ht="15" thickBot="1" x14ac:dyDescent="0.35">
      <c r="A176" s="59" t="str">
        <f t="shared" ref="A176" si="140">A164</f>
        <v>Emission Cost</v>
      </c>
      <c r="B176" s="66">
        <f>B147</f>
        <v>3.1561641138930518</v>
      </c>
      <c r="C176" s="66">
        <f t="shared" ref="C176:AC176" si="141">C147</f>
        <v>3.1531586766519095</v>
      </c>
      <c r="D176" s="66">
        <f t="shared" si="141"/>
        <v>3.148856460181932</v>
      </c>
      <c r="E176" s="66">
        <f t="shared" si="141"/>
        <v>3.1427018369762418</v>
      </c>
      <c r="F176" s="66">
        <f t="shared" si="141"/>
        <v>3.1339055223302736</v>
      </c>
      <c r="G176" s="66">
        <f t="shared" si="141"/>
        <v>3.1213512803680521</v>
      </c>
      <c r="H176" s="66">
        <f t="shared" si="141"/>
        <v>3.103470959921165</v>
      </c>
      <c r="I176" s="66">
        <f t="shared" si="141"/>
        <v>3.0780834680624944</v>
      </c>
      <c r="J176" s="66">
        <f t="shared" si="141"/>
        <v>3.0422006879024699</v>
      </c>
      <c r="K176" s="66">
        <f t="shared" si="141"/>
        <v>2.9918219119367748</v>
      </c>
      <c r="L176" s="66">
        <f t="shared" si="141"/>
        <v>2.9217771252824751</v>
      </c>
      <c r="M176" s="66">
        <f t="shared" si="141"/>
        <v>2.8257483431601118</v>
      </c>
      <c r="N176" s="66">
        <f t="shared" si="141"/>
        <v>2.6966959500159344</v>
      </c>
      <c r="O176" s="66">
        <f t="shared" si="141"/>
        <v>2.527999541087663</v>
      </c>
      <c r="P176" s="66">
        <f t="shared" si="141"/>
        <v>2.3155549274364571</v>
      </c>
      <c r="Q176" s="66">
        <f t="shared" si="141"/>
        <v>2.0606274892785992</v>
      </c>
      <c r="R176" s="66">
        <f t="shared" si="141"/>
        <v>1.7723622585244727</v>
      </c>
      <c r="S176" s="66">
        <f t="shared" si="141"/>
        <v>1.4680418371398225</v>
      </c>
      <c r="T176" s="66">
        <f t="shared" si="141"/>
        <v>1.1697098724326394</v>
      </c>
      <c r="U176" s="66">
        <f t="shared" si="141"/>
        <v>0.89813214422744192</v>
      </c>
      <c r="V176" s="66">
        <f t="shared" si="141"/>
        <v>0.66732974866522188</v>
      </c>
      <c r="W176" s="66">
        <f t="shared" si="141"/>
        <v>0.48249836418702996</v>
      </c>
      <c r="X176" s="66">
        <f t="shared" si="141"/>
        <v>0.34146381442791984</v>
      </c>
      <c r="Y176" s="66">
        <f t="shared" si="141"/>
        <v>0.23779210936773287</v>
      </c>
      <c r="Z176" s="66">
        <f t="shared" si="141"/>
        <v>0.16366834003345909</v>
      </c>
      <c r="AA176" s="66">
        <f t="shared" si="141"/>
        <v>0.11171852430248297</v>
      </c>
      <c r="AB176" s="66">
        <f t="shared" si="141"/>
        <v>7.5818008547159366E-2</v>
      </c>
      <c r="AC176" s="66">
        <f t="shared" si="141"/>
        <v>5.1249496624470758E-2</v>
      </c>
    </row>
    <row r="177" spans="1:29" ht="15" thickBot="1" x14ac:dyDescent="0.35">
      <c r="A177" s="31" t="s">
        <v>63</v>
      </c>
      <c r="B177" s="76">
        <f>B168+B169+B170-B171+B172+B173+B174+B175+B176</f>
        <v>284.56515451931631</v>
      </c>
      <c r="C177" s="76">
        <f t="shared" ref="C177:AC177" si="142">C168+C169+C170-C171+C172+C173+C174+C175+C176</f>
        <v>284.36472265014061</v>
      </c>
      <c r="D177" s="76">
        <f t="shared" si="142"/>
        <v>284.07785144010222</v>
      </c>
      <c r="E177" s="76">
        <f t="shared" si="142"/>
        <v>283.66754909577179</v>
      </c>
      <c r="F177" s="76">
        <f t="shared" si="142"/>
        <v>283.08131448427173</v>
      </c>
      <c r="G177" s="76">
        <f t="shared" si="142"/>
        <v>282.24499374070331</v>
      </c>
      <c r="H177" s="76">
        <f t="shared" si="142"/>
        <v>281.05460426630242</v>
      </c>
      <c r="I177" s="76">
        <f t="shared" si="142"/>
        <v>279.36590840056294</v>
      </c>
      <c r="J177" s="76">
        <f t="shared" si="142"/>
        <v>276.98207435397728</v>
      </c>
      <c r="K177" s="76">
        <f t="shared" si="142"/>
        <v>273.64109544979027</v>
      </c>
      <c r="L177" s="76">
        <f t="shared" si="142"/>
        <v>269.00733707166575</v>
      </c>
      <c r="M177" s="76">
        <f t="shared" si="142"/>
        <v>262.67620983977656</v>
      </c>
      <c r="N177" s="76">
        <f t="shared" si="142"/>
        <v>254.20716280970962</v>
      </c>
      <c r="O177" s="76">
        <f t="shared" si="142"/>
        <v>243.20445716637551</v>
      </c>
      <c r="P177" s="76">
        <f t="shared" si="142"/>
        <v>229.45798734014377</v>
      </c>
      <c r="Q177" s="76">
        <f t="shared" si="142"/>
        <v>213.12385791993859</v>
      </c>
      <c r="R177" s="76">
        <f t="shared" si="142"/>
        <v>194.86555865251066</v>
      </c>
      <c r="S177" s="76">
        <f t="shared" si="142"/>
        <v>175.83439494300575</v>
      </c>
      <c r="T177" s="76">
        <f t="shared" si="142"/>
        <v>157.42103870506523</v>
      </c>
      <c r="U177" s="76">
        <f t="shared" si="142"/>
        <v>140.86843763588146</v>
      </c>
      <c r="V177" s="76">
        <f t="shared" si="142"/>
        <v>126.95799928661377</v>
      </c>
      <c r="W177" s="76">
        <f t="shared" si="142"/>
        <v>115.92219253653791</v>
      </c>
      <c r="X177" s="76">
        <f t="shared" si="142"/>
        <v>107.56357745136576</v>
      </c>
      <c r="Y177" s="76">
        <f t="shared" si="142"/>
        <v>101.45365692922802</v>
      </c>
      <c r="Z177" s="76">
        <f t="shared" si="142"/>
        <v>97.102987062205898</v>
      </c>
      <c r="AA177" s="76">
        <f t="shared" si="142"/>
        <v>94.062673403856991</v>
      </c>
      <c r="AB177" s="76">
        <f t="shared" si="142"/>
        <v>91.965897917041318</v>
      </c>
      <c r="AC177" s="76">
        <f t="shared" si="142"/>
        <v>90.532980468018252</v>
      </c>
    </row>
    <row r="178" spans="1:29" ht="15" thickBot="1" x14ac:dyDescent="0.35"/>
    <row r="179" spans="1:29" ht="15" thickBot="1" x14ac:dyDescent="0.35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3">
      <c r="A180" s="29" t="str">
        <f t="shared" ref="A180:A187" si="143">A156</f>
        <v>Capex vehicle</v>
      </c>
      <c r="B180" s="65">
        <f>((1+B141)^B148)*B141/(((1+B141)^B148)-1)*(B137)/B153/(B150)</f>
        <v>1.3444866658711308E-3</v>
      </c>
      <c r="C180" s="65">
        <f t="shared" ref="C180:AC180" si="144">((1+C141)^C148)*C141/(((1+C141)^C148)-1)*(C137)/C153/(C150)</f>
        <v>1.344191716288432E-3</v>
      </c>
      <c r="D180" s="65">
        <f t="shared" si="144"/>
        <v>1.3437695025302714E-3</v>
      </c>
      <c r="E180" s="65">
        <f t="shared" si="144"/>
        <v>1.343165496057823E-3</v>
      </c>
      <c r="F180" s="65">
        <f t="shared" si="144"/>
        <v>1.3423022375280494E-3</v>
      </c>
      <c r="G180" s="65">
        <f t="shared" si="144"/>
        <v>1.3410701810481582E-3</v>
      </c>
      <c r="H180" s="65">
        <f t="shared" si="144"/>
        <v>1.3393154303642525E-3</v>
      </c>
      <c r="I180" s="65">
        <f t="shared" si="144"/>
        <v>1.3368239359397552E-3</v>
      </c>
      <c r="J180" s="65">
        <f t="shared" si="144"/>
        <v>1.3333024479880559E-3</v>
      </c>
      <c r="K180" s="65">
        <f t="shared" si="144"/>
        <v>1.3283583424367757E-3</v>
      </c>
      <c r="L180" s="65">
        <f t="shared" si="144"/>
        <v>1.3214842409546043E-3</v>
      </c>
      <c r="M180" s="65">
        <f t="shared" si="144"/>
        <v>1.3120601049831952E-3</v>
      </c>
      <c r="N180" s="65">
        <f t="shared" si="144"/>
        <v>1.2993950760872054E-3</v>
      </c>
      <c r="O180" s="65">
        <f t="shared" si="144"/>
        <v>1.2828394366165034E-3</v>
      </c>
      <c r="P180" s="65">
        <f t="shared" si="144"/>
        <v>1.2619904069694208E-3</v>
      </c>
      <c r="Q180" s="65">
        <f t="shared" si="144"/>
        <v>1.2369721698644108E-3</v>
      </c>
      <c r="R180" s="65">
        <f t="shared" si="144"/>
        <v>1.2086822064761966E-3</v>
      </c>
      <c r="S180" s="65">
        <f t="shared" si="144"/>
        <v>1.1788166081980577E-3</v>
      </c>
      <c r="T180" s="65">
        <f t="shared" si="144"/>
        <v>1.1495387090319981E-3</v>
      </c>
      <c r="U180" s="65">
        <f t="shared" si="144"/>
        <v>1.1228864347779014E-3</v>
      </c>
      <c r="V180" s="65">
        <f t="shared" si="144"/>
        <v>1.1002357970187589E-3</v>
      </c>
      <c r="W180" s="65">
        <f t="shared" si="144"/>
        <v>1.0820966926730776E-3</v>
      </c>
      <c r="X180" s="65">
        <f t="shared" si="144"/>
        <v>1.0682557509864208E-3</v>
      </c>
      <c r="Y180" s="65">
        <f t="shared" si="144"/>
        <v>1.0580815488016001E-3</v>
      </c>
      <c r="Z180" s="65">
        <f t="shared" si="144"/>
        <v>1.0508071414262214E-3</v>
      </c>
      <c r="AA180" s="65">
        <f t="shared" si="144"/>
        <v>1.0457088561380199E-3</v>
      </c>
      <c r="AB180" s="65">
        <f t="shared" si="144"/>
        <v>1.0421856276387688E-3</v>
      </c>
      <c r="AC180" s="65">
        <f t="shared" si="144"/>
        <v>1.0397745068075209E-3</v>
      </c>
    </row>
    <row r="181" spans="1:29" x14ac:dyDescent="0.3">
      <c r="A181" s="30" t="str">
        <f t="shared" si="143"/>
        <v>Residual value (vehicle)</v>
      </c>
      <c r="B181" s="68">
        <f>((1+B141)^B148)*B141/(((1+B141)^B148)-1)*(B138)/B153/(B150)</f>
        <v>-6.7337961459558828E-5</v>
      </c>
      <c r="C181" s="68">
        <f t="shared" ref="C181:AC181" si="145">((1+C141)^C148)*C141/(((1+C141)^C148)-1)*(C138)/C153/(C150)</f>
        <v>-6.7372372244207035E-5</v>
      </c>
      <c r="D181" s="68">
        <f t="shared" si="145"/>
        <v>-6.7421630515992462E-5</v>
      </c>
      <c r="E181" s="68">
        <f t="shared" si="145"/>
        <v>-6.7492097937778083E-5</v>
      </c>
      <c r="F181" s="68">
        <f t="shared" si="145"/>
        <v>-6.7592811432918334E-5</v>
      </c>
      <c r="G181" s="68">
        <f t="shared" si="145"/>
        <v>-6.773655135557234E-5</v>
      </c>
      <c r="H181" s="68">
        <f t="shared" si="145"/>
        <v>-6.7941272268694643E-5</v>
      </c>
      <c r="I181" s="68">
        <f t="shared" si="145"/>
        <v>-6.8231946618219335E-5</v>
      </c>
      <c r="J181" s="68">
        <f t="shared" si="145"/>
        <v>-6.8642786879250924E-5</v>
      </c>
      <c r="K181" s="68">
        <f t="shared" si="145"/>
        <v>-6.9219599193566945E-5</v>
      </c>
      <c r="L181" s="68">
        <f t="shared" si="145"/>
        <v>-7.0021577699820272E-5</v>
      </c>
      <c r="M181" s="68">
        <f t="shared" si="145"/>
        <v>-7.1121060229817985E-5</v>
      </c>
      <c r="N181" s="68">
        <f t="shared" si="145"/>
        <v>-7.2598646934350151E-5</v>
      </c>
      <c r="O181" s="68">
        <f t="shared" si="145"/>
        <v>-7.4530138205932043E-5</v>
      </c>
      <c r="P181" s="68">
        <f t="shared" si="145"/>
        <v>-7.6962524998091712E-5</v>
      </c>
      <c r="Q181" s="68">
        <f t="shared" si="145"/>
        <v>-7.9881319327009486E-5</v>
      </c>
      <c r="R181" s="68">
        <f t="shared" si="145"/>
        <v>-8.3181815055634491E-5</v>
      </c>
      <c r="S181" s="68">
        <f t="shared" si="145"/>
        <v>-8.6666134854750698E-5</v>
      </c>
      <c r="T181" s="68">
        <f t="shared" si="145"/>
        <v>-9.008188975745766E-5</v>
      </c>
      <c r="U181" s="68">
        <f t="shared" si="145"/>
        <v>-9.3191321753768942E-5</v>
      </c>
      <c r="V181" s="68">
        <f t="shared" si="145"/>
        <v>-9.583389615900226E-5</v>
      </c>
      <c r="W181" s="68">
        <f t="shared" si="145"/>
        <v>-9.7950124999331722E-5</v>
      </c>
      <c r="X181" s="68">
        <f t="shared" si="145"/>
        <v>-9.9564901529441686E-5</v>
      </c>
      <c r="Y181" s="68">
        <f t="shared" si="145"/>
        <v>-1.0075189178433743E-4</v>
      </c>
      <c r="Z181" s="68">
        <f t="shared" si="145"/>
        <v>-1.0160057264479828E-4</v>
      </c>
      <c r="AA181" s="68">
        <f t="shared" si="145"/>
        <v>-1.0219537259508843E-4</v>
      </c>
      <c r="AB181" s="68">
        <f t="shared" si="145"/>
        <v>-1.0260641592000108E-4</v>
      </c>
      <c r="AC181" s="68">
        <f t="shared" si="145"/>
        <v>-1.0288771335031333E-4</v>
      </c>
    </row>
    <row r="182" spans="1:29" x14ac:dyDescent="0.3">
      <c r="A182" s="30" t="str">
        <f t="shared" si="143"/>
        <v>Capex costumization</v>
      </c>
      <c r="B182" s="66">
        <f>((1+B141)^B149)*B141/(((1+B141)^B149)-1)*(B139)/B153/(B150)</f>
        <v>3.4491498329926784E-4</v>
      </c>
      <c r="C182" s="66">
        <f t="shared" ref="C182:AC182" si="146">((1+C141)^C149)*C141/(((1+C141)^C149)-1)*(C139)/C153/(C150)</f>
        <v>3.4491498329926784E-4</v>
      </c>
      <c r="D182" s="66">
        <f t="shared" si="146"/>
        <v>3.4491498329926784E-4</v>
      </c>
      <c r="E182" s="66">
        <f t="shared" si="146"/>
        <v>3.4491498329926784E-4</v>
      </c>
      <c r="F182" s="66">
        <f t="shared" si="146"/>
        <v>3.4491498329926784E-4</v>
      </c>
      <c r="G182" s="66">
        <f t="shared" si="146"/>
        <v>3.4491498329926784E-4</v>
      </c>
      <c r="H182" s="66">
        <f t="shared" si="146"/>
        <v>3.4491498329926784E-4</v>
      </c>
      <c r="I182" s="66">
        <f t="shared" si="146"/>
        <v>3.4491498329926784E-4</v>
      </c>
      <c r="J182" s="66">
        <f t="shared" si="146"/>
        <v>3.4491498329926784E-4</v>
      </c>
      <c r="K182" s="66">
        <f t="shared" si="146"/>
        <v>3.4491498329926784E-4</v>
      </c>
      <c r="L182" s="66">
        <f t="shared" si="146"/>
        <v>3.4491498329926784E-4</v>
      </c>
      <c r="M182" s="66">
        <f t="shared" si="146"/>
        <v>3.4491498329926784E-4</v>
      </c>
      <c r="N182" s="66">
        <f t="shared" si="146"/>
        <v>3.4491498329926784E-4</v>
      </c>
      <c r="O182" s="66">
        <f t="shared" si="146"/>
        <v>3.4491498329926784E-4</v>
      </c>
      <c r="P182" s="66">
        <f t="shared" si="146"/>
        <v>3.4491498329926784E-4</v>
      </c>
      <c r="Q182" s="66">
        <f t="shared" si="146"/>
        <v>3.4491498329926784E-4</v>
      </c>
      <c r="R182" s="66">
        <f t="shared" si="146"/>
        <v>3.4491498329926784E-4</v>
      </c>
      <c r="S182" s="66">
        <f t="shared" si="146"/>
        <v>3.4491498329926784E-4</v>
      </c>
      <c r="T182" s="66">
        <f t="shared" si="146"/>
        <v>3.4491498329926784E-4</v>
      </c>
      <c r="U182" s="66">
        <f t="shared" si="146"/>
        <v>3.4491498329926784E-4</v>
      </c>
      <c r="V182" s="66">
        <f t="shared" si="146"/>
        <v>3.4491498329926784E-4</v>
      </c>
      <c r="W182" s="66">
        <f t="shared" si="146"/>
        <v>3.4491498329926784E-4</v>
      </c>
      <c r="X182" s="66">
        <f t="shared" si="146"/>
        <v>3.4491498329926784E-4</v>
      </c>
      <c r="Y182" s="66">
        <f t="shared" si="146"/>
        <v>3.4491498329926784E-4</v>
      </c>
      <c r="Z182" s="66">
        <f t="shared" si="146"/>
        <v>3.4491498329926784E-4</v>
      </c>
      <c r="AA182" s="66">
        <f t="shared" si="146"/>
        <v>3.4491498329926784E-4</v>
      </c>
      <c r="AB182" s="66">
        <f t="shared" si="146"/>
        <v>3.4491498329926784E-4</v>
      </c>
      <c r="AC182" s="66">
        <f t="shared" si="146"/>
        <v>3.4491498329926784E-4</v>
      </c>
    </row>
    <row r="183" spans="1:29" x14ac:dyDescent="0.3">
      <c r="A183" s="30" t="str">
        <f t="shared" si="143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7">((1+C141)^C149)*C141/(((1+C141)^C149)-1)*(C140)/C153/(C150)</f>
        <v>-3.4491498329926788E-5</v>
      </c>
      <c r="D183" s="69">
        <f t="shared" si="147"/>
        <v>-3.4491498329926788E-5</v>
      </c>
      <c r="E183" s="69">
        <f t="shared" si="147"/>
        <v>-3.4491498329926788E-5</v>
      </c>
      <c r="F183" s="69">
        <f t="shared" si="147"/>
        <v>-3.4491498329926788E-5</v>
      </c>
      <c r="G183" s="69">
        <f t="shared" si="147"/>
        <v>-3.4491498329926788E-5</v>
      </c>
      <c r="H183" s="69">
        <f t="shared" si="147"/>
        <v>-3.4491498329926788E-5</v>
      </c>
      <c r="I183" s="69">
        <f t="shared" si="147"/>
        <v>-3.4491498329926788E-5</v>
      </c>
      <c r="J183" s="69">
        <f t="shared" si="147"/>
        <v>-3.4491498329926788E-5</v>
      </c>
      <c r="K183" s="69">
        <f t="shared" si="147"/>
        <v>-3.4491498329926788E-5</v>
      </c>
      <c r="L183" s="69">
        <f t="shared" si="147"/>
        <v>-3.4491498329926788E-5</v>
      </c>
      <c r="M183" s="69">
        <f t="shared" si="147"/>
        <v>-3.4491498329926788E-5</v>
      </c>
      <c r="N183" s="69">
        <f t="shared" si="147"/>
        <v>-3.4491498329926788E-5</v>
      </c>
      <c r="O183" s="69">
        <f t="shared" si="147"/>
        <v>-3.4491498329926788E-5</v>
      </c>
      <c r="P183" s="69">
        <f t="shared" si="147"/>
        <v>-3.4491498329926788E-5</v>
      </c>
      <c r="Q183" s="69">
        <f t="shared" si="147"/>
        <v>-3.4491498329926788E-5</v>
      </c>
      <c r="R183" s="69">
        <f t="shared" si="147"/>
        <v>-3.4491498329926788E-5</v>
      </c>
      <c r="S183" s="69">
        <f t="shared" si="147"/>
        <v>-3.4491498329926788E-5</v>
      </c>
      <c r="T183" s="69">
        <f t="shared" si="147"/>
        <v>-3.4491498329926788E-5</v>
      </c>
      <c r="U183" s="69">
        <f t="shared" si="147"/>
        <v>-3.4491498329926788E-5</v>
      </c>
      <c r="V183" s="69">
        <f t="shared" si="147"/>
        <v>-3.4491498329926788E-5</v>
      </c>
      <c r="W183" s="69">
        <f t="shared" si="147"/>
        <v>-3.4491498329926788E-5</v>
      </c>
      <c r="X183" s="69">
        <f t="shared" si="147"/>
        <v>-3.4491498329926788E-5</v>
      </c>
      <c r="Y183" s="69">
        <f t="shared" si="147"/>
        <v>-3.4491498329926788E-5</v>
      </c>
      <c r="Z183" s="69">
        <f t="shared" si="147"/>
        <v>-3.4491498329926788E-5</v>
      </c>
      <c r="AA183" s="69">
        <f t="shared" si="147"/>
        <v>-3.4491498329926788E-5</v>
      </c>
      <c r="AB183" s="69">
        <f t="shared" si="147"/>
        <v>-3.4491498329926788E-5</v>
      </c>
      <c r="AC183" s="69">
        <f t="shared" si="147"/>
        <v>-3.4491498329926788E-5</v>
      </c>
    </row>
    <row r="184" spans="1:29" x14ac:dyDescent="0.3">
      <c r="A184" s="30" t="str">
        <f t="shared" si="143"/>
        <v>Opex fix (admin, crew, insurance)</v>
      </c>
      <c r="B184" s="66">
        <f>B142/B153/(B150)</f>
        <v>1.0654632223259673E-3</v>
      </c>
      <c r="C184" s="66">
        <f t="shared" ref="C184:AC184" si="148">C142/C153/(C150)</f>
        <v>1.0654632223259673E-3</v>
      </c>
      <c r="D184" s="66">
        <f t="shared" si="148"/>
        <v>1.0654632223259673E-3</v>
      </c>
      <c r="E184" s="66">
        <f t="shared" si="148"/>
        <v>1.0654632223259673E-3</v>
      </c>
      <c r="F184" s="66">
        <f t="shared" si="148"/>
        <v>1.0654632223259673E-3</v>
      </c>
      <c r="G184" s="66">
        <f t="shared" si="148"/>
        <v>1.0654632223259673E-3</v>
      </c>
      <c r="H184" s="66">
        <f t="shared" si="148"/>
        <v>1.0654632223259673E-3</v>
      </c>
      <c r="I184" s="66">
        <f t="shared" si="148"/>
        <v>1.0654632223259673E-3</v>
      </c>
      <c r="J184" s="66">
        <f t="shared" si="148"/>
        <v>1.0654632223259673E-3</v>
      </c>
      <c r="K184" s="66">
        <f t="shared" si="148"/>
        <v>1.0654632223259673E-3</v>
      </c>
      <c r="L184" s="66">
        <f t="shared" si="148"/>
        <v>1.0654632223259673E-3</v>
      </c>
      <c r="M184" s="66">
        <f t="shared" si="148"/>
        <v>1.0654632223259673E-3</v>
      </c>
      <c r="N184" s="66">
        <f t="shared" si="148"/>
        <v>1.0654632223259673E-3</v>
      </c>
      <c r="O184" s="66">
        <f t="shared" si="148"/>
        <v>1.0654632223259673E-3</v>
      </c>
      <c r="P184" s="66">
        <f t="shared" si="148"/>
        <v>1.0654632223259673E-3</v>
      </c>
      <c r="Q184" s="66">
        <f t="shared" si="148"/>
        <v>1.0654632223259673E-3</v>
      </c>
      <c r="R184" s="66">
        <f t="shared" si="148"/>
        <v>1.0654632223259673E-3</v>
      </c>
      <c r="S184" s="66">
        <f t="shared" si="148"/>
        <v>1.0654632223259673E-3</v>
      </c>
      <c r="T184" s="66">
        <f t="shared" si="148"/>
        <v>1.0654632223259673E-3</v>
      </c>
      <c r="U184" s="66">
        <f t="shared" si="148"/>
        <v>1.0654632223259673E-3</v>
      </c>
      <c r="V184" s="66">
        <f t="shared" si="148"/>
        <v>1.0654632223259673E-3</v>
      </c>
      <c r="W184" s="66">
        <f t="shared" si="148"/>
        <v>1.0654632223259673E-3</v>
      </c>
      <c r="X184" s="66">
        <f t="shared" si="148"/>
        <v>1.0654632223259673E-3</v>
      </c>
      <c r="Y184" s="66">
        <f t="shared" si="148"/>
        <v>1.0654632223259673E-3</v>
      </c>
      <c r="Z184" s="66">
        <f t="shared" si="148"/>
        <v>1.0654632223259673E-3</v>
      </c>
      <c r="AA184" s="66">
        <f t="shared" si="148"/>
        <v>1.0654632223259673E-3</v>
      </c>
      <c r="AB184" s="66">
        <f t="shared" si="148"/>
        <v>1.0654632223259673E-3</v>
      </c>
      <c r="AC184" s="66">
        <f t="shared" si="148"/>
        <v>1.0654632223259673E-3</v>
      </c>
    </row>
    <row r="185" spans="1:29" x14ac:dyDescent="0.3">
      <c r="A185" s="30" t="str">
        <f t="shared" si="143"/>
        <v>Opex maintenance &amp; repair</v>
      </c>
      <c r="B185" s="66">
        <f>B143/B153/(B150)</f>
        <v>4.305425874053325E-4</v>
      </c>
      <c r="C185" s="66">
        <f t="shared" ref="C185:AC185" si="149">C143/C153/(C150)</f>
        <v>4.305425874053325E-4</v>
      </c>
      <c r="D185" s="66">
        <f t="shared" si="149"/>
        <v>4.305425874053325E-4</v>
      </c>
      <c r="E185" s="66">
        <f t="shared" si="149"/>
        <v>4.305425874053325E-4</v>
      </c>
      <c r="F185" s="66">
        <f t="shared" si="149"/>
        <v>4.305425874053325E-4</v>
      </c>
      <c r="G185" s="66">
        <f t="shared" si="149"/>
        <v>4.305425874053325E-4</v>
      </c>
      <c r="H185" s="66">
        <f t="shared" si="149"/>
        <v>4.305425874053325E-4</v>
      </c>
      <c r="I185" s="66">
        <f t="shared" si="149"/>
        <v>4.305425874053325E-4</v>
      </c>
      <c r="J185" s="66">
        <f t="shared" si="149"/>
        <v>4.305425874053325E-4</v>
      </c>
      <c r="K185" s="66">
        <f t="shared" si="149"/>
        <v>4.305425874053325E-4</v>
      </c>
      <c r="L185" s="66">
        <f t="shared" si="149"/>
        <v>4.305425874053325E-4</v>
      </c>
      <c r="M185" s="66">
        <f t="shared" si="149"/>
        <v>4.305425874053325E-4</v>
      </c>
      <c r="N185" s="66">
        <f t="shared" si="149"/>
        <v>4.305425874053325E-4</v>
      </c>
      <c r="O185" s="66">
        <f t="shared" si="149"/>
        <v>4.305425874053325E-4</v>
      </c>
      <c r="P185" s="66">
        <f t="shared" si="149"/>
        <v>4.305425874053325E-4</v>
      </c>
      <c r="Q185" s="66">
        <f t="shared" si="149"/>
        <v>4.305425874053325E-4</v>
      </c>
      <c r="R185" s="66">
        <f t="shared" si="149"/>
        <v>4.305425874053325E-4</v>
      </c>
      <c r="S185" s="66">
        <f t="shared" si="149"/>
        <v>4.305425874053325E-4</v>
      </c>
      <c r="T185" s="66">
        <f t="shared" si="149"/>
        <v>4.305425874053325E-4</v>
      </c>
      <c r="U185" s="66">
        <f t="shared" si="149"/>
        <v>4.305425874053325E-4</v>
      </c>
      <c r="V185" s="66">
        <f t="shared" si="149"/>
        <v>4.305425874053325E-4</v>
      </c>
      <c r="W185" s="66">
        <f t="shared" si="149"/>
        <v>4.305425874053325E-4</v>
      </c>
      <c r="X185" s="66">
        <f t="shared" si="149"/>
        <v>4.305425874053325E-4</v>
      </c>
      <c r="Y185" s="66">
        <f t="shared" si="149"/>
        <v>4.305425874053325E-4</v>
      </c>
      <c r="Z185" s="66">
        <f t="shared" si="149"/>
        <v>4.305425874053325E-4</v>
      </c>
      <c r="AA185" s="66">
        <f t="shared" si="149"/>
        <v>4.305425874053325E-4</v>
      </c>
      <c r="AB185" s="66">
        <f t="shared" si="149"/>
        <v>4.305425874053325E-4</v>
      </c>
      <c r="AC185" s="66">
        <f t="shared" si="149"/>
        <v>4.305425874053325E-4</v>
      </c>
    </row>
    <row r="186" spans="1:29" x14ac:dyDescent="0.3">
      <c r="A186" s="30" t="str">
        <f t="shared" si="143"/>
        <v>Opex var (mode-fees)</v>
      </c>
      <c r="B186" s="66">
        <f>B144*B153/B153/(B150)</f>
        <v>1.7869725535414797E-4</v>
      </c>
      <c r="C186" s="66">
        <f t="shared" ref="C186:AC186" si="150">C144*C153/C153/(C150)</f>
        <v>1.7869725535414797E-4</v>
      </c>
      <c r="D186" s="66">
        <f t="shared" si="150"/>
        <v>1.7869725535414797E-4</v>
      </c>
      <c r="E186" s="66">
        <f t="shared" si="150"/>
        <v>1.7869725535414797E-4</v>
      </c>
      <c r="F186" s="66">
        <f t="shared" si="150"/>
        <v>1.7869725535414797E-4</v>
      </c>
      <c r="G186" s="66">
        <f t="shared" si="150"/>
        <v>1.7869725535414797E-4</v>
      </c>
      <c r="H186" s="66">
        <f t="shared" si="150"/>
        <v>1.7869725535414797E-4</v>
      </c>
      <c r="I186" s="66">
        <f t="shared" si="150"/>
        <v>1.7869725535414797E-4</v>
      </c>
      <c r="J186" s="66">
        <f t="shared" si="150"/>
        <v>1.7869725535414797E-4</v>
      </c>
      <c r="K186" s="66">
        <f t="shared" si="150"/>
        <v>1.7869725535414797E-4</v>
      </c>
      <c r="L186" s="66">
        <f t="shared" si="150"/>
        <v>1.7869725535414797E-4</v>
      </c>
      <c r="M186" s="66">
        <f t="shared" si="150"/>
        <v>1.7869725535414797E-4</v>
      </c>
      <c r="N186" s="66">
        <f t="shared" si="150"/>
        <v>1.7869725535414797E-4</v>
      </c>
      <c r="O186" s="66">
        <f t="shared" si="150"/>
        <v>1.7869725535414797E-4</v>
      </c>
      <c r="P186" s="66">
        <f t="shared" si="150"/>
        <v>1.7869725535414797E-4</v>
      </c>
      <c r="Q186" s="66">
        <f t="shared" si="150"/>
        <v>1.7869725535414797E-4</v>
      </c>
      <c r="R186" s="66">
        <f t="shared" si="150"/>
        <v>1.7869725535414797E-4</v>
      </c>
      <c r="S186" s="66">
        <f t="shared" si="150"/>
        <v>1.7869725535414797E-4</v>
      </c>
      <c r="T186" s="66">
        <f t="shared" si="150"/>
        <v>1.7869725535414797E-4</v>
      </c>
      <c r="U186" s="66">
        <f t="shared" si="150"/>
        <v>1.7869725535414797E-4</v>
      </c>
      <c r="V186" s="66">
        <f t="shared" si="150"/>
        <v>1.7869725535414797E-4</v>
      </c>
      <c r="W186" s="66">
        <f t="shared" si="150"/>
        <v>1.7869725535414797E-4</v>
      </c>
      <c r="X186" s="66">
        <f t="shared" si="150"/>
        <v>1.7869725535414797E-4</v>
      </c>
      <c r="Y186" s="66">
        <f t="shared" si="150"/>
        <v>1.7869725535414797E-4</v>
      </c>
      <c r="Z186" s="66">
        <f t="shared" si="150"/>
        <v>1.7869725535414797E-4</v>
      </c>
      <c r="AA186" s="66">
        <f t="shared" si="150"/>
        <v>1.7869725535414797E-4</v>
      </c>
      <c r="AB186" s="66">
        <f t="shared" si="150"/>
        <v>1.7869725535414797E-4</v>
      </c>
      <c r="AC186" s="66">
        <f t="shared" si="150"/>
        <v>1.7869725535414797E-4</v>
      </c>
    </row>
    <row r="187" spans="1:29" x14ac:dyDescent="0.3">
      <c r="A187" s="30" t="str">
        <f t="shared" si="143"/>
        <v>Fuel Cost</v>
      </c>
      <c r="B187" s="66">
        <f>B145*B146*B153/B153/(B150)</f>
        <v>2.6447470892304818E-2</v>
      </c>
      <c r="C187" s="66">
        <f t="shared" ref="C187:AC187" si="151">C145*C146*C153/C153/(C150)</f>
        <v>2.6426908566753161E-2</v>
      </c>
      <c r="D187" s="66">
        <f t="shared" si="151"/>
        <v>2.6397478557982218E-2</v>
      </c>
      <c r="E187" s="66">
        <f t="shared" si="151"/>
        <v>2.6355386077260078E-2</v>
      </c>
      <c r="F187" s="66">
        <f t="shared" si="151"/>
        <v>2.6295245467607312E-2</v>
      </c>
      <c r="G187" s="66">
        <f t="shared" si="151"/>
        <v>2.6209450205638828E-2</v>
      </c>
      <c r="H187" s="66">
        <f t="shared" si="151"/>
        <v>2.6087334634489406E-2</v>
      </c>
      <c r="I187" s="66">
        <f t="shared" si="151"/>
        <v>2.5914105335127887E-2</v>
      </c>
      <c r="J187" s="66">
        <f t="shared" si="151"/>
        <v>2.5669577211867009E-2</v>
      </c>
      <c r="K187" s="66">
        <f t="shared" si="151"/>
        <v>2.5326886475952576E-2</v>
      </c>
      <c r="L187" s="66">
        <f t="shared" si="151"/>
        <v>2.4851629900758964E-2</v>
      </c>
      <c r="M187" s="66">
        <f t="shared" si="151"/>
        <v>2.4202354741507264E-2</v>
      </c>
      <c r="N187" s="66">
        <f t="shared" si="151"/>
        <v>2.3333958242089507E-2</v>
      </c>
      <c r="O187" s="66">
        <f t="shared" si="151"/>
        <v>2.2205989369190961E-2</v>
      </c>
      <c r="P187" s="66">
        <f t="shared" si="151"/>
        <v>2.079709880546295E-2</v>
      </c>
      <c r="Q187" s="66">
        <f t="shared" si="151"/>
        <v>1.9123532981653774E-2</v>
      </c>
      <c r="R187" s="66">
        <f t="shared" si="151"/>
        <v>1.7253532537418889E-2</v>
      </c>
      <c r="S187" s="66">
        <f t="shared" si="151"/>
        <v>1.530520591707072E-2</v>
      </c>
      <c r="T187" s="66">
        <f t="shared" si="151"/>
        <v>1.342096578561215E-2</v>
      </c>
      <c r="U187" s="66">
        <f t="shared" si="151"/>
        <v>1.1727867879060591E-2</v>
      </c>
      <c r="V187" s="66">
        <f t="shared" si="151"/>
        <v>1.0305580567023331E-2</v>
      </c>
      <c r="W187" s="66">
        <f t="shared" si="151"/>
        <v>9.1775845387704353E-3</v>
      </c>
      <c r="X187" s="66">
        <f t="shared" si="151"/>
        <v>8.323455015144551E-3</v>
      </c>
      <c r="Y187" s="66">
        <f t="shared" si="151"/>
        <v>7.6992343221792357E-3</v>
      </c>
      <c r="Z187" s="66">
        <f t="shared" si="151"/>
        <v>7.2548128498131879E-3</v>
      </c>
      <c r="AA187" s="66">
        <f t="shared" si="151"/>
        <v>6.9442769569968699E-3</v>
      </c>
      <c r="AB187" s="66">
        <f t="shared" si="151"/>
        <v>6.7301292213014213E-3</v>
      </c>
      <c r="AC187" s="66">
        <f t="shared" si="151"/>
        <v>6.5837900060073855E-3</v>
      </c>
    </row>
    <row r="188" spans="1:29" x14ac:dyDescent="0.3">
      <c r="A188" s="59" t="str">
        <f>A151</f>
        <v>Market failure (av. utilization)</v>
      </c>
      <c r="B188" s="66">
        <f t="shared" ref="B188:AC188" si="152">B177/B151-B177/B150</f>
        <v>3.9916854454536799E-2</v>
      </c>
      <c r="C188" s="66">
        <f t="shared" si="152"/>
        <v>3.9888739242175494E-2</v>
      </c>
      <c r="D188" s="66">
        <f t="shared" si="152"/>
        <v>3.9848498910018029E-2</v>
      </c>
      <c r="E188" s="66">
        <f t="shared" si="152"/>
        <v>3.9790944502175449E-2</v>
      </c>
      <c r="F188" s="66">
        <f t="shared" si="152"/>
        <v>3.9708711518650158E-2</v>
      </c>
      <c r="G188" s="66">
        <f t="shared" si="152"/>
        <v>3.95913981622249E-2</v>
      </c>
      <c r="H188" s="66">
        <f t="shared" si="152"/>
        <v>3.9424418464819089E-2</v>
      </c>
      <c r="I188" s="66">
        <f t="shared" si="152"/>
        <v>3.9187539753493511E-2</v>
      </c>
      <c r="J188" s="66">
        <f t="shared" si="152"/>
        <v>3.8853151810450862E-2</v>
      </c>
      <c r="K188" s="66">
        <f t="shared" si="152"/>
        <v>3.8384502130276971E-2</v>
      </c>
      <c r="L188" s="66">
        <f t="shared" si="152"/>
        <v>3.7734510183548536E-2</v>
      </c>
      <c r="M188" s="66">
        <f t="shared" si="152"/>
        <v>3.6846422938026986E-2</v>
      </c>
      <c r="N188" s="66">
        <f t="shared" si="152"/>
        <v>3.5658442919043805E-2</v>
      </c>
      <c r="O188" s="66">
        <f t="shared" si="152"/>
        <v>3.4115058591075192E-2</v>
      </c>
      <c r="P188" s="66">
        <f t="shared" si="152"/>
        <v>3.2186797781194029E-2</v>
      </c>
      <c r="Q188" s="66">
        <f t="shared" si="152"/>
        <v>2.9895557773930104E-2</v>
      </c>
      <c r="R188" s="66">
        <f t="shared" si="152"/>
        <v>2.7334408375029182E-2</v>
      </c>
      <c r="S188" s="66">
        <f t="shared" si="152"/>
        <v>2.4664846835859056E-2</v>
      </c>
      <c r="T188" s="66">
        <f t="shared" si="152"/>
        <v>2.2081947105177108E-2</v>
      </c>
      <c r="U188" s="66">
        <f t="shared" si="152"/>
        <v>1.9760061388569568E-2</v>
      </c>
      <c r="V188" s="66">
        <f t="shared" si="152"/>
        <v>1.7808800195242978E-2</v>
      </c>
      <c r="W188" s="66">
        <f t="shared" si="152"/>
        <v>1.6260772670315393E-2</v>
      </c>
      <c r="X188" s="66">
        <f t="shared" si="152"/>
        <v>1.5088283289597264E-2</v>
      </c>
      <c r="Y188" s="66">
        <f t="shared" si="152"/>
        <v>1.4231225409046384E-2</v>
      </c>
      <c r="Z188" s="66">
        <f t="shared" si="152"/>
        <v>1.3620943183328993E-2</v>
      </c>
      <c r="AA188" s="66">
        <f t="shared" si="152"/>
        <v>1.3194468768352034E-2</v>
      </c>
      <c r="AB188" s="66">
        <f t="shared" si="152"/>
        <v>1.2900347437606386E-2</v>
      </c>
      <c r="AC188" s="66">
        <f t="shared" si="152"/>
        <v>1.2699347573956049E-2</v>
      </c>
    </row>
    <row r="189" spans="1:29" x14ac:dyDescent="0.3">
      <c r="A189" s="59" t="str">
        <f>A152</f>
        <v>Payload loss (fuel)</v>
      </c>
      <c r="B189" s="66">
        <f>B177/(B150-B152)-B177/B150</f>
        <v>1.2546964484978669E-3</v>
      </c>
      <c r="C189" s="66">
        <f t="shared" ref="C189:AC189" si="153">C177/(C150-C152)-C177/C150</f>
        <v>1.253812710097623E-3</v>
      </c>
      <c r="D189" s="66">
        <f t="shared" si="153"/>
        <v>1.252547845855826E-3</v>
      </c>
      <c r="E189" s="66">
        <f t="shared" si="153"/>
        <v>1.2507387526268614E-3</v>
      </c>
      <c r="F189" s="66">
        <f t="shared" si="153"/>
        <v>1.2481539439341757E-3</v>
      </c>
      <c r="G189" s="66">
        <f t="shared" si="153"/>
        <v>1.2444664627015121E-3</v>
      </c>
      <c r="H189" s="66">
        <f t="shared" si="153"/>
        <v>1.2392178318620037E-3</v>
      </c>
      <c r="I189" s="66">
        <f t="shared" si="153"/>
        <v>1.2317720828948983E-3</v>
      </c>
      <c r="J189" s="66">
        <f t="shared" si="153"/>
        <v>1.2212613507670972E-3</v>
      </c>
      <c r="K189" s="66">
        <f t="shared" si="153"/>
        <v>1.206530403217769E-3</v>
      </c>
      <c r="L189" s="66">
        <f t="shared" si="153"/>
        <v>1.1860993698045233E-3</v>
      </c>
      <c r="M189" s="66">
        <f t="shared" si="153"/>
        <v>1.1581843467362296E-3</v>
      </c>
      <c r="N189" s="66">
        <f t="shared" si="153"/>
        <v>1.1208428695313501E-3</v>
      </c>
      <c r="O189" s="66">
        <f t="shared" si="153"/>
        <v>1.072330058052802E-3</v>
      </c>
      <c r="P189" s="66">
        <f t="shared" si="153"/>
        <v>1.0117195209001055E-3</v>
      </c>
      <c r="Q189" s="66">
        <f t="shared" si="153"/>
        <v>9.3969954991154556E-4</v>
      </c>
      <c r="R189" s="66">
        <f t="shared" si="153"/>
        <v>8.5919558488761413E-4</v>
      </c>
      <c r="S189" s="66">
        <f t="shared" si="153"/>
        <v>7.7528392832013071E-4</v>
      </c>
      <c r="T189" s="66">
        <f t="shared" si="153"/>
        <v>6.9409629058670569E-4</v>
      </c>
      <c r="U189" s="66">
        <f t="shared" si="153"/>
        <v>6.2111304072258282E-4</v>
      </c>
      <c r="V189" s="66">
        <f t="shared" si="153"/>
        <v>5.5977953830076491E-4</v>
      </c>
      <c r="W189" s="66">
        <f t="shared" si="153"/>
        <v>5.1112077837979671E-4</v>
      </c>
      <c r="X189" s="66">
        <f t="shared" si="153"/>
        <v>4.7426621451219543E-4</v>
      </c>
      <c r="Y189" s="66">
        <f t="shared" si="153"/>
        <v>4.4732652967031765E-4</v>
      </c>
      <c r="Z189" s="66">
        <f t="shared" si="153"/>
        <v>4.2814368193212597E-4</v>
      </c>
      <c r="AA189" s="66">
        <f t="shared" si="153"/>
        <v>4.1473841888825871E-4</v>
      </c>
      <c r="AB189" s="66">
        <f t="shared" si="153"/>
        <v>4.0549337705926558E-4</v>
      </c>
      <c r="AC189" s="66">
        <f t="shared" si="153"/>
        <v>3.9917539888897034E-4</v>
      </c>
    </row>
    <row r="190" spans="1:29" ht="15" thickBot="1" x14ac:dyDescent="0.35">
      <c r="A190" s="59" t="str">
        <f>A127</f>
        <v>Emission Cost</v>
      </c>
      <c r="B190" s="68">
        <f>B147*B153/B153/(B150)</f>
        <v>3.3398562051778328E-4</v>
      </c>
      <c r="C190" s="68">
        <f t="shared" ref="C190:AC190" si="154">C147*C153/C153/(C150)</f>
        <v>3.3366758483088988E-4</v>
      </c>
      <c r="D190" s="68">
        <f t="shared" si="154"/>
        <v>3.3321232382877585E-4</v>
      </c>
      <c r="E190" s="68">
        <f t="shared" si="154"/>
        <v>3.3256104094986681E-4</v>
      </c>
      <c r="F190" s="68">
        <f t="shared" si="154"/>
        <v>3.3163021400320358E-4</v>
      </c>
      <c r="G190" s="68">
        <f t="shared" si="154"/>
        <v>3.3030172279027004E-4</v>
      </c>
      <c r="H190" s="68">
        <f t="shared" si="154"/>
        <v>3.2840962538848302E-4</v>
      </c>
      <c r="I190" s="68">
        <f t="shared" si="154"/>
        <v>3.2572311831349148E-4</v>
      </c>
      <c r="J190" s="68">
        <f t="shared" si="154"/>
        <v>3.2192599871983809E-4</v>
      </c>
      <c r="K190" s="68">
        <f t="shared" si="154"/>
        <v>3.1659491131606082E-4</v>
      </c>
      <c r="L190" s="68">
        <f t="shared" si="154"/>
        <v>3.091827645801561E-4</v>
      </c>
      <c r="M190" s="68">
        <f t="shared" si="154"/>
        <v>2.9902098869419172E-4</v>
      </c>
      <c r="N190" s="68">
        <f t="shared" si="154"/>
        <v>2.8536465079533697E-4</v>
      </c>
      <c r="O190" s="68">
        <f t="shared" si="154"/>
        <v>2.6751317895107546E-4</v>
      </c>
      <c r="P190" s="68">
        <f t="shared" si="154"/>
        <v>2.4503226745359335E-4</v>
      </c>
      <c r="Q190" s="68">
        <f t="shared" si="154"/>
        <v>2.1805581897128034E-4</v>
      </c>
      <c r="R190" s="68">
        <f t="shared" si="154"/>
        <v>1.8755156174862146E-4</v>
      </c>
      <c r="S190" s="68">
        <f t="shared" si="154"/>
        <v>1.5534834255447857E-4</v>
      </c>
      <c r="T190" s="68">
        <f t="shared" si="154"/>
        <v>1.2377882247964437E-4</v>
      </c>
      <c r="U190" s="68">
        <f t="shared" si="154"/>
        <v>9.5040438542586453E-5</v>
      </c>
      <c r="V190" s="68">
        <f t="shared" si="154"/>
        <v>7.06169046206584E-5</v>
      </c>
      <c r="W190" s="68">
        <f t="shared" si="154"/>
        <v>5.1058027956299464E-5</v>
      </c>
      <c r="X190" s="68">
        <f t="shared" si="154"/>
        <v>3.6133736976499454E-5</v>
      </c>
      <c r="Y190" s="68">
        <f t="shared" si="154"/>
        <v>2.5163186176479669E-5</v>
      </c>
      <c r="Z190" s="68">
        <f t="shared" si="154"/>
        <v>1.7319401061741704E-5</v>
      </c>
      <c r="AA190" s="68">
        <f t="shared" si="154"/>
        <v>1.1822066063754811E-5</v>
      </c>
      <c r="AB190" s="68">
        <f t="shared" si="154"/>
        <v>8.0230696875300903E-6</v>
      </c>
      <c r="AC190" s="68">
        <f t="shared" si="154"/>
        <v>5.4232271560286516E-6</v>
      </c>
    </row>
    <row r="191" spans="1:29" ht="15" thickBot="1" x14ac:dyDescent="0.35">
      <c r="A191" s="31" t="s">
        <v>210</v>
      </c>
      <c r="B191" s="67">
        <f>B180+B181+B182+B183+B184+B185+B186+B187+B188+B189+B190</f>
        <v>7.1215282670323621E-2</v>
      </c>
      <c r="C191" s="67">
        <f t="shared" ref="C191:AC191" si="155">C180+C181+C182+C183+C184+C185+C186+C187+C188+C189+C190</f>
        <v>7.1165073997956185E-2</v>
      </c>
      <c r="D191" s="67">
        <f t="shared" si="155"/>
        <v>7.1093212059753927E-2</v>
      </c>
      <c r="E191" s="67">
        <f t="shared" si="155"/>
        <v>7.0990430321187084E-2</v>
      </c>
      <c r="F191" s="67">
        <f t="shared" si="155"/>
        <v>7.0843577120344781E-2</v>
      </c>
      <c r="G191" s="67">
        <f t="shared" si="155"/>
        <v>7.0634076733102888E-2</v>
      </c>
      <c r="H191" s="67">
        <f t="shared" si="155"/>
        <v>7.0335881264709313E-2</v>
      </c>
      <c r="I191" s="67">
        <f t="shared" si="155"/>
        <v>6.9912858829206115E-2</v>
      </c>
      <c r="J191" s="67">
        <f t="shared" si="155"/>
        <v>6.9315702582968403E-2</v>
      </c>
      <c r="K191" s="67">
        <f t="shared" si="155"/>
        <v>6.8478779214061383E-2</v>
      </c>
      <c r="L191" s="67">
        <f t="shared" si="155"/>
        <v>6.7318011432001737E-2</v>
      </c>
      <c r="M191" s="67">
        <f t="shared" si="155"/>
        <v>6.5732048609772831E-2</v>
      </c>
      <c r="N191" s="67">
        <f t="shared" si="155"/>
        <v>6.361053166066763E-2</v>
      </c>
      <c r="O191" s="67">
        <f t="shared" si="155"/>
        <v>6.0854327045735387E-2</v>
      </c>
      <c r="P191" s="67">
        <f t="shared" si="155"/>
        <v>5.7410802807036795E-2</v>
      </c>
      <c r="Q191" s="67">
        <f t="shared" si="155"/>
        <v>5.3319063525058892E-2</v>
      </c>
      <c r="R191" s="67">
        <f t="shared" si="155"/>
        <v>4.8745315000559654E-2</v>
      </c>
      <c r="S191" s="67">
        <f t="shared" si="155"/>
        <v>4.397796204720248E-2</v>
      </c>
      <c r="T191" s="67">
        <f t="shared" si="155"/>
        <v>3.9365371373184938E-2</v>
      </c>
      <c r="U191" s="67">
        <f t="shared" si="155"/>
        <v>3.5218904409974251E-2</v>
      </c>
      <c r="V191" s="67">
        <f t="shared" si="155"/>
        <v>3.1734305656102281E-2</v>
      </c>
      <c r="W191" s="67">
        <f t="shared" si="155"/>
        <v>2.8969809133150459E-2</v>
      </c>
      <c r="X191" s="67">
        <f t="shared" si="155"/>
        <v>2.6875955655742276E-2</v>
      </c>
      <c r="Y191" s="67">
        <f t="shared" si="155"/>
        <v>2.5345405654144469E-2</v>
      </c>
      <c r="Z191" s="67">
        <f t="shared" si="155"/>
        <v>2.4255552234972264E-2</v>
      </c>
      <c r="AA191" s="67">
        <f t="shared" si="155"/>
        <v>2.3493946243898636E-2</v>
      </c>
      <c r="AB191" s="67">
        <f t="shared" si="155"/>
        <v>2.296869886742816E-2</v>
      </c>
      <c r="AC191" s="67">
        <f t="shared" si="155"/>
        <v>2.2609749549520428E-2</v>
      </c>
    </row>
    <row r="193" spans="2:2" x14ac:dyDescent="0.3">
      <c r="B193" s="40"/>
    </row>
    <row r="215" spans="1:44" s="3" customFormat="1" ht="21" x14ac:dyDescent="0.4">
      <c r="A215" s="2" t="str">
        <f>'Parameter Input'!A165</f>
        <v>Short-sea: Break bulk</v>
      </c>
    </row>
    <row r="216" spans="1:44" s="3" customFormat="1" ht="21" x14ac:dyDescent="0.4">
      <c r="A216" s="2" t="s">
        <v>187</v>
      </c>
    </row>
    <row r="217" spans="1:44" x14ac:dyDescent="0.3">
      <c r="A217" s="33" t="s">
        <v>195</v>
      </c>
    </row>
    <row r="218" spans="1:44" x14ac:dyDescent="0.3">
      <c r="A218" s="33" t="s">
        <v>196</v>
      </c>
    </row>
    <row r="219" spans="1:44" ht="15" thickBot="1" x14ac:dyDescent="0.35">
      <c r="A219" s="34" t="s">
        <v>197</v>
      </c>
      <c r="B219" s="34"/>
    </row>
    <row r="220" spans="1:44" ht="15" thickBot="1" x14ac:dyDescent="0.35">
      <c r="A220" s="39" t="s">
        <v>198</v>
      </c>
      <c r="B220" s="35"/>
    </row>
    <row r="221" spans="1:44" ht="15" thickBot="1" x14ac:dyDescent="0.35">
      <c r="A221" s="38" t="s">
        <v>199</v>
      </c>
      <c r="B221" s="36"/>
    </row>
    <row r="222" spans="1:44" ht="15" thickBot="1" x14ac:dyDescent="0.35"/>
    <row r="223" spans="1:44" x14ac:dyDescent="0.3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" thickBot="1" x14ac:dyDescent="0.35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3">
      <c r="A225" s="24" t="s">
        <v>18</v>
      </c>
      <c r="B225" s="41">
        <f>'Parameter Input'!$L$191</f>
        <v>19500000</v>
      </c>
      <c r="C225" s="42">
        <f>'Parameter Input'!$M$191</f>
        <v>15000000</v>
      </c>
      <c r="D225" s="1" t="s">
        <v>15</v>
      </c>
      <c r="L225" s="51">
        <f>'Parameter Input'!$O$191</f>
        <v>17</v>
      </c>
      <c r="M225" s="52">
        <v>0</v>
      </c>
      <c r="N225" s="52">
        <v>1</v>
      </c>
      <c r="O225" s="52">
        <f>'Parameter Input'!$P$191</f>
        <v>0.9</v>
      </c>
      <c r="P225" s="53">
        <f>'Parameter Input'!$Q$191</f>
        <v>0.4</v>
      </c>
      <c r="Q225" s="4">
        <f t="shared" ref="Q225:AR234" si="156">$N225+($M225-$N225)*((1/(1+EXP(-$P225*(Q$9-$L225)))^$O225))</f>
        <v>0.99780374543478534</v>
      </c>
      <c r="R225" s="4">
        <f t="shared" si="156"/>
        <v>0.99685359315256394</v>
      </c>
      <c r="S225" s="4">
        <f t="shared" si="156"/>
        <v>0.99549347132349975</v>
      </c>
      <c r="T225" s="4">
        <f t="shared" si="156"/>
        <v>0.99354772139898062</v>
      </c>
      <c r="U225" s="4">
        <f t="shared" si="156"/>
        <v>0.99076681540580536</v>
      </c>
      <c r="V225" s="4">
        <f t="shared" si="156"/>
        <v>0.9867978615748374</v>
      </c>
      <c r="W225" s="4">
        <f t="shared" si="156"/>
        <v>0.98114509762858249</v>
      </c>
      <c r="X225" s="4">
        <f t="shared" si="156"/>
        <v>0.97311898315872036</v>
      </c>
      <c r="Y225" s="4">
        <f t="shared" si="156"/>
        <v>0.96177484161592774</v>
      </c>
      <c r="Z225" s="4">
        <f t="shared" si="156"/>
        <v>0.94584787155511363</v>
      </c>
      <c r="AA225" s="4">
        <f t="shared" si="156"/>
        <v>0.92370360150141495</v>
      </c>
      <c r="AB225" s="4">
        <f t="shared" si="156"/>
        <v>0.89334463567658451</v>
      </c>
      <c r="AC225" s="4">
        <f t="shared" si="156"/>
        <v>0.85254543874327005</v>
      </c>
      <c r="AD225" s="4">
        <f t="shared" si="156"/>
        <v>0.79921300652623883</v>
      </c>
      <c r="AE225" s="4">
        <f t="shared" si="156"/>
        <v>0.73204982249993378</v>
      </c>
      <c r="AF225" s="4">
        <f t="shared" si="156"/>
        <v>0.65145592958786691</v>
      </c>
      <c r="AG225" s="4">
        <f t="shared" si="156"/>
        <v>0.56032247880849573</v>
      </c>
      <c r="AH225" s="4">
        <f t="shared" si="156"/>
        <v>0.46411326873185343</v>
      </c>
      <c r="AI225" s="4">
        <f t="shared" si="156"/>
        <v>0.36979727595523937</v>
      </c>
      <c r="AJ225" s="4">
        <f t="shared" si="156"/>
        <v>0.28393948637231203</v>
      </c>
      <c r="AK225" s="4">
        <f t="shared" si="156"/>
        <v>0.21097259161117732</v>
      </c>
      <c r="AL225" s="4">
        <f t="shared" si="156"/>
        <v>0.15253917653798199</v>
      </c>
      <c r="AM225" s="4">
        <f t="shared" si="156"/>
        <v>0.10795188737709993</v>
      </c>
      <c r="AN225" s="4">
        <f t="shared" si="156"/>
        <v>7.5176653938091809E-2</v>
      </c>
      <c r="AO225" s="4">
        <f t="shared" si="156"/>
        <v>5.1742836177502194E-2</v>
      </c>
      <c r="AP225" s="4">
        <f t="shared" si="156"/>
        <v>3.5319190625345942E-2</v>
      </c>
      <c r="AQ225" s="4">
        <f t="shared" si="156"/>
        <v>2.3969442072658165E-2</v>
      </c>
      <c r="AR225" s="4">
        <f t="shared" si="156"/>
        <v>1.6202243558389728E-2</v>
      </c>
    </row>
    <row r="226" spans="1:44" x14ac:dyDescent="0.3">
      <c r="A226" s="24" t="s">
        <v>28</v>
      </c>
      <c r="B226" s="60">
        <f>'Parameter Input'!$L$192</f>
        <v>-975000</v>
      </c>
      <c r="C226" s="61">
        <f>'Parameter Input'!$M$192</f>
        <v>-1500000</v>
      </c>
      <c r="D226" s="1" t="s">
        <v>15</v>
      </c>
      <c r="L226" s="54">
        <f>'Parameter Input'!$O$192</f>
        <v>17</v>
      </c>
      <c r="M226" s="37">
        <v>0</v>
      </c>
      <c r="N226" s="37">
        <v>1</v>
      </c>
      <c r="O226" s="37">
        <f>'Parameter Input'!$P$192</f>
        <v>0.9</v>
      </c>
      <c r="P226" s="55">
        <f>'Parameter Input'!$Q$192</f>
        <v>0.4</v>
      </c>
      <c r="Q226" s="4">
        <f t="shared" si="156"/>
        <v>0.99780374543478534</v>
      </c>
      <c r="R226" s="4">
        <f t="shared" si="156"/>
        <v>0.99685359315256394</v>
      </c>
      <c r="S226" s="4">
        <f t="shared" si="156"/>
        <v>0.99549347132349975</v>
      </c>
      <c r="T226" s="4">
        <f t="shared" si="156"/>
        <v>0.99354772139898062</v>
      </c>
      <c r="U226" s="4">
        <f t="shared" si="156"/>
        <v>0.99076681540580536</v>
      </c>
      <c r="V226" s="4">
        <f t="shared" si="156"/>
        <v>0.9867978615748374</v>
      </c>
      <c r="W226" s="4">
        <f t="shared" si="156"/>
        <v>0.98114509762858249</v>
      </c>
      <c r="X226" s="4">
        <f t="shared" si="156"/>
        <v>0.97311898315872036</v>
      </c>
      <c r="Y226" s="4">
        <f t="shared" si="156"/>
        <v>0.96177484161592774</v>
      </c>
      <c r="Z226" s="4">
        <f t="shared" si="156"/>
        <v>0.94584787155511363</v>
      </c>
      <c r="AA226" s="4">
        <f t="shared" si="156"/>
        <v>0.92370360150141495</v>
      </c>
      <c r="AB226" s="4">
        <f t="shared" si="156"/>
        <v>0.89334463567658451</v>
      </c>
      <c r="AC226" s="4">
        <f t="shared" si="156"/>
        <v>0.85254543874327005</v>
      </c>
      <c r="AD226" s="4">
        <f t="shared" si="156"/>
        <v>0.79921300652623883</v>
      </c>
      <c r="AE226" s="4">
        <f t="shared" si="156"/>
        <v>0.73204982249993378</v>
      </c>
      <c r="AF226" s="4">
        <f t="shared" si="156"/>
        <v>0.65145592958786691</v>
      </c>
      <c r="AG226" s="4">
        <f t="shared" si="156"/>
        <v>0.56032247880849573</v>
      </c>
      <c r="AH226" s="4">
        <f t="shared" si="156"/>
        <v>0.46411326873185343</v>
      </c>
      <c r="AI226" s="4">
        <f t="shared" si="156"/>
        <v>0.36979727595523937</v>
      </c>
      <c r="AJ226" s="4">
        <f t="shared" si="156"/>
        <v>0.28393948637231203</v>
      </c>
      <c r="AK226" s="4">
        <f t="shared" si="156"/>
        <v>0.21097259161117732</v>
      </c>
      <c r="AL226" s="4">
        <f t="shared" si="156"/>
        <v>0.15253917653798199</v>
      </c>
      <c r="AM226" s="4">
        <f t="shared" si="156"/>
        <v>0.10795188737709993</v>
      </c>
      <c r="AN226" s="4">
        <f t="shared" si="156"/>
        <v>7.5176653938091809E-2</v>
      </c>
      <c r="AO226" s="4">
        <f t="shared" si="156"/>
        <v>5.1742836177502194E-2</v>
      </c>
      <c r="AP226" s="4">
        <f t="shared" si="156"/>
        <v>3.5319190625345942E-2</v>
      </c>
      <c r="AQ226" s="4">
        <f t="shared" si="156"/>
        <v>2.3969442072658165E-2</v>
      </c>
      <c r="AR226" s="4">
        <f t="shared" si="156"/>
        <v>1.6202243558389728E-2</v>
      </c>
    </row>
    <row r="227" spans="1:44" x14ac:dyDescent="0.3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6"/>
        <v>0.99780374543478534</v>
      </c>
      <c r="R227" s="4">
        <f t="shared" si="156"/>
        <v>0.99685359315256394</v>
      </c>
      <c r="S227" s="4">
        <f t="shared" si="156"/>
        <v>0.99549347132349975</v>
      </c>
      <c r="T227" s="4">
        <f t="shared" si="156"/>
        <v>0.99354772139898062</v>
      </c>
      <c r="U227" s="4">
        <f t="shared" si="156"/>
        <v>0.99076681540580536</v>
      </c>
      <c r="V227" s="4">
        <f t="shared" si="156"/>
        <v>0.9867978615748374</v>
      </c>
      <c r="W227" s="4">
        <f t="shared" si="156"/>
        <v>0.98114509762858249</v>
      </c>
      <c r="X227" s="4">
        <f t="shared" si="156"/>
        <v>0.97311898315872036</v>
      </c>
      <c r="Y227" s="4">
        <f t="shared" si="156"/>
        <v>0.96177484161592774</v>
      </c>
      <c r="Z227" s="4">
        <f t="shared" si="156"/>
        <v>0.94584787155511363</v>
      </c>
      <c r="AA227" s="4">
        <f t="shared" si="156"/>
        <v>0.92370360150141495</v>
      </c>
      <c r="AB227" s="4">
        <f t="shared" si="156"/>
        <v>0.89334463567658451</v>
      </c>
      <c r="AC227" s="4">
        <f t="shared" si="156"/>
        <v>0.85254543874327005</v>
      </c>
      <c r="AD227" s="4">
        <f t="shared" si="156"/>
        <v>0.79921300652623883</v>
      </c>
      <c r="AE227" s="4">
        <f t="shared" si="156"/>
        <v>0.73204982249993378</v>
      </c>
      <c r="AF227" s="4">
        <f t="shared" si="156"/>
        <v>0.65145592958786691</v>
      </c>
      <c r="AG227" s="4">
        <f t="shared" si="156"/>
        <v>0.56032247880849573</v>
      </c>
      <c r="AH227" s="4">
        <f t="shared" si="156"/>
        <v>0.46411326873185343</v>
      </c>
      <c r="AI227" s="4">
        <f t="shared" si="156"/>
        <v>0.36979727595523937</v>
      </c>
      <c r="AJ227" s="4">
        <f t="shared" si="156"/>
        <v>0.28393948637231203</v>
      </c>
      <c r="AK227" s="4">
        <f t="shared" si="156"/>
        <v>0.21097259161117732</v>
      </c>
      <c r="AL227" s="4">
        <f t="shared" si="156"/>
        <v>0.15253917653798199</v>
      </c>
      <c r="AM227" s="4">
        <f t="shared" si="156"/>
        <v>0.10795188737709993</v>
      </c>
      <c r="AN227" s="4">
        <f t="shared" si="156"/>
        <v>7.5176653938091809E-2</v>
      </c>
      <c r="AO227" s="4">
        <f t="shared" si="156"/>
        <v>5.1742836177502194E-2</v>
      </c>
      <c r="AP227" s="4">
        <f t="shared" si="156"/>
        <v>3.5319190625345942E-2</v>
      </c>
      <c r="AQ227" s="4">
        <f t="shared" si="156"/>
        <v>2.3969442072658165E-2</v>
      </c>
      <c r="AR227" s="4">
        <f t="shared" si="156"/>
        <v>1.6202243558389728E-2</v>
      </c>
    </row>
    <row r="228" spans="1:44" x14ac:dyDescent="0.3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6"/>
        <v>0.99780374543478534</v>
      </c>
      <c r="R228" s="4">
        <f t="shared" si="156"/>
        <v>0.99685359315256394</v>
      </c>
      <c r="S228" s="4">
        <f t="shared" si="156"/>
        <v>0.99549347132349975</v>
      </c>
      <c r="T228" s="4">
        <f t="shared" si="156"/>
        <v>0.99354772139898062</v>
      </c>
      <c r="U228" s="4">
        <f t="shared" si="156"/>
        <v>0.99076681540580536</v>
      </c>
      <c r="V228" s="4">
        <f t="shared" si="156"/>
        <v>0.9867978615748374</v>
      </c>
      <c r="W228" s="4">
        <f t="shared" si="156"/>
        <v>0.98114509762858249</v>
      </c>
      <c r="X228" s="4">
        <f t="shared" si="156"/>
        <v>0.97311898315872036</v>
      </c>
      <c r="Y228" s="4">
        <f t="shared" si="156"/>
        <v>0.96177484161592774</v>
      </c>
      <c r="Z228" s="4">
        <f t="shared" si="156"/>
        <v>0.94584787155511363</v>
      </c>
      <c r="AA228" s="4">
        <f t="shared" si="156"/>
        <v>0.92370360150141495</v>
      </c>
      <c r="AB228" s="4">
        <f t="shared" si="156"/>
        <v>0.89334463567658451</v>
      </c>
      <c r="AC228" s="4">
        <f t="shared" si="156"/>
        <v>0.85254543874327005</v>
      </c>
      <c r="AD228" s="4">
        <f t="shared" si="156"/>
        <v>0.79921300652623883</v>
      </c>
      <c r="AE228" s="4">
        <f t="shared" si="156"/>
        <v>0.73204982249993378</v>
      </c>
      <c r="AF228" s="4">
        <f t="shared" si="156"/>
        <v>0.65145592958786691</v>
      </c>
      <c r="AG228" s="4">
        <f t="shared" si="156"/>
        <v>0.56032247880849573</v>
      </c>
      <c r="AH228" s="4">
        <f t="shared" si="156"/>
        <v>0.46411326873185343</v>
      </c>
      <c r="AI228" s="4">
        <f t="shared" si="156"/>
        <v>0.36979727595523937</v>
      </c>
      <c r="AJ228" s="4">
        <f t="shared" si="156"/>
        <v>0.28393948637231203</v>
      </c>
      <c r="AK228" s="4">
        <f t="shared" si="156"/>
        <v>0.21097259161117732</v>
      </c>
      <c r="AL228" s="4">
        <f t="shared" si="156"/>
        <v>0.15253917653798199</v>
      </c>
      <c r="AM228" s="4">
        <f t="shared" si="156"/>
        <v>0.10795188737709993</v>
      </c>
      <c r="AN228" s="4">
        <f t="shared" si="156"/>
        <v>7.5176653938091809E-2</v>
      </c>
      <c r="AO228" s="4">
        <f t="shared" si="156"/>
        <v>5.1742836177502194E-2</v>
      </c>
      <c r="AP228" s="4">
        <f t="shared" si="156"/>
        <v>3.5319190625345942E-2</v>
      </c>
      <c r="AQ228" s="4">
        <f t="shared" si="156"/>
        <v>2.3969442072658165E-2</v>
      </c>
      <c r="AR228" s="4">
        <f t="shared" si="156"/>
        <v>1.6202243558389728E-2</v>
      </c>
    </row>
    <row r="229" spans="1:44" x14ac:dyDescent="0.3">
      <c r="A229" s="24" t="s">
        <v>79</v>
      </c>
      <c r="B229" s="92">
        <f>'Parameter Input'!$L$198</f>
        <v>0.06</v>
      </c>
      <c r="C229" s="91">
        <f>'Parameter Input'!$M$198</f>
        <v>0.06</v>
      </c>
      <c r="D229" s="1" t="s">
        <v>57</v>
      </c>
      <c r="L229" s="54">
        <f>'Parameter Input'!$O$198</f>
        <v>17</v>
      </c>
      <c r="M229" s="37">
        <v>0</v>
      </c>
      <c r="N229" s="37">
        <v>1</v>
      </c>
      <c r="O229" s="37">
        <f>'Parameter Input'!$P$198</f>
        <v>0.9</v>
      </c>
      <c r="P229" s="55">
        <f>'Parameter Input'!$Q$198</f>
        <v>0.4</v>
      </c>
      <c r="Q229" s="4">
        <f t="shared" si="156"/>
        <v>0.99780374543478534</v>
      </c>
      <c r="R229" s="4">
        <f t="shared" si="156"/>
        <v>0.99685359315256394</v>
      </c>
      <c r="S229" s="4">
        <f t="shared" si="156"/>
        <v>0.99549347132349975</v>
      </c>
      <c r="T229" s="4">
        <f t="shared" si="156"/>
        <v>0.99354772139898062</v>
      </c>
      <c r="U229" s="4">
        <f t="shared" si="156"/>
        <v>0.99076681540580536</v>
      </c>
      <c r="V229" s="4">
        <f t="shared" si="156"/>
        <v>0.9867978615748374</v>
      </c>
      <c r="W229" s="4">
        <f t="shared" si="156"/>
        <v>0.98114509762858249</v>
      </c>
      <c r="X229" s="4">
        <f t="shared" si="156"/>
        <v>0.97311898315872036</v>
      </c>
      <c r="Y229" s="4">
        <f t="shared" si="156"/>
        <v>0.96177484161592774</v>
      </c>
      <c r="Z229" s="4">
        <f t="shared" si="156"/>
        <v>0.94584787155511363</v>
      </c>
      <c r="AA229" s="4">
        <f t="shared" si="156"/>
        <v>0.92370360150141495</v>
      </c>
      <c r="AB229" s="4">
        <f t="shared" si="156"/>
        <v>0.89334463567658451</v>
      </c>
      <c r="AC229" s="4">
        <f t="shared" si="156"/>
        <v>0.85254543874327005</v>
      </c>
      <c r="AD229" s="4">
        <f t="shared" si="156"/>
        <v>0.79921300652623883</v>
      </c>
      <c r="AE229" s="4">
        <f t="shared" si="156"/>
        <v>0.73204982249993378</v>
      </c>
      <c r="AF229" s="4">
        <f t="shared" si="156"/>
        <v>0.65145592958786691</v>
      </c>
      <c r="AG229" s="4">
        <f t="shared" si="156"/>
        <v>0.56032247880849573</v>
      </c>
      <c r="AH229" s="4">
        <f t="shared" si="156"/>
        <v>0.46411326873185343</v>
      </c>
      <c r="AI229" s="4">
        <f t="shared" si="156"/>
        <v>0.36979727595523937</v>
      </c>
      <c r="AJ229" s="4">
        <f t="shared" si="156"/>
        <v>0.28393948637231203</v>
      </c>
      <c r="AK229" s="4">
        <f t="shared" si="156"/>
        <v>0.21097259161117732</v>
      </c>
      <c r="AL229" s="4">
        <f t="shared" si="156"/>
        <v>0.15253917653798199</v>
      </c>
      <c r="AM229" s="4">
        <f t="shared" si="156"/>
        <v>0.10795188737709993</v>
      </c>
      <c r="AN229" s="4">
        <f t="shared" si="156"/>
        <v>7.5176653938091809E-2</v>
      </c>
      <c r="AO229" s="4">
        <f t="shared" si="156"/>
        <v>5.1742836177502194E-2</v>
      </c>
      <c r="AP229" s="4">
        <f t="shared" si="156"/>
        <v>3.5319190625345942E-2</v>
      </c>
      <c r="AQ229" s="4">
        <f t="shared" si="156"/>
        <v>2.3969442072658165E-2</v>
      </c>
      <c r="AR229" s="4">
        <f t="shared" si="156"/>
        <v>1.6202243558389728E-2</v>
      </c>
    </row>
    <row r="230" spans="1:44" x14ac:dyDescent="0.3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6"/>
        <v>0.99780374543478534</v>
      </c>
      <c r="R230" s="4">
        <f t="shared" si="156"/>
        <v>0.99685359315256394</v>
      </c>
      <c r="S230" s="4">
        <f t="shared" si="156"/>
        <v>0.99549347132349975</v>
      </c>
      <c r="T230" s="4">
        <f t="shared" si="156"/>
        <v>0.99354772139898062</v>
      </c>
      <c r="U230" s="4">
        <f t="shared" si="156"/>
        <v>0.99076681540580536</v>
      </c>
      <c r="V230" s="4">
        <f t="shared" si="156"/>
        <v>0.9867978615748374</v>
      </c>
      <c r="W230" s="4">
        <f t="shared" si="156"/>
        <v>0.98114509762858249</v>
      </c>
      <c r="X230" s="4">
        <f t="shared" si="156"/>
        <v>0.97311898315872036</v>
      </c>
      <c r="Y230" s="4">
        <f t="shared" si="156"/>
        <v>0.96177484161592774</v>
      </c>
      <c r="Z230" s="4">
        <f t="shared" si="156"/>
        <v>0.94584787155511363</v>
      </c>
      <c r="AA230" s="4">
        <f t="shared" si="156"/>
        <v>0.92370360150141495</v>
      </c>
      <c r="AB230" s="4">
        <f t="shared" si="156"/>
        <v>0.89334463567658451</v>
      </c>
      <c r="AC230" s="4">
        <f t="shared" si="156"/>
        <v>0.85254543874327005</v>
      </c>
      <c r="AD230" s="4">
        <f t="shared" si="156"/>
        <v>0.79921300652623883</v>
      </c>
      <c r="AE230" s="4">
        <f t="shared" si="156"/>
        <v>0.73204982249993378</v>
      </c>
      <c r="AF230" s="4">
        <f t="shared" si="156"/>
        <v>0.65145592958786691</v>
      </c>
      <c r="AG230" s="4">
        <f t="shared" si="156"/>
        <v>0.56032247880849573</v>
      </c>
      <c r="AH230" s="4">
        <f t="shared" si="156"/>
        <v>0.46411326873185343</v>
      </c>
      <c r="AI230" s="4">
        <f t="shared" si="156"/>
        <v>0.36979727595523937</v>
      </c>
      <c r="AJ230" s="4">
        <f t="shared" si="156"/>
        <v>0.28393948637231203</v>
      </c>
      <c r="AK230" s="4">
        <f t="shared" si="156"/>
        <v>0.21097259161117732</v>
      </c>
      <c r="AL230" s="4">
        <f t="shared" si="156"/>
        <v>0.15253917653798199</v>
      </c>
      <c r="AM230" s="4">
        <f t="shared" si="156"/>
        <v>0.10795188737709993</v>
      </c>
      <c r="AN230" s="4">
        <f t="shared" si="156"/>
        <v>7.5176653938091809E-2</v>
      </c>
      <c r="AO230" s="4">
        <f t="shared" si="156"/>
        <v>5.1742836177502194E-2</v>
      </c>
      <c r="AP230" s="4">
        <f t="shared" si="156"/>
        <v>3.5319190625345942E-2</v>
      </c>
      <c r="AQ230" s="4">
        <f t="shared" si="156"/>
        <v>2.3969442072658165E-2</v>
      </c>
      <c r="AR230" s="4">
        <f t="shared" si="156"/>
        <v>1.6202243558389728E-2</v>
      </c>
    </row>
    <row r="231" spans="1:44" x14ac:dyDescent="0.3">
      <c r="A231" s="24" t="s">
        <v>52</v>
      </c>
      <c r="B231" s="60">
        <f>'Parameter Input'!$L$194</f>
        <v>488235.29411764705</v>
      </c>
      <c r="C231" s="61">
        <f>'Parameter Input'!$M$194</f>
        <v>488235.29411764705</v>
      </c>
      <c r="D231" s="1" t="s">
        <v>38</v>
      </c>
      <c r="L231" s="54">
        <f>'Parameter Input'!$O$194</f>
        <v>17</v>
      </c>
      <c r="M231" s="37">
        <v>0</v>
      </c>
      <c r="N231" s="37">
        <v>1</v>
      </c>
      <c r="O231" s="37">
        <f>'Parameter Input'!$P$194</f>
        <v>0.9</v>
      </c>
      <c r="P231" s="55">
        <f>'Parameter Input'!$Q$194</f>
        <v>0.4</v>
      </c>
      <c r="Q231" s="4">
        <f t="shared" si="156"/>
        <v>0.99780374543478534</v>
      </c>
      <c r="R231" s="4">
        <f t="shared" si="156"/>
        <v>0.99685359315256394</v>
      </c>
      <c r="S231" s="4">
        <f t="shared" si="156"/>
        <v>0.99549347132349975</v>
      </c>
      <c r="T231" s="4">
        <f t="shared" si="156"/>
        <v>0.99354772139898062</v>
      </c>
      <c r="U231" s="4">
        <f t="shared" si="156"/>
        <v>0.99076681540580536</v>
      </c>
      <c r="V231" s="4">
        <f t="shared" si="156"/>
        <v>0.9867978615748374</v>
      </c>
      <c r="W231" s="4">
        <f t="shared" si="156"/>
        <v>0.98114509762858249</v>
      </c>
      <c r="X231" s="4">
        <f t="shared" si="156"/>
        <v>0.97311898315872036</v>
      </c>
      <c r="Y231" s="4">
        <f t="shared" si="156"/>
        <v>0.96177484161592774</v>
      </c>
      <c r="Z231" s="4">
        <f t="shared" si="156"/>
        <v>0.94584787155511363</v>
      </c>
      <c r="AA231" s="4">
        <f t="shared" si="156"/>
        <v>0.92370360150141495</v>
      </c>
      <c r="AB231" s="4">
        <f t="shared" si="156"/>
        <v>0.89334463567658451</v>
      </c>
      <c r="AC231" s="4">
        <f t="shared" si="156"/>
        <v>0.85254543874327005</v>
      </c>
      <c r="AD231" s="4">
        <f t="shared" si="156"/>
        <v>0.79921300652623883</v>
      </c>
      <c r="AE231" s="4">
        <f t="shared" si="156"/>
        <v>0.73204982249993378</v>
      </c>
      <c r="AF231" s="4">
        <f t="shared" si="156"/>
        <v>0.65145592958786691</v>
      </c>
      <c r="AG231" s="4">
        <f t="shared" si="156"/>
        <v>0.56032247880849573</v>
      </c>
      <c r="AH231" s="4">
        <f t="shared" si="156"/>
        <v>0.46411326873185343</v>
      </c>
      <c r="AI231" s="4">
        <f t="shared" si="156"/>
        <v>0.36979727595523937</v>
      </c>
      <c r="AJ231" s="4">
        <f t="shared" si="156"/>
        <v>0.28393948637231203</v>
      </c>
      <c r="AK231" s="4">
        <f t="shared" si="156"/>
        <v>0.21097259161117732</v>
      </c>
      <c r="AL231" s="4">
        <f t="shared" si="156"/>
        <v>0.15253917653798199</v>
      </c>
      <c r="AM231" s="4">
        <f t="shared" si="156"/>
        <v>0.10795188737709993</v>
      </c>
      <c r="AN231" s="4">
        <f t="shared" si="156"/>
        <v>7.5176653938091809E-2</v>
      </c>
      <c r="AO231" s="4">
        <f t="shared" si="156"/>
        <v>5.1742836177502194E-2</v>
      </c>
      <c r="AP231" s="4">
        <f t="shared" si="156"/>
        <v>3.5319190625345942E-2</v>
      </c>
      <c r="AQ231" s="4">
        <f t="shared" si="156"/>
        <v>2.3969442072658165E-2</v>
      </c>
      <c r="AR231" s="4">
        <f t="shared" si="156"/>
        <v>1.6202243558389728E-2</v>
      </c>
    </row>
    <row r="232" spans="1:44" x14ac:dyDescent="0.3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6"/>
        <v>0.99780374543478534</v>
      </c>
      <c r="R232" s="4">
        <f t="shared" si="156"/>
        <v>0.99685359315256394</v>
      </c>
      <c r="S232" s="4">
        <f t="shared" si="156"/>
        <v>0.99549347132349975</v>
      </c>
      <c r="T232" s="4">
        <f t="shared" si="156"/>
        <v>0.99354772139898062</v>
      </c>
      <c r="U232" s="4">
        <f t="shared" si="156"/>
        <v>0.99076681540580536</v>
      </c>
      <c r="V232" s="4">
        <f t="shared" si="156"/>
        <v>0.9867978615748374</v>
      </c>
      <c r="W232" s="4">
        <f t="shared" si="156"/>
        <v>0.98114509762858249</v>
      </c>
      <c r="X232" s="4">
        <f t="shared" si="156"/>
        <v>0.97311898315872036</v>
      </c>
      <c r="Y232" s="4">
        <f t="shared" si="156"/>
        <v>0.96177484161592774</v>
      </c>
      <c r="Z232" s="4">
        <f t="shared" si="156"/>
        <v>0.94584787155511363</v>
      </c>
      <c r="AA232" s="4">
        <f t="shared" si="156"/>
        <v>0.92370360150141495</v>
      </c>
      <c r="AB232" s="4">
        <f t="shared" si="156"/>
        <v>0.89334463567658451</v>
      </c>
      <c r="AC232" s="4">
        <f t="shared" si="156"/>
        <v>0.85254543874327005</v>
      </c>
      <c r="AD232" s="4">
        <f t="shared" si="156"/>
        <v>0.79921300652623883</v>
      </c>
      <c r="AE232" s="4">
        <f t="shared" si="156"/>
        <v>0.73204982249993378</v>
      </c>
      <c r="AF232" s="4">
        <f t="shared" si="156"/>
        <v>0.65145592958786691</v>
      </c>
      <c r="AG232" s="4">
        <f t="shared" si="156"/>
        <v>0.56032247880849573</v>
      </c>
      <c r="AH232" s="4">
        <f t="shared" si="156"/>
        <v>0.46411326873185343</v>
      </c>
      <c r="AI232" s="4">
        <f t="shared" si="156"/>
        <v>0.36979727595523937</v>
      </c>
      <c r="AJ232" s="4">
        <f t="shared" si="156"/>
        <v>0.28393948637231203</v>
      </c>
      <c r="AK232" s="4">
        <f t="shared" si="156"/>
        <v>0.21097259161117732</v>
      </c>
      <c r="AL232" s="4">
        <f t="shared" si="156"/>
        <v>0.15253917653798199</v>
      </c>
      <c r="AM232" s="4">
        <f t="shared" si="156"/>
        <v>0.10795188737709993</v>
      </c>
      <c r="AN232" s="4">
        <f t="shared" si="156"/>
        <v>7.5176653938091809E-2</v>
      </c>
      <c r="AO232" s="4">
        <f t="shared" si="156"/>
        <v>5.1742836177502194E-2</v>
      </c>
      <c r="AP232" s="4">
        <f t="shared" si="156"/>
        <v>3.5319190625345942E-2</v>
      </c>
      <c r="AQ232" s="4">
        <f t="shared" si="156"/>
        <v>2.3969442072658165E-2</v>
      </c>
      <c r="AR232" s="4">
        <f t="shared" si="156"/>
        <v>1.6202243558389728E-2</v>
      </c>
    </row>
    <row r="233" spans="1:44" x14ac:dyDescent="0.3">
      <c r="A233" s="24" t="s">
        <v>59</v>
      </c>
      <c r="B233" s="60">
        <f>'Parameter Input'!$L$195</f>
        <v>647</v>
      </c>
      <c r="C233" s="61">
        <f>'Parameter Input'!$M$195</f>
        <v>600</v>
      </c>
      <c r="D233" s="1" t="s">
        <v>60</v>
      </c>
      <c r="L233" s="54">
        <f>'Parameter Input'!$O$195</f>
        <v>17</v>
      </c>
      <c r="M233" s="37">
        <v>0</v>
      </c>
      <c r="N233" s="37">
        <v>1</v>
      </c>
      <c r="O233" s="37">
        <f>'Parameter Input'!$P$195</f>
        <v>0.9</v>
      </c>
      <c r="P233" s="55">
        <f>'Parameter Input'!$Q$195</f>
        <v>0.4</v>
      </c>
      <c r="Q233" s="4">
        <f t="shared" si="156"/>
        <v>0.99780374543478534</v>
      </c>
      <c r="R233" s="4">
        <f t="shared" si="156"/>
        <v>0.99685359315256394</v>
      </c>
      <c r="S233" s="4">
        <f t="shared" si="156"/>
        <v>0.99549347132349975</v>
      </c>
      <c r="T233" s="4">
        <f t="shared" si="156"/>
        <v>0.99354772139898062</v>
      </c>
      <c r="U233" s="4">
        <f t="shared" si="156"/>
        <v>0.99076681540580536</v>
      </c>
      <c r="V233" s="4">
        <f t="shared" si="156"/>
        <v>0.9867978615748374</v>
      </c>
      <c r="W233" s="4">
        <f t="shared" si="156"/>
        <v>0.98114509762858249</v>
      </c>
      <c r="X233" s="4">
        <f t="shared" si="156"/>
        <v>0.97311898315872036</v>
      </c>
      <c r="Y233" s="4">
        <f t="shared" si="156"/>
        <v>0.96177484161592774</v>
      </c>
      <c r="Z233" s="4">
        <f t="shared" si="156"/>
        <v>0.94584787155511363</v>
      </c>
      <c r="AA233" s="4">
        <f t="shared" si="156"/>
        <v>0.92370360150141495</v>
      </c>
      <c r="AB233" s="4">
        <f t="shared" si="156"/>
        <v>0.89334463567658451</v>
      </c>
      <c r="AC233" s="4">
        <f t="shared" si="156"/>
        <v>0.85254543874327005</v>
      </c>
      <c r="AD233" s="4">
        <f t="shared" si="156"/>
        <v>0.79921300652623883</v>
      </c>
      <c r="AE233" s="4">
        <f t="shared" si="156"/>
        <v>0.73204982249993378</v>
      </c>
      <c r="AF233" s="4">
        <f t="shared" si="156"/>
        <v>0.65145592958786691</v>
      </c>
      <c r="AG233" s="4">
        <f t="shared" si="156"/>
        <v>0.56032247880849573</v>
      </c>
      <c r="AH233" s="4">
        <f t="shared" si="156"/>
        <v>0.46411326873185343</v>
      </c>
      <c r="AI233" s="4">
        <f t="shared" si="156"/>
        <v>0.36979727595523937</v>
      </c>
      <c r="AJ233" s="4">
        <f t="shared" si="156"/>
        <v>0.28393948637231203</v>
      </c>
      <c r="AK233" s="4">
        <f t="shared" si="156"/>
        <v>0.21097259161117732</v>
      </c>
      <c r="AL233" s="4">
        <f t="shared" si="156"/>
        <v>0.15253917653798199</v>
      </c>
      <c r="AM233" s="4">
        <f t="shared" si="156"/>
        <v>0.10795188737709993</v>
      </c>
      <c r="AN233" s="4">
        <f t="shared" si="156"/>
        <v>7.5176653938091809E-2</v>
      </c>
      <c r="AO233" s="4">
        <f t="shared" si="156"/>
        <v>5.1742836177502194E-2</v>
      </c>
      <c r="AP233" s="4">
        <f t="shared" si="156"/>
        <v>3.5319190625345942E-2</v>
      </c>
      <c r="AQ233" s="4">
        <f t="shared" si="156"/>
        <v>2.3969442072658165E-2</v>
      </c>
      <c r="AR233" s="4">
        <f t="shared" si="156"/>
        <v>1.6202243558389728E-2</v>
      </c>
    </row>
    <row r="234" spans="1:44" x14ac:dyDescent="0.3">
      <c r="A234" s="24" t="s">
        <v>67</v>
      </c>
      <c r="B234" s="78">
        <f>'Parameter Input'!$L$196</f>
        <v>0.38698275991804565</v>
      </c>
      <c r="C234" s="61">
        <f>'Parameter Input'!$M$196</f>
        <v>9.8895594201278345E-2</v>
      </c>
      <c r="D234" s="1" t="s">
        <v>68</v>
      </c>
      <c r="L234" s="54">
        <f>'Parameter Input'!$O$196</f>
        <v>17</v>
      </c>
      <c r="M234" s="37">
        <v>0</v>
      </c>
      <c r="N234" s="37">
        <v>1</v>
      </c>
      <c r="O234" s="37">
        <f>'Parameter Input'!$P$196</f>
        <v>0.9</v>
      </c>
      <c r="P234" s="55">
        <f>'Parameter Input'!$Q$196</f>
        <v>0.4</v>
      </c>
      <c r="Q234" s="4">
        <f t="shared" si="156"/>
        <v>0.99780374543478534</v>
      </c>
      <c r="R234" s="4">
        <f t="shared" si="156"/>
        <v>0.99685359315256394</v>
      </c>
      <c r="S234" s="4">
        <f t="shared" si="156"/>
        <v>0.99549347132349975</v>
      </c>
      <c r="T234" s="4">
        <f t="shared" ref="T234:AI241" si="157">$N234+($M234-$N234)*((1/(1+EXP(-$P234*(T$9-$L234)))^$O234))</f>
        <v>0.99354772139898062</v>
      </c>
      <c r="U234" s="4">
        <f t="shared" si="157"/>
        <v>0.99076681540580536</v>
      </c>
      <c r="V234" s="4">
        <f t="shared" si="157"/>
        <v>0.9867978615748374</v>
      </c>
      <c r="W234" s="4">
        <f t="shared" si="157"/>
        <v>0.98114509762858249</v>
      </c>
      <c r="X234" s="4">
        <f t="shared" si="157"/>
        <v>0.97311898315872036</v>
      </c>
      <c r="Y234" s="4">
        <f t="shared" si="157"/>
        <v>0.96177484161592774</v>
      </c>
      <c r="Z234" s="4">
        <f t="shared" si="157"/>
        <v>0.94584787155511363</v>
      </c>
      <c r="AA234" s="4">
        <f t="shared" si="157"/>
        <v>0.92370360150141495</v>
      </c>
      <c r="AB234" s="4">
        <f t="shared" si="157"/>
        <v>0.89334463567658451</v>
      </c>
      <c r="AC234" s="4">
        <f t="shared" si="157"/>
        <v>0.85254543874327005</v>
      </c>
      <c r="AD234" s="4">
        <f t="shared" si="157"/>
        <v>0.79921300652623883</v>
      </c>
      <c r="AE234" s="4">
        <f t="shared" si="157"/>
        <v>0.73204982249993378</v>
      </c>
      <c r="AF234" s="4">
        <f t="shared" si="157"/>
        <v>0.65145592958786691</v>
      </c>
      <c r="AG234" s="4">
        <f t="shared" si="157"/>
        <v>0.56032247880849573</v>
      </c>
      <c r="AH234" s="4">
        <f t="shared" si="157"/>
        <v>0.46411326873185343</v>
      </c>
      <c r="AI234" s="4">
        <f t="shared" si="157"/>
        <v>0.36979727595523937</v>
      </c>
      <c r="AJ234" s="4">
        <f t="shared" ref="AJ234:AR241" si="158">$N234+($M234-$N234)*((1/(1+EXP(-$P234*(AJ$9-$L234)))^$O234))</f>
        <v>0.28393948637231203</v>
      </c>
      <c r="AK234" s="4">
        <f t="shared" si="158"/>
        <v>0.21097259161117732</v>
      </c>
      <c r="AL234" s="4">
        <f t="shared" si="158"/>
        <v>0.15253917653798199</v>
      </c>
      <c r="AM234" s="4">
        <f t="shared" si="158"/>
        <v>0.10795188737709993</v>
      </c>
      <c r="AN234" s="4">
        <f t="shared" si="158"/>
        <v>7.5176653938091809E-2</v>
      </c>
      <c r="AO234" s="4">
        <f t="shared" si="158"/>
        <v>5.1742836177502194E-2</v>
      </c>
      <c r="AP234" s="4">
        <f t="shared" si="158"/>
        <v>3.5319190625345942E-2</v>
      </c>
      <c r="AQ234" s="4">
        <f t="shared" si="158"/>
        <v>2.3969442072658165E-2</v>
      </c>
      <c r="AR234" s="4">
        <f t="shared" si="158"/>
        <v>1.6202243558389728E-2</v>
      </c>
    </row>
    <row r="235" spans="1:44" x14ac:dyDescent="0.3">
      <c r="A235" s="24" t="s">
        <v>206</v>
      </c>
      <c r="B235" s="115">
        <f>'Parameter Input'!$L$199</f>
        <v>3.1631111111111108</v>
      </c>
      <c r="C235" s="116">
        <f>'Parameter Input'!$M$199</f>
        <v>0</v>
      </c>
      <c r="D235" s="1" t="s">
        <v>76</v>
      </c>
      <c r="L235" s="54">
        <f>'Parameter Input'!$O$199</f>
        <v>17</v>
      </c>
      <c r="M235" s="37">
        <v>0</v>
      </c>
      <c r="N235" s="37">
        <v>1</v>
      </c>
      <c r="O235" s="37">
        <f>'Parameter Input'!$P$199</f>
        <v>0.9</v>
      </c>
      <c r="P235" s="55">
        <f>'Parameter Input'!$Q$199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3">
      <c r="A236" s="24" t="s">
        <v>41</v>
      </c>
      <c r="B236" s="60">
        <f>'Parameter Input'!$L$193</f>
        <v>25</v>
      </c>
      <c r="C236" s="61">
        <f>'Parameter Input'!$M$193</f>
        <v>25</v>
      </c>
      <c r="D236" s="1" t="s">
        <v>42</v>
      </c>
      <c r="L236" s="54">
        <f>'Parameter Input'!$O$193</f>
        <v>17</v>
      </c>
      <c r="M236" s="37">
        <v>0</v>
      </c>
      <c r="N236" s="37">
        <v>1</v>
      </c>
      <c r="O236" s="37">
        <f>'Parameter Input'!$P$193</f>
        <v>0.9</v>
      </c>
      <c r="P236" s="55">
        <f>'Parameter Input'!$Q$193</f>
        <v>0.4</v>
      </c>
      <c r="Q236" s="4">
        <f t="shared" ref="Q236:AF241" si="160">$N236+($M236-$N236)*((1/(1+EXP(-$P236*(Q$9-$L236)))^$O236))</f>
        <v>0.99780374543478534</v>
      </c>
      <c r="R236" s="4">
        <f t="shared" si="160"/>
        <v>0.99685359315256394</v>
      </c>
      <c r="S236" s="4">
        <f t="shared" si="160"/>
        <v>0.99549347132349975</v>
      </c>
      <c r="T236" s="4">
        <f t="shared" si="160"/>
        <v>0.99354772139898062</v>
      </c>
      <c r="U236" s="4">
        <f t="shared" si="160"/>
        <v>0.99076681540580536</v>
      </c>
      <c r="V236" s="4">
        <f t="shared" si="160"/>
        <v>0.9867978615748374</v>
      </c>
      <c r="W236" s="4">
        <f t="shared" si="160"/>
        <v>0.98114509762858249</v>
      </c>
      <c r="X236" s="4">
        <f t="shared" si="160"/>
        <v>0.97311898315872036</v>
      </c>
      <c r="Y236" s="4">
        <f t="shared" si="160"/>
        <v>0.96177484161592774</v>
      </c>
      <c r="Z236" s="4">
        <f t="shared" si="160"/>
        <v>0.94584787155511363</v>
      </c>
      <c r="AA236" s="4">
        <f t="shared" si="160"/>
        <v>0.92370360150141495</v>
      </c>
      <c r="AB236" s="4">
        <f t="shared" si="160"/>
        <v>0.89334463567658451</v>
      </c>
      <c r="AC236" s="4">
        <f t="shared" si="160"/>
        <v>0.85254543874327005</v>
      </c>
      <c r="AD236" s="4">
        <f t="shared" si="160"/>
        <v>0.79921300652623883</v>
      </c>
      <c r="AE236" s="4">
        <f t="shared" si="160"/>
        <v>0.73204982249993378</v>
      </c>
      <c r="AF236" s="4">
        <f t="shared" si="160"/>
        <v>0.65145592958786691</v>
      </c>
      <c r="AG236" s="4">
        <f t="shared" si="157"/>
        <v>0.56032247880849573</v>
      </c>
      <c r="AH236" s="4">
        <f t="shared" si="157"/>
        <v>0.46411326873185343</v>
      </c>
      <c r="AI236" s="4">
        <f t="shared" si="157"/>
        <v>0.36979727595523937</v>
      </c>
      <c r="AJ236" s="4">
        <f t="shared" si="158"/>
        <v>0.28393948637231203</v>
      </c>
      <c r="AK236" s="4">
        <f t="shared" si="158"/>
        <v>0.21097259161117732</v>
      </c>
      <c r="AL236" s="4">
        <f t="shared" si="158"/>
        <v>0.15253917653798199</v>
      </c>
      <c r="AM236" s="4">
        <f t="shared" si="158"/>
        <v>0.10795188737709993</v>
      </c>
      <c r="AN236" s="4">
        <f t="shared" si="158"/>
        <v>7.5176653938091809E-2</v>
      </c>
      <c r="AO236" s="4">
        <f t="shared" si="158"/>
        <v>5.1742836177502194E-2</v>
      </c>
      <c r="AP236" s="4">
        <f t="shared" si="158"/>
        <v>3.5319190625345942E-2</v>
      </c>
      <c r="AQ236" s="4">
        <f t="shared" si="158"/>
        <v>2.3969442072658165E-2</v>
      </c>
      <c r="AR236" s="4">
        <f t="shared" si="158"/>
        <v>1.6202243558389728E-2</v>
      </c>
    </row>
    <row r="237" spans="1:44" x14ac:dyDescent="0.3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60"/>
        <v>0.99780374543478534</v>
      </c>
      <c r="R237" s="4">
        <f t="shared" si="160"/>
        <v>0.99685359315256394</v>
      </c>
      <c r="S237" s="4">
        <f t="shared" si="160"/>
        <v>0.99549347132349975</v>
      </c>
      <c r="T237" s="4">
        <f t="shared" si="160"/>
        <v>0.99354772139898062</v>
      </c>
      <c r="U237" s="4">
        <f t="shared" si="160"/>
        <v>0.99076681540580536</v>
      </c>
      <c r="V237" s="4">
        <f t="shared" si="160"/>
        <v>0.9867978615748374</v>
      </c>
      <c r="W237" s="4">
        <f t="shared" si="160"/>
        <v>0.98114509762858249</v>
      </c>
      <c r="X237" s="4">
        <f t="shared" si="160"/>
        <v>0.97311898315872036</v>
      </c>
      <c r="Y237" s="4">
        <f t="shared" si="160"/>
        <v>0.96177484161592774</v>
      </c>
      <c r="Z237" s="4">
        <f t="shared" si="160"/>
        <v>0.94584787155511363</v>
      </c>
      <c r="AA237" s="4">
        <f t="shared" si="160"/>
        <v>0.92370360150141495</v>
      </c>
      <c r="AB237" s="4">
        <f t="shared" si="160"/>
        <v>0.89334463567658451</v>
      </c>
      <c r="AC237" s="4">
        <f t="shared" si="160"/>
        <v>0.85254543874327005</v>
      </c>
      <c r="AD237" s="4">
        <f t="shared" si="160"/>
        <v>0.79921300652623883</v>
      </c>
      <c r="AE237" s="4">
        <f t="shared" si="160"/>
        <v>0.73204982249993378</v>
      </c>
      <c r="AF237" s="4">
        <f t="shared" si="160"/>
        <v>0.65145592958786691</v>
      </c>
      <c r="AG237" s="4">
        <f t="shared" si="157"/>
        <v>0.56032247880849573</v>
      </c>
      <c r="AH237" s="4">
        <f t="shared" si="157"/>
        <v>0.46411326873185343</v>
      </c>
      <c r="AI237" s="4">
        <f t="shared" si="157"/>
        <v>0.36979727595523937</v>
      </c>
      <c r="AJ237" s="4">
        <f t="shared" si="158"/>
        <v>0.28393948637231203</v>
      </c>
      <c r="AK237" s="4">
        <f t="shared" si="158"/>
        <v>0.21097259161117732</v>
      </c>
      <c r="AL237" s="4">
        <f t="shared" si="158"/>
        <v>0.15253917653798199</v>
      </c>
      <c r="AM237" s="4">
        <f t="shared" si="158"/>
        <v>0.10795188737709993</v>
      </c>
      <c r="AN237" s="4">
        <f t="shared" si="158"/>
        <v>7.5176653938091809E-2</v>
      </c>
      <c r="AO237" s="4">
        <f t="shared" si="158"/>
        <v>5.1742836177502194E-2</v>
      </c>
      <c r="AP237" s="4">
        <f t="shared" si="158"/>
        <v>3.5319190625345942E-2</v>
      </c>
      <c r="AQ237" s="4">
        <f t="shared" si="158"/>
        <v>2.3969442072658165E-2</v>
      </c>
      <c r="AR237" s="4">
        <f t="shared" si="158"/>
        <v>1.6202243558389728E-2</v>
      </c>
    </row>
    <row r="238" spans="1:44" x14ac:dyDescent="0.3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60"/>
        <v>0.99780374543478534</v>
      </c>
      <c r="R238" s="4">
        <f t="shared" si="160"/>
        <v>0.99685359315256394</v>
      </c>
      <c r="S238" s="4">
        <f t="shared" si="160"/>
        <v>0.99549347132349975</v>
      </c>
      <c r="T238" s="4">
        <f t="shared" si="160"/>
        <v>0.99354772139898062</v>
      </c>
      <c r="U238" s="4">
        <f t="shared" si="160"/>
        <v>0.99076681540580536</v>
      </c>
      <c r="V238" s="4">
        <f t="shared" si="160"/>
        <v>0.9867978615748374</v>
      </c>
      <c r="W238" s="4">
        <f t="shared" si="160"/>
        <v>0.98114509762858249</v>
      </c>
      <c r="X238" s="4">
        <f t="shared" si="160"/>
        <v>0.97311898315872036</v>
      </c>
      <c r="Y238" s="4">
        <f t="shared" si="160"/>
        <v>0.96177484161592774</v>
      </c>
      <c r="Z238" s="4">
        <f t="shared" si="160"/>
        <v>0.94584787155511363</v>
      </c>
      <c r="AA238" s="4">
        <f t="shared" si="160"/>
        <v>0.92370360150141495</v>
      </c>
      <c r="AB238" s="4">
        <f t="shared" si="160"/>
        <v>0.89334463567658451</v>
      </c>
      <c r="AC238" s="4">
        <f t="shared" si="160"/>
        <v>0.85254543874327005</v>
      </c>
      <c r="AD238" s="4">
        <f t="shared" si="160"/>
        <v>0.79921300652623883</v>
      </c>
      <c r="AE238" s="4">
        <f t="shared" si="160"/>
        <v>0.73204982249993378</v>
      </c>
      <c r="AF238" s="4">
        <f t="shared" si="160"/>
        <v>0.65145592958786691</v>
      </c>
      <c r="AG238" s="4">
        <f t="shared" si="157"/>
        <v>0.56032247880849573</v>
      </c>
      <c r="AH238" s="4">
        <f t="shared" si="157"/>
        <v>0.46411326873185343</v>
      </c>
      <c r="AI238" s="4">
        <f t="shared" si="157"/>
        <v>0.36979727595523937</v>
      </c>
      <c r="AJ238" s="4">
        <f t="shared" si="158"/>
        <v>0.28393948637231203</v>
      </c>
      <c r="AK238" s="4">
        <f t="shared" si="158"/>
        <v>0.21097259161117732</v>
      </c>
      <c r="AL238" s="4">
        <f t="shared" si="158"/>
        <v>0.15253917653798199</v>
      </c>
      <c r="AM238" s="4">
        <f t="shared" si="158"/>
        <v>0.10795188737709993</v>
      </c>
      <c r="AN238" s="4">
        <f t="shared" si="158"/>
        <v>7.5176653938091809E-2</v>
      </c>
      <c r="AO238" s="4">
        <f t="shared" si="158"/>
        <v>5.1742836177502194E-2</v>
      </c>
      <c r="AP238" s="4">
        <f t="shared" si="158"/>
        <v>3.5319190625345942E-2</v>
      </c>
      <c r="AQ238" s="4">
        <f t="shared" si="158"/>
        <v>2.3969442072658165E-2</v>
      </c>
      <c r="AR238" s="4">
        <f t="shared" si="158"/>
        <v>1.6202243558389728E-2</v>
      </c>
    </row>
    <row r="239" spans="1:44" x14ac:dyDescent="0.3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60"/>
        <v>0.99780374543478534</v>
      </c>
      <c r="R239" s="4">
        <f t="shared" si="160"/>
        <v>0.99685359315256394</v>
      </c>
      <c r="S239" s="4">
        <f t="shared" si="160"/>
        <v>0.99549347132349975</v>
      </c>
      <c r="T239" s="4">
        <f t="shared" si="160"/>
        <v>0.99354772139898062</v>
      </c>
      <c r="U239" s="4">
        <f t="shared" si="160"/>
        <v>0.99076681540580536</v>
      </c>
      <c r="V239" s="4">
        <f t="shared" si="160"/>
        <v>0.9867978615748374</v>
      </c>
      <c r="W239" s="4">
        <f t="shared" si="160"/>
        <v>0.98114509762858249</v>
      </c>
      <c r="X239" s="4">
        <f t="shared" si="160"/>
        <v>0.97311898315872036</v>
      </c>
      <c r="Y239" s="4">
        <f t="shared" si="160"/>
        <v>0.96177484161592774</v>
      </c>
      <c r="Z239" s="4">
        <f t="shared" si="160"/>
        <v>0.94584787155511363</v>
      </c>
      <c r="AA239" s="4">
        <f t="shared" si="160"/>
        <v>0.92370360150141495</v>
      </c>
      <c r="AB239" s="4">
        <f t="shared" si="160"/>
        <v>0.89334463567658451</v>
      </c>
      <c r="AC239" s="4">
        <f t="shared" si="160"/>
        <v>0.85254543874327005</v>
      </c>
      <c r="AD239" s="4">
        <f t="shared" si="160"/>
        <v>0.79921300652623883</v>
      </c>
      <c r="AE239" s="4">
        <f t="shared" si="160"/>
        <v>0.73204982249993378</v>
      </c>
      <c r="AF239" s="4">
        <f t="shared" si="160"/>
        <v>0.65145592958786691</v>
      </c>
      <c r="AG239" s="4">
        <f t="shared" si="157"/>
        <v>0.56032247880849573</v>
      </c>
      <c r="AH239" s="4">
        <f t="shared" si="157"/>
        <v>0.46411326873185343</v>
      </c>
      <c r="AI239" s="4">
        <f t="shared" si="157"/>
        <v>0.36979727595523937</v>
      </c>
      <c r="AJ239" s="4">
        <f t="shared" si="158"/>
        <v>0.28393948637231203</v>
      </c>
      <c r="AK239" s="4">
        <f t="shared" si="158"/>
        <v>0.21097259161117732</v>
      </c>
      <c r="AL239" s="4">
        <f t="shared" si="158"/>
        <v>0.15253917653798199</v>
      </c>
      <c r="AM239" s="4">
        <f t="shared" si="158"/>
        <v>0.10795188737709993</v>
      </c>
      <c r="AN239" s="4">
        <f t="shared" si="158"/>
        <v>7.5176653938091809E-2</v>
      </c>
      <c r="AO239" s="4">
        <f t="shared" si="158"/>
        <v>5.1742836177502194E-2</v>
      </c>
      <c r="AP239" s="4">
        <f t="shared" si="158"/>
        <v>3.5319190625345942E-2</v>
      </c>
      <c r="AQ239" s="4">
        <f t="shared" si="158"/>
        <v>2.3969442072658165E-2</v>
      </c>
      <c r="AR239" s="4">
        <f t="shared" si="158"/>
        <v>1.6202243558389728E-2</v>
      </c>
    </row>
    <row r="240" spans="1:44" x14ac:dyDescent="0.3">
      <c r="A240" s="24" t="s">
        <v>73</v>
      </c>
      <c r="B240" s="45">
        <f>'Parameter Input'!$L$197</f>
        <v>0.04</v>
      </c>
      <c r="C240" s="46">
        <f>'Parameter Input'!$M$197</f>
        <v>0.04</v>
      </c>
      <c r="D240" s="1" t="s">
        <v>57</v>
      </c>
      <c r="L240" s="54">
        <f>'Parameter Input'!$O$197</f>
        <v>17</v>
      </c>
      <c r="M240" s="37">
        <v>0</v>
      </c>
      <c r="N240" s="37">
        <v>1</v>
      </c>
      <c r="O240" s="37">
        <f>'Parameter Input'!$P$197</f>
        <v>0.9</v>
      </c>
      <c r="P240" s="55">
        <f>'Parameter Input'!$Q$197</f>
        <v>0.4</v>
      </c>
      <c r="Q240" s="4">
        <f t="shared" si="160"/>
        <v>0.99780374543478534</v>
      </c>
      <c r="R240" s="4">
        <f t="shared" si="160"/>
        <v>0.99685359315256394</v>
      </c>
      <c r="S240" s="4">
        <f t="shared" si="160"/>
        <v>0.99549347132349975</v>
      </c>
      <c r="T240" s="4">
        <f t="shared" si="160"/>
        <v>0.99354772139898062</v>
      </c>
      <c r="U240" s="4">
        <f t="shared" si="160"/>
        <v>0.99076681540580536</v>
      </c>
      <c r="V240" s="4">
        <f t="shared" si="160"/>
        <v>0.9867978615748374</v>
      </c>
      <c r="W240" s="4">
        <f t="shared" si="160"/>
        <v>0.98114509762858249</v>
      </c>
      <c r="X240" s="4">
        <f t="shared" si="160"/>
        <v>0.97311898315872036</v>
      </c>
      <c r="Y240" s="4">
        <f t="shared" si="160"/>
        <v>0.96177484161592774</v>
      </c>
      <c r="Z240" s="4">
        <f t="shared" si="160"/>
        <v>0.94584787155511363</v>
      </c>
      <c r="AA240" s="4">
        <f t="shared" si="160"/>
        <v>0.92370360150141495</v>
      </c>
      <c r="AB240" s="4">
        <f t="shared" si="160"/>
        <v>0.89334463567658451</v>
      </c>
      <c r="AC240" s="4">
        <f t="shared" si="160"/>
        <v>0.85254543874327005</v>
      </c>
      <c r="AD240" s="4">
        <f t="shared" si="160"/>
        <v>0.79921300652623883</v>
      </c>
      <c r="AE240" s="4">
        <f t="shared" si="160"/>
        <v>0.73204982249993378</v>
      </c>
      <c r="AF240" s="4">
        <f t="shared" si="160"/>
        <v>0.65145592958786691</v>
      </c>
      <c r="AG240" s="4">
        <f t="shared" si="157"/>
        <v>0.56032247880849573</v>
      </c>
      <c r="AH240" s="4">
        <f t="shared" si="157"/>
        <v>0.46411326873185343</v>
      </c>
      <c r="AI240" s="4">
        <f t="shared" si="157"/>
        <v>0.36979727595523937</v>
      </c>
      <c r="AJ240" s="4">
        <f t="shared" si="158"/>
        <v>0.28393948637231203</v>
      </c>
      <c r="AK240" s="4">
        <f t="shared" si="158"/>
        <v>0.21097259161117732</v>
      </c>
      <c r="AL240" s="4">
        <f t="shared" si="158"/>
        <v>0.15253917653798199</v>
      </c>
      <c r="AM240" s="4">
        <f t="shared" si="158"/>
        <v>0.10795188737709993</v>
      </c>
      <c r="AN240" s="4">
        <f t="shared" si="158"/>
        <v>7.5176653938091809E-2</v>
      </c>
      <c r="AO240" s="4">
        <f t="shared" si="158"/>
        <v>5.1742836177502194E-2</v>
      </c>
      <c r="AP240" s="4">
        <f t="shared" si="158"/>
        <v>3.5319190625345942E-2</v>
      </c>
      <c r="AQ240" s="4">
        <f t="shared" si="158"/>
        <v>2.3969442072658165E-2</v>
      </c>
      <c r="AR240" s="4">
        <f t="shared" si="158"/>
        <v>1.6202243558389728E-2</v>
      </c>
    </row>
    <row r="241" spans="1:44" ht="15" thickBot="1" x14ac:dyDescent="0.35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60"/>
        <v>0.99780374543478534</v>
      </c>
      <c r="R241" s="4">
        <f t="shared" si="160"/>
        <v>0.99685359315256394</v>
      </c>
      <c r="S241" s="4">
        <f t="shared" si="160"/>
        <v>0.99549347132349975</v>
      </c>
      <c r="T241" s="4">
        <f t="shared" si="160"/>
        <v>0.99354772139898062</v>
      </c>
      <c r="U241" s="4">
        <f t="shared" si="160"/>
        <v>0.99076681540580536</v>
      </c>
      <c r="V241" s="4">
        <f t="shared" si="160"/>
        <v>0.9867978615748374</v>
      </c>
      <c r="W241" s="4">
        <f t="shared" si="160"/>
        <v>0.98114509762858249</v>
      </c>
      <c r="X241" s="4">
        <f t="shared" si="160"/>
        <v>0.97311898315872036</v>
      </c>
      <c r="Y241" s="4">
        <f t="shared" si="160"/>
        <v>0.96177484161592774</v>
      </c>
      <c r="Z241" s="4">
        <f t="shared" si="160"/>
        <v>0.94584787155511363</v>
      </c>
      <c r="AA241" s="4">
        <f t="shared" si="160"/>
        <v>0.92370360150141495</v>
      </c>
      <c r="AB241" s="4">
        <f t="shared" si="160"/>
        <v>0.89334463567658451</v>
      </c>
      <c r="AC241" s="4">
        <f t="shared" si="160"/>
        <v>0.85254543874327005</v>
      </c>
      <c r="AD241" s="4">
        <f t="shared" si="160"/>
        <v>0.79921300652623883</v>
      </c>
      <c r="AE241" s="4">
        <f t="shared" si="160"/>
        <v>0.73204982249993378</v>
      </c>
      <c r="AF241" s="4">
        <f t="shared" si="160"/>
        <v>0.65145592958786691</v>
      </c>
      <c r="AG241" s="4">
        <f t="shared" si="157"/>
        <v>0.56032247880849573</v>
      </c>
      <c r="AH241" s="4">
        <f t="shared" si="157"/>
        <v>0.46411326873185343</v>
      </c>
      <c r="AI241" s="4">
        <f t="shared" si="157"/>
        <v>0.36979727595523937</v>
      </c>
      <c r="AJ241" s="4">
        <f t="shared" si="158"/>
        <v>0.28393948637231203</v>
      </c>
      <c r="AK241" s="4">
        <f t="shared" si="158"/>
        <v>0.21097259161117732</v>
      </c>
      <c r="AL241" s="4">
        <f t="shared" si="158"/>
        <v>0.15253917653798199</v>
      </c>
      <c r="AM241" s="4">
        <f t="shared" si="158"/>
        <v>0.10795188737709993</v>
      </c>
      <c r="AN241" s="4">
        <f t="shared" si="158"/>
        <v>7.5176653938091809E-2</v>
      </c>
      <c r="AO241" s="4">
        <f t="shared" si="158"/>
        <v>5.1742836177502194E-2</v>
      </c>
      <c r="AP241" s="4">
        <f t="shared" si="158"/>
        <v>3.5319190625345942E-2</v>
      </c>
      <c r="AQ241" s="4">
        <f t="shared" si="158"/>
        <v>2.3969442072658165E-2</v>
      </c>
      <c r="AR241" s="4">
        <f t="shared" si="158"/>
        <v>1.6202243558389728E-2</v>
      </c>
    </row>
    <row r="242" spans="1:44" x14ac:dyDescent="0.3">
      <c r="A242" s="25"/>
      <c r="B242" s="40"/>
    </row>
    <row r="243" spans="1:44" ht="15" thickBot="1" x14ac:dyDescent="0.35"/>
    <row r="244" spans="1:44" ht="15" thickBot="1" x14ac:dyDescent="0.35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3">
      <c r="A245" s="29" t="str">
        <f t="shared" ref="A245:A254" si="161">A225</f>
        <v>Capex vehicle</v>
      </c>
      <c r="B245" s="62">
        <f t="shared" ref="B245:B254" si="162">$B225+($C225-$B225)*(1-Q225)</f>
        <v>19490116.854456533</v>
      </c>
      <c r="C245" s="62">
        <f t="shared" ref="C245:C254" si="163">$B225+($C225-$B225)*(1-R225)</f>
        <v>19485841.169186536</v>
      </c>
      <c r="D245" s="62">
        <f t="shared" ref="D245:D254" si="164">$B225+($C225-$B225)*(1-S225)</f>
        <v>19479720.62095575</v>
      </c>
      <c r="E245" s="62">
        <f t="shared" ref="E245:E254" si="165">$B225+($C225-$B225)*(1-T225)</f>
        <v>19470964.746295411</v>
      </c>
      <c r="F245" s="62">
        <f t="shared" ref="F245:F254" si="166">$B225+($C225-$B225)*(1-U225)</f>
        <v>19458450.669326123</v>
      </c>
      <c r="G245" s="62">
        <f t="shared" ref="G245:G254" si="167">$B225+($C225-$B225)*(1-V225)</f>
        <v>19440590.37708677</v>
      </c>
      <c r="H245" s="62">
        <f t="shared" ref="H245:H254" si="168">$B225+($C225-$B225)*(1-W225)</f>
        <v>19415152.939328622</v>
      </c>
      <c r="I245" s="62">
        <f t="shared" ref="I245:I254" si="169">$B225+($C225-$B225)*(1-X225)</f>
        <v>19379035.42421424</v>
      </c>
      <c r="J245" s="62">
        <f t="shared" ref="J245:J254" si="170">$B225+($C225-$B225)*(1-Y225)</f>
        <v>19327986.787271675</v>
      </c>
      <c r="K245" s="62">
        <f t="shared" ref="K245:K254" si="171">$B225+($C225-$B225)*(1-Z225)</f>
        <v>19256315.421998013</v>
      </c>
      <c r="L245" s="62">
        <f t="shared" ref="L245:L254" si="172">$B225+($C225-$B225)*(1-AA225)</f>
        <v>19156666.206756368</v>
      </c>
      <c r="M245" s="62">
        <f t="shared" ref="M245:M254" si="173">$B225+($C225-$B225)*(1-AB225)</f>
        <v>19020050.860544629</v>
      </c>
      <c r="N245" s="62">
        <f t="shared" ref="N245:N254" si="174">$B225+($C225-$B225)*(1-AC225)</f>
        <v>18836454.474344715</v>
      </c>
      <c r="O245" s="62">
        <f t="shared" ref="O245:O254" si="175">$B225+($C225-$B225)*(1-AD225)</f>
        <v>18596458.529368076</v>
      </c>
      <c r="P245" s="62">
        <f t="shared" ref="P245:P254" si="176">$B225+($C225-$B225)*(1-AE225)</f>
        <v>18294224.201249704</v>
      </c>
      <c r="Q245" s="62">
        <f t="shared" ref="Q245:Q254" si="177">$B225+($C225-$B225)*(1-AF225)</f>
        <v>17931551.6831454</v>
      </c>
      <c r="R245" s="62">
        <f t="shared" ref="R245:R254" si="178">$B225+($C225-$B225)*(1-AG225)</f>
        <v>17521451.154638231</v>
      </c>
      <c r="S245" s="62">
        <f t="shared" ref="S245:S254" si="179">$B225+($C225-$B225)*(1-AH225)</f>
        <v>17088509.709293339</v>
      </c>
      <c r="T245" s="62">
        <f t="shared" ref="T245:T254" si="180">$B225+($C225-$B225)*(1-AI225)</f>
        <v>16664087.741798578</v>
      </c>
      <c r="U245" s="62">
        <f t="shared" ref="U245:U254" si="181">$B225+($C225-$B225)*(1-AJ225)</f>
        <v>16277727.688675404</v>
      </c>
      <c r="V245" s="62">
        <f t="shared" ref="V245:V254" si="182">$B225+($C225-$B225)*(1-AK225)</f>
        <v>15949376.662250299</v>
      </c>
      <c r="W245" s="62">
        <f t="shared" ref="W245:W254" si="183">$B225+($C225-$B225)*(1-AL225)</f>
        <v>15686426.294420918</v>
      </c>
      <c r="X245" s="62">
        <f t="shared" ref="X245:X254" si="184">$B225+($C225-$B225)*(1-AM225)</f>
        <v>15485783.493196949</v>
      </c>
      <c r="Y245" s="62">
        <f t="shared" ref="Y245:Y254" si="185">$B225+($C225-$B225)*(1-AN225)</f>
        <v>15338294.942721413</v>
      </c>
      <c r="Z245" s="62">
        <f t="shared" ref="Z245:Z254" si="186">$B225+($C225-$B225)*(1-AO225)</f>
        <v>15232842.76279876</v>
      </c>
      <c r="AA245" s="62">
        <f t="shared" ref="AA245:AA254" si="187">$B225+($C225-$B225)*(1-AP225)</f>
        <v>15158936.357814057</v>
      </c>
      <c r="AB245" s="62">
        <f t="shared" ref="AB245:AB254" si="188">$B225+($C225-$B225)*(1-AQ225)</f>
        <v>15107862.489326961</v>
      </c>
      <c r="AC245" s="62">
        <f t="shared" ref="AC245:AC254" si="189">$B225+($C225-$B225)*(1-AR225)</f>
        <v>15072910.096012753</v>
      </c>
    </row>
    <row r="246" spans="1:44" x14ac:dyDescent="0.3">
      <c r="A246" s="30" t="str">
        <f t="shared" si="161"/>
        <v>Residual value (vehicle)</v>
      </c>
      <c r="B246" s="62">
        <f t="shared" si="162"/>
        <v>-976153.03364673769</v>
      </c>
      <c r="C246" s="62">
        <f t="shared" si="163"/>
        <v>-976651.86359490396</v>
      </c>
      <c r="D246" s="62">
        <f t="shared" si="164"/>
        <v>-977365.92755516258</v>
      </c>
      <c r="E246" s="62">
        <f t="shared" si="165"/>
        <v>-978387.4462655352</v>
      </c>
      <c r="F246" s="62">
        <f t="shared" si="166"/>
        <v>-979847.4219119522</v>
      </c>
      <c r="G246" s="62">
        <f t="shared" si="167"/>
        <v>-981931.12267321034</v>
      </c>
      <c r="H246" s="62">
        <f t="shared" si="168"/>
        <v>-984898.82374499424</v>
      </c>
      <c r="I246" s="62">
        <f t="shared" si="169"/>
        <v>-989112.53384167177</v>
      </c>
      <c r="J246" s="62">
        <f t="shared" si="170"/>
        <v>-995068.20815163793</v>
      </c>
      <c r="K246" s="62">
        <f t="shared" si="171"/>
        <v>-1003429.8674335653</v>
      </c>
      <c r="L246" s="62">
        <f t="shared" si="172"/>
        <v>-1015055.6092117572</v>
      </c>
      <c r="M246" s="62">
        <f t="shared" si="173"/>
        <v>-1030994.0662697931</v>
      </c>
      <c r="N246" s="62">
        <f t="shared" si="174"/>
        <v>-1052413.6446597832</v>
      </c>
      <c r="O246" s="62">
        <f t="shared" si="175"/>
        <v>-1080413.1715737246</v>
      </c>
      <c r="P246" s="62">
        <f t="shared" si="176"/>
        <v>-1115673.8431875347</v>
      </c>
      <c r="Q246" s="62">
        <f t="shared" si="177"/>
        <v>-1157985.6369663698</v>
      </c>
      <c r="R246" s="62">
        <f t="shared" si="178"/>
        <v>-1205830.6986255397</v>
      </c>
      <c r="S246" s="62">
        <f t="shared" si="179"/>
        <v>-1256340.533915777</v>
      </c>
      <c r="T246" s="62">
        <f t="shared" si="180"/>
        <v>-1305856.4301234994</v>
      </c>
      <c r="U246" s="62">
        <f t="shared" si="181"/>
        <v>-1350931.7696545362</v>
      </c>
      <c r="V246" s="62">
        <f t="shared" si="182"/>
        <v>-1389239.389404132</v>
      </c>
      <c r="W246" s="62">
        <f t="shared" si="183"/>
        <v>-1419916.9323175594</v>
      </c>
      <c r="X246" s="62">
        <f t="shared" si="184"/>
        <v>-1443325.2591270225</v>
      </c>
      <c r="Y246" s="62">
        <f t="shared" si="185"/>
        <v>-1460532.2566825019</v>
      </c>
      <c r="Z246" s="62">
        <f t="shared" si="186"/>
        <v>-1472835.0110068114</v>
      </c>
      <c r="AA246" s="62">
        <f t="shared" si="187"/>
        <v>-1481457.4249216933</v>
      </c>
      <c r="AB246" s="62">
        <f t="shared" si="188"/>
        <v>-1487416.0429118546</v>
      </c>
      <c r="AC246" s="62">
        <f t="shared" si="189"/>
        <v>-1491493.8221318454</v>
      </c>
    </row>
    <row r="247" spans="1:44" x14ac:dyDescent="0.3">
      <c r="A247" s="30" t="str">
        <f t="shared" si="161"/>
        <v>Capex costumization</v>
      </c>
      <c r="B247" s="62">
        <f t="shared" si="162"/>
        <v>1000000</v>
      </c>
      <c r="C247" s="62">
        <f t="shared" si="163"/>
        <v>1000000</v>
      </c>
      <c r="D247" s="62">
        <f t="shared" si="164"/>
        <v>1000000</v>
      </c>
      <c r="E247" s="62">
        <f t="shared" si="165"/>
        <v>1000000</v>
      </c>
      <c r="F247" s="62">
        <f t="shared" si="166"/>
        <v>1000000</v>
      </c>
      <c r="G247" s="62">
        <f t="shared" si="167"/>
        <v>1000000</v>
      </c>
      <c r="H247" s="62">
        <f t="shared" si="168"/>
        <v>1000000</v>
      </c>
      <c r="I247" s="62">
        <f t="shared" si="169"/>
        <v>1000000</v>
      </c>
      <c r="J247" s="62">
        <f t="shared" si="170"/>
        <v>1000000</v>
      </c>
      <c r="K247" s="62">
        <f t="shared" si="171"/>
        <v>1000000</v>
      </c>
      <c r="L247" s="62">
        <f t="shared" si="172"/>
        <v>1000000</v>
      </c>
      <c r="M247" s="62">
        <f t="shared" si="173"/>
        <v>1000000</v>
      </c>
      <c r="N247" s="62">
        <f t="shared" si="174"/>
        <v>1000000</v>
      </c>
      <c r="O247" s="62">
        <f t="shared" si="175"/>
        <v>1000000</v>
      </c>
      <c r="P247" s="62">
        <f t="shared" si="176"/>
        <v>1000000</v>
      </c>
      <c r="Q247" s="62">
        <f t="shared" si="177"/>
        <v>1000000</v>
      </c>
      <c r="R247" s="62">
        <f t="shared" si="178"/>
        <v>1000000</v>
      </c>
      <c r="S247" s="62">
        <f t="shared" si="179"/>
        <v>1000000</v>
      </c>
      <c r="T247" s="62">
        <f t="shared" si="180"/>
        <v>1000000</v>
      </c>
      <c r="U247" s="62">
        <f t="shared" si="181"/>
        <v>1000000</v>
      </c>
      <c r="V247" s="62">
        <f t="shared" si="182"/>
        <v>1000000</v>
      </c>
      <c r="W247" s="62">
        <f t="shared" si="183"/>
        <v>1000000</v>
      </c>
      <c r="X247" s="62">
        <f t="shared" si="184"/>
        <v>1000000</v>
      </c>
      <c r="Y247" s="62">
        <f t="shared" si="185"/>
        <v>1000000</v>
      </c>
      <c r="Z247" s="62">
        <f t="shared" si="186"/>
        <v>1000000</v>
      </c>
      <c r="AA247" s="62">
        <f t="shared" si="187"/>
        <v>1000000</v>
      </c>
      <c r="AB247" s="62">
        <f t="shared" si="188"/>
        <v>1000000</v>
      </c>
      <c r="AC247" s="62">
        <f t="shared" si="189"/>
        <v>1000000</v>
      </c>
    </row>
    <row r="248" spans="1:44" x14ac:dyDescent="0.3">
      <c r="A248" s="30" t="str">
        <f t="shared" si="161"/>
        <v>Residual value (costumization)</v>
      </c>
      <c r="B248" s="62">
        <f t="shared" si="162"/>
        <v>-100000</v>
      </c>
      <c r="C248" s="62">
        <f t="shared" si="163"/>
        <v>-100000</v>
      </c>
      <c r="D248" s="62">
        <f t="shared" si="164"/>
        <v>-100000</v>
      </c>
      <c r="E248" s="62">
        <f t="shared" si="165"/>
        <v>-100000</v>
      </c>
      <c r="F248" s="62">
        <f t="shared" si="166"/>
        <v>-100000</v>
      </c>
      <c r="G248" s="62">
        <f t="shared" si="167"/>
        <v>-100000</v>
      </c>
      <c r="H248" s="62">
        <f t="shared" si="168"/>
        <v>-100000</v>
      </c>
      <c r="I248" s="62">
        <f t="shared" si="169"/>
        <v>-100000</v>
      </c>
      <c r="J248" s="62">
        <f t="shared" si="170"/>
        <v>-100000</v>
      </c>
      <c r="K248" s="62">
        <f t="shared" si="171"/>
        <v>-100000</v>
      </c>
      <c r="L248" s="62">
        <f t="shared" si="172"/>
        <v>-100000</v>
      </c>
      <c r="M248" s="62">
        <f t="shared" si="173"/>
        <v>-100000</v>
      </c>
      <c r="N248" s="62">
        <f t="shared" si="174"/>
        <v>-100000</v>
      </c>
      <c r="O248" s="62">
        <f t="shared" si="175"/>
        <v>-100000</v>
      </c>
      <c r="P248" s="62">
        <f t="shared" si="176"/>
        <v>-100000</v>
      </c>
      <c r="Q248" s="62">
        <f t="shared" si="177"/>
        <v>-100000</v>
      </c>
      <c r="R248" s="62">
        <f t="shared" si="178"/>
        <v>-100000</v>
      </c>
      <c r="S248" s="62">
        <f t="shared" si="179"/>
        <v>-100000</v>
      </c>
      <c r="T248" s="62">
        <f t="shared" si="180"/>
        <v>-100000</v>
      </c>
      <c r="U248" s="62">
        <f t="shared" si="181"/>
        <v>-100000</v>
      </c>
      <c r="V248" s="62">
        <f t="shared" si="182"/>
        <v>-100000</v>
      </c>
      <c r="W248" s="62">
        <f t="shared" si="183"/>
        <v>-100000</v>
      </c>
      <c r="X248" s="62">
        <f t="shared" si="184"/>
        <v>-100000</v>
      </c>
      <c r="Y248" s="62">
        <f t="shared" si="185"/>
        <v>-100000</v>
      </c>
      <c r="Z248" s="62">
        <f t="shared" si="186"/>
        <v>-100000</v>
      </c>
      <c r="AA248" s="62">
        <f t="shared" si="187"/>
        <v>-100000</v>
      </c>
      <c r="AB248" s="62">
        <f t="shared" si="188"/>
        <v>-100000</v>
      </c>
      <c r="AC248" s="62">
        <f t="shared" si="189"/>
        <v>-100000</v>
      </c>
    </row>
    <row r="249" spans="1:44" x14ac:dyDescent="0.3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3">
      <c r="A250" s="30" t="str">
        <f t="shared" si="161"/>
        <v>Opex fix (admin, crew, insurance)</v>
      </c>
      <c r="B250" s="62">
        <f t="shared" si="162"/>
        <v>1208235.294117647</v>
      </c>
      <c r="C250" s="62">
        <f t="shared" si="163"/>
        <v>1208235.294117647</v>
      </c>
      <c r="D250" s="62">
        <f t="shared" si="164"/>
        <v>1208235.294117647</v>
      </c>
      <c r="E250" s="62">
        <f t="shared" si="165"/>
        <v>1208235.294117647</v>
      </c>
      <c r="F250" s="62">
        <f t="shared" si="166"/>
        <v>1208235.294117647</v>
      </c>
      <c r="G250" s="62">
        <f t="shared" si="167"/>
        <v>1208235.294117647</v>
      </c>
      <c r="H250" s="62">
        <f t="shared" si="168"/>
        <v>1208235.294117647</v>
      </c>
      <c r="I250" s="62">
        <f t="shared" si="169"/>
        <v>1208235.294117647</v>
      </c>
      <c r="J250" s="62">
        <f t="shared" si="170"/>
        <v>1208235.294117647</v>
      </c>
      <c r="K250" s="62">
        <f t="shared" si="171"/>
        <v>1208235.294117647</v>
      </c>
      <c r="L250" s="62">
        <f t="shared" si="172"/>
        <v>1208235.294117647</v>
      </c>
      <c r="M250" s="62">
        <f t="shared" si="173"/>
        <v>1208235.294117647</v>
      </c>
      <c r="N250" s="62">
        <f t="shared" si="174"/>
        <v>1208235.294117647</v>
      </c>
      <c r="O250" s="62">
        <f t="shared" si="175"/>
        <v>1208235.294117647</v>
      </c>
      <c r="P250" s="62">
        <f t="shared" si="176"/>
        <v>1208235.294117647</v>
      </c>
      <c r="Q250" s="62">
        <f t="shared" si="177"/>
        <v>1208235.294117647</v>
      </c>
      <c r="R250" s="62">
        <f t="shared" si="178"/>
        <v>1208235.294117647</v>
      </c>
      <c r="S250" s="62">
        <f t="shared" si="179"/>
        <v>1208235.294117647</v>
      </c>
      <c r="T250" s="62">
        <f t="shared" si="180"/>
        <v>1208235.294117647</v>
      </c>
      <c r="U250" s="62">
        <f t="shared" si="181"/>
        <v>1208235.294117647</v>
      </c>
      <c r="V250" s="62">
        <f t="shared" si="182"/>
        <v>1208235.294117647</v>
      </c>
      <c r="W250" s="62">
        <f t="shared" si="183"/>
        <v>1208235.294117647</v>
      </c>
      <c r="X250" s="62">
        <f t="shared" si="184"/>
        <v>1208235.294117647</v>
      </c>
      <c r="Y250" s="62">
        <f t="shared" si="185"/>
        <v>1208235.294117647</v>
      </c>
      <c r="Z250" s="62">
        <f t="shared" si="186"/>
        <v>1208235.294117647</v>
      </c>
      <c r="AA250" s="62">
        <f t="shared" si="187"/>
        <v>1208235.294117647</v>
      </c>
      <c r="AB250" s="62">
        <f t="shared" si="188"/>
        <v>1208235.294117647</v>
      </c>
      <c r="AC250" s="62">
        <f t="shared" si="189"/>
        <v>1208235.294117647</v>
      </c>
    </row>
    <row r="251" spans="1:44" x14ac:dyDescent="0.3">
      <c r="A251" s="30" t="str">
        <f t="shared" si="161"/>
        <v>Opex maintenance &amp; repair</v>
      </c>
      <c r="B251" s="62">
        <f t="shared" si="162"/>
        <v>488235.29411764705</v>
      </c>
      <c r="C251" s="62">
        <f t="shared" si="163"/>
        <v>488235.29411764705</v>
      </c>
      <c r="D251" s="62">
        <f t="shared" si="164"/>
        <v>488235.29411764705</v>
      </c>
      <c r="E251" s="62">
        <f t="shared" si="165"/>
        <v>488235.29411764705</v>
      </c>
      <c r="F251" s="62">
        <f t="shared" si="166"/>
        <v>488235.29411764705</v>
      </c>
      <c r="G251" s="62">
        <f t="shared" si="167"/>
        <v>488235.29411764705</v>
      </c>
      <c r="H251" s="62">
        <f t="shared" si="168"/>
        <v>488235.29411764705</v>
      </c>
      <c r="I251" s="62">
        <f t="shared" si="169"/>
        <v>488235.29411764705</v>
      </c>
      <c r="J251" s="62">
        <f t="shared" si="170"/>
        <v>488235.29411764705</v>
      </c>
      <c r="K251" s="62">
        <f t="shared" si="171"/>
        <v>488235.29411764705</v>
      </c>
      <c r="L251" s="62">
        <f t="shared" si="172"/>
        <v>488235.29411764705</v>
      </c>
      <c r="M251" s="62">
        <f t="shared" si="173"/>
        <v>488235.29411764705</v>
      </c>
      <c r="N251" s="62">
        <f t="shared" si="174"/>
        <v>488235.29411764705</v>
      </c>
      <c r="O251" s="62">
        <f t="shared" si="175"/>
        <v>488235.29411764705</v>
      </c>
      <c r="P251" s="62">
        <f t="shared" si="176"/>
        <v>488235.29411764705</v>
      </c>
      <c r="Q251" s="62">
        <f t="shared" si="177"/>
        <v>488235.29411764705</v>
      </c>
      <c r="R251" s="62">
        <f t="shared" si="178"/>
        <v>488235.29411764705</v>
      </c>
      <c r="S251" s="62">
        <f t="shared" si="179"/>
        <v>488235.29411764705</v>
      </c>
      <c r="T251" s="62">
        <f t="shared" si="180"/>
        <v>488235.29411764705</v>
      </c>
      <c r="U251" s="62">
        <f t="shared" si="181"/>
        <v>488235.29411764705</v>
      </c>
      <c r="V251" s="62">
        <f t="shared" si="182"/>
        <v>488235.29411764705</v>
      </c>
      <c r="W251" s="62">
        <f t="shared" si="183"/>
        <v>488235.29411764705</v>
      </c>
      <c r="X251" s="62">
        <f t="shared" si="184"/>
        <v>488235.29411764705</v>
      </c>
      <c r="Y251" s="62">
        <f t="shared" si="185"/>
        <v>488235.29411764705</v>
      </c>
      <c r="Z251" s="62">
        <f t="shared" si="186"/>
        <v>488235.29411764705</v>
      </c>
      <c r="AA251" s="62">
        <f t="shared" si="187"/>
        <v>488235.29411764705</v>
      </c>
      <c r="AB251" s="62">
        <f t="shared" si="188"/>
        <v>488235.29411764705</v>
      </c>
      <c r="AC251" s="62">
        <f t="shared" si="189"/>
        <v>488235.29411764705</v>
      </c>
    </row>
    <row r="252" spans="1:44" x14ac:dyDescent="0.3">
      <c r="A252" s="30" t="str">
        <f t="shared" si="161"/>
        <v>Opex var (mode-fees)</v>
      </c>
      <c r="B252" s="62">
        <f t="shared" si="162"/>
        <v>0.81280569096848254</v>
      </c>
      <c r="C252" s="62">
        <f t="shared" si="163"/>
        <v>0.81280569096848254</v>
      </c>
      <c r="D252" s="62">
        <f t="shared" si="164"/>
        <v>0.81280569096848254</v>
      </c>
      <c r="E252" s="62">
        <f t="shared" si="165"/>
        <v>0.81280569096848254</v>
      </c>
      <c r="F252" s="62">
        <f t="shared" si="166"/>
        <v>0.81280569096848254</v>
      </c>
      <c r="G252" s="62">
        <f t="shared" si="167"/>
        <v>0.81280569096848254</v>
      </c>
      <c r="H252" s="62">
        <f t="shared" si="168"/>
        <v>0.81280569096848254</v>
      </c>
      <c r="I252" s="62">
        <f t="shared" si="169"/>
        <v>0.81280569096848254</v>
      </c>
      <c r="J252" s="62">
        <f t="shared" si="170"/>
        <v>0.81280569096848254</v>
      </c>
      <c r="K252" s="62">
        <f t="shared" si="171"/>
        <v>0.81280569096848254</v>
      </c>
      <c r="L252" s="62">
        <f t="shared" si="172"/>
        <v>0.81280569096848254</v>
      </c>
      <c r="M252" s="62">
        <f t="shared" si="173"/>
        <v>0.81280569096848254</v>
      </c>
      <c r="N252" s="62">
        <f t="shared" si="174"/>
        <v>0.81280569096848254</v>
      </c>
      <c r="O252" s="62">
        <f t="shared" si="175"/>
        <v>0.81280569096848254</v>
      </c>
      <c r="P252" s="62">
        <f t="shared" si="176"/>
        <v>0.81280569096848254</v>
      </c>
      <c r="Q252" s="62">
        <f t="shared" si="177"/>
        <v>0.81280569096848254</v>
      </c>
      <c r="R252" s="62">
        <f t="shared" si="178"/>
        <v>0.81280569096848254</v>
      </c>
      <c r="S252" s="62">
        <f t="shared" si="179"/>
        <v>0.81280569096848254</v>
      </c>
      <c r="T252" s="62">
        <f t="shared" si="180"/>
        <v>0.81280569096848254</v>
      </c>
      <c r="U252" s="62">
        <f t="shared" si="181"/>
        <v>0.81280569096848254</v>
      </c>
      <c r="V252" s="62">
        <f t="shared" si="182"/>
        <v>0.81280569096848254</v>
      </c>
      <c r="W252" s="62">
        <f t="shared" si="183"/>
        <v>0.81280569096848254</v>
      </c>
      <c r="X252" s="62">
        <f t="shared" si="184"/>
        <v>0.81280569096848254</v>
      </c>
      <c r="Y252" s="62">
        <f t="shared" si="185"/>
        <v>0.81280569096848254</v>
      </c>
      <c r="Z252" s="62">
        <f t="shared" si="186"/>
        <v>0.81280569096848254</v>
      </c>
      <c r="AA252" s="62">
        <f t="shared" si="187"/>
        <v>0.81280569096848254</v>
      </c>
      <c r="AB252" s="62">
        <f t="shared" si="188"/>
        <v>0.81280569096848254</v>
      </c>
      <c r="AC252" s="62">
        <f t="shared" si="189"/>
        <v>0.81280569096848254</v>
      </c>
    </row>
    <row r="253" spans="1:44" x14ac:dyDescent="0.3">
      <c r="A253" s="30" t="str">
        <f t="shared" si="161"/>
        <v>Fuel Economy</v>
      </c>
      <c r="B253" s="62">
        <f t="shared" si="162"/>
        <v>646.89677603543487</v>
      </c>
      <c r="C253" s="62">
        <f t="shared" si="163"/>
        <v>646.85211887817047</v>
      </c>
      <c r="D253" s="62">
        <f t="shared" si="164"/>
        <v>646.78819315220449</v>
      </c>
      <c r="E253" s="62">
        <f t="shared" si="165"/>
        <v>646.6967429057521</v>
      </c>
      <c r="F253" s="62">
        <f t="shared" si="166"/>
        <v>646.5660403240729</v>
      </c>
      <c r="G253" s="62">
        <f t="shared" si="167"/>
        <v>646.37949949401741</v>
      </c>
      <c r="H253" s="62">
        <f t="shared" si="168"/>
        <v>646.11381958854338</v>
      </c>
      <c r="I253" s="62">
        <f t="shared" si="169"/>
        <v>645.73659220845991</v>
      </c>
      <c r="J253" s="62">
        <f t="shared" si="170"/>
        <v>645.20341755594859</v>
      </c>
      <c r="K253" s="62">
        <f t="shared" si="171"/>
        <v>644.4548499630904</v>
      </c>
      <c r="L253" s="62">
        <f t="shared" si="172"/>
        <v>643.41406927056653</v>
      </c>
      <c r="M253" s="62">
        <f t="shared" si="173"/>
        <v>641.98719787679943</v>
      </c>
      <c r="N253" s="62">
        <f t="shared" si="174"/>
        <v>640.0696356209337</v>
      </c>
      <c r="O253" s="62">
        <f t="shared" si="175"/>
        <v>637.56301130673319</v>
      </c>
      <c r="P253" s="62">
        <f t="shared" si="176"/>
        <v>634.40634165749691</v>
      </c>
      <c r="Q253" s="62">
        <f t="shared" si="177"/>
        <v>630.6184286906298</v>
      </c>
      <c r="R253" s="62">
        <f t="shared" si="178"/>
        <v>626.33515650399931</v>
      </c>
      <c r="S253" s="62">
        <f t="shared" si="179"/>
        <v>621.81332363039712</v>
      </c>
      <c r="T253" s="62">
        <f t="shared" si="180"/>
        <v>617.38047196989623</v>
      </c>
      <c r="U253" s="62">
        <f t="shared" si="181"/>
        <v>613.34515585949862</v>
      </c>
      <c r="V253" s="62">
        <f t="shared" si="182"/>
        <v>609.91571180572532</v>
      </c>
      <c r="W253" s="62">
        <f t="shared" si="183"/>
        <v>607.1693412972852</v>
      </c>
      <c r="X253" s="62">
        <f t="shared" si="184"/>
        <v>605.0737387067237</v>
      </c>
      <c r="Y253" s="62">
        <f t="shared" si="185"/>
        <v>603.53330273509027</v>
      </c>
      <c r="Z253" s="62">
        <f t="shared" si="186"/>
        <v>602.43191330034256</v>
      </c>
      <c r="AA253" s="62">
        <f t="shared" si="187"/>
        <v>601.66000195939125</v>
      </c>
      <c r="AB253" s="62">
        <f t="shared" si="188"/>
        <v>601.12656377741496</v>
      </c>
      <c r="AC253" s="62">
        <f t="shared" si="189"/>
        <v>600.7615054472443</v>
      </c>
    </row>
    <row r="254" spans="1:44" x14ac:dyDescent="0.3">
      <c r="A254" s="30" t="str">
        <f t="shared" si="161"/>
        <v>Fuel Cost</v>
      </c>
      <c r="B254" s="62">
        <f t="shared" si="162"/>
        <v>0.38635004716516047</v>
      </c>
      <c r="C254" s="62">
        <f t="shared" si="163"/>
        <v>0.38607632048717594</v>
      </c>
      <c r="D254" s="62">
        <f t="shared" si="164"/>
        <v>0.38568448684441137</v>
      </c>
      <c r="E254" s="62">
        <f t="shared" si="165"/>
        <v>0.38512394126346305</v>
      </c>
      <c r="F254" s="62">
        <f t="shared" si="166"/>
        <v>0.38432279793776442</v>
      </c>
      <c r="G254" s="62">
        <f t="shared" si="167"/>
        <v>0.38317939327774014</v>
      </c>
      <c r="H254" s="62">
        <f t="shared" si="168"/>
        <v>0.38155090453399765</v>
      </c>
      <c r="I254" s="62">
        <f t="shared" si="169"/>
        <v>0.37923868396465671</v>
      </c>
      <c r="J254" s="62">
        <f t="shared" si="170"/>
        <v>0.37597058238010372</v>
      </c>
      <c r="K254" s="62">
        <f t="shared" si="171"/>
        <v>0.37138222671682802</v>
      </c>
      <c r="L254" s="62">
        <f t="shared" si="172"/>
        <v>0.36500274672019128</v>
      </c>
      <c r="M254" s="62">
        <f t="shared" si="173"/>
        <v>0.35625671830162364</v>
      </c>
      <c r="N254" s="62">
        <f t="shared" si="174"/>
        <v>0.34450299329358486</v>
      </c>
      <c r="O254" s="62">
        <f t="shared" si="175"/>
        <v>0.32913860405539874</v>
      </c>
      <c r="P254" s="62">
        <f t="shared" si="176"/>
        <v>0.30978975272874687</v>
      </c>
      <c r="Q254" s="62">
        <f t="shared" si="177"/>
        <v>0.28657168654562887</v>
      </c>
      <c r="R254" s="62">
        <f t="shared" si="178"/>
        <v>0.26031730900861128</v>
      </c>
      <c r="S254" s="62">
        <f t="shared" si="179"/>
        <v>0.23260067036178236</v>
      </c>
      <c r="T254" s="62">
        <f t="shared" si="180"/>
        <v>0.20542944332100452</v>
      </c>
      <c r="U254" s="62">
        <f t="shared" si="181"/>
        <v>0.1806949160653524</v>
      </c>
      <c r="V254" s="62">
        <f t="shared" si="182"/>
        <v>0.15967409016246348</v>
      </c>
      <c r="W254" s="62">
        <f t="shared" si="183"/>
        <v>0.14284017323087519</v>
      </c>
      <c r="X254" s="62">
        <f t="shared" si="184"/>
        <v>0.12999514746952273</v>
      </c>
      <c r="Y254" s="62">
        <f t="shared" si="185"/>
        <v>0.1205530233623735</v>
      </c>
      <c r="Z254" s="62">
        <f t="shared" si="186"/>
        <v>0.11380204122180199</v>
      </c>
      <c r="AA254" s="62">
        <f t="shared" si="187"/>
        <v>0.10907059972394451</v>
      </c>
      <c r="AB254" s="62">
        <f t="shared" si="188"/>
        <v>0.10580088283180267</v>
      </c>
      <c r="AC254" s="62">
        <f t="shared" si="189"/>
        <v>0.10356325262626759</v>
      </c>
    </row>
    <row r="255" spans="1:44" x14ac:dyDescent="0.3">
      <c r="A255" s="30" t="str">
        <f t="shared" ref="A255" si="190">A235</f>
        <v>Emission Cost</v>
      </c>
      <c r="B255" s="66">
        <f>$B235+($C235-$B235)*(1-Q235)</f>
        <v>3.1561641138930518</v>
      </c>
      <c r="C255" s="66">
        <f t="shared" ref="C255:AC255" si="191">$B235+($C235-$B235)*(1-R235)</f>
        <v>3.1531586766519095</v>
      </c>
      <c r="D255" s="66">
        <f t="shared" si="191"/>
        <v>3.148856460181932</v>
      </c>
      <c r="E255" s="66">
        <f t="shared" si="191"/>
        <v>3.1427018369762418</v>
      </c>
      <c r="F255" s="66">
        <f t="shared" si="191"/>
        <v>3.1339055223302736</v>
      </c>
      <c r="G255" s="66">
        <f t="shared" si="191"/>
        <v>3.1213512803680521</v>
      </c>
      <c r="H255" s="66">
        <f t="shared" si="191"/>
        <v>3.103470959921165</v>
      </c>
      <c r="I255" s="66">
        <f t="shared" si="191"/>
        <v>3.0780834680624944</v>
      </c>
      <c r="J255" s="66">
        <f t="shared" si="191"/>
        <v>3.0422006879024699</v>
      </c>
      <c r="K255" s="66">
        <f t="shared" si="191"/>
        <v>2.9918219119367748</v>
      </c>
      <c r="L255" s="66">
        <f t="shared" si="191"/>
        <v>2.9217771252824751</v>
      </c>
      <c r="M255" s="66">
        <f t="shared" si="191"/>
        <v>2.8257483431601118</v>
      </c>
      <c r="N255" s="66">
        <f t="shared" si="191"/>
        <v>2.6966959500159344</v>
      </c>
      <c r="O255" s="66">
        <f t="shared" si="191"/>
        <v>2.527999541087663</v>
      </c>
      <c r="P255" s="66">
        <f t="shared" si="191"/>
        <v>2.3155549274364571</v>
      </c>
      <c r="Q255" s="66">
        <f t="shared" si="191"/>
        <v>2.0606274892785992</v>
      </c>
      <c r="R255" s="66">
        <f t="shared" si="191"/>
        <v>1.7723622585244727</v>
      </c>
      <c r="S255" s="66">
        <f t="shared" si="191"/>
        <v>1.4680418371398225</v>
      </c>
      <c r="T255" s="66">
        <f t="shared" si="191"/>
        <v>1.1697098724326394</v>
      </c>
      <c r="U255" s="66">
        <f t="shared" si="191"/>
        <v>0.89813214422744192</v>
      </c>
      <c r="V255" s="66">
        <f t="shared" si="191"/>
        <v>0.66732974866522188</v>
      </c>
      <c r="W255" s="66">
        <f t="shared" si="191"/>
        <v>0.48249836418702996</v>
      </c>
      <c r="X255" s="66">
        <f t="shared" si="191"/>
        <v>0.34146381442791984</v>
      </c>
      <c r="Y255" s="66">
        <f t="shared" si="191"/>
        <v>0.23779210936773287</v>
      </c>
      <c r="Z255" s="66">
        <f t="shared" si="191"/>
        <v>0.16366834003345909</v>
      </c>
      <c r="AA255" s="66">
        <f t="shared" si="191"/>
        <v>0.11171852430248297</v>
      </c>
      <c r="AB255" s="66">
        <f t="shared" si="191"/>
        <v>7.5818008547159366E-2</v>
      </c>
      <c r="AC255" s="66">
        <f t="shared" si="191"/>
        <v>5.1249496624470758E-2</v>
      </c>
    </row>
    <row r="256" spans="1:44" x14ac:dyDescent="0.3">
      <c r="A256" s="30" t="str">
        <f>A236</f>
        <v>Lifetime vehicle</v>
      </c>
      <c r="B256" s="62">
        <f>$B236+($C236-$B236)*(1-Q236)</f>
        <v>25</v>
      </c>
      <c r="C256" s="62">
        <f t="shared" ref="C256:L258" si="192">$B236+($C236-$B236)*(1-R236)</f>
        <v>25</v>
      </c>
      <c r="D256" s="62">
        <f t="shared" si="192"/>
        <v>25</v>
      </c>
      <c r="E256" s="62">
        <f t="shared" si="192"/>
        <v>25</v>
      </c>
      <c r="F256" s="62">
        <f t="shared" si="192"/>
        <v>25</v>
      </c>
      <c r="G256" s="62">
        <f t="shared" si="192"/>
        <v>25</v>
      </c>
      <c r="H256" s="62">
        <f t="shared" si="192"/>
        <v>25</v>
      </c>
      <c r="I256" s="62">
        <f t="shared" si="192"/>
        <v>25</v>
      </c>
      <c r="J256" s="62">
        <f t="shared" si="192"/>
        <v>25</v>
      </c>
      <c r="K256" s="62">
        <f t="shared" si="192"/>
        <v>25</v>
      </c>
      <c r="L256" s="62">
        <f t="shared" si="192"/>
        <v>25</v>
      </c>
      <c r="M256" s="62">
        <f t="shared" ref="M256:V258" si="193">$B236+($C236-$B236)*(1-AB236)</f>
        <v>25</v>
      </c>
      <c r="N256" s="62">
        <f t="shared" si="193"/>
        <v>25</v>
      </c>
      <c r="O256" s="62">
        <f t="shared" si="193"/>
        <v>25</v>
      </c>
      <c r="P256" s="62">
        <f t="shared" si="193"/>
        <v>25</v>
      </c>
      <c r="Q256" s="62">
        <f t="shared" si="193"/>
        <v>25</v>
      </c>
      <c r="R256" s="62">
        <f t="shared" si="193"/>
        <v>25</v>
      </c>
      <c r="S256" s="62">
        <f t="shared" si="193"/>
        <v>25</v>
      </c>
      <c r="T256" s="62">
        <f t="shared" si="193"/>
        <v>25</v>
      </c>
      <c r="U256" s="62">
        <f t="shared" si="193"/>
        <v>25</v>
      </c>
      <c r="V256" s="62">
        <f t="shared" si="193"/>
        <v>25</v>
      </c>
      <c r="W256" s="62">
        <f t="shared" ref="W256:AC258" si="194">$B236+($C236-$B236)*(1-AL236)</f>
        <v>25</v>
      </c>
      <c r="X256" s="62">
        <f t="shared" si="194"/>
        <v>25</v>
      </c>
      <c r="Y256" s="62">
        <f t="shared" si="194"/>
        <v>25</v>
      </c>
      <c r="Z256" s="62">
        <f t="shared" si="194"/>
        <v>25</v>
      </c>
      <c r="AA256" s="62">
        <f t="shared" si="194"/>
        <v>25</v>
      </c>
      <c r="AB256" s="62">
        <f t="shared" si="194"/>
        <v>25</v>
      </c>
      <c r="AC256" s="62">
        <f t="shared" si="194"/>
        <v>25</v>
      </c>
    </row>
    <row r="257" spans="1:29" x14ac:dyDescent="0.3">
      <c r="A257" s="30" t="str">
        <f>A237</f>
        <v>Lifetime costumization</v>
      </c>
      <c r="B257" s="62">
        <f>$B237+($C237-$B237)*(1-Q237)</f>
        <v>25</v>
      </c>
      <c r="C257" s="62">
        <f t="shared" si="192"/>
        <v>25</v>
      </c>
      <c r="D257" s="62">
        <f t="shared" si="192"/>
        <v>25</v>
      </c>
      <c r="E257" s="62">
        <f t="shared" si="192"/>
        <v>25</v>
      </c>
      <c r="F257" s="62">
        <f t="shared" si="192"/>
        <v>25</v>
      </c>
      <c r="G257" s="62">
        <f t="shared" si="192"/>
        <v>25</v>
      </c>
      <c r="H257" s="62">
        <f t="shared" si="192"/>
        <v>25</v>
      </c>
      <c r="I257" s="62">
        <f t="shared" si="192"/>
        <v>25</v>
      </c>
      <c r="J257" s="62">
        <f t="shared" si="192"/>
        <v>25</v>
      </c>
      <c r="K257" s="62">
        <f t="shared" si="192"/>
        <v>25</v>
      </c>
      <c r="L257" s="62">
        <f t="shared" si="192"/>
        <v>25</v>
      </c>
      <c r="M257" s="62">
        <f t="shared" si="193"/>
        <v>25</v>
      </c>
      <c r="N257" s="62">
        <f t="shared" si="193"/>
        <v>25</v>
      </c>
      <c r="O257" s="62">
        <f t="shared" si="193"/>
        <v>25</v>
      </c>
      <c r="P257" s="62">
        <f t="shared" si="193"/>
        <v>25</v>
      </c>
      <c r="Q257" s="62">
        <f t="shared" si="193"/>
        <v>25</v>
      </c>
      <c r="R257" s="62">
        <f t="shared" si="193"/>
        <v>25</v>
      </c>
      <c r="S257" s="62">
        <f t="shared" si="193"/>
        <v>25</v>
      </c>
      <c r="T257" s="62">
        <f t="shared" si="193"/>
        <v>25</v>
      </c>
      <c r="U257" s="62">
        <f t="shared" si="193"/>
        <v>25</v>
      </c>
      <c r="V257" s="62">
        <f t="shared" si="193"/>
        <v>25</v>
      </c>
      <c r="W257" s="62">
        <f t="shared" si="194"/>
        <v>25</v>
      </c>
      <c r="X257" s="62">
        <f t="shared" si="194"/>
        <v>25</v>
      </c>
      <c r="Y257" s="62">
        <f t="shared" si="194"/>
        <v>25</v>
      </c>
      <c r="Z257" s="62">
        <f t="shared" si="194"/>
        <v>25</v>
      </c>
      <c r="AA257" s="62">
        <f t="shared" si="194"/>
        <v>25</v>
      </c>
      <c r="AB257" s="62">
        <f t="shared" si="194"/>
        <v>25</v>
      </c>
      <c r="AC257" s="62">
        <f t="shared" si="194"/>
        <v>25</v>
      </c>
    </row>
    <row r="258" spans="1:29" x14ac:dyDescent="0.3">
      <c r="A258" s="30" t="str">
        <f>A238</f>
        <v>Tonnage .</v>
      </c>
      <c r="B258" s="62">
        <f>$B238+($C238-$B238)*(1-Q238)</f>
        <v>9450</v>
      </c>
      <c r="C258" s="62">
        <f t="shared" si="192"/>
        <v>9450</v>
      </c>
      <c r="D258" s="62">
        <f t="shared" si="192"/>
        <v>9450</v>
      </c>
      <c r="E258" s="62">
        <f t="shared" si="192"/>
        <v>9450</v>
      </c>
      <c r="F258" s="62">
        <f t="shared" si="192"/>
        <v>9450</v>
      </c>
      <c r="G258" s="62">
        <f t="shared" si="192"/>
        <v>9450</v>
      </c>
      <c r="H258" s="62">
        <f t="shared" si="192"/>
        <v>9450</v>
      </c>
      <c r="I258" s="62">
        <f t="shared" si="192"/>
        <v>9450</v>
      </c>
      <c r="J258" s="62">
        <f t="shared" si="192"/>
        <v>9450</v>
      </c>
      <c r="K258" s="62">
        <f t="shared" si="192"/>
        <v>9450</v>
      </c>
      <c r="L258" s="62">
        <f t="shared" si="192"/>
        <v>9450</v>
      </c>
      <c r="M258" s="62">
        <f t="shared" si="193"/>
        <v>9450</v>
      </c>
      <c r="N258" s="62">
        <f t="shared" si="193"/>
        <v>9450</v>
      </c>
      <c r="O258" s="62">
        <f t="shared" si="193"/>
        <v>9450</v>
      </c>
      <c r="P258" s="62">
        <f t="shared" si="193"/>
        <v>9450</v>
      </c>
      <c r="Q258" s="62">
        <f t="shared" si="193"/>
        <v>9450</v>
      </c>
      <c r="R258" s="62">
        <f t="shared" si="193"/>
        <v>9450</v>
      </c>
      <c r="S258" s="62">
        <f t="shared" si="193"/>
        <v>9450</v>
      </c>
      <c r="T258" s="62">
        <f t="shared" si="193"/>
        <v>9450</v>
      </c>
      <c r="U258" s="62">
        <f t="shared" si="193"/>
        <v>9450</v>
      </c>
      <c r="V258" s="62">
        <f t="shared" si="193"/>
        <v>9450</v>
      </c>
      <c r="W258" s="62">
        <f t="shared" si="194"/>
        <v>9450</v>
      </c>
      <c r="X258" s="62">
        <f t="shared" si="194"/>
        <v>9450</v>
      </c>
      <c r="Y258" s="62">
        <f t="shared" si="194"/>
        <v>9450</v>
      </c>
      <c r="Z258" s="62">
        <f t="shared" si="194"/>
        <v>9450</v>
      </c>
      <c r="AA258" s="62">
        <f t="shared" si="194"/>
        <v>9450</v>
      </c>
      <c r="AB258" s="62">
        <f t="shared" si="194"/>
        <v>9450</v>
      </c>
      <c r="AC258" s="62">
        <f t="shared" si="194"/>
        <v>9450</v>
      </c>
    </row>
    <row r="259" spans="1:29" x14ac:dyDescent="0.3">
      <c r="A259" s="30" t="str">
        <f>A239</f>
        <v>Market failure (av. utilization)</v>
      </c>
      <c r="B259" s="62">
        <f t="shared" ref="B259:K260" si="195">($B239+($C239-$B239)*(1-Q239))*B$44</f>
        <v>3685.5</v>
      </c>
      <c r="C259" s="62">
        <f t="shared" si="195"/>
        <v>3685.5</v>
      </c>
      <c r="D259" s="62">
        <f t="shared" si="195"/>
        <v>3685.5</v>
      </c>
      <c r="E259" s="62">
        <f t="shared" si="195"/>
        <v>3685.5</v>
      </c>
      <c r="F259" s="62">
        <f t="shared" si="195"/>
        <v>3685.5</v>
      </c>
      <c r="G259" s="62">
        <f t="shared" si="195"/>
        <v>3685.5</v>
      </c>
      <c r="H259" s="62">
        <f t="shared" si="195"/>
        <v>3685.5</v>
      </c>
      <c r="I259" s="62">
        <f t="shared" si="195"/>
        <v>3685.5</v>
      </c>
      <c r="J259" s="62">
        <f t="shared" si="195"/>
        <v>3685.5</v>
      </c>
      <c r="K259" s="62">
        <f t="shared" si="195"/>
        <v>3685.5</v>
      </c>
      <c r="L259" s="62">
        <f t="shared" ref="L259:U260" si="196">($B239+($C239-$B239)*(1-AA239))*L$44</f>
        <v>3685.5</v>
      </c>
      <c r="M259" s="62">
        <f t="shared" si="196"/>
        <v>3685.5</v>
      </c>
      <c r="N259" s="62">
        <f t="shared" si="196"/>
        <v>3685.5</v>
      </c>
      <c r="O259" s="62">
        <f t="shared" si="196"/>
        <v>3685.5</v>
      </c>
      <c r="P259" s="62">
        <f t="shared" si="196"/>
        <v>3685.5</v>
      </c>
      <c r="Q259" s="62">
        <f t="shared" si="196"/>
        <v>3685.5</v>
      </c>
      <c r="R259" s="62">
        <f t="shared" si="196"/>
        <v>3685.5</v>
      </c>
      <c r="S259" s="62">
        <f t="shared" si="196"/>
        <v>3685.5</v>
      </c>
      <c r="T259" s="62">
        <f t="shared" si="196"/>
        <v>3685.5</v>
      </c>
      <c r="U259" s="62">
        <f t="shared" si="196"/>
        <v>3685.5</v>
      </c>
      <c r="V259" s="62">
        <f t="shared" ref="V259:AC260" si="197">($B239+($C239-$B239)*(1-AK239))*V$44</f>
        <v>3685.5</v>
      </c>
      <c r="W259" s="62">
        <f t="shared" si="197"/>
        <v>3685.5</v>
      </c>
      <c r="X259" s="62">
        <f t="shared" si="197"/>
        <v>3685.5</v>
      </c>
      <c r="Y259" s="62">
        <f t="shared" si="197"/>
        <v>3685.5</v>
      </c>
      <c r="Z259" s="62">
        <f t="shared" si="197"/>
        <v>3685.5</v>
      </c>
      <c r="AA259" s="62">
        <f t="shared" si="197"/>
        <v>3685.5</v>
      </c>
      <c r="AB259" s="62">
        <f t="shared" si="197"/>
        <v>3685.5</v>
      </c>
      <c r="AC259" s="62">
        <f t="shared" si="197"/>
        <v>3685.5</v>
      </c>
    </row>
    <row r="260" spans="1:29" x14ac:dyDescent="0.3">
      <c r="A260" s="30" t="s">
        <v>73</v>
      </c>
      <c r="B260" s="62">
        <f t="shared" si="195"/>
        <v>378</v>
      </c>
      <c r="C260" s="62">
        <f t="shared" si="195"/>
        <v>378</v>
      </c>
      <c r="D260" s="62">
        <f t="shared" si="195"/>
        <v>378</v>
      </c>
      <c r="E260" s="62">
        <f t="shared" si="195"/>
        <v>378</v>
      </c>
      <c r="F260" s="62">
        <f t="shared" si="195"/>
        <v>378</v>
      </c>
      <c r="G260" s="62">
        <f t="shared" si="195"/>
        <v>378</v>
      </c>
      <c r="H260" s="62">
        <f t="shared" si="195"/>
        <v>378</v>
      </c>
      <c r="I260" s="62">
        <f t="shared" si="195"/>
        <v>378</v>
      </c>
      <c r="J260" s="62">
        <f t="shared" si="195"/>
        <v>378</v>
      </c>
      <c r="K260" s="62">
        <f t="shared" si="195"/>
        <v>378</v>
      </c>
      <c r="L260" s="62">
        <f t="shared" si="196"/>
        <v>378</v>
      </c>
      <c r="M260" s="62">
        <f t="shared" si="196"/>
        <v>378</v>
      </c>
      <c r="N260" s="62">
        <f t="shared" si="196"/>
        <v>378</v>
      </c>
      <c r="O260" s="62">
        <f t="shared" si="196"/>
        <v>378</v>
      </c>
      <c r="P260" s="62">
        <f t="shared" si="196"/>
        <v>378</v>
      </c>
      <c r="Q260" s="62">
        <f t="shared" si="196"/>
        <v>378</v>
      </c>
      <c r="R260" s="62">
        <f t="shared" si="196"/>
        <v>378</v>
      </c>
      <c r="S260" s="62">
        <f t="shared" si="196"/>
        <v>378</v>
      </c>
      <c r="T260" s="62">
        <f t="shared" si="196"/>
        <v>378</v>
      </c>
      <c r="U260" s="62">
        <f t="shared" si="196"/>
        <v>378</v>
      </c>
      <c r="V260" s="62">
        <f t="shared" si="197"/>
        <v>378</v>
      </c>
      <c r="W260" s="62">
        <f t="shared" si="197"/>
        <v>378</v>
      </c>
      <c r="X260" s="62">
        <f t="shared" si="197"/>
        <v>378</v>
      </c>
      <c r="Y260" s="62">
        <f t="shared" si="197"/>
        <v>378</v>
      </c>
      <c r="Z260" s="62">
        <f t="shared" si="197"/>
        <v>378</v>
      </c>
      <c r="AA260" s="62">
        <f t="shared" si="197"/>
        <v>378</v>
      </c>
      <c r="AB260" s="62">
        <f t="shared" si="197"/>
        <v>378</v>
      </c>
      <c r="AC260" s="62">
        <f t="shared" si="197"/>
        <v>378</v>
      </c>
    </row>
    <row r="261" spans="1:29" x14ac:dyDescent="0.3">
      <c r="A261" s="30" t="str">
        <f>A241</f>
        <v>Annual Mileage</v>
      </c>
      <c r="B261" s="62">
        <f t="shared" ref="B261:AC261" si="198">$B241+($C241-$B241)*(1-Q241)</f>
        <v>120000</v>
      </c>
      <c r="C261" s="62">
        <f t="shared" si="198"/>
        <v>120000</v>
      </c>
      <c r="D261" s="62">
        <f t="shared" si="198"/>
        <v>120000</v>
      </c>
      <c r="E261" s="62">
        <f t="shared" si="198"/>
        <v>120000</v>
      </c>
      <c r="F261" s="62">
        <f t="shared" si="198"/>
        <v>120000</v>
      </c>
      <c r="G261" s="62">
        <f t="shared" si="198"/>
        <v>120000</v>
      </c>
      <c r="H261" s="62">
        <f t="shared" si="198"/>
        <v>120000</v>
      </c>
      <c r="I261" s="62">
        <f t="shared" si="198"/>
        <v>120000</v>
      </c>
      <c r="J261" s="62">
        <f t="shared" si="198"/>
        <v>120000</v>
      </c>
      <c r="K261" s="62">
        <f t="shared" si="198"/>
        <v>120000</v>
      </c>
      <c r="L261" s="62">
        <f t="shared" si="198"/>
        <v>120000</v>
      </c>
      <c r="M261" s="62">
        <f t="shared" si="198"/>
        <v>120000</v>
      </c>
      <c r="N261" s="62">
        <f t="shared" si="198"/>
        <v>120000</v>
      </c>
      <c r="O261" s="62">
        <f t="shared" si="198"/>
        <v>120000</v>
      </c>
      <c r="P261" s="62">
        <f t="shared" si="198"/>
        <v>120000</v>
      </c>
      <c r="Q261" s="62">
        <f t="shared" si="198"/>
        <v>120000</v>
      </c>
      <c r="R261" s="62">
        <f t="shared" si="198"/>
        <v>120000</v>
      </c>
      <c r="S261" s="62">
        <f t="shared" si="198"/>
        <v>120000</v>
      </c>
      <c r="T261" s="62">
        <f t="shared" si="198"/>
        <v>120000</v>
      </c>
      <c r="U261" s="62">
        <f t="shared" si="198"/>
        <v>120000</v>
      </c>
      <c r="V261" s="62">
        <f t="shared" si="198"/>
        <v>120000</v>
      </c>
      <c r="W261" s="62">
        <f t="shared" si="198"/>
        <v>120000</v>
      </c>
      <c r="X261" s="62">
        <f t="shared" si="198"/>
        <v>120000</v>
      </c>
      <c r="Y261" s="62">
        <f t="shared" si="198"/>
        <v>120000</v>
      </c>
      <c r="Z261" s="62">
        <f t="shared" si="198"/>
        <v>120000</v>
      </c>
      <c r="AA261" s="62">
        <f t="shared" si="198"/>
        <v>120000</v>
      </c>
      <c r="AB261" s="62">
        <f t="shared" si="198"/>
        <v>120000</v>
      </c>
      <c r="AC261" s="62">
        <f t="shared" si="198"/>
        <v>120000</v>
      </c>
    </row>
    <row r="262" spans="1:29" ht="15" thickBot="1" x14ac:dyDescent="0.35">
      <c r="AC262" s="32"/>
    </row>
    <row r="263" spans="1:29" ht="15" thickBot="1" x14ac:dyDescent="0.35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3">
      <c r="A264" s="29" t="str">
        <f>A245</f>
        <v>Capex vehicle</v>
      </c>
      <c r="B264" s="63">
        <f>((1+B249)^B256)*B249/(((1+B249)^B256)-1)*(B245)</f>
        <v>1524647.8790978624</v>
      </c>
      <c r="C264" s="63">
        <f t="shared" ref="C264:AC264" si="199">((1+C249)^C256)*C249/(((1+C249)^C256)-1)*(C245)</f>
        <v>1524313.4062710819</v>
      </c>
      <c r="D264" s="63">
        <f t="shared" si="199"/>
        <v>1523834.6158693277</v>
      </c>
      <c r="E264" s="63">
        <f t="shared" si="199"/>
        <v>1523149.6725295712</v>
      </c>
      <c r="F264" s="63">
        <f t="shared" si="199"/>
        <v>1522170.737356808</v>
      </c>
      <c r="G264" s="63">
        <f t="shared" si="199"/>
        <v>1520773.5853086114</v>
      </c>
      <c r="H264" s="63">
        <f t="shared" si="199"/>
        <v>1518783.6980330625</v>
      </c>
      <c r="I264" s="63">
        <f t="shared" si="199"/>
        <v>1515958.3433556822</v>
      </c>
      <c r="J264" s="63">
        <f t="shared" si="199"/>
        <v>1511964.9760184553</v>
      </c>
      <c r="K264" s="63">
        <f t="shared" si="199"/>
        <v>1506358.3603233036</v>
      </c>
      <c r="L264" s="63">
        <f t="shared" si="199"/>
        <v>1498563.1292425212</v>
      </c>
      <c r="M264" s="63">
        <f t="shared" si="199"/>
        <v>1487876.1590509433</v>
      </c>
      <c r="N264" s="63">
        <f t="shared" si="199"/>
        <v>1473514.0162828909</v>
      </c>
      <c r="O264" s="63">
        <f t="shared" si="199"/>
        <v>1454739.9211231149</v>
      </c>
      <c r="P264" s="63">
        <f t="shared" si="199"/>
        <v>1431097.1215033231</v>
      </c>
      <c r="Q264" s="63">
        <f t="shared" si="199"/>
        <v>1402726.440626242</v>
      </c>
      <c r="R264" s="63">
        <f t="shared" si="199"/>
        <v>1370645.6221440069</v>
      </c>
      <c r="S264" s="63">
        <f t="shared" si="199"/>
        <v>1336778.0336965974</v>
      </c>
      <c r="T264" s="63">
        <f t="shared" si="199"/>
        <v>1303576.896042286</v>
      </c>
      <c r="U264" s="63">
        <f t="shared" si="199"/>
        <v>1273353.2170381402</v>
      </c>
      <c r="V264" s="63">
        <f t="shared" si="199"/>
        <v>1247667.3938192725</v>
      </c>
      <c r="W264" s="63">
        <f t="shared" si="199"/>
        <v>1227097.6494912698</v>
      </c>
      <c r="X264" s="63">
        <f t="shared" si="199"/>
        <v>1211402.0216186012</v>
      </c>
      <c r="Y264" s="63">
        <f t="shared" si="199"/>
        <v>1199864.4763410145</v>
      </c>
      <c r="Z264" s="63">
        <f t="shared" si="199"/>
        <v>1191615.2983773351</v>
      </c>
      <c r="AA264" s="63">
        <f t="shared" si="199"/>
        <v>1185833.8428605145</v>
      </c>
      <c r="AB264" s="63">
        <f t="shared" si="199"/>
        <v>1181838.5017423639</v>
      </c>
      <c r="AC264" s="63">
        <f t="shared" si="199"/>
        <v>1179104.2907197287</v>
      </c>
    </row>
    <row r="265" spans="1:29" x14ac:dyDescent="0.3">
      <c r="A265" s="30" t="str">
        <f>A246</f>
        <v>Residual value (vehicle)</v>
      </c>
      <c r="B265" s="62">
        <f>((1+B249)^B256)*B249/(((1+B249)^B256)-1)*(B246)</f>
        <v>-76361.248295139725</v>
      </c>
      <c r="C265" s="62">
        <f t="shared" ref="C265:AC265" si="200">((1+C249)^C256)*C249/(((1+C249)^C256)-1)*(C246)</f>
        <v>-76400.270124930772</v>
      </c>
      <c r="D265" s="62">
        <f t="shared" si="200"/>
        <v>-76456.129005135459</v>
      </c>
      <c r="E265" s="62">
        <f t="shared" si="200"/>
        <v>-76536.039061440344</v>
      </c>
      <c r="F265" s="62">
        <f t="shared" si="200"/>
        <v>-76650.248164929391</v>
      </c>
      <c r="G265" s="62">
        <f t="shared" si="200"/>
        <v>-76813.249237219032</v>
      </c>
      <c r="H265" s="62">
        <f t="shared" si="200"/>
        <v>-77045.402752699738</v>
      </c>
      <c r="I265" s="62">
        <f t="shared" si="200"/>
        <v>-77375.027465060732</v>
      </c>
      <c r="J265" s="62">
        <f t="shared" si="200"/>
        <v>-77840.920321070545</v>
      </c>
      <c r="K265" s="62">
        <f t="shared" si="200"/>
        <v>-78495.025485504913</v>
      </c>
      <c r="L265" s="62">
        <f t="shared" si="200"/>
        <v>-79404.46911159619</v>
      </c>
      <c r="M265" s="62">
        <f t="shared" si="200"/>
        <v>-80651.282300613602</v>
      </c>
      <c r="N265" s="62">
        <f t="shared" si="200"/>
        <v>-82326.865623553065</v>
      </c>
      <c r="O265" s="62">
        <f t="shared" si="200"/>
        <v>-84517.176725526937</v>
      </c>
      <c r="P265" s="62">
        <f t="shared" si="200"/>
        <v>-87275.503347835998</v>
      </c>
      <c r="Q265" s="62">
        <f t="shared" si="200"/>
        <v>-90585.416116828768</v>
      </c>
      <c r="R265" s="62">
        <f t="shared" si="200"/>
        <v>-94328.178273089521</v>
      </c>
      <c r="S265" s="62">
        <f t="shared" si="200"/>
        <v>-98279.396925287292</v>
      </c>
      <c r="T265" s="62">
        <f t="shared" si="200"/>
        <v>-102152.86298495698</v>
      </c>
      <c r="U265" s="62">
        <f t="shared" si="200"/>
        <v>-105678.95886877397</v>
      </c>
      <c r="V265" s="62">
        <f t="shared" si="200"/>
        <v>-108675.63824430856</v>
      </c>
      <c r="W265" s="62">
        <f t="shared" si="200"/>
        <v>-111075.44174924218</v>
      </c>
      <c r="X265" s="62">
        <f t="shared" si="200"/>
        <v>-112906.59833438687</v>
      </c>
      <c r="Y265" s="62">
        <f t="shared" si="200"/>
        <v>-114252.64528343864</v>
      </c>
      <c r="Z265" s="62">
        <f t="shared" si="200"/>
        <v>-115215.04937920124</v>
      </c>
      <c r="AA265" s="62">
        <f t="shared" si="200"/>
        <v>-115889.55252283029</v>
      </c>
      <c r="AB265" s="62">
        <f t="shared" si="200"/>
        <v>-116355.67565328123</v>
      </c>
      <c r="AC265" s="62">
        <f t="shared" si="200"/>
        <v>-116674.66693925532</v>
      </c>
    </row>
    <row r="266" spans="1:29" x14ac:dyDescent="0.3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201">((1+C249)^C257)*C249/(((1+C249)^C257)-1)*(C247)</f>
        <v>78226.718212273947</v>
      </c>
      <c r="D266" s="62">
        <f t="shared" si="201"/>
        <v>78226.718212273947</v>
      </c>
      <c r="E266" s="62">
        <f t="shared" si="201"/>
        <v>78226.718212273947</v>
      </c>
      <c r="F266" s="62">
        <f t="shared" si="201"/>
        <v>78226.718212273947</v>
      </c>
      <c r="G266" s="62">
        <f t="shared" si="201"/>
        <v>78226.718212273947</v>
      </c>
      <c r="H266" s="62">
        <f t="shared" si="201"/>
        <v>78226.718212273947</v>
      </c>
      <c r="I266" s="62">
        <f t="shared" si="201"/>
        <v>78226.718212273947</v>
      </c>
      <c r="J266" s="62">
        <f t="shared" si="201"/>
        <v>78226.718212273947</v>
      </c>
      <c r="K266" s="62">
        <f t="shared" si="201"/>
        <v>78226.718212273947</v>
      </c>
      <c r="L266" s="62">
        <f t="shared" si="201"/>
        <v>78226.718212273947</v>
      </c>
      <c r="M266" s="62">
        <f t="shared" si="201"/>
        <v>78226.718212273947</v>
      </c>
      <c r="N266" s="62">
        <f t="shared" si="201"/>
        <v>78226.718212273947</v>
      </c>
      <c r="O266" s="62">
        <f t="shared" si="201"/>
        <v>78226.718212273947</v>
      </c>
      <c r="P266" s="62">
        <f t="shared" si="201"/>
        <v>78226.718212273947</v>
      </c>
      <c r="Q266" s="62">
        <f t="shared" si="201"/>
        <v>78226.718212273947</v>
      </c>
      <c r="R266" s="62">
        <f t="shared" si="201"/>
        <v>78226.718212273947</v>
      </c>
      <c r="S266" s="62">
        <f t="shared" si="201"/>
        <v>78226.718212273947</v>
      </c>
      <c r="T266" s="62">
        <f t="shared" si="201"/>
        <v>78226.718212273947</v>
      </c>
      <c r="U266" s="62">
        <f t="shared" si="201"/>
        <v>78226.718212273947</v>
      </c>
      <c r="V266" s="62">
        <f t="shared" si="201"/>
        <v>78226.718212273947</v>
      </c>
      <c r="W266" s="62">
        <f t="shared" si="201"/>
        <v>78226.718212273947</v>
      </c>
      <c r="X266" s="62">
        <f t="shared" si="201"/>
        <v>78226.718212273947</v>
      </c>
      <c r="Y266" s="62">
        <f t="shared" si="201"/>
        <v>78226.718212273947</v>
      </c>
      <c r="Z266" s="62">
        <f t="shared" si="201"/>
        <v>78226.718212273947</v>
      </c>
      <c r="AA266" s="62">
        <f t="shared" si="201"/>
        <v>78226.718212273947</v>
      </c>
      <c r="AB266" s="62">
        <f t="shared" si="201"/>
        <v>78226.718212273947</v>
      </c>
      <c r="AC266" s="62">
        <f t="shared" si="201"/>
        <v>78226.718212273947</v>
      </c>
    </row>
    <row r="267" spans="1:29" x14ac:dyDescent="0.3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202">((1+C249)^C257)*C249/(((1+C249)^C257)-1)*(C248)</f>
        <v>-7822.6718212273945</v>
      </c>
      <c r="D267" s="62">
        <f t="shared" si="202"/>
        <v>-7822.6718212273945</v>
      </c>
      <c r="E267" s="62">
        <f t="shared" si="202"/>
        <v>-7822.6718212273945</v>
      </c>
      <c r="F267" s="62">
        <f t="shared" si="202"/>
        <v>-7822.6718212273945</v>
      </c>
      <c r="G267" s="62">
        <f t="shared" si="202"/>
        <v>-7822.6718212273945</v>
      </c>
      <c r="H267" s="62">
        <f t="shared" si="202"/>
        <v>-7822.6718212273945</v>
      </c>
      <c r="I267" s="62">
        <f t="shared" si="202"/>
        <v>-7822.6718212273945</v>
      </c>
      <c r="J267" s="62">
        <f t="shared" si="202"/>
        <v>-7822.6718212273945</v>
      </c>
      <c r="K267" s="62">
        <f t="shared" si="202"/>
        <v>-7822.6718212273945</v>
      </c>
      <c r="L267" s="62">
        <f t="shared" si="202"/>
        <v>-7822.6718212273945</v>
      </c>
      <c r="M267" s="62">
        <f t="shared" si="202"/>
        <v>-7822.6718212273945</v>
      </c>
      <c r="N267" s="62">
        <f t="shared" si="202"/>
        <v>-7822.6718212273945</v>
      </c>
      <c r="O267" s="62">
        <f t="shared" si="202"/>
        <v>-7822.6718212273945</v>
      </c>
      <c r="P267" s="62">
        <f t="shared" si="202"/>
        <v>-7822.6718212273945</v>
      </c>
      <c r="Q267" s="62">
        <f t="shared" si="202"/>
        <v>-7822.6718212273945</v>
      </c>
      <c r="R267" s="62">
        <f t="shared" si="202"/>
        <v>-7822.6718212273945</v>
      </c>
      <c r="S267" s="62">
        <f t="shared" si="202"/>
        <v>-7822.6718212273945</v>
      </c>
      <c r="T267" s="62">
        <f t="shared" si="202"/>
        <v>-7822.6718212273945</v>
      </c>
      <c r="U267" s="62">
        <f t="shared" si="202"/>
        <v>-7822.6718212273945</v>
      </c>
      <c r="V267" s="62">
        <f t="shared" si="202"/>
        <v>-7822.6718212273945</v>
      </c>
      <c r="W267" s="62">
        <f t="shared" si="202"/>
        <v>-7822.6718212273945</v>
      </c>
      <c r="X267" s="62">
        <f t="shared" si="202"/>
        <v>-7822.6718212273945</v>
      </c>
      <c r="Y267" s="62">
        <f t="shared" si="202"/>
        <v>-7822.6718212273945</v>
      </c>
      <c r="Z267" s="62">
        <f t="shared" si="202"/>
        <v>-7822.6718212273945</v>
      </c>
      <c r="AA267" s="62">
        <f t="shared" si="202"/>
        <v>-7822.6718212273945</v>
      </c>
      <c r="AB267" s="62">
        <f t="shared" si="202"/>
        <v>-7822.6718212273945</v>
      </c>
      <c r="AC267" s="62">
        <f t="shared" si="202"/>
        <v>-7822.6718212273945</v>
      </c>
    </row>
    <row r="268" spans="1:29" x14ac:dyDescent="0.3">
      <c r="A268" s="30" t="str">
        <f t="shared" ref="A268:AC268" si="203">A250</f>
        <v>Opex fix (admin, crew, insurance)</v>
      </c>
      <c r="B268" s="62">
        <f t="shared" si="203"/>
        <v>1208235.294117647</v>
      </c>
      <c r="C268" s="62">
        <f t="shared" si="203"/>
        <v>1208235.294117647</v>
      </c>
      <c r="D268" s="62">
        <f t="shared" si="203"/>
        <v>1208235.294117647</v>
      </c>
      <c r="E268" s="62">
        <f t="shared" si="203"/>
        <v>1208235.294117647</v>
      </c>
      <c r="F268" s="62">
        <f t="shared" si="203"/>
        <v>1208235.294117647</v>
      </c>
      <c r="G268" s="62">
        <f t="shared" si="203"/>
        <v>1208235.294117647</v>
      </c>
      <c r="H268" s="62">
        <f t="shared" si="203"/>
        <v>1208235.294117647</v>
      </c>
      <c r="I268" s="62">
        <f t="shared" si="203"/>
        <v>1208235.294117647</v>
      </c>
      <c r="J268" s="62">
        <f t="shared" si="203"/>
        <v>1208235.294117647</v>
      </c>
      <c r="K268" s="62">
        <f t="shared" si="203"/>
        <v>1208235.294117647</v>
      </c>
      <c r="L268" s="62">
        <f t="shared" si="203"/>
        <v>1208235.294117647</v>
      </c>
      <c r="M268" s="62">
        <f t="shared" si="203"/>
        <v>1208235.294117647</v>
      </c>
      <c r="N268" s="62">
        <f t="shared" si="203"/>
        <v>1208235.294117647</v>
      </c>
      <c r="O268" s="62">
        <f t="shared" si="203"/>
        <v>1208235.294117647</v>
      </c>
      <c r="P268" s="62">
        <f t="shared" si="203"/>
        <v>1208235.294117647</v>
      </c>
      <c r="Q268" s="62">
        <f t="shared" si="203"/>
        <v>1208235.294117647</v>
      </c>
      <c r="R268" s="62">
        <f t="shared" si="203"/>
        <v>1208235.294117647</v>
      </c>
      <c r="S268" s="62">
        <f t="shared" si="203"/>
        <v>1208235.294117647</v>
      </c>
      <c r="T268" s="62">
        <f t="shared" si="203"/>
        <v>1208235.294117647</v>
      </c>
      <c r="U268" s="62">
        <f t="shared" si="203"/>
        <v>1208235.294117647</v>
      </c>
      <c r="V268" s="62">
        <f t="shared" si="203"/>
        <v>1208235.294117647</v>
      </c>
      <c r="W268" s="62">
        <f t="shared" si="203"/>
        <v>1208235.294117647</v>
      </c>
      <c r="X268" s="62">
        <f t="shared" si="203"/>
        <v>1208235.294117647</v>
      </c>
      <c r="Y268" s="62">
        <f t="shared" si="203"/>
        <v>1208235.294117647</v>
      </c>
      <c r="Z268" s="62">
        <f t="shared" si="203"/>
        <v>1208235.294117647</v>
      </c>
      <c r="AA268" s="62">
        <f t="shared" si="203"/>
        <v>1208235.294117647</v>
      </c>
      <c r="AB268" s="62">
        <f t="shared" si="203"/>
        <v>1208235.294117647</v>
      </c>
      <c r="AC268" s="62">
        <f t="shared" si="203"/>
        <v>1208235.294117647</v>
      </c>
    </row>
    <row r="269" spans="1:29" x14ac:dyDescent="0.3">
      <c r="A269" s="30" t="str">
        <f t="shared" ref="A269:AC269" si="204">A251</f>
        <v>Opex maintenance &amp; repair</v>
      </c>
      <c r="B269" s="62">
        <f t="shared" si="204"/>
        <v>488235.29411764705</v>
      </c>
      <c r="C269" s="62">
        <f t="shared" si="204"/>
        <v>488235.29411764705</v>
      </c>
      <c r="D269" s="62">
        <f t="shared" si="204"/>
        <v>488235.29411764705</v>
      </c>
      <c r="E269" s="62">
        <f t="shared" si="204"/>
        <v>488235.29411764705</v>
      </c>
      <c r="F269" s="62">
        <f t="shared" si="204"/>
        <v>488235.29411764705</v>
      </c>
      <c r="G269" s="62">
        <f t="shared" si="204"/>
        <v>488235.29411764705</v>
      </c>
      <c r="H269" s="62">
        <f t="shared" si="204"/>
        <v>488235.29411764705</v>
      </c>
      <c r="I269" s="62">
        <f t="shared" si="204"/>
        <v>488235.29411764705</v>
      </c>
      <c r="J269" s="62">
        <f t="shared" si="204"/>
        <v>488235.29411764705</v>
      </c>
      <c r="K269" s="62">
        <f t="shared" si="204"/>
        <v>488235.29411764705</v>
      </c>
      <c r="L269" s="62">
        <f t="shared" si="204"/>
        <v>488235.29411764705</v>
      </c>
      <c r="M269" s="62">
        <f t="shared" si="204"/>
        <v>488235.29411764705</v>
      </c>
      <c r="N269" s="62">
        <f t="shared" si="204"/>
        <v>488235.29411764705</v>
      </c>
      <c r="O269" s="62">
        <f t="shared" si="204"/>
        <v>488235.29411764705</v>
      </c>
      <c r="P269" s="62">
        <f t="shared" si="204"/>
        <v>488235.29411764705</v>
      </c>
      <c r="Q269" s="62">
        <f t="shared" si="204"/>
        <v>488235.29411764705</v>
      </c>
      <c r="R269" s="62">
        <f t="shared" si="204"/>
        <v>488235.29411764705</v>
      </c>
      <c r="S269" s="62">
        <f t="shared" si="204"/>
        <v>488235.29411764705</v>
      </c>
      <c r="T269" s="62">
        <f t="shared" si="204"/>
        <v>488235.29411764705</v>
      </c>
      <c r="U269" s="62">
        <f t="shared" si="204"/>
        <v>488235.29411764705</v>
      </c>
      <c r="V269" s="62">
        <f t="shared" si="204"/>
        <v>488235.29411764705</v>
      </c>
      <c r="W269" s="62">
        <f t="shared" si="204"/>
        <v>488235.29411764705</v>
      </c>
      <c r="X269" s="62">
        <f t="shared" si="204"/>
        <v>488235.29411764705</v>
      </c>
      <c r="Y269" s="62">
        <f t="shared" si="204"/>
        <v>488235.29411764705</v>
      </c>
      <c r="Z269" s="62">
        <f t="shared" si="204"/>
        <v>488235.29411764705</v>
      </c>
      <c r="AA269" s="62">
        <f t="shared" si="204"/>
        <v>488235.29411764705</v>
      </c>
      <c r="AB269" s="62">
        <f t="shared" si="204"/>
        <v>488235.29411764705</v>
      </c>
      <c r="AC269" s="62">
        <f t="shared" si="204"/>
        <v>488235.29411764705</v>
      </c>
    </row>
    <row r="270" spans="1:29" x14ac:dyDescent="0.3">
      <c r="A270" s="30" t="str">
        <f>A252</f>
        <v>Opex var (mode-fees)</v>
      </c>
      <c r="B270" s="62">
        <f>B252*B261</f>
        <v>97536.682916217906</v>
      </c>
      <c r="C270" s="62">
        <f t="shared" ref="C270:AC270" si="205">C252*C261</f>
        <v>97536.682916217906</v>
      </c>
      <c r="D270" s="62">
        <f t="shared" si="205"/>
        <v>97536.682916217906</v>
      </c>
      <c r="E270" s="62">
        <f t="shared" si="205"/>
        <v>97536.682916217906</v>
      </c>
      <c r="F270" s="62">
        <f t="shared" si="205"/>
        <v>97536.682916217906</v>
      </c>
      <c r="G270" s="62">
        <f t="shared" si="205"/>
        <v>97536.682916217906</v>
      </c>
      <c r="H270" s="62">
        <f t="shared" si="205"/>
        <v>97536.682916217906</v>
      </c>
      <c r="I270" s="62">
        <f t="shared" si="205"/>
        <v>97536.682916217906</v>
      </c>
      <c r="J270" s="62">
        <f t="shared" si="205"/>
        <v>97536.682916217906</v>
      </c>
      <c r="K270" s="62">
        <f t="shared" si="205"/>
        <v>97536.682916217906</v>
      </c>
      <c r="L270" s="62">
        <f t="shared" si="205"/>
        <v>97536.682916217906</v>
      </c>
      <c r="M270" s="62">
        <f t="shared" si="205"/>
        <v>97536.682916217906</v>
      </c>
      <c r="N270" s="62">
        <f t="shared" si="205"/>
        <v>97536.682916217906</v>
      </c>
      <c r="O270" s="62">
        <f t="shared" si="205"/>
        <v>97536.682916217906</v>
      </c>
      <c r="P270" s="62">
        <f t="shared" si="205"/>
        <v>97536.682916217906</v>
      </c>
      <c r="Q270" s="62">
        <f t="shared" si="205"/>
        <v>97536.682916217906</v>
      </c>
      <c r="R270" s="62">
        <f t="shared" si="205"/>
        <v>97536.682916217906</v>
      </c>
      <c r="S270" s="62">
        <f t="shared" si="205"/>
        <v>97536.682916217906</v>
      </c>
      <c r="T270" s="62">
        <f t="shared" si="205"/>
        <v>97536.682916217906</v>
      </c>
      <c r="U270" s="62">
        <f t="shared" si="205"/>
        <v>97536.682916217906</v>
      </c>
      <c r="V270" s="62">
        <f t="shared" si="205"/>
        <v>97536.682916217906</v>
      </c>
      <c r="W270" s="62">
        <f t="shared" si="205"/>
        <v>97536.682916217906</v>
      </c>
      <c r="X270" s="62">
        <f t="shared" si="205"/>
        <v>97536.682916217906</v>
      </c>
      <c r="Y270" s="62">
        <f t="shared" si="205"/>
        <v>97536.682916217906</v>
      </c>
      <c r="Z270" s="62">
        <f t="shared" si="205"/>
        <v>97536.682916217906</v>
      </c>
      <c r="AA270" s="62">
        <f t="shared" si="205"/>
        <v>97536.682916217906</v>
      </c>
      <c r="AB270" s="62">
        <f t="shared" si="205"/>
        <v>97536.682916217906</v>
      </c>
      <c r="AC270" s="62">
        <f t="shared" si="205"/>
        <v>97536.682916217906</v>
      </c>
    </row>
    <row r="271" spans="1:29" x14ac:dyDescent="0.3">
      <c r="A271" s="30" t="str">
        <f>A254</f>
        <v>Fuel Cost</v>
      </c>
      <c r="B271" s="62">
        <f>B253*B254*B261</f>
        <v>29991431.991873663</v>
      </c>
      <c r="C271" s="62">
        <f t="shared" ref="C271:AC271" si="206">C253*C254*C261</f>
        <v>29968114.314698085</v>
      </c>
      <c r="D271" s="62">
        <f t="shared" si="206"/>
        <v>29934740.684751838</v>
      </c>
      <c r="E271" s="62">
        <f t="shared" si="206"/>
        <v>29887007.811612926</v>
      </c>
      <c r="F271" s="62">
        <f t="shared" si="206"/>
        <v>29818808.360266693</v>
      </c>
      <c r="G271" s="62">
        <f t="shared" si="206"/>
        <v>29721516.53319443</v>
      </c>
      <c r="H271" s="62">
        <f t="shared" si="206"/>
        <v>29583037.475510988</v>
      </c>
      <c r="I271" s="62">
        <f t="shared" si="206"/>
        <v>29386595.450035024</v>
      </c>
      <c r="J271" s="62">
        <f t="shared" si="206"/>
        <v>29109300.558257189</v>
      </c>
      <c r="K271" s="62">
        <f t="shared" si="206"/>
        <v>28720689.26373022</v>
      </c>
      <c r="L271" s="62">
        <f t="shared" si="206"/>
        <v>28181748.307460666</v>
      </c>
      <c r="M271" s="62">
        <f t="shared" si="206"/>
        <v>27445470.276869237</v>
      </c>
      <c r="N271" s="62">
        <f t="shared" si="206"/>
        <v>26460708.646529499</v>
      </c>
      <c r="O271" s="62">
        <f t="shared" si="206"/>
        <v>25181591.944662549</v>
      </c>
      <c r="P271" s="62">
        <f t="shared" si="206"/>
        <v>23583910.045394987</v>
      </c>
      <c r="Q271" s="62">
        <f t="shared" si="206"/>
        <v>21686086.401195381</v>
      </c>
      <c r="R271" s="62">
        <f t="shared" si="206"/>
        <v>19565505.89743302</v>
      </c>
      <c r="S271" s="62">
        <f t="shared" si="206"/>
        <v>17356103.509958196</v>
      </c>
      <c r="T271" s="62">
        <f t="shared" si="206"/>
        <v>15219375.200884178</v>
      </c>
      <c r="U271" s="62">
        <f t="shared" si="206"/>
        <v>13299402.174854711</v>
      </c>
      <c r="V271" s="62">
        <f t="shared" si="206"/>
        <v>11686528.363004457</v>
      </c>
      <c r="W271" s="62">
        <f t="shared" si="206"/>
        <v>10407380.866965672</v>
      </c>
      <c r="X271" s="62">
        <f t="shared" si="206"/>
        <v>9438797.9871739205</v>
      </c>
      <c r="Y271" s="62">
        <f t="shared" si="206"/>
        <v>8730931.7213512529</v>
      </c>
      <c r="Z271" s="62">
        <f t="shared" si="206"/>
        <v>8226957.7716881558</v>
      </c>
      <c r="AA271" s="62">
        <f t="shared" si="206"/>
        <v>7874810.0692344503</v>
      </c>
      <c r="AB271" s="62">
        <f t="shared" si="206"/>
        <v>7631966.536955812</v>
      </c>
      <c r="AC271" s="62">
        <f t="shared" si="206"/>
        <v>7466017.8668123754</v>
      </c>
    </row>
    <row r="272" spans="1:29" ht="15" thickBot="1" x14ac:dyDescent="0.35">
      <c r="A272" s="59" t="str">
        <f>A235</f>
        <v>Emission Cost</v>
      </c>
      <c r="B272" s="62">
        <f>B255*B261</f>
        <v>378739.69366716623</v>
      </c>
      <c r="C272" s="62">
        <f t="shared" ref="C272:AC272" si="207">C255*C261</f>
        <v>378379.04119822913</v>
      </c>
      <c r="D272" s="62">
        <f t="shared" si="207"/>
        <v>377862.77522183186</v>
      </c>
      <c r="E272" s="62">
        <f t="shared" si="207"/>
        <v>377124.22043714899</v>
      </c>
      <c r="F272" s="62">
        <f t="shared" si="207"/>
        <v>376068.66267963283</v>
      </c>
      <c r="G272" s="62">
        <f t="shared" si="207"/>
        <v>374562.15364416625</v>
      </c>
      <c r="H272" s="62">
        <f t="shared" si="207"/>
        <v>372416.51519053977</v>
      </c>
      <c r="I272" s="62">
        <f t="shared" si="207"/>
        <v>369370.01616749936</v>
      </c>
      <c r="J272" s="62">
        <f t="shared" si="207"/>
        <v>365064.08254829637</v>
      </c>
      <c r="K272" s="62">
        <f t="shared" si="207"/>
        <v>359018.62943241297</v>
      </c>
      <c r="L272" s="62">
        <f t="shared" si="207"/>
        <v>350613.255033897</v>
      </c>
      <c r="M272" s="62">
        <f t="shared" si="207"/>
        <v>339089.80117921339</v>
      </c>
      <c r="N272" s="62">
        <f t="shared" si="207"/>
        <v>323603.51400191215</v>
      </c>
      <c r="O272" s="62">
        <f t="shared" si="207"/>
        <v>303359.94493051956</v>
      </c>
      <c r="P272" s="62">
        <f t="shared" si="207"/>
        <v>277866.59129237483</v>
      </c>
      <c r="Q272" s="62">
        <f t="shared" si="207"/>
        <v>247275.2987134319</v>
      </c>
      <c r="R272" s="62">
        <f t="shared" si="207"/>
        <v>212683.47102293672</v>
      </c>
      <c r="S272" s="62">
        <f t="shared" si="207"/>
        <v>176165.0204567787</v>
      </c>
      <c r="T272" s="62">
        <f t="shared" si="207"/>
        <v>140365.18469191671</v>
      </c>
      <c r="U272" s="62">
        <f t="shared" si="207"/>
        <v>107775.85730729303</v>
      </c>
      <c r="V272" s="62">
        <f t="shared" si="207"/>
        <v>80079.569839826625</v>
      </c>
      <c r="W272" s="62">
        <f t="shared" si="207"/>
        <v>57899.803702443598</v>
      </c>
      <c r="X272" s="62">
        <f t="shared" si="207"/>
        <v>40975.65773135038</v>
      </c>
      <c r="Y272" s="62">
        <f t="shared" si="207"/>
        <v>28535.053124127946</v>
      </c>
      <c r="Z272" s="62">
        <f t="shared" si="207"/>
        <v>19640.20080401509</v>
      </c>
      <c r="AA272" s="62">
        <f t="shared" si="207"/>
        <v>13406.222916297957</v>
      </c>
      <c r="AB272" s="62">
        <f t="shared" si="207"/>
        <v>9098.161025659123</v>
      </c>
      <c r="AC272" s="62">
        <f t="shared" si="207"/>
        <v>6149.9395949364907</v>
      </c>
    </row>
    <row r="273" spans="1:29" ht="15" thickBot="1" x14ac:dyDescent="0.35">
      <c r="A273" s="31" t="s">
        <v>209</v>
      </c>
      <c r="B273" s="64">
        <f>B264+B265+B266+B267+B268+B269+B270+B271+B272</f>
        <v>33682869.633886114</v>
      </c>
      <c r="C273" s="64">
        <f t="shared" ref="C273:AC273" si="208">C264+C265+C266+C267+C268+C269+C270+C271+C272</f>
        <v>33658817.809585027</v>
      </c>
      <c r="D273" s="64">
        <f t="shared" si="208"/>
        <v>33624393.264380418</v>
      </c>
      <c r="E273" s="64">
        <f t="shared" si="208"/>
        <v>33575156.983060762</v>
      </c>
      <c r="F273" s="64">
        <f t="shared" si="208"/>
        <v>33504808.829680763</v>
      </c>
      <c r="G273" s="64">
        <f t="shared" si="208"/>
        <v>33404450.340452548</v>
      </c>
      <c r="H273" s="64">
        <f t="shared" si="208"/>
        <v>33261603.603524446</v>
      </c>
      <c r="I273" s="64">
        <f t="shared" si="208"/>
        <v>33058960.099635705</v>
      </c>
      <c r="J273" s="64">
        <f t="shared" si="208"/>
        <v>32772900.014045428</v>
      </c>
      <c r="K273" s="64">
        <f t="shared" si="208"/>
        <v>32371982.545542993</v>
      </c>
      <c r="L273" s="64">
        <f t="shared" si="208"/>
        <v>31815931.540168043</v>
      </c>
      <c r="M273" s="64">
        <f t="shared" si="208"/>
        <v>31056196.272341337</v>
      </c>
      <c r="N273" s="64">
        <f t="shared" si="208"/>
        <v>30039910.628733311</v>
      </c>
      <c r="O273" s="64">
        <f t="shared" si="208"/>
        <v>28719585.951533217</v>
      </c>
      <c r="P273" s="64">
        <f t="shared" si="208"/>
        <v>27070009.572385408</v>
      </c>
      <c r="Q273" s="64">
        <f t="shared" si="208"/>
        <v>25109914.041960783</v>
      </c>
      <c r="R273" s="64">
        <f t="shared" si="208"/>
        <v>22918918.129869435</v>
      </c>
      <c r="S273" s="64">
        <f t="shared" si="208"/>
        <v>20635178.484728847</v>
      </c>
      <c r="T273" s="64">
        <f t="shared" si="208"/>
        <v>18425575.736175984</v>
      </c>
      <c r="U273" s="64">
        <f t="shared" si="208"/>
        <v>16439263.607873928</v>
      </c>
      <c r="V273" s="64">
        <f t="shared" si="208"/>
        <v>14770011.005961806</v>
      </c>
      <c r="W273" s="64">
        <f t="shared" si="208"/>
        <v>13445714.195952702</v>
      </c>
      <c r="X273" s="64">
        <f t="shared" si="208"/>
        <v>12442680.385732044</v>
      </c>
      <c r="Y273" s="64">
        <f t="shared" si="208"/>
        <v>11709489.923075516</v>
      </c>
      <c r="Z273" s="64">
        <f t="shared" si="208"/>
        <v>11187409.539032863</v>
      </c>
      <c r="AA273" s="64">
        <f t="shared" si="208"/>
        <v>10822571.900030991</v>
      </c>
      <c r="AB273" s="64">
        <f t="shared" si="208"/>
        <v>10570958.841613112</v>
      </c>
      <c r="AC273" s="64">
        <f t="shared" si="208"/>
        <v>10399008.747730343</v>
      </c>
    </row>
    <row r="274" spans="1:29" ht="15" thickBot="1" x14ac:dyDescent="0.35">
      <c r="AC274" s="32"/>
    </row>
    <row r="275" spans="1:29" ht="15" thickBot="1" x14ac:dyDescent="0.35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3">
      <c r="A276" s="29" t="str">
        <f t="shared" ref="A276:A283" si="209">A264</f>
        <v>Capex vehicle</v>
      </c>
      <c r="B276" s="65">
        <f>((1+B249)^B256)*B249/(((1+B249)^B256)-1)*(B245)/B261</f>
        <v>12.705398992482186</v>
      </c>
      <c r="C276" s="65">
        <f t="shared" ref="C276:AC276" si="210">((1+C249)^C256)*C249/(((1+C249)^C256)-1)*(C245)/C261</f>
        <v>12.702611718925683</v>
      </c>
      <c r="D276" s="65">
        <f t="shared" si="210"/>
        <v>12.698621798911065</v>
      </c>
      <c r="E276" s="65">
        <f t="shared" si="210"/>
        <v>12.692913937746427</v>
      </c>
      <c r="F276" s="65">
        <f t="shared" si="210"/>
        <v>12.684756144640067</v>
      </c>
      <c r="G276" s="65">
        <f t="shared" si="210"/>
        <v>12.673113210905095</v>
      </c>
      <c r="H276" s="65">
        <f t="shared" si="210"/>
        <v>12.656530816942187</v>
      </c>
      <c r="I276" s="65">
        <f t="shared" si="210"/>
        <v>12.632986194630686</v>
      </c>
      <c r="J276" s="65">
        <f t="shared" si="210"/>
        <v>12.599708133487129</v>
      </c>
      <c r="K276" s="65">
        <f t="shared" si="210"/>
        <v>12.55298633602753</v>
      </c>
      <c r="L276" s="65">
        <f t="shared" si="210"/>
        <v>12.48802607702101</v>
      </c>
      <c r="M276" s="65">
        <f t="shared" si="210"/>
        <v>12.398967992091194</v>
      </c>
      <c r="N276" s="65">
        <f t="shared" si="210"/>
        <v>12.27928346902409</v>
      </c>
      <c r="O276" s="65">
        <f t="shared" si="210"/>
        <v>12.122832676025958</v>
      </c>
      <c r="P276" s="65">
        <f t="shared" si="210"/>
        <v>11.925809345861026</v>
      </c>
      <c r="Q276" s="65">
        <f t="shared" si="210"/>
        <v>11.689387005218682</v>
      </c>
      <c r="R276" s="65">
        <f t="shared" si="210"/>
        <v>11.422046851200058</v>
      </c>
      <c r="S276" s="65">
        <f t="shared" si="210"/>
        <v>11.139816947471646</v>
      </c>
      <c r="T276" s="65">
        <f t="shared" si="210"/>
        <v>10.863140800352383</v>
      </c>
      <c r="U276" s="65">
        <f t="shared" si="210"/>
        <v>10.611276808651168</v>
      </c>
      <c r="V276" s="65">
        <f t="shared" si="210"/>
        <v>10.397228281827271</v>
      </c>
      <c r="W276" s="65">
        <f t="shared" si="210"/>
        <v>10.225813745760583</v>
      </c>
      <c r="X276" s="65">
        <f t="shared" si="210"/>
        <v>10.095016846821677</v>
      </c>
      <c r="Y276" s="65">
        <f t="shared" si="210"/>
        <v>9.9988706361751216</v>
      </c>
      <c r="Z276" s="65">
        <f t="shared" si="210"/>
        <v>9.930127486477792</v>
      </c>
      <c r="AA276" s="65">
        <f t="shared" si="210"/>
        <v>9.8819486905042879</v>
      </c>
      <c r="AB276" s="65">
        <f t="shared" si="210"/>
        <v>9.8486541811863653</v>
      </c>
      <c r="AC276" s="65">
        <f t="shared" si="210"/>
        <v>9.8258690893310732</v>
      </c>
    </row>
    <row r="277" spans="1:29" x14ac:dyDescent="0.3">
      <c r="A277" s="30" t="str">
        <f t="shared" si="209"/>
        <v>Residual value (vehicle)</v>
      </c>
      <c r="B277" s="66">
        <f>((1+B249)^B256)*B249/(((1+B249)^B256)-1)*(B246)/B261</f>
        <v>-0.63634373579283099</v>
      </c>
      <c r="C277" s="66">
        <f t="shared" ref="C277:AC277" si="211">((1+C249)^C256)*C249/(((1+C249)^C256)-1)*(C246)/C261</f>
        <v>-0.63666891770775647</v>
      </c>
      <c r="D277" s="66">
        <f t="shared" si="211"/>
        <v>-0.63713440837612878</v>
      </c>
      <c r="E277" s="66">
        <f t="shared" si="211"/>
        <v>-0.63780032551200283</v>
      </c>
      <c r="F277" s="66">
        <f t="shared" si="211"/>
        <v>-0.63875206804107831</v>
      </c>
      <c r="G277" s="66">
        <f t="shared" si="211"/>
        <v>-0.64011041031015858</v>
      </c>
      <c r="H277" s="66">
        <f t="shared" si="211"/>
        <v>-0.64204502293916443</v>
      </c>
      <c r="I277" s="66">
        <f t="shared" si="211"/>
        <v>-0.64479189554217275</v>
      </c>
      <c r="J277" s="66">
        <f t="shared" si="211"/>
        <v>-0.64867433600892122</v>
      </c>
      <c r="K277" s="66">
        <f t="shared" si="211"/>
        <v>-0.65412521237920762</v>
      </c>
      <c r="L277" s="66">
        <f t="shared" si="211"/>
        <v>-0.66170390926330158</v>
      </c>
      <c r="M277" s="66">
        <f t="shared" si="211"/>
        <v>-0.67209401917178002</v>
      </c>
      <c r="N277" s="66">
        <f t="shared" si="211"/>
        <v>-0.68605721352960891</v>
      </c>
      <c r="O277" s="66">
        <f t="shared" si="211"/>
        <v>-0.70430980604605786</v>
      </c>
      <c r="P277" s="66">
        <f t="shared" si="211"/>
        <v>-0.72729586123196666</v>
      </c>
      <c r="Q277" s="66">
        <f t="shared" si="211"/>
        <v>-0.75487846764023969</v>
      </c>
      <c r="R277" s="66">
        <f t="shared" si="211"/>
        <v>-0.786068152275746</v>
      </c>
      <c r="S277" s="66">
        <f t="shared" si="211"/>
        <v>-0.8189949743773941</v>
      </c>
      <c r="T277" s="66">
        <f t="shared" si="211"/>
        <v>-0.85127385820797485</v>
      </c>
      <c r="U277" s="66">
        <f t="shared" si="211"/>
        <v>-0.88065799057311644</v>
      </c>
      <c r="V277" s="66">
        <f t="shared" si="211"/>
        <v>-0.90563031870257138</v>
      </c>
      <c r="W277" s="66">
        <f t="shared" si="211"/>
        <v>-0.9256286812436848</v>
      </c>
      <c r="X277" s="66">
        <f t="shared" si="211"/>
        <v>-0.94088831945322393</v>
      </c>
      <c r="Y277" s="66">
        <f t="shared" si="211"/>
        <v>-0.95210537736198875</v>
      </c>
      <c r="Z277" s="66">
        <f t="shared" si="211"/>
        <v>-0.96012541149334374</v>
      </c>
      <c r="AA277" s="66">
        <f t="shared" si="211"/>
        <v>-0.96574627102358568</v>
      </c>
      <c r="AB277" s="66">
        <f t="shared" si="211"/>
        <v>-0.96963063044401021</v>
      </c>
      <c r="AC277" s="66">
        <f t="shared" si="211"/>
        <v>-0.97228889116046091</v>
      </c>
    </row>
    <row r="278" spans="1:29" x14ac:dyDescent="0.3">
      <c r="A278" s="30" t="str">
        <f t="shared" si="209"/>
        <v>Capex costumization</v>
      </c>
      <c r="B278" s="66">
        <f>((1+B249)^B257)*B249/(((1+B249)^B257)-1)*(B247)/B261</f>
        <v>0.65188931843561626</v>
      </c>
      <c r="C278" s="66">
        <f t="shared" ref="C278:AC278" si="212">((1+C249)^C257)*C249/(((1+C249)^C257)-1)*(C247)/C261</f>
        <v>0.65188931843561626</v>
      </c>
      <c r="D278" s="66">
        <f t="shared" si="212"/>
        <v>0.65188931843561626</v>
      </c>
      <c r="E278" s="66">
        <f t="shared" si="212"/>
        <v>0.65188931843561626</v>
      </c>
      <c r="F278" s="66">
        <f t="shared" si="212"/>
        <v>0.65188931843561626</v>
      </c>
      <c r="G278" s="66">
        <f t="shared" si="212"/>
        <v>0.65188931843561626</v>
      </c>
      <c r="H278" s="66">
        <f t="shared" si="212"/>
        <v>0.65188931843561626</v>
      </c>
      <c r="I278" s="66">
        <f t="shared" si="212"/>
        <v>0.65188931843561626</v>
      </c>
      <c r="J278" s="66">
        <f t="shared" si="212"/>
        <v>0.65188931843561626</v>
      </c>
      <c r="K278" s="66">
        <f t="shared" si="212"/>
        <v>0.65188931843561626</v>
      </c>
      <c r="L278" s="66">
        <f t="shared" si="212"/>
        <v>0.65188931843561626</v>
      </c>
      <c r="M278" s="66">
        <f t="shared" si="212"/>
        <v>0.65188931843561626</v>
      </c>
      <c r="N278" s="66">
        <f t="shared" si="212"/>
        <v>0.65188931843561626</v>
      </c>
      <c r="O278" s="66">
        <f t="shared" si="212"/>
        <v>0.65188931843561626</v>
      </c>
      <c r="P278" s="66">
        <f t="shared" si="212"/>
        <v>0.65188931843561626</v>
      </c>
      <c r="Q278" s="66">
        <f t="shared" si="212"/>
        <v>0.65188931843561626</v>
      </c>
      <c r="R278" s="66">
        <f t="shared" si="212"/>
        <v>0.65188931843561626</v>
      </c>
      <c r="S278" s="66">
        <f t="shared" si="212"/>
        <v>0.65188931843561626</v>
      </c>
      <c r="T278" s="66">
        <f t="shared" si="212"/>
        <v>0.65188931843561626</v>
      </c>
      <c r="U278" s="66">
        <f t="shared" si="212"/>
        <v>0.65188931843561626</v>
      </c>
      <c r="V278" s="66">
        <f t="shared" si="212"/>
        <v>0.65188931843561626</v>
      </c>
      <c r="W278" s="66">
        <f t="shared" si="212"/>
        <v>0.65188931843561626</v>
      </c>
      <c r="X278" s="66">
        <f t="shared" si="212"/>
        <v>0.65188931843561626</v>
      </c>
      <c r="Y278" s="66">
        <f t="shared" si="212"/>
        <v>0.65188931843561626</v>
      </c>
      <c r="Z278" s="66">
        <f t="shared" si="212"/>
        <v>0.65188931843561626</v>
      </c>
      <c r="AA278" s="66">
        <f t="shared" si="212"/>
        <v>0.65188931843561626</v>
      </c>
      <c r="AB278" s="66">
        <f t="shared" si="212"/>
        <v>0.65188931843561626</v>
      </c>
      <c r="AC278" s="66">
        <f t="shared" si="212"/>
        <v>0.65188931843561626</v>
      </c>
    </row>
    <row r="279" spans="1:29" x14ac:dyDescent="0.3">
      <c r="A279" s="30" t="str">
        <f t="shared" si="209"/>
        <v>Residual value (costumization)</v>
      </c>
      <c r="B279" s="66">
        <f>((1+B249)^B257)*B249/(((1+B249)^B257)-1)*(B248)/B261</f>
        <v>-6.5188931843561615E-2</v>
      </c>
      <c r="C279" s="66">
        <f t="shared" ref="C279:AC279" si="213">((1+C249)^C257)*C249/(((1+C249)^C257)-1)*(C248)/C261</f>
        <v>-6.5188931843561615E-2</v>
      </c>
      <c r="D279" s="66">
        <f t="shared" si="213"/>
        <v>-6.5188931843561615E-2</v>
      </c>
      <c r="E279" s="66">
        <f t="shared" si="213"/>
        <v>-6.5188931843561615E-2</v>
      </c>
      <c r="F279" s="66">
        <f t="shared" si="213"/>
        <v>-6.5188931843561615E-2</v>
      </c>
      <c r="G279" s="66">
        <f t="shared" si="213"/>
        <v>-6.5188931843561615E-2</v>
      </c>
      <c r="H279" s="66">
        <f t="shared" si="213"/>
        <v>-6.5188931843561615E-2</v>
      </c>
      <c r="I279" s="66">
        <f t="shared" si="213"/>
        <v>-6.5188931843561615E-2</v>
      </c>
      <c r="J279" s="66">
        <f t="shared" si="213"/>
        <v>-6.5188931843561615E-2</v>
      </c>
      <c r="K279" s="66">
        <f t="shared" si="213"/>
        <v>-6.5188931843561615E-2</v>
      </c>
      <c r="L279" s="66">
        <f t="shared" si="213"/>
        <v>-6.5188931843561615E-2</v>
      </c>
      <c r="M279" s="66">
        <f t="shared" si="213"/>
        <v>-6.5188931843561615E-2</v>
      </c>
      <c r="N279" s="66">
        <f t="shared" si="213"/>
        <v>-6.5188931843561615E-2</v>
      </c>
      <c r="O279" s="66">
        <f t="shared" si="213"/>
        <v>-6.5188931843561615E-2</v>
      </c>
      <c r="P279" s="66">
        <f t="shared" si="213"/>
        <v>-6.5188931843561615E-2</v>
      </c>
      <c r="Q279" s="66">
        <f t="shared" si="213"/>
        <v>-6.5188931843561615E-2</v>
      </c>
      <c r="R279" s="66">
        <f t="shared" si="213"/>
        <v>-6.5188931843561615E-2</v>
      </c>
      <c r="S279" s="66">
        <f t="shared" si="213"/>
        <v>-6.5188931843561615E-2</v>
      </c>
      <c r="T279" s="66">
        <f t="shared" si="213"/>
        <v>-6.5188931843561615E-2</v>
      </c>
      <c r="U279" s="66">
        <f t="shared" si="213"/>
        <v>-6.5188931843561615E-2</v>
      </c>
      <c r="V279" s="66">
        <f t="shared" si="213"/>
        <v>-6.5188931843561615E-2</v>
      </c>
      <c r="W279" s="66">
        <f t="shared" si="213"/>
        <v>-6.5188931843561615E-2</v>
      </c>
      <c r="X279" s="66">
        <f t="shared" si="213"/>
        <v>-6.5188931843561615E-2</v>
      </c>
      <c r="Y279" s="66">
        <f t="shared" si="213"/>
        <v>-6.5188931843561615E-2</v>
      </c>
      <c r="Z279" s="66">
        <f t="shared" si="213"/>
        <v>-6.5188931843561615E-2</v>
      </c>
      <c r="AA279" s="66">
        <f t="shared" si="213"/>
        <v>-6.5188931843561615E-2</v>
      </c>
      <c r="AB279" s="66">
        <f t="shared" si="213"/>
        <v>-6.5188931843561615E-2</v>
      </c>
      <c r="AC279" s="66">
        <f t="shared" si="213"/>
        <v>-6.5188931843561615E-2</v>
      </c>
    </row>
    <row r="280" spans="1:29" x14ac:dyDescent="0.3">
      <c r="A280" s="30" t="str">
        <f t="shared" si="209"/>
        <v>Opex fix (admin, crew, insurance)</v>
      </c>
      <c r="B280" s="66">
        <f>B250/B261</f>
        <v>10.068627450980392</v>
      </c>
      <c r="C280" s="66">
        <f t="shared" ref="C280:AC280" si="214">C250/C261</f>
        <v>10.068627450980392</v>
      </c>
      <c r="D280" s="66">
        <f t="shared" si="214"/>
        <v>10.068627450980392</v>
      </c>
      <c r="E280" s="66">
        <f t="shared" si="214"/>
        <v>10.068627450980392</v>
      </c>
      <c r="F280" s="66">
        <f t="shared" si="214"/>
        <v>10.068627450980392</v>
      </c>
      <c r="G280" s="66">
        <f t="shared" si="214"/>
        <v>10.068627450980392</v>
      </c>
      <c r="H280" s="66">
        <f t="shared" si="214"/>
        <v>10.068627450980392</v>
      </c>
      <c r="I280" s="66">
        <f t="shared" si="214"/>
        <v>10.068627450980392</v>
      </c>
      <c r="J280" s="66">
        <f t="shared" si="214"/>
        <v>10.068627450980392</v>
      </c>
      <c r="K280" s="66">
        <f t="shared" si="214"/>
        <v>10.068627450980392</v>
      </c>
      <c r="L280" s="66">
        <f t="shared" si="214"/>
        <v>10.068627450980392</v>
      </c>
      <c r="M280" s="66">
        <f t="shared" si="214"/>
        <v>10.068627450980392</v>
      </c>
      <c r="N280" s="66">
        <f t="shared" si="214"/>
        <v>10.068627450980392</v>
      </c>
      <c r="O280" s="66">
        <f t="shared" si="214"/>
        <v>10.068627450980392</v>
      </c>
      <c r="P280" s="66">
        <f t="shared" si="214"/>
        <v>10.068627450980392</v>
      </c>
      <c r="Q280" s="66">
        <f t="shared" si="214"/>
        <v>10.068627450980392</v>
      </c>
      <c r="R280" s="66">
        <f t="shared" si="214"/>
        <v>10.068627450980392</v>
      </c>
      <c r="S280" s="66">
        <f t="shared" si="214"/>
        <v>10.068627450980392</v>
      </c>
      <c r="T280" s="66">
        <f t="shared" si="214"/>
        <v>10.068627450980392</v>
      </c>
      <c r="U280" s="66">
        <f t="shared" si="214"/>
        <v>10.068627450980392</v>
      </c>
      <c r="V280" s="66">
        <f t="shared" si="214"/>
        <v>10.068627450980392</v>
      </c>
      <c r="W280" s="66">
        <f t="shared" si="214"/>
        <v>10.068627450980392</v>
      </c>
      <c r="X280" s="66">
        <f t="shared" si="214"/>
        <v>10.068627450980392</v>
      </c>
      <c r="Y280" s="66">
        <f t="shared" si="214"/>
        <v>10.068627450980392</v>
      </c>
      <c r="Z280" s="66">
        <f t="shared" si="214"/>
        <v>10.068627450980392</v>
      </c>
      <c r="AA280" s="66">
        <f t="shared" si="214"/>
        <v>10.068627450980392</v>
      </c>
      <c r="AB280" s="66">
        <f t="shared" si="214"/>
        <v>10.068627450980392</v>
      </c>
      <c r="AC280" s="66">
        <f t="shared" si="214"/>
        <v>10.068627450980392</v>
      </c>
    </row>
    <row r="281" spans="1:29" x14ac:dyDescent="0.3">
      <c r="A281" s="30" t="str">
        <f t="shared" si="209"/>
        <v>Opex maintenance &amp; repair</v>
      </c>
      <c r="B281" s="66">
        <f>B251/B261</f>
        <v>4.0686274509803919</v>
      </c>
      <c r="C281" s="66">
        <f t="shared" ref="C281:AC281" si="215">C251/C261</f>
        <v>4.0686274509803919</v>
      </c>
      <c r="D281" s="66">
        <f t="shared" si="215"/>
        <v>4.0686274509803919</v>
      </c>
      <c r="E281" s="66">
        <f t="shared" si="215"/>
        <v>4.0686274509803919</v>
      </c>
      <c r="F281" s="66">
        <f t="shared" si="215"/>
        <v>4.0686274509803919</v>
      </c>
      <c r="G281" s="66">
        <f t="shared" si="215"/>
        <v>4.0686274509803919</v>
      </c>
      <c r="H281" s="66">
        <f t="shared" si="215"/>
        <v>4.0686274509803919</v>
      </c>
      <c r="I281" s="66">
        <f t="shared" si="215"/>
        <v>4.0686274509803919</v>
      </c>
      <c r="J281" s="66">
        <f t="shared" si="215"/>
        <v>4.0686274509803919</v>
      </c>
      <c r="K281" s="66">
        <f t="shared" si="215"/>
        <v>4.0686274509803919</v>
      </c>
      <c r="L281" s="66">
        <f t="shared" si="215"/>
        <v>4.0686274509803919</v>
      </c>
      <c r="M281" s="66">
        <f t="shared" si="215"/>
        <v>4.0686274509803919</v>
      </c>
      <c r="N281" s="66">
        <f t="shared" si="215"/>
        <v>4.0686274509803919</v>
      </c>
      <c r="O281" s="66">
        <f t="shared" si="215"/>
        <v>4.0686274509803919</v>
      </c>
      <c r="P281" s="66">
        <f t="shared" si="215"/>
        <v>4.0686274509803919</v>
      </c>
      <c r="Q281" s="66">
        <f t="shared" si="215"/>
        <v>4.0686274509803919</v>
      </c>
      <c r="R281" s="66">
        <f t="shared" si="215"/>
        <v>4.0686274509803919</v>
      </c>
      <c r="S281" s="66">
        <f t="shared" si="215"/>
        <v>4.0686274509803919</v>
      </c>
      <c r="T281" s="66">
        <f t="shared" si="215"/>
        <v>4.0686274509803919</v>
      </c>
      <c r="U281" s="66">
        <f t="shared" si="215"/>
        <v>4.0686274509803919</v>
      </c>
      <c r="V281" s="66">
        <f t="shared" si="215"/>
        <v>4.0686274509803919</v>
      </c>
      <c r="W281" s="66">
        <f t="shared" si="215"/>
        <v>4.0686274509803919</v>
      </c>
      <c r="X281" s="66">
        <f t="shared" si="215"/>
        <v>4.0686274509803919</v>
      </c>
      <c r="Y281" s="66">
        <f t="shared" si="215"/>
        <v>4.0686274509803919</v>
      </c>
      <c r="Z281" s="66">
        <f t="shared" si="215"/>
        <v>4.0686274509803919</v>
      </c>
      <c r="AA281" s="66">
        <f t="shared" si="215"/>
        <v>4.0686274509803919</v>
      </c>
      <c r="AB281" s="66">
        <f t="shared" si="215"/>
        <v>4.0686274509803919</v>
      </c>
      <c r="AC281" s="66">
        <f t="shared" si="215"/>
        <v>4.0686274509803919</v>
      </c>
    </row>
    <row r="282" spans="1:29" x14ac:dyDescent="0.3">
      <c r="A282" s="30" t="str">
        <f t="shared" si="209"/>
        <v>Opex var (mode-fees)</v>
      </c>
      <c r="B282" s="66">
        <f>B252*B261/B261</f>
        <v>0.81280569096848254</v>
      </c>
      <c r="C282" s="66">
        <f t="shared" ref="C282:AC282" si="216">C252*C261/C261</f>
        <v>0.81280569096848254</v>
      </c>
      <c r="D282" s="66">
        <f t="shared" si="216"/>
        <v>0.81280569096848254</v>
      </c>
      <c r="E282" s="66">
        <f t="shared" si="216"/>
        <v>0.81280569096848254</v>
      </c>
      <c r="F282" s="66">
        <f t="shared" si="216"/>
        <v>0.81280569096848254</v>
      </c>
      <c r="G282" s="66">
        <f t="shared" si="216"/>
        <v>0.81280569096848254</v>
      </c>
      <c r="H282" s="66">
        <f t="shared" si="216"/>
        <v>0.81280569096848254</v>
      </c>
      <c r="I282" s="66">
        <f t="shared" si="216"/>
        <v>0.81280569096848254</v>
      </c>
      <c r="J282" s="66">
        <f t="shared" si="216"/>
        <v>0.81280569096848254</v>
      </c>
      <c r="K282" s="66">
        <f t="shared" si="216"/>
        <v>0.81280569096848254</v>
      </c>
      <c r="L282" s="66">
        <f t="shared" si="216"/>
        <v>0.81280569096848254</v>
      </c>
      <c r="M282" s="66">
        <f t="shared" si="216"/>
        <v>0.81280569096848254</v>
      </c>
      <c r="N282" s="66">
        <f t="shared" si="216"/>
        <v>0.81280569096848254</v>
      </c>
      <c r="O282" s="66">
        <f t="shared" si="216"/>
        <v>0.81280569096848254</v>
      </c>
      <c r="P282" s="66">
        <f t="shared" si="216"/>
        <v>0.81280569096848254</v>
      </c>
      <c r="Q282" s="66">
        <f t="shared" si="216"/>
        <v>0.81280569096848254</v>
      </c>
      <c r="R282" s="66">
        <f t="shared" si="216"/>
        <v>0.81280569096848254</v>
      </c>
      <c r="S282" s="66">
        <f t="shared" si="216"/>
        <v>0.81280569096848254</v>
      </c>
      <c r="T282" s="66">
        <f t="shared" si="216"/>
        <v>0.81280569096848254</v>
      </c>
      <c r="U282" s="66">
        <f t="shared" si="216"/>
        <v>0.81280569096848254</v>
      </c>
      <c r="V282" s="66">
        <f t="shared" si="216"/>
        <v>0.81280569096848254</v>
      </c>
      <c r="W282" s="66">
        <f t="shared" si="216"/>
        <v>0.81280569096848254</v>
      </c>
      <c r="X282" s="66">
        <f t="shared" si="216"/>
        <v>0.81280569096848254</v>
      </c>
      <c r="Y282" s="66">
        <f t="shared" si="216"/>
        <v>0.81280569096848254</v>
      </c>
      <c r="Z282" s="66">
        <f t="shared" si="216"/>
        <v>0.81280569096848254</v>
      </c>
      <c r="AA282" s="66">
        <f t="shared" si="216"/>
        <v>0.81280569096848254</v>
      </c>
      <c r="AB282" s="66">
        <f t="shared" si="216"/>
        <v>0.81280569096848254</v>
      </c>
      <c r="AC282" s="66">
        <f t="shared" si="216"/>
        <v>0.81280569096848254</v>
      </c>
    </row>
    <row r="283" spans="1:29" x14ac:dyDescent="0.3">
      <c r="A283" s="30" t="str">
        <f t="shared" si="209"/>
        <v>Fuel Cost</v>
      </c>
      <c r="B283" s="66">
        <f>B253*B254*B261/B261</f>
        <v>249.92859993228052</v>
      </c>
      <c r="C283" s="66">
        <f t="shared" ref="C283:AC283" si="217">C253*C254*C261/C261</f>
        <v>249.73428595581737</v>
      </c>
      <c r="D283" s="66">
        <f t="shared" si="217"/>
        <v>249.45617237293197</v>
      </c>
      <c r="E283" s="66">
        <f t="shared" si="217"/>
        <v>249.05839843010773</v>
      </c>
      <c r="F283" s="66">
        <f t="shared" si="217"/>
        <v>248.49006966888911</v>
      </c>
      <c r="G283" s="66">
        <f t="shared" si="217"/>
        <v>247.67930444328692</v>
      </c>
      <c r="H283" s="66">
        <f t="shared" si="217"/>
        <v>246.52531229592489</v>
      </c>
      <c r="I283" s="66">
        <f t="shared" si="217"/>
        <v>244.88829541695853</v>
      </c>
      <c r="J283" s="66">
        <f t="shared" si="217"/>
        <v>242.57750465214323</v>
      </c>
      <c r="K283" s="66">
        <f t="shared" si="217"/>
        <v>239.33907719775183</v>
      </c>
      <c r="L283" s="66">
        <f t="shared" si="217"/>
        <v>234.84790256217221</v>
      </c>
      <c r="M283" s="66">
        <f t="shared" si="217"/>
        <v>228.71225230724366</v>
      </c>
      <c r="N283" s="66">
        <f t="shared" si="217"/>
        <v>220.50590538774583</v>
      </c>
      <c r="O283" s="66">
        <f t="shared" si="217"/>
        <v>209.84659953885458</v>
      </c>
      <c r="P283" s="66">
        <f t="shared" si="217"/>
        <v>196.53258371162488</v>
      </c>
      <c r="Q283" s="66">
        <f t="shared" si="217"/>
        <v>180.71738667662817</v>
      </c>
      <c r="R283" s="66">
        <f t="shared" si="217"/>
        <v>163.04588247860849</v>
      </c>
      <c r="S283" s="66">
        <f t="shared" si="217"/>
        <v>144.6341959163183</v>
      </c>
      <c r="T283" s="66">
        <f t="shared" si="217"/>
        <v>126.82812667403482</v>
      </c>
      <c r="U283" s="66">
        <f t="shared" si="217"/>
        <v>110.82835145712259</v>
      </c>
      <c r="V283" s="66">
        <f t="shared" si="217"/>
        <v>97.387736358370475</v>
      </c>
      <c r="W283" s="66">
        <f t="shared" si="217"/>
        <v>86.728173891380607</v>
      </c>
      <c r="X283" s="66">
        <f t="shared" si="217"/>
        <v>78.656649893116011</v>
      </c>
      <c r="Y283" s="66">
        <f t="shared" si="217"/>
        <v>72.757764344593781</v>
      </c>
      <c r="Z283" s="66">
        <f t="shared" si="217"/>
        <v>68.557981430734628</v>
      </c>
      <c r="AA283" s="66">
        <f t="shared" si="217"/>
        <v>65.623417243620423</v>
      </c>
      <c r="AB283" s="66">
        <f t="shared" si="217"/>
        <v>63.599721141298431</v>
      </c>
      <c r="AC283" s="66">
        <f t="shared" si="217"/>
        <v>62.216815556769795</v>
      </c>
    </row>
    <row r="284" spans="1:29" ht="15" thickBot="1" x14ac:dyDescent="0.35">
      <c r="A284" s="59" t="str">
        <f t="shared" ref="A284" si="218">A272</f>
        <v>Emission Cost</v>
      </c>
      <c r="B284" s="66">
        <f>B255</f>
        <v>3.1561641138930518</v>
      </c>
      <c r="C284" s="66">
        <f t="shared" ref="C284:AC284" si="219">C255</f>
        <v>3.1531586766519095</v>
      </c>
      <c r="D284" s="66">
        <f t="shared" si="219"/>
        <v>3.148856460181932</v>
      </c>
      <c r="E284" s="66">
        <f t="shared" si="219"/>
        <v>3.1427018369762418</v>
      </c>
      <c r="F284" s="66">
        <f t="shared" si="219"/>
        <v>3.1339055223302736</v>
      </c>
      <c r="G284" s="66">
        <f t="shared" si="219"/>
        <v>3.1213512803680521</v>
      </c>
      <c r="H284" s="66">
        <f t="shared" si="219"/>
        <v>3.103470959921165</v>
      </c>
      <c r="I284" s="66">
        <f t="shared" si="219"/>
        <v>3.0780834680624944</v>
      </c>
      <c r="J284" s="66">
        <f t="shared" si="219"/>
        <v>3.0422006879024699</v>
      </c>
      <c r="K284" s="66">
        <f t="shared" si="219"/>
        <v>2.9918219119367748</v>
      </c>
      <c r="L284" s="66">
        <f t="shared" si="219"/>
        <v>2.9217771252824751</v>
      </c>
      <c r="M284" s="66">
        <f t="shared" si="219"/>
        <v>2.8257483431601118</v>
      </c>
      <c r="N284" s="66">
        <f t="shared" si="219"/>
        <v>2.6966959500159344</v>
      </c>
      <c r="O284" s="66">
        <f t="shared" si="219"/>
        <v>2.527999541087663</v>
      </c>
      <c r="P284" s="66">
        <f t="shared" si="219"/>
        <v>2.3155549274364571</v>
      </c>
      <c r="Q284" s="66">
        <f t="shared" si="219"/>
        <v>2.0606274892785992</v>
      </c>
      <c r="R284" s="66">
        <f t="shared" si="219"/>
        <v>1.7723622585244727</v>
      </c>
      <c r="S284" s="66">
        <f t="shared" si="219"/>
        <v>1.4680418371398225</v>
      </c>
      <c r="T284" s="66">
        <f t="shared" si="219"/>
        <v>1.1697098724326394</v>
      </c>
      <c r="U284" s="66">
        <f t="shared" si="219"/>
        <v>0.89813214422744192</v>
      </c>
      <c r="V284" s="66">
        <f t="shared" si="219"/>
        <v>0.66732974866522188</v>
      </c>
      <c r="W284" s="66">
        <f t="shared" si="219"/>
        <v>0.48249836418702996</v>
      </c>
      <c r="X284" s="66">
        <f t="shared" si="219"/>
        <v>0.34146381442791984</v>
      </c>
      <c r="Y284" s="66">
        <f t="shared" si="219"/>
        <v>0.23779210936773287</v>
      </c>
      <c r="Z284" s="66">
        <f t="shared" si="219"/>
        <v>0.16366834003345909</v>
      </c>
      <c r="AA284" s="66">
        <f t="shared" si="219"/>
        <v>0.11171852430248297</v>
      </c>
      <c r="AB284" s="66">
        <f t="shared" si="219"/>
        <v>7.5818008547159366E-2</v>
      </c>
      <c r="AC284" s="66">
        <f t="shared" si="219"/>
        <v>5.1249496624470758E-2</v>
      </c>
    </row>
    <row r="285" spans="1:29" ht="15" thickBot="1" x14ac:dyDescent="0.35">
      <c r="A285" s="31" t="s">
        <v>63</v>
      </c>
      <c r="B285" s="76">
        <f>B276+B277+B278-B279+B280+B281+B282+B283+B284</f>
        <v>280.82095814607135</v>
      </c>
      <c r="C285" s="76">
        <f t="shared" ref="C285:AC285" si="220">C276+C277+C278-C279+C280+C281+C282+C283+C284</f>
        <v>280.62052627689565</v>
      </c>
      <c r="D285" s="76">
        <f t="shared" si="220"/>
        <v>280.33365506685732</v>
      </c>
      <c r="E285" s="76">
        <f t="shared" si="220"/>
        <v>279.92335272252683</v>
      </c>
      <c r="F285" s="76">
        <f t="shared" si="220"/>
        <v>279.33711811102683</v>
      </c>
      <c r="G285" s="76">
        <f t="shared" si="220"/>
        <v>278.50079736745835</v>
      </c>
      <c r="H285" s="76">
        <f t="shared" si="220"/>
        <v>277.31040789305752</v>
      </c>
      <c r="I285" s="76">
        <f t="shared" si="220"/>
        <v>275.62171202731798</v>
      </c>
      <c r="J285" s="76">
        <f t="shared" si="220"/>
        <v>273.23787798073238</v>
      </c>
      <c r="K285" s="76">
        <f t="shared" si="220"/>
        <v>269.89689907654537</v>
      </c>
      <c r="L285" s="76">
        <f t="shared" si="220"/>
        <v>265.26314069842084</v>
      </c>
      <c r="M285" s="76">
        <f t="shared" si="220"/>
        <v>258.9320134665316</v>
      </c>
      <c r="N285" s="76">
        <f t="shared" si="220"/>
        <v>250.46296643646468</v>
      </c>
      <c r="O285" s="76">
        <f t="shared" si="220"/>
        <v>239.46026079313057</v>
      </c>
      <c r="P285" s="76">
        <f t="shared" si="220"/>
        <v>225.71379096689884</v>
      </c>
      <c r="Q285" s="76">
        <f t="shared" si="220"/>
        <v>209.37966154669365</v>
      </c>
      <c r="R285" s="76">
        <f t="shared" si="220"/>
        <v>191.12136227926572</v>
      </c>
      <c r="S285" s="76">
        <f t="shared" si="220"/>
        <v>172.09019856976082</v>
      </c>
      <c r="T285" s="76">
        <f t="shared" si="220"/>
        <v>153.6768423318203</v>
      </c>
      <c r="U285" s="76">
        <f t="shared" si="220"/>
        <v>137.12424126263653</v>
      </c>
      <c r="V285" s="76">
        <f t="shared" si="220"/>
        <v>123.21380291336885</v>
      </c>
      <c r="W285" s="76">
        <f t="shared" si="220"/>
        <v>112.17799616329297</v>
      </c>
      <c r="X285" s="76">
        <f t="shared" si="220"/>
        <v>103.81938107812084</v>
      </c>
      <c r="Y285" s="76">
        <f t="shared" si="220"/>
        <v>97.709460555983085</v>
      </c>
      <c r="Z285" s="76">
        <f t="shared" si="220"/>
        <v>93.35879068896098</v>
      </c>
      <c r="AA285" s="76">
        <f t="shared" si="220"/>
        <v>90.318477030612058</v>
      </c>
      <c r="AB285" s="76">
        <f t="shared" si="220"/>
        <v>88.221701543796385</v>
      </c>
      <c r="AC285" s="76">
        <f t="shared" si="220"/>
        <v>86.788784094773305</v>
      </c>
    </row>
    <row r="286" spans="1:29" ht="15" thickBot="1" x14ac:dyDescent="0.35"/>
    <row r="287" spans="1:29" ht="15" thickBot="1" x14ac:dyDescent="0.35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3">
      <c r="A288" s="29" t="str">
        <f t="shared" ref="A288:A295" si="221">A264</f>
        <v>Capex vehicle</v>
      </c>
      <c r="B288" s="65">
        <f>((1+B249)^B256)*B249/(((1+B249)^B256)-1)*(B245)/B261/(B258)</f>
        <v>1.3444866658711308E-3</v>
      </c>
      <c r="C288" s="65">
        <f t="shared" ref="C288:AC288" si="222">((1+C249)^C256)*C249/(((1+C249)^C256)-1)*(C245)/C261/(C258)</f>
        <v>1.344191716288432E-3</v>
      </c>
      <c r="D288" s="65">
        <f t="shared" si="222"/>
        <v>1.3437695025302714E-3</v>
      </c>
      <c r="E288" s="65">
        <f t="shared" si="222"/>
        <v>1.343165496057823E-3</v>
      </c>
      <c r="F288" s="65">
        <f t="shared" si="222"/>
        <v>1.3423022375280494E-3</v>
      </c>
      <c r="G288" s="65">
        <f t="shared" si="222"/>
        <v>1.3410701810481582E-3</v>
      </c>
      <c r="H288" s="65">
        <f t="shared" si="222"/>
        <v>1.3393154303642525E-3</v>
      </c>
      <c r="I288" s="65">
        <f t="shared" si="222"/>
        <v>1.3368239359397552E-3</v>
      </c>
      <c r="J288" s="65">
        <f t="shared" si="222"/>
        <v>1.3333024479880559E-3</v>
      </c>
      <c r="K288" s="65">
        <f t="shared" si="222"/>
        <v>1.3283583424367757E-3</v>
      </c>
      <c r="L288" s="65">
        <f t="shared" si="222"/>
        <v>1.3214842409546043E-3</v>
      </c>
      <c r="M288" s="65">
        <f t="shared" si="222"/>
        <v>1.3120601049831952E-3</v>
      </c>
      <c r="N288" s="65">
        <f t="shared" si="222"/>
        <v>1.2993950760872054E-3</v>
      </c>
      <c r="O288" s="65">
        <f t="shared" si="222"/>
        <v>1.2828394366165034E-3</v>
      </c>
      <c r="P288" s="65">
        <f t="shared" si="222"/>
        <v>1.2619904069694208E-3</v>
      </c>
      <c r="Q288" s="65">
        <f t="shared" si="222"/>
        <v>1.2369721698644108E-3</v>
      </c>
      <c r="R288" s="65">
        <f t="shared" si="222"/>
        <v>1.2086822064761966E-3</v>
      </c>
      <c r="S288" s="65">
        <f t="shared" si="222"/>
        <v>1.1788166081980577E-3</v>
      </c>
      <c r="T288" s="65">
        <f t="shared" si="222"/>
        <v>1.1495387090319981E-3</v>
      </c>
      <c r="U288" s="65">
        <f t="shared" si="222"/>
        <v>1.1228864347779014E-3</v>
      </c>
      <c r="V288" s="65">
        <f t="shared" si="222"/>
        <v>1.1002357970187589E-3</v>
      </c>
      <c r="W288" s="65">
        <f t="shared" si="222"/>
        <v>1.0820966926730776E-3</v>
      </c>
      <c r="X288" s="65">
        <f t="shared" si="222"/>
        <v>1.0682557509864208E-3</v>
      </c>
      <c r="Y288" s="65">
        <f t="shared" si="222"/>
        <v>1.0580815488016001E-3</v>
      </c>
      <c r="Z288" s="65">
        <f t="shared" si="222"/>
        <v>1.0508071414262214E-3</v>
      </c>
      <c r="AA288" s="65">
        <f t="shared" si="222"/>
        <v>1.0457088561380199E-3</v>
      </c>
      <c r="AB288" s="65">
        <f t="shared" si="222"/>
        <v>1.0421856276387688E-3</v>
      </c>
      <c r="AC288" s="65">
        <f t="shared" si="222"/>
        <v>1.0397745068075209E-3</v>
      </c>
    </row>
    <row r="289" spans="1:29" x14ac:dyDescent="0.3">
      <c r="A289" s="30" t="str">
        <f t="shared" si="221"/>
        <v>Residual value (vehicle)</v>
      </c>
      <c r="B289" s="68">
        <f>((1+B249)^B256)*B249/(((1+B249)^B256)-1)*(B246)/B261/(B258)</f>
        <v>-6.7337961459558828E-5</v>
      </c>
      <c r="C289" s="68">
        <f t="shared" ref="C289:AC289" si="223">((1+C249)^C256)*C249/(((1+C249)^C256)-1)*(C246)/C261/(C258)</f>
        <v>-6.7372372244207035E-5</v>
      </c>
      <c r="D289" s="68">
        <f t="shared" si="223"/>
        <v>-6.7421630515992462E-5</v>
      </c>
      <c r="E289" s="68">
        <f t="shared" si="223"/>
        <v>-6.7492097937778083E-5</v>
      </c>
      <c r="F289" s="68">
        <f t="shared" si="223"/>
        <v>-6.7592811432918334E-5</v>
      </c>
      <c r="G289" s="68">
        <f t="shared" si="223"/>
        <v>-6.773655135557234E-5</v>
      </c>
      <c r="H289" s="68">
        <f t="shared" si="223"/>
        <v>-6.7941272268694643E-5</v>
      </c>
      <c r="I289" s="68">
        <f t="shared" si="223"/>
        <v>-6.8231946618219335E-5</v>
      </c>
      <c r="J289" s="68">
        <f t="shared" si="223"/>
        <v>-6.8642786879250924E-5</v>
      </c>
      <c r="K289" s="68">
        <f t="shared" si="223"/>
        <v>-6.9219599193566945E-5</v>
      </c>
      <c r="L289" s="68">
        <f t="shared" si="223"/>
        <v>-7.0021577699820272E-5</v>
      </c>
      <c r="M289" s="68">
        <f t="shared" si="223"/>
        <v>-7.1121060229817985E-5</v>
      </c>
      <c r="N289" s="68">
        <f t="shared" si="223"/>
        <v>-7.2598646934350151E-5</v>
      </c>
      <c r="O289" s="68">
        <f t="shared" si="223"/>
        <v>-7.4530138205932043E-5</v>
      </c>
      <c r="P289" s="68">
        <f t="shared" si="223"/>
        <v>-7.6962524998091712E-5</v>
      </c>
      <c r="Q289" s="68">
        <f t="shared" si="223"/>
        <v>-7.9881319327009486E-5</v>
      </c>
      <c r="R289" s="68">
        <f t="shared" si="223"/>
        <v>-8.3181815055634491E-5</v>
      </c>
      <c r="S289" s="68">
        <f t="shared" si="223"/>
        <v>-8.6666134854750698E-5</v>
      </c>
      <c r="T289" s="68">
        <f t="shared" si="223"/>
        <v>-9.008188975745766E-5</v>
      </c>
      <c r="U289" s="68">
        <f t="shared" si="223"/>
        <v>-9.3191321753768942E-5</v>
      </c>
      <c r="V289" s="68">
        <f t="shared" si="223"/>
        <v>-9.583389615900226E-5</v>
      </c>
      <c r="W289" s="68">
        <f t="shared" si="223"/>
        <v>-9.7950124999331722E-5</v>
      </c>
      <c r="X289" s="68">
        <f t="shared" si="223"/>
        <v>-9.9564901529441686E-5</v>
      </c>
      <c r="Y289" s="68">
        <f t="shared" si="223"/>
        <v>-1.0075189178433743E-4</v>
      </c>
      <c r="Z289" s="68">
        <f t="shared" si="223"/>
        <v>-1.0160057264479828E-4</v>
      </c>
      <c r="AA289" s="68">
        <f t="shared" si="223"/>
        <v>-1.0219537259508843E-4</v>
      </c>
      <c r="AB289" s="68">
        <f t="shared" si="223"/>
        <v>-1.0260641592000108E-4</v>
      </c>
      <c r="AC289" s="68">
        <f t="shared" si="223"/>
        <v>-1.0288771335031333E-4</v>
      </c>
    </row>
    <row r="290" spans="1:29" x14ac:dyDescent="0.3">
      <c r="A290" s="30" t="str">
        <f t="shared" si="221"/>
        <v>Capex costumization</v>
      </c>
      <c r="B290" s="66">
        <f>((1+B249)^B257)*B249/(((1+B249)^B257)-1)*(B247)/B261/(B258)</f>
        <v>6.8982996659853576E-5</v>
      </c>
      <c r="C290" s="66">
        <f t="shared" ref="C290:AC290" si="224">((1+C249)^C257)*C249/(((1+C249)^C257)-1)*(C247)/C261/(C258)</f>
        <v>6.8982996659853576E-5</v>
      </c>
      <c r="D290" s="66">
        <f t="shared" si="224"/>
        <v>6.8982996659853576E-5</v>
      </c>
      <c r="E290" s="66">
        <f t="shared" si="224"/>
        <v>6.8982996659853576E-5</v>
      </c>
      <c r="F290" s="66">
        <f t="shared" si="224"/>
        <v>6.8982996659853576E-5</v>
      </c>
      <c r="G290" s="66">
        <f t="shared" si="224"/>
        <v>6.8982996659853576E-5</v>
      </c>
      <c r="H290" s="66">
        <f t="shared" si="224"/>
        <v>6.8982996659853576E-5</v>
      </c>
      <c r="I290" s="66">
        <f t="shared" si="224"/>
        <v>6.8982996659853576E-5</v>
      </c>
      <c r="J290" s="66">
        <f t="shared" si="224"/>
        <v>6.8982996659853576E-5</v>
      </c>
      <c r="K290" s="66">
        <f t="shared" si="224"/>
        <v>6.8982996659853576E-5</v>
      </c>
      <c r="L290" s="66">
        <f t="shared" si="224"/>
        <v>6.8982996659853576E-5</v>
      </c>
      <c r="M290" s="66">
        <f t="shared" si="224"/>
        <v>6.8982996659853576E-5</v>
      </c>
      <c r="N290" s="66">
        <f t="shared" si="224"/>
        <v>6.8982996659853576E-5</v>
      </c>
      <c r="O290" s="66">
        <f t="shared" si="224"/>
        <v>6.8982996659853576E-5</v>
      </c>
      <c r="P290" s="66">
        <f t="shared" si="224"/>
        <v>6.8982996659853576E-5</v>
      </c>
      <c r="Q290" s="66">
        <f t="shared" si="224"/>
        <v>6.8982996659853576E-5</v>
      </c>
      <c r="R290" s="66">
        <f t="shared" si="224"/>
        <v>6.8982996659853576E-5</v>
      </c>
      <c r="S290" s="66">
        <f t="shared" si="224"/>
        <v>6.8982996659853576E-5</v>
      </c>
      <c r="T290" s="66">
        <f t="shared" si="224"/>
        <v>6.8982996659853576E-5</v>
      </c>
      <c r="U290" s="66">
        <f t="shared" si="224"/>
        <v>6.8982996659853576E-5</v>
      </c>
      <c r="V290" s="66">
        <f t="shared" si="224"/>
        <v>6.8982996659853576E-5</v>
      </c>
      <c r="W290" s="66">
        <f t="shared" si="224"/>
        <v>6.8982996659853576E-5</v>
      </c>
      <c r="X290" s="66">
        <f t="shared" si="224"/>
        <v>6.8982996659853576E-5</v>
      </c>
      <c r="Y290" s="66">
        <f t="shared" si="224"/>
        <v>6.8982996659853576E-5</v>
      </c>
      <c r="Z290" s="66">
        <f t="shared" si="224"/>
        <v>6.8982996659853576E-5</v>
      </c>
      <c r="AA290" s="66">
        <f t="shared" si="224"/>
        <v>6.8982996659853576E-5</v>
      </c>
      <c r="AB290" s="66">
        <f t="shared" si="224"/>
        <v>6.8982996659853576E-5</v>
      </c>
      <c r="AC290" s="66">
        <f t="shared" si="224"/>
        <v>6.8982996659853576E-5</v>
      </c>
    </row>
    <row r="291" spans="1:29" x14ac:dyDescent="0.3">
      <c r="A291" s="30" t="str">
        <f t="shared" si="221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25">((1+C249)^C257)*C249/(((1+C249)^C257)-1)*(C248)/C261/(C258)</f>
        <v>-6.8982996659853564E-6</v>
      </c>
      <c r="D291" s="69">
        <f t="shared" si="225"/>
        <v>-6.8982996659853564E-6</v>
      </c>
      <c r="E291" s="69">
        <f t="shared" si="225"/>
        <v>-6.8982996659853564E-6</v>
      </c>
      <c r="F291" s="69">
        <f t="shared" si="225"/>
        <v>-6.8982996659853564E-6</v>
      </c>
      <c r="G291" s="69">
        <f t="shared" si="225"/>
        <v>-6.8982996659853564E-6</v>
      </c>
      <c r="H291" s="69">
        <f t="shared" si="225"/>
        <v>-6.8982996659853564E-6</v>
      </c>
      <c r="I291" s="69">
        <f t="shared" si="225"/>
        <v>-6.8982996659853564E-6</v>
      </c>
      <c r="J291" s="69">
        <f t="shared" si="225"/>
        <v>-6.8982996659853564E-6</v>
      </c>
      <c r="K291" s="69">
        <f t="shared" si="225"/>
        <v>-6.8982996659853564E-6</v>
      </c>
      <c r="L291" s="69">
        <f t="shared" si="225"/>
        <v>-6.8982996659853564E-6</v>
      </c>
      <c r="M291" s="69">
        <f t="shared" si="225"/>
        <v>-6.8982996659853564E-6</v>
      </c>
      <c r="N291" s="69">
        <f t="shared" si="225"/>
        <v>-6.8982996659853564E-6</v>
      </c>
      <c r="O291" s="69">
        <f t="shared" si="225"/>
        <v>-6.8982996659853564E-6</v>
      </c>
      <c r="P291" s="69">
        <f t="shared" si="225"/>
        <v>-6.8982996659853564E-6</v>
      </c>
      <c r="Q291" s="69">
        <f t="shared" si="225"/>
        <v>-6.8982996659853564E-6</v>
      </c>
      <c r="R291" s="69">
        <f t="shared" si="225"/>
        <v>-6.8982996659853564E-6</v>
      </c>
      <c r="S291" s="69">
        <f t="shared" si="225"/>
        <v>-6.8982996659853564E-6</v>
      </c>
      <c r="T291" s="69">
        <f t="shared" si="225"/>
        <v>-6.8982996659853564E-6</v>
      </c>
      <c r="U291" s="69">
        <f t="shared" si="225"/>
        <v>-6.8982996659853564E-6</v>
      </c>
      <c r="V291" s="69">
        <f t="shared" si="225"/>
        <v>-6.8982996659853564E-6</v>
      </c>
      <c r="W291" s="69">
        <f t="shared" si="225"/>
        <v>-6.8982996659853564E-6</v>
      </c>
      <c r="X291" s="69">
        <f t="shared" si="225"/>
        <v>-6.8982996659853564E-6</v>
      </c>
      <c r="Y291" s="69">
        <f t="shared" si="225"/>
        <v>-6.8982996659853564E-6</v>
      </c>
      <c r="Z291" s="69">
        <f t="shared" si="225"/>
        <v>-6.8982996659853564E-6</v>
      </c>
      <c r="AA291" s="69">
        <f t="shared" si="225"/>
        <v>-6.8982996659853564E-6</v>
      </c>
      <c r="AB291" s="69">
        <f t="shared" si="225"/>
        <v>-6.8982996659853564E-6</v>
      </c>
      <c r="AC291" s="69">
        <f t="shared" si="225"/>
        <v>-6.8982996659853564E-6</v>
      </c>
    </row>
    <row r="292" spans="1:29" x14ac:dyDescent="0.3">
      <c r="A292" s="30" t="str">
        <f t="shared" si="221"/>
        <v>Opex fix (admin, crew, insurance)</v>
      </c>
      <c r="B292" s="66">
        <f>B250/B261/(B258)</f>
        <v>1.0654632223259673E-3</v>
      </c>
      <c r="C292" s="66">
        <f t="shared" ref="C292:AC292" si="226">C250/C261/(C258)</f>
        <v>1.0654632223259673E-3</v>
      </c>
      <c r="D292" s="66">
        <f t="shared" si="226"/>
        <v>1.0654632223259673E-3</v>
      </c>
      <c r="E292" s="66">
        <f t="shared" si="226"/>
        <v>1.0654632223259673E-3</v>
      </c>
      <c r="F292" s="66">
        <f t="shared" si="226"/>
        <v>1.0654632223259673E-3</v>
      </c>
      <c r="G292" s="66">
        <f t="shared" si="226"/>
        <v>1.0654632223259673E-3</v>
      </c>
      <c r="H292" s="66">
        <f t="shared" si="226"/>
        <v>1.0654632223259673E-3</v>
      </c>
      <c r="I292" s="66">
        <f t="shared" si="226"/>
        <v>1.0654632223259673E-3</v>
      </c>
      <c r="J292" s="66">
        <f t="shared" si="226"/>
        <v>1.0654632223259673E-3</v>
      </c>
      <c r="K292" s="66">
        <f t="shared" si="226"/>
        <v>1.0654632223259673E-3</v>
      </c>
      <c r="L292" s="66">
        <f t="shared" si="226"/>
        <v>1.0654632223259673E-3</v>
      </c>
      <c r="M292" s="66">
        <f t="shared" si="226"/>
        <v>1.0654632223259673E-3</v>
      </c>
      <c r="N292" s="66">
        <f t="shared" si="226"/>
        <v>1.0654632223259673E-3</v>
      </c>
      <c r="O292" s="66">
        <f t="shared" si="226"/>
        <v>1.0654632223259673E-3</v>
      </c>
      <c r="P292" s="66">
        <f t="shared" si="226"/>
        <v>1.0654632223259673E-3</v>
      </c>
      <c r="Q292" s="66">
        <f t="shared" si="226"/>
        <v>1.0654632223259673E-3</v>
      </c>
      <c r="R292" s="66">
        <f t="shared" si="226"/>
        <v>1.0654632223259673E-3</v>
      </c>
      <c r="S292" s="66">
        <f t="shared" si="226"/>
        <v>1.0654632223259673E-3</v>
      </c>
      <c r="T292" s="66">
        <f t="shared" si="226"/>
        <v>1.0654632223259673E-3</v>
      </c>
      <c r="U292" s="66">
        <f t="shared" si="226"/>
        <v>1.0654632223259673E-3</v>
      </c>
      <c r="V292" s="66">
        <f t="shared" si="226"/>
        <v>1.0654632223259673E-3</v>
      </c>
      <c r="W292" s="66">
        <f t="shared" si="226"/>
        <v>1.0654632223259673E-3</v>
      </c>
      <c r="X292" s="66">
        <f t="shared" si="226"/>
        <v>1.0654632223259673E-3</v>
      </c>
      <c r="Y292" s="66">
        <f t="shared" si="226"/>
        <v>1.0654632223259673E-3</v>
      </c>
      <c r="Z292" s="66">
        <f t="shared" si="226"/>
        <v>1.0654632223259673E-3</v>
      </c>
      <c r="AA292" s="66">
        <f t="shared" si="226"/>
        <v>1.0654632223259673E-3</v>
      </c>
      <c r="AB292" s="66">
        <f t="shared" si="226"/>
        <v>1.0654632223259673E-3</v>
      </c>
      <c r="AC292" s="66">
        <f t="shared" si="226"/>
        <v>1.0654632223259673E-3</v>
      </c>
    </row>
    <row r="293" spans="1:29" x14ac:dyDescent="0.3">
      <c r="A293" s="30" t="str">
        <f t="shared" si="221"/>
        <v>Opex maintenance &amp; repair</v>
      </c>
      <c r="B293" s="66">
        <f>B251/B261/(B258)</f>
        <v>4.305425874053325E-4</v>
      </c>
      <c r="C293" s="66">
        <f t="shared" ref="C293:AC293" si="227">C251/C261/(C258)</f>
        <v>4.305425874053325E-4</v>
      </c>
      <c r="D293" s="66">
        <f t="shared" si="227"/>
        <v>4.305425874053325E-4</v>
      </c>
      <c r="E293" s="66">
        <f t="shared" si="227"/>
        <v>4.305425874053325E-4</v>
      </c>
      <c r="F293" s="66">
        <f t="shared" si="227"/>
        <v>4.305425874053325E-4</v>
      </c>
      <c r="G293" s="66">
        <f t="shared" si="227"/>
        <v>4.305425874053325E-4</v>
      </c>
      <c r="H293" s="66">
        <f t="shared" si="227"/>
        <v>4.305425874053325E-4</v>
      </c>
      <c r="I293" s="66">
        <f t="shared" si="227"/>
        <v>4.305425874053325E-4</v>
      </c>
      <c r="J293" s="66">
        <f t="shared" si="227"/>
        <v>4.305425874053325E-4</v>
      </c>
      <c r="K293" s="66">
        <f t="shared" si="227"/>
        <v>4.305425874053325E-4</v>
      </c>
      <c r="L293" s="66">
        <f t="shared" si="227"/>
        <v>4.305425874053325E-4</v>
      </c>
      <c r="M293" s="66">
        <f t="shared" si="227"/>
        <v>4.305425874053325E-4</v>
      </c>
      <c r="N293" s="66">
        <f t="shared" si="227"/>
        <v>4.305425874053325E-4</v>
      </c>
      <c r="O293" s="66">
        <f t="shared" si="227"/>
        <v>4.305425874053325E-4</v>
      </c>
      <c r="P293" s="66">
        <f t="shared" si="227"/>
        <v>4.305425874053325E-4</v>
      </c>
      <c r="Q293" s="66">
        <f t="shared" si="227"/>
        <v>4.305425874053325E-4</v>
      </c>
      <c r="R293" s="66">
        <f t="shared" si="227"/>
        <v>4.305425874053325E-4</v>
      </c>
      <c r="S293" s="66">
        <f t="shared" si="227"/>
        <v>4.305425874053325E-4</v>
      </c>
      <c r="T293" s="66">
        <f t="shared" si="227"/>
        <v>4.305425874053325E-4</v>
      </c>
      <c r="U293" s="66">
        <f t="shared" si="227"/>
        <v>4.305425874053325E-4</v>
      </c>
      <c r="V293" s="66">
        <f t="shared" si="227"/>
        <v>4.305425874053325E-4</v>
      </c>
      <c r="W293" s="66">
        <f t="shared" si="227"/>
        <v>4.305425874053325E-4</v>
      </c>
      <c r="X293" s="66">
        <f t="shared" si="227"/>
        <v>4.305425874053325E-4</v>
      </c>
      <c r="Y293" s="66">
        <f t="shared" si="227"/>
        <v>4.305425874053325E-4</v>
      </c>
      <c r="Z293" s="66">
        <f t="shared" si="227"/>
        <v>4.305425874053325E-4</v>
      </c>
      <c r="AA293" s="66">
        <f t="shared" si="227"/>
        <v>4.305425874053325E-4</v>
      </c>
      <c r="AB293" s="66">
        <f t="shared" si="227"/>
        <v>4.305425874053325E-4</v>
      </c>
      <c r="AC293" s="66">
        <f t="shared" si="227"/>
        <v>4.305425874053325E-4</v>
      </c>
    </row>
    <row r="294" spans="1:29" x14ac:dyDescent="0.3">
      <c r="A294" s="30" t="str">
        <f t="shared" si="221"/>
        <v>Opex var (mode-fees)</v>
      </c>
      <c r="B294" s="66">
        <f>B252*B261/B261/(B258)</f>
        <v>8.6011184229469056E-5</v>
      </c>
      <c r="C294" s="66">
        <f t="shared" ref="C294:AC294" si="228">C252*C261/C261/(C258)</f>
        <v>8.6011184229469056E-5</v>
      </c>
      <c r="D294" s="66">
        <f t="shared" si="228"/>
        <v>8.6011184229469056E-5</v>
      </c>
      <c r="E294" s="66">
        <f t="shared" si="228"/>
        <v>8.6011184229469056E-5</v>
      </c>
      <c r="F294" s="66">
        <f t="shared" si="228"/>
        <v>8.6011184229469056E-5</v>
      </c>
      <c r="G294" s="66">
        <f t="shared" si="228"/>
        <v>8.6011184229469056E-5</v>
      </c>
      <c r="H294" s="66">
        <f t="shared" si="228"/>
        <v>8.6011184229469056E-5</v>
      </c>
      <c r="I294" s="66">
        <f t="shared" si="228"/>
        <v>8.6011184229469056E-5</v>
      </c>
      <c r="J294" s="66">
        <f t="shared" si="228"/>
        <v>8.6011184229469056E-5</v>
      </c>
      <c r="K294" s="66">
        <f t="shared" si="228"/>
        <v>8.6011184229469056E-5</v>
      </c>
      <c r="L294" s="66">
        <f t="shared" si="228"/>
        <v>8.6011184229469056E-5</v>
      </c>
      <c r="M294" s="66">
        <f t="shared" si="228"/>
        <v>8.6011184229469056E-5</v>
      </c>
      <c r="N294" s="66">
        <f t="shared" si="228"/>
        <v>8.6011184229469056E-5</v>
      </c>
      <c r="O294" s="66">
        <f t="shared" si="228"/>
        <v>8.6011184229469056E-5</v>
      </c>
      <c r="P294" s="66">
        <f t="shared" si="228"/>
        <v>8.6011184229469056E-5</v>
      </c>
      <c r="Q294" s="66">
        <f t="shared" si="228"/>
        <v>8.6011184229469056E-5</v>
      </c>
      <c r="R294" s="66">
        <f t="shared" si="228"/>
        <v>8.6011184229469056E-5</v>
      </c>
      <c r="S294" s="66">
        <f t="shared" si="228"/>
        <v>8.6011184229469056E-5</v>
      </c>
      <c r="T294" s="66">
        <f t="shared" si="228"/>
        <v>8.6011184229469056E-5</v>
      </c>
      <c r="U294" s="66">
        <f t="shared" si="228"/>
        <v>8.6011184229469056E-5</v>
      </c>
      <c r="V294" s="66">
        <f t="shared" si="228"/>
        <v>8.6011184229469056E-5</v>
      </c>
      <c r="W294" s="66">
        <f t="shared" si="228"/>
        <v>8.6011184229469056E-5</v>
      </c>
      <c r="X294" s="66">
        <f t="shared" si="228"/>
        <v>8.6011184229469056E-5</v>
      </c>
      <c r="Y294" s="66">
        <f t="shared" si="228"/>
        <v>8.6011184229469056E-5</v>
      </c>
      <c r="Z294" s="66">
        <f t="shared" si="228"/>
        <v>8.6011184229469056E-5</v>
      </c>
      <c r="AA294" s="66">
        <f t="shared" si="228"/>
        <v>8.6011184229469056E-5</v>
      </c>
      <c r="AB294" s="66">
        <f t="shared" si="228"/>
        <v>8.6011184229469056E-5</v>
      </c>
      <c r="AC294" s="66">
        <f t="shared" si="228"/>
        <v>8.6011184229469056E-5</v>
      </c>
    </row>
    <row r="295" spans="1:29" x14ac:dyDescent="0.3">
      <c r="A295" s="30" t="str">
        <f t="shared" si="221"/>
        <v>Fuel Cost</v>
      </c>
      <c r="B295" s="66">
        <f>B253*B254*B261/B261/(B258)</f>
        <v>2.6447470892304818E-2</v>
      </c>
      <c r="C295" s="66">
        <f t="shared" ref="C295:AC295" si="229">C253*C254*C261/C261/(C258)</f>
        <v>2.6426908566753161E-2</v>
      </c>
      <c r="D295" s="66">
        <f t="shared" si="229"/>
        <v>2.6397478557982218E-2</v>
      </c>
      <c r="E295" s="66">
        <f t="shared" si="229"/>
        <v>2.6355386077260078E-2</v>
      </c>
      <c r="F295" s="66">
        <f t="shared" si="229"/>
        <v>2.6295245467607312E-2</v>
      </c>
      <c r="G295" s="66">
        <f t="shared" si="229"/>
        <v>2.6209450205638828E-2</v>
      </c>
      <c r="H295" s="66">
        <f t="shared" si="229"/>
        <v>2.6087334634489406E-2</v>
      </c>
      <c r="I295" s="66">
        <f t="shared" si="229"/>
        <v>2.5914105335127887E-2</v>
      </c>
      <c r="J295" s="66">
        <f t="shared" si="229"/>
        <v>2.5669577211867009E-2</v>
      </c>
      <c r="K295" s="66">
        <f t="shared" si="229"/>
        <v>2.5326886475952576E-2</v>
      </c>
      <c r="L295" s="66">
        <f t="shared" si="229"/>
        <v>2.4851629900758964E-2</v>
      </c>
      <c r="M295" s="66">
        <f t="shared" si="229"/>
        <v>2.4202354741507264E-2</v>
      </c>
      <c r="N295" s="66">
        <f t="shared" si="229"/>
        <v>2.3333958242089507E-2</v>
      </c>
      <c r="O295" s="66">
        <f t="shared" si="229"/>
        <v>2.2205989369190961E-2</v>
      </c>
      <c r="P295" s="66">
        <f t="shared" si="229"/>
        <v>2.079709880546295E-2</v>
      </c>
      <c r="Q295" s="66">
        <f t="shared" si="229"/>
        <v>1.9123532981653774E-2</v>
      </c>
      <c r="R295" s="66">
        <f t="shared" si="229"/>
        <v>1.7253532537418889E-2</v>
      </c>
      <c r="S295" s="66">
        <f t="shared" si="229"/>
        <v>1.530520591707072E-2</v>
      </c>
      <c r="T295" s="66">
        <f t="shared" si="229"/>
        <v>1.342096578561215E-2</v>
      </c>
      <c r="U295" s="66">
        <f t="shared" si="229"/>
        <v>1.1727867879060591E-2</v>
      </c>
      <c r="V295" s="66">
        <f t="shared" si="229"/>
        <v>1.0305580567023331E-2</v>
      </c>
      <c r="W295" s="66">
        <f t="shared" si="229"/>
        <v>9.1775845387704353E-3</v>
      </c>
      <c r="X295" s="66">
        <f t="shared" si="229"/>
        <v>8.323455015144551E-3</v>
      </c>
      <c r="Y295" s="66">
        <f t="shared" si="229"/>
        <v>7.6992343221792357E-3</v>
      </c>
      <c r="Z295" s="66">
        <f t="shared" si="229"/>
        <v>7.2548128498131879E-3</v>
      </c>
      <c r="AA295" s="66">
        <f t="shared" si="229"/>
        <v>6.9442769569968699E-3</v>
      </c>
      <c r="AB295" s="66">
        <f t="shared" si="229"/>
        <v>6.7301292213014213E-3</v>
      </c>
      <c r="AC295" s="66">
        <f t="shared" si="229"/>
        <v>6.5837900060073855E-3</v>
      </c>
    </row>
    <row r="296" spans="1:29" x14ac:dyDescent="0.3">
      <c r="A296" s="59" t="str">
        <f>A259</f>
        <v>Market failure (av. utilization)</v>
      </c>
      <c r="B296" s="66">
        <f t="shared" ref="B296:AC296" si="230">B285/B259-B285/B258</f>
        <v>4.6479659332276088E-2</v>
      </c>
      <c r="C296" s="66">
        <f t="shared" si="230"/>
        <v>4.6446485152328409E-2</v>
      </c>
      <c r="D296" s="66">
        <f t="shared" si="230"/>
        <v>4.6399004094636542E-2</v>
      </c>
      <c r="E296" s="66">
        <f t="shared" si="230"/>
        <v>4.633109351804135E-2</v>
      </c>
      <c r="F296" s="66">
        <f t="shared" si="230"/>
        <v>4.6234063776346854E-2</v>
      </c>
      <c r="G296" s="66">
        <f t="shared" si="230"/>
        <v>4.6095641403920654E-2</v>
      </c>
      <c r="H296" s="66">
        <f t="shared" si="230"/>
        <v>4.5898615877022139E-2</v>
      </c>
      <c r="I296" s="66">
        <f t="shared" si="230"/>
        <v>4.5619113915795415E-2</v>
      </c>
      <c r="J296" s="66">
        <f t="shared" si="230"/>
        <v>4.5224557202074814E-2</v>
      </c>
      <c r="K296" s="66">
        <f t="shared" si="230"/>
        <v>4.4671580094069373E-2</v>
      </c>
      <c r="L296" s="66">
        <f t="shared" si="230"/>
        <v>4.3904630532095153E-2</v>
      </c>
      <c r="M296" s="66">
        <f t="shared" si="230"/>
        <v>4.2856743512300705E-2</v>
      </c>
      <c r="N296" s="66">
        <f t="shared" si="230"/>
        <v>4.1455001906455957E-2</v>
      </c>
      <c r="O296" s="66">
        <f t="shared" si="230"/>
        <v>3.9633905598645942E-2</v>
      </c>
      <c r="P296" s="66">
        <f t="shared" si="230"/>
        <v>3.735867928091393E-2</v>
      </c>
      <c r="Q296" s="66">
        <f t="shared" si="230"/>
        <v>3.465516036995879E-2</v>
      </c>
      <c r="R296" s="66">
        <f t="shared" si="230"/>
        <v>3.1633165375214246E-2</v>
      </c>
      <c r="S296" s="66">
        <f t="shared" si="230"/>
        <v>2.8483250882527227E-2</v>
      </c>
      <c r="T296" s="66">
        <f t="shared" si="230"/>
        <v>2.5435591866072551E-2</v>
      </c>
      <c r="U296" s="66">
        <f t="shared" si="230"/>
        <v>2.2695912948096128E-2</v>
      </c>
      <c r="V296" s="66">
        <f t="shared" si="230"/>
        <v>2.0393547626415681E-2</v>
      </c>
      <c r="W296" s="66">
        <f t="shared" si="230"/>
        <v>1.8566972638613136E-2</v>
      </c>
      <c r="X296" s="66">
        <f t="shared" si="230"/>
        <v>1.7183509010352385E-2</v>
      </c>
      <c r="Y296" s="66">
        <f t="shared" si="230"/>
        <v>1.6172234687057301E-2</v>
      </c>
      <c r="Z296" s="66">
        <f t="shared" si="230"/>
        <v>1.545214009503899E-2</v>
      </c>
      <c r="AA296" s="66">
        <f t="shared" si="230"/>
        <v>1.4948927143853848E-2</v>
      </c>
      <c r="AB296" s="66">
        <f t="shared" si="230"/>
        <v>1.4601882496734718E-2</v>
      </c>
      <c r="AC296" s="66">
        <f t="shared" si="230"/>
        <v>1.4364715316188228E-2</v>
      </c>
    </row>
    <row r="297" spans="1:29" x14ac:dyDescent="0.3">
      <c r="A297" s="59" t="str">
        <f>A260</f>
        <v>Payload loss (fuel)</v>
      </c>
      <c r="B297" s="66">
        <f>B285/(B258-B260)-B285/B258</f>
        <v>1.2381876461467003E-3</v>
      </c>
      <c r="C297" s="66">
        <f t="shared" ref="C297:AC297" si="231">C285/(C258-C260)-C285/C258</f>
        <v>1.237303907746453E-3</v>
      </c>
      <c r="D297" s="66">
        <f t="shared" si="231"/>
        <v>1.2360390435046595E-3</v>
      </c>
      <c r="E297" s="66">
        <f t="shared" si="231"/>
        <v>1.2342299502756914E-3</v>
      </c>
      <c r="F297" s="66">
        <f t="shared" si="231"/>
        <v>1.2316451415830092E-3</v>
      </c>
      <c r="G297" s="66">
        <f t="shared" si="231"/>
        <v>1.2279576603503456E-3</v>
      </c>
      <c r="H297" s="66">
        <f t="shared" si="231"/>
        <v>1.2227090295108371E-3</v>
      </c>
      <c r="I297" s="66">
        <f t="shared" si="231"/>
        <v>1.2152632805437318E-3</v>
      </c>
      <c r="J297" s="66">
        <f t="shared" si="231"/>
        <v>1.2047525484159272E-3</v>
      </c>
      <c r="K297" s="66">
        <f t="shared" si="231"/>
        <v>1.1900216008666024E-3</v>
      </c>
      <c r="L297" s="66">
        <f t="shared" si="231"/>
        <v>1.1695905674533533E-3</v>
      </c>
      <c r="M297" s="66">
        <f t="shared" si="231"/>
        <v>1.1416755443850596E-3</v>
      </c>
      <c r="N297" s="66">
        <f t="shared" si="231"/>
        <v>1.10433406718018E-3</v>
      </c>
      <c r="O297" s="66">
        <f t="shared" si="231"/>
        <v>1.0558212557016319E-3</v>
      </c>
      <c r="P297" s="66">
        <f t="shared" si="231"/>
        <v>9.9521071854893894E-4</v>
      </c>
      <c r="Q297" s="66">
        <f t="shared" si="231"/>
        <v>9.2319074756037553E-4</v>
      </c>
      <c r="R297" s="66">
        <f t="shared" si="231"/>
        <v>8.4268678253644411E-4</v>
      </c>
      <c r="S297" s="66">
        <f t="shared" si="231"/>
        <v>7.5877512596896415E-4</v>
      </c>
      <c r="T297" s="66">
        <f t="shared" si="231"/>
        <v>6.7758748823553913E-4</v>
      </c>
      <c r="U297" s="66">
        <f t="shared" si="231"/>
        <v>6.0460423837141279E-4</v>
      </c>
      <c r="V297" s="66">
        <f t="shared" si="231"/>
        <v>5.4327073594959835E-4</v>
      </c>
      <c r="W297" s="66">
        <f t="shared" si="231"/>
        <v>4.9461197602862841E-4</v>
      </c>
      <c r="X297" s="66">
        <f t="shared" si="231"/>
        <v>4.5775741216102714E-4</v>
      </c>
      <c r="Y297" s="66">
        <f t="shared" si="231"/>
        <v>4.3081772731914936E-4</v>
      </c>
      <c r="Z297" s="66">
        <f t="shared" si="231"/>
        <v>4.1163487958095768E-4</v>
      </c>
      <c r="AA297" s="66">
        <f t="shared" si="231"/>
        <v>3.9822961653709042E-4</v>
      </c>
      <c r="AB297" s="66">
        <f t="shared" si="231"/>
        <v>3.8898457470809729E-4</v>
      </c>
      <c r="AC297" s="66">
        <f t="shared" si="231"/>
        <v>3.8266659653780032E-4</v>
      </c>
    </row>
    <row r="298" spans="1:29" ht="15" thickBot="1" x14ac:dyDescent="0.35">
      <c r="A298" s="59" t="str">
        <f>A235</f>
        <v>Emission Cost</v>
      </c>
      <c r="B298" s="68">
        <f>B255*B261/B261/(B258)</f>
        <v>3.3398562051778328E-4</v>
      </c>
      <c r="C298" s="68">
        <f t="shared" ref="C298:AC298" si="232">C255*C261/C261/(C258)</f>
        <v>3.3366758483088988E-4</v>
      </c>
      <c r="D298" s="68">
        <f t="shared" si="232"/>
        <v>3.3321232382877585E-4</v>
      </c>
      <c r="E298" s="68">
        <f t="shared" si="232"/>
        <v>3.3256104094986681E-4</v>
      </c>
      <c r="F298" s="68">
        <f t="shared" si="232"/>
        <v>3.3163021400320358E-4</v>
      </c>
      <c r="G298" s="68">
        <f t="shared" si="232"/>
        <v>3.3030172279027004E-4</v>
      </c>
      <c r="H298" s="68">
        <f t="shared" si="232"/>
        <v>3.2840962538848302E-4</v>
      </c>
      <c r="I298" s="68">
        <f t="shared" si="232"/>
        <v>3.2572311831349148E-4</v>
      </c>
      <c r="J298" s="68">
        <f t="shared" si="232"/>
        <v>3.2192599871983809E-4</v>
      </c>
      <c r="K298" s="68">
        <f t="shared" si="232"/>
        <v>3.1659491131606082E-4</v>
      </c>
      <c r="L298" s="68">
        <f t="shared" si="232"/>
        <v>3.091827645801561E-4</v>
      </c>
      <c r="M298" s="68">
        <f t="shared" si="232"/>
        <v>2.9902098869419172E-4</v>
      </c>
      <c r="N298" s="68">
        <f t="shared" si="232"/>
        <v>2.8536465079533697E-4</v>
      </c>
      <c r="O298" s="68">
        <f t="shared" si="232"/>
        <v>2.6751317895107546E-4</v>
      </c>
      <c r="P298" s="68">
        <f t="shared" si="232"/>
        <v>2.4503226745359335E-4</v>
      </c>
      <c r="Q298" s="68">
        <f t="shared" si="232"/>
        <v>2.1805581897128034E-4</v>
      </c>
      <c r="R298" s="68">
        <f t="shared" si="232"/>
        <v>1.8755156174862146E-4</v>
      </c>
      <c r="S298" s="68">
        <f t="shared" si="232"/>
        <v>1.5534834255447857E-4</v>
      </c>
      <c r="T298" s="68">
        <f t="shared" si="232"/>
        <v>1.2377882247964437E-4</v>
      </c>
      <c r="U298" s="68">
        <f t="shared" si="232"/>
        <v>9.5040438542586453E-5</v>
      </c>
      <c r="V298" s="68">
        <f t="shared" si="232"/>
        <v>7.06169046206584E-5</v>
      </c>
      <c r="W298" s="68">
        <f t="shared" si="232"/>
        <v>5.1058027956299464E-5</v>
      </c>
      <c r="X298" s="68">
        <f t="shared" si="232"/>
        <v>3.6133736976499454E-5</v>
      </c>
      <c r="Y298" s="68">
        <f t="shared" si="232"/>
        <v>2.5163186176479669E-5</v>
      </c>
      <c r="Z298" s="68">
        <f t="shared" si="232"/>
        <v>1.7319401061741704E-5</v>
      </c>
      <c r="AA298" s="68">
        <f t="shared" si="232"/>
        <v>1.1822066063754811E-5</v>
      </c>
      <c r="AB298" s="68">
        <f t="shared" si="232"/>
        <v>8.0230696875300903E-6</v>
      </c>
      <c r="AC298" s="68">
        <f t="shared" si="232"/>
        <v>5.4232271560286516E-6</v>
      </c>
    </row>
    <row r="299" spans="1:29" ht="15" thickBot="1" x14ac:dyDescent="0.35">
      <c r="A299" s="31" t="s">
        <v>210</v>
      </c>
      <c r="B299" s="67">
        <f>B288+B289+B290+B291+B292+B293+B294+B295+B296+B297+B298</f>
        <v>7.7420553886611593E-2</v>
      </c>
      <c r="C299" s="67">
        <f t="shared" ref="C299:AC299" si="233">C288+C289+C290+C291+C292+C293+C294+C295+C296+C297+C298</f>
        <v>7.7365286246657783E-2</v>
      </c>
      <c r="D299" s="67">
        <f t="shared" si="233"/>
        <v>7.7286183582921122E-2</v>
      </c>
      <c r="E299" s="67">
        <f t="shared" si="233"/>
        <v>7.7173045675601668E-2</v>
      </c>
      <c r="F299" s="67">
        <f t="shared" si="233"/>
        <v>7.7011395716590145E-2</v>
      </c>
      <c r="G299" s="67">
        <f t="shared" si="233"/>
        <v>7.678078631334731E-2</v>
      </c>
      <c r="H299" s="67">
        <f t="shared" si="233"/>
        <v>7.645254501546106E-2</v>
      </c>
      <c r="I299" s="67">
        <f t="shared" si="233"/>
        <v>7.5986899330056715E-2</v>
      </c>
      <c r="J299" s="67">
        <f t="shared" si="233"/>
        <v>7.5329574313141037E-2</v>
      </c>
      <c r="K299" s="67">
        <f t="shared" si="233"/>
        <v>7.4408323516402475E-2</v>
      </c>
      <c r="L299" s="67">
        <f t="shared" si="233"/>
        <v>7.3130598119097043E-2</v>
      </c>
      <c r="M299" s="67">
        <f t="shared" si="233"/>
        <v>7.1384835522595239E-2</v>
      </c>
      <c r="N299" s="67">
        <f t="shared" si="233"/>
        <v>6.9049556986628458E-2</v>
      </c>
      <c r="O299" s="67">
        <f t="shared" si="233"/>
        <v>6.6015640391854813E-2</v>
      </c>
      <c r="P299" s="67">
        <f t="shared" si="233"/>
        <v>6.2225150645305378E-2</v>
      </c>
      <c r="Q299" s="67">
        <f t="shared" si="233"/>
        <v>5.7721132459636261E-2</v>
      </c>
      <c r="R299" s="67">
        <f t="shared" si="233"/>
        <v>5.2686538339293397E-2</v>
      </c>
      <c r="S299" s="67">
        <f t="shared" si="233"/>
        <v>4.743883243241933E-2</v>
      </c>
      <c r="T299" s="67">
        <f t="shared" si="233"/>
        <v>4.2361482472629067E-2</v>
      </c>
      <c r="U299" s="67">
        <f t="shared" si="233"/>
        <v>3.7797222308049494E-2</v>
      </c>
      <c r="V299" s="67">
        <f t="shared" si="233"/>
        <v>3.3961519425823664E-2</v>
      </c>
      <c r="W299" s="67">
        <f t="shared" si="233"/>
        <v>3.0918475439996883E-2</v>
      </c>
      <c r="X299" s="67">
        <f t="shared" si="233"/>
        <v>2.8613647715046077E-2</v>
      </c>
      <c r="Y299" s="67">
        <f t="shared" si="233"/>
        <v>2.6928881270704065E-2</v>
      </c>
      <c r="Z299" s="67">
        <f t="shared" si="233"/>
        <v>2.5729215485230938E-2</v>
      </c>
      <c r="AA299" s="67">
        <f t="shared" si="233"/>
        <v>2.4890870957949132E-2</v>
      </c>
      <c r="AB299" s="67">
        <f t="shared" si="233"/>
        <v>2.4312700265105167E-2</v>
      </c>
      <c r="AC299" s="67">
        <f t="shared" si="233"/>
        <v>2.391758363030129E-2</v>
      </c>
    </row>
    <row r="301" spans="1:29" x14ac:dyDescent="0.3">
      <c r="B301" s="40"/>
    </row>
    <row r="324" spans="1:44" s="3" customFormat="1" ht="21" x14ac:dyDescent="0.4">
      <c r="A324" s="2" t="str">
        <f>'Parameter Input'!A178</f>
        <v>Short-sea:  Neo bulk</v>
      </c>
    </row>
    <row r="325" spans="1:44" s="3" customFormat="1" ht="21" x14ac:dyDescent="0.4">
      <c r="A325" s="2" t="s">
        <v>187</v>
      </c>
    </row>
    <row r="326" spans="1:44" x14ac:dyDescent="0.3">
      <c r="A326" s="33" t="s">
        <v>195</v>
      </c>
    </row>
    <row r="327" spans="1:44" x14ac:dyDescent="0.3">
      <c r="A327" s="33" t="s">
        <v>196</v>
      </c>
    </row>
    <row r="328" spans="1:44" ht="15" thickBot="1" x14ac:dyDescent="0.35">
      <c r="A328" s="34" t="s">
        <v>197</v>
      </c>
      <c r="B328" s="34"/>
    </row>
    <row r="329" spans="1:44" ht="15" thickBot="1" x14ac:dyDescent="0.35">
      <c r="A329" s="39" t="s">
        <v>198</v>
      </c>
      <c r="B329" s="35"/>
    </row>
    <row r="330" spans="1:44" ht="15" thickBot="1" x14ac:dyDescent="0.35">
      <c r="A330" s="38" t="s">
        <v>199</v>
      </c>
      <c r="B330" s="36"/>
    </row>
    <row r="331" spans="1:44" ht="15" thickBot="1" x14ac:dyDescent="0.35"/>
    <row r="332" spans="1:44" x14ac:dyDescent="0.3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" thickBot="1" x14ac:dyDescent="0.35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3">
      <c r="A334" s="24" t="s">
        <v>18</v>
      </c>
      <c r="B334" s="41">
        <f>'Parameter Input'!$L$191</f>
        <v>19500000</v>
      </c>
      <c r="C334" s="42">
        <f>'Parameter Input'!$M$191</f>
        <v>15000000</v>
      </c>
      <c r="D334" s="1" t="s">
        <v>15</v>
      </c>
      <c r="L334" s="51">
        <f>'Parameter Input'!$O$191</f>
        <v>17</v>
      </c>
      <c r="M334" s="52">
        <v>0</v>
      </c>
      <c r="N334" s="52">
        <v>1</v>
      </c>
      <c r="O334" s="52">
        <f>'Parameter Input'!$P$191</f>
        <v>0.9</v>
      </c>
      <c r="P334" s="53">
        <f>'Parameter Input'!$Q$191</f>
        <v>0.4</v>
      </c>
      <c r="Q334" s="4">
        <f t="shared" ref="Q334:AR343" si="234">$N334+($M334-$N334)*((1/(1+EXP(-$P334*(Q$9-$L334)))^$O334))</f>
        <v>0.99780374543478534</v>
      </c>
      <c r="R334" s="4">
        <f t="shared" si="234"/>
        <v>0.99685359315256394</v>
      </c>
      <c r="S334" s="4">
        <f t="shared" si="234"/>
        <v>0.99549347132349975</v>
      </c>
      <c r="T334" s="4">
        <f t="shared" si="234"/>
        <v>0.99354772139898062</v>
      </c>
      <c r="U334" s="4">
        <f t="shared" si="234"/>
        <v>0.99076681540580536</v>
      </c>
      <c r="V334" s="4">
        <f t="shared" si="234"/>
        <v>0.9867978615748374</v>
      </c>
      <c r="W334" s="4">
        <f t="shared" si="234"/>
        <v>0.98114509762858249</v>
      </c>
      <c r="X334" s="4">
        <f t="shared" si="234"/>
        <v>0.97311898315872036</v>
      </c>
      <c r="Y334" s="4">
        <f t="shared" si="234"/>
        <v>0.96177484161592774</v>
      </c>
      <c r="Z334" s="4">
        <f t="shared" si="234"/>
        <v>0.94584787155511363</v>
      </c>
      <c r="AA334" s="4">
        <f t="shared" si="234"/>
        <v>0.92370360150141495</v>
      </c>
      <c r="AB334" s="4">
        <f t="shared" si="234"/>
        <v>0.89334463567658451</v>
      </c>
      <c r="AC334" s="4">
        <f t="shared" si="234"/>
        <v>0.85254543874327005</v>
      </c>
      <c r="AD334" s="4">
        <f t="shared" si="234"/>
        <v>0.79921300652623883</v>
      </c>
      <c r="AE334" s="4">
        <f t="shared" si="234"/>
        <v>0.73204982249993378</v>
      </c>
      <c r="AF334" s="4">
        <f t="shared" si="234"/>
        <v>0.65145592958786691</v>
      </c>
      <c r="AG334" s="4">
        <f t="shared" si="234"/>
        <v>0.56032247880849573</v>
      </c>
      <c r="AH334" s="4">
        <f t="shared" si="234"/>
        <v>0.46411326873185343</v>
      </c>
      <c r="AI334" s="4">
        <f t="shared" si="234"/>
        <v>0.36979727595523937</v>
      </c>
      <c r="AJ334" s="4">
        <f t="shared" si="234"/>
        <v>0.28393948637231203</v>
      </c>
      <c r="AK334" s="4">
        <f t="shared" si="234"/>
        <v>0.21097259161117732</v>
      </c>
      <c r="AL334" s="4">
        <f t="shared" si="234"/>
        <v>0.15253917653798199</v>
      </c>
      <c r="AM334" s="4">
        <f t="shared" si="234"/>
        <v>0.10795188737709993</v>
      </c>
      <c r="AN334" s="4">
        <f t="shared" si="234"/>
        <v>7.5176653938091809E-2</v>
      </c>
      <c r="AO334" s="4">
        <f t="shared" si="234"/>
        <v>5.1742836177502194E-2</v>
      </c>
      <c r="AP334" s="4">
        <f t="shared" si="234"/>
        <v>3.5319190625345942E-2</v>
      </c>
      <c r="AQ334" s="4">
        <f t="shared" si="234"/>
        <v>2.3969442072658165E-2</v>
      </c>
      <c r="AR334" s="4">
        <f t="shared" si="234"/>
        <v>1.6202243558389728E-2</v>
      </c>
    </row>
    <row r="335" spans="1:44" x14ac:dyDescent="0.3">
      <c r="A335" s="24" t="s">
        <v>28</v>
      </c>
      <c r="B335" s="60">
        <f>'Parameter Input'!$L$192</f>
        <v>-975000</v>
      </c>
      <c r="C335" s="61">
        <f>'Parameter Input'!$M$192</f>
        <v>-1500000</v>
      </c>
      <c r="D335" s="1" t="s">
        <v>15</v>
      </c>
      <c r="L335" s="54">
        <f>'Parameter Input'!$O$192</f>
        <v>17</v>
      </c>
      <c r="M335" s="37">
        <v>0</v>
      </c>
      <c r="N335" s="37">
        <v>1</v>
      </c>
      <c r="O335" s="37">
        <f>'Parameter Input'!$P$192</f>
        <v>0.9</v>
      </c>
      <c r="P335" s="55">
        <f>'Parameter Input'!$Q$192</f>
        <v>0.4</v>
      </c>
      <c r="Q335" s="4">
        <f t="shared" si="234"/>
        <v>0.99780374543478534</v>
      </c>
      <c r="R335" s="4">
        <f t="shared" si="234"/>
        <v>0.99685359315256394</v>
      </c>
      <c r="S335" s="4">
        <f t="shared" si="234"/>
        <v>0.99549347132349975</v>
      </c>
      <c r="T335" s="4">
        <f t="shared" si="234"/>
        <v>0.99354772139898062</v>
      </c>
      <c r="U335" s="4">
        <f t="shared" si="234"/>
        <v>0.99076681540580536</v>
      </c>
      <c r="V335" s="4">
        <f t="shared" si="234"/>
        <v>0.9867978615748374</v>
      </c>
      <c r="W335" s="4">
        <f t="shared" si="234"/>
        <v>0.98114509762858249</v>
      </c>
      <c r="X335" s="4">
        <f t="shared" si="234"/>
        <v>0.97311898315872036</v>
      </c>
      <c r="Y335" s="4">
        <f t="shared" si="234"/>
        <v>0.96177484161592774</v>
      </c>
      <c r="Z335" s="4">
        <f t="shared" si="234"/>
        <v>0.94584787155511363</v>
      </c>
      <c r="AA335" s="4">
        <f t="shared" si="234"/>
        <v>0.92370360150141495</v>
      </c>
      <c r="AB335" s="4">
        <f t="shared" si="234"/>
        <v>0.89334463567658451</v>
      </c>
      <c r="AC335" s="4">
        <f t="shared" si="234"/>
        <v>0.85254543874327005</v>
      </c>
      <c r="AD335" s="4">
        <f t="shared" si="234"/>
        <v>0.79921300652623883</v>
      </c>
      <c r="AE335" s="4">
        <f t="shared" si="234"/>
        <v>0.73204982249993378</v>
      </c>
      <c r="AF335" s="4">
        <f t="shared" si="234"/>
        <v>0.65145592958786691</v>
      </c>
      <c r="AG335" s="4">
        <f t="shared" si="234"/>
        <v>0.56032247880849573</v>
      </c>
      <c r="AH335" s="4">
        <f t="shared" si="234"/>
        <v>0.46411326873185343</v>
      </c>
      <c r="AI335" s="4">
        <f t="shared" si="234"/>
        <v>0.36979727595523937</v>
      </c>
      <c r="AJ335" s="4">
        <f t="shared" si="234"/>
        <v>0.28393948637231203</v>
      </c>
      <c r="AK335" s="4">
        <f t="shared" si="234"/>
        <v>0.21097259161117732</v>
      </c>
      <c r="AL335" s="4">
        <f t="shared" si="234"/>
        <v>0.15253917653798199</v>
      </c>
      <c r="AM335" s="4">
        <f t="shared" si="234"/>
        <v>0.10795188737709993</v>
      </c>
      <c r="AN335" s="4">
        <f t="shared" si="234"/>
        <v>7.5176653938091809E-2</v>
      </c>
      <c r="AO335" s="4">
        <f t="shared" si="234"/>
        <v>5.1742836177502194E-2</v>
      </c>
      <c r="AP335" s="4">
        <f t="shared" si="234"/>
        <v>3.5319190625345942E-2</v>
      </c>
      <c r="AQ335" s="4">
        <f t="shared" si="234"/>
        <v>2.3969442072658165E-2</v>
      </c>
      <c r="AR335" s="4">
        <f t="shared" si="234"/>
        <v>1.6202243558389728E-2</v>
      </c>
    </row>
    <row r="336" spans="1:44" x14ac:dyDescent="0.3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34"/>
        <v>0.99780374543478534</v>
      </c>
      <c r="R336" s="4">
        <f t="shared" si="234"/>
        <v>0.99685359315256394</v>
      </c>
      <c r="S336" s="4">
        <f t="shared" si="234"/>
        <v>0.99549347132349975</v>
      </c>
      <c r="T336" s="4">
        <f t="shared" si="234"/>
        <v>0.99354772139898062</v>
      </c>
      <c r="U336" s="4">
        <f t="shared" si="234"/>
        <v>0.99076681540580536</v>
      </c>
      <c r="V336" s="4">
        <f t="shared" si="234"/>
        <v>0.9867978615748374</v>
      </c>
      <c r="W336" s="4">
        <f t="shared" si="234"/>
        <v>0.98114509762858249</v>
      </c>
      <c r="X336" s="4">
        <f t="shared" si="234"/>
        <v>0.97311898315872036</v>
      </c>
      <c r="Y336" s="4">
        <f t="shared" si="234"/>
        <v>0.96177484161592774</v>
      </c>
      <c r="Z336" s="4">
        <f t="shared" si="234"/>
        <v>0.94584787155511363</v>
      </c>
      <c r="AA336" s="4">
        <f t="shared" si="234"/>
        <v>0.92370360150141495</v>
      </c>
      <c r="AB336" s="4">
        <f t="shared" si="234"/>
        <v>0.89334463567658451</v>
      </c>
      <c r="AC336" s="4">
        <f t="shared" si="234"/>
        <v>0.85254543874327005</v>
      </c>
      <c r="AD336" s="4">
        <f t="shared" si="234"/>
        <v>0.79921300652623883</v>
      </c>
      <c r="AE336" s="4">
        <f t="shared" si="234"/>
        <v>0.73204982249993378</v>
      </c>
      <c r="AF336" s="4">
        <f t="shared" si="234"/>
        <v>0.65145592958786691</v>
      </c>
      <c r="AG336" s="4">
        <f t="shared" si="234"/>
        <v>0.56032247880849573</v>
      </c>
      <c r="AH336" s="4">
        <f t="shared" si="234"/>
        <v>0.46411326873185343</v>
      </c>
      <c r="AI336" s="4">
        <f t="shared" si="234"/>
        <v>0.36979727595523937</v>
      </c>
      <c r="AJ336" s="4">
        <f t="shared" si="234"/>
        <v>0.28393948637231203</v>
      </c>
      <c r="AK336" s="4">
        <f t="shared" si="234"/>
        <v>0.21097259161117732</v>
      </c>
      <c r="AL336" s="4">
        <f t="shared" si="234"/>
        <v>0.15253917653798199</v>
      </c>
      <c r="AM336" s="4">
        <f t="shared" si="234"/>
        <v>0.10795188737709993</v>
      </c>
      <c r="AN336" s="4">
        <f t="shared" si="234"/>
        <v>7.5176653938091809E-2</v>
      </c>
      <c r="AO336" s="4">
        <f t="shared" si="234"/>
        <v>5.1742836177502194E-2</v>
      </c>
      <c r="AP336" s="4">
        <f t="shared" si="234"/>
        <v>3.5319190625345942E-2</v>
      </c>
      <c r="AQ336" s="4">
        <f t="shared" si="234"/>
        <v>2.3969442072658165E-2</v>
      </c>
      <c r="AR336" s="4">
        <f t="shared" si="234"/>
        <v>1.6202243558389728E-2</v>
      </c>
    </row>
    <row r="337" spans="1:44" x14ac:dyDescent="0.3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34"/>
        <v>0.99780374543478534</v>
      </c>
      <c r="R337" s="4">
        <f t="shared" si="234"/>
        <v>0.99685359315256394</v>
      </c>
      <c r="S337" s="4">
        <f t="shared" si="234"/>
        <v>0.99549347132349975</v>
      </c>
      <c r="T337" s="4">
        <f t="shared" si="234"/>
        <v>0.99354772139898062</v>
      </c>
      <c r="U337" s="4">
        <f t="shared" si="234"/>
        <v>0.99076681540580536</v>
      </c>
      <c r="V337" s="4">
        <f t="shared" si="234"/>
        <v>0.9867978615748374</v>
      </c>
      <c r="W337" s="4">
        <f t="shared" si="234"/>
        <v>0.98114509762858249</v>
      </c>
      <c r="X337" s="4">
        <f t="shared" si="234"/>
        <v>0.97311898315872036</v>
      </c>
      <c r="Y337" s="4">
        <f t="shared" si="234"/>
        <v>0.96177484161592774</v>
      </c>
      <c r="Z337" s="4">
        <f t="shared" si="234"/>
        <v>0.94584787155511363</v>
      </c>
      <c r="AA337" s="4">
        <f t="shared" si="234"/>
        <v>0.92370360150141495</v>
      </c>
      <c r="AB337" s="4">
        <f t="shared" si="234"/>
        <v>0.89334463567658451</v>
      </c>
      <c r="AC337" s="4">
        <f t="shared" si="234"/>
        <v>0.85254543874327005</v>
      </c>
      <c r="AD337" s="4">
        <f t="shared" si="234"/>
        <v>0.79921300652623883</v>
      </c>
      <c r="AE337" s="4">
        <f t="shared" si="234"/>
        <v>0.73204982249993378</v>
      </c>
      <c r="AF337" s="4">
        <f t="shared" si="234"/>
        <v>0.65145592958786691</v>
      </c>
      <c r="AG337" s="4">
        <f t="shared" si="234"/>
        <v>0.56032247880849573</v>
      </c>
      <c r="AH337" s="4">
        <f t="shared" si="234"/>
        <v>0.46411326873185343</v>
      </c>
      <c r="AI337" s="4">
        <f t="shared" si="234"/>
        <v>0.36979727595523937</v>
      </c>
      <c r="AJ337" s="4">
        <f t="shared" si="234"/>
        <v>0.28393948637231203</v>
      </c>
      <c r="AK337" s="4">
        <f t="shared" si="234"/>
        <v>0.21097259161117732</v>
      </c>
      <c r="AL337" s="4">
        <f t="shared" si="234"/>
        <v>0.15253917653798199</v>
      </c>
      <c r="AM337" s="4">
        <f t="shared" si="234"/>
        <v>0.10795188737709993</v>
      </c>
      <c r="AN337" s="4">
        <f t="shared" si="234"/>
        <v>7.5176653938091809E-2</v>
      </c>
      <c r="AO337" s="4">
        <f t="shared" si="234"/>
        <v>5.1742836177502194E-2</v>
      </c>
      <c r="AP337" s="4">
        <f t="shared" si="234"/>
        <v>3.5319190625345942E-2</v>
      </c>
      <c r="AQ337" s="4">
        <f t="shared" si="234"/>
        <v>2.3969442072658165E-2</v>
      </c>
      <c r="AR337" s="4">
        <f t="shared" si="234"/>
        <v>1.6202243558389728E-2</v>
      </c>
    </row>
    <row r="338" spans="1:44" x14ac:dyDescent="0.3">
      <c r="A338" s="24" t="s">
        <v>79</v>
      </c>
      <c r="B338" s="92">
        <f>'Parameter Input'!$L$198</f>
        <v>0.06</v>
      </c>
      <c r="C338" s="91">
        <f>'Parameter Input'!$M$198</f>
        <v>0.06</v>
      </c>
      <c r="D338" s="1" t="s">
        <v>57</v>
      </c>
      <c r="L338" s="54">
        <f>'Parameter Input'!$O$198</f>
        <v>17</v>
      </c>
      <c r="M338" s="37">
        <v>0</v>
      </c>
      <c r="N338" s="37">
        <v>1</v>
      </c>
      <c r="O338" s="37">
        <f>'Parameter Input'!$P$198</f>
        <v>0.9</v>
      </c>
      <c r="P338" s="55">
        <f>'Parameter Input'!$Q$198</f>
        <v>0.4</v>
      </c>
      <c r="Q338" s="4">
        <f t="shared" si="234"/>
        <v>0.99780374543478534</v>
      </c>
      <c r="R338" s="4">
        <f t="shared" si="234"/>
        <v>0.99685359315256394</v>
      </c>
      <c r="S338" s="4">
        <f t="shared" si="234"/>
        <v>0.99549347132349975</v>
      </c>
      <c r="T338" s="4">
        <f t="shared" si="234"/>
        <v>0.99354772139898062</v>
      </c>
      <c r="U338" s="4">
        <f t="shared" si="234"/>
        <v>0.99076681540580536</v>
      </c>
      <c r="V338" s="4">
        <f t="shared" si="234"/>
        <v>0.9867978615748374</v>
      </c>
      <c r="W338" s="4">
        <f t="shared" si="234"/>
        <v>0.98114509762858249</v>
      </c>
      <c r="X338" s="4">
        <f t="shared" si="234"/>
        <v>0.97311898315872036</v>
      </c>
      <c r="Y338" s="4">
        <f t="shared" si="234"/>
        <v>0.96177484161592774</v>
      </c>
      <c r="Z338" s="4">
        <f t="shared" si="234"/>
        <v>0.94584787155511363</v>
      </c>
      <c r="AA338" s="4">
        <f t="shared" si="234"/>
        <v>0.92370360150141495</v>
      </c>
      <c r="AB338" s="4">
        <f t="shared" si="234"/>
        <v>0.89334463567658451</v>
      </c>
      <c r="AC338" s="4">
        <f t="shared" si="234"/>
        <v>0.85254543874327005</v>
      </c>
      <c r="AD338" s="4">
        <f t="shared" si="234"/>
        <v>0.79921300652623883</v>
      </c>
      <c r="AE338" s="4">
        <f t="shared" si="234"/>
        <v>0.73204982249993378</v>
      </c>
      <c r="AF338" s="4">
        <f t="shared" si="234"/>
        <v>0.65145592958786691</v>
      </c>
      <c r="AG338" s="4">
        <f t="shared" si="234"/>
        <v>0.56032247880849573</v>
      </c>
      <c r="AH338" s="4">
        <f t="shared" si="234"/>
        <v>0.46411326873185343</v>
      </c>
      <c r="AI338" s="4">
        <f t="shared" si="234"/>
        <v>0.36979727595523937</v>
      </c>
      <c r="AJ338" s="4">
        <f t="shared" si="234"/>
        <v>0.28393948637231203</v>
      </c>
      <c r="AK338" s="4">
        <f t="shared" si="234"/>
        <v>0.21097259161117732</v>
      </c>
      <c r="AL338" s="4">
        <f t="shared" si="234"/>
        <v>0.15253917653798199</v>
      </c>
      <c r="AM338" s="4">
        <f t="shared" si="234"/>
        <v>0.10795188737709993</v>
      </c>
      <c r="AN338" s="4">
        <f t="shared" si="234"/>
        <v>7.5176653938091809E-2</v>
      </c>
      <c r="AO338" s="4">
        <f t="shared" si="234"/>
        <v>5.1742836177502194E-2</v>
      </c>
      <c r="AP338" s="4">
        <f t="shared" si="234"/>
        <v>3.5319190625345942E-2</v>
      </c>
      <c r="AQ338" s="4">
        <f t="shared" si="234"/>
        <v>2.3969442072658165E-2</v>
      </c>
      <c r="AR338" s="4">
        <f t="shared" si="234"/>
        <v>1.6202243558389728E-2</v>
      </c>
    </row>
    <row r="339" spans="1:44" x14ac:dyDescent="0.3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34"/>
        <v>0.99780374543478534</v>
      </c>
      <c r="R339" s="4">
        <f t="shared" si="234"/>
        <v>0.99685359315256394</v>
      </c>
      <c r="S339" s="4">
        <f t="shared" si="234"/>
        <v>0.99549347132349975</v>
      </c>
      <c r="T339" s="4">
        <f t="shared" si="234"/>
        <v>0.99354772139898062</v>
      </c>
      <c r="U339" s="4">
        <f t="shared" si="234"/>
        <v>0.99076681540580536</v>
      </c>
      <c r="V339" s="4">
        <f t="shared" si="234"/>
        <v>0.9867978615748374</v>
      </c>
      <c r="W339" s="4">
        <f t="shared" si="234"/>
        <v>0.98114509762858249</v>
      </c>
      <c r="X339" s="4">
        <f t="shared" si="234"/>
        <v>0.97311898315872036</v>
      </c>
      <c r="Y339" s="4">
        <f t="shared" si="234"/>
        <v>0.96177484161592774</v>
      </c>
      <c r="Z339" s="4">
        <f t="shared" si="234"/>
        <v>0.94584787155511363</v>
      </c>
      <c r="AA339" s="4">
        <f t="shared" si="234"/>
        <v>0.92370360150141495</v>
      </c>
      <c r="AB339" s="4">
        <f t="shared" si="234"/>
        <v>0.89334463567658451</v>
      </c>
      <c r="AC339" s="4">
        <f t="shared" si="234"/>
        <v>0.85254543874327005</v>
      </c>
      <c r="AD339" s="4">
        <f t="shared" si="234"/>
        <v>0.79921300652623883</v>
      </c>
      <c r="AE339" s="4">
        <f t="shared" si="234"/>
        <v>0.73204982249993378</v>
      </c>
      <c r="AF339" s="4">
        <f t="shared" si="234"/>
        <v>0.65145592958786691</v>
      </c>
      <c r="AG339" s="4">
        <f t="shared" si="234"/>
        <v>0.56032247880849573</v>
      </c>
      <c r="AH339" s="4">
        <f t="shared" si="234"/>
        <v>0.46411326873185343</v>
      </c>
      <c r="AI339" s="4">
        <f t="shared" si="234"/>
        <v>0.36979727595523937</v>
      </c>
      <c r="AJ339" s="4">
        <f t="shared" si="234"/>
        <v>0.28393948637231203</v>
      </c>
      <c r="AK339" s="4">
        <f t="shared" si="234"/>
        <v>0.21097259161117732</v>
      </c>
      <c r="AL339" s="4">
        <f t="shared" si="234"/>
        <v>0.15253917653798199</v>
      </c>
      <c r="AM339" s="4">
        <f t="shared" si="234"/>
        <v>0.10795188737709993</v>
      </c>
      <c r="AN339" s="4">
        <f t="shared" si="234"/>
        <v>7.5176653938091809E-2</v>
      </c>
      <c r="AO339" s="4">
        <f t="shared" si="234"/>
        <v>5.1742836177502194E-2</v>
      </c>
      <c r="AP339" s="4">
        <f t="shared" si="234"/>
        <v>3.5319190625345942E-2</v>
      </c>
      <c r="AQ339" s="4">
        <f t="shared" si="234"/>
        <v>2.3969442072658165E-2</v>
      </c>
      <c r="AR339" s="4">
        <f t="shared" si="234"/>
        <v>1.6202243558389728E-2</v>
      </c>
    </row>
    <row r="340" spans="1:44" x14ac:dyDescent="0.3">
      <c r="A340" s="24" t="s">
        <v>52</v>
      </c>
      <c r="B340" s="60">
        <f>'Parameter Input'!$L$194</f>
        <v>488235.29411764705</v>
      </c>
      <c r="C340" s="61">
        <f>'Parameter Input'!$M$194</f>
        <v>488235.29411764705</v>
      </c>
      <c r="D340" s="1" t="s">
        <v>38</v>
      </c>
      <c r="L340" s="54">
        <f>'Parameter Input'!$O$194</f>
        <v>17</v>
      </c>
      <c r="M340" s="37">
        <v>0</v>
      </c>
      <c r="N340" s="37">
        <v>1</v>
      </c>
      <c r="O340" s="37">
        <f>'Parameter Input'!$P$194</f>
        <v>0.9</v>
      </c>
      <c r="P340" s="55">
        <f>'Parameter Input'!$Q$194</f>
        <v>0.4</v>
      </c>
      <c r="Q340" s="4">
        <f t="shared" si="234"/>
        <v>0.99780374543478534</v>
      </c>
      <c r="R340" s="4">
        <f t="shared" si="234"/>
        <v>0.99685359315256394</v>
      </c>
      <c r="S340" s="4">
        <f t="shared" si="234"/>
        <v>0.99549347132349975</v>
      </c>
      <c r="T340" s="4">
        <f t="shared" si="234"/>
        <v>0.99354772139898062</v>
      </c>
      <c r="U340" s="4">
        <f t="shared" si="234"/>
        <v>0.99076681540580536</v>
      </c>
      <c r="V340" s="4">
        <f t="shared" si="234"/>
        <v>0.9867978615748374</v>
      </c>
      <c r="W340" s="4">
        <f t="shared" si="234"/>
        <v>0.98114509762858249</v>
      </c>
      <c r="X340" s="4">
        <f t="shared" si="234"/>
        <v>0.97311898315872036</v>
      </c>
      <c r="Y340" s="4">
        <f t="shared" si="234"/>
        <v>0.96177484161592774</v>
      </c>
      <c r="Z340" s="4">
        <f t="shared" si="234"/>
        <v>0.94584787155511363</v>
      </c>
      <c r="AA340" s="4">
        <f t="shared" si="234"/>
        <v>0.92370360150141495</v>
      </c>
      <c r="AB340" s="4">
        <f t="shared" si="234"/>
        <v>0.89334463567658451</v>
      </c>
      <c r="AC340" s="4">
        <f t="shared" si="234"/>
        <v>0.85254543874327005</v>
      </c>
      <c r="AD340" s="4">
        <f t="shared" si="234"/>
        <v>0.79921300652623883</v>
      </c>
      <c r="AE340" s="4">
        <f t="shared" si="234"/>
        <v>0.73204982249993378</v>
      </c>
      <c r="AF340" s="4">
        <f t="shared" si="234"/>
        <v>0.65145592958786691</v>
      </c>
      <c r="AG340" s="4">
        <f t="shared" si="234"/>
        <v>0.56032247880849573</v>
      </c>
      <c r="AH340" s="4">
        <f t="shared" si="234"/>
        <v>0.46411326873185343</v>
      </c>
      <c r="AI340" s="4">
        <f t="shared" si="234"/>
        <v>0.36979727595523937</v>
      </c>
      <c r="AJ340" s="4">
        <f t="shared" si="234"/>
        <v>0.28393948637231203</v>
      </c>
      <c r="AK340" s="4">
        <f t="shared" si="234"/>
        <v>0.21097259161117732</v>
      </c>
      <c r="AL340" s="4">
        <f t="shared" si="234"/>
        <v>0.15253917653798199</v>
      </c>
      <c r="AM340" s="4">
        <f t="shared" si="234"/>
        <v>0.10795188737709993</v>
      </c>
      <c r="AN340" s="4">
        <f t="shared" si="234"/>
        <v>7.5176653938091809E-2</v>
      </c>
      <c r="AO340" s="4">
        <f t="shared" si="234"/>
        <v>5.1742836177502194E-2</v>
      </c>
      <c r="AP340" s="4">
        <f t="shared" si="234"/>
        <v>3.5319190625345942E-2</v>
      </c>
      <c r="AQ340" s="4">
        <f t="shared" si="234"/>
        <v>2.3969442072658165E-2</v>
      </c>
      <c r="AR340" s="4">
        <f t="shared" si="234"/>
        <v>1.6202243558389728E-2</v>
      </c>
    </row>
    <row r="341" spans="1:44" x14ac:dyDescent="0.3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34"/>
        <v>0.99780374543478534</v>
      </c>
      <c r="R341" s="4">
        <f t="shared" si="234"/>
        <v>0.99685359315256394</v>
      </c>
      <c r="S341" s="4">
        <f t="shared" si="234"/>
        <v>0.99549347132349975</v>
      </c>
      <c r="T341" s="4">
        <f t="shared" si="234"/>
        <v>0.99354772139898062</v>
      </c>
      <c r="U341" s="4">
        <f t="shared" si="234"/>
        <v>0.99076681540580536</v>
      </c>
      <c r="V341" s="4">
        <f t="shared" si="234"/>
        <v>0.9867978615748374</v>
      </c>
      <c r="W341" s="4">
        <f t="shared" si="234"/>
        <v>0.98114509762858249</v>
      </c>
      <c r="X341" s="4">
        <f t="shared" si="234"/>
        <v>0.97311898315872036</v>
      </c>
      <c r="Y341" s="4">
        <f t="shared" si="234"/>
        <v>0.96177484161592774</v>
      </c>
      <c r="Z341" s="4">
        <f t="shared" si="234"/>
        <v>0.94584787155511363</v>
      </c>
      <c r="AA341" s="4">
        <f t="shared" si="234"/>
        <v>0.92370360150141495</v>
      </c>
      <c r="AB341" s="4">
        <f t="shared" si="234"/>
        <v>0.89334463567658451</v>
      </c>
      <c r="AC341" s="4">
        <f t="shared" si="234"/>
        <v>0.85254543874327005</v>
      </c>
      <c r="AD341" s="4">
        <f t="shared" si="234"/>
        <v>0.79921300652623883</v>
      </c>
      <c r="AE341" s="4">
        <f t="shared" si="234"/>
        <v>0.73204982249993378</v>
      </c>
      <c r="AF341" s="4">
        <f t="shared" si="234"/>
        <v>0.65145592958786691</v>
      </c>
      <c r="AG341" s="4">
        <f t="shared" si="234"/>
        <v>0.56032247880849573</v>
      </c>
      <c r="AH341" s="4">
        <f t="shared" si="234"/>
        <v>0.46411326873185343</v>
      </c>
      <c r="AI341" s="4">
        <f t="shared" si="234"/>
        <v>0.36979727595523937</v>
      </c>
      <c r="AJ341" s="4">
        <f t="shared" si="234"/>
        <v>0.28393948637231203</v>
      </c>
      <c r="AK341" s="4">
        <f t="shared" si="234"/>
        <v>0.21097259161117732</v>
      </c>
      <c r="AL341" s="4">
        <f t="shared" si="234"/>
        <v>0.15253917653798199</v>
      </c>
      <c r="AM341" s="4">
        <f t="shared" si="234"/>
        <v>0.10795188737709993</v>
      </c>
      <c r="AN341" s="4">
        <f t="shared" si="234"/>
        <v>7.5176653938091809E-2</v>
      </c>
      <c r="AO341" s="4">
        <f t="shared" si="234"/>
        <v>5.1742836177502194E-2</v>
      </c>
      <c r="AP341" s="4">
        <f t="shared" si="234"/>
        <v>3.5319190625345942E-2</v>
      </c>
      <c r="AQ341" s="4">
        <f t="shared" si="234"/>
        <v>2.3969442072658165E-2</v>
      </c>
      <c r="AR341" s="4">
        <f t="shared" si="234"/>
        <v>1.6202243558389728E-2</v>
      </c>
    </row>
    <row r="342" spans="1:44" x14ac:dyDescent="0.3">
      <c r="A342" s="24" t="s">
        <v>59</v>
      </c>
      <c r="B342" s="60">
        <f>'Parameter Input'!$L$195</f>
        <v>647</v>
      </c>
      <c r="C342" s="61">
        <f>'Parameter Input'!$M$195</f>
        <v>600</v>
      </c>
      <c r="D342" s="1" t="s">
        <v>60</v>
      </c>
      <c r="L342" s="54">
        <f>'Parameter Input'!$O$195</f>
        <v>17</v>
      </c>
      <c r="M342" s="37">
        <v>0</v>
      </c>
      <c r="N342" s="37">
        <v>1</v>
      </c>
      <c r="O342" s="37">
        <f>'Parameter Input'!$P$195</f>
        <v>0.9</v>
      </c>
      <c r="P342" s="55">
        <f>'Parameter Input'!$Q$195</f>
        <v>0.4</v>
      </c>
      <c r="Q342" s="4">
        <f t="shared" si="234"/>
        <v>0.99780374543478534</v>
      </c>
      <c r="R342" s="4">
        <f t="shared" si="234"/>
        <v>0.99685359315256394</v>
      </c>
      <c r="S342" s="4">
        <f t="shared" si="234"/>
        <v>0.99549347132349975</v>
      </c>
      <c r="T342" s="4">
        <f t="shared" si="234"/>
        <v>0.99354772139898062</v>
      </c>
      <c r="U342" s="4">
        <f t="shared" si="234"/>
        <v>0.99076681540580536</v>
      </c>
      <c r="V342" s="4">
        <f t="shared" si="234"/>
        <v>0.9867978615748374</v>
      </c>
      <c r="W342" s="4">
        <f t="shared" si="234"/>
        <v>0.98114509762858249</v>
      </c>
      <c r="X342" s="4">
        <f t="shared" si="234"/>
        <v>0.97311898315872036</v>
      </c>
      <c r="Y342" s="4">
        <f t="shared" si="234"/>
        <v>0.96177484161592774</v>
      </c>
      <c r="Z342" s="4">
        <f t="shared" si="234"/>
        <v>0.94584787155511363</v>
      </c>
      <c r="AA342" s="4">
        <f t="shared" si="234"/>
        <v>0.92370360150141495</v>
      </c>
      <c r="AB342" s="4">
        <f t="shared" si="234"/>
        <v>0.89334463567658451</v>
      </c>
      <c r="AC342" s="4">
        <f t="shared" si="234"/>
        <v>0.85254543874327005</v>
      </c>
      <c r="AD342" s="4">
        <f t="shared" si="234"/>
        <v>0.79921300652623883</v>
      </c>
      <c r="AE342" s="4">
        <f t="shared" si="234"/>
        <v>0.73204982249993378</v>
      </c>
      <c r="AF342" s="4">
        <f t="shared" si="234"/>
        <v>0.65145592958786691</v>
      </c>
      <c r="AG342" s="4">
        <f t="shared" si="234"/>
        <v>0.56032247880849573</v>
      </c>
      <c r="AH342" s="4">
        <f t="shared" si="234"/>
        <v>0.46411326873185343</v>
      </c>
      <c r="AI342" s="4">
        <f t="shared" si="234"/>
        <v>0.36979727595523937</v>
      </c>
      <c r="AJ342" s="4">
        <f t="shared" si="234"/>
        <v>0.28393948637231203</v>
      </c>
      <c r="AK342" s="4">
        <f t="shared" si="234"/>
        <v>0.21097259161117732</v>
      </c>
      <c r="AL342" s="4">
        <f t="shared" si="234"/>
        <v>0.15253917653798199</v>
      </c>
      <c r="AM342" s="4">
        <f t="shared" si="234"/>
        <v>0.10795188737709993</v>
      </c>
      <c r="AN342" s="4">
        <f t="shared" si="234"/>
        <v>7.5176653938091809E-2</v>
      </c>
      <c r="AO342" s="4">
        <f t="shared" si="234"/>
        <v>5.1742836177502194E-2</v>
      </c>
      <c r="AP342" s="4">
        <f t="shared" si="234"/>
        <v>3.5319190625345942E-2</v>
      </c>
      <c r="AQ342" s="4">
        <f t="shared" si="234"/>
        <v>2.3969442072658165E-2</v>
      </c>
      <c r="AR342" s="4">
        <f t="shared" si="234"/>
        <v>1.6202243558389728E-2</v>
      </c>
    </row>
    <row r="343" spans="1:44" x14ac:dyDescent="0.3">
      <c r="A343" s="24" t="s">
        <v>67</v>
      </c>
      <c r="B343" s="78">
        <f>'Parameter Input'!$L$196</f>
        <v>0.38698275991804565</v>
      </c>
      <c r="C343" s="61">
        <f>'Parameter Input'!$M$196</f>
        <v>9.8895594201278345E-2</v>
      </c>
      <c r="D343" s="1" t="s">
        <v>68</v>
      </c>
      <c r="L343" s="54">
        <f>'Parameter Input'!$O$196</f>
        <v>17</v>
      </c>
      <c r="M343" s="37">
        <v>0</v>
      </c>
      <c r="N343" s="37">
        <v>1</v>
      </c>
      <c r="O343" s="37">
        <f>'Parameter Input'!$P$196</f>
        <v>0.9</v>
      </c>
      <c r="P343" s="55">
        <f>'Parameter Input'!$Q$196</f>
        <v>0.4</v>
      </c>
      <c r="Q343" s="4">
        <f t="shared" si="234"/>
        <v>0.99780374543478534</v>
      </c>
      <c r="R343" s="4">
        <f t="shared" si="234"/>
        <v>0.99685359315256394</v>
      </c>
      <c r="S343" s="4">
        <f t="shared" si="234"/>
        <v>0.99549347132349975</v>
      </c>
      <c r="T343" s="4">
        <f t="shared" ref="T343:AI350" si="235">$N343+($M343-$N343)*((1/(1+EXP(-$P343*(T$9-$L343)))^$O343))</f>
        <v>0.99354772139898062</v>
      </c>
      <c r="U343" s="4">
        <f t="shared" si="235"/>
        <v>0.99076681540580536</v>
      </c>
      <c r="V343" s="4">
        <f t="shared" si="235"/>
        <v>0.9867978615748374</v>
      </c>
      <c r="W343" s="4">
        <f t="shared" si="235"/>
        <v>0.98114509762858249</v>
      </c>
      <c r="X343" s="4">
        <f t="shared" si="235"/>
        <v>0.97311898315872036</v>
      </c>
      <c r="Y343" s="4">
        <f t="shared" si="235"/>
        <v>0.96177484161592774</v>
      </c>
      <c r="Z343" s="4">
        <f t="shared" si="235"/>
        <v>0.94584787155511363</v>
      </c>
      <c r="AA343" s="4">
        <f t="shared" si="235"/>
        <v>0.92370360150141495</v>
      </c>
      <c r="AB343" s="4">
        <f t="shared" si="235"/>
        <v>0.89334463567658451</v>
      </c>
      <c r="AC343" s="4">
        <f t="shared" si="235"/>
        <v>0.85254543874327005</v>
      </c>
      <c r="AD343" s="4">
        <f t="shared" si="235"/>
        <v>0.79921300652623883</v>
      </c>
      <c r="AE343" s="4">
        <f t="shared" si="235"/>
        <v>0.73204982249993378</v>
      </c>
      <c r="AF343" s="4">
        <f t="shared" si="235"/>
        <v>0.65145592958786691</v>
      </c>
      <c r="AG343" s="4">
        <f t="shared" si="235"/>
        <v>0.56032247880849573</v>
      </c>
      <c r="AH343" s="4">
        <f t="shared" si="235"/>
        <v>0.46411326873185343</v>
      </c>
      <c r="AI343" s="4">
        <f t="shared" si="235"/>
        <v>0.36979727595523937</v>
      </c>
      <c r="AJ343" s="4">
        <f t="shared" ref="AJ343:AR350" si="236">$N343+($M343-$N343)*((1/(1+EXP(-$P343*(AJ$9-$L343)))^$O343))</f>
        <v>0.28393948637231203</v>
      </c>
      <c r="AK343" s="4">
        <f t="shared" si="236"/>
        <v>0.21097259161117732</v>
      </c>
      <c r="AL343" s="4">
        <f t="shared" si="236"/>
        <v>0.15253917653798199</v>
      </c>
      <c r="AM343" s="4">
        <f t="shared" si="236"/>
        <v>0.10795188737709993</v>
      </c>
      <c r="AN343" s="4">
        <f t="shared" si="236"/>
        <v>7.5176653938091809E-2</v>
      </c>
      <c r="AO343" s="4">
        <f t="shared" si="236"/>
        <v>5.1742836177502194E-2</v>
      </c>
      <c r="AP343" s="4">
        <f t="shared" si="236"/>
        <v>3.5319190625345942E-2</v>
      </c>
      <c r="AQ343" s="4">
        <f t="shared" si="236"/>
        <v>2.3969442072658165E-2</v>
      </c>
      <c r="AR343" s="4">
        <f t="shared" si="236"/>
        <v>1.6202243558389728E-2</v>
      </c>
    </row>
    <row r="344" spans="1:44" x14ac:dyDescent="0.3">
      <c r="A344" s="24" t="s">
        <v>206</v>
      </c>
      <c r="B344" s="115">
        <f>'Parameter Input'!$L$199</f>
        <v>3.1631111111111108</v>
      </c>
      <c r="C344" s="116">
        <f>'Parameter Input'!$M$199</f>
        <v>0</v>
      </c>
      <c r="D344" s="1" t="s">
        <v>76</v>
      </c>
      <c r="L344" s="54">
        <f>'Parameter Input'!$O$199</f>
        <v>17</v>
      </c>
      <c r="M344" s="37">
        <v>0</v>
      </c>
      <c r="N344" s="37">
        <v>1</v>
      </c>
      <c r="O344" s="37">
        <f>'Parameter Input'!$P$199</f>
        <v>0.9</v>
      </c>
      <c r="P344" s="55">
        <f>'Parameter Input'!$Q$199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3">
      <c r="A345" s="24" t="s">
        <v>41</v>
      </c>
      <c r="B345" s="60">
        <f>'Parameter Input'!$L$193</f>
        <v>25</v>
      </c>
      <c r="C345" s="61">
        <f>'Parameter Input'!$M$193</f>
        <v>25</v>
      </c>
      <c r="D345" s="1" t="s">
        <v>42</v>
      </c>
      <c r="L345" s="54">
        <f>'Parameter Input'!$O$193</f>
        <v>17</v>
      </c>
      <c r="M345" s="37">
        <v>0</v>
      </c>
      <c r="N345" s="37">
        <v>1</v>
      </c>
      <c r="O345" s="37">
        <f>'Parameter Input'!$P$193</f>
        <v>0.9</v>
      </c>
      <c r="P345" s="55">
        <f>'Parameter Input'!$Q$193</f>
        <v>0.4</v>
      </c>
      <c r="Q345" s="4">
        <f t="shared" ref="Q345:AF350" si="238">$N345+($M345-$N345)*((1/(1+EXP(-$P345*(Q$9-$L345)))^$O345))</f>
        <v>0.99780374543478534</v>
      </c>
      <c r="R345" s="4">
        <f t="shared" si="238"/>
        <v>0.99685359315256394</v>
      </c>
      <c r="S345" s="4">
        <f t="shared" si="238"/>
        <v>0.99549347132349975</v>
      </c>
      <c r="T345" s="4">
        <f t="shared" si="238"/>
        <v>0.99354772139898062</v>
      </c>
      <c r="U345" s="4">
        <f t="shared" si="238"/>
        <v>0.99076681540580536</v>
      </c>
      <c r="V345" s="4">
        <f t="shared" si="238"/>
        <v>0.9867978615748374</v>
      </c>
      <c r="W345" s="4">
        <f t="shared" si="238"/>
        <v>0.98114509762858249</v>
      </c>
      <c r="X345" s="4">
        <f t="shared" si="238"/>
        <v>0.97311898315872036</v>
      </c>
      <c r="Y345" s="4">
        <f t="shared" si="238"/>
        <v>0.96177484161592774</v>
      </c>
      <c r="Z345" s="4">
        <f t="shared" si="238"/>
        <v>0.94584787155511363</v>
      </c>
      <c r="AA345" s="4">
        <f t="shared" si="238"/>
        <v>0.92370360150141495</v>
      </c>
      <c r="AB345" s="4">
        <f t="shared" si="238"/>
        <v>0.89334463567658451</v>
      </c>
      <c r="AC345" s="4">
        <f t="shared" si="238"/>
        <v>0.85254543874327005</v>
      </c>
      <c r="AD345" s="4">
        <f t="shared" si="238"/>
        <v>0.79921300652623883</v>
      </c>
      <c r="AE345" s="4">
        <f t="shared" si="238"/>
        <v>0.73204982249993378</v>
      </c>
      <c r="AF345" s="4">
        <f t="shared" si="238"/>
        <v>0.65145592958786691</v>
      </c>
      <c r="AG345" s="4">
        <f t="shared" si="235"/>
        <v>0.56032247880849573</v>
      </c>
      <c r="AH345" s="4">
        <f t="shared" si="235"/>
        <v>0.46411326873185343</v>
      </c>
      <c r="AI345" s="4">
        <f t="shared" si="235"/>
        <v>0.36979727595523937</v>
      </c>
      <c r="AJ345" s="4">
        <f t="shared" si="236"/>
        <v>0.28393948637231203</v>
      </c>
      <c r="AK345" s="4">
        <f t="shared" si="236"/>
        <v>0.21097259161117732</v>
      </c>
      <c r="AL345" s="4">
        <f t="shared" si="236"/>
        <v>0.15253917653798199</v>
      </c>
      <c r="AM345" s="4">
        <f t="shared" si="236"/>
        <v>0.10795188737709993</v>
      </c>
      <c r="AN345" s="4">
        <f t="shared" si="236"/>
        <v>7.5176653938091809E-2</v>
      </c>
      <c r="AO345" s="4">
        <f t="shared" si="236"/>
        <v>5.1742836177502194E-2</v>
      </c>
      <c r="AP345" s="4">
        <f t="shared" si="236"/>
        <v>3.5319190625345942E-2</v>
      </c>
      <c r="AQ345" s="4">
        <f t="shared" si="236"/>
        <v>2.3969442072658165E-2</v>
      </c>
      <c r="AR345" s="4">
        <f t="shared" si="236"/>
        <v>1.6202243558389728E-2</v>
      </c>
    </row>
    <row r="346" spans="1:44" x14ac:dyDescent="0.3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8"/>
        <v>0.99780374543478534</v>
      </c>
      <c r="R346" s="4">
        <f t="shared" si="238"/>
        <v>0.99685359315256394</v>
      </c>
      <c r="S346" s="4">
        <f t="shared" si="238"/>
        <v>0.99549347132349975</v>
      </c>
      <c r="T346" s="4">
        <f t="shared" si="238"/>
        <v>0.99354772139898062</v>
      </c>
      <c r="U346" s="4">
        <f t="shared" si="238"/>
        <v>0.99076681540580536</v>
      </c>
      <c r="V346" s="4">
        <f t="shared" si="238"/>
        <v>0.9867978615748374</v>
      </c>
      <c r="W346" s="4">
        <f t="shared" si="238"/>
        <v>0.98114509762858249</v>
      </c>
      <c r="X346" s="4">
        <f t="shared" si="238"/>
        <v>0.97311898315872036</v>
      </c>
      <c r="Y346" s="4">
        <f t="shared" si="238"/>
        <v>0.96177484161592774</v>
      </c>
      <c r="Z346" s="4">
        <f t="shared" si="238"/>
        <v>0.94584787155511363</v>
      </c>
      <c r="AA346" s="4">
        <f t="shared" si="238"/>
        <v>0.92370360150141495</v>
      </c>
      <c r="AB346" s="4">
        <f t="shared" si="238"/>
        <v>0.89334463567658451</v>
      </c>
      <c r="AC346" s="4">
        <f t="shared" si="238"/>
        <v>0.85254543874327005</v>
      </c>
      <c r="AD346" s="4">
        <f t="shared" si="238"/>
        <v>0.79921300652623883</v>
      </c>
      <c r="AE346" s="4">
        <f t="shared" si="238"/>
        <v>0.73204982249993378</v>
      </c>
      <c r="AF346" s="4">
        <f t="shared" si="238"/>
        <v>0.65145592958786691</v>
      </c>
      <c r="AG346" s="4">
        <f t="shared" si="235"/>
        <v>0.56032247880849573</v>
      </c>
      <c r="AH346" s="4">
        <f t="shared" si="235"/>
        <v>0.46411326873185343</v>
      </c>
      <c r="AI346" s="4">
        <f t="shared" si="235"/>
        <v>0.36979727595523937</v>
      </c>
      <c r="AJ346" s="4">
        <f t="shared" si="236"/>
        <v>0.28393948637231203</v>
      </c>
      <c r="AK346" s="4">
        <f t="shared" si="236"/>
        <v>0.21097259161117732</v>
      </c>
      <c r="AL346" s="4">
        <f t="shared" si="236"/>
        <v>0.15253917653798199</v>
      </c>
      <c r="AM346" s="4">
        <f t="shared" si="236"/>
        <v>0.10795188737709993</v>
      </c>
      <c r="AN346" s="4">
        <f t="shared" si="236"/>
        <v>7.5176653938091809E-2</v>
      </c>
      <c r="AO346" s="4">
        <f t="shared" si="236"/>
        <v>5.1742836177502194E-2</v>
      </c>
      <c r="AP346" s="4">
        <f t="shared" si="236"/>
        <v>3.5319190625345942E-2</v>
      </c>
      <c r="AQ346" s="4">
        <f t="shared" si="236"/>
        <v>2.3969442072658165E-2</v>
      </c>
      <c r="AR346" s="4">
        <f t="shared" si="236"/>
        <v>1.6202243558389728E-2</v>
      </c>
    </row>
    <row r="347" spans="1:44" x14ac:dyDescent="0.3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8"/>
        <v>0.99780374543478534</v>
      </c>
      <c r="R347" s="4">
        <f t="shared" si="238"/>
        <v>0.99685359315256394</v>
      </c>
      <c r="S347" s="4">
        <f t="shared" si="238"/>
        <v>0.99549347132349975</v>
      </c>
      <c r="T347" s="4">
        <f t="shared" si="238"/>
        <v>0.99354772139898062</v>
      </c>
      <c r="U347" s="4">
        <f t="shared" si="238"/>
        <v>0.99076681540580536</v>
      </c>
      <c r="V347" s="4">
        <f t="shared" si="238"/>
        <v>0.9867978615748374</v>
      </c>
      <c r="W347" s="4">
        <f t="shared" si="238"/>
        <v>0.98114509762858249</v>
      </c>
      <c r="X347" s="4">
        <f t="shared" si="238"/>
        <v>0.97311898315872036</v>
      </c>
      <c r="Y347" s="4">
        <f t="shared" si="238"/>
        <v>0.96177484161592774</v>
      </c>
      <c r="Z347" s="4">
        <f t="shared" si="238"/>
        <v>0.94584787155511363</v>
      </c>
      <c r="AA347" s="4">
        <f t="shared" si="238"/>
        <v>0.92370360150141495</v>
      </c>
      <c r="AB347" s="4">
        <f t="shared" si="238"/>
        <v>0.89334463567658451</v>
      </c>
      <c r="AC347" s="4">
        <f t="shared" si="238"/>
        <v>0.85254543874327005</v>
      </c>
      <c r="AD347" s="4">
        <f t="shared" si="238"/>
        <v>0.79921300652623883</v>
      </c>
      <c r="AE347" s="4">
        <f t="shared" si="238"/>
        <v>0.73204982249993378</v>
      </c>
      <c r="AF347" s="4">
        <f t="shared" si="238"/>
        <v>0.65145592958786691</v>
      </c>
      <c r="AG347" s="4">
        <f t="shared" si="235"/>
        <v>0.56032247880849573</v>
      </c>
      <c r="AH347" s="4">
        <f t="shared" si="235"/>
        <v>0.46411326873185343</v>
      </c>
      <c r="AI347" s="4">
        <f t="shared" si="235"/>
        <v>0.36979727595523937</v>
      </c>
      <c r="AJ347" s="4">
        <f t="shared" si="236"/>
        <v>0.28393948637231203</v>
      </c>
      <c r="AK347" s="4">
        <f t="shared" si="236"/>
        <v>0.21097259161117732</v>
      </c>
      <c r="AL347" s="4">
        <f t="shared" si="236"/>
        <v>0.15253917653798199</v>
      </c>
      <c r="AM347" s="4">
        <f t="shared" si="236"/>
        <v>0.10795188737709993</v>
      </c>
      <c r="AN347" s="4">
        <f t="shared" si="236"/>
        <v>7.5176653938091809E-2</v>
      </c>
      <c r="AO347" s="4">
        <f t="shared" si="236"/>
        <v>5.1742836177502194E-2</v>
      </c>
      <c r="AP347" s="4">
        <f t="shared" si="236"/>
        <v>3.5319190625345942E-2</v>
      </c>
      <c r="AQ347" s="4">
        <f t="shared" si="236"/>
        <v>2.3969442072658165E-2</v>
      </c>
      <c r="AR347" s="4">
        <f t="shared" si="236"/>
        <v>1.6202243558389728E-2</v>
      </c>
    </row>
    <row r="348" spans="1:44" x14ac:dyDescent="0.3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8"/>
        <v>0.99780374543478534</v>
      </c>
      <c r="R348" s="4">
        <f t="shared" si="238"/>
        <v>0.99685359315256394</v>
      </c>
      <c r="S348" s="4">
        <f t="shared" si="238"/>
        <v>0.99549347132349975</v>
      </c>
      <c r="T348" s="4">
        <f t="shared" si="238"/>
        <v>0.99354772139898062</v>
      </c>
      <c r="U348" s="4">
        <f t="shared" si="238"/>
        <v>0.99076681540580536</v>
      </c>
      <c r="V348" s="4">
        <f t="shared" si="238"/>
        <v>0.9867978615748374</v>
      </c>
      <c r="W348" s="4">
        <f t="shared" si="238"/>
        <v>0.98114509762858249</v>
      </c>
      <c r="X348" s="4">
        <f t="shared" si="238"/>
        <v>0.97311898315872036</v>
      </c>
      <c r="Y348" s="4">
        <f t="shared" si="238"/>
        <v>0.96177484161592774</v>
      </c>
      <c r="Z348" s="4">
        <f t="shared" si="238"/>
        <v>0.94584787155511363</v>
      </c>
      <c r="AA348" s="4">
        <f t="shared" si="238"/>
        <v>0.92370360150141495</v>
      </c>
      <c r="AB348" s="4">
        <f t="shared" si="238"/>
        <v>0.89334463567658451</v>
      </c>
      <c r="AC348" s="4">
        <f t="shared" si="238"/>
        <v>0.85254543874327005</v>
      </c>
      <c r="AD348" s="4">
        <f t="shared" si="238"/>
        <v>0.79921300652623883</v>
      </c>
      <c r="AE348" s="4">
        <f t="shared" si="238"/>
        <v>0.73204982249993378</v>
      </c>
      <c r="AF348" s="4">
        <f t="shared" si="238"/>
        <v>0.65145592958786691</v>
      </c>
      <c r="AG348" s="4">
        <f t="shared" si="235"/>
        <v>0.56032247880849573</v>
      </c>
      <c r="AH348" s="4">
        <f t="shared" si="235"/>
        <v>0.46411326873185343</v>
      </c>
      <c r="AI348" s="4">
        <f t="shared" si="235"/>
        <v>0.36979727595523937</v>
      </c>
      <c r="AJ348" s="4">
        <f t="shared" si="236"/>
        <v>0.28393948637231203</v>
      </c>
      <c r="AK348" s="4">
        <f t="shared" si="236"/>
        <v>0.21097259161117732</v>
      </c>
      <c r="AL348" s="4">
        <f t="shared" si="236"/>
        <v>0.15253917653798199</v>
      </c>
      <c r="AM348" s="4">
        <f t="shared" si="236"/>
        <v>0.10795188737709993</v>
      </c>
      <c r="AN348" s="4">
        <f t="shared" si="236"/>
        <v>7.5176653938091809E-2</v>
      </c>
      <c r="AO348" s="4">
        <f t="shared" si="236"/>
        <v>5.1742836177502194E-2</v>
      </c>
      <c r="AP348" s="4">
        <f t="shared" si="236"/>
        <v>3.5319190625345942E-2</v>
      </c>
      <c r="AQ348" s="4">
        <f t="shared" si="236"/>
        <v>2.3969442072658165E-2</v>
      </c>
      <c r="AR348" s="4">
        <f t="shared" si="236"/>
        <v>1.6202243558389728E-2</v>
      </c>
    </row>
    <row r="349" spans="1:44" x14ac:dyDescent="0.3">
      <c r="A349" s="24" t="s">
        <v>73</v>
      </c>
      <c r="B349" s="45">
        <f>'Parameter Input'!$L$197</f>
        <v>0.04</v>
      </c>
      <c r="C349" s="46">
        <f>'Parameter Input'!$M$197</f>
        <v>0.04</v>
      </c>
      <c r="D349" s="1" t="s">
        <v>57</v>
      </c>
      <c r="L349" s="54">
        <f>'Parameter Input'!$O$197</f>
        <v>17</v>
      </c>
      <c r="M349" s="37">
        <v>0</v>
      </c>
      <c r="N349" s="37">
        <v>1</v>
      </c>
      <c r="O349" s="37">
        <f>'Parameter Input'!$P$197</f>
        <v>0.9</v>
      </c>
      <c r="P349" s="55">
        <f>'Parameter Input'!$Q$197</f>
        <v>0.4</v>
      </c>
      <c r="Q349" s="4">
        <f t="shared" si="238"/>
        <v>0.99780374543478534</v>
      </c>
      <c r="R349" s="4">
        <f t="shared" si="238"/>
        <v>0.99685359315256394</v>
      </c>
      <c r="S349" s="4">
        <f t="shared" si="238"/>
        <v>0.99549347132349975</v>
      </c>
      <c r="T349" s="4">
        <f t="shared" si="238"/>
        <v>0.99354772139898062</v>
      </c>
      <c r="U349" s="4">
        <f t="shared" si="238"/>
        <v>0.99076681540580536</v>
      </c>
      <c r="V349" s="4">
        <f t="shared" si="238"/>
        <v>0.9867978615748374</v>
      </c>
      <c r="W349" s="4">
        <f t="shared" si="238"/>
        <v>0.98114509762858249</v>
      </c>
      <c r="X349" s="4">
        <f t="shared" si="238"/>
        <v>0.97311898315872036</v>
      </c>
      <c r="Y349" s="4">
        <f t="shared" si="238"/>
        <v>0.96177484161592774</v>
      </c>
      <c r="Z349" s="4">
        <f t="shared" si="238"/>
        <v>0.94584787155511363</v>
      </c>
      <c r="AA349" s="4">
        <f t="shared" si="238"/>
        <v>0.92370360150141495</v>
      </c>
      <c r="AB349" s="4">
        <f t="shared" si="238"/>
        <v>0.89334463567658451</v>
      </c>
      <c r="AC349" s="4">
        <f t="shared" si="238"/>
        <v>0.85254543874327005</v>
      </c>
      <c r="AD349" s="4">
        <f t="shared" si="238"/>
        <v>0.79921300652623883</v>
      </c>
      <c r="AE349" s="4">
        <f t="shared" si="238"/>
        <v>0.73204982249993378</v>
      </c>
      <c r="AF349" s="4">
        <f t="shared" si="238"/>
        <v>0.65145592958786691</v>
      </c>
      <c r="AG349" s="4">
        <f t="shared" si="235"/>
        <v>0.56032247880849573</v>
      </c>
      <c r="AH349" s="4">
        <f t="shared" si="235"/>
        <v>0.46411326873185343</v>
      </c>
      <c r="AI349" s="4">
        <f t="shared" si="235"/>
        <v>0.36979727595523937</v>
      </c>
      <c r="AJ349" s="4">
        <f t="shared" si="236"/>
        <v>0.28393948637231203</v>
      </c>
      <c r="AK349" s="4">
        <f t="shared" si="236"/>
        <v>0.21097259161117732</v>
      </c>
      <c r="AL349" s="4">
        <f t="shared" si="236"/>
        <v>0.15253917653798199</v>
      </c>
      <c r="AM349" s="4">
        <f t="shared" si="236"/>
        <v>0.10795188737709993</v>
      </c>
      <c r="AN349" s="4">
        <f t="shared" si="236"/>
        <v>7.5176653938091809E-2</v>
      </c>
      <c r="AO349" s="4">
        <f t="shared" si="236"/>
        <v>5.1742836177502194E-2</v>
      </c>
      <c r="AP349" s="4">
        <f t="shared" si="236"/>
        <v>3.5319190625345942E-2</v>
      </c>
      <c r="AQ349" s="4">
        <f t="shared" si="236"/>
        <v>2.3969442072658165E-2</v>
      </c>
      <c r="AR349" s="4">
        <f t="shared" si="236"/>
        <v>1.6202243558389728E-2</v>
      </c>
    </row>
    <row r="350" spans="1:44" ht="15" thickBot="1" x14ac:dyDescent="0.35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8"/>
        <v>0.99780374543478534</v>
      </c>
      <c r="R350" s="4">
        <f t="shared" si="238"/>
        <v>0.99685359315256394</v>
      </c>
      <c r="S350" s="4">
        <f t="shared" si="238"/>
        <v>0.99549347132349975</v>
      </c>
      <c r="T350" s="4">
        <f t="shared" si="238"/>
        <v>0.99354772139898062</v>
      </c>
      <c r="U350" s="4">
        <f t="shared" si="238"/>
        <v>0.99076681540580536</v>
      </c>
      <c r="V350" s="4">
        <f t="shared" si="238"/>
        <v>0.9867978615748374</v>
      </c>
      <c r="W350" s="4">
        <f t="shared" si="238"/>
        <v>0.98114509762858249</v>
      </c>
      <c r="X350" s="4">
        <f t="shared" si="238"/>
        <v>0.97311898315872036</v>
      </c>
      <c r="Y350" s="4">
        <f t="shared" si="238"/>
        <v>0.96177484161592774</v>
      </c>
      <c r="Z350" s="4">
        <f t="shared" si="238"/>
        <v>0.94584787155511363</v>
      </c>
      <c r="AA350" s="4">
        <f t="shared" si="238"/>
        <v>0.92370360150141495</v>
      </c>
      <c r="AB350" s="4">
        <f t="shared" si="238"/>
        <v>0.89334463567658451</v>
      </c>
      <c r="AC350" s="4">
        <f t="shared" si="238"/>
        <v>0.85254543874327005</v>
      </c>
      <c r="AD350" s="4">
        <f t="shared" si="238"/>
        <v>0.79921300652623883</v>
      </c>
      <c r="AE350" s="4">
        <f t="shared" si="238"/>
        <v>0.73204982249993378</v>
      </c>
      <c r="AF350" s="4">
        <f t="shared" si="238"/>
        <v>0.65145592958786691</v>
      </c>
      <c r="AG350" s="4">
        <f t="shared" si="235"/>
        <v>0.56032247880849573</v>
      </c>
      <c r="AH350" s="4">
        <f t="shared" si="235"/>
        <v>0.46411326873185343</v>
      </c>
      <c r="AI350" s="4">
        <f t="shared" si="235"/>
        <v>0.36979727595523937</v>
      </c>
      <c r="AJ350" s="4">
        <f t="shared" si="236"/>
        <v>0.28393948637231203</v>
      </c>
      <c r="AK350" s="4">
        <f t="shared" si="236"/>
        <v>0.21097259161117732</v>
      </c>
      <c r="AL350" s="4">
        <f t="shared" si="236"/>
        <v>0.15253917653798199</v>
      </c>
      <c r="AM350" s="4">
        <f t="shared" si="236"/>
        <v>0.10795188737709993</v>
      </c>
      <c r="AN350" s="4">
        <f t="shared" si="236"/>
        <v>7.5176653938091809E-2</v>
      </c>
      <c r="AO350" s="4">
        <f t="shared" si="236"/>
        <v>5.1742836177502194E-2</v>
      </c>
      <c r="AP350" s="4">
        <f t="shared" si="236"/>
        <v>3.5319190625345942E-2</v>
      </c>
      <c r="AQ350" s="4">
        <f t="shared" si="236"/>
        <v>2.3969442072658165E-2</v>
      </c>
      <c r="AR350" s="4">
        <f t="shared" si="236"/>
        <v>1.6202243558389728E-2</v>
      </c>
    </row>
    <row r="351" spans="1:44" x14ac:dyDescent="0.3">
      <c r="A351" s="25"/>
      <c r="B351" s="40"/>
    </row>
    <row r="352" spans="1:44" ht="15" thickBot="1" x14ac:dyDescent="0.35"/>
    <row r="353" spans="1:29" ht="15" thickBot="1" x14ac:dyDescent="0.35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3">
      <c r="A354" s="29" t="str">
        <f t="shared" ref="A354:A363" si="239">A334</f>
        <v>Capex vehicle</v>
      </c>
      <c r="B354" s="62">
        <f t="shared" ref="B354:B363" si="240">$B334+($C334-$B334)*(1-Q334)</f>
        <v>19490116.854456533</v>
      </c>
      <c r="C354" s="62">
        <f t="shared" ref="C354:C363" si="241">$B334+($C334-$B334)*(1-R334)</f>
        <v>19485841.169186536</v>
      </c>
      <c r="D354" s="62">
        <f t="shared" ref="D354:D363" si="242">$B334+($C334-$B334)*(1-S334)</f>
        <v>19479720.62095575</v>
      </c>
      <c r="E354" s="62">
        <f t="shared" ref="E354:E363" si="243">$B334+($C334-$B334)*(1-T334)</f>
        <v>19470964.746295411</v>
      </c>
      <c r="F354" s="62">
        <f t="shared" ref="F354:F363" si="244">$B334+($C334-$B334)*(1-U334)</f>
        <v>19458450.669326123</v>
      </c>
      <c r="G354" s="62">
        <f t="shared" ref="G354:G363" si="245">$B334+($C334-$B334)*(1-V334)</f>
        <v>19440590.37708677</v>
      </c>
      <c r="H354" s="62">
        <f t="shared" ref="H354:H363" si="246">$B334+($C334-$B334)*(1-W334)</f>
        <v>19415152.939328622</v>
      </c>
      <c r="I354" s="62">
        <f t="shared" ref="I354:I363" si="247">$B334+($C334-$B334)*(1-X334)</f>
        <v>19379035.42421424</v>
      </c>
      <c r="J354" s="62">
        <f t="shared" ref="J354:J363" si="248">$B334+($C334-$B334)*(1-Y334)</f>
        <v>19327986.787271675</v>
      </c>
      <c r="K354" s="62">
        <f t="shared" ref="K354:K363" si="249">$B334+($C334-$B334)*(1-Z334)</f>
        <v>19256315.421998013</v>
      </c>
      <c r="L354" s="62">
        <f t="shared" ref="L354:L363" si="250">$B334+($C334-$B334)*(1-AA334)</f>
        <v>19156666.206756368</v>
      </c>
      <c r="M354" s="62">
        <f t="shared" ref="M354:M363" si="251">$B334+($C334-$B334)*(1-AB334)</f>
        <v>19020050.860544629</v>
      </c>
      <c r="N354" s="62">
        <f t="shared" ref="N354:N363" si="252">$B334+($C334-$B334)*(1-AC334)</f>
        <v>18836454.474344715</v>
      </c>
      <c r="O354" s="62">
        <f t="shared" ref="O354:O363" si="253">$B334+($C334-$B334)*(1-AD334)</f>
        <v>18596458.529368076</v>
      </c>
      <c r="P354" s="62">
        <f t="shared" ref="P354:P363" si="254">$B334+($C334-$B334)*(1-AE334)</f>
        <v>18294224.201249704</v>
      </c>
      <c r="Q354" s="62">
        <f t="shared" ref="Q354:Q363" si="255">$B334+($C334-$B334)*(1-AF334)</f>
        <v>17931551.6831454</v>
      </c>
      <c r="R354" s="62">
        <f t="shared" ref="R354:R363" si="256">$B334+($C334-$B334)*(1-AG334)</f>
        <v>17521451.154638231</v>
      </c>
      <c r="S354" s="62">
        <f t="shared" ref="S354:S363" si="257">$B334+($C334-$B334)*(1-AH334)</f>
        <v>17088509.709293339</v>
      </c>
      <c r="T354" s="62">
        <f t="shared" ref="T354:T363" si="258">$B334+($C334-$B334)*(1-AI334)</f>
        <v>16664087.741798578</v>
      </c>
      <c r="U354" s="62">
        <f t="shared" ref="U354:U363" si="259">$B334+($C334-$B334)*(1-AJ334)</f>
        <v>16277727.688675404</v>
      </c>
      <c r="V354" s="62">
        <f t="shared" ref="V354:V363" si="260">$B334+($C334-$B334)*(1-AK334)</f>
        <v>15949376.662250299</v>
      </c>
      <c r="W354" s="62">
        <f t="shared" ref="W354:W363" si="261">$B334+($C334-$B334)*(1-AL334)</f>
        <v>15686426.294420918</v>
      </c>
      <c r="X354" s="62">
        <f t="shared" ref="X354:X363" si="262">$B334+($C334-$B334)*(1-AM334)</f>
        <v>15485783.493196949</v>
      </c>
      <c r="Y354" s="62">
        <f t="shared" ref="Y354:Y363" si="263">$B334+($C334-$B334)*(1-AN334)</f>
        <v>15338294.942721413</v>
      </c>
      <c r="Z354" s="62">
        <f t="shared" ref="Z354:Z363" si="264">$B334+($C334-$B334)*(1-AO334)</f>
        <v>15232842.76279876</v>
      </c>
      <c r="AA354" s="62">
        <f t="shared" ref="AA354:AA363" si="265">$B334+($C334-$B334)*(1-AP334)</f>
        <v>15158936.357814057</v>
      </c>
      <c r="AB354" s="62">
        <f t="shared" ref="AB354:AB363" si="266">$B334+($C334-$B334)*(1-AQ334)</f>
        <v>15107862.489326961</v>
      </c>
      <c r="AC354" s="62">
        <f t="shared" ref="AC354:AC363" si="267">$B334+($C334-$B334)*(1-AR334)</f>
        <v>15072910.096012753</v>
      </c>
    </row>
    <row r="355" spans="1:29" x14ac:dyDescent="0.3">
      <c r="A355" s="30" t="str">
        <f t="shared" si="239"/>
        <v>Residual value (vehicle)</v>
      </c>
      <c r="B355" s="62">
        <f t="shared" si="240"/>
        <v>-976153.03364673769</v>
      </c>
      <c r="C355" s="62">
        <f t="shared" si="241"/>
        <v>-976651.86359490396</v>
      </c>
      <c r="D355" s="62">
        <f t="shared" si="242"/>
        <v>-977365.92755516258</v>
      </c>
      <c r="E355" s="62">
        <f t="shared" si="243"/>
        <v>-978387.4462655352</v>
      </c>
      <c r="F355" s="62">
        <f t="shared" si="244"/>
        <v>-979847.4219119522</v>
      </c>
      <c r="G355" s="62">
        <f t="shared" si="245"/>
        <v>-981931.12267321034</v>
      </c>
      <c r="H355" s="62">
        <f t="shared" si="246"/>
        <v>-984898.82374499424</v>
      </c>
      <c r="I355" s="62">
        <f t="shared" si="247"/>
        <v>-989112.53384167177</v>
      </c>
      <c r="J355" s="62">
        <f t="shared" si="248"/>
        <v>-995068.20815163793</v>
      </c>
      <c r="K355" s="62">
        <f t="shared" si="249"/>
        <v>-1003429.8674335653</v>
      </c>
      <c r="L355" s="62">
        <f t="shared" si="250"/>
        <v>-1015055.6092117572</v>
      </c>
      <c r="M355" s="62">
        <f t="shared" si="251"/>
        <v>-1030994.0662697931</v>
      </c>
      <c r="N355" s="62">
        <f t="shared" si="252"/>
        <v>-1052413.6446597832</v>
      </c>
      <c r="O355" s="62">
        <f t="shared" si="253"/>
        <v>-1080413.1715737246</v>
      </c>
      <c r="P355" s="62">
        <f t="shared" si="254"/>
        <v>-1115673.8431875347</v>
      </c>
      <c r="Q355" s="62">
        <f t="shared" si="255"/>
        <v>-1157985.6369663698</v>
      </c>
      <c r="R355" s="62">
        <f t="shared" si="256"/>
        <v>-1205830.6986255397</v>
      </c>
      <c r="S355" s="62">
        <f t="shared" si="257"/>
        <v>-1256340.533915777</v>
      </c>
      <c r="T355" s="62">
        <f t="shared" si="258"/>
        <v>-1305856.4301234994</v>
      </c>
      <c r="U355" s="62">
        <f t="shared" si="259"/>
        <v>-1350931.7696545362</v>
      </c>
      <c r="V355" s="62">
        <f t="shared" si="260"/>
        <v>-1389239.389404132</v>
      </c>
      <c r="W355" s="62">
        <f t="shared" si="261"/>
        <v>-1419916.9323175594</v>
      </c>
      <c r="X355" s="62">
        <f t="shared" si="262"/>
        <v>-1443325.2591270225</v>
      </c>
      <c r="Y355" s="62">
        <f t="shared" si="263"/>
        <v>-1460532.2566825019</v>
      </c>
      <c r="Z355" s="62">
        <f t="shared" si="264"/>
        <v>-1472835.0110068114</v>
      </c>
      <c r="AA355" s="62">
        <f t="shared" si="265"/>
        <v>-1481457.4249216933</v>
      </c>
      <c r="AB355" s="62">
        <f t="shared" si="266"/>
        <v>-1487416.0429118546</v>
      </c>
      <c r="AC355" s="62">
        <f t="shared" si="267"/>
        <v>-1491493.8221318454</v>
      </c>
    </row>
    <row r="356" spans="1:29" x14ac:dyDescent="0.3">
      <c r="A356" s="30" t="str">
        <f t="shared" si="239"/>
        <v>Capex costumization</v>
      </c>
      <c r="B356" s="62">
        <f t="shared" si="240"/>
        <v>1000000</v>
      </c>
      <c r="C356" s="62">
        <f t="shared" si="241"/>
        <v>1000000</v>
      </c>
      <c r="D356" s="62">
        <f t="shared" si="242"/>
        <v>1000000</v>
      </c>
      <c r="E356" s="62">
        <f t="shared" si="243"/>
        <v>1000000</v>
      </c>
      <c r="F356" s="62">
        <f t="shared" si="244"/>
        <v>1000000</v>
      </c>
      <c r="G356" s="62">
        <f t="shared" si="245"/>
        <v>1000000</v>
      </c>
      <c r="H356" s="62">
        <f t="shared" si="246"/>
        <v>1000000</v>
      </c>
      <c r="I356" s="62">
        <f t="shared" si="247"/>
        <v>1000000</v>
      </c>
      <c r="J356" s="62">
        <f t="shared" si="248"/>
        <v>1000000</v>
      </c>
      <c r="K356" s="62">
        <f t="shared" si="249"/>
        <v>1000000</v>
      </c>
      <c r="L356" s="62">
        <f t="shared" si="250"/>
        <v>1000000</v>
      </c>
      <c r="M356" s="62">
        <f t="shared" si="251"/>
        <v>1000000</v>
      </c>
      <c r="N356" s="62">
        <f t="shared" si="252"/>
        <v>1000000</v>
      </c>
      <c r="O356" s="62">
        <f t="shared" si="253"/>
        <v>1000000</v>
      </c>
      <c r="P356" s="62">
        <f t="shared" si="254"/>
        <v>1000000</v>
      </c>
      <c r="Q356" s="62">
        <f t="shared" si="255"/>
        <v>1000000</v>
      </c>
      <c r="R356" s="62">
        <f t="shared" si="256"/>
        <v>1000000</v>
      </c>
      <c r="S356" s="62">
        <f t="shared" si="257"/>
        <v>1000000</v>
      </c>
      <c r="T356" s="62">
        <f t="shared" si="258"/>
        <v>1000000</v>
      </c>
      <c r="U356" s="62">
        <f t="shared" si="259"/>
        <v>1000000</v>
      </c>
      <c r="V356" s="62">
        <f t="shared" si="260"/>
        <v>1000000</v>
      </c>
      <c r="W356" s="62">
        <f t="shared" si="261"/>
        <v>1000000</v>
      </c>
      <c r="X356" s="62">
        <f t="shared" si="262"/>
        <v>1000000</v>
      </c>
      <c r="Y356" s="62">
        <f t="shared" si="263"/>
        <v>1000000</v>
      </c>
      <c r="Z356" s="62">
        <f t="shared" si="264"/>
        <v>1000000</v>
      </c>
      <c r="AA356" s="62">
        <f t="shared" si="265"/>
        <v>1000000</v>
      </c>
      <c r="AB356" s="62">
        <f t="shared" si="266"/>
        <v>1000000</v>
      </c>
      <c r="AC356" s="62">
        <f t="shared" si="267"/>
        <v>1000000</v>
      </c>
    </row>
    <row r="357" spans="1:29" x14ac:dyDescent="0.3">
      <c r="A357" s="30" t="str">
        <f t="shared" si="239"/>
        <v>Residual value (costumization)</v>
      </c>
      <c r="B357" s="62">
        <f t="shared" si="240"/>
        <v>-100000</v>
      </c>
      <c r="C357" s="62">
        <f t="shared" si="241"/>
        <v>-100000</v>
      </c>
      <c r="D357" s="62">
        <f t="shared" si="242"/>
        <v>-100000</v>
      </c>
      <c r="E357" s="62">
        <f t="shared" si="243"/>
        <v>-100000</v>
      </c>
      <c r="F357" s="62">
        <f t="shared" si="244"/>
        <v>-100000</v>
      </c>
      <c r="G357" s="62">
        <f t="shared" si="245"/>
        <v>-100000</v>
      </c>
      <c r="H357" s="62">
        <f t="shared" si="246"/>
        <v>-100000</v>
      </c>
      <c r="I357" s="62">
        <f t="shared" si="247"/>
        <v>-100000</v>
      </c>
      <c r="J357" s="62">
        <f t="shared" si="248"/>
        <v>-100000</v>
      </c>
      <c r="K357" s="62">
        <f t="shared" si="249"/>
        <v>-100000</v>
      </c>
      <c r="L357" s="62">
        <f t="shared" si="250"/>
        <v>-100000</v>
      </c>
      <c r="M357" s="62">
        <f t="shared" si="251"/>
        <v>-100000</v>
      </c>
      <c r="N357" s="62">
        <f t="shared" si="252"/>
        <v>-100000</v>
      </c>
      <c r="O357" s="62">
        <f t="shared" si="253"/>
        <v>-100000</v>
      </c>
      <c r="P357" s="62">
        <f t="shared" si="254"/>
        <v>-100000</v>
      </c>
      <c r="Q357" s="62">
        <f t="shared" si="255"/>
        <v>-100000</v>
      </c>
      <c r="R357" s="62">
        <f t="shared" si="256"/>
        <v>-100000</v>
      </c>
      <c r="S357" s="62">
        <f t="shared" si="257"/>
        <v>-100000</v>
      </c>
      <c r="T357" s="62">
        <f t="shared" si="258"/>
        <v>-100000</v>
      </c>
      <c r="U357" s="62">
        <f t="shared" si="259"/>
        <v>-100000</v>
      </c>
      <c r="V357" s="62">
        <f t="shared" si="260"/>
        <v>-100000</v>
      </c>
      <c r="W357" s="62">
        <f t="shared" si="261"/>
        <v>-100000</v>
      </c>
      <c r="X357" s="62">
        <f t="shared" si="262"/>
        <v>-100000</v>
      </c>
      <c r="Y357" s="62">
        <f t="shared" si="263"/>
        <v>-100000</v>
      </c>
      <c r="Z357" s="62">
        <f t="shared" si="264"/>
        <v>-100000</v>
      </c>
      <c r="AA357" s="62">
        <f t="shared" si="265"/>
        <v>-100000</v>
      </c>
      <c r="AB357" s="62">
        <f t="shared" si="266"/>
        <v>-100000</v>
      </c>
      <c r="AC357" s="62">
        <f t="shared" si="267"/>
        <v>-100000</v>
      </c>
    </row>
    <row r="358" spans="1:29" x14ac:dyDescent="0.3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3">
      <c r="A359" s="30" t="str">
        <f t="shared" si="239"/>
        <v>Opex fix (admin, crew, insurance)</v>
      </c>
      <c r="B359" s="62">
        <f t="shared" si="240"/>
        <v>1208235.294117647</v>
      </c>
      <c r="C359" s="62">
        <f t="shared" si="241"/>
        <v>1208235.294117647</v>
      </c>
      <c r="D359" s="62">
        <f t="shared" si="242"/>
        <v>1208235.294117647</v>
      </c>
      <c r="E359" s="62">
        <f t="shared" si="243"/>
        <v>1208235.294117647</v>
      </c>
      <c r="F359" s="62">
        <f t="shared" si="244"/>
        <v>1208235.294117647</v>
      </c>
      <c r="G359" s="62">
        <f t="shared" si="245"/>
        <v>1208235.294117647</v>
      </c>
      <c r="H359" s="62">
        <f t="shared" si="246"/>
        <v>1208235.294117647</v>
      </c>
      <c r="I359" s="62">
        <f t="shared" si="247"/>
        <v>1208235.294117647</v>
      </c>
      <c r="J359" s="62">
        <f t="shared" si="248"/>
        <v>1208235.294117647</v>
      </c>
      <c r="K359" s="62">
        <f t="shared" si="249"/>
        <v>1208235.294117647</v>
      </c>
      <c r="L359" s="62">
        <f t="shared" si="250"/>
        <v>1208235.294117647</v>
      </c>
      <c r="M359" s="62">
        <f t="shared" si="251"/>
        <v>1208235.294117647</v>
      </c>
      <c r="N359" s="62">
        <f t="shared" si="252"/>
        <v>1208235.294117647</v>
      </c>
      <c r="O359" s="62">
        <f t="shared" si="253"/>
        <v>1208235.294117647</v>
      </c>
      <c r="P359" s="62">
        <f t="shared" si="254"/>
        <v>1208235.294117647</v>
      </c>
      <c r="Q359" s="62">
        <f t="shared" si="255"/>
        <v>1208235.294117647</v>
      </c>
      <c r="R359" s="62">
        <f t="shared" si="256"/>
        <v>1208235.294117647</v>
      </c>
      <c r="S359" s="62">
        <f t="shared" si="257"/>
        <v>1208235.294117647</v>
      </c>
      <c r="T359" s="62">
        <f t="shared" si="258"/>
        <v>1208235.294117647</v>
      </c>
      <c r="U359" s="62">
        <f t="shared" si="259"/>
        <v>1208235.294117647</v>
      </c>
      <c r="V359" s="62">
        <f t="shared" si="260"/>
        <v>1208235.294117647</v>
      </c>
      <c r="W359" s="62">
        <f t="shared" si="261"/>
        <v>1208235.294117647</v>
      </c>
      <c r="X359" s="62">
        <f t="shared" si="262"/>
        <v>1208235.294117647</v>
      </c>
      <c r="Y359" s="62">
        <f t="shared" si="263"/>
        <v>1208235.294117647</v>
      </c>
      <c r="Z359" s="62">
        <f t="shared" si="264"/>
        <v>1208235.294117647</v>
      </c>
      <c r="AA359" s="62">
        <f t="shared" si="265"/>
        <v>1208235.294117647</v>
      </c>
      <c r="AB359" s="62">
        <f t="shared" si="266"/>
        <v>1208235.294117647</v>
      </c>
      <c r="AC359" s="62">
        <f t="shared" si="267"/>
        <v>1208235.294117647</v>
      </c>
    </row>
    <row r="360" spans="1:29" x14ac:dyDescent="0.3">
      <c r="A360" s="30" t="str">
        <f t="shared" si="239"/>
        <v>Opex maintenance &amp; repair</v>
      </c>
      <c r="B360" s="62">
        <f t="shared" si="240"/>
        <v>488235.29411764705</v>
      </c>
      <c r="C360" s="62">
        <f t="shared" si="241"/>
        <v>488235.29411764705</v>
      </c>
      <c r="D360" s="62">
        <f t="shared" si="242"/>
        <v>488235.29411764705</v>
      </c>
      <c r="E360" s="62">
        <f t="shared" si="243"/>
        <v>488235.29411764705</v>
      </c>
      <c r="F360" s="62">
        <f t="shared" si="244"/>
        <v>488235.29411764705</v>
      </c>
      <c r="G360" s="62">
        <f t="shared" si="245"/>
        <v>488235.29411764705</v>
      </c>
      <c r="H360" s="62">
        <f t="shared" si="246"/>
        <v>488235.29411764705</v>
      </c>
      <c r="I360" s="62">
        <f t="shared" si="247"/>
        <v>488235.29411764705</v>
      </c>
      <c r="J360" s="62">
        <f t="shared" si="248"/>
        <v>488235.29411764705</v>
      </c>
      <c r="K360" s="62">
        <f t="shared" si="249"/>
        <v>488235.29411764705</v>
      </c>
      <c r="L360" s="62">
        <f t="shared" si="250"/>
        <v>488235.29411764705</v>
      </c>
      <c r="M360" s="62">
        <f t="shared" si="251"/>
        <v>488235.29411764705</v>
      </c>
      <c r="N360" s="62">
        <f t="shared" si="252"/>
        <v>488235.29411764705</v>
      </c>
      <c r="O360" s="62">
        <f t="shared" si="253"/>
        <v>488235.29411764705</v>
      </c>
      <c r="P360" s="62">
        <f t="shared" si="254"/>
        <v>488235.29411764705</v>
      </c>
      <c r="Q360" s="62">
        <f t="shared" si="255"/>
        <v>488235.29411764705</v>
      </c>
      <c r="R360" s="62">
        <f t="shared" si="256"/>
        <v>488235.29411764705</v>
      </c>
      <c r="S360" s="62">
        <f t="shared" si="257"/>
        <v>488235.29411764705</v>
      </c>
      <c r="T360" s="62">
        <f t="shared" si="258"/>
        <v>488235.29411764705</v>
      </c>
      <c r="U360" s="62">
        <f t="shared" si="259"/>
        <v>488235.29411764705</v>
      </c>
      <c r="V360" s="62">
        <f t="shared" si="260"/>
        <v>488235.29411764705</v>
      </c>
      <c r="W360" s="62">
        <f t="shared" si="261"/>
        <v>488235.29411764705</v>
      </c>
      <c r="X360" s="62">
        <f t="shared" si="262"/>
        <v>488235.29411764705</v>
      </c>
      <c r="Y360" s="62">
        <f t="shared" si="263"/>
        <v>488235.29411764705</v>
      </c>
      <c r="Z360" s="62">
        <f t="shared" si="264"/>
        <v>488235.29411764705</v>
      </c>
      <c r="AA360" s="62">
        <f t="shared" si="265"/>
        <v>488235.29411764705</v>
      </c>
      <c r="AB360" s="62">
        <f t="shared" si="266"/>
        <v>488235.29411764705</v>
      </c>
      <c r="AC360" s="62">
        <f t="shared" si="267"/>
        <v>488235.29411764705</v>
      </c>
    </row>
    <row r="361" spans="1:29" x14ac:dyDescent="0.3">
      <c r="A361" s="30" t="str">
        <f t="shared" si="239"/>
        <v>Opex var (mode-fees)</v>
      </c>
      <c r="B361" s="62">
        <f t="shared" si="240"/>
        <v>0.81280569096848254</v>
      </c>
      <c r="C361" s="62">
        <f t="shared" si="241"/>
        <v>0.81280569096848254</v>
      </c>
      <c r="D361" s="62">
        <f t="shared" si="242"/>
        <v>0.81280569096848254</v>
      </c>
      <c r="E361" s="62">
        <f t="shared" si="243"/>
        <v>0.81280569096848254</v>
      </c>
      <c r="F361" s="62">
        <f t="shared" si="244"/>
        <v>0.81280569096848254</v>
      </c>
      <c r="G361" s="62">
        <f t="shared" si="245"/>
        <v>0.81280569096848254</v>
      </c>
      <c r="H361" s="62">
        <f t="shared" si="246"/>
        <v>0.81280569096848254</v>
      </c>
      <c r="I361" s="62">
        <f t="shared" si="247"/>
        <v>0.81280569096848254</v>
      </c>
      <c r="J361" s="62">
        <f t="shared" si="248"/>
        <v>0.81280569096848254</v>
      </c>
      <c r="K361" s="62">
        <f t="shared" si="249"/>
        <v>0.81280569096848254</v>
      </c>
      <c r="L361" s="62">
        <f t="shared" si="250"/>
        <v>0.81280569096848254</v>
      </c>
      <c r="M361" s="62">
        <f t="shared" si="251"/>
        <v>0.81280569096848254</v>
      </c>
      <c r="N361" s="62">
        <f t="shared" si="252"/>
        <v>0.81280569096848254</v>
      </c>
      <c r="O361" s="62">
        <f t="shared" si="253"/>
        <v>0.81280569096848254</v>
      </c>
      <c r="P361" s="62">
        <f t="shared" si="254"/>
        <v>0.81280569096848254</v>
      </c>
      <c r="Q361" s="62">
        <f t="shared" si="255"/>
        <v>0.81280569096848254</v>
      </c>
      <c r="R361" s="62">
        <f t="shared" si="256"/>
        <v>0.81280569096848254</v>
      </c>
      <c r="S361" s="62">
        <f t="shared" si="257"/>
        <v>0.81280569096848254</v>
      </c>
      <c r="T361" s="62">
        <f t="shared" si="258"/>
        <v>0.81280569096848254</v>
      </c>
      <c r="U361" s="62">
        <f t="shared" si="259"/>
        <v>0.81280569096848254</v>
      </c>
      <c r="V361" s="62">
        <f t="shared" si="260"/>
        <v>0.81280569096848254</v>
      </c>
      <c r="W361" s="62">
        <f t="shared" si="261"/>
        <v>0.81280569096848254</v>
      </c>
      <c r="X361" s="62">
        <f t="shared" si="262"/>
        <v>0.81280569096848254</v>
      </c>
      <c r="Y361" s="62">
        <f t="shared" si="263"/>
        <v>0.81280569096848254</v>
      </c>
      <c r="Z361" s="62">
        <f t="shared" si="264"/>
        <v>0.81280569096848254</v>
      </c>
      <c r="AA361" s="62">
        <f t="shared" si="265"/>
        <v>0.81280569096848254</v>
      </c>
      <c r="AB361" s="62">
        <f t="shared" si="266"/>
        <v>0.81280569096848254</v>
      </c>
      <c r="AC361" s="62">
        <f t="shared" si="267"/>
        <v>0.81280569096848254</v>
      </c>
    </row>
    <row r="362" spans="1:29" x14ac:dyDescent="0.3">
      <c r="A362" s="30" t="str">
        <f t="shared" si="239"/>
        <v>Fuel Economy</v>
      </c>
      <c r="B362" s="62">
        <f t="shared" si="240"/>
        <v>646.89677603543487</v>
      </c>
      <c r="C362" s="62">
        <f t="shared" si="241"/>
        <v>646.85211887817047</v>
      </c>
      <c r="D362" s="62">
        <f t="shared" si="242"/>
        <v>646.78819315220449</v>
      </c>
      <c r="E362" s="62">
        <f t="shared" si="243"/>
        <v>646.6967429057521</v>
      </c>
      <c r="F362" s="62">
        <f t="shared" si="244"/>
        <v>646.5660403240729</v>
      </c>
      <c r="G362" s="62">
        <f t="shared" si="245"/>
        <v>646.37949949401741</v>
      </c>
      <c r="H362" s="62">
        <f t="shared" si="246"/>
        <v>646.11381958854338</v>
      </c>
      <c r="I362" s="62">
        <f t="shared" si="247"/>
        <v>645.73659220845991</v>
      </c>
      <c r="J362" s="62">
        <f t="shared" si="248"/>
        <v>645.20341755594859</v>
      </c>
      <c r="K362" s="62">
        <f t="shared" si="249"/>
        <v>644.4548499630904</v>
      </c>
      <c r="L362" s="62">
        <f t="shared" si="250"/>
        <v>643.41406927056653</v>
      </c>
      <c r="M362" s="62">
        <f t="shared" si="251"/>
        <v>641.98719787679943</v>
      </c>
      <c r="N362" s="62">
        <f t="shared" si="252"/>
        <v>640.0696356209337</v>
      </c>
      <c r="O362" s="62">
        <f t="shared" si="253"/>
        <v>637.56301130673319</v>
      </c>
      <c r="P362" s="62">
        <f t="shared" si="254"/>
        <v>634.40634165749691</v>
      </c>
      <c r="Q362" s="62">
        <f t="shared" si="255"/>
        <v>630.6184286906298</v>
      </c>
      <c r="R362" s="62">
        <f t="shared" si="256"/>
        <v>626.33515650399931</v>
      </c>
      <c r="S362" s="62">
        <f t="shared" si="257"/>
        <v>621.81332363039712</v>
      </c>
      <c r="T362" s="62">
        <f t="shared" si="258"/>
        <v>617.38047196989623</v>
      </c>
      <c r="U362" s="62">
        <f t="shared" si="259"/>
        <v>613.34515585949862</v>
      </c>
      <c r="V362" s="62">
        <f t="shared" si="260"/>
        <v>609.91571180572532</v>
      </c>
      <c r="W362" s="62">
        <f t="shared" si="261"/>
        <v>607.1693412972852</v>
      </c>
      <c r="X362" s="62">
        <f t="shared" si="262"/>
        <v>605.0737387067237</v>
      </c>
      <c r="Y362" s="62">
        <f t="shared" si="263"/>
        <v>603.53330273509027</v>
      </c>
      <c r="Z362" s="62">
        <f t="shared" si="264"/>
        <v>602.43191330034256</v>
      </c>
      <c r="AA362" s="62">
        <f t="shared" si="265"/>
        <v>601.66000195939125</v>
      </c>
      <c r="AB362" s="62">
        <f t="shared" si="266"/>
        <v>601.12656377741496</v>
      </c>
      <c r="AC362" s="62">
        <f t="shared" si="267"/>
        <v>600.7615054472443</v>
      </c>
    </row>
    <row r="363" spans="1:29" x14ac:dyDescent="0.3">
      <c r="A363" s="30" t="str">
        <f t="shared" si="239"/>
        <v>Fuel Cost</v>
      </c>
      <c r="B363" s="62">
        <f t="shared" si="240"/>
        <v>0.38635004716516047</v>
      </c>
      <c r="C363" s="62">
        <f t="shared" si="241"/>
        <v>0.38607632048717594</v>
      </c>
      <c r="D363" s="62">
        <f t="shared" si="242"/>
        <v>0.38568448684441137</v>
      </c>
      <c r="E363" s="62">
        <f t="shared" si="243"/>
        <v>0.38512394126346305</v>
      </c>
      <c r="F363" s="62">
        <f t="shared" si="244"/>
        <v>0.38432279793776442</v>
      </c>
      <c r="G363" s="62">
        <f t="shared" si="245"/>
        <v>0.38317939327774014</v>
      </c>
      <c r="H363" s="62">
        <f t="shared" si="246"/>
        <v>0.38155090453399765</v>
      </c>
      <c r="I363" s="62">
        <f t="shared" si="247"/>
        <v>0.37923868396465671</v>
      </c>
      <c r="J363" s="62">
        <f t="shared" si="248"/>
        <v>0.37597058238010372</v>
      </c>
      <c r="K363" s="62">
        <f t="shared" si="249"/>
        <v>0.37138222671682802</v>
      </c>
      <c r="L363" s="62">
        <f t="shared" si="250"/>
        <v>0.36500274672019128</v>
      </c>
      <c r="M363" s="62">
        <f t="shared" si="251"/>
        <v>0.35625671830162364</v>
      </c>
      <c r="N363" s="62">
        <f t="shared" si="252"/>
        <v>0.34450299329358486</v>
      </c>
      <c r="O363" s="62">
        <f t="shared" si="253"/>
        <v>0.32913860405539874</v>
      </c>
      <c r="P363" s="62">
        <f t="shared" si="254"/>
        <v>0.30978975272874687</v>
      </c>
      <c r="Q363" s="62">
        <f t="shared" si="255"/>
        <v>0.28657168654562887</v>
      </c>
      <c r="R363" s="62">
        <f t="shared" si="256"/>
        <v>0.26031730900861128</v>
      </c>
      <c r="S363" s="62">
        <f t="shared" si="257"/>
        <v>0.23260067036178236</v>
      </c>
      <c r="T363" s="62">
        <f t="shared" si="258"/>
        <v>0.20542944332100452</v>
      </c>
      <c r="U363" s="62">
        <f t="shared" si="259"/>
        <v>0.1806949160653524</v>
      </c>
      <c r="V363" s="62">
        <f t="shared" si="260"/>
        <v>0.15967409016246348</v>
      </c>
      <c r="W363" s="62">
        <f t="shared" si="261"/>
        <v>0.14284017323087519</v>
      </c>
      <c r="X363" s="62">
        <f t="shared" si="262"/>
        <v>0.12999514746952273</v>
      </c>
      <c r="Y363" s="62">
        <f t="shared" si="263"/>
        <v>0.1205530233623735</v>
      </c>
      <c r="Z363" s="62">
        <f t="shared" si="264"/>
        <v>0.11380204122180199</v>
      </c>
      <c r="AA363" s="62">
        <f t="shared" si="265"/>
        <v>0.10907059972394451</v>
      </c>
      <c r="AB363" s="62">
        <f t="shared" si="266"/>
        <v>0.10580088283180267</v>
      </c>
      <c r="AC363" s="62">
        <f t="shared" si="267"/>
        <v>0.10356325262626759</v>
      </c>
    </row>
    <row r="364" spans="1:29" x14ac:dyDescent="0.3">
      <c r="A364" s="30" t="str">
        <f t="shared" ref="A364" si="268">A344</f>
        <v>Emission Cost</v>
      </c>
      <c r="B364" s="66">
        <f>$B344+($C344-$B344)*(1-Q344)</f>
        <v>3.1561641138930518</v>
      </c>
      <c r="C364" s="66">
        <f t="shared" ref="C364:AC364" si="269">$B344+($C344-$B344)*(1-R344)</f>
        <v>3.1531586766519095</v>
      </c>
      <c r="D364" s="66">
        <f t="shared" si="269"/>
        <v>3.148856460181932</v>
      </c>
      <c r="E364" s="66">
        <f t="shared" si="269"/>
        <v>3.1427018369762418</v>
      </c>
      <c r="F364" s="66">
        <f t="shared" si="269"/>
        <v>3.1339055223302736</v>
      </c>
      <c r="G364" s="66">
        <f t="shared" si="269"/>
        <v>3.1213512803680521</v>
      </c>
      <c r="H364" s="66">
        <f t="shared" si="269"/>
        <v>3.103470959921165</v>
      </c>
      <c r="I364" s="66">
        <f t="shared" si="269"/>
        <v>3.0780834680624944</v>
      </c>
      <c r="J364" s="66">
        <f t="shared" si="269"/>
        <v>3.0422006879024699</v>
      </c>
      <c r="K364" s="66">
        <f t="shared" si="269"/>
        <v>2.9918219119367748</v>
      </c>
      <c r="L364" s="66">
        <f t="shared" si="269"/>
        <v>2.9217771252824751</v>
      </c>
      <c r="M364" s="66">
        <f t="shared" si="269"/>
        <v>2.8257483431601118</v>
      </c>
      <c r="N364" s="66">
        <f t="shared" si="269"/>
        <v>2.6966959500159344</v>
      </c>
      <c r="O364" s="66">
        <f t="shared" si="269"/>
        <v>2.527999541087663</v>
      </c>
      <c r="P364" s="66">
        <f t="shared" si="269"/>
        <v>2.3155549274364571</v>
      </c>
      <c r="Q364" s="66">
        <f t="shared" si="269"/>
        <v>2.0606274892785992</v>
      </c>
      <c r="R364" s="66">
        <f t="shared" si="269"/>
        <v>1.7723622585244727</v>
      </c>
      <c r="S364" s="66">
        <f t="shared" si="269"/>
        <v>1.4680418371398225</v>
      </c>
      <c r="T364" s="66">
        <f t="shared" si="269"/>
        <v>1.1697098724326394</v>
      </c>
      <c r="U364" s="66">
        <f t="shared" si="269"/>
        <v>0.89813214422744192</v>
      </c>
      <c r="V364" s="66">
        <f t="shared" si="269"/>
        <v>0.66732974866522188</v>
      </c>
      <c r="W364" s="66">
        <f t="shared" si="269"/>
        <v>0.48249836418702996</v>
      </c>
      <c r="X364" s="66">
        <f t="shared" si="269"/>
        <v>0.34146381442791984</v>
      </c>
      <c r="Y364" s="66">
        <f t="shared" si="269"/>
        <v>0.23779210936773287</v>
      </c>
      <c r="Z364" s="66">
        <f t="shared" si="269"/>
        <v>0.16366834003345909</v>
      </c>
      <c r="AA364" s="66">
        <f t="shared" si="269"/>
        <v>0.11171852430248297</v>
      </c>
      <c r="AB364" s="66">
        <f t="shared" si="269"/>
        <v>7.5818008547159366E-2</v>
      </c>
      <c r="AC364" s="66">
        <f t="shared" si="269"/>
        <v>5.1249496624470758E-2</v>
      </c>
    </row>
    <row r="365" spans="1:29" x14ac:dyDescent="0.3">
      <c r="A365" s="30" t="str">
        <f>A345</f>
        <v>Lifetime vehicle</v>
      </c>
      <c r="B365" s="62">
        <f>$B345+($C345-$B345)*(1-Q345)</f>
        <v>25</v>
      </c>
      <c r="C365" s="62">
        <f t="shared" ref="C365:L367" si="270">$B345+($C345-$B345)*(1-R345)</f>
        <v>25</v>
      </c>
      <c r="D365" s="62">
        <f t="shared" si="270"/>
        <v>25</v>
      </c>
      <c r="E365" s="62">
        <f t="shared" si="270"/>
        <v>25</v>
      </c>
      <c r="F365" s="62">
        <f t="shared" si="270"/>
        <v>25</v>
      </c>
      <c r="G365" s="62">
        <f t="shared" si="270"/>
        <v>25</v>
      </c>
      <c r="H365" s="62">
        <f t="shared" si="270"/>
        <v>25</v>
      </c>
      <c r="I365" s="62">
        <f t="shared" si="270"/>
        <v>25</v>
      </c>
      <c r="J365" s="62">
        <f t="shared" si="270"/>
        <v>25</v>
      </c>
      <c r="K365" s="62">
        <f t="shared" si="270"/>
        <v>25</v>
      </c>
      <c r="L365" s="62">
        <f t="shared" si="270"/>
        <v>25</v>
      </c>
      <c r="M365" s="62">
        <f t="shared" ref="M365:V367" si="271">$B345+($C345-$B345)*(1-AB345)</f>
        <v>25</v>
      </c>
      <c r="N365" s="62">
        <f t="shared" si="271"/>
        <v>25</v>
      </c>
      <c r="O365" s="62">
        <f t="shared" si="271"/>
        <v>25</v>
      </c>
      <c r="P365" s="62">
        <f t="shared" si="271"/>
        <v>25</v>
      </c>
      <c r="Q365" s="62">
        <f t="shared" si="271"/>
        <v>25</v>
      </c>
      <c r="R365" s="62">
        <f t="shared" si="271"/>
        <v>25</v>
      </c>
      <c r="S365" s="62">
        <f t="shared" si="271"/>
        <v>25</v>
      </c>
      <c r="T365" s="62">
        <f t="shared" si="271"/>
        <v>25</v>
      </c>
      <c r="U365" s="62">
        <f t="shared" si="271"/>
        <v>25</v>
      </c>
      <c r="V365" s="62">
        <f t="shared" si="271"/>
        <v>25</v>
      </c>
      <c r="W365" s="62">
        <f t="shared" ref="W365:AC367" si="272">$B345+($C345-$B345)*(1-AL345)</f>
        <v>25</v>
      </c>
      <c r="X365" s="62">
        <f t="shared" si="272"/>
        <v>25</v>
      </c>
      <c r="Y365" s="62">
        <f t="shared" si="272"/>
        <v>25</v>
      </c>
      <c r="Z365" s="62">
        <f t="shared" si="272"/>
        <v>25</v>
      </c>
      <c r="AA365" s="62">
        <f t="shared" si="272"/>
        <v>25</v>
      </c>
      <c r="AB365" s="62">
        <f t="shared" si="272"/>
        <v>25</v>
      </c>
      <c r="AC365" s="62">
        <f t="shared" si="272"/>
        <v>25</v>
      </c>
    </row>
    <row r="366" spans="1:29" x14ac:dyDescent="0.3">
      <c r="A366" s="30" t="str">
        <f>A346</f>
        <v>Lifetime costumization</v>
      </c>
      <c r="B366" s="62">
        <f>$B346+($C346-$B346)*(1-Q346)</f>
        <v>25</v>
      </c>
      <c r="C366" s="62">
        <f t="shared" si="270"/>
        <v>25</v>
      </c>
      <c r="D366" s="62">
        <f t="shared" si="270"/>
        <v>25</v>
      </c>
      <c r="E366" s="62">
        <f t="shared" si="270"/>
        <v>25</v>
      </c>
      <c r="F366" s="62">
        <f t="shared" si="270"/>
        <v>25</v>
      </c>
      <c r="G366" s="62">
        <f t="shared" si="270"/>
        <v>25</v>
      </c>
      <c r="H366" s="62">
        <f t="shared" si="270"/>
        <v>25</v>
      </c>
      <c r="I366" s="62">
        <f t="shared" si="270"/>
        <v>25</v>
      </c>
      <c r="J366" s="62">
        <f t="shared" si="270"/>
        <v>25</v>
      </c>
      <c r="K366" s="62">
        <f t="shared" si="270"/>
        <v>25</v>
      </c>
      <c r="L366" s="62">
        <f t="shared" si="270"/>
        <v>25</v>
      </c>
      <c r="M366" s="62">
        <f t="shared" si="271"/>
        <v>25</v>
      </c>
      <c r="N366" s="62">
        <f t="shared" si="271"/>
        <v>25</v>
      </c>
      <c r="O366" s="62">
        <f t="shared" si="271"/>
        <v>25</v>
      </c>
      <c r="P366" s="62">
        <f t="shared" si="271"/>
        <v>25</v>
      </c>
      <c r="Q366" s="62">
        <f t="shared" si="271"/>
        <v>25</v>
      </c>
      <c r="R366" s="62">
        <f t="shared" si="271"/>
        <v>25</v>
      </c>
      <c r="S366" s="62">
        <f t="shared" si="271"/>
        <v>25</v>
      </c>
      <c r="T366" s="62">
        <f t="shared" si="271"/>
        <v>25</v>
      </c>
      <c r="U366" s="62">
        <f t="shared" si="271"/>
        <v>25</v>
      </c>
      <c r="V366" s="62">
        <f t="shared" si="271"/>
        <v>25</v>
      </c>
      <c r="W366" s="62">
        <f t="shared" si="272"/>
        <v>25</v>
      </c>
      <c r="X366" s="62">
        <f t="shared" si="272"/>
        <v>25</v>
      </c>
      <c r="Y366" s="62">
        <f t="shared" si="272"/>
        <v>25</v>
      </c>
      <c r="Z366" s="62">
        <f t="shared" si="272"/>
        <v>25</v>
      </c>
      <c r="AA366" s="62">
        <f t="shared" si="272"/>
        <v>25</v>
      </c>
      <c r="AB366" s="62">
        <f t="shared" si="272"/>
        <v>25</v>
      </c>
      <c r="AC366" s="62">
        <f t="shared" si="272"/>
        <v>25</v>
      </c>
    </row>
    <row r="367" spans="1:29" x14ac:dyDescent="0.3">
      <c r="A367" s="30" t="str">
        <f>A347</f>
        <v>Tonnage .</v>
      </c>
      <c r="B367" s="62">
        <f>$B347+($C347-$B347)*(1-Q347)</f>
        <v>9450</v>
      </c>
      <c r="C367" s="62">
        <f t="shared" si="270"/>
        <v>9450</v>
      </c>
      <c r="D367" s="62">
        <f t="shared" si="270"/>
        <v>9450</v>
      </c>
      <c r="E367" s="62">
        <f t="shared" si="270"/>
        <v>9450</v>
      </c>
      <c r="F367" s="62">
        <f t="shared" si="270"/>
        <v>9450</v>
      </c>
      <c r="G367" s="62">
        <f t="shared" si="270"/>
        <v>9450</v>
      </c>
      <c r="H367" s="62">
        <f t="shared" si="270"/>
        <v>9450</v>
      </c>
      <c r="I367" s="62">
        <f t="shared" si="270"/>
        <v>9450</v>
      </c>
      <c r="J367" s="62">
        <f t="shared" si="270"/>
        <v>9450</v>
      </c>
      <c r="K367" s="62">
        <f t="shared" si="270"/>
        <v>9450</v>
      </c>
      <c r="L367" s="62">
        <f t="shared" si="270"/>
        <v>9450</v>
      </c>
      <c r="M367" s="62">
        <f t="shared" si="271"/>
        <v>9450</v>
      </c>
      <c r="N367" s="62">
        <f t="shared" si="271"/>
        <v>9450</v>
      </c>
      <c r="O367" s="62">
        <f t="shared" si="271"/>
        <v>9450</v>
      </c>
      <c r="P367" s="62">
        <f t="shared" si="271"/>
        <v>9450</v>
      </c>
      <c r="Q367" s="62">
        <f t="shared" si="271"/>
        <v>9450</v>
      </c>
      <c r="R367" s="62">
        <f t="shared" si="271"/>
        <v>9450</v>
      </c>
      <c r="S367" s="62">
        <f t="shared" si="271"/>
        <v>9450</v>
      </c>
      <c r="T367" s="62">
        <f t="shared" si="271"/>
        <v>9450</v>
      </c>
      <c r="U367" s="62">
        <f t="shared" si="271"/>
        <v>9450</v>
      </c>
      <c r="V367" s="62">
        <f t="shared" si="271"/>
        <v>9450</v>
      </c>
      <c r="W367" s="62">
        <f t="shared" si="272"/>
        <v>9450</v>
      </c>
      <c r="X367" s="62">
        <f t="shared" si="272"/>
        <v>9450</v>
      </c>
      <c r="Y367" s="62">
        <f t="shared" si="272"/>
        <v>9450</v>
      </c>
      <c r="Z367" s="62">
        <f t="shared" si="272"/>
        <v>9450</v>
      </c>
      <c r="AA367" s="62">
        <f t="shared" si="272"/>
        <v>9450</v>
      </c>
      <c r="AB367" s="62">
        <f t="shared" si="272"/>
        <v>9450</v>
      </c>
      <c r="AC367" s="62">
        <f t="shared" si="272"/>
        <v>9450</v>
      </c>
    </row>
    <row r="368" spans="1:29" x14ac:dyDescent="0.3">
      <c r="A368" s="30" t="str">
        <f>A348</f>
        <v>Market failure (av. utilization)</v>
      </c>
      <c r="B368" s="62">
        <f t="shared" ref="B368:K369" si="273">($B348+($C348-$B348)*(1-Q348))*B$44</f>
        <v>4819.5</v>
      </c>
      <c r="C368" s="62">
        <f t="shared" si="273"/>
        <v>4819.5</v>
      </c>
      <c r="D368" s="62">
        <f t="shared" si="273"/>
        <v>4819.5</v>
      </c>
      <c r="E368" s="62">
        <f t="shared" si="273"/>
        <v>4819.5</v>
      </c>
      <c r="F368" s="62">
        <f t="shared" si="273"/>
        <v>4819.5</v>
      </c>
      <c r="G368" s="62">
        <f t="shared" si="273"/>
        <v>4819.5</v>
      </c>
      <c r="H368" s="62">
        <f t="shared" si="273"/>
        <v>4819.5</v>
      </c>
      <c r="I368" s="62">
        <f t="shared" si="273"/>
        <v>4819.5</v>
      </c>
      <c r="J368" s="62">
        <f t="shared" si="273"/>
        <v>4819.5</v>
      </c>
      <c r="K368" s="62">
        <f t="shared" si="273"/>
        <v>4819.5</v>
      </c>
      <c r="L368" s="62">
        <f t="shared" ref="L368:U369" si="274">($B348+($C348-$B348)*(1-AA348))*L$44</f>
        <v>4819.5</v>
      </c>
      <c r="M368" s="62">
        <f t="shared" si="274"/>
        <v>4819.5</v>
      </c>
      <c r="N368" s="62">
        <f t="shared" si="274"/>
        <v>4819.5</v>
      </c>
      <c r="O368" s="62">
        <f t="shared" si="274"/>
        <v>4819.5</v>
      </c>
      <c r="P368" s="62">
        <f t="shared" si="274"/>
        <v>4819.5</v>
      </c>
      <c r="Q368" s="62">
        <f t="shared" si="274"/>
        <v>4819.5</v>
      </c>
      <c r="R368" s="62">
        <f t="shared" si="274"/>
        <v>4819.5</v>
      </c>
      <c r="S368" s="62">
        <f t="shared" si="274"/>
        <v>4819.5</v>
      </c>
      <c r="T368" s="62">
        <f t="shared" si="274"/>
        <v>4819.5</v>
      </c>
      <c r="U368" s="62">
        <f t="shared" si="274"/>
        <v>4819.5</v>
      </c>
      <c r="V368" s="62">
        <f t="shared" ref="V368:AC369" si="275">($B348+($C348-$B348)*(1-AK348))*V$44</f>
        <v>4819.5</v>
      </c>
      <c r="W368" s="62">
        <f t="shared" si="275"/>
        <v>4819.5</v>
      </c>
      <c r="X368" s="62">
        <f t="shared" si="275"/>
        <v>4819.5</v>
      </c>
      <c r="Y368" s="62">
        <f t="shared" si="275"/>
        <v>4819.5</v>
      </c>
      <c r="Z368" s="62">
        <f t="shared" si="275"/>
        <v>4819.5</v>
      </c>
      <c r="AA368" s="62">
        <f t="shared" si="275"/>
        <v>4819.5</v>
      </c>
      <c r="AB368" s="62">
        <f t="shared" si="275"/>
        <v>4819.5</v>
      </c>
      <c r="AC368" s="62">
        <f t="shared" si="275"/>
        <v>4819.5</v>
      </c>
    </row>
    <row r="369" spans="1:29" x14ac:dyDescent="0.3">
      <c r="A369" s="30" t="s">
        <v>73</v>
      </c>
      <c r="B369" s="62">
        <f t="shared" si="273"/>
        <v>378</v>
      </c>
      <c r="C369" s="62">
        <f t="shared" si="273"/>
        <v>378</v>
      </c>
      <c r="D369" s="62">
        <f t="shared" si="273"/>
        <v>378</v>
      </c>
      <c r="E369" s="62">
        <f t="shared" si="273"/>
        <v>378</v>
      </c>
      <c r="F369" s="62">
        <f t="shared" si="273"/>
        <v>378</v>
      </c>
      <c r="G369" s="62">
        <f t="shared" si="273"/>
        <v>378</v>
      </c>
      <c r="H369" s="62">
        <f t="shared" si="273"/>
        <v>378</v>
      </c>
      <c r="I369" s="62">
        <f t="shared" si="273"/>
        <v>378</v>
      </c>
      <c r="J369" s="62">
        <f t="shared" si="273"/>
        <v>378</v>
      </c>
      <c r="K369" s="62">
        <f t="shared" si="273"/>
        <v>378</v>
      </c>
      <c r="L369" s="62">
        <f t="shared" si="274"/>
        <v>378</v>
      </c>
      <c r="M369" s="62">
        <f t="shared" si="274"/>
        <v>378</v>
      </c>
      <c r="N369" s="62">
        <f t="shared" si="274"/>
        <v>378</v>
      </c>
      <c r="O369" s="62">
        <f t="shared" si="274"/>
        <v>378</v>
      </c>
      <c r="P369" s="62">
        <f t="shared" si="274"/>
        <v>378</v>
      </c>
      <c r="Q369" s="62">
        <f t="shared" si="274"/>
        <v>378</v>
      </c>
      <c r="R369" s="62">
        <f t="shared" si="274"/>
        <v>378</v>
      </c>
      <c r="S369" s="62">
        <f t="shared" si="274"/>
        <v>378</v>
      </c>
      <c r="T369" s="62">
        <f t="shared" si="274"/>
        <v>378</v>
      </c>
      <c r="U369" s="62">
        <f t="shared" si="274"/>
        <v>378</v>
      </c>
      <c r="V369" s="62">
        <f t="shared" si="275"/>
        <v>378</v>
      </c>
      <c r="W369" s="62">
        <f t="shared" si="275"/>
        <v>378</v>
      </c>
      <c r="X369" s="62">
        <f t="shared" si="275"/>
        <v>378</v>
      </c>
      <c r="Y369" s="62">
        <f t="shared" si="275"/>
        <v>378</v>
      </c>
      <c r="Z369" s="62">
        <f t="shared" si="275"/>
        <v>378</v>
      </c>
      <c r="AA369" s="62">
        <f t="shared" si="275"/>
        <v>378</v>
      </c>
      <c r="AB369" s="62">
        <f t="shared" si="275"/>
        <v>378</v>
      </c>
      <c r="AC369" s="62">
        <f t="shared" si="275"/>
        <v>378</v>
      </c>
    </row>
    <row r="370" spans="1:29" x14ac:dyDescent="0.3">
      <c r="A370" s="30" t="str">
        <f>A350</f>
        <v>Annual Mileage</v>
      </c>
      <c r="B370" s="62">
        <f t="shared" ref="B370:AC370" si="276">$B350+($C350-$B350)*(1-Q350)</f>
        <v>120000</v>
      </c>
      <c r="C370" s="62">
        <f t="shared" si="276"/>
        <v>120000</v>
      </c>
      <c r="D370" s="62">
        <f t="shared" si="276"/>
        <v>120000</v>
      </c>
      <c r="E370" s="62">
        <f t="shared" si="276"/>
        <v>120000</v>
      </c>
      <c r="F370" s="62">
        <f t="shared" si="276"/>
        <v>120000</v>
      </c>
      <c r="G370" s="62">
        <f t="shared" si="276"/>
        <v>120000</v>
      </c>
      <c r="H370" s="62">
        <f t="shared" si="276"/>
        <v>120000</v>
      </c>
      <c r="I370" s="62">
        <f t="shared" si="276"/>
        <v>120000</v>
      </c>
      <c r="J370" s="62">
        <f t="shared" si="276"/>
        <v>120000</v>
      </c>
      <c r="K370" s="62">
        <f t="shared" si="276"/>
        <v>120000</v>
      </c>
      <c r="L370" s="62">
        <f t="shared" si="276"/>
        <v>120000</v>
      </c>
      <c r="M370" s="62">
        <f t="shared" si="276"/>
        <v>120000</v>
      </c>
      <c r="N370" s="62">
        <f t="shared" si="276"/>
        <v>120000</v>
      </c>
      <c r="O370" s="62">
        <f t="shared" si="276"/>
        <v>120000</v>
      </c>
      <c r="P370" s="62">
        <f t="shared" si="276"/>
        <v>120000</v>
      </c>
      <c r="Q370" s="62">
        <f t="shared" si="276"/>
        <v>120000</v>
      </c>
      <c r="R370" s="62">
        <f t="shared" si="276"/>
        <v>120000</v>
      </c>
      <c r="S370" s="62">
        <f t="shared" si="276"/>
        <v>120000</v>
      </c>
      <c r="T370" s="62">
        <f t="shared" si="276"/>
        <v>120000</v>
      </c>
      <c r="U370" s="62">
        <f t="shared" si="276"/>
        <v>120000</v>
      </c>
      <c r="V370" s="62">
        <f t="shared" si="276"/>
        <v>120000</v>
      </c>
      <c r="W370" s="62">
        <f t="shared" si="276"/>
        <v>120000</v>
      </c>
      <c r="X370" s="62">
        <f t="shared" si="276"/>
        <v>120000</v>
      </c>
      <c r="Y370" s="62">
        <f t="shared" si="276"/>
        <v>120000</v>
      </c>
      <c r="Z370" s="62">
        <f t="shared" si="276"/>
        <v>120000</v>
      </c>
      <c r="AA370" s="62">
        <f t="shared" si="276"/>
        <v>120000</v>
      </c>
      <c r="AB370" s="62">
        <f t="shared" si="276"/>
        <v>120000</v>
      </c>
      <c r="AC370" s="62">
        <f t="shared" si="276"/>
        <v>120000</v>
      </c>
    </row>
    <row r="371" spans="1:29" ht="15" thickBot="1" x14ac:dyDescent="0.35">
      <c r="AC371" s="32"/>
    </row>
    <row r="372" spans="1:29" ht="15" thickBot="1" x14ac:dyDescent="0.35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3">
      <c r="A373" s="29" t="str">
        <f>A354</f>
        <v>Capex vehicle</v>
      </c>
      <c r="B373" s="63">
        <f>((1+B358)^B365)*B358/(((1+B358)^B365)-1)*(B354)</f>
        <v>1524647.8790978624</v>
      </c>
      <c r="C373" s="63">
        <f t="shared" ref="C373:AC373" si="277">((1+C358)^C365)*C358/(((1+C358)^C365)-1)*(C354)</f>
        <v>1524313.4062710819</v>
      </c>
      <c r="D373" s="63">
        <f t="shared" si="277"/>
        <v>1523834.6158693277</v>
      </c>
      <c r="E373" s="63">
        <f t="shared" si="277"/>
        <v>1523149.6725295712</v>
      </c>
      <c r="F373" s="63">
        <f t="shared" si="277"/>
        <v>1522170.737356808</v>
      </c>
      <c r="G373" s="63">
        <f t="shared" si="277"/>
        <v>1520773.5853086114</v>
      </c>
      <c r="H373" s="63">
        <f t="shared" si="277"/>
        <v>1518783.6980330625</v>
      </c>
      <c r="I373" s="63">
        <f t="shared" si="277"/>
        <v>1515958.3433556822</v>
      </c>
      <c r="J373" s="63">
        <f t="shared" si="277"/>
        <v>1511964.9760184553</v>
      </c>
      <c r="K373" s="63">
        <f t="shared" si="277"/>
        <v>1506358.3603233036</v>
      </c>
      <c r="L373" s="63">
        <f t="shared" si="277"/>
        <v>1498563.1292425212</v>
      </c>
      <c r="M373" s="63">
        <f t="shared" si="277"/>
        <v>1487876.1590509433</v>
      </c>
      <c r="N373" s="63">
        <f t="shared" si="277"/>
        <v>1473514.0162828909</v>
      </c>
      <c r="O373" s="63">
        <f t="shared" si="277"/>
        <v>1454739.9211231149</v>
      </c>
      <c r="P373" s="63">
        <f t="shared" si="277"/>
        <v>1431097.1215033231</v>
      </c>
      <c r="Q373" s="63">
        <f t="shared" si="277"/>
        <v>1402726.440626242</v>
      </c>
      <c r="R373" s="63">
        <f t="shared" si="277"/>
        <v>1370645.6221440069</v>
      </c>
      <c r="S373" s="63">
        <f t="shared" si="277"/>
        <v>1336778.0336965974</v>
      </c>
      <c r="T373" s="63">
        <f t="shared" si="277"/>
        <v>1303576.896042286</v>
      </c>
      <c r="U373" s="63">
        <f t="shared" si="277"/>
        <v>1273353.2170381402</v>
      </c>
      <c r="V373" s="63">
        <f t="shared" si="277"/>
        <v>1247667.3938192725</v>
      </c>
      <c r="W373" s="63">
        <f t="shared" si="277"/>
        <v>1227097.6494912698</v>
      </c>
      <c r="X373" s="63">
        <f t="shared" si="277"/>
        <v>1211402.0216186012</v>
      </c>
      <c r="Y373" s="63">
        <f t="shared" si="277"/>
        <v>1199864.4763410145</v>
      </c>
      <c r="Z373" s="63">
        <f t="shared" si="277"/>
        <v>1191615.2983773351</v>
      </c>
      <c r="AA373" s="63">
        <f t="shared" si="277"/>
        <v>1185833.8428605145</v>
      </c>
      <c r="AB373" s="63">
        <f t="shared" si="277"/>
        <v>1181838.5017423639</v>
      </c>
      <c r="AC373" s="63">
        <f t="shared" si="277"/>
        <v>1179104.2907197287</v>
      </c>
    </row>
    <row r="374" spans="1:29" x14ac:dyDescent="0.3">
      <c r="A374" s="30" t="str">
        <f>A355</f>
        <v>Residual value (vehicle)</v>
      </c>
      <c r="B374" s="62">
        <f>((1+B358)^B365)*B358/(((1+B358)^B365)-1)*(B355)</f>
        <v>-76361.248295139725</v>
      </c>
      <c r="C374" s="62">
        <f t="shared" ref="C374:AC374" si="278">((1+C358)^C365)*C358/(((1+C358)^C365)-1)*(C355)</f>
        <v>-76400.270124930772</v>
      </c>
      <c r="D374" s="62">
        <f t="shared" si="278"/>
        <v>-76456.129005135459</v>
      </c>
      <c r="E374" s="62">
        <f t="shared" si="278"/>
        <v>-76536.039061440344</v>
      </c>
      <c r="F374" s="62">
        <f t="shared" si="278"/>
        <v>-76650.248164929391</v>
      </c>
      <c r="G374" s="62">
        <f t="shared" si="278"/>
        <v>-76813.249237219032</v>
      </c>
      <c r="H374" s="62">
        <f t="shared" si="278"/>
        <v>-77045.402752699738</v>
      </c>
      <c r="I374" s="62">
        <f t="shared" si="278"/>
        <v>-77375.027465060732</v>
      </c>
      <c r="J374" s="62">
        <f t="shared" si="278"/>
        <v>-77840.920321070545</v>
      </c>
      <c r="K374" s="62">
        <f t="shared" si="278"/>
        <v>-78495.025485504913</v>
      </c>
      <c r="L374" s="62">
        <f t="shared" si="278"/>
        <v>-79404.46911159619</v>
      </c>
      <c r="M374" s="62">
        <f t="shared" si="278"/>
        <v>-80651.282300613602</v>
      </c>
      <c r="N374" s="62">
        <f t="shared" si="278"/>
        <v>-82326.865623553065</v>
      </c>
      <c r="O374" s="62">
        <f t="shared" si="278"/>
        <v>-84517.176725526937</v>
      </c>
      <c r="P374" s="62">
        <f t="shared" si="278"/>
        <v>-87275.503347835998</v>
      </c>
      <c r="Q374" s="62">
        <f t="shared" si="278"/>
        <v>-90585.416116828768</v>
      </c>
      <c r="R374" s="62">
        <f t="shared" si="278"/>
        <v>-94328.178273089521</v>
      </c>
      <c r="S374" s="62">
        <f t="shared" si="278"/>
        <v>-98279.396925287292</v>
      </c>
      <c r="T374" s="62">
        <f t="shared" si="278"/>
        <v>-102152.86298495698</v>
      </c>
      <c r="U374" s="62">
        <f t="shared" si="278"/>
        <v>-105678.95886877397</v>
      </c>
      <c r="V374" s="62">
        <f t="shared" si="278"/>
        <v>-108675.63824430856</v>
      </c>
      <c r="W374" s="62">
        <f t="shared" si="278"/>
        <v>-111075.44174924218</v>
      </c>
      <c r="X374" s="62">
        <f t="shared" si="278"/>
        <v>-112906.59833438687</v>
      </c>
      <c r="Y374" s="62">
        <f t="shared" si="278"/>
        <v>-114252.64528343864</v>
      </c>
      <c r="Z374" s="62">
        <f t="shared" si="278"/>
        <v>-115215.04937920124</v>
      </c>
      <c r="AA374" s="62">
        <f t="shared" si="278"/>
        <v>-115889.55252283029</v>
      </c>
      <c r="AB374" s="62">
        <f t="shared" si="278"/>
        <v>-116355.67565328123</v>
      </c>
      <c r="AC374" s="62">
        <f t="shared" si="278"/>
        <v>-116674.66693925532</v>
      </c>
    </row>
    <row r="375" spans="1:29" x14ac:dyDescent="0.3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9">((1+C358)^C366)*C358/(((1+C358)^C366)-1)*(C356)</f>
        <v>78226.718212273947</v>
      </c>
      <c r="D375" s="62">
        <f t="shared" si="279"/>
        <v>78226.718212273947</v>
      </c>
      <c r="E375" s="62">
        <f t="shared" si="279"/>
        <v>78226.718212273947</v>
      </c>
      <c r="F375" s="62">
        <f t="shared" si="279"/>
        <v>78226.718212273947</v>
      </c>
      <c r="G375" s="62">
        <f t="shared" si="279"/>
        <v>78226.718212273947</v>
      </c>
      <c r="H375" s="62">
        <f t="shared" si="279"/>
        <v>78226.718212273947</v>
      </c>
      <c r="I375" s="62">
        <f t="shared" si="279"/>
        <v>78226.718212273947</v>
      </c>
      <c r="J375" s="62">
        <f t="shared" si="279"/>
        <v>78226.718212273947</v>
      </c>
      <c r="K375" s="62">
        <f t="shared" si="279"/>
        <v>78226.718212273947</v>
      </c>
      <c r="L375" s="62">
        <f t="shared" si="279"/>
        <v>78226.718212273947</v>
      </c>
      <c r="M375" s="62">
        <f t="shared" si="279"/>
        <v>78226.718212273947</v>
      </c>
      <c r="N375" s="62">
        <f t="shared" si="279"/>
        <v>78226.718212273947</v>
      </c>
      <c r="O375" s="62">
        <f t="shared" si="279"/>
        <v>78226.718212273947</v>
      </c>
      <c r="P375" s="62">
        <f t="shared" si="279"/>
        <v>78226.718212273947</v>
      </c>
      <c r="Q375" s="62">
        <f t="shared" si="279"/>
        <v>78226.718212273947</v>
      </c>
      <c r="R375" s="62">
        <f t="shared" si="279"/>
        <v>78226.718212273947</v>
      </c>
      <c r="S375" s="62">
        <f t="shared" si="279"/>
        <v>78226.718212273947</v>
      </c>
      <c r="T375" s="62">
        <f t="shared" si="279"/>
        <v>78226.718212273947</v>
      </c>
      <c r="U375" s="62">
        <f t="shared" si="279"/>
        <v>78226.718212273947</v>
      </c>
      <c r="V375" s="62">
        <f t="shared" si="279"/>
        <v>78226.718212273947</v>
      </c>
      <c r="W375" s="62">
        <f t="shared" si="279"/>
        <v>78226.718212273947</v>
      </c>
      <c r="X375" s="62">
        <f t="shared" si="279"/>
        <v>78226.718212273947</v>
      </c>
      <c r="Y375" s="62">
        <f t="shared" si="279"/>
        <v>78226.718212273947</v>
      </c>
      <c r="Z375" s="62">
        <f t="shared" si="279"/>
        <v>78226.718212273947</v>
      </c>
      <c r="AA375" s="62">
        <f t="shared" si="279"/>
        <v>78226.718212273947</v>
      </c>
      <c r="AB375" s="62">
        <f t="shared" si="279"/>
        <v>78226.718212273947</v>
      </c>
      <c r="AC375" s="62">
        <f t="shared" si="279"/>
        <v>78226.718212273947</v>
      </c>
    </row>
    <row r="376" spans="1:29" x14ac:dyDescent="0.3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80">((1+C358)^C366)*C358/(((1+C358)^C366)-1)*(C357)</f>
        <v>-7822.6718212273945</v>
      </c>
      <c r="D376" s="62">
        <f t="shared" si="280"/>
        <v>-7822.6718212273945</v>
      </c>
      <c r="E376" s="62">
        <f t="shared" si="280"/>
        <v>-7822.6718212273945</v>
      </c>
      <c r="F376" s="62">
        <f t="shared" si="280"/>
        <v>-7822.6718212273945</v>
      </c>
      <c r="G376" s="62">
        <f t="shared" si="280"/>
        <v>-7822.6718212273945</v>
      </c>
      <c r="H376" s="62">
        <f t="shared" si="280"/>
        <v>-7822.6718212273945</v>
      </c>
      <c r="I376" s="62">
        <f t="shared" si="280"/>
        <v>-7822.6718212273945</v>
      </c>
      <c r="J376" s="62">
        <f t="shared" si="280"/>
        <v>-7822.6718212273945</v>
      </c>
      <c r="K376" s="62">
        <f t="shared" si="280"/>
        <v>-7822.6718212273945</v>
      </c>
      <c r="L376" s="62">
        <f t="shared" si="280"/>
        <v>-7822.6718212273945</v>
      </c>
      <c r="M376" s="62">
        <f t="shared" si="280"/>
        <v>-7822.6718212273945</v>
      </c>
      <c r="N376" s="62">
        <f t="shared" si="280"/>
        <v>-7822.6718212273945</v>
      </c>
      <c r="O376" s="62">
        <f t="shared" si="280"/>
        <v>-7822.6718212273945</v>
      </c>
      <c r="P376" s="62">
        <f t="shared" si="280"/>
        <v>-7822.6718212273945</v>
      </c>
      <c r="Q376" s="62">
        <f t="shared" si="280"/>
        <v>-7822.6718212273945</v>
      </c>
      <c r="R376" s="62">
        <f t="shared" si="280"/>
        <v>-7822.6718212273945</v>
      </c>
      <c r="S376" s="62">
        <f t="shared" si="280"/>
        <v>-7822.6718212273945</v>
      </c>
      <c r="T376" s="62">
        <f t="shared" si="280"/>
        <v>-7822.6718212273945</v>
      </c>
      <c r="U376" s="62">
        <f t="shared" si="280"/>
        <v>-7822.6718212273945</v>
      </c>
      <c r="V376" s="62">
        <f t="shared" si="280"/>
        <v>-7822.6718212273945</v>
      </c>
      <c r="W376" s="62">
        <f t="shared" si="280"/>
        <v>-7822.6718212273945</v>
      </c>
      <c r="X376" s="62">
        <f t="shared" si="280"/>
        <v>-7822.6718212273945</v>
      </c>
      <c r="Y376" s="62">
        <f t="shared" si="280"/>
        <v>-7822.6718212273945</v>
      </c>
      <c r="Z376" s="62">
        <f t="shared" si="280"/>
        <v>-7822.6718212273945</v>
      </c>
      <c r="AA376" s="62">
        <f t="shared" si="280"/>
        <v>-7822.6718212273945</v>
      </c>
      <c r="AB376" s="62">
        <f t="shared" si="280"/>
        <v>-7822.6718212273945</v>
      </c>
      <c r="AC376" s="62">
        <f t="shared" si="280"/>
        <v>-7822.6718212273945</v>
      </c>
    </row>
    <row r="377" spans="1:29" x14ac:dyDescent="0.3">
      <c r="A377" s="30" t="str">
        <f t="shared" ref="A377:AC377" si="281">A359</f>
        <v>Opex fix (admin, crew, insurance)</v>
      </c>
      <c r="B377" s="62">
        <f t="shared" si="281"/>
        <v>1208235.294117647</v>
      </c>
      <c r="C377" s="62">
        <f t="shared" si="281"/>
        <v>1208235.294117647</v>
      </c>
      <c r="D377" s="62">
        <f t="shared" si="281"/>
        <v>1208235.294117647</v>
      </c>
      <c r="E377" s="62">
        <f t="shared" si="281"/>
        <v>1208235.294117647</v>
      </c>
      <c r="F377" s="62">
        <f t="shared" si="281"/>
        <v>1208235.294117647</v>
      </c>
      <c r="G377" s="62">
        <f t="shared" si="281"/>
        <v>1208235.294117647</v>
      </c>
      <c r="H377" s="62">
        <f t="shared" si="281"/>
        <v>1208235.294117647</v>
      </c>
      <c r="I377" s="62">
        <f t="shared" si="281"/>
        <v>1208235.294117647</v>
      </c>
      <c r="J377" s="62">
        <f t="shared" si="281"/>
        <v>1208235.294117647</v>
      </c>
      <c r="K377" s="62">
        <f t="shared" si="281"/>
        <v>1208235.294117647</v>
      </c>
      <c r="L377" s="62">
        <f t="shared" si="281"/>
        <v>1208235.294117647</v>
      </c>
      <c r="M377" s="62">
        <f t="shared" si="281"/>
        <v>1208235.294117647</v>
      </c>
      <c r="N377" s="62">
        <f t="shared" si="281"/>
        <v>1208235.294117647</v>
      </c>
      <c r="O377" s="62">
        <f t="shared" si="281"/>
        <v>1208235.294117647</v>
      </c>
      <c r="P377" s="62">
        <f t="shared" si="281"/>
        <v>1208235.294117647</v>
      </c>
      <c r="Q377" s="62">
        <f t="shared" si="281"/>
        <v>1208235.294117647</v>
      </c>
      <c r="R377" s="62">
        <f t="shared" si="281"/>
        <v>1208235.294117647</v>
      </c>
      <c r="S377" s="62">
        <f t="shared" si="281"/>
        <v>1208235.294117647</v>
      </c>
      <c r="T377" s="62">
        <f t="shared" si="281"/>
        <v>1208235.294117647</v>
      </c>
      <c r="U377" s="62">
        <f t="shared" si="281"/>
        <v>1208235.294117647</v>
      </c>
      <c r="V377" s="62">
        <f t="shared" si="281"/>
        <v>1208235.294117647</v>
      </c>
      <c r="W377" s="62">
        <f t="shared" si="281"/>
        <v>1208235.294117647</v>
      </c>
      <c r="X377" s="62">
        <f t="shared" si="281"/>
        <v>1208235.294117647</v>
      </c>
      <c r="Y377" s="62">
        <f t="shared" si="281"/>
        <v>1208235.294117647</v>
      </c>
      <c r="Z377" s="62">
        <f t="shared" si="281"/>
        <v>1208235.294117647</v>
      </c>
      <c r="AA377" s="62">
        <f t="shared" si="281"/>
        <v>1208235.294117647</v>
      </c>
      <c r="AB377" s="62">
        <f t="shared" si="281"/>
        <v>1208235.294117647</v>
      </c>
      <c r="AC377" s="62">
        <f t="shared" si="281"/>
        <v>1208235.294117647</v>
      </c>
    </row>
    <row r="378" spans="1:29" x14ac:dyDescent="0.3">
      <c r="A378" s="30" t="str">
        <f t="shared" ref="A378:AC378" si="282">A360</f>
        <v>Opex maintenance &amp; repair</v>
      </c>
      <c r="B378" s="62">
        <f t="shared" si="282"/>
        <v>488235.29411764705</v>
      </c>
      <c r="C378" s="62">
        <f t="shared" si="282"/>
        <v>488235.29411764705</v>
      </c>
      <c r="D378" s="62">
        <f t="shared" si="282"/>
        <v>488235.29411764705</v>
      </c>
      <c r="E378" s="62">
        <f t="shared" si="282"/>
        <v>488235.29411764705</v>
      </c>
      <c r="F378" s="62">
        <f t="shared" si="282"/>
        <v>488235.29411764705</v>
      </c>
      <c r="G378" s="62">
        <f t="shared" si="282"/>
        <v>488235.29411764705</v>
      </c>
      <c r="H378" s="62">
        <f t="shared" si="282"/>
        <v>488235.29411764705</v>
      </c>
      <c r="I378" s="62">
        <f t="shared" si="282"/>
        <v>488235.29411764705</v>
      </c>
      <c r="J378" s="62">
        <f t="shared" si="282"/>
        <v>488235.29411764705</v>
      </c>
      <c r="K378" s="62">
        <f t="shared" si="282"/>
        <v>488235.29411764705</v>
      </c>
      <c r="L378" s="62">
        <f t="shared" si="282"/>
        <v>488235.29411764705</v>
      </c>
      <c r="M378" s="62">
        <f t="shared" si="282"/>
        <v>488235.29411764705</v>
      </c>
      <c r="N378" s="62">
        <f t="shared" si="282"/>
        <v>488235.29411764705</v>
      </c>
      <c r="O378" s="62">
        <f t="shared" si="282"/>
        <v>488235.29411764705</v>
      </c>
      <c r="P378" s="62">
        <f t="shared" si="282"/>
        <v>488235.29411764705</v>
      </c>
      <c r="Q378" s="62">
        <f t="shared" si="282"/>
        <v>488235.29411764705</v>
      </c>
      <c r="R378" s="62">
        <f t="shared" si="282"/>
        <v>488235.29411764705</v>
      </c>
      <c r="S378" s="62">
        <f t="shared" si="282"/>
        <v>488235.29411764705</v>
      </c>
      <c r="T378" s="62">
        <f t="shared" si="282"/>
        <v>488235.29411764705</v>
      </c>
      <c r="U378" s="62">
        <f t="shared" si="282"/>
        <v>488235.29411764705</v>
      </c>
      <c r="V378" s="62">
        <f t="shared" si="282"/>
        <v>488235.29411764705</v>
      </c>
      <c r="W378" s="62">
        <f t="shared" si="282"/>
        <v>488235.29411764705</v>
      </c>
      <c r="X378" s="62">
        <f t="shared" si="282"/>
        <v>488235.29411764705</v>
      </c>
      <c r="Y378" s="62">
        <f t="shared" si="282"/>
        <v>488235.29411764705</v>
      </c>
      <c r="Z378" s="62">
        <f t="shared" si="282"/>
        <v>488235.29411764705</v>
      </c>
      <c r="AA378" s="62">
        <f t="shared" si="282"/>
        <v>488235.29411764705</v>
      </c>
      <c r="AB378" s="62">
        <f t="shared" si="282"/>
        <v>488235.29411764705</v>
      </c>
      <c r="AC378" s="62">
        <f t="shared" si="282"/>
        <v>488235.29411764705</v>
      </c>
    </row>
    <row r="379" spans="1:29" x14ac:dyDescent="0.3">
      <c r="A379" s="30" t="str">
        <f>A361</f>
        <v>Opex var (mode-fees)</v>
      </c>
      <c r="B379" s="62">
        <f>B361*B370</f>
        <v>97536.682916217906</v>
      </c>
      <c r="C379" s="62">
        <f t="shared" ref="C379:AC379" si="283">C361*C370</f>
        <v>97536.682916217906</v>
      </c>
      <c r="D379" s="62">
        <f t="shared" si="283"/>
        <v>97536.682916217906</v>
      </c>
      <c r="E379" s="62">
        <f t="shared" si="283"/>
        <v>97536.682916217906</v>
      </c>
      <c r="F379" s="62">
        <f t="shared" si="283"/>
        <v>97536.682916217906</v>
      </c>
      <c r="G379" s="62">
        <f t="shared" si="283"/>
        <v>97536.682916217906</v>
      </c>
      <c r="H379" s="62">
        <f t="shared" si="283"/>
        <v>97536.682916217906</v>
      </c>
      <c r="I379" s="62">
        <f t="shared" si="283"/>
        <v>97536.682916217906</v>
      </c>
      <c r="J379" s="62">
        <f t="shared" si="283"/>
        <v>97536.682916217906</v>
      </c>
      <c r="K379" s="62">
        <f t="shared" si="283"/>
        <v>97536.682916217906</v>
      </c>
      <c r="L379" s="62">
        <f t="shared" si="283"/>
        <v>97536.682916217906</v>
      </c>
      <c r="M379" s="62">
        <f t="shared" si="283"/>
        <v>97536.682916217906</v>
      </c>
      <c r="N379" s="62">
        <f t="shared" si="283"/>
        <v>97536.682916217906</v>
      </c>
      <c r="O379" s="62">
        <f t="shared" si="283"/>
        <v>97536.682916217906</v>
      </c>
      <c r="P379" s="62">
        <f t="shared" si="283"/>
        <v>97536.682916217906</v>
      </c>
      <c r="Q379" s="62">
        <f t="shared" si="283"/>
        <v>97536.682916217906</v>
      </c>
      <c r="R379" s="62">
        <f t="shared" si="283"/>
        <v>97536.682916217906</v>
      </c>
      <c r="S379" s="62">
        <f t="shared" si="283"/>
        <v>97536.682916217906</v>
      </c>
      <c r="T379" s="62">
        <f t="shared" si="283"/>
        <v>97536.682916217906</v>
      </c>
      <c r="U379" s="62">
        <f t="shared" si="283"/>
        <v>97536.682916217906</v>
      </c>
      <c r="V379" s="62">
        <f t="shared" si="283"/>
        <v>97536.682916217906</v>
      </c>
      <c r="W379" s="62">
        <f t="shared" si="283"/>
        <v>97536.682916217906</v>
      </c>
      <c r="X379" s="62">
        <f t="shared" si="283"/>
        <v>97536.682916217906</v>
      </c>
      <c r="Y379" s="62">
        <f t="shared" si="283"/>
        <v>97536.682916217906</v>
      </c>
      <c r="Z379" s="62">
        <f t="shared" si="283"/>
        <v>97536.682916217906</v>
      </c>
      <c r="AA379" s="62">
        <f t="shared" si="283"/>
        <v>97536.682916217906</v>
      </c>
      <c r="AB379" s="62">
        <f t="shared" si="283"/>
        <v>97536.682916217906</v>
      </c>
      <c r="AC379" s="62">
        <f t="shared" si="283"/>
        <v>97536.682916217906</v>
      </c>
    </row>
    <row r="380" spans="1:29" x14ac:dyDescent="0.3">
      <c r="A380" s="30" t="str">
        <f>A363</f>
        <v>Fuel Cost</v>
      </c>
      <c r="B380" s="62">
        <f>B362*B363*B370</f>
        <v>29991431.991873663</v>
      </c>
      <c r="C380" s="62">
        <f t="shared" ref="C380:AC380" si="284">C362*C363*C370</f>
        <v>29968114.314698085</v>
      </c>
      <c r="D380" s="62">
        <f t="shared" si="284"/>
        <v>29934740.684751838</v>
      </c>
      <c r="E380" s="62">
        <f t="shared" si="284"/>
        <v>29887007.811612926</v>
      </c>
      <c r="F380" s="62">
        <f t="shared" si="284"/>
        <v>29818808.360266693</v>
      </c>
      <c r="G380" s="62">
        <f t="shared" si="284"/>
        <v>29721516.53319443</v>
      </c>
      <c r="H380" s="62">
        <f t="shared" si="284"/>
        <v>29583037.475510988</v>
      </c>
      <c r="I380" s="62">
        <f t="shared" si="284"/>
        <v>29386595.450035024</v>
      </c>
      <c r="J380" s="62">
        <f t="shared" si="284"/>
        <v>29109300.558257189</v>
      </c>
      <c r="K380" s="62">
        <f t="shared" si="284"/>
        <v>28720689.26373022</v>
      </c>
      <c r="L380" s="62">
        <f t="shared" si="284"/>
        <v>28181748.307460666</v>
      </c>
      <c r="M380" s="62">
        <f t="shared" si="284"/>
        <v>27445470.276869237</v>
      </c>
      <c r="N380" s="62">
        <f t="shared" si="284"/>
        <v>26460708.646529499</v>
      </c>
      <c r="O380" s="62">
        <f t="shared" si="284"/>
        <v>25181591.944662549</v>
      </c>
      <c r="P380" s="62">
        <f t="shared" si="284"/>
        <v>23583910.045394987</v>
      </c>
      <c r="Q380" s="62">
        <f t="shared" si="284"/>
        <v>21686086.401195381</v>
      </c>
      <c r="R380" s="62">
        <f t="shared" si="284"/>
        <v>19565505.89743302</v>
      </c>
      <c r="S380" s="62">
        <f t="shared" si="284"/>
        <v>17356103.509958196</v>
      </c>
      <c r="T380" s="62">
        <f t="shared" si="284"/>
        <v>15219375.200884178</v>
      </c>
      <c r="U380" s="62">
        <f t="shared" si="284"/>
        <v>13299402.174854711</v>
      </c>
      <c r="V380" s="62">
        <f t="shared" si="284"/>
        <v>11686528.363004457</v>
      </c>
      <c r="W380" s="62">
        <f t="shared" si="284"/>
        <v>10407380.866965672</v>
      </c>
      <c r="X380" s="62">
        <f t="shared" si="284"/>
        <v>9438797.9871739205</v>
      </c>
      <c r="Y380" s="62">
        <f t="shared" si="284"/>
        <v>8730931.7213512529</v>
      </c>
      <c r="Z380" s="62">
        <f t="shared" si="284"/>
        <v>8226957.7716881558</v>
      </c>
      <c r="AA380" s="62">
        <f t="shared" si="284"/>
        <v>7874810.0692344503</v>
      </c>
      <c r="AB380" s="62">
        <f t="shared" si="284"/>
        <v>7631966.536955812</v>
      </c>
      <c r="AC380" s="62">
        <f t="shared" si="284"/>
        <v>7466017.8668123754</v>
      </c>
    </row>
    <row r="381" spans="1:29" ht="15" thickBot="1" x14ac:dyDescent="0.35">
      <c r="A381" s="59" t="str">
        <f>A344</f>
        <v>Emission Cost</v>
      </c>
      <c r="B381" s="62">
        <f>B364*B370</f>
        <v>378739.69366716623</v>
      </c>
      <c r="C381" s="62">
        <f t="shared" ref="C381:AC381" si="285">C364*C370</f>
        <v>378379.04119822913</v>
      </c>
      <c r="D381" s="62">
        <f t="shared" si="285"/>
        <v>377862.77522183186</v>
      </c>
      <c r="E381" s="62">
        <f t="shared" si="285"/>
        <v>377124.22043714899</v>
      </c>
      <c r="F381" s="62">
        <f t="shared" si="285"/>
        <v>376068.66267963283</v>
      </c>
      <c r="G381" s="62">
        <f t="shared" si="285"/>
        <v>374562.15364416625</v>
      </c>
      <c r="H381" s="62">
        <f t="shared" si="285"/>
        <v>372416.51519053977</v>
      </c>
      <c r="I381" s="62">
        <f t="shared" si="285"/>
        <v>369370.01616749936</v>
      </c>
      <c r="J381" s="62">
        <f t="shared" si="285"/>
        <v>365064.08254829637</v>
      </c>
      <c r="K381" s="62">
        <f t="shared" si="285"/>
        <v>359018.62943241297</v>
      </c>
      <c r="L381" s="62">
        <f t="shared" si="285"/>
        <v>350613.255033897</v>
      </c>
      <c r="M381" s="62">
        <f t="shared" si="285"/>
        <v>339089.80117921339</v>
      </c>
      <c r="N381" s="62">
        <f t="shared" si="285"/>
        <v>323603.51400191215</v>
      </c>
      <c r="O381" s="62">
        <f t="shared" si="285"/>
        <v>303359.94493051956</v>
      </c>
      <c r="P381" s="62">
        <f t="shared" si="285"/>
        <v>277866.59129237483</v>
      </c>
      <c r="Q381" s="62">
        <f t="shared" si="285"/>
        <v>247275.2987134319</v>
      </c>
      <c r="R381" s="62">
        <f t="shared" si="285"/>
        <v>212683.47102293672</v>
      </c>
      <c r="S381" s="62">
        <f t="shared" si="285"/>
        <v>176165.0204567787</v>
      </c>
      <c r="T381" s="62">
        <f t="shared" si="285"/>
        <v>140365.18469191671</v>
      </c>
      <c r="U381" s="62">
        <f t="shared" si="285"/>
        <v>107775.85730729303</v>
      </c>
      <c r="V381" s="62">
        <f t="shared" si="285"/>
        <v>80079.569839826625</v>
      </c>
      <c r="W381" s="62">
        <f t="shared" si="285"/>
        <v>57899.803702443598</v>
      </c>
      <c r="X381" s="62">
        <f t="shared" si="285"/>
        <v>40975.65773135038</v>
      </c>
      <c r="Y381" s="62">
        <f t="shared" si="285"/>
        <v>28535.053124127946</v>
      </c>
      <c r="Z381" s="62">
        <f t="shared" si="285"/>
        <v>19640.20080401509</v>
      </c>
      <c r="AA381" s="62">
        <f t="shared" si="285"/>
        <v>13406.222916297957</v>
      </c>
      <c r="AB381" s="62">
        <f t="shared" si="285"/>
        <v>9098.161025659123</v>
      </c>
      <c r="AC381" s="62">
        <f t="shared" si="285"/>
        <v>6149.9395949364907</v>
      </c>
    </row>
    <row r="382" spans="1:29" ht="15" thickBot="1" x14ac:dyDescent="0.35">
      <c r="A382" s="31" t="s">
        <v>209</v>
      </c>
      <c r="B382" s="64">
        <f>B373+B374+B375+B376+B377+B378+B379+B380+B381</f>
        <v>33682869.633886114</v>
      </c>
      <c r="C382" s="64">
        <f t="shared" ref="C382:AC382" si="286">C373+C374+C375+C376+C377+C378+C379+C380+C381</f>
        <v>33658817.809585027</v>
      </c>
      <c r="D382" s="64">
        <f t="shared" si="286"/>
        <v>33624393.264380418</v>
      </c>
      <c r="E382" s="64">
        <f t="shared" si="286"/>
        <v>33575156.983060762</v>
      </c>
      <c r="F382" s="64">
        <f t="shared" si="286"/>
        <v>33504808.829680763</v>
      </c>
      <c r="G382" s="64">
        <f t="shared" si="286"/>
        <v>33404450.340452548</v>
      </c>
      <c r="H382" s="64">
        <f t="shared" si="286"/>
        <v>33261603.603524446</v>
      </c>
      <c r="I382" s="64">
        <f t="shared" si="286"/>
        <v>33058960.099635705</v>
      </c>
      <c r="J382" s="64">
        <f t="shared" si="286"/>
        <v>32772900.014045428</v>
      </c>
      <c r="K382" s="64">
        <f t="shared" si="286"/>
        <v>32371982.545542993</v>
      </c>
      <c r="L382" s="64">
        <f t="shared" si="286"/>
        <v>31815931.540168043</v>
      </c>
      <c r="M382" s="64">
        <f t="shared" si="286"/>
        <v>31056196.272341337</v>
      </c>
      <c r="N382" s="64">
        <f t="shared" si="286"/>
        <v>30039910.628733311</v>
      </c>
      <c r="O382" s="64">
        <f t="shared" si="286"/>
        <v>28719585.951533217</v>
      </c>
      <c r="P382" s="64">
        <f t="shared" si="286"/>
        <v>27070009.572385408</v>
      </c>
      <c r="Q382" s="64">
        <f t="shared" si="286"/>
        <v>25109914.041960783</v>
      </c>
      <c r="R382" s="64">
        <f t="shared" si="286"/>
        <v>22918918.129869435</v>
      </c>
      <c r="S382" s="64">
        <f t="shared" si="286"/>
        <v>20635178.484728847</v>
      </c>
      <c r="T382" s="64">
        <f t="shared" si="286"/>
        <v>18425575.736175984</v>
      </c>
      <c r="U382" s="64">
        <f t="shared" si="286"/>
        <v>16439263.607873928</v>
      </c>
      <c r="V382" s="64">
        <f t="shared" si="286"/>
        <v>14770011.005961806</v>
      </c>
      <c r="W382" s="64">
        <f t="shared" si="286"/>
        <v>13445714.195952702</v>
      </c>
      <c r="X382" s="64">
        <f t="shared" si="286"/>
        <v>12442680.385732044</v>
      </c>
      <c r="Y382" s="64">
        <f t="shared" si="286"/>
        <v>11709489.923075516</v>
      </c>
      <c r="Z382" s="64">
        <f t="shared" si="286"/>
        <v>11187409.539032863</v>
      </c>
      <c r="AA382" s="64">
        <f t="shared" si="286"/>
        <v>10822571.900030991</v>
      </c>
      <c r="AB382" s="64">
        <f t="shared" si="286"/>
        <v>10570958.841613112</v>
      </c>
      <c r="AC382" s="64">
        <f t="shared" si="286"/>
        <v>10399008.747730343</v>
      </c>
    </row>
    <row r="383" spans="1:29" ht="15" thickBot="1" x14ac:dyDescent="0.35">
      <c r="AC383" s="32"/>
    </row>
    <row r="384" spans="1:29" ht="15" thickBot="1" x14ac:dyDescent="0.35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3">
      <c r="A385" s="29" t="str">
        <f t="shared" ref="A385:A392" si="287">A373</f>
        <v>Capex vehicle</v>
      </c>
      <c r="B385" s="65">
        <f>((1+B358)^B365)*B358/(((1+B358)^B365)-1)*(B354)/B370</f>
        <v>12.705398992482186</v>
      </c>
      <c r="C385" s="65">
        <f t="shared" ref="C385:AC385" si="288">((1+C358)^C365)*C358/(((1+C358)^C365)-1)*(C354)/C370</f>
        <v>12.702611718925683</v>
      </c>
      <c r="D385" s="65">
        <f t="shared" si="288"/>
        <v>12.698621798911065</v>
      </c>
      <c r="E385" s="65">
        <f t="shared" si="288"/>
        <v>12.692913937746427</v>
      </c>
      <c r="F385" s="65">
        <f t="shared" si="288"/>
        <v>12.684756144640067</v>
      </c>
      <c r="G385" s="65">
        <f t="shared" si="288"/>
        <v>12.673113210905095</v>
      </c>
      <c r="H385" s="65">
        <f t="shared" si="288"/>
        <v>12.656530816942187</v>
      </c>
      <c r="I385" s="65">
        <f t="shared" si="288"/>
        <v>12.632986194630686</v>
      </c>
      <c r="J385" s="65">
        <f t="shared" si="288"/>
        <v>12.599708133487129</v>
      </c>
      <c r="K385" s="65">
        <f t="shared" si="288"/>
        <v>12.55298633602753</v>
      </c>
      <c r="L385" s="65">
        <f t="shared" si="288"/>
        <v>12.48802607702101</v>
      </c>
      <c r="M385" s="65">
        <f t="shared" si="288"/>
        <v>12.398967992091194</v>
      </c>
      <c r="N385" s="65">
        <f t="shared" si="288"/>
        <v>12.27928346902409</v>
      </c>
      <c r="O385" s="65">
        <f t="shared" si="288"/>
        <v>12.122832676025958</v>
      </c>
      <c r="P385" s="65">
        <f t="shared" si="288"/>
        <v>11.925809345861026</v>
      </c>
      <c r="Q385" s="65">
        <f t="shared" si="288"/>
        <v>11.689387005218682</v>
      </c>
      <c r="R385" s="65">
        <f t="shared" si="288"/>
        <v>11.422046851200058</v>
      </c>
      <c r="S385" s="65">
        <f t="shared" si="288"/>
        <v>11.139816947471646</v>
      </c>
      <c r="T385" s="65">
        <f t="shared" si="288"/>
        <v>10.863140800352383</v>
      </c>
      <c r="U385" s="65">
        <f t="shared" si="288"/>
        <v>10.611276808651168</v>
      </c>
      <c r="V385" s="65">
        <f t="shared" si="288"/>
        <v>10.397228281827271</v>
      </c>
      <c r="W385" s="65">
        <f t="shared" si="288"/>
        <v>10.225813745760583</v>
      </c>
      <c r="X385" s="65">
        <f t="shared" si="288"/>
        <v>10.095016846821677</v>
      </c>
      <c r="Y385" s="65">
        <f t="shared" si="288"/>
        <v>9.9988706361751216</v>
      </c>
      <c r="Z385" s="65">
        <f t="shared" si="288"/>
        <v>9.930127486477792</v>
      </c>
      <c r="AA385" s="65">
        <f t="shared" si="288"/>
        <v>9.8819486905042879</v>
      </c>
      <c r="AB385" s="65">
        <f t="shared" si="288"/>
        <v>9.8486541811863653</v>
      </c>
      <c r="AC385" s="65">
        <f t="shared" si="288"/>
        <v>9.8258690893310732</v>
      </c>
    </row>
    <row r="386" spans="1:29" x14ac:dyDescent="0.3">
      <c r="A386" s="30" t="str">
        <f t="shared" si="287"/>
        <v>Residual value (vehicle)</v>
      </c>
      <c r="B386" s="66">
        <f>((1+B358)^B365)*B358/(((1+B358)^B365)-1)*(B355)/B370</f>
        <v>-0.63634373579283099</v>
      </c>
      <c r="C386" s="66">
        <f t="shared" ref="C386:AC386" si="289">((1+C358)^C365)*C358/(((1+C358)^C365)-1)*(C355)/C370</f>
        <v>-0.63666891770775647</v>
      </c>
      <c r="D386" s="66">
        <f t="shared" si="289"/>
        <v>-0.63713440837612878</v>
      </c>
      <c r="E386" s="66">
        <f t="shared" si="289"/>
        <v>-0.63780032551200283</v>
      </c>
      <c r="F386" s="66">
        <f t="shared" si="289"/>
        <v>-0.63875206804107831</v>
      </c>
      <c r="G386" s="66">
        <f t="shared" si="289"/>
        <v>-0.64011041031015858</v>
      </c>
      <c r="H386" s="66">
        <f t="shared" si="289"/>
        <v>-0.64204502293916443</v>
      </c>
      <c r="I386" s="66">
        <f t="shared" si="289"/>
        <v>-0.64479189554217275</v>
      </c>
      <c r="J386" s="66">
        <f t="shared" si="289"/>
        <v>-0.64867433600892122</v>
      </c>
      <c r="K386" s="66">
        <f t="shared" si="289"/>
        <v>-0.65412521237920762</v>
      </c>
      <c r="L386" s="66">
        <f t="shared" si="289"/>
        <v>-0.66170390926330158</v>
      </c>
      <c r="M386" s="66">
        <f t="shared" si="289"/>
        <v>-0.67209401917178002</v>
      </c>
      <c r="N386" s="66">
        <f t="shared" si="289"/>
        <v>-0.68605721352960891</v>
      </c>
      <c r="O386" s="66">
        <f t="shared" si="289"/>
        <v>-0.70430980604605786</v>
      </c>
      <c r="P386" s="66">
        <f t="shared" si="289"/>
        <v>-0.72729586123196666</v>
      </c>
      <c r="Q386" s="66">
        <f t="shared" si="289"/>
        <v>-0.75487846764023969</v>
      </c>
      <c r="R386" s="66">
        <f t="shared" si="289"/>
        <v>-0.786068152275746</v>
      </c>
      <c r="S386" s="66">
        <f t="shared" si="289"/>
        <v>-0.8189949743773941</v>
      </c>
      <c r="T386" s="66">
        <f t="shared" si="289"/>
        <v>-0.85127385820797485</v>
      </c>
      <c r="U386" s="66">
        <f t="shared" si="289"/>
        <v>-0.88065799057311644</v>
      </c>
      <c r="V386" s="66">
        <f t="shared" si="289"/>
        <v>-0.90563031870257138</v>
      </c>
      <c r="W386" s="66">
        <f t="shared" si="289"/>
        <v>-0.9256286812436848</v>
      </c>
      <c r="X386" s="66">
        <f t="shared" si="289"/>
        <v>-0.94088831945322393</v>
      </c>
      <c r="Y386" s="66">
        <f t="shared" si="289"/>
        <v>-0.95210537736198875</v>
      </c>
      <c r="Z386" s="66">
        <f t="shared" si="289"/>
        <v>-0.96012541149334374</v>
      </c>
      <c r="AA386" s="66">
        <f t="shared" si="289"/>
        <v>-0.96574627102358568</v>
      </c>
      <c r="AB386" s="66">
        <f t="shared" si="289"/>
        <v>-0.96963063044401021</v>
      </c>
      <c r="AC386" s="66">
        <f t="shared" si="289"/>
        <v>-0.97228889116046091</v>
      </c>
    </row>
    <row r="387" spans="1:29" x14ac:dyDescent="0.3">
      <c r="A387" s="30" t="str">
        <f t="shared" si="287"/>
        <v>Capex costumization</v>
      </c>
      <c r="B387" s="66">
        <f>((1+B358)^B366)*B358/(((1+B358)^B366)-1)*(B356)/B370</f>
        <v>0.65188931843561626</v>
      </c>
      <c r="C387" s="66">
        <f t="shared" ref="C387:AC387" si="290">((1+C358)^C366)*C358/(((1+C358)^C366)-1)*(C356)/C370</f>
        <v>0.65188931843561626</v>
      </c>
      <c r="D387" s="66">
        <f t="shared" si="290"/>
        <v>0.65188931843561626</v>
      </c>
      <c r="E387" s="66">
        <f t="shared" si="290"/>
        <v>0.65188931843561626</v>
      </c>
      <c r="F387" s="66">
        <f t="shared" si="290"/>
        <v>0.65188931843561626</v>
      </c>
      <c r="G387" s="66">
        <f t="shared" si="290"/>
        <v>0.65188931843561626</v>
      </c>
      <c r="H387" s="66">
        <f t="shared" si="290"/>
        <v>0.65188931843561626</v>
      </c>
      <c r="I387" s="66">
        <f t="shared" si="290"/>
        <v>0.65188931843561626</v>
      </c>
      <c r="J387" s="66">
        <f t="shared" si="290"/>
        <v>0.65188931843561626</v>
      </c>
      <c r="K387" s="66">
        <f t="shared" si="290"/>
        <v>0.65188931843561626</v>
      </c>
      <c r="L387" s="66">
        <f t="shared" si="290"/>
        <v>0.65188931843561626</v>
      </c>
      <c r="M387" s="66">
        <f t="shared" si="290"/>
        <v>0.65188931843561626</v>
      </c>
      <c r="N387" s="66">
        <f t="shared" si="290"/>
        <v>0.65188931843561626</v>
      </c>
      <c r="O387" s="66">
        <f t="shared" si="290"/>
        <v>0.65188931843561626</v>
      </c>
      <c r="P387" s="66">
        <f t="shared" si="290"/>
        <v>0.65188931843561626</v>
      </c>
      <c r="Q387" s="66">
        <f t="shared" si="290"/>
        <v>0.65188931843561626</v>
      </c>
      <c r="R387" s="66">
        <f t="shared" si="290"/>
        <v>0.65188931843561626</v>
      </c>
      <c r="S387" s="66">
        <f t="shared" si="290"/>
        <v>0.65188931843561626</v>
      </c>
      <c r="T387" s="66">
        <f t="shared" si="290"/>
        <v>0.65188931843561626</v>
      </c>
      <c r="U387" s="66">
        <f t="shared" si="290"/>
        <v>0.65188931843561626</v>
      </c>
      <c r="V387" s="66">
        <f t="shared" si="290"/>
        <v>0.65188931843561626</v>
      </c>
      <c r="W387" s="66">
        <f t="shared" si="290"/>
        <v>0.65188931843561626</v>
      </c>
      <c r="X387" s="66">
        <f t="shared" si="290"/>
        <v>0.65188931843561626</v>
      </c>
      <c r="Y387" s="66">
        <f t="shared" si="290"/>
        <v>0.65188931843561626</v>
      </c>
      <c r="Z387" s="66">
        <f t="shared" si="290"/>
        <v>0.65188931843561626</v>
      </c>
      <c r="AA387" s="66">
        <f t="shared" si="290"/>
        <v>0.65188931843561626</v>
      </c>
      <c r="AB387" s="66">
        <f t="shared" si="290"/>
        <v>0.65188931843561626</v>
      </c>
      <c r="AC387" s="66">
        <f t="shared" si="290"/>
        <v>0.65188931843561626</v>
      </c>
    </row>
    <row r="388" spans="1:29" x14ac:dyDescent="0.3">
      <c r="A388" s="30" t="str">
        <f t="shared" si="287"/>
        <v>Residual value (costumization)</v>
      </c>
      <c r="B388" s="66">
        <f>((1+B358)^B366)*B358/(((1+B358)^B366)-1)*(B357)/B370</f>
        <v>-6.5188931843561615E-2</v>
      </c>
      <c r="C388" s="66">
        <f t="shared" ref="C388:AC388" si="291">((1+C358)^C366)*C358/(((1+C358)^C366)-1)*(C357)/C370</f>
        <v>-6.5188931843561615E-2</v>
      </c>
      <c r="D388" s="66">
        <f t="shared" si="291"/>
        <v>-6.5188931843561615E-2</v>
      </c>
      <c r="E388" s="66">
        <f t="shared" si="291"/>
        <v>-6.5188931843561615E-2</v>
      </c>
      <c r="F388" s="66">
        <f t="shared" si="291"/>
        <v>-6.5188931843561615E-2</v>
      </c>
      <c r="G388" s="66">
        <f t="shared" si="291"/>
        <v>-6.5188931843561615E-2</v>
      </c>
      <c r="H388" s="66">
        <f t="shared" si="291"/>
        <v>-6.5188931843561615E-2</v>
      </c>
      <c r="I388" s="66">
        <f t="shared" si="291"/>
        <v>-6.5188931843561615E-2</v>
      </c>
      <c r="J388" s="66">
        <f t="shared" si="291"/>
        <v>-6.5188931843561615E-2</v>
      </c>
      <c r="K388" s="66">
        <f t="shared" si="291"/>
        <v>-6.5188931843561615E-2</v>
      </c>
      <c r="L388" s="66">
        <f t="shared" si="291"/>
        <v>-6.5188931843561615E-2</v>
      </c>
      <c r="M388" s="66">
        <f t="shared" si="291"/>
        <v>-6.5188931843561615E-2</v>
      </c>
      <c r="N388" s="66">
        <f t="shared" si="291"/>
        <v>-6.5188931843561615E-2</v>
      </c>
      <c r="O388" s="66">
        <f t="shared" si="291"/>
        <v>-6.5188931843561615E-2</v>
      </c>
      <c r="P388" s="66">
        <f t="shared" si="291"/>
        <v>-6.5188931843561615E-2</v>
      </c>
      <c r="Q388" s="66">
        <f t="shared" si="291"/>
        <v>-6.5188931843561615E-2</v>
      </c>
      <c r="R388" s="66">
        <f t="shared" si="291"/>
        <v>-6.5188931843561615E-2</v>
      </c>
      <c r="S388" s="66">
        <f t="shared" si="291"/>
        <v>-6.5188931843561615E-2</v>
      </c>
      <c r="T388" s="66">
        <f t="shared" si="291"/>
        <v>-6.5188931843561615E-2</v>
      </c>
      <c r="U388" s="66">
        <f t="shared" si="291"/>
        <v>-6.5188931843561615E-2</v>
      </c>
      <c r="V388" s="66">
        <f t="shared" si="291"/>
        <v>-6.5188931843561615E-2</v>
      </c>
      <c r="W388" s="66">
        <f t="shared" si="291"/>
        <v>-6.5188931843561615E-2</v>
      </c>
      <c r="X388" s="66">
        <f t="shared" si="291"/>
        <v>-6.5188931843561615E-2</v>
      </c>
      <c r="Y388" s="66">
        <f t="shared" si="291"/>
        <v>-6.5188931843561615E-2</v>
      </c>
      <c r="Z388" s="66">
        <f t="shared" si="291"/>
        <v>-6.5188931843561615E-2</v>
      </c>
      <c r="AA388" s="66">
        <f t="shared" si="291"/>
        <v>-6.5188931843561615E-2</v>
      </c>
      <c r="AB388" s="66">
        <f t="shared" si="291"/>
        <v>-6.5188931843561615E-2</v>
      </c>
      <c r="AC388" s="66">
        <f t="shared" si="291"/>
        <v>-6.5188931843561615E-2</v>
      </c>
    </row>
    <row r="389" spans="1:29" x14ac:dyDescent="0.3">
      <c r="A389" s="30" t="str">
        <f t="shared" si="287"/>
        <v>Opex fix (admin, crew, insurance)</v>
      </c>
      <c r="B389" s="66">
        <f>B359/B370</f>
        <v>10.068627450980392</v>
      </c>
      <c r="C389" s="66">
        <f t="shared" ref="C389:AC389" si="292">C359/C370</f>
        <v>10.068627450980392</v>
      </c>
      <c r="D389" s="66">
        <f t="shared" si="292"/>
        <v>10.068627450980392</v>
      </c>
      <c r="E389" s="66">
        <f t="shared" si="292"/>
        <v>10.068627450980392</v>
      </c>
      <c r="F389" s="66">
        <f t="shared" si="292"/>
        <v>10.068627450980392</v>
      </c>
      <c r="G389" s="66">
        <f t="shared" si="292"/>
        <v>10.068627450980392</v>
      </c>
      <c r="H389" s="66">
        <f t="shared" si="292"/>
        <v>10.068627450980392</v>
      </c>
      <c r="I389" s="66">
        <f t="shared" si="292"/>
        <v>10.068627450980392</v>
      </c>
      <c r="J389" s="66">
        <f t="shared" si="292"/>
        <v>10.068627450980392</v>
      </c>
      <c r="K389" s="66">
        <f t="shared" si="292"/>
        <v>10.068627450980392</v>
      </c>
      <c r="L389" s="66">
        <f t="shared" si="292"/>
        <v>10.068627450980392</v>
      </c>
      <c r="M389" s="66">
        <f t="shared" si="292"/>
        <v>10.068627450980392</v>
      </c>
      <c r="N389" s="66">
        <f t="shared" si="292"/>
        <v>10.068627450980392</v>
      </c>
      <c r="O389" s="66">
        <f t="shared" si="292"/>
        <v>10.068627450980392</v>
      </c>
      <c r="P389" s="66">
        <f t="shared" si="292"/>
        <v>10.068627450980392</v>
      </c>
      <c r="Q389" s="66">
        <f t="shared" si="292"/>
        <v>10.068627450980392</v>
      </c>
      <c r="R389" s="66">
        <f t="shared" si="292"/>
        <v>10.068627450980392</v>
      </c>
      <c r="S389" s="66">
        <f t="shared" si="292"/>
        <v>10.068627450980392</v>
      </c>
      <c r="T389" s="66">
        <f t="shared" si="292"/>
        <v>10.068627450980392</v>
      </c>
      <c r="U389" s="66">
        <f t="shared" si="292"/>
        <v>10.068627450980392</v>
      </c>
      <c r="V389" s="66">
        <f t="shared" si="292"/>
        <v>10.068627450980392</v>
      </c>
      <c r="W389" s="66">
        <f t="shared" si="292"/>
        <v>10.068627450980392</v>
      </c>
      <c r="X389" s="66">
        <f t="shared" si="292"/>
        <v>10.068627450980392</v>
      </c>
      <c r="Y389" s="66">
        <f t="shared" si="292"/>
        <v>10.068627450980392</v>
      </c>
      <c r="Z389" s="66">
        <f t="shared" si="292"/>
        <v>10.068627450980392</v>
      </c>
      <c r="AA389" s="66">
        <f t="shared" si="292"/>
        <v>10.068627450980392</v>
      </c>
      <c r="AB389" s="66">
        <f t="shared" si="292"/>
        <v>10.068627450980392</v>
      </c>
      <c r="AC389" s="66">
        <f t="shared" si="292"/>
        <v>10.068627450980392</v>
      </c>
    </row>
    <row r="390" spans="1:29" x14ac:dyDescent="0.3">
      <c r="A390" s="30" t="str">
        <f t="shared" si="287"/>
        <v>Opex maintenance &amp; repair</v>
      </c>
      <c r="B390" s="66">
        <f>B360/B370</f>
        <v>4.0686274509803919</v>
      </c>
      <c r="C390" s="66">
        <f t="shared" ref="C390:AC390" si="293">C360/C370</f>
        <v>4.0686274509803919</v>
      </c>
      <c r="D390" s="66">
        <f t="shared" si="293"/>
        <v>4.0686274509803919</v>
      </c>
      <c r="E390" s="66">
        <f t="shared" si="293"/>
        <v>4.0686274509803919</v>
      </c>
      <c r="F390" s="66">
        <f t="shared" si="293"/>
        <v>4.0686274509803919</v>
      </c>
      <c r="G390" s="66">
        <f t="shared" si="293"/>
        <v>4.0686274509803919</v>
      </c>
      <c r="H390" s="66">
        <f t="shared" si="293"/>
        <v>4.0686274509803919</v>
      </c>
      <c r="I390" s="66">
        <f t="shared" si="293"/>
        <v>4.0686274509803919</v>
      </c>
      <c r="J390" s="66">
        <f t="shared" si="293"/>
        <v>4.0686274509803919</v>
      </c>
      <c r="K390" s="66">
        <f t="shared" si="293"/>
        <v>4.0686274509803919</v>
      </c>
      <c r="L390" s="66">
        <f t="shared" si="293"/>
        <v>4.0686274509803919</v>
      </c>
      <c r="M390" s="66">
        <f t="shared" si="293"/>
        <v>4.0686274509803919</v>
      </c>
      <c r="N390" s="66">
        <f t="shared" si="293"/>
        <v>4.0686274509803919</v>
      </c>
      <c r="O390" s="66">
        <f t="shared" si="293"/>
        <v>4.0686274509803919</v>
      </c>
      <c r="P390" s="66">
        <f t="shared" si="293"/>
        <v>4.0686274509803919</v>
      </c>
      <c r="Q390" s="66">
        <f t="shared" si="293"/>
        <v>4.0686274509803919</v>
      </c>
      <c r="R390" s="66">
        <f t="shared" si="293"/>
        <v>4.0686274509803919</v>
      </c>
      <c r="S390" s="66">
        <f t="shared" si="293"/>
        <v>4.0686274509803919</v>
      </c>
      <c r="T390" s="66">
        <f t="shared" si="293"/>
        <v>4.0686274509803919</v>
      </c>
      <c r="U390" s="66">
        <f t="shared" si="293"/>
        <v>4.0686274509803919</v>
      </c>
      <c r="V390" s="66">
        <f t="shared" si="293"/>
        <v>4.0686274509803919</v>
      </c>
      <c r="W390" s="66">
        <f t="shared" si="293"/>
        <v>4.0686274509803919</v>
      </c>
      <c r="X390" s="66">
        <f t="shared" si="293"/>
        <v>4.0686274509803919</v>
      </c>
      <c r="Y390" s="66">
        <f t="shared" si="293"/>
        <v>4.0686274509803919</v>
      </c>
      <c r="Z390" s="66">
        <f t="shared" si="293"/>
        <v>4.0686274509803919</v>
      </c>
      <c r="AA390" s="66">
        <f t="shared" si="293"/>
        <v>4.0686274509803919</v>
      </c>
      <c r="AB390" s="66">
        <f t="shared" si="293"/>
        <v>4.0686274509803919</v>
      </c>
      <c r="AC390" s="66">
        <f t="shared" si="293"/>
        <v>4.0686274509803919</v>
      </c>
    </row>
    <row r="391" spans="1:29" x14ac:dyDescent="0.3">
      <c r="A391" s="30" t="str">
        <f t="shared" si="287"/>
        <v>Opex var (mode-fees)</v>
      </c>
      <c r="B391" s="66">
        <f>B361*B370/B370</f>
        <v>0.81280569096848254</v>
      </c>
      <c r="C391" s="66">
        <f t="shared" ref="C391:AC391" si="294">C361*C370/C370</f>
        <v>0.81280569096848254</v>
      </c>
      <c r="D391" s="66">
        <f t="shared" si="294"/>
        <v>0.81280569096848254</v>
      </c>
      <c r="E391" s="66">
        <f t="shared" si="294"/>
        <v>0.81280569096848254</v>
      </c>
      <c r="F391" s="66">
        <f t="shared" si="294"/>
        <v>0.81280569096848254</v>
      </c>
      <c r="G391" s="66">
        <f t="shared" si="294"/>
        <v>0.81280569096848254</v>
      </c>
      <c r="H391" s="66">
        <f t="shared" si="294"/>
        <v>0.81280569096848254</v>
      </c>
      <c r="I391" s="66">
        <f t="shared" si="294"/>
        <v>0.81280569096848254</v>
      </c>
      <c r="J391" s="66">
        <f t="shared" si="294"/>
        <v>0.81280569096848254</v>
      </c>
      <c r="K391" s="66">
        <f t="shared" si="294"/>
        <v>0.81280569096848254</v>
      </c>
      <c r="L391" s="66">
        <f t="shared" si="294"/>
        <v>0.81280569096848254</v>
      </c>
      <c r="M391" s="66">
        <f t="shared" si="294"/>
        <v>0.81280569096848254</v>
      </c>
      <c r="N391" s="66">
        <f t="shared" si="294"/>
        <v>0.81280569096848254</v>
      </c>
      <c r="O391" s="66">
        <f t="shared" si="294"/>
        <v>0.81280569096848254</v>
      </c>
      <c r="P391" s="66">
        <f t="shared" si="294"/>
        <v>0.81280569096848254</v>
      </c>
      <c r="Q391" s="66">
        <f t="shared" si="294"/>
        <v>0.81280569096848254</v>
      </c>
      <c r="R391" s="66">
        <f t="shared" si="294"/>
        <v>0.81280569096848254</v>
      </c>
      <c r="S391" s="66">
        <f t="shared" si="294"/>
        <v>0.81280569096848254</v>
      </c>
      <c r="T391" s="66">
        <f t="shared" si="294"/>
        <v>0.81280569096848254</v>
      </c>
      <c r="U391" s="66">
        <f t="shared" si="294"/>
        <v>0.81280569096848254</v>
      </c>
      <c r="V391" s="66">
        <f t="shared" si="294"/>
        <v>0.81280569096848254</v>
      </c>
      <c r="W391" s="66">
        <f t="shared" si="294"/>
        <v>0.81280569096848254</v>
      </c>
      <c r="X391" s="66">
        <f t="shared" si="294"/>
        <v>0.81280569096848254</v>
      </c>
      <c r="Y391" s="66">
        <f t="shared" si="294"/>
        <v>0.81280569096848254</v>
      </c>
      <c r="Z391" s="66">
        <f t="shared" si="294"/>
        <v>0.81280569096848254</v>
      </c>
      <c r="AA391" s="66">
        <f t="shared" si="294"/>
        <v>0.81280569096848254</v>
      </c>
      <c r="AB391" s="66">
        <f t="shared" si="294"/>
        <v>0.81280569096848254</v>
      </c>
      <c r="AC391" s="66">
        <f t="shared" si="294"/>
        <v>0.81280569096848254</v>
      </c>
    </row>
    <row r="392" spans="1:29" x14ac:dyDescent="0.3">
      <c r="A392" s="30" t="str">
        <f t="shared" si="287"/>
        <v>Fuel Cost</v>
      </c>
      <c r="B392" s="66">
        <f>B362*B363*B370/B370</f>
        <v>249.92859993228052</v>
      </c>
      <c r="C392" s="66">
        <f t="shared" ref="C392:AC392" si="295">C362*C363*C370/C370</f>
        <v>249.73428595581737</v>
      </c>
      <c r="D392" s="66">
        <f t="shared" si="295"/>
        <v>249.45617237293197</v>
      </c>
      <c r="E392" s="66">
        <f t="shared" si="295"/>
        <v>249.05839843010773</v>
      </c>
      <c r="F392" s="66">
        <f t="shared" si="295"/>
        <v>248.49006966888911</v>
      </c>
      <c r="G392" s="66">
        <f t="shared" si="295"/>
        <v>247.67930444328692</v>
      </c>
      <c r="H392" s="66">
        <f t="shared" si="295"/>
        <v>246.52531229592489</v>
      </c>
      <c r="I392" s="66">
        <f t="shared" si="295"/>
        <v>244.88829541695853</v>
      </c>
      <c r="J392" s="66">
        <f t="shared" si="295"/>
        <v>242.57750465214323</v>
      </c>
      <c r="K392" s="66">
        <f t="shared" si="295"/>
        <v>239.33907719775183</v>
      </c>
      <c r="L392" s="66">
        <f t="shared" si="295"/>
        <v>234.84790256217221</v>
      </c>
      <c r="M392" s="66">
        <f t="shared" si="295"/>
        <v>228.71225230724366</v>
      </c>
      <c r="N392" s="66">
        <f t="shared" si="295"/>
        <v>220.50590538774583</v>
      </c>
      <c r="O392" s="66">
        <f t="shared" si="295"/>
        <v>209.84659953885458</v>
      </c>
      <c r="P392" s="66">
        <f t="shared" si="295"/>
        <v>196.53258371162488</v>
      </c>
      <c r="Q392" s="66">
        <f t="shared" si="295"/>
        <v>180.71738667662817</v>
      </c>
      <c r="R392" s="66">
        <f t="shared" si="295"/>
        <v>163.04588247860849</v>
      </c>
      <c r="S392" s="66">
        <f t="shared" si="295"/>
        <v>144.6341959163183</v>
      </c>
      <c r="T392" s="66">
        <f t="shared" si="295"/>
        <v>126.82812667403482</v>
      </c>
      <c r="U392" s="66">
        <f t="shared" si="295"/>
        <v>110.82835145712259</v>
      </c>
      <c r="V392" s="66">
        <f t="shared" si="295"/>
        <v>97.387736358370475</v>
      </c>
      <c r="W392" s="66">
        <f t="shared" si="295"/>
        <v>86.728173891380607</v>
      </c>
      <c r="X392" s="66">
        <f t="shared" si="295"/>
        <v>78.656649893116011</v>
      </c>
      <c r="Y392" s="66">
        <f t="shared" si="295"/>
        <v>72.757764344593781</v>
      </c>
      <c r="Z392" s="66">
        <f t="shared" si="295"/>
        <v>68.557981430734628</v>
      </c>
      <c r="AA392" s="66">
        <f t="shared" si="295"/>
        <v>65.623417243620423</v>
      </c>
      <c r="AB392" s="66">
        <f t="shared" si="295"/>
        <v>63.599721141298431</v>
      </c>
      <c r="AC392" s="66">
        <f t="shared" si="295"/>
        <v>62.216815556769795</v>
      </c>
    </row>
    <row r="393" spans="1:29" ht="15" thickBot="1" x14ac:dyDescent="0.35">
      <c r="A393" s="59" t="str">
        <f t="shared" ref="A393" si="296">A381</f>
        <v>Emission Cost</v>
      </c>
      <c r="B393" s="66">
        <f>B364</f>
        <v>3.1561641138930518</v>
      </c>
      <c r="C393" s="66">
        <f t="shared" ref="C393:AC393" si="297">C364</f>
        <v>3.1531586766519095</v>
      </c>
      <c r="D393" s="66">
        <f t="shared" si="297"/>
        <v>3.148856460181932</v>
      </c>
      <c r="E393" s="66">
        <f t="shared" si="297"/>
        <v>3.1427018369762418</v>
      </c>
      <c r="F393" s="66">
        <f t="shared" si="297"/>
        <v>3.1339055223302736</v>
      </c>
      <c r="G393" s="66">
        <f t="shared" si="297"/>
        <v>3.1213512803680521</v>
      </c>
      <c r="H393" s="66">
        <f t="shared" si="297"/>
        <v>3.103470959921165</v>
      </c>
      <c r="I393" s="66">
        <f t="shared" si="297"/>
        <v>3.0780834680624944</v>
      </c>
      <c r="J393" s="66">
        <f t="shared" si="297"/>
        <v>3.0422006879024699</v>
      </c>
      <c r="K393" s="66">
        <f t="shared" si="297"/>
        <v>2.9918219119367748</v>
      </c>
      <c r="L393" s="66">
        <f t="shared" si="297"/>
        <v>2.9217771252824751</v>
      </c>
      <c r="M393" s="66">
        <f t="shared" si="297"/>
        <v>2.8257483431601118</v>
      </c>
      <c r="N393" s="66">
        <f t="shared" si="297"/>
        <v>2.6966959500159344</v>
      </c>
      <c r="O393" s="66">
        <f t="shared" si="297"/>
        <v>2.527999541087663</v>
      </c>
      <c r="P393" s="66">
        <f t="shared" si="297"/>
        <v>2.3155549274364571</v>
      </c>
      <c r="Q393" s="66">
        <f t="shared" si="297"/>
        <v>2.0606274892785992</v>
      </c>
      <c r="R393" s="66">
        <f t="shared" si="297"/>
        <v>1.7723622585244727</v>
      </c>
      <c r="S393" s="66">
        <f t="shared" si="297"/>
        <v>1.4680418371398225</v>
      </c>
      <c r="T393" s="66">
        <f t="shared" si="297"/>
        <v>1.1697098724326394</v>
      </c>
      <c r="U393" s="66">
        <f t="shared" si="297"/>
        <v>0.89813214422744192</v>
      </c>
      <c r="V393" s="66">
        <f t="shared" si="297"/>
        <v>0.66732974866522188</v>
      </c>
      <c r="W393" s="66">
        <f t="shared" si="297"/>
        <v>0.48249836418702996</v>
      </c>
      <c r="X393" s="66">
        <f t="shared" si="297"/>
        <v>0.34146381442791984</v>
      </c>
      <c r="Y393" s="66">
        <f t="shared" si="297"/>
        <v>0.23779210936773287</v>
      </c>
      <c r="Z393" s="66">
        <f t="shared" si="297"/>
        <v>0.16366834003345909</v>
      </c>
      <c r="AA393" s="66">
        <f t="shared" si="297"/>
        <v>0.11171852430248297</v>
      </c>
      <c r="AB393" s="66">
        <f t="shared" si="297"/>
        <v>7.5818008547159366E-2</v>
      </c>
      <c r="AC393" s="66">
        <f t="shared" si="297"/>
        <v>5.1249496624470758E-2</v>
      </c>
    </row>
    <row r="394" spans="1:29" ht="15" thickBot="1" x14ac:dyDescent="0.35">
      <c r="A394" s="31" t="s">
        <v>63</v>
      </c>
      <c r="B394" s="76">
        <f>B385+B386+B387-B388+B389+B390+B391+B392+B393</f>
        <v>280.82095814607135</v>
      </c>
      <c r="C394" s="76">
        <f t="shared" ref="C394:AC394" si="298">C385+C386+C387-C388+C389+C390+C391+C392+C393</f>
        <v>280.62052627689565</v>
      </c>
      <c r="D394" s="76">
        <f t="shared" si="298"/>
        <v>280.33365506685732</v>
      </c>
      <c r="E394" s="76">
        <f t="shared" si="298"/>
        <v>279.92335272252683</v>
      </c>
      <c r="F394" s="76">
        <f t="shared" si="298"/>
        <v>279.33711811102683</v>
      </c>
      <c r="G394" s="76">
        <f t="shared" si="298"/>
        <v>278.50079736745835</v>
      </c>
      <c r="H394" s="76">
        <f t="shared" si="298"/>
        <v>277.31040789305752</v>
      </c>
      <c r="I394" s="76">
        <f t="shared" si="298"/>
        <v>275.62171202731798</v>
      </c>
      <c r="J394" s="76">
        <f t="shared" si="298"/>
        <v>273.23787798073238</v>
      </c>
      <c r="K394" s="76">
        <f t="shared" si="298"/>
        <v>269.89689907654537</v>
      </c>
      <c r="L394" s="76">
        <f t="shared" si="298"/>
        <v>265.26314069842084</v>
      </c>
      <c r="M394" s="76">
        <f t="shared" si="298"/>
        <v>258.9320134665316</v>
      </c>
      <c r="N394" s="76">
        <f t="shared" si="298"/>
        <v>250.46296643646468</v>
      </c>
      <c r="O394" s="76">
        <f t="shared" si="298"/>
        <v>239.46026079313057</v>
      </c>
      <c r="P394" s="76">
        <f t="shared" si="298"/>
        <v>225.71379096689884</v>
      </c>
      <c r="Q394" s="76">
        <f t="shared" si="298"/>
        <v>209.37966154669365</v>
      </c>
      <c r="R394" s="76">
        <f t="shared" si="298"/>
        <v>191.12136227926572</v>
      </c>
      <c r="S394" s="76">
        <f t="shared" si="298"/>
        <v>172.09019856976082</v>
      </c>
      <c r="T394" s="76">
        <f t="shared" si="298"/>
        <v>153.6768423318203</v>
      </c>
      <c r="U394" s="76">
        <f t="shared" si="298"/>
        <v>137.12424126263653</v>
      </c>
      <c r="V394" s="76">
        <f t="shared" si="298"/>
        <v>123.21380291336885</v>
      </c>
      <c r="W394" s="76">
        <f t="shared" si="298"/>
        <v>112.17799616329297</v>
      </c>
      <c r="X394" s="76">
        <f t="shared" si="298"/>
        <v>103.81938107812084</v>
      </c>
      <c r="Y394" s="76">
        <f t="shared" si="298"/>
        <v>97.709460555983085</v>
      </c>
      <c r="Z394" s="76">
        <f t="shared" si="298"/>
        <v>93.35879068896098</v>
      </c>
      <c r="AA394" s="76">
        <f t="shared" si="298"/>
        <v>90.318477030612058</v>
      </c>
      <c r="AB394" s="76">
        <f t="shared" si="298"/>
        <v>88.221701543796385</v>
      </c>
      <c r="AC394" s="76">
        <f t="shared" si="298"/>
        <v>86.788784094773305</v>
      </c>
    </row>
    <row r="395" spans="1:29" ht="15" thickBot="1" x14ac:dyDescent="0.35"/>
    <row r="396" spans="1:29" ht="15" thickBot="1" x14ac:dyDescent="0.35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3">
      <c r="A397" s="29" t="str">
        <f t="shared" ref="A397:A404" si="299">A373</f>
        <v>Capex vehicle</v>
      </c>
      <c r="B397" s="65">
        <f>((1+B358)^B365)*B358/(((1+B358)^B365)-1)*(B354)/B370/(B367)</f>
        <v>1.3444866658711308E-3</v>
      </c>
      <c r="C397" s="65">
        <f t="shared" ref="C397:AC397" si="300">((1+C358)^C365)*C358/(((1+C358)^C365)-1)*(C354)/C370/(C367)</f>
        <v>1.344191716288432E-3</v>
      </c>
      <c r="D397" s="65">
        <f t="shared" si="300"/>
        <v>1.3437695025302714E-3</v>
      </c>
      <c r="E397" s="65">
        <f t="shared" si="300"/>
        <v>1.343165496057823E-3</v>
      </c>
      <c r="F397" s="65">
        <f t="shared" si="300"/>
        <v>1.3423022375280494E-3</v>
      </c>
      <c r="G397" s="65">
        <f t="shared" si="300"/>
        <v>1.3410701810481582E-3</v>
      </c>
      <c r="H397" s="65">
        <f t="shared" si="300"/>
        <v>1.3393154303642525E-3</v>
      </c>
      <c r="I397" s="65">
        <f t="shared" si="300"/>
        <v>1.3368239359397552E-3</v>
      </c>
      <c r="J397" s="65">
        <f t="shared" si="300"/>
        <v>1.3333024479880559E-3</v>
      </c>
      <c r="K397" s="65">
        <f t="shared" si="300"/>
        <v>1.3283583424367757E-3</v>
      </c>
      <c r="L397" s="65">
        <f t="shared" si="300"/>
        <v>1.3214842409546043E-3</v>
      </c>
      <c r="M397" s="65">
        <f t="shared" si="300"/>
        <v>1.3120601049831952E-3</v>
      </c>
      <c r="N397" s="65">
        <f t="shared" si="300"/>
        <v>1.2993950760872054E-3</v>
      </c>
      <c r="O397" s="65">
        <f t="shared" si="300"/>
        <v>1.2828394366165034E-3</v>
      </c>
      <c r="P397" s="65">
        <f t="shared" si="300"/>
        <v>1.2619904069694208E-3</v>
      </c>
      <c r="Q397" s="65">
        <f t="shared" si="300"/>
        <v>1.2369721698644108E-3</v>
      </c>
      <c r="R397" s="65">
        <f t="shared" si="300"/>
        <v>1.2086822064761966E-3</v>
      </c>
      <c r="S397" s="65">
        <f t="shared" si="300"/>
        <v>1.1788166081980577E-3</v>
      </c>
      <c r="T397" s="65">
        <f t="shared" si="300"/>
        <v>1.1495387090319981E-3</v>
      </c>
      <c r="U397" s="65">
        <f t="shared" si="300"/>
        <v>1.1228864347779014E-3</v>
      </c>
      <c r="V397" s="65">
        <f t="shared" si="300"/>
        <v>1.1002357970187589E-3</v>
      </c>
      <c r="W397" s="65">
        <f t="shared" si="300"/>
        <v>1.0820966926730776E-3</v>
      </c>
      <c r="X397" s="65">
        <f t="shared" si="300"/>
        <v>1.0682557509864208E-3</v>
      </c>
      <c r="Y397" s="65">
        <f t="shared" si="300"/>
        <v>1.0580815488016001E-3</v>
      </c>
      <c r="Z397" s="65">
        <f t="shared" si="300"/>
        <v>1.0508071414262214E-3</v>
      </c>
      <c r="AA397" s="65">
        <f t="shared" si="300"/>
        <v>1.0457088561380199E-3</v>
      </c>
      <c r="AB397" s="65">
        <f t="shared" si="300"/>
        <v>1.0421856276387688E-3</v>
      </c>
      <c r="AC397" s="65">
        <f t="shared" si="300"/>
        <v>1.0397745068075209E-3</v>
      </c>
    </row>
    <row r="398" spans="1:29" x14ac:dyDescent="0.3">
      <c r="A398" s="30" t="str">
        <f t="shared" si="299"/>
        <v>Residual value (vehicle)</v>
      </c>
      <c r="B398" s="68">
        <f>((1+B358)^B365)*B358/(((1+B358)^B365)-1)*(B355)/B370/(B367)</f>
        <v>-6.7337961459558828E-5</v>
      </c>
      <c r="C398" s="68">
        <f t="shared" ref="C398:AC398" si="301">((1+C358)^C365)*C358/(((1+C358)^C365)-1)*(C355)/C370/(C367)</f>
        <v>-6.7372372244207035E-5</v>
      </c>
      <c r="D398" s="68">
        <f t="shared" si="301"/>
        <v>-6.7421630515992462E-5</v>
      </c>
      <c r="E398" s="68">
        <f t="shared" si="301"/>
        <v>-6.7492097937778083E-5</v>
      </c>
      <c r="F398" s="68">
        <f t="shared" si="301"/>
        <v>-6.7592811432918334E-5</v>
      </c>
      <c r="G398" s="68">
        <f t="shared" si="301"/>
        <v>-6.773655135557234E-5</v>
      </c>
      <c r="H398" s="68">
        <f t="shared" si="301"/>
        <v>-6.7941272268694643E-5</v>
      </c>
      <c r="I398" s="68">
        <f t="shared" si="301"/>
        <v>-6.8231946618219335E-5</v>
      </c>
      <c r="J398" s="68">
        <f t="shared" si="301"/>
        <v>-6.8642786879250924E-5</v>
      </c>
      <c r="K398" s="68">
        <f t="shared" si="301"/>
        <v>-6.9219599193566945E-5</v>
      </c>
      <c r="L398" s="68">
        <f t="shared" si="301"/>
        <v>-7.0021577699820272E-5</v>
      </c>
      <c r="M398" s="68">
        <f t="shared" si="301"/>
        <v>-7.1121060229817985E-5</v>
      </c>
      <c r="N398" s="68">
        <f t="shared" si="301"/>
        <v>-7.2598646934350151E-5</v>
      </c>
      <c r="O398" s="68">
        <f t="shared" si="301"/>
        <v>-7.4530138205932043E-5</v>
      </c>
      <c r="P398" s="68">
        <f t="shared" si="301"/>
        <v>-7.6962524998091712E-5</v>
      </c>
      <c r="Q398" s="68">
        <f t="shared" si="301"/>
        <v>-7.9881319327009486E-5</v>
      </c>
      <c r="R398" s="68">
        <f t="shared" si="301"/>
        <v>-8.3181815055634491E-5</v>
      </c>
      <c r="S398" s="68">
        <f t="shared" si="301"/>
        <v>-8.6666134854750698E-5</v>
      </c>
      <c r="T398" s="68">
        <f t="shared" si="301"/>
        <v>-9.008188975745766E-5</v>
      </c>
      <c r="U398" s="68">
        <f t="shared" si="301"/>
        <v>-9.3191321753768942E-5</v>
      </c>
      <c r="V398" s="68">
        <f t="shared" si="301"/>
        <v>-9.583389615900226E-5</v>
      </c>
      <c r="W398" s="68">
        <f t="shared" si="301"/>
        <v>-9.7950124999331722E-5</v>
      </c>
      <c r="X398" s="68">
        <f t="shared" si="301"/>
        <v>-9.9564901529441686E-5</v>
      </c>
      <c r="Y398" s="68">
        <f t="shared" si="301"/>
        <v>-1.0075189178433743E-4</v>
      </c>
      <c r="Z398" s="68">
        <f t="shared" si="301"/>
        <v>-1.0160057264479828E-4</v>
      </c>
      <c r="AA398" s="68">
        <f t="shared" si="301"/>
        <v>-1.0219537259508843E-4</v>
      </c>
      <c r="AB398" s="68">
        <f t="shared" si="301"/>
        <v>-1.0260641592000108E-4</v>
      </c>
      <c r="AC398" s="68">
        <f t="shared" si="301"/>
        <v>-1.0288771335031333E-4</v>
      </c>
    </row>
    <row r="399" spans="1:29" x14ac:dyDescent="0.3">
      <c r="A399" s="30" t="str">
        <f t="shared" si="299"/>
        <v>Capex costumization</v>
      </c>
      <c r="B399" s="66">
        <f>((1+B358)^B366)*B358/(((1+B358)^B366)-1)*(B356)/B370/(B367)</f>
        <v>6.8982996659853576E-5</v>
      </c>
      <c r="C399" s="66">
        <f t="shared" ref="C399:AC399" si="302">((1+C358)^C366)*C358/(((1+C358)^C366)-1)*(C356)/C370/(C367)</f>
        <v>6.8982996659853576E-5</v>
      </c>
      <c r="D399" s="66">
        <f t="shared" si="302"/>
        <v>6.8982996659853576E-5</v>
      </c>
      <c r="E399" s="66">
        <f t="shared" si="302"/>
        <v>6.8982996659853576E-5</v>
      </c>
      <c r="F399" s="66">
        <f t="shared" si="302"/>
        <v>6.8982996659853576E-5</v>
      </c>
      <c r="G399" s="66">
        <f t="shared" si="302"/>
        <v>6.8982996659853576E-5</v>
      </c>
      <c r="H399" s="66">
        <f t="shared" si="302"/>
        <v>6.8982996659853576E-5</v>
      </c>
      <c r="I399" s="66">
        <f t="shared" si="302"/>
        <v>6.8982996659853576E-5</v>
      </c>
      <c r="J399" s="66">
        <f t="shared" si="302"/>
        <v>6.8982996659853576E-5</v>
      </c>
      <c r="K399" s="66">
        <f t="shared" si="302"/>
        <v>6.8982996659853576E-5</v>
      </c>
      <c r="L399" s="66">
        <f t="shared" si="302"/>
        <v>6.8982996659853576E-5</v>
      </c>
      <c r="M399" s="66">
        <f t="shared" si="302"/>
        <v>6.8982996659853576E-5</v>
      </c>
      <c r="N399" s="66">
        <f t="shared" si="302"/>
        <v>6.8982996659853576E-5</v>
      </c>
      <c r="O399" s="66">
        <f t="shared" si="302"/>
        <v>6.8982996659853576E-5</v>
      </c>
      <c r="P399" s="66">
        <f t="shared" si="302"/>
        <v>6.8982996659853576E-5</v>
      </c>
      <c r="Q399" s="66">
        <f t="shared" si="302"/>
        <v>6.8982996659853576E-5</v>
      </c>
      <c r="R399" s="66">
        <f t="shared" si="302"/>
        <v>6.8982996659853576E-5</v>
      </c>
      <c r="S399" s="66">
        <f t="shared" si="302"/>
        <v>6.8982996659853576E-5</v>
      </c>
      <c r="T399" s="66">
        <f t="shared" si="302"/>
        <v>6.8982996659853576E-5</v>
      </c>
      <c r="U399" s="66">
        <f t="shared" si="302"/>
        <v>6.8982996659853576E-5</v>
      </c>
      <c r="V399" s="66">
        <f t="shared" si="302"/>
        <v>6.8982996659853576E-5</v>
      </c>
      <c r="W399" s="66">
        <f t="shared" si="302"/>
        <v>6.8982996659853576E-5</v>
      </c>
      <c r="X399" s="66">
        <f t="shared" si="302"/>
        <v>6.8982996659853576E-5</v>
      </c>
      <c r="Y399" s="66">
        <f t="shared" si="302"/>
        <v>6.8982996659853576E-5</v>
      </c>
      <c r="Z399" s="66">
        <f t="shared" si="302"/>
        <v>6.8982996659853576E-5</v>
      </c>
      <c r="AA399" s="66">
        <f t="shared" si="302"/>
        <v>6.8982996659853576E-5</v>
      </c>
      <c r="AB399" s="66">
        <f t="shared" si="302"/>
        <v>6.8982996659853576E-5</v>
      </c>
      <c r="AC399" s="66">
        <f t="shared" si="302"/>
        <v>6.8982996659853576E-5</v>
      </c>
    </row>
    <row r="400" spans="1:29" x14ac:dyDescent="0.3">
      <c r="A400" s="30" t="str">
        <f t="shared" si="299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303">((1+C358)^C366)*C358/(((1+C358)^C366)-1)*(C357)/C370/(C367)</f>
        <v>-6.8982996659853564E-6</v>
      </c>
      <c r="D400" s="69">
        <f t="shared" si="303"/>
        <v>-6.8982996659853564E-6</v>
      </c>
      <c r="E400" s="69">
        <f t="shared" si="303"/>
        <v>-6.8982996659853564E-6</v>
      </c>
      <c r="F400" s="69">
        <f t="shared" si="303"/>
        <v>-6.8982996659853564E-6</v>
      </c>
      <c r="G400" s="69">
        <f t="shared" si="303"/>
        <v>-6.8982996659853564E-6</v>
      </c>
      <c r="H400" s="69">
        <f t="shared" si="303"/>
        <v>-6.8982996659853564E-6</v>
      </c>
      <c r="I400" s="69">
        <f t="shared" si="303"/>
        <v>-6.8982996659853564E-6</v>
      </c>
      <c r="J400" s="69">
        <f t="shared" si="303"/>
        <v>-6.8982996659853564E-6</v>
      </c>
      <c r="K400" s="69">
        <f t="shared" si="303"/>
        <v>-6.8982996659853564E-6</v>
      </c>
      <c r="L400" s="69">
        <f t="shared" si="303"/>
        <v>-6.8982996659853564E-6</v>
      </c>
      <c r="M400" s="69">
        <f t="shared" si="303"/>
        <v>-6.8982996659853564E-6</v>
      </c>
      <c r="N400" s="69">
        <f t="shared" si="303"/>
        <v>-6.8982996659853564E-6</v>
      </c>
      <c r="O400" s="69">
        <f t="shared" si="303"/>
        <v>-6.8982996659853564E-6</v>
      </c>
      <c r="P400" s="69">
        <f t="shared" si="303"/>
        <v>-6.8982996659853564E-6</v>
      </c>
      <c r="Q400" s="69">
        <f t="shared" si="303"/>
        <v>-6.8982996659853564E-6</v>
      </c>
      <c r="R400" s="69">
        <f t="shared" si="303"/>
        <v>-6.8982996659853564E-6</v>
      </c>
      <c r="S400" s="69">
        <f t="shared" si="303"/>
        <v>-6.8982996659853564E-6</v>
      </c>
      <c r="T400" s="69">
        <f t="shared" si="303"/>
        <v>-6.8982996659853564E-6</v>
      </c>
      <c r="U400" s="69">
        <f t="shared" si="303"/>
        <v>-6.8982996659853564E-6</v>
      </c>
      <c r="V400" s="69">
        <f t="shared" si="303"/>
        <v>-6.8982996659853564E-6</v>
      </c>
      <c r="W400" s="69">
        <f t="shared" si="303"/>
        <v>-6.8982996659853564E-6</v>
      </c>
      <c r="X400" s="69">
        <f t="shared" si="303"/>
        <v>-6.8982996659853564E-6</v>
      </c>
      <c r="Y400" s="69">
        <f t="shared" si="303"/>
        <v>-6.8982996659853564E-6</v>
      </c>
      <c r="Z400" s="69">
        <f t="shared" si="303"/>
        <v>-6.8982996659853564E-6</v>
      </c>
      <c r="AA400" s="69">
        <f t="shared" si="303"/>
        <v>-6.8982996659853564E-6</v>
      </c>
      <c r="AB400" s="69">
        <f t="shared" si="303"/>
        <v>-6.8982996659853564E-6</v>
      </c>
      <c r="AC400" s="69">
        <f t="shared" si="303"/>
        <v>-6.8982996659853564E-6</v>
      </c>
    </row>
    <row r="401" spans="1:29" x14ac:dyDescent="0.3">
      <c r="A401" s="30" t="str">
        <f t="shared" si="299"/>
        <v>Opex fix (admin, crew, insurance)</v>
      </c>
      <c r="B401" s="66">
        <f>B359/B370/(B367)</f>
        <v>1.0654632223259673E-3</v>
      </c>
      <c r="C401" s="66">
        <f t="shared" ref="C401:AC401" si="304">C359/C370/(C367)</f>
        <v>1.0654632223259673E-3</v>
      </c>
      <c r="D401" s="66">
        <f t="shared" si="304"/>
        <v>1.0654632223259673E-3</v>
      </c>
      <c r="E401" s="66">
        <f t="shared" si="304"/>
        <v>1.0654632223259673E-3</v>
      </c>
      <c r="F401" s="66">
        <f t="shared" si="304"/>
        <v>1.0654632223259673E-3</v>
      </c>
      <c r="G401" s="66">
        <f t="shared" si="304"/>
        <v>1.0654632223259673E-3</v>
      </c>
      <c r="H401" s="66">
        <f t="shared" si="304"/>
        <v>1.0654632223259673E-3</v>
      </c>
      <c r="I401" s="66">
        <f t="shared" si="304"/>
        <v>1.0654632223259673E-3</v>
      </c>
      <c r="J401" s="66">
        <f t="shared" si="304"/>
        <v>1.0654632223259673E-3</v>
      </c>
      <c r="K401" s="66">
        <f t="shared" si="304"/>
        <v>1.0654632223259673E-3</v>
      </c>
      <c r="L401" s="66">
        <f t="shared" si="304"/>
        <v>1.0654632223259673E-3</v>
      </c>
      <c r="M401" s="66">
        <f t="shared" si="304"/>
        <v>1.0654632223259673E-3</v>
      </c>
      <c r="N401" s="66">
        <f t="shared" si="304"/>
        <v>1.0654632223259673E-3</v>
      </c>
      <c r="O401" s="66">
        <f t="shared" si="304"/>
        <v>1.0654632223259673E-3</v>
      </c>
      <c r="P401" s="66">
        <f t="shared" si="304"/>
        <v>1.0654632223259673E-3</v>
      </c>
      <c r="Q401" s="66">
        <f t="shared" si="304"/>
        <v>1.0654632223259673E-3</v>
      </c>
      <c r="R401" s="66">
        <f t="shared" si="304"/>
        <v>1.0654632223259673E-3</v>
      </c>
      <c r="S401" s="66">
        <f t="shared" si="304"/>
        <v>1.0654632223259673E-3</v>
      </c>
      <c r="T401" s="66">
        <f t="shared" si="304"/>
        <v>1.0654632223259673E-3</v>
      </c>
      <c r="U401" s="66">
        <f t="shared" si="304"/>
        <v>1.0654632223259673E-3</v>
      </c>
      <c r="V401" s="66">
        <f t="shared" si="304"/>
        <v>1.0654632223259673E-3</v>
      </c>
      <c r="W401" s="66">
        <f t="shared" si="304"/>
        <v>1.0654632223259673E-3</v>
      </c>
      <c r="X401" s="66">
        <f t="shared" si="304"/>
        <v>1.0654632223259673E-3</v>
      </c>
      <c r="Y401" s="66">
        <f t="shared" si="304"/>
        <v>1.0654632223259673E-3</v>
      </c>
      <c r="Z401" s="66">
        <f t="shared" si="304"/>
        <v>1.0654632223259673E-3</v>
      </c>
      <c r="AA401" s="66">
        <f t="shared" si="304"/>
        <v>1.0654632223259673E-3</v>
      </c>
      <c r="AB401" s="66">
        <f t="shared" si="304"/>
        <v>1.0654632223259673E-3</v>
      </c>
      <c r="AC401" s="66">
        <f t="shared" si="304"/>
        <v>1.0654632223259673E-3</v>
      </c>
    </row>
    <row r="402" spans="1:29" x14ac:dyDescent="0.3">
      <c r="A402" s="30" t="str">
        <f t="shared" si="299"/>
        <v>Opex maintenance &amp; repair</v>
      </c>
      <c r="B402" s="66">
        <f>B360/B370/(B367)</f>
        <v>4.305425874053325E-4</v>
      </c>
      <c r="C402" s="66">
        <f t="shared" ref="C402:AC402" si="305">C360/C370/(C367)</f>
        <v>4.305425874053325E-4</v>
      </c>
      <c r="D402" s="66">
        <f t="shared" si="305"/>
        <v>4.305425874053325E-4</v>
      </c>
      <c r="E402" s="66">
        <f t="shared" si="305"/>
        <v>4.305425874053325E-4</v>
      </c>
      <c r="F402" s="66">
        <f t="shared" si="305"/>
        <v>4.305425874053325E-4</v>
      </c>
      <c r="G402" s="66">
        <f t="shared" si="305"/>
        <v>4.305425874053325E-4</v>
      </c>
      <c r="H402" s="66">
        <f t="shared" si="305"/>
        <v>4.305425874053325E-4</v>
      </c>
      <c r="I402" s="66">
        <f t="shared" si="305"/>
        <v>4.305425874053325E-4</v>
      </c>
      <c r="J402" s="66">
        <f t="shared" si="305"/>
        <v>4.305425874053325E-4</v>
      </c>
      <c r="K402" s="66">
        <f t="shared" si="305"/>
        <v>4.305425874053325E-4</v>
      </c>
      <c r="L402" s="66">
        <f t="shared" si="305"/>
        <v>4.305425874053325E-4</v>
      </c>
      <c r="M402" s="66">
        <f t="shared" si="305"/>
        <v>4.305425874053325E-4</v>
      </c>
      <c r="N402" s="66">
        <f t="shared" si="305"/>
        <v>4.305425874053325E-4</v>
      </c>
      <c r="O402" s="66">
        <f t="shared" si="305"/>
        <v>4.305425874053325E-4</v>
      </c>
      <c r="P402" s="66">
        <f t="shared" si="305"/>
        <v>4.305425874053325E-4</v>
      </c>
      <c r="Q402" s="66">
        <f t="shared" si="305"/>
        <v>4.305425874053325E-4</v>
      </c>
      <c r="R402" s="66">
        <f t="shared" si="305"/>
        <v>4.305425874053325E-4</v>
      </c>
      <c r="S402" s="66">
        <f t="shared" si="305"/>
        <v>4.305425874053325E-4</v>
      </c>
      <c r="T402" s="66">
        <f t="shared" si="305"/>
        <v>4.305425874053325E-4</v>
      </c>
      <c r="U402" s="66">
        <f t="shared" si="305"/>
        <v>4.305425874053325E-4</v>
      </c>
      <c r="V402" s="66">
        <f t="shared" si="305"/>
        <v>4.305425874053325E-4</v>
      </c>
      <c r="W402" s="66">
        <f t="shared" si="305"/>
        <v>4.305425874053325E-4</v>
      </c>
      <c r="X402" s="66">
        <f t="shared" si="305"/>
        <v>4.305425874053325E-4</v>
      </c>
      <c r="Y402" s="66">
        <f t="shared" si="305"/>
        <v>4.305425874053325E-4</v>
      </c>
      <c r="Z402" s="66">
        <f t="shared" si="305"/>
        <v>4.305425874053325E-4</v>
      </c>
      <c r="AA402" s="66">
        <f t="shared" si="305"/>
        <v>4.305425874053325E-4</v>
      </c>
      <c r="AB402" s="66">
        <f t="shared" si="305"/>
        <v>4.305425874053325E-4</v>
      </c>
      <c r="AC402" s="66">
        <f t="shared" si="305"/>
        <v>4.305425874053325E-4</v>
      </c>
    </row>
    <row r="403" spans="1:29" x14ac:dyDescent="0.3">
      <c r="A403" s="30" t="str">
        <f t="shared" si="299"/>
        <v>Opex var (mode-fees)</v>
      </c>
      <c r="B403" s="66">
        <f>B361*B370/B370/(B367)</f>
        <v>8.6011184229469056E-5</v>
      </c>
      <c r="C403" s="66">
        <f t="shared" ref="C403:AC403" si="306">C361*C370/C370/(C367)</f>
        <v>8.6011184229469056E-5</v>
      </c>
      <c r="D403" s="66">
        <f t="shared" si="306"/>
        <v>8.6011184229469056E-5</v>
      </c>
      <c r="E403" s="66">
        <f t="shared" si="306"/>
        <v>8.6011184229469056E-5</v>
      </c>
      <c r="F403" s="66">
        <f t="shared" si="306"/>
        <v>8.6011184229469056E-5</v>
      </c>
      <c r="G403" s="66">
        <f t="shared" si="306"/>
        <v>8.6011184229469056E-5</v>
      </c>
      <c r="H403" s="66">
        <f t="shared" si="306"/>
        <v>8.6011184229469056E-5</v>
      </c>
      <c r="I403" s="66">
        <f t="shared" si="306"/>
        <v>8.6011184229469056E-5</v>
      </c>
      <c r="J403" s="66">
        <f t="shared" si="306"/>
        <v>8.6011184229469056E-5</v>
      </c>
      <c r="K403" s="66">
        <f t="shared" si="306"/>
        <v>8.6011184229469056E-5</v>
      </c>
      <c r="L403" s="66">
        <f t="shared" si="306"/>
        <v>8.6011184229469056E-5</v>
      </c>
      <c r="M403" s="66">
        <f t="shared" si="306"/>
        <v>8.6011184229469056E-5</v>
      </c>
      <c r="N403" s="66">
        <f t="shared" si="306"/>
        <v>8.6011184229469056E-5</v>
      </c>
      <c r="O403" s="66">
        <f t="shared" si="306"/>
        <v>8.6011184229469056E-5</v>
      </c>
      <c r="P403" s="66">
        <f t="shared" si="306"/>
        <v>8.6011184229469056E-5</v>
      </c>
      <c r="Q403" s="66">
        <f t="shared" si="306"/>
        <v>8.6011184229469056E-5</v>
      </c>
      <c r="R403" s="66">
        <f t="shared" si="306"/>
        <v>8.6011184229469056E-5</v>
      </c>
      <c r="S403" s="66">
        <f t="shared" si="306"/>
        <v>8.6011184229469056E-5</v>
      </c>
      <c r="T403" s="66">
        <f t="shared" si="306"/>
        <v>8.6011184229469056E-5</v>
      </c>
      <c r="U403" s="66">
        <f t="shared" si="306"/>
        <v>8.6011184229469056E-5</v>
      </c>
      <c r="V403" s="66">
        <f t="shared" si="306"/>
        <v>8.6011184229469056E-5</v>
      </c>
      <c r="W403" s="66">
        <f t="shared" si="306"/>
        <v>8.6011184229469056E-5</v>
      </c>
      <c r="X403" s="66">
        <f t="shared" si="306"/>
        <v>8.6011184229469056E-5</v>
      </c>
      <c r="Y403" s="66">
        <f t="shared" si="306"/>
        <v>8.6011184229469056E-5</v>
      </c>
      <c r="Z403" s="66">
        <f t="shared" si="306"/>
        <v>8.6011184229469056E-5</v>
      </c>
      <c r="AA403" s="66">
        <f t="shared" si="306"/>
        <v>8.6011184229469056E-5</v>
      </c>
      <c r="AB403" s="66">
        <f t="shared" si="306"/>
        <v>8.6011184229469056E-5</v>
      </c>
      <c r="AC403" s="66">
        <f t="shared" si="306"/>
        <v>8.6011184229469056E-5</v>
      </c>
    </row>
    <row r="404" spans="1:29" x14ac:dyDescent="0.3">
      <c r="A404" s="30" t="str">
        <f t="shared" si="299"/>
        <v>Fuel Cost</v>
      </c>
      <c r="B404" s="66">
        <f>B362*B363*B370/B370/(B367)</f>
        <v>2.6447470892304818E-2</v>
      </c>
      <c r="C404" s="66">
        <f t="shared" ref="C404:AC404" si="307">C362*C363*C370/C370/(C367)</f>
        <v>2.6426908566753161E-2</v>
      </c>
      <c r="D404" s="66">
        <f t="shared" si="307"/>
        <v>2.6397478557982218E-2</v>
      </c>
      <c r="E404" s="66">
        <f t="shared" si="307"/>
        <v>2.6355386077260078E-2</v>
      </c>
      <c r="F404" s="66">
        <f t="shared" si="307"/>
        <v>2.6295245467607312E-2</v>
      </c>
      <c r="G404" s="66">
        <f t="shared" si="307"/>
        <v>2.6209450205638828E-2</v>
      </c>
      <c r="H404" s="66">
        <f t="shared" si="307"/>
        <v>2.6087334634489406E-2</v>
      </c>
      <c r="I404" s="66">
        <f t="shared" si="307"/>
        <v>2.5914105335127887E-2</v>
      </c>
      <c r="J404" s="66">
        <f t="shared" si="307"/>
        <v>2.5669577211867009E-2</v>
      </c>
      <c r="K404" s="66">
        <f t="shared" si="307"/>
        <v>2.5326886475952576E-2</v>
      </c>
      <c r="L404" s="66">
        <f t="shared" si="307"/>
        <v>2.4851629900758964E-2</v>
      </c>
      <c r="M404" s="66">
        <f t="shared" si="307"/>
        <v>2.4202354741507264E-2</v>
      </c>
      <c r="N404" s="66">
        <f t="shared" si="307"/>
        <v>2.3333958242089507E-2</v>
      </c>
      <c r="O404" s="66">
        <f t="shared" si="307"/>
        <v>2.2205989369190961E-2</v>
      </c>
      <c r="P404" s="66">
        <f t="shared" si="307"/>
        <v>2.079709880546295E-2</v>
      </c>
      <c r="Q404" s="66">
        <f t="shared" si="307"/>
        <v>1.9123532981653774E-2</v>
      </c>
      <c r="R404" s="66">
        <f t="shared" si="307"/>
        <v>1.7253532537418889E-2</v>
      </c>
      <c r="S404" s="66">
        <f t="shared" si="307"/>
        <v>1.530520591707072E-2</v>
      </c>
      <c r="T404" s="66">
        <f t="shared" si="307"/>
        <v>1.342096578561215E-2</v>
      </c>
      <c r="U404" s="66">
        <f t="shared" si="307"/>
        <v>1.1727867879060591E-2</v>
      </c>
      <c r="V404" s="66">
        <f t="shared" si="307"/>
        <v>1.0305580567023331E-2</v>
      </c>
      <c r="W404" s="66">
        <f t="shared" si="307"/>
        <v>9.1775845387704353E-3</v>
      </c>
      <c r="X404" s="66">
        <f t="shared" si="307"/>
        <v>8.323455015144551E-3</v>
      </c>
      <c r="Y404" s="66">
        <f t="shared" si="307"/>
        <v>7.6992343221792357E-3</v>
      </c>
      <c r="Z404" s="66">
        <f t="shared" si="307"/>
        <v>7.2548128498131879E-3</v>
      </c>
      <c r="AA404" s="66">
        <f t="shared" si="307"/>
        <v>6.9442769569968699E-3</v>
      </c>
      <c r="AB404" s="66">
        <f t="shared" si="307"/>
        <v>6.7301292213014213E-3</v>
      </c>
      <c r="AC404" s="66">
        <f t="shared" si="307"/>
        <v>6.5837900060073855E-3</v>
      </c>
    </row>
    <row r="405" spans="1:29" x14ac:dyDescent="0.3">
      <c r="A405" s="59" t="str">
        <f>A368</f>
        <v>Market failure (av. utilization)</v>
      </c>
      <c r="B405" s="66">
        <f t="shared" ref="B405:AC405" si="308">B394/B368-B394/B367</f>
        <v>2.8551150428794473E-2</v>
      </c>
      <c r="C405" s="66">
        <f t="shared" si="308"/>
        <v>2.8530772460977048E-2</v>
      </c>
      <c r="D405" s="66">
        <f t="shared" si="308"/>
        <v>2.8501606179636912E-2</v>
      </c>
      <c r="E405" s="66">
        <f t="shared" si="308"/>
        <v>2.845989061812183E-2</v>
      </c>
      <c r="F405" s="66">
        <f t="shared" si="308"/>
        <v>2.8400287970620008E-2</v>
      </c>
      <c r="G405" s="66">
        <f t="shared" si="308"/>
        <v>2.8315258991607969E-2</v>
      </c>
      <c r="H405" s="66">
        <f t="shared" si="308"/>
        <v>2.819423173930868E-2</v>
      </c>
      <c r="I405" s="66">
        <f t="shared" si="308"/>
        <v>2.8022541527831894E-2</v>
      </c>
      <c r="J405" s="66">
        <f t="shared" si="308"/>
        <v>2.7780176410531977E-2</v>
      </c>
      <c r="K405" s="66">
        <f t="shared" si="308"/>
        <v>2.7440498090571058E-2</v>
      </c>
      <c r="L405" s="66">
        <f t="shared" si="308"/>
        <v>2.6969382496571472E-2</v>
      </c>
      <c r="M405" s="66">
        <f t="shared" si="308"/>
        <v>2.6325694905820204E-2</v>
      </c>
      <c r="N405" s="66">
        <f t="shared" si="308"/>
        <v>2.5464644372625318E-2</v>
      </c>
      <c r="O405" s="66">
        <f t="shared" si="308"/>
        <v>2.4345996013825907E-2</v>
      </c>
      <c r="P405" s="66">
        <f t="shared" si="308"/>
        <v>2.294838833359901E-2</v>
      </c>
      <c r="Q405" s="66">
        <f t="shared" si="308"/>
        <v>2.1287692531980474E-2</v>
      </c>
      <c r="R405" s="66">
        <f t="shared" si="308"/>
        <v>1.9431365809075674E-2</v>
      </c>
      <c r="S405" s="66">
        <f t="shared" si="308"/>
        <v>1.7496461728225499E-2</v>
      </c>
      <c r="T405" s="66">
        <f t="shared" si="308"/>
        <v>1.5624370316960668E-2</v>
      </c>
      <c r="U405" s="66">
        <f t="shared" si="308"/>
        <v>1.3941462437740823E-2</v>
      </c>
      <c r="V405" s="66">
        <f t="shared" si="308"/>
        <v>1.2527184028955437E-2</v>
      </c>
      <c r="W405" s="66">
        <f t="shared" si="308"/>
        <v>1.140517027077779E-2</v>
      </c>
      <c r="X405" s="66">
        <f t="shared" si="308"/>
        <v>1.0555347386301319E-2</v>
      </c>
      <c r="Y405" s="66">
        <f t="shared" si="308"/>
        <v>9.9341499475945044E-3</v>
      </c>
      <c r="Z405" s="66">
        <f t="shared" si="308"/>
        <v>9.4918160468079431E-3</v>
      </c>
      <c r="AA405" s="66">
        <f t="shared" si="308"/>
        <v>9.1827064519140796E-3</v>
      </c>
      <c r="AB405" s="66">
        <f t="shared" si="308"/>
        <v>8.9695266638572958E-3</v>
      </c>
      <c r="AC405" s="66">
        <f t="shared" si="308"/>
        <v>8.823841520165767E-3</v>
      </c>
    </row>
    <row r="406" spans="1:29" x14ac:dyDescent="0.3">
      <c r="A406" s="59" t="str">
        <f>A369</f>
        <v>Payload loss (fuel)</v>
      </c>
      <c r="B406" s="66">
        <f>B394/(B367-B369)-B394/B367</f>
        <v>1.2381876461467003E-3</v>
      </c>
      <c r="C406" s="66">
        <f t="shared" ref="C406:AC406" si="309">C394/(C367-C369)-C394/C367</f>
        <v>1.237303907746453E-3</v>
      </c>
      <c r="D406" s="66">
        <f t="shared" si="309"/>
        <v>1.2360390435046595E-3</v>
      </c>
      <c r="E406" s="66">
        <f t="shared" si="309"/>
        <v>1.2342299502756914E-3</v>
      </c>
      <c r="F406" s="66">
        <f t="shared" si="309"/>
        <v>1.2316451415830092E-3</v>
      </c>
      <c r="G406" s="66">
        <f t="shared" si="309"/>
        <v>1.2279576603503456E-3</v>
      </c>
      <c r="H406" s="66">
        <f t="shared" si="309"/>
        <v>1.2227090295108371E-3</v>
      </c>
      <c r="I406" s="66">
        <f t="shared" si="309"/>
        <v>1.2152632805437318E-3</v>
      </c>
      <c r="J406" s="66">
        <f t="shared" si="309"/>
        <v>1.2047525484159272E-3</v>
      </c>
      <c r="K406" s="66">
        <f t="shared" si="309"/>
        <v>1.1900216008666024E-3</v>
      </c>
      <c r="L406" s="66">
        <f t="shared" si="309"/>
        <v>1.1695905674533533E-3</v>
      </c>
      <c r="M406" s="66">
        <f t="shared" si="309"/>
        <v>1.1416755443850596E-3</v>
      </c>
      <c r="N406" s="66">
        <f t="shared" si="309"/>
        <v>1.10433406718018E-3</v>
      </c>
      <c r="O406" s="66">
        <f t="shared" si="309"/>
        <v>1.0558212557016319E-3</v>
      </c>
      <c r="P406" s="66">
        <f t="shared" si="309"/>
        <v>9.9521071854893894E-4</v>
      </c>
      <c r="Q406" s="66">
        <f t="shared" si="309"/>
        <v>9.2319074756037553E-4</v>
      </c>
      <c r="R406" s="66">
        <f t="shared" si="309"/>
        <v>8.4268678253644411E-4</v>
      </c>
      <c r="S406" s="66">
        <f t="shared" si="309"/>
        <v>7.5877512596896415E-4</v>
      </c>
      <c r="T406" s="66">
        <f t="shared" si="309"/>
        <v>6.7758748823553913E-4</v>
      </c>
      <c r="U406" s="66">
        <f t="shared" si="309"/>
        <v>6.0460423837141279E-4</v>
      </c>
      <c r="V406" s="66">
        <f t="shared" si="309"/>
        <v>5.4327073594959835E-4</v>
      </c>
      <c r="W406" s="66">
        <f t="shared" si="309"/>
        <v>4.9461197602862841E-4</v>
      </c>
      <c r="X406" s="66">
        <f t="shared" si="309"/>
        <v>4.5775741216102714E-4</v>
      </c>
      <c r="Y406" s="66">
        <f t="shared" si="309"/>
        <v>4.3081772731914936E-4</v>
      </c>
      <c r="Z406" s="66">
        <f t="shared" si="309"/>
        <v>4.1163487958095768E-4</v>
      </c>
      <c r="AA406" s="66">
        <f t="shared" si="309"/>
        <v>3.9822961653709042E-4</v>
      </c>
      <c r="AB406" s="66">
        <f t="shared" si="309"/>
        <v>3.8898457470809729E-4</v>
      </c>
      <c r="AC406" s="66">
        <f t="shared" si="309"/>
        <v>3.8266659653780032E-4</v>
      </c>
    </row>
    <row r="407" spans="1:29" ht="15" thickBot="1" x14ac:dyDescent="0.35">
      <c r="A407" s="59" t="str">
        <f>A344</f>
        <v>Emission Cost</v>
      </c>
      <c r="B407" s="68">
        <f>B364*B370/B370/(B367)</f>
        <v>3.3398562051778328E-4</v>
      </c>
      <c r="C407" s="68">
        <f t="shared" ref="C407:AC407" si="310">C364*C370/C370/(C367)</f>
        <v>3.3366758483088988E-4</v>
      </c>
      <c r="D407" s="68">
        <f t="shared" si="310"/>
        <v>3.3321232382877585E-4</v>
      </c>
      <c r="E407" s="68">
        <f t="shared" si="310"/>
        <v>3.3256104094986681E-4</v>
      </c>
      <c r="F407" s="68">
        <f t="shared" si="310"/>
        <v>3.3163021400320358E-4</v>
      </c>
      <c r="G407" s="68">
        <f t="shared" si="310"/>
        <v>3.3030172279027004E-4</v>
      </c>
      <c r="H407" s="68">
        <f t="shared" si="310"/>
        <v>3.2840962538848302E-4</v>
      </c>
      <c r="I407" s="68">
        <f t="shared" si="310"/>
        <v>3.2572311831349148E-4</v>
      </c>
      <c r="J407" s="68">
        <f t="shared" si="310"/>
        <v>3.2192599871983809E-4</v>
      </c>
      <c r="K407" s="68">
        <f t="shared" si="310"/>
        <v>3.1659491131606082E-4</v>
      </c>
      <c r="L407" s="68">
        <f t="shared" si="310"/>
        <v>3.091827645801561E-4</v>
      </c>
      <c r="M407" s="68">
        <f t="shared" si="310"/>
        <v>2.9902098869419172E-4</v>
      </c>
      <c r="N407" s="68">
        <f t="shared" si="310"/>
        <v>2.8536465079533697E-4</v>
      </c>
      <c r="O407" s="68">
        <f t="shared" si="310"/>
        <v>2.6751317895107546E-4</v>
      </c>
      <c r="P407" s="68">
        <f t="shared" si="310"/>
        <v>2.4503226745359335E-4</v>
      </c>
      <c r="Q407" s="68">
        <f t="shared" si="310"/>
        <v>2.1805581897128034E-4</v>
      </c>
      <c r="R407" s="68">
        <f t="shared" si="310"/>
        <v>1.8755156174862146E-4</v>
      </c>
      <c r="S407" s="68">
        <f t="shared" si="310"/>
        <v>1.5534834255447857E-4</v>
      </c>
      <c r="T407" s="68">
        <f t="shared" si="310"/>
        <v>1.2377882247964437E-4</v>
      </c>
      <c r="U407" s="68">
        <f t="shared" si="310"/>
        <v>9.5040438542586453E-5</v>
      </c>
      <c r="V407" s="68">
        <f t="shared" si="310"/>
        <v>7.06169046206584E-5</v>
      </c>
      <c r="W407" s="68">
        <f t="shared" si="310"/>
        <v>5.1058027956299464E-5</v>
      </c>
      <c r="X407" s="68">
        <f t="shared" si="310"/>
        <v>3.6133736976499454E-5</v>
      </c>
      <c r="Y407" s="68">
        <f t="shared" si="310"/>
        <v>2.5163186176479669E-5</v>
      </c>
      <c r="Z407" s="68">
        <f t="shared" si="310"/>
        <v>1.7319401061741704E-5</v>
      </c>
      <c r="AA407" s="68">
        <f t="shared" si="310"/>
        <v>1.1822066063754811E-5</v>
      </c>
      <c r="AB407" s="68">
        <f t="shared" si="310"/>
        <v>8.0230696875300903E-6</v>
      </c>
      <c r="AC407" s="68">
        <f t="shared" si="310"/>
        <v>5.4232271560286516E-6</v>
      </c>
    </row>
    <row r="408" spans="1:29" ht="15" thickBot="1" x14ac:dyDescent="0.35">
      <c r="A408" s="31" t="s">
        <v>210</v>
      </c>
      <c r="B408" s="67">
        <f>B397+B398+B399+B400+B401+B402+B403+B404+B405+B406+B407</f>
        <v>5.9492044983129981E-2</v>
      </c>
      <c r="C408" s="67">
        <f t="shared" ref="C408:AC408" si="311">C397+C398+C399+C400+C401+C402+C403+C404+C405+C406+C407</f>
        <v>5.9449573555306418E-2</v>
      </c>
      <c r="D408" s="67">
        <f t="shared" si="311"/>
        <v>5.9388785667921482E-2</v>
      </c>
      <c r="E408" s="67">
        <f t="shared" si="311"/>
        <v>5.9301842775682151E-2</v>
      </c>
      <c r="F408" s="67">
        <f t="shared" si="311"/>
        <v>5.9177619910863302E-2</v>
      </c>
      <c r="G408" s="67">
        <f t="shared" si="311"/>
        <v>5.9000403901034636E-2</v>
      </c>
      <c r="H408" s="67">
        <f t="shared" si="311"/>
        <v>5.8748160877747611E-2</v>
      </c>
      <c r="I408" s="67">
        <f t="shared" si="311"/>
        <v>5.8390326942093181E-2</v>
      </c>
      <c r="J408" s="67">
        <f t="shared" si="311"/>
        <v>5.788519352159819E-2</v>
      </c>
      <c r="K408" s="67">
        <f t="shared" si="311"/>
        <v>5.7177241512904146E-2</v>
      </c>
      <c r="L408" s="67">
        <f t="shared" si="311"/>
        <v>5.6195350083573369E-2</v>
      </c>
      <c r="M408" s="67">
        <f t="shared" si="311"/>
        <v>5.4853786916114734E-2</v>
      </c>
      <c r="N408" s="67">
        <f t="shared" si="311"/>
        <v>5.3059199452797835E-2</v>
      </c>
      <c r="O408" s="67">
        <f t="shared" si="311"/>
        <v>5.0727730807034778E-2</v>
      </c>
      <c r="P408" s="67">
        <f t="shared" si="311"/>
        <v>4.7814859697990458E-2</v>
      </c>
      <c r="Q408" s="67">
        <f t="shared" si="311"/>
        <v>4.4353664621657941E-2</v>
      </c>
      <c r="R408" s="67">
        <f t="shared" si="311"/>
        <v>4.0484738773154831E-2</v>
      </c>
      <c r="S408" s="67">
        <f t="shared" si="311"/>
        <v>3.6452043278117609E-2</v>
      </c>
      <c r="T408" s="67">
        <f t="shared" si="311"/>
        <v>3.2550260923517177E-2</v>
      </c>
      <c r="U408" s="67">
        <f t="shared" si="311"/>
        <v>2.904277179769418E-2</v>
      </c>
      <c r="V408" s="67">
        <f t="shared" si="311"/>
        <v>2.6095155828363421E-2</v>
      </c>
      <c r="W408" s="67">
        <f t="shared" si="311"/>
        <v>2.375667307216154E-2</v>
      </c>
      <c r="X408" s="67">
        <f t="shared" si="311"/>
        <v>2.1985486090995009E-2</v>
      </c>
      <c r="Y408" s="67">
        <f t="shared" si="311"/>
        <v>2.0690796531241271E-2</v>
      </c>
      <c r="Z408" s="67">
        <f t="shared" si="311"/>
        <v>1.9768891436999891E-2</v>
      </c>
      <c r="AA408" s="67">
        <f t="shared" si="311"/>
        <v>1.912465026600936E-2</v>
      </c>
      <c r="AB408" s="67">
        <f t="shared" si="311"/>
        <v>1.8680344432227748E-2</v>
      </c>
      <c r="AC408" s="67">
        <f t="shared" si="311"/>
        <v>1.8376709834278825E-2</v>
      </c>
    </row>
    <row r="410" spans="1:29" x14ac:dyDescent="0.3">
      <c r="B410" s="40"/>
    </row>
  </sheetData>
  <conditionalFormatting sqref="Q11:AR20 Q22:AR27"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Q21:AR21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A5DE-5CE7-4758-A70C-0ACAB4BA465C}">
  <sheetPr codeName="Sheet16">
    <tabColor theme="9"/>
  </sheetPr>
  <dimension ref="A1:AR82"/>
  <sheetViews>
    <sheetView zoomScale="80" zoomScaleNormal="80" workbookViewId="0">
      <selection activeCell="AF54" sqref="AF54"/>
    </sheetView>
  </sheetViews>
  <sheetFormatPr defaultColWidth="9.109375" defaultRowHeight="14.4" x14ac:dyDescent="0.3"/>
  <cols>
    <col min="1" max="1" width="38.6640625" style="4" customWidth="1"/>
    <col min="2" max="4" width="14.88671875" style="4" bestFit="1" customWidth="1"/>
    <col min="5" max="5" width="28" style="4" bestFit="1" customWidth="1"/>
    <col min="6" max="11" width="14.88671875" style="4" bestFit="1" customWidth="1"/>
    <col min="12" max="12" width="24.44140625" style="4" bestFit="1" customWidth="1"/>
    <col min="13" max="29" width="14.88671875" style="4" bestFit="1" customWidth="1"/>
    <col min="30" max="44" width="13.6640625" style="4" bestFit="1" customWidth="1"/>
    <col min="45" max="16384" width="9.109375" style="4"/>
  </cols>
  <sheetData>
    <row r="1" spans="1:44" s="3" customFormat="1" ht="21" x14ac:dyDescent="0.4">
      <c r="A1" s="2" t="s">
        <v>211</v>
      </c>
    </row>
    <row r="2" spans="1:44" s="3" customFormat="1" ht="21" x14ac:dyDescent="0.4">
      <c r="A2" s="2"/>
    </row>
    <row r="3" spans="1:44" x14ac:dyDescent="0.3">
      <c r="A3" s="33" t="s">
        <v>195</v>
      </c>
    </row>
    <row r="4" spans="1:44" x14ac:dyDescent="0.3">
      <c r="A4" s="33" t="s">
        <v>196</v>
      </c>
    </row>
    <row r="5" spans="1:44" ht="15" thickBot="1" x14ac:dyDescent="0.35">
      <c r="A5" s="34" t="s">
        <v>197</v>
      </c>
      <c r="B5" s="34"/>
    </row>
    <row r="6" spans="1:44" ht="15" thickBot="1" x14ac:dyDescent="0.35">
      <c r="A6" s="39" t="s">
        <v>198</v>
      </c>
      <c r="B6" s="35"/>
    </row>
    <row r="7" spans="1:44" ht="15" thickBot="1" x14ac:dyDescent="0.35">
      <c r="A7" s="38" t="s">
        <v>199</v>
      </c>
      <c r="B7" s="36"/>
    </row>
    <row r="8" spans="1:44" ht="15" thickBot="1" x14ac:dyDescent="0.35"/>
    <row r="9" spans="1:44" x14ac:dyDescent="0.3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" thickBot="1" x14ac:dyDescent="0.35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3">
      <c r="A11" s="24" t="s">
        <v>18</v>
      </c>
      <c r="B11" s="41">
        <v>100000</v>
      </c>
      <c r="C11" s="42">
        <v>100000</v>
      </c>
      <c r="D11" s="1" t="s">
        <v>15</v>
      </c>
      <c r="L11" s="51">
        <v>7</v>
      </c>
      <c r="M11" s="52">
        <v>0</v>
      </c>
      <c r="N11" s="52">
        <v>1</v>
      </c>
      <c r="O11" s="52">
        <v>0.8</v>
      </c>
      <c r="P11" s="53">
        <v>0.8</v>
      </c>
      <c r="Q11" s="4">
        <f t="shared" ref="Q11:AF11" si="0">$N11+($M11-$N11)*((1/(1+EXP(-$P11*(Q$9-$L11)))^$O11))</f>
        <v>0.98870000318069773</v>
      </c>
      <c r="R11" s="4">
        <f t="shared" si="0"/>
        <v>0.97864686803622136</v>
      </c>
      <c r="S11" s="4">
        <f t="shared" si="0"/>
        <v>0.95982538467280665</v>
      </c>
      <c r="T11" s="4">
        <f t="shared" si="0"/>
        <v>0.92512705484006208</v>
      </c>
      <c r="U11" s="4">
        <f t="shared" si="0"/>
        <v>0.86323195930299401</v>
      </c>
      <c r="V11" s="4">
        <f t="shared" si="0"/>
        <v>0.76000101689477173</v>
      </c>
      <c r="W11" s="4">
        <f t="shared" si="0"/>
        <v>0.60815171131295576</v>
      </c>
      <c r="X11" s="4">
        <f t="shared" si="0"/>
        <v>0.42565082250148245</v>
      </c>
      <c r="Y11" s="4">
        <f t="shared" si="0"/>
        <v>0.25686721291665371</v>
      </c>
      <c r="Z11" s="4">
        <f t="shared" si="0"/>
        <v>0.13681012326750519</v>
      </c>
      <c r="AA11" s="4">
        <f t="shared" si="0"/>
        <v>6.7110874479454963E-2</v>
      </c>
      <c r="AB11" s="4">
        <f t="shared" si="0"/>
        <v>3.1457259534366733E-2</v>
      </c>
      <c r="AC11" s="4">
        <f t="shared" si="0"/>
        <v>1.4415036328376152E-2</v>
      </c>
      <c r="AD11" s="4">
        <f t="shared" si="0"/>
        <v>6.5354046097677587E-3</v>
      </c>
      <c r="AE11" s="4">
        <f t="shared" si="0"/>
        <v>2.9484794129613912E-3</v>
      </c>
      <c r="AF11" s="4">
        <f t="shared" si="0"/>
        <v>1.3272611400154677E-3</v>
      </c>
      <c r="AG11" s="4">
        <f t="shared" ref="AG11:AR11" si="1">$N11+($M11-$N11)*((1/(1+EXP(-$P11*(AG$9-$L11)))^$O11))</f>
        <v>5.9686760508315118E-4</v>
      </c>
      <c r="AH11" s="4">
        <f t="shared" si="1"/>
        <v>2.6828910235687786E-4</v>
      </c>
      <c r="AI11" s="4">
        <f t="shared" si="1"/>
        <v>1.2057010364630028E-4</v>
      </c>
      <c r="AJ11" s="4">
        <f t="shared" si="1"/>
        <v>5.4179686630462243E-5</v>
      </c>
      <c r="AK11" s="4">
        <f t="shared" si="1"/>
        <v>2.4345319607821381E-5</v>
      </c>
      <c r="AL11" s="4">
        <f t="shared" si="1"/>
        <v>1.0939222225947454E-5</v>
      </c>
      <c r="AM11" s="4">
        <f t="shared" si="1"/>
        <v>4.9153427019721363E-6</v>
      </c>
      <c r="AN11" s="4">
        <f t="shared" si="1"/>
        <v>2.2086125700537806E-6</v>
      </c>
      <c r="AO11" s="4">
        <f t="shared" si="1"/>
        <v>9.9239495610081718E-7</v>
      </c>
      <c r="AP11" s="4">
        <f t="shared" si="1"/>
        <v>4.4591207160049606E-7</v>
      </c>
      <c r="AQ11" s="4">
        <f t="shared" si="1"/>
        <v>2.0036126446854041E-7</v>
      </c>
      <c r="AR11" s="4">
        <f t="shared" si="1"/>
        <v>9.0028130617092472E-8</v>
      </c>
    </row>
    <row r="12" spans="1:44" x14ac:dyDescent="0.3">
      <c r="A12" s="24" t="s">
        <v>28</v>
      </c>
      <c r="B12" s="60">
        <v>-30000</v>
      </c>
      <c r="C12" s="61">
        <v>-30000</v>
      </c>
      <c r="D12" s="1" t="s">
        <v>15</v>
      </c>
      <c r="L12" s="54">
        <v>8</v>
      </c>
      <c r="M12" s="37">
        <v>0</v>
      </c>
      <c r="N12" s="37">
        <v>1</v>
      </c>
      <c r="O12" s="37">
        <v>0.8</v>
      </c>
      <c r="P12" s="55">
        <v>0.8</v>
      </c>
      <c r="Q12" s="4">
        <f t="shared" ref="Q12:AF26" si="2">$N12+($M12-$N12)*((1/(1+EXP(-$P12*(Q$9-$L12)))^$O12))</f>
        <v>0.99403190884795445</v>
      </c>
      <c r="R12" s="4">
        <f t="shared" si="2"/>
        <v>0.98870000318069773</v>
      </c>
      <c r="S12" s="4">
        <f t="shared" si="2"/>
        <v>0.97864686803622136</v>
      </c>
      <c r="T12" s="4">
        <f t="shared" si="2"/>
        <v>0.95982538467280665</v>
      </c>
      <c r="U12" s="4">
        <f t="shared" si="2"/>
        <v>0.92512705484006208</v>
      </c>
      <c r="V12" s="4">
        <f t="shared" si="2"/>
        <v>0.86323195930299401</v>
      </c>
      <c r="W12" s="4">
        <f t="shared" si="2"/>
        <v>0.76000101689477173</v>
      </c>
      <c r="X12" s="4">
        <f t="shared" si="2"/>
        <v>0.60815171131295576</v>
      </c>
      <c r="Y12" s="4">
        <f t="shared" si="2"/>
        <v>0.42565082250148245</v>
      </c>
      <c r="Z12" s="4">
        <f t="shared" si="2"/>
        <v>0.25686721291665371</v>
      </c>
      <c r="AA12" s="4">
        <f t="shared" si="2"/>
        <v>0.13681012326750519</v>
      </c>
      <c r="AB12" s="4">
        <f t="shared" si="2"/>
        <v>6.7110874479454963E-2</v>
      </c>
      <c r="AC12" s="4">
        <f t="shared" si="2"/>
        <v>3.1457259534366733E-2</v>
      </c>
      <c r="AD12" s="4">
        <f t="shared" si="2"/>
        <v>1.4415036328376152E-2</v>
      </c>
      <c r="AE12" s="4">
        <f t="shared" si="2"/>
        <v>6.5354046097677587E-3</v>
      </c>
      <c r="AF12" s="4">
        <f t="shared" si="2"/>
        <v>2.9484794129613912E-3</v>
      </c>
      <c r="AG12" s="4">
        <f t="shared" ref="AG12:AR26" si="3">$N12+($M12-$N12)*((1/(1+EXP(-$P12*(AG$9-$L12)))^$O12))</f>
        <v>1.3272611400154677E-3</v>
      </c>
      <c r="AH12" s="4">
        <f t="shared" si="3"/>
        <v>5.9686760508315118E-4</v>
      </c>
      <c r="AI12" s="4">
        <f t="shared" si="3"/>
        <v>2.6828910235687786E-4</v>
      </c>
      <c r="AJ12" s="4">
        <f t="shared" si="3"/>
        <v>1.2057010364630028E-4</v>
      </c>
      <c r="AK12" s="4">
        <f t="shared" si="3"/>
        <v>5.4179686630462243E-5</v>
      </c>
      <c r="AL12" s="4">
        <f t="shared" si="3"/>
        <v>2.4345319607821381E-5</v>
      </c>
      <c r="AM12" s="4">
        <f t="shared" si="3"/>
        <v>1.0939222225947454E-5</v>
      </c>
      <c r="AN12" s="4">
        <f t="shared" si="3"/>
        <v>4.9153427019721363E-6</v>
      </c>
      <c r="AO12" s="4">
        <f t="shared" si="3"/>
        <v>2.2086125700537806E-6</v>
      </c>
      <c r="AP12" s="4">
        <f t="shared" si="3"/>
        <v>9.9239495610081718E-7</v>
      </c>
      <c r="AQ12" s="4">
        <f t="shared" si="3"/>
        <v>4.4591207160049606E-7</v>
      </c>
      <c r="AR12" s="4">
        <f t="shared" si="3"/>
        <v>2.0036126446854041E-7</v>
      </c>
    </row>
    <row r="13" spans="1:44" x14ac:dyDescent="0.3">
      <c r="A13" s="24" t="s">
        <v>14</v>
      </c>
      <c r="B13" s="43">
        <v>50000</v>
      </c>
      <c r="C13" s="44">
        <v>50000</v>
      </c>
      <c r="D13" s="1" t="s">
        <v>15</v>
      </c>
      <c r="L13" s="54">
        <v>9</v>
      </c>
      <c r="M13" s="37">
        <v>0</v>
      </c>
      <c r="N13" s="37">
        <v>1</v>
      </c>
      <c r="O13" s="37">
        <v>0.8</v>
      </c>
      <c r="P13" s="55">
        <v>0.8</v>
      </c>
      <c r="Q13" s="4">
        <f t="shared" si="2"/>
        <v>0.99685076919798865</v>
      </c>
      <c r="R13" s="4">
        <f t="shared" si="2"/>
        <v>0.99403190884795445</v>
      </c>
      <c r="S13" s="4">
        <f t="shared" si="2"/>
        <v>0.98870000318069773</v>
      </c>
      <c r="T13" s="4">
        <f t="shared" si="2"/>
        <v>0.97864686803622136</v>
      </c>
      <c r="U13" s="4">
        <f t="shared" si="2"/>
        <v>0.95982538467280665</v>
      </c>
      <c r="V13" s="4">
        <f t="shared" si="2"/>
        <v>0.92512705484006208</v>
      </c>
      <c r="W13" s="4">
        <f t="shared" si="2"/>
        <v>0.86323195930299401</v>
      </c>
      <c r="X13" s="4">
        <f t="shared" si="2"/>
        <v>0.76000101689477173</v>
      </c>
      <c r="Y13" s="4">
        <f t="shared" si="2"/>
        <v>0.60815171131295576</v>
      </c>
      <c r="Z13" s="4">
        <f t="shared" si="2"/>
        <v>0.42565082250148245</v>
      </c>
      <c r="AA13" s="4">
        <f t="shared" si="2"/>
        <v>0.25686721291665371</v>
      </c>
      <c r="AB13" s="4">
        <f t="shared" si="2"/>
        <v>0.13681012326750519</v>
      </c>
      <c r="AC13" s="4">
        <f t="shared" si="2"/>
        <v>6.7110874479454963E-2</v>
      </c>
      <c r="AD13" s="4">
        <f t="shared" si="2"/>
        <v>3.1457259534366733E-2</v>
      </c>
      <c r="AE13" s="4">
        <f t="shared" si="2"/>
        <v>1.4415036328376152E-2</v>
      </c>
      <c r="AF13" s="4">
        <f t="shared" si="2"/>
        <v>6.5354046097677587E-3</v>
      </c>
      <c r="AG13" s="4">
        <f t="shared" si="3"/>
        <v>2.9484794129613912E-3</v>
      </c>
      <c r="AH13" s="4">
        <f t="shared" si="3"/>
        <v>1.3272611400154677E-3</v>
      </c>
      <c r="AI13" s="4">
        <f t="shared" si="3"/>
        <v>5.9686760508315118E-4</v>
      </c>
      <c r="AJ13" s="4">
        <f t="shared" si="3"/>
        <v>2.6828910235687786E-4</v>
      </c>
      <c r="AK13" s="4">
        <f t="shared" si="3"/>
        <v>1.2057010364630028E-4</v>
      </c>
      <c r="AL13" s="4">
        <f t="shared" si="3"/>
        <v>5.4179686630462243E-5</v>
      </c>
      <c r="AM13" s="4">
        <f t="shared" si="3"/>
        <v>2.4345319607821381E-5</v>
      </c>
      <c r="AN13" s="4">
        <f t="shared" si="3"/>
        <v>1.0939222225947454E-5</v>
      </c>
      <c r="AO13" s="4">
        <f t="shared" si="3"/>
        <v>4.9153427019721363E-6</v>
      </c>
      <c r="AP13" s="4">
        <f t="shared" si="3"/>
        <v>2.2086125700537806E-6</v>
      </c>
      <c r="AQ13" s="4">
        <f t="shared" si="3"/>
        <v>9.9239495610081718E-7</v>
      </c>
      <c r="AR13" s="4">
        <f t="shared" si="3"/>
        <v>4.4591207160049606E-7</v>
      </c>
    </row>
    <row r="14" spans="1:44" x14ac:dyDescent="0.3">
      <c r="A14" s="24" t="s">
        <v>25</v>
      </c>
      <c r="B14" s="60">
        <v>-5000</v>
      </c>
      <c r="C14" s="61">
        <v>-5000</v>
      </c>
      <c r="D14" s="1" t="s">
        <v>15</v>
      </c>
      <c r="L14" s="54">
        <v>10</v>
      </c>
      <c r="M14" s="37">
        <v>0</v>
      </c>
      <c r="N14" s="37">
        <v>1</v>
      </c>
      <c r="O14" s="37">
        <v>0.8</v>
      </c>
      <c r="P14" s="55">
        <v>0.8</v>
      </c>
      <c r="Q14" s="4">
        <f t="shared" si="2"/>
        <v>0.99833888850453545</v>
      </c>
      <c r="R14" s="4">
        <f t="shared" si="2"/>
        <v>0.99685076919798865</v>
      </c>
      <c r="S14" s="4">
        <f t="shared" si="2"/>
        <v>0.99403190884795445</v>
      </c>
      <c r="T14" s="4">
        <f t="shared" si="2"/>
        <v>0.98870000318069773</v>
      </c>
      <c r="U14" s="4">
        <f t="shared" si="2"/>
        <v>0.97864686803622136</v>
      </c>
      <c r="V14" s="4">
        <f t="shared" si="2"/>
        <v>0.95982538467280665</v>
      </c>
      <c r="W14" s="4">
        <f t="shared" si="2"/>
        <v>0.92512705484006208</v>
      </c>
      <c r="X14" s="4">
        <f t="shared" si="2"/>
        <v>0.86323195930299401</v>
      </c>
      <c r="Y14" s="4">
        <f t="shared" si="2"/>
        <v>0.76000101689477173</v>
      </c>
      <c r="Z14" s="4">
        <f t="shared" si="2"/>
        <v>0.60815171131295576</v>
      </c>
      <c r="AA14" s="4">
        <f t="shared" si="2"/>
        <v>0.42565082250148245</v>
      </c>
      <c r="AB14" s="4">
        <f t="shared" si="2"/>
        <v>0.25686721291665371</v>
      </c>
      <c r="AC14" s="4">
        <f t="shared" si="2"/>
        <v>0.13681012326750519</v>
      </c>
      <c r="AD14" s="4">
        <f t="shared" si="2"/>
        <v>6.7110874479454963E-2</v>
      </c>
      <c r="AE14" s="4">
        <f t="shared" si="2"/>
        <v>3.1457259534366733E-2</v>
      </c>
      <c r="AF14" s="4">
        <f t="shared" si="2"/>
        <v>1.4415036328376152E-2</v>
      </c>
      <c r="AG14" s="4">
        <f t="shared" si="3"/>
        <v>6.5354046097677587E-3</v>
      </c>
      <c r="AH14" s="4">
        <f t="shared" si="3"/>
        <v>2.9484794129613912E-3</v>
      </c>
      <c r="AI14" s="4">
        <f t="shared" si="3"/>
        <v>1.3272611400154677E-3</v>
      </c>
      <c r="AJ14" s="4">
        <f t="shared" si="3"/>
        <v>5.9686760508315118E-4</v>
      </c>
      <c r="AK14" s="4">
        <f t="shared" si="3"/>
        <v>2.6828910235687786E-4</v>
      </c>
      <c r="AL14" s="4">
        <f t="shared" si="3"/>
        <v>1.2057010364630028E-4</v>
      </c>
      <c r="AM14" s="4">
        <f t="shared" si="3"/>
        <v>5.4179686630462243E-5</v>
      </c>
      <c r="AN14" s="4">
        <f t="shared" si="3"/>
        <v>2.4345319607821381E-5</v>
      </c>
      <c r="AO14" s="4">
        <f t="shared" si="3"/>
        <v>1.0939222225947454E-5</v>
      </c>
      <c r="AP14" s="4">
        <f t="shared" si="3"/>
        <v>4.9153427019721363E-6</v>
      </c>
      <c r="AQ14" s="4">
        <f t="shared" si="3"/>
        <v>2.2086125700537806E-6</v>
      </c>
      <c r="AR14" s="4">
        <f t="shared" si="3"/>
        <v>9.9239495610081718E-7</v>
      </c>
    </row>
    <row r="15" spans="1:44" x14ac:dyDescent="0.3">
      <c r="A15" s="24" t="s">
        <v>79</v>
      </c>
      <c r="B15" s="45">
        <v>0.06</v>
      </c>
      <c r="C15" s="46">
        <v>0.06</v>
      </c>
      <c r="D15" s="1" t="s">
        <v>57</v>
      </c>
      <c r="L15" s="54">
        <v>11</v>
      </c>
      <c r="M15" s="37">
        <v>0</v>
      </c>
      <c r="N15" s="37">
        <v>1</v>
      </c>
      <c r="O15" s="37">
        <v>0.8</v>
      </c>
      <c r="P15" s="55">
        <v>0.8</v>
      </c>
      <c r="Q15" s="4">
        <f t="shared" si="2"/>
        <v>0.99912397907241213</v>
      </c>
      <c r="R15" s="4">
        <f t="shared" si="2"/>
        <v>0.99833888850453545</v>
      </c>
      <c r="S15" s="4">
        <f t="shared" si="2"/>
        <v>0.99685076919798865</v>
      </c>
      <c r="T15" s="4">
        <f t="shared" si="2"/>
        <v>0.99403190884795445</v>
      </c>
      <c r="U15" s="4">
        <f t="shared" si="2"/>
        <v>0.98870000318069773</v>
      </c>
      <c r="V15" s="4">
        <f t="shared" si="2"/>
        <v>0.97864686803622136</v>
      </c>
      <c r="W15" s="4">
        <f t="shared" si="2"/>
        <v>0.95982538467280665</v>
      </c>
      <c r="X15" s="4">
        <f t="shared" si="2"/>
        <v>0.92512705484006208</v>
      </c>
      <c r="Y15" s="4">
        <f t="shared" si="2"/>
        <v>0.86323195930299401</v>
      </c>
      <c r="Z15" s="4">
        <f t="shared" si="2"/>
        <v>0.76000101689477173</v>
      </c>
      <c r="AA15" s="4">
        <f t="shared" si="2"/>
        <v>0.60815171131295576</v>
      </c>
      <c r="AB15" s="4">
        <f t="shared" si="2"/>
        <v>0.42565082250148245</v>
      </c>
      <c r="AC15" s="4">
        <f t="shared" si="2"/>
        <v>0.25686721291665371</v>
      </c>
      <c r="AD15" s="4">
        <f t="shared" si="2"/>
        <v>0.13681012326750519</v>
      </c>
      <c r="AE15" s="4">
        <f t="shared" si="2"/>
        <v>6.7110874479454963E-2</v>
      </c>
      <c r="AF15" s="4">
        <f t="shared" si="2"/>
        <v>3.1457259534366733E-2</v>
      </c>
      <c r="AG15" s="4">
        <f t="shared" si="3"/>
        <v>1.4415036328376152E-2</v>
      </c>
      <c r="AH15" s="4">
        <f t="shared" si="3"/>
        <v>6.5354046097677587E-3</v>
      </c>
      <c r="AI15" s="4">
        <f t="shared" si="3"/>
        <v>2.9484794129613912E-3</v>
      </c>
      <c r="AJ15" s="4">
        <f t="shared" si="3"/>
        <v>1.3272611400154677E-3</v>
      </c>
      <c r="AK15" s="4">
        <f t="shared" si="3"/>
        <v>5.9686760508315118E-4</v>
      </c>
      <c r="AL15" s="4">
        <f t="shared" si="3"/>
        <v>2.6828910235687786E-4</v>
      </c>
      <c r="AM15" s="4">
        <f t="shared" si="3"/>
        <v>1.2057010364630028E-4</v>
      </c>
      <c r="AN15" s="4">
        <f t="shared" si="3"/>
        <v>5.4179686630462243E-5</v>
      </c>
      <c r="AO15" s="4">
        <f t="shared" si="3"/>
        <v>2.4345319607821381E-5</v>
      </c>
      <c r="AP15" s="4">
        <f t="shared" si="3"/>
        <v>1.0939222225947454E-5</v>
      </c>
      <c r="AQ15" s="4">
        <f t="shared" si="3"/>
        <v>4.9153427019721363E-6</v>
      </c>
      <c r="AR15" s="4">
        <f t="shared" si="3"/>
        <v>2.2086125700537806E-6</v>
      </c>
    </row>
    <row r="16" spans="1:44" x14ac:dyDescent="0.3">
      <c r="A16" s="24" t="s">
        <v>37</v>
      </c>
      <c r="B16" s="43">
        <v>85000</v>
      </c>
      <c r="C16" s="44">
        <v>85000</v>
      </c>
      <c r="D16" s="1" t="s">
        <v>38</v>
      </c>
      <c r="L16" s="54">
        <v>12</v>
      </c>
      <c r="M16" s="37">
        <v>0</v>
      </c>
      <c r="N16" s="37">
        <v>1</v>
      </c>
      <c r="O16" s="37">
        <v>0.8</v>
      </c>
      <c r="P16" s="55">
        <v>0.8</v>
      </c>
      <c r="Q16" s="4">
        <f t="shared" si="2"/>
        <v>0.9995380501308736</v>
      </c>
      <c r="R16" s="4">
        <f t="shared" si="2"/>
        <v>0.99912397907241213</v>
      </c>
      <c r="S16" s="4">
        <f t="shared" si="2"/>
        <v>0.99833888850453545</v>
      </c>
      <c r="T16" s="4">
        <f t="shared" si="2"/>
        <v>0.99685076919798865</v>
      </c>
      <c r="U16" s="4">
        <f t="shared" si="2"/>
        <v>0.99403190884795445</v>
      </c>
      <c r="V16" s="4">
        <f t="shared" si="2"/>
        <v>0.98870000318069773</v>
      </c>
      <c r="W16" s="4">
        <f t="shared" si="2"/>
        <v>0.97864686803622136</v>
      </c>
      <c r="X16" s="4">
        <f t="shared" si="2"/>
        <v>0.95982538467280665</v>
      </c>
      <c r="Y16" s="4">
        <f t="shared" si="2"/>
        <v>0.92512705484006208</v>
      </c>
      <c r="Z16" s="4">
        <f t="shared" si="2"/>
        <v>0.86323195930299401</v>
      </c>
      <c r="AA16" s="4">
        <f t="shared" si="2"/>
        <v>0.76000101689477173</v>
      </c>
      <c r="AB16" s="4">
        <f t="shared" si="2"/>
        <v>0.60815171131295576</v>
      </c>
      <c r="AC16" s="4">
        <f t="shared" si="2"/>
        <v>0.42565082250148245</v>
      </c>
      <c r="AD16" s="4">
        <f t="shared" si="2"/>
        <v>0.25686721291665371</v>
      </c>
      <c r="AE16" s="4">
        <f t="shared" si="2"/>
        <v>0.13681012326750519</v>
      </c>
      <c r="AF16" s="4">
        <f t="shared" si="2"/>
        <v>6.7110874479454963E-2</v>
      </c>
      <c r="AG16" s="4">
        <f t="shared" si="3"/>
        <v>3.1457259534366733E-2</v>
      </c>
      <c r="AH16" s="4">
        <f t="shared" si="3"/>
        <v>1.4415036328376152E-2</v>
      </c>
      <c r="AI16" s="4">
        <f t="shared" si="3"/>
        <v>6.5354046097677587E-3</v>
      </c>
      <c r="AJ16" s="4">
        <f t="shared" si="3"/>
        <v>2.9484794129613912E-3</v>
      </c>
      <c r="AK16" s="4">
        <f t="shared" si="3"/>
        <v>1.3272611400154677E-3</v>
      </c>
      <c r="AL16" s="4">
        <f t="shared" si="3"/>
        <v>5.9686760508315118E-4</v>
      </c>
      <c r="AM16" s="4">
        <f t="shared" si="3"/>
        <v>2.6828910235687786E-4</v>
      </c>
      <c r="AN16" s="4">
        <f t="shared" si="3"/>
        <v>1.2057010364630028E-4</v>
      </c>
      <c r="AO16" s="4">
        <f t="shared" si="3"/>
        <v>5.4179686630462243E-5</v>
      </c>
      <c r="AP16" s="4">
        <f t="shared" si="3"/>
        <v>2.4345319607821381E-5</v>
      </c>
      <c r="AQ16" s="4">
        <f t="shared" si="3"/>
        <v>1.0939222225947454E-5</v>
      </c>
      <c r="AR16" s="4">
        <f t="shared" si="3"/>
        <v>4.9153427019721363E-6</v>
      </c>
    </row>
    <row r="17" spans="1:44" x14ac:dyDescent="0.3">
      <c r="A17" s="24" t="s">
        <v>52</v>
      </c>
      <c r="B17" s="43">
        <v>20000</v>
      </c>
      <c r="C17" s="44">
        <v>20000</v>
      </c>
      <c r="D17" s="1" t="s">
        <v>38</v>
      </c>
      <c r="L17" s="54">
        <v>13</v>
      </c>
      <c r="M17" s="37">
        <v>0</v>
      </c>
      <c r="N17" s="37">
        <v>1</v>
      </c>
      <c r="O17" s="37">
        <v>0.8</v>
      </c>
      <c r="P17" s="55">
        <v>0.8</v>
      </c>
      <c r="Q17" s="4">
        <f t="shared" si="2"/>
        <v>0.99975641006619353</v>
      </c>
      <c r="R17" s="4">
        <f t="shared" si="2"/>
        <v>0.9995380501308736</v>
      </c>
      <c r="S17" s="4">
        <f t="shared" si="2"/>
        <v>0.99912397907241213</v>
      </c>
      <c r="T17" s="4">
        <f t="shared" si="2"/>
        <v>0.99833888850453545</v>
      </c>
      <c r="U17" s="4">
        <f t="shared" si="2"/>
        <v>0.99685076919798865</v>
      </c>
      <c r="V17" s="4">
        <f t="shared" si="2"/>
        <v>0.99403190884795445</v>
      </c>
      <c r="W17" s="4">
        <f t="shared" si="2"/>
        <v>0.98870000318069773</v>
      </c>
      <c r="X17" s="4">
        <f t="shared" si="2"/>
        <v>0.97864686803622136</v>
      </c>
      <c r="Y17" s="4">
        <f t="shared" si="2"/>
        <v>0.95982538467280665</v>
      </c>
      <c r="Z17" s="4">
        <f t="shared" si="2"/>
        <v>0.92512705484006208</v>
      </c>
      <c r="AA17" s="4">
        <f t="shared" si="2"/>
        <v>0.86323195930299401</v>
      </c>
      <c r="AB17" s="4">
        <f t="shared" si="2"/>
        <v>0.76000101689477173</v>
      </c>
      <c r="AC17" s="4">
        <f t="shared" si="2"/>
        <v>0.60815171131295576</v>
      </c>
      <c r="AD17" s="4">
        <f t="shared" si="2"/>
        <v>0.42565082250148245</v>
      </c>
      <c r="AE17" s="4">
        <f t="shared" si="2"/>
        <v>0.25686721291665371</v>
      </c>
      <c r="AF17" s="4">
        <f t="shared" si="2"/>
        <v>0.13681012326750519</v>
      </c>
      <c r="AG17" s="4">
        <f t="shared" si="3"/>
        <v>6.7110874479454963E-2</v>
      </c>
      <c r="AH17" s="4">
        <f t="shared" si="3"/>
        <v>3.1457259534366733E-2</v>
      </c>
      <c r="AI17" s="4">
        <f t="shared" si="3"/>
        <v>1.4415036328376152E-2</v>
      </c>
      <c r="AJ17" s="4">
        <f t="shared" si="3"/>
        <v>6.5354046097677587E-3</v>
      </c>
      <c r="AK17" s="4">
        <f t="shared" si="3"/>
        <v>2.9484794129613912E-3</v>
      </c>
      <c r="AL17" s="4">
        <f t="shared" si="3"/>
        <v>1.3272611400154677E-3</v>
      </c>
      <c r="AM17" s="4">
        <f t="shared" si="3"/>
        <v>5.9686760508315118E-4</v>
      </c>
      <c r="AN17" s="4">
        <f t="shared" si="3"/>
        <v>2.6828910235687786E-4</v>
      </c>
      <c r="AO17" s="4">
        <f t="shared" si="3"/>
        <v>1.2057010364630028E-4</v>
      </c>
      <c r="AP17" s="4">
        <f t="shared" si="3"/>
        <v>5.4179686630462243E-5</v>
      </c>
      <c r="AQ17" s="4">
        <f t="shared" si="3"/>
        <v>2.4345319607821381E-5</v>
      </c>
      <c r="AR17" s="4">
        <f t="shared" si="3"/>
        <v>1.0939222225947454E-5</v>
      </c>
    </row>
    <row r="18" spans="1:44" x14ac:dyDescent="0.3">
      <c r="A18" s="24" t="s">
        <v>75</v>
      </c>
      <c r="B18" s="45">
        <v>9.5238095238095247E-3</v>
      </c>
      <c r="C18" s="46">
        <v>9.5238095238095247E-3</v>
      </c>
      <c r="D18" s="1" t="s">
        <v>76</v>
      </c>
      <c r="L18" s="54">
        <v>14</v>
      </c>
      <c r="M18" s="37">
        <v>0</v>
      </c>
      <c r="N18" s="37">
        <v>1</v>
      </c>
      <c r="O18" s="37">
        <v>0.8</v>
      </c>
      <c r="P18" s="55">
        <v>0.8</v>
      </c>
      <c r="Q18" s="4">
        <f t="shared" si="2"/>
        <v>0.99987155515136772</v>
      </c>
      <c r="R18" s="4">
        <f t="shared" si="2"/>
        <v>0.99975641006619353</v>
      </c>
      <c r="S18" s="4">
        <f t="shared" si="2"/>
        <v>0.9995380501308736</v>
      </c>
      <c r="T18" s="4">
        <f t="shared" si="2"/>
        <v>0.99912397907241213</v>
      </c>
      <c r="U18" s="4">
        <f t="shared" si="2"/>
        <v>0.99833888850453545</v>
      </c>
      <c r="V18" s="4">
        <f t="shared" si="2"/>
        <v>0.99685076919798865</v>
      </c>
      <c r="W18" s="4">
        <f t="shared" si="2"/>
        <v>0.99403190884795445</v>
      </c>
      <c r="X18" s="4">
        <f t="shared" si="2"/>
        <v>0.98870000318069773</v>
      </c>
      <c r="Y18" s="4">
        <f t="shared" si="2"/>
        <v>0.97864686803622136</v>
      </c>
      <c r="Z18" s="4">
        <f t="shared" si="2"/>
        <v>0.95982538467280665</v>
      </c>
      <c r="AA18" s="4">
        <f t="shared" si="2"/>
        <v>0.92512705484006208</v>
      </c>
      <c r="AB18" s="4">
        <f t="shared" si="2"/>
        <v>0.86323195930299401</v>
      </c>
      <c r="AC18" s="4">
        <f t="shared" si="2"/>
        <v>0.76000101689477173</v>
      </c>
      <c r="AD18" s="4">
        <f t="shared" si="2"/>
        <v>0.60815171131295576</v>
      </c>
      <c r="AE18" s="4">
        <f t="shared" si="2"/>
        <v>0.42565082250148245</v>
      </c>
      <c r="AF18" s="4">
        <f t="shared" si="2"/>
        <v>0.25686721291665371</v>
      </c>
      <c r="AG18" s="4">
        <f t="shared" si="3"/>
        <v>0.13681012326750519</v>
      </c>
      <c r="AH18" s="4">
        <f t="shared" si="3"/>
        <v>6.7110874479454963E-2</v>
      </c>
      <c r="AI18" s="4">
        <f t="shared" si="3"/>
        <v>3.1457259534366733E-2</v>
      </c>
      <c r="AJ18" s="4">
        <f t="shared" si="3"/>
        <v>1.4415036328376152E-2</v>
      </c>
      <c r="AK18" s="4">
        <f t="shared" si="3"/>
        <v>6.5354046097677587E-3</v>
      </c>
      <c r="AL18" s="4">
        <f t="shared" si="3"/>
        <v>2.9484794129613912E-3</v>
      </c>
      <c r="AM18" s="4">
        <f t="shared" si="3"/>
        <v>1.3272611400154677E-3</v>
      </c>
      <c r="AN18" s="4">
        <f t="shared" si="3"/>
        <v>5.9686760508315118E-4</v>
      </c>
      <c r="AO18" s="4">
        <f t="shared" si="3"/>
        <v>2.6828910235687786E-4</v>
      </c>
      <c r="AP18" s="4">
        <f t="shared" si="3"/>
        <v>1.2057010364630028E-4</v>
      </c>
      <c r="AQ18" s="4">
        <f t="shared" si="3"/>
        <v>5.4179686630462243E-5</v>
      </c>
      <c r="AR18" s="4">
        <f t="shared" si="3"/>
        <v>2.4345319607821381E-5</v>
      </c>
    </row>
    <row r="19" spans="1:44" x14ac:dyDescent="0.3">
      <c r="A19" s="24" t="s">
        <v>59</v>
      </c>
      <c r="B19" s="47">
        <v>2.8</v>
      </c>
      <c r="C19" s="48">
        <v>2.8</v>
      </c>
      <c r="D19" s="1" t="s">
        <v>60</v>
      </c>
      <c r="L19" s="54">
        <v>15</v>
      </c>
      <c r="M19" s="37">
        <v>0</v>
      </c>
      <c r="N19" s="37">
        <v>1</v>
      </c>
      <c r="O19" s="37">
        <v>0.8</v>
      </c>
      <c r="P19" s="55">
        <v>0.8</v>
      </c>
      <c r="Q19" s="4">
        <f t="shared" si="2"/>
        <v>0.99993227159641906</v>
      </c>
      <c r="R19" s="4">
        <f t="shared" si="2"/>
        <v>0.99987155515136772</v>
      </c>
      <c r="S19" s="4">
        <f t="shared" si="2"/>
        <v>0.99975641006619353</v>
      </c>
      <c r="T19" s="4">
        <f t="shared" si="2"/>
        <v>0.9995380501308736</v>
      </c>
      <c r="U19" s="4">
        <f t="shared" si="2"/>
        <v>0.99912397907241213</v>
      </c>
      <c r="V19" s="4">
        <f t="shared" si="2"/>
        <v>0.99833888850453545</v>
      </c>
      <c r="W19" s="4">
        <f t="shared" si="2"/>
        <v>0.99685076919798865</v>
      </c>
      <c r="X19" s="4">
        <f t="shared" si="2"/>
        <v>0.99403190884795445</v>
      </c>
      <c r="Y19" s="4">
        <f t="shared" si="2"/>
        <v>0.98870000318069773</v>
      </c>
      <c r="Z19" s="4">
        <f t="shared" si="2"/>
        <v>0.97864686803622136</v>
      </c>
      <c r="AA19" s="4">
        <f t="shared" si="2"/>
        <v>0.95982538467280665</v>
      </c>
      <c r="AB19" s="4">
        <f t="shared" si="2"/>
        <v>0.92512705484006208</v>
      </c>
      <c r="AC19" s="4">
        <f t="shared" si="2"/>
        <v>0.86323195930299401</v>
      </c>
      <c r="AD19" s="4">
        <f t="shared" si="2"/>
        <v>0.76000101689477173</v>
      </c>
      <c r="AE19" s="4">
        <f t="shared" si="2"/>
        <v>0.60815171131295576</v>
      </c>
      <c r="AF19" s="4">
        <f t="shared" si="2"/>
        <v>0.42565082250148245</v>
      </c>
      <c r="AG19" s="4">
        <f t="shared" si="3"/>
        <v>0.25686721291665371</v>
      </c>
      <c r="AH19" s="4">
        <f t="shared" si="3"/>
        <v>0.13681012326750519</v>
      </c>
      <c r="AI19" s="4">
        <f t="shared" si="3"/>
        <v>6.7110874479454963E-2</v>
      </c>
      <c r="AJ19" s="4">
        <f t="shared" si="3"/>
        <v>3.1457259534366733E-2</v>
      </c>
      <c r="AK19" s="4">
        <f t="shared" si="3"/>
        <v>1.4415036328376152E-2</v>
      </c>
      <c r="AL19" s="4">
        <f t="shared" si="3"/>
        <v>6.5354046097677587E-3</v>
      </c>
      <c r="AM19" s="4">
        <f t="shared" si="3"/>
        <v>2.9484794129613912E-3</v>
      </c>
      <c r="AN19" s="4">
        <f t="shared" si="3"/>
        <v>1.3272611400154677E-3</v>
      </c>
      <c r="AO19" s="4">
        <f t="shared" si="3"/>
        <v>5.9686760508315118E-4</v>
      </c>
      <c r="AP19" s="4">
        <f t="shared" si="3"/>
        <v>2.6828910235687786E-4</v>
      </c>
      <c r="AQ19" s="4">
        <f t="shared" si="3"/>
        <v>1.2057010364630028E-4</v>
      </c>
      <c r="AR19" s="4">
        <f t="shared" si="3"/>
        <v>5.4179686630462243E-5</v>
      </c>
    </row>
    <row r="20" spans="1:44" x14ac:dyDescent="0.3">
      <c r="A20" s="24" t="s">
        <v>67</v>
      </c>
      <c r="B20" s="45">
        <v>0.15</v>
      </c>
      <c r="C20" s="46">
        <v>0.15</v>
      </c>
      <c r="D20" s="1" t="s">
        <v>68</v>
      </c>
      <c r="L20" s="54">
        <v>16</v>
      </c>
      <c r="M20" s="37">
        <v>0</v>
      </c>
      <c r="N20" s="37">
        <v>1</v>
      </c>
      <c r="O20" s="37">
        <v>0.8</v>
      </c>
      <c r="P20" s="55">
        <v>0.8</v>
      </c>
      <c r="Q20" s="4">
        <f t="shared" si="2"/>
        <v>0.99996428722923425</v>
      </c>
      <c r="R20" s="4">
        <f t="shared" si="2"/>
        <v>0.99993227159641906</v>
      </c>
      <c r="S20" s="4">
        <f t="shared" si="2"/>
        <v>0.99987155515136772</v>
      </c>
      <c r="T20" s="4">
        <f t="shared" si="2"/>
        <v>0.99975641006619353</v>
      </c>
      <c r="U20" s="4">
        <f t="shared" si="2"/>
        <v>0.9995380501308736</v>
      </c>
      <c r="V20" s="4">
        <f t="shared" si="2"/>
        <v>0.99912397907241213</v>
      </c>
      <c r="W20" s="4">
        <f t="shared" si="2"/>
        <v>0.99833888850453545</v>
      </c>
      <c r="X20" s="4">
        <f t="shared" si="2"/>
        <v>0.99685076919798865</v>
      </c>
      <c r="Y20" s="4">
        <f t="shared" si="2"/>
        <v>0.99403190884795445</v>
      </c>
      <c r="Z20" s="4">
        <f t="shared" si="2"/>
        <v>0.98870000318069773</v>
      </c>
      <c r="AA20" s="4">
        <f t="shared" si="2"/>
        <v>0.97864686803622136</v>
      </c>
      <c r="AB20" s="4">
        <f t="shared" si="2"/>
        <v>0.95982538467280665</v>
      </c>
      <c r="AC20" s="4">
        <f t="shared" si="2"/>
        <v>0.92512705484006208</v>
      </c>
      <c r="AD20" s="4">
        <f t="shared" si="2"/>
        <v>0.86323195930299401</v>
      </c>
      <c r="AE20" s="4">
        <f t="shared" si="2"/>
        <v>0.76000101689477173</v>
      </c>
      <c r="AF20" s="4">
        <f t="shared" si="2"/>
        <v>0.60815171131295576</v>
      </c>
      <c r="AG20" s="4">
        <f t="shared" si="3"/>
        <v>0.42565082250148245</v>
      </c>
      <c r="AH20" s="4">
        <f t="shared" si="3"/>
        <v>0.25686721291665371</v>
      </c>
      <c r="AI20" s="4">
        <f t="shared" si="3"/>
        <v>0.13681012326750519</v>
      </c>
      <c r="AJ20" s="4">
        <f t="shared" si="3"/>
        <v>6.7110874479454963E-2</v>
      </c>
      <c r="AK20" s="4">
        <f t="shared" si="3"/>
        <v>3.1457259534366733E-2</v>
      </c>
      <c r="AL20" s="4">
        <f t="shared" si="3"/>
        <v>1.4415036328376152E-2</v>
      </c>
      <c r="AM20" s="4">
        <f t="shared" si="3"/>
        <v>6.5354046097677587E-3</v>
      </c>
      <c r="AN20" s="4">
        <f t="shared" si="3"/>
        <v>2.9484794129613912E-3</v>
      </c>
      <c r="AO20" s="4">
        <f t="shared" si="3"/>
        <v>1.3272611400154677E-3</v>
      </c>
      <c r="AP20" s="4">
        <f t="shared" si="3"/>
        <v>5.9686760508315118E-4</v>
      </c>
      <c r="AQ20" s="4">
        <f t="shared" si="3"/>
        <v>2.6828910235687786E-4</v>
      </c>
      <c r="AR20" s="4">
        <f t="shared" si="3"/>
        <v>1.2057010364630028E-4</v>
      </c>
    </row>
    <row r="21" spans="1:44" x14ac:dyDescent="0.3">
      <c r="A21" s="24" t="s">
        <v>41</v>
      </c>
      <c r="B21" s="43">
        <v>5</v>
      </c>
      <c r="C21" s="44">
        <v>5</v>
      </c>
      <c r="D21" s="1" t="s">
        <v>42</v>
      </c>
      <c r="L21" s="54">
        <v>17</v>
      </c>
      <c r="M21" s="37">
        <v>0</v>
      </c>
      <c r="N21" s="37">
        <v>1</v>
      </c>
      <c r="O21" s="37">
        <v>0.8</v>
      </c>
      <c r="P21" s="55">
        <v>0.8</v>
      </c>
      <c r="Q21" s="4">
        <f t="shared" si="2"/>
        <v>0.99998116890363087</v>
      </c>
      <c r="R21" s="4">
        <f t="shared" si="2"/>
        <v>0.99996428722923425</v>
      </c>
      <c r="S21" s="4">
        <f t="shared" si="2"/>
        <v>0.99993227159641906</v>
      </c>
      <c r="T21" s="4">
        <f t="shared" si="2"/>
        <v>0.99987155515136772</v>
      </c>
      <c r="U21" s="4">
        <f t="shared" si="2"/>
        <v>0.99975641006619353</v>
      </c>
      <c r="V21" s="4">
        <f t="shared" si="2"/>
        <v>0.9995380501308736</v>
      </c>
      <c r="W21" s="4">
        <f t="shared" si="2"/>
        <v>0.99912397907241213</v>
      </c>
      <c r="X21" s="4">
        <f t="shared" si="2"/>
        <v>0.99833888850453545</v>
      </c>
      <c r="Y21" s="4">
        <f t="shared" si="2"/>
        <v>0.99685076919798865</v>
      </c>
      <c r="Z21" s="4">
        <f t="shared" si="2"/>
        <v>0.99403190884795445</v>
      </c>
      <c r="AA21" s="4">
        <f t="shared" si="2"/>
        <v>0.98870000318069773</v>
      </c>
      <c r="AB21" s="4">
        <f t="shared" si="2"/>
        <v>0.97864686803622136</v>
      </c>
      <c r="AC21" s="4">
        <f t="shared" si="2"/>
        <v>0.95982538467280665</v>
      </c>
      <c r="AD21" s="4">
        <f t="shared" si="2"/>
        <v>0.92512705484006208</v>
      </c>
      <c r="AE21" s="4">
        <f t="shared" si="2"/>
        <v>0.86323195930299401</v>
      </c>
      <c r="AF21" s="4">
        <f t="shared" si="2"/>
        <v>0.76000101689477173</v>
      </c>
      <c r="AG21" s="4">
        <f t="shared" si="3"/>
        <v>0.60815171131295576</v>
      </c>
      <c r="AH21" s="4">
        <f t="shared" si="3"/>
        <v>0.42565082250148245</v>
      </c>
      <c r="AI21" s="4">
        <f t="shared" si="3"/>
        <v>0.25686721291665371</v>
      </c>
      <c r="AJ21" s="4">
        <f t="shared" si="3"/>
        <v>0.13681012326750519</v>
      </c>
      <c r="AK21" s="4">
        <f t="shared" si="3"/>
        <v>6.7110874479454963E-2</v>
      </c>
      <c r="AL21" s="4">
        <f t="shared" si="3"/>
        <v>3.1457259534366733E-2</v>
      </c>
      <c r="AM21" s="4">
        <f t="shared" si="3"/>
        <v>1.4415036328376152E-2</v>
      </c>
      <c r="AN21" s="4">
        <f t="shared" si="3"/>
        <v>6.5354046097677587E-3</v>
      </c>
      <c r="AO21" s="4">
        <f t="shared" si="3"/>
        <v>2.9484794129613912E-3</v>
      </c>
      <c r="AP21" s="4">
        <f t="shared" si="3"/>
        <v>1.3272611400154677E-3</v>
      </c>
      <c r="AQ21" s="4">
        <f t="shared" si="3"/>
        <v>5.9686760508315118E-4</v>
      </c>
      <c r="AR21" s="4">
        <f t="shared" si="3"/>
        <v>2.6828910235687786E-4</v>
      </c>
    </row>
    <row r="22" spans="1:44" x14ac:dyDescent="0.3">
      <c r="A22" s="24" t="s">
        <v>70</v>
      </c>
      <c r="B22" s="43">
        <v>12</v>
      </c>
      <c r="C22" s="44">
        <v>12</v>
      </c>
      <c r="D22" s="1" t="s">
        <v>42</v>
      </c>
      <c r="L22" s="54">
        <v>18</v>
      </c>
      <c r="M22" s="37">
        <v>0</v>
      </c>
      <c r="N22" s="37">
        <v>1</v>
      </c>
      <c r="O22" s="37">
        <v>0.8</v>
      </c>
      <c r="P22" s="55">
        <v>0.8</v>
      </c>
      <c r="Q22" s="4">
        <f t="shared" si="2"/>
        <v>0.99999007050012179</v>
      </c>
      <c r="R22" s="4">
        <f t="shared" si="2"/>
        <v>0.99998116890363087</v>
      </c>
      <c r="S22" s="4">
        <f t="shared" si="2"/>
        <v>0.99996428722923425</v>
      </c>
      <c r="T22" s="4">
        <f t="shared" si="2"/>
        <v>0.99993227159641906</v>
      </c>
      <c r="U22" s="4">
        <f t="shared" si="2"/>
        <v>0.99987155515136772</v>
      </c>
      <c r="V22" s="4">
        <f t="shared" si="2"/>
        <v>0.99975641006619353</v>
      </c>
      <c r="W22" s="4">
        <f t="shared" si="2"/>
        <v>0.9995380501308736</v>
      </c>
      <c r="X22" s="4">
        <f t="shared" si="2"/>
        <v>0.99912397907241213</v>
      </c>
      <c r="Y22" s="4">
        <f t="shared" si="2"/>
        <v>0.99833888850453545</v>
      </c>
      <c r="Z22" s="4">
        <f t="shared" si="2"/>
        <v>0.99685076919798865</v>
      </c>
      <c r="AA22" s="4">
        <f t="shared" si="2"/>
        <v>0.99403190884795445</v>
      </c>
      <c r="AB22" s="4">
        <f t="shared" si="2"/>
        <v>0.98870000318069773</v>
      </c>
      <c r="AC22" s="4">
        <f t="shared" si="2"/>
        <v>0.97864686803622136</v>
      </c>
      <c r="AD22" s="4">
        <f t="shared" si="2"/>
        <v>0.95982538467280665</v>
      </c>
      <c r="AE22" s="4">
        <f t="shared" si="2"/>
        <v>0.92512705484006208</v>
      </c>
      <c r="AF22" s="4">
        <f t="shared" si="2"/>
        <v>0.86323195930299401</v>
      </c>
      <c r="AG22" s="4">
        <f t="shared" si="3"/>
        <v>0.76000101689477173</v>
      </c>
      <c r="AH22" s="4">
        <f t="shared" si="3"/>
        <v>0.60815171131295576</v>
      </c>
      <c r="AI22" s="4">
        <f t="shared" si="3"/>
        <v>0.42565082250148245</v>
      </c>
      <c r="AJ22" s="4">
        <f t="shared" si="3"/>
        <v>0.25686721291665371</v>
      </c>
      <c r="AK22" s="4">
        <f t="shared" si="3"/>
        <v>0.13681012326750519</v>
      </c>
      <c r="AL22" s="4">
        <f t="shared" si="3"/>
        <v>6.7110874479454963E-2</v>
      </c>
      <c r="AM22" s="4">
        <f t="shared" si="3"/>
        <v>3.1457259534366733E-2</v>
      </c>
      <c r="AN22" s="4">
        <f t="shared" si="3"/>
        <v>1.4415036328376152E-2</v>
      </c>
      <c r="AO22" s="4">
        <f t="shared" si="3"/>
        <v>6.5354046097677587E-3</v>
      </c>
      <c r="AP22" s="4">
        <f t="shared" si="3"/>
        <v>2.9484794129613912E-3</v>
      </c>
      <c r="AQ22" s="4">
        <f t="shared" si="3"/>
        <v>1.3272611400154677E-3</v>
      </c>
      <c r="AR22" s="4">
        <f t="shared" si="3"/>
        <v>5.9686760508315118E-4</v>
      </c>
    </row>
    <row r="23" spans="1:44" x14ac:dyDescent="0.3">
      <c r="A23" s="24" t="s">
        <v>207</v>
      </c>
      <c r="B23" s="43">
        <v>29</v>
      </c>
      <c r="C23" s="44">
        <v>29</v>
      </c>
      <c r="D23" s="1" t="s">
        <v>49</v>
      </c>
      <c r="L23" s="54">
        <v>19</v>
      </c>
      <c r="M23" s="37">
        <v>0</v>
      </c>
      <c r="N23" s="37">
        <v>1</v>
      </c>
      <c r="O23" s="37">
        <v>0.8</v>
      </c>
      <c r="P23" s="55">
        <v>0.8</v>
      </c>
      <c r="Q23" s="4">
        <f t="shared" si="2"/>
        <v>0.99999476424865408</v>
      </c>
      <c r="R23" s="4">
        <f t="shared" si="2"/>
        <v>0.99999007050012179</v>
      </c>
      <c r="S23" s="4">
        <f t="shared" si="2"/>
        <v>0.99998116890363087</v>
      </c>
      <c r="T23" s="4">
        <f t="shared" si="2"/>
        <v>0.99996428722923425</v>
      </c>
      <c r="U23" s="4">
        <f t="shared" si="2"/>
        <v>0.99993227159641906</v>
      </c>
      <c r="V23" s="4">
        <f t="shared" si="2"/>
        <v>0.99987155515136772</v>
      </c>
      <c r="W23" s="4">
        <f t="shared" si="2"/>
        <v>0.99975641006619353</v>
      </c>
      <c r="X23" s="4">
        <f t="shared" si="2"/>
        <v>0.9995380501308736</v>
      </c>
      <c r="Y23" s="4">
        <f t="shared" si="2"/>
        <v>0.99912397907241213</v>
      </c>
      <c r="Z23" s="4">
        <f t="shared" si="2"/>
        <v>0.99833888850453545</v>
      </c>
      <c r="AA23" s="4">
        <f t="shared" si="2"/>
        <v>0.99685076919798865</v>
      </c>
      <c r="AB23" s="4">
        <f t="shared" si="2"/>
        <v>0.99403190884795445</v>
      </c>
      <c r="AC23" s="4">
        <f t="shared" si="2"/>
        <v>0.98870000318069773</v>
      </c>
      <c r="AD23" s="4">
        <f t="shared" si="2"/>
        <v>0.97864686803622136</v>
      </c>
      <c r="AE23" s="4">
        <f t="shared" si="2"/>
        <v>0.95982538467280665</v>
      </c>
      <c r="AF23" s="4">
        <f t="shared" si="2"/>
        <v>0.92512705484006208</v>
      </c>
      <c r="AG23" s="4">
        <f t="shared" si="3"/>
        <v>0.86323195930299401</v>
      </c>
      <c r="AH23" s="4">
        <f t="shared" si="3"/>
        <v>0.76000101689477173</v>
      </c>
      <c r="AI23" s="4">
        <f t="shared" si="3"/>
        <v>0.60815171131295576</v>
      </c>
      <c r="AJ23" s="4">
        <f t="shared" si="3"/>
        <v>0.42565082250148245</v>
      </c>
      <c r="AK23" s="4">
        <f t="shared" si="3"/>
        <v>0.25686721291665371</v>
      </c>
      <c r="AL23" s="4">
        <f t="shared" si="3"/>
        <v>0.13681012326750519</v>
      </c>
      <c r="AM23" s="4">
        <f t="shared" si="3"/>
        <v>6.7110874479454963E-2</v>
      </c>
      <c r="AN23" s="4">
        <f t="shared" si="3"/>
        <v>3.1457259534366733E-2</v>
      </c>
      <c r="AO23" s="4">
        <f t="shared" si="3"/>
        <v>1.4415036328376152E-2</v>
      </c>
      <c r="AP23" s="4">
        <f t="shared" si="3"/>
        <v>6.5354046097677587E-3</v>
      </c>
      <c r="AQ23" s="4">
        <f t="shared" si="3"/>
        <v>2.9484794129613912E-3</v>
      </c>
      <c r="AR23" s="4">
        <f t="shared" si="3"/>
        <v>1.3272611400154677E-3</v>
      </c>
    </row>
    <row r="24" spans="1:44" x14ac:dyDescent="0.3">
      <c r="A24" s="24" t="s">
        <v>56</v>
      </c>
      <c r="B24" s="45">
        <v>0.46</v>
      </c>
      <c r="C24" s="46">
        <v>0.46</v>
      </c>
      <c r="D24" s="1" t="s">
        <v>57</v>
      </c>
      <c r="L24" s="54">
        <v>20</v>
      </c>
      <c r="M24" s="37">
        <v>0</v>
      </c>
      <c r="N24" s="37">
        <v>1</v>
      </c>
      <c r="O24" s="37">
        <v>0.8</v>
      </c>
      <c r="P24" s="55">
        <v>0.8</v>
      </c>
      <c r="Q24" s="4">
        <f t="shared" si="2"/>
        <v>0.99999723922767647</v>
      </c>
      <c r="R24" s="4">
        <f t="shared" si="2"/>
        <v>0.99999476424865408</v>
      </c>
      <c r="S24" s="4">
        <f t="shared" si="2"/>
        <v>0.99999007050012179</v>
      </c>
      <c r="T24" s="4">
        <f t="shared" si="2"/>
        <v>0.99998116890363087</v>
      </c>
      <c r="U24" s="4">
        <f t="shared" si="2"/>
        <v>0.99996428722923425</v>
      </c>
      <c r="V24" s="4">
        <f t="shared" si="2"/>
        <v>0.99993227159641906</v>
      </c>
      <c r="W24" s="4">
        <f t="shared" si="2"/>
        <v>0.99987155515136772</v>
      </c>
      <c r="X24" s="4">
        <f t="shared" si="2"/>
        <v>0.99975641006619353</v>
      </c>
      <c r="Y24" s="4">
        <f t="shared" si="2"/>
        <v>0.9995380501308736</v>
      </c>
      <c r="Z24" s="4">
        <f t="shared" si="2"/>
        <v>0.99912397907241213</v>
      </c>
      <c r="AA24" s="4">
        <f t="shared" si="2"/>
        <v>0.99833888850453545</v>
      </c>
      <c r="AB24" s="4">
        <f t="shared" si="2"/>
        <v>0.99685076919798865</v>
      </c>
      <c r="AC24" s="4">
        <f t="shared" si="2"/>
        <v>0.99403190884795445</v>
      </c>
      <c r="AD24" s="4">
        <f t="shared" si="2"/>
        <v>0.98870000318069773</v>
      </c>
      <c r="AE24" s="4">
        <f t="shared" si="2"/>
        <v>0.97864686803622136</v>
      </c>
      <c r="AF24" s="4">
        <f t="shared" si="2"/>
        <v>0.95982538467280665</v>
      </c>
      <c r="AG24" s="4">
        <f t="shared" si="3"/>
        <v>0.92512705484006208</v>
      </c>
      <c r="AH24" s="4">
        <f t="shared" si="3"/>
        <v>0.86323195930299401</v>
      </c>
      <c r="AI24" s="4">
        <f t="shared" si="3"/>
        <v>0.76000101689477173</v>
      </c>
      <c r="AJ24" s="4">
        <f t="shared" si="3"/>
        <v>0.60815171131295576</v>
      </c>
      <c r="AK24" s="4">
        <f t="shared" si="3"/>
        <v>0.42565082250148245</v>
      </c>
      <c r="AL24" s="4">
        <f t="shared" si="3"/>
        <v>0.25686721291665371</v>
      </c>
      <c r="AM24" s="4">
        <f t="shared" si="3"/>
        <v>0.13681012326750519</v>
      </c>
      <c r="AN24" s="4">
        <f t="shared" si="3"/>
        <v>6.7110874479454963E-2</v>
      </c>
      <c r="AO24" s="4">
        <f t="shared" si="3"/>
        <v>3.1457259534366733E-2</v>
      </c>
      <c r="AP24" s="4">
        <f t="shared" si="3"/>
        <v>1.4415036328376152E-2</v>
      </c>
      <c r="AQ24" s="4">
        <f t="shared" si="3"/>
        <v>6.5354046097677587E-3</v>
      </c>
      <c r="AR24" s="4">
        <f t="shared" si="3"/>
        <v>2.9484794129613912E-3</v>
      </c>
    </row>
    <row r="25" spans="1:44" x14ac:dyDescent="0.3">
      <c r="A25" s="24" t="s">
        <v>73</v>
      </c>
      <c r="B25" s="45">
        <v>0.05</v>
      </c>
      <c r="C25" s="46">
        <v>0.05</v>
      </c>
      <c r="D25" s="1" t="s">
        <v>57</v>
      </c>
      <c r="L25" s="54">
        <v>21</v>
      </c>
      <c r="M25" s="37">
        <v>0</v>
      </c>
      <c r="N25" s="37">
        <v>1</v>
      </c>
      <c r="O25" s="37">
        <v>0.8</v>
      </c>
      <c r="P25" s="55">
        <v>0.8</v>
      </c>
      <c r="Q25" s="4">
        <f t="shared" si="2"/>
        <v>0.9999985442655972</v>
      </c>
      <c r="R25" s="4">
        <f t="shared" si="2"/>
        <v>0.99999723922767647</v>
      </c>
      <c r="S25" s="4">
        <f t="shared" si="2"/>
        <v>0.99999476424865408</v>
      </c>
      <c r="T25" s="4">
        <f t="shared" si="2"/>
        <v>0.99999007050012179</v>
      </c>
      <c r="U25" s="4">
        <f t="shared" si="2"/>
        <v>0.99998116890363087</v>
      </c>
      <c r="V25" s="4">
        <f t="shared" si="2"/>
        <v>0.99996428722923425</v>
      </c>
      <c r="W25" s="4">
        <f t="shared" si="2"/>
        <v>0.99993227159641906</v>
      </c>
      <c r="X25" s="4">
        <f t="shared" si="2"/>
        <v>0.99987155515136772</v>
      </c>
      <c r="Y25" s="4">
        <f t="shared" si="2"/>
        <v>0.99975641006619353</v>
      </c>
      <c r="Z25" s="4">
        <f t="shared" si="2"/>
        <v>0.9995380501308736</v>
      </c>
      <c r="AA25" s="4">
        <f t="shared" si="2"/>
        <v>0.99912397907241213</v>
      </c>
      <c r="AB25" s="4">
        <f t="shared" si="2"/>
        <v>0.99833888850453545</v>
      </c>
      <c r="AC25" s="4">
        <f t="shared" si="2"/>
        <v>0.99685076919798865</v>
      </c>
      <c r="AD25" s="4">
        <f t="shared" si="2"/>
        <v>0.99403190884795445</v>
      </c>
      <c r="AE25" s="4">
        <f t="shared" si="2"/>
        <v>0.98870000318069773</v>
      </c>
      <c r="AF25" s="4">
        <f t="shared" si="2"/>
        <v>0.97864686803622136</v>
      </c>
      <c r="AG25" s="4">
        <f t="shared" si="3"/>
        <v>0.95982538467280665</v>
      </c>
      <c r="AH25" s="4">
        <f t="shared" si="3"/>
        <v>0.92512705484006208</v>
      </c>
      <c r="AI25" s="4">
        <f t="shared" si="3"/>
        <v>0.86323195930299401</v>
      </c>
      <c r="AJ25" s="4">
        <f t="shared" si="3"/>
        <v>0.76000101689477173</v>
      </c>
      <c r="AK25" s="4">
        <f t="shared" si="3"/>
        <v>0.60815171131295576</v>
      </c>
      <c r="AL25" s="4">
        <f t="shared" si="3"/>
        <v>0.42565082250148245</v>
      </c>
      <c r="AM25" s="4">
        <f t="shared" si="3"/>
        <v>0.25686721291665371</v>
      </c>
      <c r="AN25" s="4">
        <f t="shared" si="3"/>
        <v>0.13681012326750519</v>
      </c>
      <c r="AO25" s="4">
        <f t="shared" si="3"/>
        <v>6.7110874479454963E-2</v>
      </c>
      <c r="AP25" s="4">
        <f t="shared" si="3"/>
        <v>3.1457259534366733E-2</v>
      </c>
      <c r="AQ25" s="4">
        <f t="shared" si="3"/>
        <v>1.4415036328376152E-2</v>
      </c>
      <c r="AR25" s="4">
        <f t="shared" si="3"/>
        <v>6.5354046097677587E-3</v>
      </c>
    </row>
    <row r="26" spans="1:44" ht="15" thickBot="1" x14ac:dyDescent="0.35">
      <c r="A26" s="24" t="s">
        <v>64</v>
      </c>
      <c r="B26" s="49">
        <v>105000</v>
      </c>
      <c r="C26" s="50">
        <v>105000</v>
      </c>
      <c r="D26" s="1" t="s">
        <v>65</v>
      </c>
      <c r="L26" s="56">
        <v>22</v>
      </c>
      <c r="M26" s="57">
        <v>0</v>
      </c>
      <c r="N26" s="57">
        <v>1</v>
      </c>
      <c r="O26" s="57">
        <v>0.8</v>
      </c>
      <c r="P26" s="58">
        <v>0.8</v>
      </c>
      <c r="Q26" s="4">
        <f t="shared" si="2"/>
        <v>0.99999923240226085</v>
      </c>
      <c r="R26" s="4">
        <f t="shared" si="2"/>
        <v>0.9999985442655972</v>
      </c>
      <c r="S26" s="4">
        <f t="shared" si="2"/>
        <v>0.99999723922767647</v>
      </c>
      <c r="T26" s="4">
        <f t="shared" si="2"/>
        <v>0.99999476424865408</v>
      </c>
      <c r="U26" s="4">
        <f t="shared" si="2"/>
        <v>0.99999007050012179</v>
      </c>
      <c r="V26" s="4">
        <f t="shared" si="2"/>
        <v>0.99998116890363087</v>
      </c>
      <c r="W26" s="4">
        <f t="shared" si="2"/>
        <v>0.99996428722923425</v>
      </c>
      <c r="X26" s="4">
        <f t="shared" si="2"/>
        <v>0.99993227159641906</v>
      </c>
      <c r="Y26" s="4">
        <f t="shared" si="2"/>
        <v>0.99987155515136772</v>
      </c>
      <c r="Z26" s="4">
        <f t="shared" si="2"/>
        <v>0.99975641006619353</v>
      </c>
      <c r="AA26" s="4">
        <f t="shared" si="2"/>
        <v>0.9995380501308736</v>
      </c>
      <c r="AB26" s="4">
        <f t="shared" si="2"/>
        <v>0.99912397907241213</v>
      </c>
      <c r="AC26" s="4">
        <f t="shared" si="2"/>
        <v>0.99833888850453545</v>
      </c>
      <c r="AD26" s="4">
        <f t="shared" si="2"/>
        <v>0.99685076919798865</v>
      </c>
      <c r="AE26" s="4">
        <f t="shared" si="2"/>
        <v>0.99403190884795445</v>
      </c>
      <c r="AF26" s="4">
        <f t="shared" si="2"/>
        <v>0.98870000318069773</v>
      </c>
      <c r="AG26" s="4">
        <f t="shared" si="3"/>
        <v>0.97864686803622136</v>
      </c>
      <c r="AH26" s="4">
        <f t="shared" si="3"/>
        <v>0.95982538467280665</v>
      </c>
      <c r="AI26" s="4">
        <f t="shared" si="3"/>
        <v>0.92512705484006208</v>
      </c>
      <c r="AJ26" s="4">
        <f t="shared" si="3"/>
        <v>0.86323195930299401</v>
      </c>
      <c r="AK26" s="4">
        <f t="shared" si="3"/>
        <v>0.76000101689477173</v>
      </c>
      <c r="AL26" s="4">
        <f t="shared" si="3"/>
        <v>0.60815171131295576</v>
      </c>
      <c r="AM26" s="4">
        <f t="shared" si="3"/>
        <v>0.42565082250148245</v>
      </c>
      <c r="AN26" s="4">
        <f t="shared" si="3"/>
        <v>0.25686721291665371</v>
      </c>
      <c r="AO26" s="4">
        <f t="shared" si="3"/>
        <v>0.13681012326750519</v>
      </c>
      <c r="AP26" s="4">
        <f t="shared" si="3"/>
        <v>6.7110874479454963E-2</v>
      </c>
      <c r="AQ26" s="4">
        <f t="shared" si="3"/>
        <v>3.1457259534366733E-2</v>
      </c>
      <c r="AR26" s="4">
        <f t="shared" si="3"/>
        <v>1.4415036328376152E-2</v>
      </c>
    </row>
    <row r="27" spans="1:44" x14ac:dyDescent="0.3">
      <c r="A27" s="25"/>
      <c r="B27" s="40"/>
    </row>
    <row r="28" spans="1:44" ht="15" thickBot="1" x14ac:dyDescent="0.35"/>
    <row r="29" spans="1:44" ht="15" thickBot="1" x14ac:dyDescent="0.35">
      <c r="A29" s="26" t="s">
        <v>208</v>
      </c>
      <c r="B29" s="27">
        <v>2023</v>
      </c>
      <c r="C29" s="27">
        <v>2024</v>
      </c>
      <c r="D29" s="27">
        <v>2025</v>
      </c>
      <c r="E29" s="27">
        <v>2026</v>
      </c>
      <c r="F29" s="27">
        <v>2027</v>
      </c>
      <c r="G29" s="27">
        <v>2028</v>
      </c>
      <c r="H29" s="27">
        <v>2029</v>
      </c>
      <c r="I29" s="27">
        <v>2030</v>
      </c>
      <c r="J29" s="27">
        <v>2031</v>
      </c>
      <c r="K29" s="27">
        <v>2032</v>
      </c>
      <c r="L29" s="27">
        <v>2033</v>
      </c>
      <c r="M29" s="27">
        <v>2034</v>
      </c>
      <c r="N29" s="27">
        <v>2035</v>
      </c>
      <c r="O29" s="27">
        <v>2036</v>
      </c>
      <c r="P29" s="27">
        <v>2037</v>
      </c>
      <c r="Q29" s="27">
        <v>2038</v>
      </c>
      <c r="R29" s="27">
        <v>2039</v>
      </c>
      <c r="S29" s="27">
        <v>2040</v>
      </c>
      <c r="T29" s="27">
        <v>2041</v>
      </c>
      <c r="U29" s="27">
        <v>2042</v>
      </c>
      <c r="V29" s="27">
        <v>2043</v>
      </c>
      <c r="W29" s="27">
        <v>2044</v>
      </c>
      <c r="X29" s="27">
        <v>2045</v>
      </c>
      <c r="Y29" s="27">
        <v>2046</v>
      </c>
      <c r="Z29" s="27">
        <v>2047</v>
      </c>
      <c r="AA29" s="27">
        <v>2048</v>
      </c>
      <c r="AB29" s="27">
        <v>2049</v>
      </c>
      <c r="AC29" s="28">
        <v>2050</v>
      </c>
    </row>
    <row r="30" spans="1:44" x14ac:dyDescent="0.3">
      <c r="A30" s="29" t="str">
        <f t="shared" ref="A30:A43" si="4">A11</f>
        <v>Capex vehicle</v>
      </c>
      <c r="B30" s="62">
        <f t="shared" ref="B30:B42" si="5">$B11+($C11-$B11)*(1-Q11)</f>
        <v>100000</v>
      </c>
      <c r="C30" s="62">
        <f t="shared" ref="C30:AC30" si="6">$B11+($C11-$B11)*(1-R11)</f>
        <v>100000</v>
      </c>
      <c r="D30" s="62">
        <f t="shared" si="6"/>
        <v>100000</v>
      </c>
      <c r="E30" s="62">
        <f t="shared" si="6"/>
        <v>100000</v>
      </c>
      <c r="F30" s="62">
        <f t="shared" si="6"/>
        <v>100000</v>
      </c>
      <c r="G30" s="62">
        <f t="shared" si="6"/>
        <v>100000</v>
      </c>
      <c r="H30" s="62">
        <f t="shared" si="6"/>
        <v>100000</v>
      </c>
      <c r="I30" s="62">
        <f t="shared" si="6"/>
        <v>100000</v>
      </c>
      <c r="J30" s="62">
        <f t="shared" si="6"/>
        <v>100000</v>
      </c>
      <c r="K30" s="62">
        <f t="shared" si="6"/>
        <v>100000</v>
      </c>
      <c r="L30" s="62">
        <f t="shared" si="6"/>
        <v>100000</v>
      </c>
      <c r="M30" s="62">
        <f t="shared" si="6"/>
        <v>100000</v>
      </c>
      <c r="N30" s="62">
        <f t="shared" si="6"/>
        <v>100000</v>
      </c>
      <c r="O30" s="62">
        <f t="shared" si="6"/>
        <v>100000</v>
      </c>
      <c r="P30" s="62">
        <f t="shared" si="6"/>
        <v>100000</v>
      </c>
      <c r="Q30" s="62">
        <f t="shared" si="6"/>
        <v>100000</v>
      </c>
      <c r="R30" s="62">
        <f t="shared" si="6"/>
        <v>100000</v>
      </c>
      <c r="S30" s="62">
        <f t="shared" si="6"/>
        <v>100000</v>
      </c>
      <c r="T30" s="62">
        <f t="shared" si="6"/>
        <v>100000</v>
      </c>
      <c r="U30" s="62">
        <f t="shared" si="6"/>
        <v>100000</v>
      </c>
      <c r="V30" s="62">
        <f t="shared" si="6"/>
        <v>100000</v>
      </c>
      <c r="W30" s="62">
        <f t="shared" si="6"/>
        <v>100000</v>
      </c>
      <c r="X30" s="62">
        <f t="shared" si="6"/>
        <v>100000</v>
      </c>
      <c r="Y30" s="62">
        <f t="shared" si="6"/>
        <v>100000</v>
      </c>
      <c r="Z30" s="62">
        <f t="shared" si="6"/>
        <v>100000</v>
      </c>
      <c r="AA30" s="62">
        <f t="shared" si="6"/>
        <v>100000</v>
      </c>
      <c r="AB30" s="62">
        <f t="shared" si="6"/>
        <v>100000</v>
      </c>
      <c r="AC30" s="62">
        <f t="shared" si="6"/>
        <v>100000</v>
      </c>
    </row>
    <row r="31" spans="1:44" x14ac:dyDescent="0.3">
      <c r="A31" s="30" t="str">
        <f t="shared" si="4"/>
        <v>Residual value (vehicle)</v>
      </c>
      <c r="B31" s="62">
        <f t="shared" si="5"/>
        <v>-30000</v>
      </c>
      <c r="C31" s="62">
        <f t="shared" ref="C31:AC31" si="7">$B12+($C12-$B12)*(1-R12)</f>
        <v>-30000</v>
      </c>
      <c r="D31" s="62">
        <f t="shared" si="7"/>
        <v>-30000</v>
      </c>
      <c r="E31" s="62">
        <f t="shared" si="7"/>
        <v>-30000</v>
      </c>
      <c r="F31" s="62">
        <f t="shared" si="7"/>
        <v>-30000</v>
      </c>
      <c r="G31" s="62">
        <f t="shared" si="7"/>
        <v>-30000</v>
      </c>
      <c r="H31" s="62">
        <f t="shared" si="7"/>
        <v>-30000</v>
      </c>
      <c r="I31" s="62">
        <f t="shared" si="7"/>
        <v>-30000</v>
      </c>
      <c r="J31" s="62">
        <f t="shared" si="7"/>
        <v>-30000</v>
      </c>
      <c r="K31" s="62">
        <f t="shared" si="7"/>
        <v>-30000</v>
      </c>
      <c r="L31" s="62">
        <f t="shared" si="7"/>
        <v>-30000</v>
      </c>
      <c r="M31" s="62">
        <f t="shared" si="7"/>
        <v>-30000</v>
      </c>
      <c r="N31" s="62">
        <f t="shared" si="7"/>
        <v>-30000</v>
      </c>
      <c r="O31" s="62">
        <f t="shared" si="7"/>
        <v>-30000</v>
      </c>
      <c r="P31" s="62">
        <f t="shared" si="7"/>
        <v>-30000</v>
      </c>
      <c r="Q31" s="62">
        <f t="shared" si="7"/>
        <v>-30000</v>
      </c>
      <c r="R31" s="62">
        <f t="shared" si="7"/>
        <v>-30000</v>
      </c>
      <c r="S31" s="62">
        <f t="shared" si="7"/>
        <v>-30000</v>
      </c>
      <c r="T31" s="62">
        <f t="shared" si="7"/>
        <v>-30000</v>
      </c>
      <c r="U31" s="62">
        <f t="shared" si="7"/>
        <v>-30000</v>
      </c>
      <c r="V31" s="62">
        <f t="shared" si="7"/>
        <v>-30000</v>
      </c>
      <c r="W31" s="62">
        <f t="shared" si="7"/>
        <v>-30000</v>
      </c>
      <c r="X31" s="62">
        <f t="shared" si="7"/>
        <v>-30000</v>
      </c>
      <c r="Y31" s="62">
        <f t="shared" si="7"/>
        <v>-30000</v>
      </c>
      <c r="Z31" s="62">
        <f t="shared" si="7"/>
        <v>-30000</v>
      </c>
      <c r="AA31" s="62">
        <f t="shared" si="7"/>
        <v>-30000</v>
      </c>
      <c r="AB31" s="62">
        <f t="shared" si="7"/>
        <v>-30000</v>
      </c>
      <c r="AC31" s="62">
        <f t="shared" si="7"/>
        <v>-30000</v>
      </c>
    </row>
    <row r="32" spans="1:44" x14ac:dyDescent="0.3">
      <c r="A32" s="30" t="str">
        <f t="shared" si="4"/>
        <v>Capex costumization</v>
      </c>
      <c r="B32" s="62">
        <f t="shared" si="5"/>
        <v>50000</v>
      </c>
      <c r="C32" s="62">
        <f t="shared" ref="C32:AC32" si="8">$B13+($C13-$B13)*(1-R13)</f>
        <v>50000</v>
      </c>
      <c r="D32" s="62">
        <f t="shared" si="8"/>
        <v>50000</v>
      </c>
      <c r="E32" s="62">
        <f t="shared" si="8"/>
        <v>50000</v>
      </c>
      <c r="F32" s="62">
        <f t="shared" si="8"/>
        <v>50000</v>
      </c>
      <c r="G32" s="62">
        <f t="shared" si="8"/>
        <v>50000</v>
      </c>
      <c r="H32" s="62">
        <f t="shared" si="8"/>
        <v>50000</v>
      </c>
      <c r="I32" s="62">
        <f t="shared" si="8"/>
        <v>50000</v>
      </c>
      <c r="J32" s="62">
        <f t="shared" si="8"/>
        <v>50000</v>
      </c>
      <c r="K32" s="62">
        <f t="shared" si="8"/>
        <v>50000</v>
      </c>
      <c r="L32" s="62">
        <f t="shared" si="8"/>
        <v>50000</v>
      </c>
      <c r="M32" s="62">
        <f t="shared" si="8"/>
        <v>50000</v>
      </c>
      <c r="N32" s="62">
        <f t="shared" si="8"/>
        <v>50000</v>
      </c>
      <c r="O32" s="62">
        <f t="shared" si="8"/>
        <v>50000</v>
      </c>
      <c r="P32" s="62">
        <f t="shared" si="8"/>
        <v>50000</v>
      </c>
      <c r="Q32" s="62">
        <f t="shared" si="8"/>
        <v>50000</v>
      </c>
      <c r="R32" s="62">
        <f t="shared" si="8"/>
        <v>50000</v>
      </c>
      <c r="S32" s="62">
        <f t="shared" si="8"/>
        <v>50000</v>
      </c>
      <c r="T32" s="62">
        <f t="shared" si="8"/>
        <v>50000</v>
      </c>
      <c r="U32" s="62">
        <f t="shared" si="8"/>
        <v>50000</v>
      </c>
      <c r="V32" s="62">
        <f t="shared" si="8"/>
        <v>50000</v>
      </c>
      <c r="W32" s="62">
        <f t="shared" si="8"/>
        <v>50000</v>
      </c>
      <c r="X32" s="62">
        <f t="shared" si="8"/>
        <v>50000</v>
      </c>
      <c r="Y32" s="62">
        <f t="shared" si="8"/>
        <v>50000</v>
      </c>
      <c r="Z32" s="62">
        <f t="shared" si="8"/>
        <v>50000</v>
      </c>
      <c r="AA32" s="62">
        <f t="shared" si="8"/>
        <v>50000</v>
      </c>
      <c r="AB32" s="62">
        <f t="shared" si="8"/>
        <v>50000</v>
      </c>
      <c r="AC32" s="62">
        <f t="shared" si="8"/>
        <v>50000</v>
      </c>
    </row>
    <row r="33" spans="1:29" x14ac:dyDescent="0.3">
      <c r="A33" s="30" t="str">
        <f t="shared" si="4"/>
        <v>Residual value (costumization)</v>
      </c>
      <c r="B33" s="62">
        <f t="shared" si="5"/>
        <v>-5000</v>
      </c>
      <c r="C33" s="62">
        <f t="shared" ref="C33:AC33" si="9">$B14+($C14-$B14)*(1-R14)</f>
        <v>-5000</v>
      </c>
      <c r="D33" s="62">
        <f t="shared" si="9"/>
        <v>-5000</v>
      </c>
      <c r="E33" s="62">
        <f t="shared" si="9"/>
        <v>-5000</v>
      </c>
      <c r="F33" s="62">
        <f t="shared" si="9"/>
        <v>-5000</v>
      </c>
      <c r="G33" s="62">
        <f t="shared" si="9"/>
        <v>-5000</v>
      </c>
      <c r="H33" s="62">
        <f t="shared" si="9"/>
        <v>-5000</v>
      </c>
      <c r="I33" s="62">
        <f t="shared" si="9"/>
        <v>-5000</v>
      </c>
      <c r="J33" s="62">
        <f t="shared" si="9"/>
        <v>-5000</v>
      </c>
      <c r="K33" s="62">
        <f t="shared" si="9"/>
        <v>-5000</v>
      </c>
      <c r="L33" s="62">
        <f t="shared" si="9"/>
        <v>-5000</v>
      </c>
      <c r="M33" s="62">
        <f t="shared" si="9"/>
        <v>-5000</v>
      </c>
      <c r="N33" s="62">
        <f t="shared" si="9"/>
        <v>-5000</v>
      </c>
      <c r="O33" s="62">
        <f t="shared" si="9"/>
        <v>-5000</v>
      </c>
      <c r="P33" s="62">
        <f t="shared" si="9"/>
        <v>-5000</v>
      </c>
      <c r="Q33" s="62">
        <f t="shared" si="9"/>
        <v>-5000</v>
      </c>
      <c r="R33" s="62">
        <f t="shared" si="9"/>
        <v>-5000</v>
      </c>
      <c r="S33" s="62">
        <f t="shared" si="9"/>
        <v>-5000</v>
      </c>
      <c r="T33" s="62">
        <f t="shared" si="9"/>
        <v>-5000</v>
      </c>
      <c r="U33" s="62">
        <f t="shared" si="9"/>
        <v>-5000</v>
      </c>
      <c r="V33" s="62">
        <f t="shared" si="9"/>
        <v>-5000</v>
      </c>
      <c r="W33" s="62">
        <f t="shared" si="9"/>
        <v>-5000</v>
      </c>
      <c r="X33" s="62">
        <f t="shared" si="9"/>
        <v>-5000</v>
      </c>
      <c r="Y33" s="62">
        <f t="shared" si="9"/>
        <v>-5000</v>
      </c>
      <c r="Z33" s="62">
        <f t="shared" si="9"/>
        <v>-5000</v>
      </c>
      <c r="AA33" s="62">
        <f t="shared" si="9"/>
        <v>-5000</v>
      </c>
      <c r="AB33" s="62">
        <f t="shared" si="9"/>
        <v>-5000</v>
      </c>
      <c r="AC33" s="62">
        <f t="shared" si="9"/>
        <v>-5000</v>
      </c>
    </row>
    <row r="34" spans="1:29" x14ac:dyDescent="0.3">
      <c r="A34" s="30" t="str">
        <f t="shared" si="4"/>
        <v>WACC</v>
      </c>
      <c r="B34" s="62">
        <f t="shared" si="5"/>
        <v>0.06</v>
      </c>
      <c r="C34" s="62">
        <f t="shared" ref="C34:AC34" si="10">$B15+($C15-$B15)*(1-R15)</f>
        <v>0.06</v>
      </c>
      <c r="D34" s="62">
        <f t="shared" si="10"/>
        <v>0.06</v>
      </c>
      <c r="E34" s="62">
        <f t="shared" si="10"/>
        <v>0.06</v>
      </c>
      <c r="F34" s="62">
        <f t="shared" si="10"/>
        <v>0.06</v>
      </c>
      <c r="G34" s="62">
        <f t="shared" si="10"/>
        <v>0.06</v>
      </c>
      <c r="H34" s="62">
        <f t="shared" si="10"/>
        <v>0.06</v>
      </c>
      <c r="I34" s="62">
        <f t="shared" si="10"/>
        <v>0.06</v>
      </c>
      <c r="J34" s="62">
        <f t="shared" si="10"/>
        <v>0.06</v>
      </c>
      <c r="K34" s="62">
        <f t="shared" si="10"/>
        <v>0.06</v>
      </c>
      <c r="L34" s="62">
        <f t="shared" si="10"/>
        <v>0.06</v>
      </c>
      <c r="M34" s="62">
        <f t="shared" si="10"/>
        <v>0.06</v>
      </c>
      <c r="N34" s="62">
        <f t="shared" si="10"/>
        <v>0.06</v>
      </c>
      <c r="O34" s="62">
        <f t="shared" si="10"/>
        <v>0.06</v>
      </c>
      <c r="P34" s="62">
        <f t="shared" si="10"/>
        <v>0.06</v>
      </c>
      <c r="Q34" s="62">
        <f t="shared" si="10"/>
        <v>0.06</v>
      </c>
      <c r="R34" s="62">
        <f t="shared" si="10"/>
        <v>0.06</v>
      </c>
      <c r="S34" s="62">
        <f t="shared" si="10"/>
        <v>0.06</v>
      </c>
      <c r="T34" s="62">
        <f t="shared" si="10"/>
        <v>0.06</v>
      </c>
      <c r="U34" s="62">
        <f t="shared" si="10"/>
        <v>0.06</v>
      </c>
      <c r="V34" s="62">
        <f t="shared" si="10"/>
        <v>0.06</v>
      </c>
      <c r="W34" s="62">
        <f t="shared" si="10"/>
        <v>0.06</v>
      </c>
      <c r="X34" s="62">
        <f t="shared" si="10"/>
        <v>0.06</v>
      </c>
      <c r="Y34" s="62">
        <f t="shared" si="10"/>
        <v>0.06</v>
      </c>
      <c r="Z34" s="62">
        <f t="shared" si="10"/>
        <v>0.06</v>
      </c>
      <c r="AA34" s="62">
        <f t="shared" si="10"/>
        <v>0.06</v>
      </c>
      <c r="AB34" s="62">
        <f t="shared" si="10"/>
        <v>0.06</v>
      </c>
      <c r="AC34" s="62">
        <f t="shared" si="10"/>
        <v>0.06</v>
      </c>
    </row>
    <row r="35" spans="1:29" x14ac:dyDescent="0.3">
      <c r="A35" s="30" t="str">
        <f t="shared" si="4"/>
        <v>Opex fix (admin, crew, insurance)</v>
      </c>
      <c r="B35" s="62">
        <f t="shared" si="5"/>
        <v>85000</v>
      </c>
      <c r="C35" s="62">
        <f t="shared" ref="C35:AC35" si="11">$B16+($C16-$B16)*(1-R16)</f>
        <v>85000</v>
      </c>
      <c r="D35" s="62">
        <f t="shared" si="11"/>
        <v>85000</v>
      </c>
      <c r="E35" s="62">
        <f t="shared" si="11"/>
        <v>85000</v>
      </c>
      <c r="F35" s="62">
        <f t="shared" si="11"/>
        <v>85000</v>
      </c>
      <c r="G35" s="62">
        <f t="shared" si="11"/>
        <v>85000</v>
      </c>
      <c r="H35" s="62">
        <f t="shared" si="11"/>
        <v>85000</v>
      </c>
      <c r="I35" s="62">
        <f t="shared" si="11"/>
        <v>85000</v>
      </c>
      <c r="J35" s="62">
        <f t="shared" si="11"/>
        <v>85000</v>
      </c>
      <c r="K35" s="62">
        <f t="shared" si="11"/>
        <v>85000</v>
      </c>
      <c r="L35" s="62">
        <f t="shared" si="11"/>
        <v>85000</v>
      </c>
      <c r="M35" s="62">
        <f t="shared" si="11"/>
        <v>85000</v>
      </c>
      <c r="N35" s="62">
        <f t="shared" si="11"/>
        <v>85000</v>
      </c>
      <c r="O35" s="62">
        <f t="shared" si="11"/>
        <v>85000</v>
      </c>
      <c r="P35" s="62">
        <f t="shared" si="11"/>
        <v>85000</v>
      </c>
      <c r="Q35" s="62">
        <f t="shared" si="11"/>
        <v>85000</v>
      </c>
      <c r="R35" s="62">
        <f t="shared" si="11"/>
        <v>85000</v>
      </c>
      <c r="S35" s="62">
        <f t="shared" si="11"/>
        <v>85000</v>
      </c>
      <c r="T35" s="62">
        <f t="shared" si="11"/>
        <v>85000</v>
      </c>
      <c r="U35" s="62">
        <f t="shared" si="11"/>
        <v>85000</v>
      </c>
      <c r="V35" s="62">
        <f t="shared" si="11"/>
        <v>85000</v>
      </c>
      <c r="W35" s="62">
        <f t="shared" si="11"/>
        <v>85000</v>
      </c>
      <c r="X35" s="62">
        <f t="shared" si="11"/>
        <v>85000</v>
      </c>
      <c r="Y35" s="62">
        <f t="shared" si="11"/>
        <v>85000</v>
      </c>
      <c r="Z35" s="62">
        <f t="shared" si="11"/>
        <v>85000</v>
      </c>
      <c r="AA35" s="62">
        <f t="shared" si="11"/>
        <v>85000</v>
      </c>
      <c r="AB35" s="62">
        <f t="shared" si="11"/>
        <v>85000</v>
      </c>
      <c r="AC35" s="62">
        <f t="shared" si="11"/>
        <v>85000</v>
      </c>
    </row>
    <row r="36" spans="1:29" x14ac:dyDescent="0.3">
      <c r="A36" s="30" t="str">
        <f t="shared" si="4"/>
        <v>Opex maintenance &amp; repair</v>
      </c>
      <c r="B36" s="62">
        <f t="shared" si="5"/>
        <v>20000</v>
      </c>
      <c r="C36" s="62">
        <f t="shared" ref="C36:AC36" si="12">$B17+($C17-$B17)*(1-R17)</f>
        <v>20000</v>
      </c>
      <c r="D36" s="62">
        <f t="shared" si="12"/>
        <v>20000</v>
      </c>
      <c r="E36" s="62">
        <f t="shared" si="12"/>
        <v>20000</v>
      </c>
      <c r="F36" s="62">
        <f t="shared" si="12"/>
        <v>20000</v>
      </c>
      <c r="G36" s="62">
        <f t="shared" si="12"/>
        <v>20000</v>
      </c>
      <c r="H36" s="62">
        <f t="shared" si="12"/>
        <v>20000</v>
      </c>
      <c r="I36" s="62">
        <f t="shared" si="12"/>
        <v>20000</v>
      </c>
      <c r="J36" s="62">
        <f t="shared" si="12"/>
        <v>20000</v>
      </c>
      <c r="K36" s="62">
        <f t="shared" si="12"/>
        <v>20000</v>
      </c>
      <c r="L36" s="62">
        <f t="shared" si="12"/>
        <v>20000</v>
      </c>
      <c r="M36" s="62">
        <f t="shared" si="12"/>
        <v>20000</v>
      </c>
      <c r="N36" s="62">
        <f t="shared" si="12"/>
        <v>20000</v>
      </c>
      <c r="O36" s="62">
        <f t="shared" si="12"/>
        <v>20000</v>
      </c>
      <c r="P36" s="62">
        <f t="shared" si="12"/>
        <v>20000</v>
      </c>
      <c r="Q36" s="62">
        <f t="shared" si="12"/>
        <v>20000</v>
      </c>
      <c r="R36" s="62">
        <f t="shared" si="12"/>
        <v>20000</v>
      </c>
      <c r="S36" s="62">
        <f t="shared" si="12"/>
        <v>20000</v>
      </c>
      <c r="T36" s="62">
        <f t="shared" si="12"/>
        <v>20000</v>
      </c>
      <c r="U36" s="62">
        <f t="shared" si="12"/>
        <v>20000</v>
      </c>
      <c r="V36" s="62">
        <f t="shared" si="12"/>
        <v>20000</v>
      </c>
      <c r="W36" s="62">
        <f t="shared" si="12"/>
        <v>20000</v>
      </c>
      <c r="X36" s="62">
        <f t="shared" si="12"/>
        <v>20000</v>
      </c>
      <c r="Y36" s="62">
        <f t="shared" si="12"/>
        <v>20000</v>
      </c>
      <c r="Z36" s="62">
        <f t="shared" si="12"/>
        <v>20000</v>
      </c>
      <c r="AA36" s="62">
        <f t="shared" si="12"/>
        <v>20000</v>
      </c>
      <c r="AB36" s="62">
        <f t="shared" si="12"/>
        <v>20000</v>
      </c>
      <c r="AC36" s="62">
        <f t="shared" si="12"/>
        <v>20000</v>
      </c>
    </row>
    <row r="37" spans="1:29" x14ac:dyDescent="0.3">
      <c r="A37" s="30" t="str">
        <f t="shared" si="4"/>
        <v>Opex var (mode-fees, cargo handling)</v>
      </c>
      <c r="B37" s="62">
        <f t="shared" si="5"/>
        <v>9.5238095238095247E-3</v>
      </c>
      <c r="C37" s="62">
        <f t="shared" ref="C37:AC37" si="13">$B18+($C18-$B18)*(1-R18)</f>
        <v>9.5238095238095247E-3</v>
      </c>
      <c r="D37" s="62">
        <f t="shared" si="13"/>
        <v>9.5238095238095247E-3</v>
      </c>
      <c r="E37" s="62">
        <f t="shared" si="13"/>
        <v>9.5238095238095247E-3</v>
      </c>
      <c r="F37" s="62">
        <f t="shared" si="13"/>
        <v>9.5238095238095247E-3</v>
      </c>
      <c r="G37" s="62">
        <f t="shared" si="13"/>
        <v>9.5238095238095247E-3</v>
      </c>
      <c r="H37" s="62">
        <f t="shared" si="13"/>
        <v>9.5238095238095247E-3</v>
      </c>
      <c r="I37" s="62">
        <f t="shared" si="13"/>
        <v>9.5238095238095247E-3</v>
      </c>
      <c r="J37" s="62">
        <f t="shared" si="13"/>
        <v>9.5238095238095247E-3</v>
      </c>
      <c r="K37" s="62">
        <f t="shared" si="13"/>
        <v>9.5238095238095247E-3</v>
      </c>
      <c r="L37" s="62">
        <f t="shared" si="13"/>
        <v>9.5238095238095247E-3</v>
      </c>
      <c r="M37" s="62">
        <f t="shared" si="13"/>
        <v>9.5238095238095247E-3</v>
      </c>
      <c r="N37" s="62">
        <f t="shared" si="13"/>
        <v>9.5238095238095247E-3</v>
      </c>
      <c r="O37" s="62">
        <f t="shared" si="13"/>
        <v>9.5238095238095247E-3</v>
      </c>
      <c r="P37" s="62">
        <f t="shared" si="13"/>
        <v>9.5238095238095247E-3</v>
      </c>
      <c r="Q37" s="62">
        <f t="shared" si="13"/>
        <v>9.5238095238095247E-3</v>
      </c>
      <c r="R37" s="62">
        <f t="shared" si="13"/>
        <v>9.5238095238095247E-3</v>
      </c>
      <c r="S37" s="62">
        <f t="shared" si="13"/>
        <v>9.5238095238095247E-3</v>
      </c>
      <c r="T37" s="62">
        <f t="shared" si="13"/>
        <v>9.5238095238095247E-3</v>
      </c>
      <c r="U37" s="62">
        <f t="shared" si="13"/>
        <v>9.5238095238095247E-3</v>
      </c>
      <c r="V37" s="62">
        <f t="shared" si="13"/>
        <v>9.5238095238095247E-3</v>
      </c>
      <c r="W37" s="62">
        <f t="shared" si="13"/>
        <v>9.5238095238095247E-3</v>
      </c>
      <c r="X37" s="62">
        <f t="shared" si="13"/>
        <v>9.5238095238095247E-3</v>
      </c>
      <c r="Y37" s="62">
        <f t="shared" si="13"/>
        <v>9.5238095238095247E-3</v>
      </c>
      <c r="Z37" s="62">
        <f t="shared" si="13"/>
        <v>9.5238095238095247E-3</v>
      </c>
      <c r="AA37" s="62">
        <f t="shared" si="13"/>
        <v>9.5238095238095247E-3</v>
      </c>
      <c r="AB37" s="62">
        <f t="shared" si="13"/>
        <v>9.5238095238095247E-3</v>
      </c>
      <c r="AC37" s="62">
        <f t="shared" si="13"/>
        <v>9.5238095238095247E-3</v>
      </c>
    </row>
    <row r="38" spans="1:29" x14ac:dyDescent="0.3">
      <c r="A38" s="30" t="str">
        <f t="shared" si="4"/>
        <v>Fuel Economy</v>
      </c>
      <c r="B38" s="62">
        <f t="shared" si="5"/>
        <v>2.8</v>
      </c>
      <c r="C38" s="62">
        <f t="shared" ref="C38:AC38" si="14">$B19+($C19-$B19)*(1-R19)</f>
        <v>2.8</v>
      </c>
      <c r="D38" s="62">
        <f t="shared" si="14"/>
        <v>2.8</v>
      </c>
      <c r="E38" s="62">
        <f t="shared" si="14"/>
        <v>2.8</v>
      </c>
      <c r="F38" s="62">
        <f t="shared" si="14"/>
        <v>2.8</v>
      </c>
      <c r="G38" s="62">
        <f t="shared" si="14"/>
        <v>2.8</v>
      </c>
      <c r="H38" s="62">
        <f t="shared" si="14"/>
        <v>2.8</v>
      </c>
      <c r="I38" s="62">
        <f t="shared" si="14"/>
        <v>2.8</v>
      </c>
      <c r="J38" s="62">
        <f t="shared" si="14"/>
        <v>2.8</v>
      </c>
      <c r="K38" s="62">
        <f t="shared" si="14"/>
        <v>2.8</v>
      </c>
      <c r="L38" s="62">
        <f t="shared" si="14"/>
        <v>2.8</v>
      </c>
      <c r="M38" s="62">
        <f t="shared" si="14"/>
        <v>2.8</v>
      </c>
      <c r="N38" s="62">
        <f t="shared" si="14"/>
        <v>2.8</v>
      </c>
      <c r="O38" s="62">
        <f t="shared" si="14"/>
        <v>2.8</v>
      </c>
      <c r="P38" s="62">
        <f t="shared" si="14"/>
        <v>2.8</v>
      </c>
      <c r="Q38" s="62">
        <f t="shared" si="14"/>
        <v>2.8</v>
      </c>
      <c r="R38" s="62">
        <f t="shared" si="14"/>
        <v>2.8</v>
      </c>
      <c r="S38" s="62">
        <f t="shared" si="14"/>
        <v>2.8</v>
      </c>
      <c r="T38" s="62">
        <f t="shared" si="14"/>
        <v>2.8</v>
      </c>
      <c r="U38" s="62">
        <f t="shared" si="14"/>
        <v>2.8</v>
      </c>
      <c r="V38" s="62">
        <f t="shared" si="14"/>
        <v>2.8</v>
      </c>
      <c r="W38" s="62">
        <f t="shared" si="14"/>
        <v>2.8</v>
      </c>
      <c r="X38" s="62">
        <f t="shared" si="14"/>
        <v>2.8</v>
      </c>
      <c r="Y38" s="62">
        <f t="shared" si="14"/>
        <v>2.8</v>
      </c>
      <c r="Z38" s="62">
        <f t="shared" si="14"/>
        <v>2.8</v>
      </c>
      <c r="AA38" s="62">
        <f t="shared" si="14"/>
        <v>2.8</v>
      </c>
      <c r="AB38" s="62">
        <f t="shared" si="14"/>
        <v>2.8</v>
      </c>
      <c r="AC38" s="62">
        <f t="shared" si="14"/>
        <v>2.8</v>
      </c>
    </row>
    <row r="39" spans="1:29" x14ac:dyDescent="0.3">
      <c r="A39" s="30" t="str">
        <f t="shared" si="4"/>
        <v>Fuel Cost</v>
      </c>
      <c r="B39" s="62">
        <f t="shared" si="5"/>
        <v>0.15</v>
      </c>
      <c r="C39" s="62">
        <f t="shared" ref="C39:AC39" si="15">$B20+($C20-$B20)*(1-R20)</f>
        <v>0.15</v>
      </c>
      <c r="D39" s="62">
        <f t="shared" si="15"/>
        <v>0.15</v>
      </c>
      <c r="E39" s="62">
        <f t="shared" si="15"/>
        <v>0.15</v>
      </c>
      <c r="F39" s="62">
        <f t="shared" si="15"/>
        <v>0.15</v>
      </c>
      <c r="G39" s="62">
        <f t="shared" si="15"/>
        <v>0.15</v>
      </c>
      <c r="H39" s="62">
        <f t="shared" si="15"/>
        <v>0.15</v>
      </c>
      <c r="I39" s="62">
        <f t="shared" si="15"/>
        <v>0.15</v>
      </c>
      <c r="J39" s="62">
        <f t="shared" si="15"/>
        <v>0.15</v>
      </c>
      <c r="K39" s="62">
        <f t="shared" si="15"/>
        <v>0.15</v>
      </c>
      <c r="L39" s="62">
        <f t="shared" si="15"/>
        <v>0.15</v>
      </c>
      <c r="M39" s="62">
        <f t="shared" si="15"/>
        <v>0.15</v>
      </c>
      <c r="N39" s="62">
        <f t="shared" si="15"/>
        <v>0.15</v>
      </c>
      <c r="O39" s="62">
        <f t="shared" si="15"/>
        <v>0.15</v>
      </c>
      <c r="P39" s="62">
        <f t="shared" si="15"/>
        <v>0.15</v>
      </c>
      <c r="Q39" s="62">
        <f t="shared" si="15"/>
        <v>0.15</v>
      </c>
      <c r="R39" s="62">
        <f t="shared" si="15"/>
        <v>0.15</v>
      </c>
      <c r="S39" s="62">
        <f t="shared" si="15"/>
        <v>0.15</v>
      </c>
      <c r="T39" s="62">
        <f t="shared" si="15"/>
        <v>0.15</v>
      </c>
      <c r="U39" s="62">
        <f t="shared" si="15"/>
        <v>0.15</v>
      </c>
      <c r="V39" s="62">
        <f t="shared" si="15"/>
        <v>0.15</v>
      </c>
      <c r="W39" s="62">
        <f t="shared" si="15"/>
        <v>0.15</v>
      </c>
      <c r="X39" s="62">
        <f t="shared" si="15"/>
        <v>0.15</v>
      </c>
      <c r="Y39" s="62">
        <f t="shared" si="15"/>
        <v>0.15</v>
      </c>
      <c r="Z39" s="62">
        <f t="shared" si="15"/>
        <v>0.15</v>
      </c>
      <c r="AA39" s="62">
        <f t="shared" si="15"/>
        <v>0.15</v>
      </c>
      <c r="AB39" s="62">
        <f t="shared" si="15"/>
        <v>0.15</v>
      </c>
      <c r="AC39" s="62">
        <f t="shared" si="15"/>
        <v>0.15</v>
      </c>
    </row>
    <row r="40" spans="1:29" x14ac:dyDescent="0.3">
      <c r="A40" s="30" t="str">
        <f t="shared" si="4"/>
        <v>Lifetime vehicle</v>
      </c>
      <c r="B40" s="62">
        <f t="shared" si="5"/>
        <v>5</v>
      </c>
      <c r="C40" s="62">
        <f t="shared" ref="C40:AC40" si="16">$B21+($C21-$B21)*(1-R21)</f>
        <v>5</v>
      </c>
      <c r="D40" s="62">
        <f t="shared" si="16"/>
        <v>5</v>
      </c>
      <c r="E40" s="62">
        <f t="shared" si="16"/>
        <v>5</v>
      </c>
      <c r="F40" s="62">
        <f t="shared" si="16"/>
        <v>5</v>
      </c>
      <c r="G40" s="62">
        <f t="shared" si="16"/>
        <v>5</v>
      </c>
      <c r="H40" s="62">
        <f t="shared" si="16"/>
        <v>5</v>
      </c>
      <c r="I40" s="62">
        <f t="shared" si="16"/>
        <v>5</v>
      </c>
      <c r="J40" s="62">
        <f t="shared" si="16"/>
        <v>5</v>
      </c>
      <c r="K40" s="62">
        <f t="shared" si="16"/>
        <v>5</v>
      </c>
      <c r="L40" s="62">
        <f t="shared" si="16"/>
        <v>5</v>
      </c>
      <c r="M40" s="62">
        <f t="shared" si="16"/>
        <v>5</v>
      </c>
      <c r="N40" s="62">
        <f t="shared" si="16"/>
        <v>5</v>
      </c>
      <c r="O40" s="62">
        <f t="shared" si="16"/>
        <v>5</v>
      </c>
      <c r="P40" s="62">
        <f t="shared" si="16"/>
        <v>5</v>
      </c>
      <c r="Q40" s="62">
        <f t="shared" si="16"/>
        <v>5</v>
      </c>
      <c r="R40" s="62">
        <f t="shared" si="16"/>
        <v>5</v>
      </c>
      <c r="S40" s="62">
        <f t="shared" si="16"/>
        <v>5</v>
      </c>
      <c r="T40" s="62">
        <f t="shared" si="16"/>
        <v>5</v>
      </c>
      <c r="U40" s="62">
        <f t="shared" si="16"/>
        <v>5</v>
      </c>
      <c r="V40" s="62">
        <f t="shared" si="16"/>
        <v>5</v>
      </c>
      <c r="W40" s="62">
        <f t="shared" si="16"/>
        <v>5</v>
      </c>
      <c r="X40" s="62">
        <f t="shared" si="16"/>
        <v>5</v>
      </c>
      <c r="Y40" s="62">
        <f t="shared" si="16"/>
        <v>5</v>
      </c>
      <c r="Z40" s="62">
        <f t="shared" si="16"/>
        <v>5</v>
      </c>
      <c r="AA40" s="62">
        <f t="shared" si="16"/>
        <v>5</v>
      </c>
      <c r="AB40" s="62">
        <f t="shared" si="16"/>
        <v>5</v>
      </c>
      <c r="AC40" s="62">
        <f t="shared" si="16"/>
        <v>5</v>
      </c>
    </row>
    <row r="41" spans="1:29" x14ac:dyDescent="0.3">
      <c r="A41" s="30" t="str">
        <f t="shared" si="4"/>
        <v>Lifetime costumization</v>
      </c>
      <c r="B41" s="62">
        <f t="shared" si="5"/>
        <v>12</v>
      </c>
      <c r="C41" s="62">
        <f t="shared" ref="C41:AC41" si="17">$B22+($C22-$B22)*(1-R22)</f>
        <v>12</v>
      </c>
      <c r="D41" s="62">
        <f t="shared" si="17"/>
        <v>12</v>
      </c>
      <c r="E41" s="62">
        <f t="shared" si="17"/>
        <v>12</v>
      </c>
      <c r="F41" s="62">
        <f t="shared" si="17"/>
        <v>12</v>
      </c>
      <c r="G41" s="62">
        <f t="shared" si="17"/>
        <v>12</v>
      </c>
      <c r="H41" s="62">
        <f t="shared" si="17"/>
        <v>12</v>
      </c>
      <c r="I41" s="62">
        <f t="shared" si="17"/>
        <v>12</v>
      </c>
      <c r="J41" s="62">
        <f t="shared" si="17"/>
        <v>12</v>
      </c>
      <c r="K41" s="62">
        <f t="shared" si="17"/>
        <v>12</v>
      </c>
      <c r="L41" s="62">
        <f t="shared" si="17"/>
        <v>12</v>
      </c>
      <c r="M41" s="62">
        <f t="shared" si="17"/>
        <v>12</v>
      </c>
      <c r="N41" s="62">
        <f t="shared" si="17"/>
        <v>12</v>
      </c>
      <c r="O41" s="62">
        <f t="shared" si="17"/>
        <v>12</v>
      </c>
      <c r="P41" s="62">
        <f t="shared" si="17"/>
        <v>12</v>
      </c>
      <c r="Q41" s="62">
        <f t="shared" si="17"/>
        <v>12</v>
      </c>
      <c r="R41" s="62">
        <f t="shared" si="17"/>
        <v>12</v>
      </c>
      <c r="S41" s="62">
        <f t="shared" si="17"/>
        <v>12</v>
      </c>
      <c r="T41" s="62">
        <f t="shared" si="17"/>
        <v>12</v>
      </c>
      <c r="U41" s="62">
        <f t="shared" si="17"/>
        <v>12</v>
      </c>
      <c r="V41" s="62">
        <f t="shared" si="17"/>
        <v>12</v>
      </c>
      <c r="W41" s="62">
        <f t="shared" si="17"/>
        <v>12</v>
      </c>
      <c r="X41" s="62">
        <f t="shared" si="17"/>
        <v>12</v>
      </c>
      <c r="Y41" s="62">
        <f t="shared" si="17"/>
        <v>12</v>
      </c>
      <c r="Z41" s="62">
        <f t="shared" si="17"/>
        <v>12</v>
      </c>
      <c r="AA41" s="62">
        <f t="shared" si="17"/>
        <v>12</v>
      </c>
      <c r="AB41" s="62">
        <f t="shared" si="17"/>
        <v>12</v>
      </c>
      <c r="AC41" s="62">
        <f t="shared" si="17"/>
        <v>12</v>
      </c>
    </row>
    <row r="42" spans="1:29" x14ac:dyDescent="0.3">
      <c r="A42" s="30" t="str">
        <f t="shared" si="4"/>
        <v>Tonnage .</v>
      </c>
      <c r="B42" s="62">
        <f t="shared" si="5"/>
        <v>29</v>
      </c>
      <c r="C42" s="62">
        <f t="shared" ref="C42:AC42" si="18">$B23+($C23-$B23)*(1-R23)</f>
        <v>29</v>
      </c>
      <c r="D42" s="62">
        <f t="shared" si="18"/>
        <v>29</v>
      </c>
      <c r="E42" s="62">
        <f t="shared" si="18"/>
        <v>29</v>
      </c>
      <c r="F42" s="62">
        <f t="shared" si="18"/>
        <v>29</v>
      </c>
      <c r="G42" s="62">
        <f t="shared" si="18"/>
        <v>29</v>
      </c>
      <c r="H42" s="62">
        <f t="shared" si="18"/>
        <v>29</v>
      </c>
      <c r="I42" s="62">
        <f t="shared" si="18"/>
        <v>29</v>
      </c>
      <c r="J42" s="62">
        <f t="shared" si="18"/>
        <v>29</v>
      </c>
      <c r="K42" s="62">
        <f t="shared" si="18"/>
        <v>29</v>
      </c>
      <c r="L42" s="62">
        <f t="shared" si="18"/>
        <v>29</v>
      </c>
      <c r="M42" s="62">
        <f t="shared" si="18"/>
        <v>29</v>
      </c>
      <c r="N42" s="62">
        <f t="shared" si="18"/>
        <v>29</v>
      </c>
      <c r="O42" s="62">
        <f t="shared" si="18"/>
        <v>29</v>
      </c>
      <c r="P42" s="62">
        <f t="shared" si="18"/>
        <v>29</v>
      </c>
      <c r="Q42" s="62">
        <f t="shared" si="18"/>
        <v>29</v>
      </c>
      <c r="R42" s="62">
        <f t="shared" si="18"/>
        <v>29</v>
      </c>
      <c r="S42" s="62">
        <f t="shared" si="18"/>
        <v>29</v>
      </c>
      <c r="T42" s="62">
        <f t="shared" si="18"/>
        <v>29</v>
      </c>
      <c r="U42" s="62">
        <f t="shared" si="18"/>
        <v>29</v>
      </c>
      <c r="V42" s="62">
        <f t="shared" si="18"/>
        <v>29</v>
      </c>
      <c r="W42" s="62">
        <f t="shared" si="18"/>
        <v>29</v>
      </c>
      <c r="X42" s="62">
        <f t="shared" si="18"/>
        <v>29</v>
      </c>
      <c r="Y42" s="62">
        <f t="shared" si="18"/>
        <v>29</v>
      </c>
      <c r="Z42" s="62">
        <f t="shared" si="18"/>
        <v>29</v>
      </c>
      <c r="AA42" s="62">
        <f t="shared" si="18"/>
        <v>29</v>
      </c>
      <c r="AB42" s="62">
        <f t="shared" si="18"/>
        <v>29</v>
      </c>
      <c r="AC42" s="62">
        <f t="shared" si="18"/>
        <v>29</v>
      </c>
    </row>
    <row r="43" spans="1:29" x14ac:dyDescent="0.3">
      <c r="A43" s="30" t="str">
        <f t="shared" si="4"/>
        <v>Market failure (av. utilization)</v>
      </c>
      <c r="B43" s="62">
        <f>($B24+($C24-$B24)*(1-Q24))*B$42</f>
        <v>13.34</v>
      </c>
      <c r="C43" s="62">
        <f t="shared" ref="C43:AC43" si="19">($B24+($C24-$B24)*(1-R24))*C$42</f>
        <v>13.34</v>
      </c>
      <c r="D43" s="62">
        <f t="shared" si="19"/>
        <v>13.34</v>
      </c>
      <c r="E43" s="62">
        <f t="shared" si="19"/>
        <v>13.34</v>
      </c>
      <c r="F43" s="62">
        <f t="shared" si="19"/>
        <v>13.34</v>
      </c>
      <c r="G43" s="62">
        <f t="shared" si="19"/>
        <v>13.34</v>
      </c>
      <c r="H43" s="62">
        <f t="shared" si="19"/>
        <v>13.34</v>
      </c>
      <c r="I43" s="62">
        <f t="shared" si="19"/>
        <v>13.34</v>
      </c>
      <c r="J43" s="62">
        <f t="shared" si="19"/>
        <v>13.34</v>
      </c>
      <c r="K43" s="62">
        <f t="shared" si="19"/>
        <v>13.34</v>
      </c>
      <c r="L43" s="62">
        <f t="shared" si="19"/>
        <v>13.34</v>
      </c>
      <c r="M43" s="62">
        <f t="shared" si="19"/>
        <v>13.34</v>
      </c>
      <c r="N43" s="62">
        <f t="shared" si="19"/>
        <v>13.34</v>
      </c>
      <c r="O43" s="62">
        <f t="shared" si="19"/>
        <v>13.34</v>
      </c>
      <c r="P43" s="62">
        <f t="shared" si="19"/>
        <v>13.34</v>
      </c>
      <c r="Q43" s="62">
        <f t="shared" si="19"/>
        <v>13.34</v>
      </c>
      <c r="R43" s="62">
        <f t="shared" si="19"/>
        <v>13.34</v>
      </c>
      <c r="S43" s="62">
        <f t="shared" si="19"/>
        <v>13.34</v>
      </c>
      <c r="T43" s="62">
        <f t="shared" si="19"/>
        <v>13.34</v>
      </c>
      <c r="U43" s="62">
        <f t="shared" si="19"/>
        <v>13.34</v>
      </c>
      <c r="V43" s="62">
        <f t="shared" si="19"/>
        <v>13.34</v>
      </c>
      <c r="W43" s="62">
        <f t="shared" si="19"/>
        <v>13.34</v>
      </c>
      <c r="X43" s="62">
        <f t="shared" si="19"/>
        <v>13.34</v>
      </c>
      <c r="Y43" s="62">
        <f t="shared" si="19"/>
        <v>13.34</v>
      </c>
      <c r="Z43" s="62">
        <f t="shared" si="19"/>
        <v>13.34</v>
      </c>
      <c r="AA43" s="62">
        <f t="shared" si="19"/>
        <v>13.34</v>
      </c>
      <c r="AB43" s="62">
        <f t="shared" si="19"/>
        <v>13.34</v>
      </c>
      <c r="AC43" s="62">
        <f t="shared" si="19"/>
        <v>13.34</v>
      </c>
    </row>
    <row r="44" spans="1:29" x14ac:dyDescent="0.3">
      <c r="A44" s="30" t="s">
        <v>73</v>
      </c>
      <c r="B44" s="62">
        <f>($B25+($C25-$B25)*(1-Q25))*B$42</f>
        <v>1.4500000000000002</v>
      </c>
      <c r="C44" s="62">
        <f t="shared" ref="C44:AC44" si="20">($B25+($C25-$B25)*(1-R25))*C$42</f>
        <v>1.4500000000000002</v>
      </c>
      <c r="D44" s="62">
        <f t="shared" si="20"/>
        <v>1.4500000000000002</v>
      </c>
      <c r="E44" s="62">
        <f t="shared" si="20"/>
        <v>1.4500000000000002</v>
      </c>
      <c r="F44" s="62">
        <f t="shared" si="20"/>
        <v>1.4500000000000002</v>
      </c>
      <c r="G44" s="62">
        <f t="shared" si="20"/>
        <v>1.4500000000000002</v>
      </c>
      <c r="H44" s="62">
        <f t="shared" si="20"/>
        <v>1.4500000000000002</v>
      </c>
      <c r="I44" s="62">
        <f t="shared" si="20"/>
        <v>1.4500000000000002</v>
      </c>
      <c r="J44" s="62">
        <f t="shared" si="20"/>
        <v>1.4500000000000002</v>
      </c>
      <c r="K44" s="62">
        <f t="shared" si="20"/>
        <v>1.4500000000000002</v>
      </c>
      <c r="L44" s="62">
        <f t="shared" si="20"/>
        <v>1.4500000000000002</v>
      </c>
      <c r="M44" s="62">
        <f t="shared" si="20"/>
        <v>1.4500000000000002</v>
      </c>
      <c r="N44" s="62">
        <f t="shared" si="20"/>
        <v>1.4500000000000002</v>
      </c>
      <c r="O44" s="62">
        <f t="shared" si="20"/>
        <v>1.4500000000000002</v>
      </c>
      <c r="P44" s="62">
        <f t="shared" si="20"/>
        <v>1.4500000000000002</v>
      </c>
      <c r="Q44" s="62">
        <f t="shared" si="20"/>
        <v>1.4500000000000002</v>
      </c>
      <c r="R44" s="62">
        <f t="shared" si="20"/>
        <v>1.4500000000000002</v>
      </c>
      <c r="S44" s="62">
        <f t="shared" si="20"/>
        <v>1.4500000000000002</v>
      </c>
      <c r="T44" s="62">
        <f t="shared" si="20"/>
        <v>1.4500000000000002</v>
      </c>
      <c r="U44" s="62">
        <f t="shared" si="20"/>
        <v>1.4500000000000002</v>
      </c>
      <c r="V44" s="62">
        <f t="shared" si="20"/>
        <v>1.4500000000000002</v>
      </c>
      <c r="W44" s="62">
        <f t="shared" si="20"/>
        <v>1.4500000000000002</v>
      </c>
      <c r="X44" s="62">
        <f t="shared" si="20"/>
        <v>1.4500000000000002</v>
      </c>
      <c r="Y44" s="62">
        <f t="shared" si="20"/>
        <v>1.4500000000000002</v>
      </c>
      <c r="Z44" s="62">
        <f t="shared" si="20"/>
        <v>1.4500000000000002</v>
      </c>
      <c r="AA44" s="62">
        <f t="shared" si="20"/>
        <v>1.4500000000000002</v>
      </c>
      <c r="AB44" s="62">
        <f t="shared" si="20"/>
        <v>1.4500000000000002</v>
      </c>
      <c r="AC44" s="62">
        <f t="shared" si="20"/>
        <v>1.4500000000000002</v>
      </c>
    </row>
    <row r="45" spans="1:29" x14ac:dyDescent="0.3">
      <c r="A45" s="30" t="str">
        <f>A26</f>
        <v>Annual Mileage</v>
      </c>
      <c r="B45" s="62">
        <f t="shared" ref="B45" si="21">$B26+($C26-$B26)*(1-Q26)</f>
        <v>105000</v>
      </c>
      <c r="C45" s="62">
        <f t="shared" ref="C45:AC45" si="22">$B26+($C26-$B26)*(1-R26)</f>
        <v>105000</v>
      </c>
      <c r="D45" s="62">
        <f t="shared" si="22"/>
        <v>105000</v>
      </c>
      <c r="E45" s="62">
        <f t="shared" si="22"/>
        <v>105000</v>
      </c>
      <c r="F45" s="62">
        <f t="shared" si="22"/>
        <v>105000</v>
      </c>
      <c r="G45" s="62">
        <f t="shared" si="22"/>
        <v>105000</v>
      </c>
      <c r="H45" s="62">
        <f t="shared" si="22"/>
        <v>105000</v>
      </c>
      <c r="I45" s="62">
        <f t="shared" si="22"/>
        <v>105000</v>
      </c>
      <c r="J45" s="62">
        <f t="shared" si="22"/>
        <v>105000</v>
      </c>
      <c r="K45" s="62">
        <f t="shared" si="22"/>
        <v>105000</v>
      </c>
      <c r="L45" s="62">
        <f t="shared" si="22"/>
        <v>105000</v>
      </c>
      <c r="M45" s="62">
        <f t="shared" si="22"/>
        <v>105000</v>
      </c>
      <c r="N45" s="62">
        <f t="shared" si="22"/>
        <v>105000</v>
      </c>
      <c r="O45" s="62">
        <f t="shared" si="22"/>
        <v>105000</v>
      </c>
      <c r="P45" s="62">
        <f t="shared" si="22"/>
        <v>105000</v>
      </c>
      <c r="Q45" s="62">
        <f t="shared" si="22"/>
        <v>105000</v>
      </c>
      <c r="R45" s="62">
        <f t="shared" si="22"/>
        <v>105000</v>
      </c>
      <c r="S45" s="62">
        <f t="shared" si="22"/>
        <v>105000</v>
      </c>
      <c r="T45" s="62">
        <f t="shared" si="22"/>
        <v>105000</v>
      </c>
      <c r="U45" s="62">
        <f t="shared" si="22"/>
        <v>105000</v>
      </c>
      <c r="V45" s="62">
        <f t="shared" si="22"/>
        <v>105000</v>
      </c>
      <c r="W45" s="62">
        <f t="shared" si="22"/>
        <v>105000</v>
      </c>
      <c r="X45" s="62">
        <f t="shared" si="22"/>
        <v>105000</v>
      </c>
      <c r="Y45" s="62">
        <f t="shared" si="22"/>
        <v>105000</v>
      </c>
      <c r="Z45" s="62">
        <f t="shared" si="22"/>
        <v>105000</v>
      </c>
      <c r="AA45" s="62">
        <f t="shared" si="22"/>
        <v>105000</v>
      </c>
      <c r="AB45" s="62">
        <f t="shared" si="22"/>
        <v>105000</v>
      </c>
      <c r="AC45" s="62">
        <f t="shared" si="22"/>
        <v>105000</v>
      </c>
    </row>
    <row r="46" spans="1:29" ht="15" thickBot="1" x14ac:dyDescent="0.35">
      <c r="AC46" s="32"/>
    </row>
    <row r="47" spans="1:29" ht="15" thickBot="1" x14ac:dyDescent="0.35">
      <c r="A47" s="26" t="s">
        <v>208</v>
      </c>
      <c r="B47" s="27">
        <v>2023</v>
      </c>
      <c r="C47" s="27">
        <v>2024</v>
      </c>
      <c r="D47" s="27">
        <v>2025</v>
      </c>
      <c r="E47" s="27">
        <v>2026</v>
      </c>
      <c r="F47" s="27">
        <v>2027</v>
      </c>
      <c r="G47" s="27">
        <v>2028</v>
      </c>
      <c r="H47" s="27">
        <v>2029</v>
      </c>
      <c r="I47" s="27">
        <v>2030</v>
      </c>
      <c r="J47" s="27">
        <v>2031</v>
      </c>
      <c r="K47" s="27">
        <v>2032</v>
      </c>
      <c r="L47" s="27">
        <v>2033</v>
      </c>
      <c r="M47" s="27">
        <v>2034</v>
      </c>
      <c r="N47" s="27">
        <v>2035</v>
      </c>
      <c r="O47" s="27">
        <v>2036</v>
      </c>
      <c r="P47" s="27">
        <v>2037</v>
      </c>
      <c r="Q47" s="27">
        <v>2038</v>
      </c>
      <c r="R47" s="27">
        <v>2039</v>
      </c>
      <c r="S47" s="27">
        <v>2040</v>
      </c>
      <c r="T47" s="27">
        <v>2041</v>
      </c>
      <c r="U47" s="27">
        <v>2042</v>
      </c>
      <c r="V47" s="27">
        <v>2043</v>
      </c>
      <c r="W47" s="27">
        <v>2044</v>
      </c>
      <c r="X47" s="27">
        <v>2045</v>
      </c>
      <c r="Y47" s="27">
        <v>2046</v>
      </c>
      <c r="Z47" s="27">
        <v>2047</v>
      </c>
      <c r="AA47" s="27">
        <v>2048</v>
      </c>
      <c r="AB47" s="27">
        <v>2049</v>
      </c>
      <c r="AC47" s="28">
        <v>2050</v>
      </c>
    </row>
    <row r="48" spans="1:29" x14ac:dyDescent="0.3">
      <c r="A48" s="29" t="str">
        <f>A30</f>
        <v>Capex vehicle</v>
      </c>
      <c r="B48" s="63">
        <f>((1+B$34)^B$40)*B$34/(((1+B$34)^B$40)-1)*(B$30)</f>
        <v>23739.640043118936</v>
      </c>
      <c r="C48" s="63">
        <f t="shared" ref="C48:AC48" si="23">((1+C$34)^C$40)*C$34/(((1+C$34)^C$40)-1)*(C$30)</f>
        <v>23739.640043118936</v>
      </c>
      <c r="D48" s="63">
        <f t="shared" si="23"/>
        <v>23739.640043118936</v>
      </c>
      <c r="E48" s="63">
        <f t="shared" si="23"/>
        <v>23739.640043118936</v>
      </c>
      <c r="F48" s="63">
        <f t="shared" si="23"/>
        <v>23739.640043118936</v>
      </c>
      <c r="G48" s="63">
        <f t="shared" si="23"/>
        <v>23739.640043118936</v>
      </c>
      <c r="H48" s="63">
        <f t="shared" si="23"/>
        <v>23739.640043118936</v>
      </c>
      <c r="I48" s="63">
        <f t="shared" si="23"/>
        <v>23739.640043118936</v>
      </c>
      <c r="J48" s="63">
        <f t="shared" si="23"/>
        <v>23739.640043118936</v>
      </c>
      <c r="K48" s="63">
        <f t="shared" si="23"/>
        <v>23739.640043118936</v>
      </c>
      <c r="L48" s="63">
        <f t="shared" si="23"/>
        <v>23739.640043118936</v>
      </c>
      <c r="M48" s="63">
        <f t="shared" si="23"/>
        <v>23739.640043118936</v>
      </c>
      <c r="N48" s="63">
        <f t="shared" si="23"/>
        <v>23739.640043118936</v>
      </c>
      <c r="O48" s="63">
        <f t="shared" si="23"/>
        <v>23739.640043118936</v>
      </c>
      <c r="P48" s="63">
        <f t="shared" si="23"/>
        <v>23739.640043118936</v>
      </c>
      <c r="Q48" s="63">
        <f t="shared" si="23"/>
        <v>23739.640043118936</v>
      </c>
      <c r="R48" s="63">
        <f t="shared" si="23"/>
        <v>23739.640043118936</v>
      </c>
      <c r="S48" s="63">
        <f t="shared" si="23"/>
        <v>23739.640043118936</v>
      </c>
      <c r="T48" s="63">
        <f t="shared" si="23"/>
        <v>23739.640043118936</v>
      </c>
      <c r="U48" s="63">
        <f t="shared" si="23"/>
        <v>23739.640043118936</v>
      </c>
      <c r="V48" s="63">
        <f t="shared" si="23"/>
        <v>23739.640043118936</v>
      </c>
      <c r="W48" s="63">
        <f t="shared" si="23"/>
        <v>23739.640043118936</v>
      </c>
      <c r="X48" s="63">
        <f t="shared" si="23"/>
        <v>23739.640043118936</v>
      </c>
      <c r="Y48" s="63">
        <f t="shared" si="23"/>
        <v>23739.640043118936</v>
      </c>
      <c r="Z48" s="63">
        <f t="shared" si="23"/>
        <v>23739.640043118936</v>
      </c>
      <c r="AA48" s="63">
        <f t="shared" si="23"/>
        <v>23739.640043118936</v>
      </c>
      <c r="AB48" s="63">
        <f t="shared" si="23"/>
        <v>23739.640043118936</v>
      </c>
      <c r="AC48" s="63">
        <f t="shared" si="23"/>
        <v>23739.640043118936</v>
      </c>
    </row>
    <row r="49" spans="1:29" x14ac:dyDescent="0.3">
      <c r="A49" s="30" t="str">
        <f>A31</f>
        <v>Residual value (vehicle)</v>
      </c>
      <c r="B49" s="62">
        <f>((1+B$34)^B$40)*B$34/(((1+B$34)^B$40)-1)*(B$31)</f>
        <v>-7121.8920129356811</v>
      </c>
      <c r="C49" s="62">
        <f t="shared" ref="C49:AC49" si="24">((1+C$34)^C$40)*C$34/(((1+C$34)^C$40)-1)*(C$31)</f>
        <v>-7121.8920129356811</v>
      </c>
      <c r="D49" s="62">
        <f t="shared" si="24"/>
        <v>-7121.8920129356811</v>
      </c>
      <c r="E49" s="62">
        <f t="shared" si="24"/>
        <v>-7121.8920129356811</v>
      </c>
      <c r="F49" s="62">
        <f t="shared" si="24"/>
        <v>-7121.8920129356811</v>
      </c>
      <c r="G49" s="62">
        <f t="shared" si="24"/>
        <v>-7121.8920129356811</v>
      </c>
      <c r="H49" s="62">
        <f t="shared" si="24"/>
        <v>-7121.8920129356811</v>
      </c>
      <c r="I49" s="62">
        <f t="shared" si="24"/>
        <v>-7121.8920129356811</v>
      </c>
      <c r="J49" s="62">
        <f t="shared" si="24"/>
        <v>-7121.8920129356811</v>
      </c>
      <c r="K49" s="62">
        <f t="shared" si="24"/>
        <v>-7121.8920129356811</v>
      </c>
      <c r="L49" s="62">
        <f t="shared" si="24"/>
        <v>-7121.8920129356811</v>
      </c>
      <c r="M49" s="62">
        <f t="shared" si="24"/>
        <v>-7121.8920129356811</v>
      </c>
      <c r="N49" s="62">
        <f t="shared" si="24"/>
        <v>-7121.8920129356811</v>
      </c>
      <c r="O49" s="62">
        <f t="shared" si="24"/>
        <v>-7121.8920129356811</v>
      </c>
      <c r="P49" s="62">
        <f t="shared" si="24"/>
        <v>-7121.8920129356811</v>
      </c>
      <c r="Q49" s="62">
        <f t="shared" si="24"/>
        <v>-7121.8920129356811</v>
      </c>
      <c r="R49" s="62">
        <f t="shared" si="24"/>
        <v>-7121.8920129356811</v>
      </c>
      <c r="S49" s="62">
        <f t="shared" si="24"/>
        <v>-7121.8920129356811</v>
      </c>
      <c r="T49" s="62">
        <f t="shared" si="24"/>
        <v>-7121.8920129356811</v>
      </c>
      <c r="U49" s="62">
        <f t="shared" si="24"/>
        <v>-7121.8920129356811</v>
      </c>
      <c r="V49" s="62">
        <f t="shared" si="24"/>
        <v>-7121.8920129356811</v>
      </c>
      <c r="W49" s="62">
        <f t="shared" si="24"/>
        <v>-7121.8920129356811</v>
      </c>
      <c r="X49" s="62">
        <f t="shared" si="24"/>
        <v>-7121.8920129356811</v>
      </c>
      <c r="Y49" s="62">
        <f t="shared" si="24"/>
        <v>-7121.8920129356811</v>
      </c>
      <c r="Z49" s="62">
        <f t="shared" si="24"/>
        <v>-7121.8920129356811</v>
      </c>
      <c r="AA49" s="62">
        <f t="shared" si="24"/>
        <v>-7121.8920129356811</v>
      </c>
      <c r="AB49" s="62">
        <f t="shared" si="24"/>
        <v>-7121.8920129356811</v>
      </c>
      <c r="AC49" s="62">
        <f t="shared" si="24"/>
        <v>-7121.8920129356811</v>
      </c>
    </row>
    <row r="50" spans="1:29" x14ac:dyDescent="0.3">
      <c r="A50" s="30" t="str">
        <f>A32</f>
        <v>Capex costumization</v>
      </c>
      <c r="B50" s="62">
        <f>((1+B$34)^B$41)*B$34/(((1+B$34)^B$41)-1)*(B$32)</f>
        <v>5963.8514690331776</v>
      </c>
      <c r="C50" s="62">
        <f t="shared" ref="C50:AC50" si="25">((1+C$34)^C$41)*C$34/(((1+C$34)^C$41)-1)*(C$32)</f>
        <v>5963.8514690331776</v>
      </c>
      <c r="D50" s="62">
        <f t="shared" si="25"/>
        <v>5963.8514690331776</v>
      </c>
      <c r="E50" s="62">
        <f t="shared" si="25"/>
        <v>5963.8514690331776</v>
      </c>
      <c r="F50" s="62">
        <f t="shared" si="25"/>
        <v>5963.8514690331776</v>
      </c>
      <c r="G50" s="62">
        <f t="shared" si="25"/>
        <v>5963.8514690331776</v>
      </c>
      <c r="H50" s="62">
        <f t="shared" si="25"/>
        <v>5963.8514690331776</v>
      </c>
      <c r="I50" s="62">
        <f t="shared" si="25"/>
        <v>5963.8514690331776</v>
      </c>
      <c r="J50" s="62">
        <f t="shared" si="25"/>
        <v>5963.8514690331776</v>
      </c>
      <c r="K50" s="62">
        <f t="shared" si="25"/>
        <v>5963.8514690331776</v>
      </c>
      <c r="L50" s="62">
        <f t="shared" si="25"/>
        <v>5963.8514690331776</v>
      </c>
      <c r="M50" s="62">
        <f t="shared" si="25"/>
        <v>5963.8514690331776</v>
      </c>
      <c r="N50" s="62">
        <f t="shared" si="25"/>
        <v>5963.8514690331776</v>
      </c>
      <c r="O50" s="62">
        <f t="shared" si="25"/>
        <v>5963.8514690331776</v>
      </c>
      <c r="P50" s="62">
        <f t="shared" si="25"/>
        <v>5963.8514690331776</v>
      </c>
      <c r="Q50" s="62">
        <f t="shared" si="25"/>
        <v>5963.8514690331776</v>
      </c>
      <c r="R50" s="62">
        <f t="shared" si="25"/>
        <v>5963.8514690331776</v>
      </c>
      <c r="S50" s="62">
        <f t="shared" si="25"/>
        <v>5963.8514690331776</v>
      </c>
      <c r="T50" s="62">
        <f t="shared" si="25"/>
        <v>5963.8514690331776</v>
      </c>
      <c r="U50" s="62">
        <f t="shared" si="25"/>
        <v>5963.8514690331776</v>
      </c>
      <c r="V50" s="62">
        <f t="shared" si="25"/>
        <v>5963.8514690331776</v>
      </c>
      <c r="W50" s="62">
        <f t="shared" si="25"/>
        <v>5963.8514690331776</v>
      </c>
      <c r="X50" s="62">
        <f t="shared" si="25"/>
        <v>5963.8514690331776</v>
      </c>
      <c r="Y50" s="62">
        <f t="shared" si="25"/>
        <v>5963.8514690331776</v>
      </c>
      <c r="Z50" s="62">
        <f t="shared" si="25"/>
        <v>5963.8514690331776</v>
      </c>
      <c r="AA50" s="62">
        <f t="shared" si="25"/>
        <v>5963.8514690331776</v>
      </c>
      <c r="AB50" s="62">
        <f t="shared" si="25"/>
        <v>5963.8514690331776</v>
      </c>
      <c r="AC50" s="62">
        <f t="shared" si="25"/>
        <v>5963.8514690331776</v>
      </c>
    </row>
    <row r="51" spans="1:29" x14ac:dyDescent="0.3">
      <c r="A51" s="30" t="str">
        <f>A33</f>
        <v>Residual value (costumization)</v>
      </c>
      <c r="B51" s="62">
        <f>((1+B$34)^B$41)*B$34/(((1+B$34)^B$41)-1)*(B$33)</f>
        <v>-596.38514690331772</v>
      </c>
      <c r="C51" s="62">
        <f t="shared" ref="C51:AC51" si="26">((1+C$34)^C$41)*C$34/(((1+C$34)^C$41)-1)*(C$33)</f>
        <v>-596.38514690331772</v>
      </c>
      <c r="D51" s="62">
        <f t="shared" si="26"/>
        <v>-596.38514690331772</v>
      </c>
      <c r="E51" s="62">
        <f t="shared" si="26"/>
        <v>-596.38514690331772</v>
      </c>
      <c r="F51" s="62">
        <f t="shared" si="26"/>
        <v>-596.38514690331772</v>
      </c>
      <c r="G51" s="62">
        <f t="shared" si="26"/>
        <v>-596.38514690331772</v>
      </c>
      <c r="H51" s="62">
        <f t="shared" si="26"/>
        <v>-596.38514690331772</v>
      </c>
      <c r="I51" s="62">
        <f t="shared" si="26"/>
        <v>-596.38514690331772</v>
      </c>
      <c r="J51" s="62">
        <f t="shared" si="26"/>
        <v>-596.38514690331772</v>
      </c>
      <c r="K51" s="62">
        <f t="shared" si="26"/>
        <v>-596.38514690331772</v>
      </c>
      <c r="L51" s="62">
        <f t="shared" si="26"/>
        <v>-596.38514690331772</v>
      </c>
      <c r="M51" s="62">
        <f t="shared" si="26"/>
        <v>-596.38514690331772</v>
      </c>
      <c r="N51" s="62">
        <f t="shared" si="26"/>
        <v>-596.38514690331772</v>
      </c>
      <c r="O51" s="62">
        <f t="shared" si="26"/>
        <v>-596.38514690331772</v>
      </c>
      <c r="P51" s="62">
        <f t="shared" si="26"/>
        <v>-596.38514690331772</v>
      </c>
      <c r="Q51" s="62">
        <f t="shared" si="26"/>
        <v>-596.38514690331772</v>
      </c>
      <c r="R51" s="62">
        <f t="shared" si="26"/>
        <v>-596.38514690331772</v>
      </c>
      <c r="S51" s="62">
        <f t="shared" si="26"/>
        <v>-596.38514690331772</v>
      </c>
      <c r="T51" s="62">
        <f t="shared" si="26"/>
        <v>-596.38514690331772</v>
      </c>
      <c r="U51" s="62">
        <f t="shared" si="26"/>
        <v>-596.38514690331772</v>
      </c>
      <c r="V51" s="62">
        <f t="shared" si="26"/>
        <v>-596.38514690331772</v>
      </c>
      <c r="W51" s="62">
        <f t="shared" si="26"/>
        <v>-596.38514690331772</v>
      </c>
      <c r="X51" s="62">
        <f t="shared" si="26"/>
        <v>-596.38514690331772</v>
      </c>
      <c r="Y51" s="62">
        <f t="shared" si="26"/>
        <v>-596.38514690331772</v>
      </c>
      <c r="Z51" s="62">
        <f t="shared" si="26"/>
        <v>-596.38514690331772</v>
      </c>
      <c r="AA51" s="62">
        <f t="shared" si="26"/>
        <v>-596.38514690331772</v>
      </c>
      <c r="AB51" s="62">
        <f t="shared" si="26"/>
        <v>-596.38514690331772</v>
      </c>
      <c r="AC51" s="62">
        <f t="shared" si="26"/>
        <v>-596.38514690331772</v>
      </c>
    </row>
    <row r="52" spans="1:29" x14ac:dyDescent="0.3">
      <c r="A52" s="30" t="str">
        <f>A35</f>
        <v>Opex fix (admin, crew, insurance)</v>
      </c>
      <c r="B52" s="62">
        <f>B$35</f>
        <v>85000</v>
      </c>
      <c r="C52" s="62">
        <f t="shared" ref="C52:AC52" si="27">C$35</f>
        <v>85000</v>
      </c>
      <c r="D52" s="62">
        <f t="shared" si="27"/>
        <v>85000</v>
      </c>
      <c r="E52" s="62">
        <f t="shared" si="27"/>
        <v>85000</v>
      </c>
      <c r="F52" s="62">
        <f t="shared" si="27"/>
        <v>85000</v>
      </c>
      <c r="G52" s="62">
        <f t="shared" si="27"/>
        <v>85000</v>
      </c>
      <c r="H52" s="62">
        <f t="shared" si="27"/>
        <v>85000</v>
      </c>
      <c r="I52" s="62">
        <f t="shared" si="27"/>
        <v>85000</v>
      </c>
      <c r="J52" s="62">
        <f t="shared" si="27"/>
        <v>85000</v>
      </c>
      <c r="K52" s="62">
        <f t="shared" si="27"/>
        <v>85000</v>
      </c>
      <c r="L52" s="62">
        <f t="shared" si="27"/>
        <v>85000</v>
      </c>
      <c r="M52" s="62">
        <f t="shared" si="27"/>
        <v>85000</v>
      </c>
      <c r="N52" s="62">
        <f t="shared" si="27"/>
        <v>85000</v>
      </c>
      <c r="O52" s="62">
        <f t="shared" si="27"/>
        <v>85000</v>
      </c>
      <c r="P52" s="62">
        <f t="shared" si="27"/>
        <v>85000</v>
      </c>
      <c r="Q52" s="62">
        <f t="shared" si="27"/>
        <v>85000</v>
      </c>
      <c r="R52" s="62">
        <f t="shared" si="27"/>
        <v>85000</v>
      </c>
      <c r="S52" s="62">
        <f t="shared" si="27"/>
        <v>85000</v>
      </c>
      <c r="T52" s="62">
        <f t="shared" si="27"/>
        <v>85000</v>
      </c>
      <c r="U52" s="62">
        <f t="shared" si="27"/>
        <v>85000</v>
      </c>
      <c r="V52" s="62">
        <f t="shared" si="27"/>
        <v>85000</v>
      </c>
      <c r="W52" s="62">
        <f t="shared" si="27"/>
        <v>85000</v>
      </c>
      <c r="X52" s="62">
        <f t="shared" si="27"/>
        <v>85000</v>
      </c>
      <c r="Y52" s="62">
        <f t="shared" si="27"/>
        <v>85000</v>
      </c>
      <c r="Z52" s="62">
        <f t="shared" si="27"/>
        <v>85000</v>
      </c>
      <c r="AA52" s="62">
        <f t="shared" si="27"/>
        <v>85000</v>
      </c>
      <c r="AB52" s="62">
        <f t="shared" si="27"/>
        <v>85000</v>
      </c>
      <c r="AC52" s="62">
        <f t="shared" si="27"/>
        <v>85000</v>
      </c>
    </row>
    <row r="53" spans="1:29" x14ac:dyDescent="0.3">
      <c r="A53" s="30" t="str">
        <f>A36</f>
        <v>Opex maintenance &amp; repair</v>
      </c>
      <c r="B53" s="62">
        <f>B$36</f>
        <v>20000</v>
      </c>
      <c r="C53" s="62">
        <f t="shared" ref="C53:AC53" si="28">C$36</f>
        <v>20000</v>
      </c>
      <c r="D53" s="62">
        <f t="shared" si="28"/>
        <v>20000</v>
      </c>
      <c r="E53" s="62">
        <f t="shared" si="28"/>
        <v>20000</v>
      </c>
      <c r="F53" s="62">
        <f t="shared" si="28"/>
        <v>20000</v>
      </c>
      <c r="G53" s="62">
        <f t="shared" si="28"/>
        <v>20000</v>
      </c>
      <c r="H53" s="62">
        <f t="shared" si="28"/>
        <v>20000</v>
      </c>
      <c r="I53" s="62">
        <f t="shared" si="28"/>
        <v>20000</v>
      </c>
      <c r="J53" s="62">
        <f t="shared" si="28"/>
        <v>20000</v>
      </c>
      <c r="K53" s="62">
        <f t="shared" si="28"/>
        <v>20000</v>
      </c>
      <c r="L53" s="62">
        <f t="shared" si="28"/>
        <v>20000</v>
      </c>
      <c r="M53" s="62">
        <f t="shared" si="28"/>
        <v>20000</v>
      </c>
      <c r="N53" s="62">
        <f t="shared" si="28"/>
        <v>20000</v>
      </c>
      <c r="O53" s="62">
        <f t="shared" si="28"/>
        <v>20000</v>
      </c>
      <c r="P53" s="62">
        <f t="shared" si="28"/>
        <v>20000</v>
      </c>
      <c r="Q53" s="62">
        <f t="shared" si="28"/>
        <v>20000</v>
      </c>
      <c r="R53" s="62">
        <f t="shared" si="28"/>
        <v>20000</v>
      </c>
      <c r="S53" s="62">
        <f t="shared" si="28"/>
        <v>20000</v>
      </c>
      <c r="T53" s="62">
        <f t="shared" si="28"/>
        <v>20000</v>
      </c>
      <c r="U53" s="62">
        <f t="shared" si="28"/>
        <v>20000</v>
      </c>
      <c r="V53" s="62">
        <f t="shared" si="28"/>
        <v>20000</v>
      </c>
      <c r="W53" s="62">
        <f t="shared" si="28"/>
        <v>20000</v>
      </c>
      <c r="X53" s="62">
        <f t="shared" si="28"/>
        <v>20000</v>
      </c>
      <c r="Y53" s="62">
        <f t="shared" si="28"/>
        <v>20000</v>
      </c>
      <c r="Z53" s="62">
        <f t="shared" si="28"/>
        <v>20000</v>
      </c>
      <c r="AA53" s="62">
        <f t="shared" si="28"/>
        <v>20000</v>
      </c>
      <c r="AB53" s="62">
        <f t="shared" si="28"/>
        <v>20000</v>
      </c>
      <c r="AC53" s="62">
        <f t="shared" si="28"/>
        <v>20000</v>
      </c>
    </row>
    <row r="54" spans="1:29" x14ac:dyDescent="0.3">
      <c r="A54" s="30" t="str">
        <f>A37</f>
        <v>Opex var (mode-fees, cargo handling)</v>
      </c>
      <c r="B54" s="62">
        <f>B$37*B$45</f>
        <v>1000.0000000000001</v>
      </c>
      <c r="C54" s="62">
        <f t="shared" ref="C54:AC54" si="29">C$37*C$45</f>
        <v>1000.0000000000001</v>
      </c>
      <c r="D54" s="62">
        <f t="shared" si="29"/>
        <v>1000.0000000000001</v>
      </c>
      <c r="E54" s="62">
        <f t="shared" si="29"/>
        <v>1000.0000000000001</v>
      </c>
      <c r="F54" s="62">
        <f t="shared" si="29"/>
        <v>1000.0000000000001</v>
      </c>
      <c r="G54" s="62">
        <f t="shared" si="29"/>
        <v>1000.0000000000001</v>
      </c>
      <c r="H54" s="62">
        <f t="shared" si="29"/>
        <v>1000.0000000000001</v>
      </c>
      <c r="I54" s="62">
        <f t="shared" si="29"/>
        <v>1000.0000000000001</v>
      </c>
      <c r="J54" s="62">
        <f t="shared" si="29"/>
        <v>1000.0000000000001</v>
      </c>
      <c r="K54" s="62">
        <f t="shared" si="29"/>
        <v>1000.0000000000001</v>
      </c>
      <c r="L54" s="62">
        <f t="shared" si="29"/>
        <v>1000.0000000000001</v>
      </c>
      <c r="M54" s="62">
        <f t="shared" si="29"/>
        <v>1000.0000000000001</v>
      </c>
      <c r="N54" s="62">
        <f t="shared" si="29"/>
        <v>1000.0000000000001</v>
      </c>
      <c r="O54" s="62">
        <f t="shared" si="29"/>
        <v>1000.0000000000001</v>
      </c>
      <c r="P54" s="62">
        <f t="shared" si="29"/>
        <v>1000.0000000000001</v>
      </c>
      <c r="Q54" s="62">
        <f t="shared" si="29"/>
        <v>1000.0000000000001</v>
      </c>
      <c r="R54" s="62">
        <f t="shared" si="29"/>
        <v>1000.0000000000001</v>
      </c>
      <c r="S54" s="62">
        <f t="shared" si="29"/>
        <v>1000.0000000000001</v>
      </c>
      <c r="T54" s="62">
        <f t="shared" si="29"/>
        <v>1000.0000000000001</v>
      </c>
      <c r="U54" s="62">
        <f t="shared" si="29"/>
        <v>1000.0000000000001</v>
      </c>
      <c r="V54" s="62">
        <f t="shared" si="29"/>
        <v>1000.0000000000001</v>
      </c>
      <c r="W54" s="62">
        <f t="shared" si="29"/>
        <v>1000.0000000000001</v>
      </c>
      <c r="X54" s="62">
        <f t="shared" si="29"/>
        <v>1000.0000000000001</v>
      </c>
      <c r="Y54" s="62">
        <f t="shared" si="29"/>
        <v>1000.0000000000001</v>
      </c>
      <c r="Z54" s="62">
        <f t="shared" si="29"/>
        <v>1000.0000000000001</v>
      </c>
      <c r="AA54" s="62">
        <f t="shared" si="29"/>
        <v>1000.0000000000001</v>
      </c>
      <c r="AB54" s="62">
        <f t="shared" si="29"/>
        <v>1000.0000000000001</v>
      </c>
      <c r="AC54" s="62">
        <f t="shared" si="29"/>
        <v>1000.0000000000001</v>
      </c>
    </row>
    <row r="55" spans="1:29" ht="15" thickBot="1" x14ac:dyDescent="0.35">
      <c r="A55" s="30" t="str">
        <f>A39</f>
        <v>Fuel Cost</v>
      </c>
      <c r="B55" s="62">
        <f>B$38*B$39*B$45</f>
        <v>44100</v>
      </c>
      <c r="C55" s="62">
        <f t="shared" ref="C55:AC55" si="30">C38*C39*C45</f>
        <v>44100</v>
      </c>
      <c r="D55" s="62">
        <f t="shared" si="30"/>
        <v>44100</v>
      </c>
      <c r="E55" s="62">
        <f t="shared" si="30"/>
        <v>44100</v>
      </c>
      <c r="F55" s="62">
        <f t="shared" si="30"/>
        <v>44100</v>
      </c>
      <c r="G55" s="62">
        <f t="shared" si="30"/>
        <v>44100</v>
      </c>
      <c r="H55" s="62">
        <f t="shared" si="30"/>
        <v>44100</v>
      </c>
      <c r="I55" s="62">
        <f t="shared" si="30"/>
        <v>44100</v>
      </c>
      <c r="J55" s="62">
        <f t="shared" si="30"/>
        <v>44100</v>
      </c>
      <c r="K55" s="62">
        <f t="shared" si="30"/>
        <v>44100</v>
      </c>
      <c r="L55" s="62">
        <f t="shared" si="30"/>
        <v>44100</v>
      </c>
      <c r="M55" s="62">
        <f t="shared" si="30"/>
        <v>44100</v>
      </c>
      <c r="N55" s="62">
        <f t="shared" si="30"/>
        <v>44100</v>
      </c>
      <c r="O55" s="62">
        <f t="shared" si="30"/>
        <v>44100</v>
      </c>
      <c r="P55" s="62">
        <f t="shared" si="30"/>
        <v>44100</v>
      </c>
      <c r="Q55" s="62">
        <f t="shared" si="30"/>
        <v>44100</v>
      </c>
      <c r="R55" s="62">
        <f t="shared" si="30"/>
        <v>44100</v>
      </c>
      <c r="S55" s="62">
        <f t="shared" si="30"/>
        <v>44100</v>
      </c>
      <c r="T55" s="62">
        <f t="shared" si="30"/>
        <v>44100</v>
      </c>
      <c r="U55" s="62">
        <f t="shared" si="30"/>
        <v>44100</v>
      </c>
      <c r="V55" s="62">
        <f t="shared" si="30"/>
        <v>44100</v>
      </c>
      <c r="W55" s="62">
        <f t="shared" si="30"/>
        <v>44100</v>
      </c>
      <c r="X55" s="62">
        <f t="shared" si="30"/>
        <v>44100</v>
      </c>
      <c r="Y55" s="62">
        <f t="shared" si="30"/>
        <v>44100</v>
      </c>
      <c r="Z55" s="62">
        <f t="shared" si="30"/>
        <v>44100</v>
      </c>
      <c r="AA55" s="62">
        <f t="shared" si="30"/>
        <v>44100</v>
      </c>
      <c r="AB55" s="62">
        <f t="shared" si="30"/>
        <v>44100</v>
      </c>
      <c r="AC55" s="62">
        <f t="shared" si="30"/>
        <v>44100</v>
      </c>
    </row>
    <row r="56" spans="1:29" ht="15" thickBot="1" x14ac:dyDescent="0.35">
      <c r="A56" s="31" t="s">
        <v>209</v>
      </c>
      <c r="B56" s="64">
        <f>B48+B49+B50+B51+B52+B53+B54+B55</f>
        <v>172085.21435231311</v>
      </c>
      <c r="C56" s="64">
        <f t="shared" ref="C56:AC56" si="31">C48+C49+C50+C51+C52+C53+C54+C55</f>
        <v>172085.21435231311</v>
      </c>
      <c r="D56" s="64">
        <f t="shared" si="31"/>
        <v>172085.21435231311</v>
      </c>
      <c r="E56" s="64">
        <f t="shared" si="31"/>
        <v>172085.21435231311</v>
      </c>
      <c r="F56" s="64">
        <f t="shared" si="31"/>
        <v>172085.21435231311</v>
      </c>
      <c r="G56" s="64">
        <f t="shared" si="31"/>
        <v>172085.21435231311</v>
      </c>
      <c r="H56" s="64">
        <f t="shared" si="31"/>
        <v>172085.21435231311</v>
      </c>
      <c r="I56" s="64">
        <f t="shared" si="31"/>
        <v>172085.21435231311</v>
      </c>
      <c r="J56" s="64">
        <f t="shared" si="31"/>
        <v>172085.21435231311</v>
      </c>
      <c r="K56" s="64">
        <f t="shared" si="31"/>
        <v>172085.21435231311</v>
      </c>
      <c r="L56" s="64">
        <f t="shared" si="31"/>
        <v>172085.21435231311</v>
      </c>
      <c r="M56" s="64">
        <f t="shared" si="31"/>
        <v>172085.21435231311</v>
      </c>
      <c r="N56" s="64">
        <f t="shared" si="31"/>
        <v>172085.21435231311</v>
      </c>
      <c r="O56" s="64">
        <f t="shared" si="31"/>
        <v>172085.21435231311</v>
      </c>
      <c r="P56" s="64">
        <f t="shared" si="31"/>
        <v>172085.21435231311</v>
      </c>
      <c r="Q56" s="64">
        <f t="shared" si="31"/>
        <v>172085.21435231311</v>
      </c>
      <c r="R56" s="64">
        <f t="shared" si="31"/>
        <v>172085.21435231311</v>
      </c>
      <c r="S56" s="64">
        <f t="shared" si="31"/>
        <v>172085.21435231311</v>
      </c>
      <c r="T56" s="64">
        <f t="shared" si="31"/>
        <v>172085.21435231311</v>
      </c>
      <c r="U56" s="64">
        <f t="shared" si="31"/>
        <v>172085.21435231311</v>
      </c>
      <c r="V56" s="64">
        <f t="shared" si="31"/>
        <v>172085.21435231311</v>
      </c>
      <c r="W56" s="64">
        <f t="shared" si="31"/>
        <v>172085.21435231311</v>
      </c>
      <c r="X56" s="64">
        <f t="shared" si="31"/>
        <v>172085.21435231311</v>
      </c>
      <c r="Y56" s="64">
        <f t="shared" si="31"/>
        <v>172085.21435231311</v>
      </c>
      <c r="Z56" s="64">
        <f t="shared" si="31"/>
        <v>172085.21435231311</v>
      </c>
      <c r="AA56" s="64">
        <f t="shared" si="31"/>
        <v>172085.21435231311</v>
      </c>
      <c r="AB56" s="64">
        <f t="shared" si="31"/>
        <v>172085.21435231311</v>
      </c>
      <c r="AC56" s="64">
        <f t="shared" si="31"/>
        <v>172085.21435231311</v>
      </c>
    </row>
    <row r="57" spans="1:29" ht="15" thickBot="1" x14ac:dyDescent="0.35">
      <c r="AC57" s="32"/>
    </row>
    <row r="58" spans="1:29" ht="15" thickBot="1" x14ac:dyDescent="0.35">
      <c r="A58" s="26" t="s">
        <v>208</v>
      </c>
      <c r="B58" s="27">
        <v>2023</v>
      </c>
      <c r="C58" s="27">
        <v>2024</v>
      </c>
      <c r="D58" s="27">
        <v>2025</v>
      </c>
      <c r="E58" s="27">
        <v>2026</v>
      </c>
      <c r="F58" s="27">
        <v>2027</v>
      </c>
      <c r="G58" s="27">
        <v>2028</v>
      </c>
      <c r="H58" s="27">
        <v>2029</v>
      </c>
      <c r="I58" s="27">
        <v>2030</v>
      </c>
      <c r="J58" s="27">
        <v>2031</v>
      </c>
      <c r="K58" s="27">
        <v>2032</v>
      </c>
      <c r="L58" s="27">
        <v>2033</v>
      </c>
      <c r="M58" s="27">
        <v>2034</v>
      </c>
      <c r="N58" s="27">
        <v>2035</v>
      </c>
      <c r="O58" s="27">
        <v>2036</v>
      </c>
      <c r="P58" s="27">
        <v>2037</v>
      </c>
      <c r="Q58" s="27">
        <v>2038</v>
      </c>
      <c r="R58" s="27">
        <v>2039</v>
      </c>
      <c r="S58" s="27">
        <v>2040</v>
      </c>
      <c r="T58" s="27">
        <v>2041</v>
      </c>
      <c r="U58" s="27">
        <v>2042</v>
      </c>
      <c r="V58" s="27">
        <v>2043</v>
      </c>
      <c r="W58" s="27">
        <v>2044</v>
      </c>
      <c r="X58" s="27">
        <v>2045</v>
      </c>
      <c r="Y58" s="27">
        <v>2046</v>
      </c>
      <c r="Z58" s="27">
        <v>2047</v>
      </c>
      <c r="AA58" s="27">
        <v>2048</v>
      </c>
      <c r="AB58" s="27">
        <v>2049</v>
      </c>
      <c r="AC58" s="28">
        <v>2050</v>
      </c>
    </row>
    <row r="59" spans="1:29" x14ac:dyDescent="0.3">
      <c r="A59" s="29" t="str">
        <f t="shared" ref="A59:A66" si="32">A48</f>
        <v>Capex vehicle</v>
      </c>
      <c r="B59" s="65">
        <f>((1+B$34)^B$40)*B$34/(((1+B$34)^B$40)-1)*(B$30)/B$45</f>
        <v>0.22609180993446606</v>
      </c>
      <c r="C59" s="65">
        <f t="shared" ref="C59:AC59" si="33">((1+C$34)^C$40)*C$34/(((1+C$34)^C$40)-1)*(C$30)/C$45</f>
        <v>0.22609180993446606</v>
      </c>
      <c r="D59" s="65">
        <f t="shared" si="33"/>
        <v>0.22609180993446606</v>
      </c>
      <c r="E59" s="65">
        <f t="shared" si="33"/>
        <v>0.22609180993446606</v>
      </c>
      <c r="F59" s="65">
        <f t="shared" si="33"/>
        <v>0.22609180993446606</v>
      </c>
      <c r="G59" s="65">
        <f t="shared" si="33"/>
        <v>0.22609180993446606</v>
      </c>
      <c r="H59" s="65">
        <f t="shared" si="33"/>
        <v>0.22609180993446606</v>
      </c>
      <c r="I59" s="65">
        <f t="shared" si="33"/>
        <v>0.22609180993446606</v>
      </c>
      <c r="J59" s="65">
        <f t="shared" si="33"/>
        <v>0.22609180993446606</v>
      </c>
      <c r="K59" s="65">
        <f t="shared" si="33"/>
        <v>0.22609180993446606</v>
      </c>
      <c r="L59" s="65">
        <f t="shared" si="33"/>
        <v>0.22609180993446606</v>
      </c>
      <c r="M59" s="65">
        <f t="shared" si="33"/>
        <v>0.22609180993446606</v>
      </c>
      <c r="N59" s="65">
        <f t="shared" si="33"/>
        <v>0.22609180993446606</v>
      </c>
      <c r="O59" s="65">
        <f t="shared" si="33"/>
        <v>0.22609180993446606</v>
      </c>
      <c r="P59" s="65">
        <f t="shared" si="33"/>
        <v>0.22609180993446606</v>
      </c>
      <c r="Q59" s="65">
        <f t="shared" si="33"/>
        <v>0.22609180993446606</v>
      </c>
      <c r="R59" s="65">
        <f t="shared" si="33"/>
        <v>0.22609180993446606</v>
      </c>
      <c r="S59" s="65">
        <f t="shared" si="33"/>
        <v>0.22609180993446606</v>
      </c>
      <c r="T59" s="65">
        <f t="shared" si="33"/>
        <v>0.22609180993446606</v>
      </c>
      <c r="U59" s="65">
        <f t="shared" si="33"/>
        <v>0.22609180993446606</v>
      </c>
      <c r="V59" s="65">
        <f t="shared" si="33"/>
        <v>0.22609180993446606</v>
      </c>
      <c r="W59" s="65">
        <f t="shared" si="33"/>
        <v>0.22609180993446606</v>
      </c>
      <c r="X59" s="65">
        <f t="shared" si="33"/>
        <v>0.22609180993446606</v>
      </c>
      <c r="Y59" s="65">
        <f t="shared" si="33"/>
        <v>0.22609180993446606</v>
      </c>
      <c r="Z59" s="65">
        <f t="shared" si="33"/>
        <v>0.22609180993446606</v>
      </c>
      <c r="AA59" s="65">
        <f t="shared" si="33"/>
        <v>0.22609180993446606</v>
      </c>
      <c r="AB59" s="65">
        <f t="shared" si="33"/>
        <v>0.22609180993446606</v>
      </c>
      <c r="AC59" s="65">
        <f t="shared" si="33"/>
        <v>0.22609180993446606</v>
      </c>
    </row>
    <row r="60" spans="1:29" x14ac:dyDescent="0.3">
      <c r="A60" s="30" t="str">
        <f t="shared" si="32"/>
        <v>Residual value (vehicle)</v>
      </c>
      <c r="B60" s="66">
        <f>((1+B$34)^B$40)*B$34/(((1+B$34)^B$40)-1)*(B$31)/B$45</f>
        <v>-6.7827542980339814E-2</v>
      </c>
      <c r="C60" s="66">
        <f t="shared" ref="C60:AC60" si="34">((1+C$34)^C$40)*C$34/(((1+C$34)^C$40)-1)*(C$31)/C$45</f>
        <v>-6.7827542980339814E-2</v>
      </c>
      <c r="D60" s="66">
        <f t="shared" si="34"/>
        <v>-6.7827542980339814E-2</v>
      </c>
      <c r="E60" s="66">
        <f t="shared" si="34"/>
        <v>-6.7827542980339814E-2</v>
      </c>
      <c r="F60" s="66">
        <f t="shared" si="34"/>
        <v>-6.7827542980339814E-2</v>
      </c>
      <c r="G60" s="66">
        <f t="shared" si="34"/>
        <v>-6.7827542980339814E-2</v>
      </c>
      <c r="H60" s="66">
        <f t="shared" si="34"/>
        <v>-6.7827542980339814E-2</v>
      </c>
      <c r="I60" s="66">
        <f t="shared" si="34"/>
        <v>-6.7827542980339814E-2</v>
      </c>
      <c r="J60" s="66">
        <f t="shared" si="34"/>
        <v>-6.7827542980339814E-2</v>
      </c>
      <c r="K60" s="66">
        <f t="shared" si="34"/>
        <v>-6.7827542980339814E-2</v>
      </c>
      <c r="L60" s="66">
        <f t="shared" si="34"/>
        <v>-6.7827542980339814E-2</v>
      </c>
      <c r="M60" s="66">
        <f t="shared" si="34"/>
        <v>-6.7827542980339814E-2</v>
      </c>
      <c r="N60" s="66">
        <f t="shared" si="34"/>
        <v>-6.7827542980339814E-2</v>
      </c>
      <c r="O60" s="66">
        <f t="shared" si="34"/>
        <v>-6.7827542980339814E-2</v>
      </c>
      <c r="P60" s="66">
        <f t="shared" si="34"/>
        <v>-6.7827542980339814E-2</v>
      </c>
      <c r="Q60" s="66">
        <f t="shared" si="34"/>
        <v>-6.7827542980339814E-2</v>
      </c>
      <c r="R60" s="66">
        <f t="shared" si="34"/>
        <v>-6.7827542980339814E-2</v>
      </c>
      <c r="S60" s="66">
        <f t="shared" si="34"/>
        <v>-6.7827542980339814E-2</v>
      </c>
      <c r="T60" s="66">
        <f t="shared" si="34"/>
        <v>-6.7827542980339814E-2</v>
      </c>
      <c r="U60" s="66">
        <f t="shared" si="34"/>
        <v>-6.7827542980339814E-2</v>
      </c>
      <c r="V60" s="66">
        <f t="shared" si="34"/>
        <v>-6.7827542980339814E-2</v>
      </c>
      <c r="W60" s="66">
        <f t="shared" si="34"/>
        <v>-6.7827542980339814E-2</v>
      </c>
      <c r="X60" s="66">
        <f t="shared" si="34"/>
        <v>-6.7827542980339814E-2</v>
      </c>
      <c r="Y60" s="66">
        <f t="shared" si="34"/>
        <v>-6.7827542980339814E-2</v>
      </c>
      <c r="Z60" s="66">
        <f t="shared" si="34"/>
        <v>-6.7827542980339814E-2</v>
      </c>
      <c r="AA60" s="66">
        <f t="shared" si="34"/>
        <v>-6.7827542980339814E-2</v>
      </c>
      <c r="AB60" s="66">
        <f t="shared" si="34"/>
        <v>-6.7827542980339814E-2</v>
      </c>
      <c r="AC60" s="66">
        <f t="shared" si="34"/>
        <v>-6.7827542980339814E-2</v>
      </c>
    </row>
    <row r="61" spans="1:29" x14ac:dyDescent="0.3">
      <c r="A61" s="30" t="str">
        <f t="shared" si="32"/>
        <v>Capex costumization</v>
      </c>
      <c r="B61" s="66">
        <f>((1+B$34)^B$41)*B$34/(((1+B$34)^B$41)-1)*(B$32)/B$45</f>
        <v>5.6798585419363598E-2</v>
      </c>
      <c r="C61" s="66">
        <f t="shared" ref="C61:AC61" si="35">((1+C$34)^C$41)*C$34/(((1+C$34)^C$41)-1)*(C$32)/C$45</f>
        <v>5.6798585419363598E-2</v>
      </c>
      <c r="D61" s="66">
        <f t="shared" si="35"/>
        <v>5.6798585419363598E-2</v>
      </c>
      <c r="E61" s="66">
        <f t="shared" si="35"/>
        <v>5.6798585419363598E-2</v>
      </c>
      <c r="F61" s="66">
        <f t="shared" si="35"/>
        <v>5.6798585419363598E-2</v>
      </c>
      <c r="G61" s="66">
        <f t="shared" si="35"/>
        <v>5.6798585419363598E-2</v>
      </c>
      <c r="H61" s="66">
        <f t="shared" si="35"/>
        <v>5.6798585419363598E-2</v>
      </c>
      <c r="I61" s="66">
        <f t="shared" si="35"/>
        <v>5.6798585419363598E-2</v>
      </c>
      <c r="J61" s="66">
        <f t="shared" si="35"/>
        <v>5.6798585419363598E-2</v>
      </c>
      <c r="K61" s="66">
        <f t="shared" si="35"/>
        <v>5.6798585419363598E-2</v>
      </c>
      <c r="L61" s="66">
        <f t="shared" si="35"/>
        <v>5.6798585419363598E-2</v>
      </c>
      <c r="M61" s="66">
        <f t="shared" si="35"/>
        <v>5.6798585419363598E-2</v>
      </c>
      <c r="N61" s="66">
        <f t="shared" si="35"/>
        <v>5.6798585419363598E-2</v>
      </c>
      <c r="O61" s="66">
        <f t="shared" si="35"/>
        <v>5.6798585419363598E-2</v>
      </c>
      <c r="P61" s="66">
        <f t="shared" si="35"/>
        <v>5.6798585419363598E-2</v>
      </c>
      <c r="Q61" s="66">
        <f t="shared" si="35"/>
        <v>5.6798585419363598E-2</v>
      </c>
      <c r="R61" s="66">
        <f t="shared" si="35"/>
        <v>5.6798585419363598E-2</v>
      </c>
      <c r="S61" s="66">
        <f t="shared" si="35"/>
        <v>5.6798585419363598E-2</v>
      </c>
      <c r="T61" s="66">
        <f t="shared" si="35"/>
        <v>5.6798585419363598E-2</v>
      </c>
      <c r="U61" s="66">
        <f t="shared" si="35"/>
        <v>5.6798585419363598E-2</v>
      </c>
      <c r="V61" s="66">
        <f t="shared" si="35"/>
        <v>5.6798585419363598E-2</v>
      </c>
      <c r="W61" s="66">
        <f t="shared" si="35"/>
        <v>5.6798585419363598E-2</v>
      </c>
      <c r="X61" s="66">
        <f t="shared" si="35"/>
        <v>5.6798585419363598E-2</v>
      </c>
      <c r="Y61" s="66">
        <f t="shared" si="35"/>
        <v>5.6798585419363598E-2</v>
      </c>
      <c r="Z61" s="66">
        <f t="shared" si="35"/>
        <v>5.6798585419363598E-2</v>
      </c>
      <c r="AA61" s="66">
        <f t="shared" si="35"/>
        <v>5.6798585419363598E-2</v>
      </c>
      <c r="AB61" s="66">
        <f t="shared" si="35"/>
        <v>5.6798585419363598E-2</v>
      </c>
      <c r="AC61" s="66">
        <f t="shared" si="35"/>
        <v>5.6798585419363598E-2</v>
      </c>
    </row>
    <row r="62" spans="1:29" x14ac:dyDescent="0.3">
      <c r="A62" s="30" t="str">
        <f t="shared" si="32"/>
        <v>Residual value (costumization)</v>
      </c>
      <c r="B62" s="66">
        <f>((1+B$34)^B$41)*B$34/(((1+B$34)^B$41)-1)*(B$33)/B$45</f>
        <v>-5.6798585419363589E-3</v>
      </c>
      <c r="C62" s="66">
        <f t="shared" ref="C62:AC62" si="36">((1+C$34)^C$41)*C$34/(((1+C$34)^C$41)-1)*(C$33)/C$45</f>
        <v>-5.6798585419363589E-3</v>
      </c>
      <c r="D62" s="66">
        <f t="shared" si="36"/>
        <v>-5.6798585419363589E-3</v>
      </c>
      <c r="E62" s="66">
        <f t="shared" si="36"/>
        <v>-5.6798585419363589E-3</v>
      </c>
      <c r="F62" s="66">
        <f t="shared" si="36"/>
        <v>-5.6798585419363589E-3</v>
      </c>
      <c r="G62" s="66">
        <f t="shared" si="36"/>
        <v>-5.6798585419363589E-3</v>
      </c>
      <c r="H62" s="66">
        <f t="shared" si="36"/>
        <v>-5.6798585419363589E-3</v>
      </c>
      <c r="I62" s="66">
        <f t="shared" si="36"/>
        <v>-5.6798585419363589E-3</v>
      </c>
      <c r="J62" s="66">
        <f t="shared" si="36"/>
        <v>-5.6798585419363589E-3</v>
      </c>
      <c r="K62" s="66">
        <f t="shared" si="36"/>
        <v>-5.6798585419363589E-3</v>
      </c>
      <c r="L62" s="66">
        <f t="shared" si="36"/>
        <v>-5.6798585419363589E-3</v>
      </c>
      <c r="M62" s="66">
        <f t="shared" si="36"/>
        <v>-5.6798585419363589E-3</v>
      </c>
      <c r="N62" s="66">
        <f t="shared" si="36"/>
        <v>-5.6798585419363589E-3</v>
      </c>
      <c r="O62" s="66">
        <f t="shared" si="36"/>
        <v>-5.6798585419363589E-3</v>
      </c>
      <c r="P62" s="66">
        <f t="shared" si="36"/>
        <v>-5.6798585419363589E-3</v>
      </c>
      <c r="Q62" s="66">
        <f t="shared" si="36"/>
        <v>-5.6798585419363589E-3</v>
      </c>
      <c r="R62" s="66">
        <f t="shared" si="36"/>
        <v>-5.6798585419363589E-3</v>
      </c>
      <c r="S62" s="66">
        <f t="shared" si="36"/>
        <v>-5.6798585419363589E-3</v>
      </c>
      <c r="T62" s="66">
        <f t="shared" si="36"/>
        <v>-5.6798585419363589E-3</v>
      </c>
      <c r="U62" s="66">
        <f t="shared" si="36"/>
        <v>-5.6798585419363589E-3</v>
      </c>
      <c r="V62" s="66">
        <f t="shared" si="36"/>
        <v>-5.6798585419363589E-3</v>
      </c>
      <c r="W62" s="66">
        <f t="shared" si="36"/>
        <v>-5.6798585419363589E-3</v>
      </c>
      <c r="X62" s="66">
        <f t="shared" si="36"/>
        <v>-5.6798585419363589E-3</v>
      </c>
      <c r="Y62" s="66">
        <f t="shared" si="36"/>
        <v>-5.6798585419363589E-3</v>
      </c>
      <c r="Z62" s="66">
        <f t="shared" si="36"/>
        <v>-5.6798585419363589E-3</v>
      </c>
      <c r="AA62" s="66">
        <f t="shared" si="36"/>
        <v>-5.6798585419363589E-3</v>
      </c>
      <c r="AB62" s="66">
        <f t="shared" si="36"/>
        <v>-5.6798585419363589E-3</v>
      </c>
      <c r="AC62" s="66">
        <f t="shared" si="36"/>
        <v>-5.6798585419363589E-3</v>
      </c>
    </row>
    <row r="63" spans="1:29" x14ac:dyDescent="0.3">
      <c r="A63" s="30" t="str">
        <f t="shared" si="32"/>
        <v>Opex fix (admin, crew, insurance)</v>
      </c>
      <c r="B63" s="66">
        <f>B$35/B$45</f>
        <v>0.80952380952380953</v>
      </c>
      <c r="C63" s="66">
        <f t="shared" ref="C63:AC63" si="37">C$35/C$45</f>
        <v>0.80952380952380953</v>
      </c>
      <c r="D63" s="66">
        <f t="shared" si="37"/>
        <v>0.80952380952380953</v>
      </c>
      <c r="E63" s="66">
        <f t="shared" si="37"/>
        <v>0.80952380952380953</v>
      </c>
      <c r="F63" s="66">
        <f t="shared" si="37"/>
        <v>0.80952380952380953</v>
      </c>
      <c r="G63" s="66">
        <f t="shared" si="37"/>
        <v>0.80952380952380953</v>
      </c>
      <c r="H63" s="66">
        <f t="shared" si="37"/>
        <v>0.80952380952380953</v>
      </c>
      <c r="I63" s="66">
        <f t="shared" si="37"/>
        <v>0.80952380952380953</v>
      </c>
      <c r="J63" s="66">
        <f t="shared" si="37"/>
        <v>0.80952380952380953</v>
      </c>
      <c r="K63" s="66">
        <f t="shared" si="37"/>
        <v>0.80952380952380953</v>
      </c>
      <c r="L63" s="66">
        <f t="shared" si="37"/>
        <v>0.80952380952380953</v>
      </c>
      <c r="M63" s="66">
        <f t="shared" si="37"/>
        <v>0.80952380952380953</v>
      </c>
      <c r="N63" s="66">
        <f t="shared" si="37"/>
        <v>0.80952380952380953</v>
      </c>
      <c r="O63" s="66">
        <f t="shared" si="37"/>
        <v>0.80952380952380953</v>
      </c>
      <c r="P63" s="66">
        <f t="shared" si="37"/>
        <v>0.80952380952380953</v>
      </c>
      <c r="Q63" s="66">
        <f t="shared" si="37"/>
        <v>0.80952380952380953</v>
      </c>
      <c r="R63" s="66">
        <f t="shared" si="37"/>
        <v>0.80952380952380953</v>
      </c>
      <c r="S63" s="66">
        <f t="shared" si="37"/>
        <v>0.80952380952380953</v>
      </c>
      <c r="T63" s="66">
        <f t="shared" si="37"/>
        <v>0.80952380952380953</v>
      </c>
      <c r="U63" s="66">
        <f t="shared" si="37"/>
        <v>0.80952380952380953</v>
      </c>
      <c r="V63" s="66">
        <f t="shared" si="37"/>
        <v>0.80952380952380953</v>
      </c>
      <c r="W63" s="66">
        <f t="shared" si="37"/>
        <v>0.80952380952380953</v>
      </c>
      <c r="X63" s="66">
        <f t="shared" si="37"/>
        <v>0.80952380952380953</v>
      </c>
      <c r="Y63" s="66">
        <f t="shared" si="37"/>
        <v>0.80952380952380953</v>
      </c>
      <c r="Z63" s="66">
        <f t="shared" si="37"/>
        <v>0.80952380952380953</v>
      </c>
      <c r="AA63" s="66">
        <f t="shared" si="37"/>
        <v>0.80952380952380953</v>
      </c>
      <c r="AB63" s="66">
        <f t="shared" si="37"/>
        <v>0.80952380952380953</v>
      </c>
      <c r="AC63" s="66">
        <f t="shared" si="37"/>
        <v>0.80952380952380953</v>
      </c>
    </row>
    <row r="64" spans="1:29" x14ac:dyDescent="0.3">
      <c r="A64" s="30" t="str">
        <f t="shared" si="32"/>
        <v>Opex maintenance &amp; repair</v>
      </c>
      <c r="B64" s="66">
        <f>B$36/B$45</f>
        <v>0.19047619047619047</v>
      </c>
      <c r="C64" s="66">
        <f t="shared" ref="C64:AC64" si="38">C$36/C$45</f>
        <v>0.19047619047619047</v>
      </c>
      <c r="D64" s="66">
        <f t="shared" si="38"/>
        <v>0.19047619047619047</v>
      </c>
      <c r="E64" s="66">
        <f t="shared" si="38"/>
        <v>0.19047619047619047</v>
      </c>
      <c r="F64" s="66">
        <f t="shared" si="38"/>
        <v>0.19047619047619047</v>
      </c>
      <c r="G64" s="66">
        <f t="shared" si="38"/>
        <v>0.19047619047619047</v>
      </c>
      <c r="H64" s="66">
        <f t="shared" si="38"/>
        <v>0.19047619047619047</v>
      </c>
      <c r="I64" s="66">
        <f t="shared" si="38"/>
        <v>0.19047619047619047</v>
      </c>
      <c r="J64" s="66">
        <f t="shared" si="38"/>
        <v>0.19047619047619047</v>
      </c>
      <c r="K64" s="66">
        <f t="shared" si="38"/>
        <v>0.19047619047619047</v>
      </c>
      <c r="L64" s="66">
        <f t="shared" si="38"/>
        <v>0.19047619047619047</v>
      </c>
      <c r="M64" s="66">
        <f t="shared" si="38"/>
        <v>0.19047619047619047</v>
      </c>
      <c r="N64" s="66">
        <f t="shared" si="38"/>
        <v>0.19047619047619047</v>
      </c>
      <c r="O64" s="66">
        <f t="shared" si="38"/>
        <v>0.19047619047619047</v>
      </c>
      <c r="P64" s="66">
        <f t="shared" si="38"/>
        <v>0.19047619047619047</v>
      </c>
      <c r="Q64" s="66">
        <f t="shared" si="38"/>
        <v>0.19047619047619047</v>
      </c>
      <c r="R64" s="66">
        <f t="shared" si="38"/>
        <v>0.19047619047619047</v>
      </c>
      <c r="S64" s="66">
        <f t="shared" si="38"/>
        <v>0.19047619047619047</v>
      </c>
      <c r="T64" s="66">
        <f t="shared" si="38"/>
        <v>0.19047619047619047</v>
      </c>
      <c r="U64" s="66">
        <f t="shared" si="38"/>
        <v>0.19047619047619047</v>
      </c>
      <c r="V64" s="66">
        <f t="shared" si="38"/>
        <v>0.19047619047619047</v>
      </c>
      <c r="W64" s="66">
        <f t="shared" si="38"/>
        <v>0.19047619047619047</v>
      </c>
      <c r="X64" s="66">
        <f t="shared" si="38"/>
        <v>0.19047619047619047</v>
      </c>
      <c r="Y64" s="66">
        <f t="shared" si="38"/>
        <v>0.19047619047619047</v>
      </c>
      <c r="Z64" s="66">
        <f t="shared" si="38"/>
        <v>0.19047619047619047</v>
      </c>
      <c r="AA64" s="66">
        <f t="shared" si="38"/>
        <v>0.19047619047619047</v>
      </c>
      <c r="AB64" s="66">
        <f t="shared" si="38"/>
        <v>0.19047619047619047</v>
      </c>
      <c r="AC64" s="66">
        <f t="shared" si="38"/>
        <v>0.19047619047619047</v>
      </c>
    </row>
    <row r="65" spans="1:29" x14ac:dyDescent="0.3">
      <c r="A65" s="30" t="str">
        <f t="shared" si="32"/>
        <v>Opex var (mode-fees, cargo handling)</v>
      </c>
      <c r="B65" s="66">
        <f>B$37*B$45/B$45</f>
        <v>9.5238095238095247E-3</v>
      </c>
      <c r="C65" s="66">
        <f t="shared" ref="C65:AC65" si="39">C$37*C$45/C$45</f>
        <v>9.5238095238095247E-3</v>
      </c>
      <c r="D65" s="66">
        <f t="shared" si="39"/>
        <v>9.5238095238095247E-3</v>
      </c>
      <c r="E65" s="66">
        <f t="shared" si="39"/>
        <v>9.5238095238095247E-3</v>
      </c>
      <c r="F65" s="66">
        <f t="shared" si="39"/>
        <v>9.5238095238095247E-3</v>
      </c>
      <c r="G65" s="66">
        <f t="shared" si="39"/>
        <v>9.5238095238095247E-3</v>
      </c>
      <c r="H65" s="66">
        <f t="shared" si="39"/>
        <v>9.5238095238095247E-3</v>
      </c>
      <c r="I65" s="66">
        <f t="shared" si="39"/>
        <v>9.5238095238095247E-3</v>
      </c>
      <c r="J65" s="66">
        <f t="shared" si="39"/>
        <v>9.5238095238095247E-3</v>
      </c>
      <c r="K65" s="66">
        <f t="shared" si="39"/>
        <v>9.5238095238095247E-3</v>
      </c>
      <c r="L65" s="66">
        <f t="shared" si="39"/>
        <v>9.5238095238095247E-3</v>
      </c>
      <c r="M65" s="66">
        <f t="shared" si="39"/>
        <v>9.5238095238095247E-3</v>
      </c>
      <c r="N65" s="66">
        <f t="shared" si="39"/>
        <v>9.5238095238095247E-3</v>
      </c>
      <c r="O65" s="66">
        <f t="shared" si="39"/>
        <v>9.5238095238095247E-3</v>
      </c>
      <c r="P65" s="66">
        <f t="shared" si="39"/>
        <v>9.5238095238095247E-3</v>
      </c>
      <c r="Q65" s="66">
        <f t="shared" si="39"/>
        <v>9.5238095238095247E-3</v>
      </c>
      <c r="R65" s="66">
        <f t="shared" si="39"/>
        <v>9.5238095238095247E-3</v>
      </c>
      <c r="S65" s="66">
        <f t="shared" si="39"/>
        <v>9.5238095238095247E-3</v>
      </c>
      <c r="T65" s="66">
        <f t="shared" si="39"/>
        <v>9.5238095238095247E-3</v>
      </c>
      <c r="U65" s="66">
        <f t="shared" si="39"/>
        <v>9.5238095238095247E-3</v>
      </c>
      <c r="V65" s="66">
        <f t="shared" si="39"/>
        <v>9.5238095238095247E-3</v>
      </c>
      <c r="W65" s="66">
        <f t="shared" si="39"/>
        <v>9.5238095238095247E-3</v>
      </c>
      <c r="X65" s="66">
        <f t="shared" si="39"/>
        <v>9.5238095238095247E-3</v>
      </c>
      <c r="Y65" s="66">
        <f t="shared" si="39"/>
        <v>9.5238095238095247E-3</v>
      </c>
      <c r="Z65" s="66">
        <f t="shared" si="39"/>
        <v>9.5238095238095247E-3</v>
      </c>
      <c r="AA65" s="66">
        <f t="shared" si="39"/>
        <v>9.5238095238095247E-3</v>
      </c>
      <c r="AB65" s="66">
        <f t="shared" si="39"/>
        <v>9.5238095238095247E-3</v>
      </c>
      <c r="AC65" s="66">
        <f t="shared" si="39"/>
        <v>9.5238095238095247E-3</v>
      </c>
    </row>
    <row r="66" spans="1:29" ht="15" thickBot="1" x14ac:dyDescent="0.35">
      <c r="A66" s="30" t="str">
        <f t="shared" si="32"/>
        <v>Fuel Cost</v>
      </c>
      <c r="B66" s="66">
        <f>B$38*B$39*B$45/B$45</f>
        <v>0.42</v>
      </c>
      <c r="C66" s="66">
        <f t="shared" ref="C66:AC66" si="40">C$38*C$39*C$45/C$45</f>
        <v>0.42</v>
      </c>
      <c r="D66" s="66">
        <f t="shared" si="40"/>
        <v>0.42</v>
      </c>
      <c r="E66" s="66">
        <f t="shared" si="40"/>
        <v>0.42</v>
      </c>
      <c r="F66" s="66">
        <f t="shared" si="40"/>
        <v>0.42</v>
      </c>
      <c r="G66" s="66">
        <f t="shared" si="40"/>
        <v>0.42</v>
      </c>
      <c r="H66" s="66">
        <f t="shared" si="40"/>
        <v>0.42</v>
      </c>
      <c r="I66" s="66">
        <f t="shared" si="40"/>
        <v>0.42</v>
      </c>
      <c r="J66" s="66">
        <f t="shared" si="40"/>
        <v>0.42</v>
      </c>
      <c r="K66" s="66">
        <f t="shared" si="40"/>
        <v>0.42</v>
      </c>
      <c r="L66" s="66">
        <f t="shared" si="40"/>
        <v>0.42</v>
      </c>
      <c r="M66" s="66">
        <f t="shared" si="40"/>
        <v>0.42</v>
      </c>
      <c r="N66" s="66">
        <f t="shared" si="40"/>
        <v>0.42</v>
      </c>
      <c r="O66" s="66">
        <f t="shared" si="40"/>
        <v>0.42</v>
      </c>
      <c r="P66" s="66">
        <f t="shared" si="40"/>
        <v>0.42</v>
      </c>
      <c r="Q66" s="66">
        <f t="shared" si="40"/>
        <v>0.42</v>
      </c>
      <c r="R66" s="66">
        <f t="shared" si="40"/>
        <v>0.42</v>
      </c>
      <c r="S66" s="66">
        <f t="shared" si="40"/>
        <v>0.42</v>
      </c>
      <c r="T66" s="66">
        <f t="shared" si="40"/>
        <v>0.42</v>
      </c>
      <c r="U66" s="66">
        <f t="shared" si="40"/>
        <v>0.42</v>
      </c>
      <c r="V66" s="66">
        <f t="shared" si="40"/>
        <v>0.42</v>
      </c>
      <c r="W66" s="66">
        <f t="shared" si="40"/>
        <v>0.42</v>
      </c>
      <c r="X66" s="66">
        <f t="shared" si="40"/>
        <v>0.42</v>
      </c>
      <c r="Y66" s="66">
        <f t="shared" si="40"/>
        <v>0.42</v>
      </c>
      <c r="Z66" s="66">
        <f t="shared" si="40"/>
        <v>0.42</v>
      </c>
      <c r="AA66" s="66">
        <f t="shared" si="40"/>
        <v>0.42</v>
      </c>
      <c r="AB66" s="66">
        <f t="shared" si="40"/>
        <v>0.42</v>
      </c>
      <c r="AC66" s="66">
        <f t="shared" si="40"/>
        <v>0.42</v>
      </c>
    </row>
    <row r="67" spans="1:29" ht="15" thickBot="1" x14ac:dyDescent="0.35">
      <c r="A67" s="31" t="s">
        <v>63</v>
      </c>
      <c r="B67" s="67">
        <f>B59+B60+B61-B62+B63+B64+B65+B66</f>
        <v>1.6502665204392357</v>
      </c>
      <c r="C67" s="67">
        <f t="shared" ref="C67:AC67" si="41">C59+C60+C61-C62+C63+C64+C65+C66</f>
        <v>1.6502665204392357</v>
      </c>
      <c r="D67" s="67">
        <f t="shared" si="41"/>
        <v>1.6502665204392357</v>
      </c>
      <c r="E67" s="67">
        <f t="shared" si="41"/>
        <v>1.6502665204392357</v>
      </c>
      <c r="F67" s="67">
        <f t="shared" si="41"/>
        <v>1.6502665204392357</v>
      </c>
      <c r="G67" s="67">
        <f t="shared" si="41"/>
        <v>1.6502665204392357</v>
      </c>
      <c r="H67" s="67">
        <f t="shared" si="41"/>
        <v>1.6502665204392357</v>
      </c>
      <c r="I67" s="67">
        <f t="shared" si="41"/>
        <v>1.6502665204392357</v>
      </c>
      <c r="J67" s="67">
        <f t="shared" si="41"/>
        <v>1.6502665204392357</v>
      </c>
      <c r="K67" s="67">
        <f t="shared" si="41"/>
        <v>1.6502665204392357</v>
      </c>
      <c r="L67" s="67">
        <f t="shared" si="41"/>
        <v>1.6502665204392357</v>
      </c>
      <c r="M67" s="67">
        <f t="shared" si="41"/>
        <v>1.6502665204392357</v>
      </c>
      <c r="N67" s="67">
        <f t="shared" si="41"/>
        <v>1.6502665204392357</v>
      </c>
      <c r="O67" s="67">
        <f t="shared" si="41"/>
        <v>1.6502665204392357</v>
      </c>
      <c r="P67" s="67">
        <f t="shared" si="41"/>
        <v>1.6502665204392357</v>
      </c>
      <c r="Q67" s="67">
        <f t="shared" si="41"/>
        <v>1.6502665204392357</v>
      </c>
      <c r="R67" s="67">
        <f t="shared" si="41"/>
        <v>1.6502665204392357</v>
      </c>
      <c r="S67" s="67">
        <f t="shared" si="41"/>
        <v>1.6502665204392357</v>
      </c>
      <c r="T67" s="67">
        <f t="shared" si="41"/>
        <v>1.6502665204392357</v>
      </c>
      <c r="U67" s="67">
        <f t="shared" si="41"/>
        <v>1.6502665204392357</v>
      </c>
      <c r="V67" s="67">
        <f t="shared" si="41"/>
        <v>1.6502665204392357</v>
      </c>
      <c r="W67" s="67">
        <f t="shared" si="41"/>
        <v>1.6502665204392357</v>
      </c>
      <c r="X67" s="67">
        <f t="shared" si="41"/>
        <v>1.6502665204392357</v>
      </c>
      <c r="Y67" s="67">
        <f t="shared" si="41"/>
        <v>1.6502665204392357</v>
      </c>
      <c r="Z67" s="67">
        <f t="shared" si="41"/>
        <v>1.6502665204392357</v>
      </c>
      <c r="AA67" s="67">
        <f t="shared" si="41"/>
        <v>1.6502665204392357</v>
      </c>
      <c r="AB67" s="67">
        <f t="shared" si="41"/>
        <v>1.6502665204392357</v>
      </c>
      <c r="AC67" s="67">
        <f t="shared" si="41"/>
        <v>1.6502665204392357</v>
      </c>
    </row>
    <row r="68" spans="1:29" ht="15" thickBot="1" x14ac:dyDescent="0.35"/>
    <row r="69" spans="1:29" ht="15" thickBot="1" x14ac:dyDescent="0.35">
      <c r="A69" s="26" t="s">
        <v>208</v>
      </c>
      <c r="B69" s="27">
        <v>2023</v>
      </c>
      <c r="C69" s="27">
        <v>2024</v>
      </c>
      <c r="D69" s="27">
        <v>2025</v>
      </c>
      <c r="E69" s="27">
        <v>2026</v>
      </c>
      <c r="F69" s="27">
        <v>2027</v>
      </c>
      <c r="G69" s="27">
        <v>2028</v>
      </c>
      <c r="H69" s="27">
        <v>2029</v>
      </c>
      <c r="I69" s="27">
        <v>2030</v>
      </c>
      <c r="J69" s="27">
        <v>2031</v>
      </c>
      <c r="K69" s="27">
        <v>2032</v>
      </c>
      <c r="L69" s="27">
        <v>2033</v>
      </c>
      <c r="M69" s="27">
        <v>2034</v>
      </c>
      <c r="N69" s="27">
        <v>2035</v>
      </c>
      <c r="O69" s="27">
        <v>2036</v>
      </c>
      <c r="P69" s="27">
        <v>2037</v>
      </c>
      <c r="Q69" s="27">
        <v>2038</v>
      </c>
      <c r="R69" s="27">
        <v>2039</v>
      </c>
      <c r="S69" s="27">
        <v>2040</v>
      </c>
      <c r="T69" s="27">
        <v>2041</v>
      </c>
      <c r="U69" s="27">
        <v>2042</v>
      </c>
      <c r="V69" s="27">
        <v>2043</v>
      </c>
      <c r="W69" s="27">
        <v>2044</v>
      </c>
      <c r="X69" s="27">
        <v>2045</v>
      </c>
      <c r="Y69" s="27">
        <v>2046</v>
      </c>
      <c r="Z69" s="27">
        <v>2047</v>
      </c>
      <c r="AA69" s="27">
        <v>2048</v>
      </c>
      <c r="AB69" s="27">
        <v>2049</v>
      </c>
      <c r="AC69" s="28">
        <v>2050</v>
      </c>
    </row>
    <row r="70" spans="1:29" x14ac:dyDescent="0.3">
      <c r="A70" s="29" t="str">
        <f t="shared" ref="A70:A77" si="42">A48</f>
        <v>Capex vehicle</v>
      </c>
      <c r="B70" s="65">
        <f>((1+B$34)^B$40)*B$34/(((1+B$34)^B$40)-1)*(B$30)/B$45/(B$42)</f>
        <v>7.7962693080850364E-3</v>
      </c>
      <c r="C70" s="65">
        <f t="shared" ref="C70:AC70" si="43">((1+C$34)^C$40)*C$34/(((1+C$34)^C$40)-1)*(C$30)/C$45/(C$42)</f>
        <v>7.7962693080850364E-3</v>
      </c>
      <c r="D70" s="65">
        <f t="shared" si="43"/>
        <v>7.7962693080850364E-3</v>
      </c>
      <c r="E70" s="65">
        <f t="shared" si="43"/>
        <v>7.7962693080850364E-3</v>
      </c>
      <c r="F70" s="65">
        <f t="shared" si="43"/>
        <v>7.7962693080850364E-3</v>
      </c>
      <c r="G70" s="65">
        <f t="shared" si="43"/>
        <v>7.7962693080850364E-3</v>
      </c>
      <c r="H70" s="65">
        <f t="shared" si="43"/>
        <v>7.7962693080850364E-3</v>
      </c>
      <c r="I70" s="65">
        <f t="shared" si="43"/>
        <v>7.7962693080850364E-3</v>
      </c>
      <c r="J70" s="65">
        <f t="shared" si="43"/>
        <v>7.7962693080850364E-3</v>
      </c>
      <c r="K70" s="65">
        <f t="shared" si="43"/>
        <v>7.7962693080850364E-3</v>
      </c>
      <c r="L70" s="65">
        <f t="shared" si="43"/>
        <v>7.7962693080850364E-3</v>
      </c>
      <c r="M70" s="65">
        <f t="shared" si="43"/>
        <v>7.7962693080850364E-3</v>
      </c>
      <c r="N70" s="65">
        <f t="shared" si="43"/>
        <v>7.7962693080850364E-3</v>
      </c>
      <c r="O70" s="65">
        <f t="shared" si="43"/>
        <v>7.7962693080850364E-3</v>
      </c>
      <c r="P70" s="65">
        <f t="shared" si="43"/>
        <v>7.7962693080850364E-3</v>
      </c>
      <c r="Q70" s="65">
        <f t="shared" si="43"/>
        <v>7.7962693080850364E-3</v>
      </c>
      <c r="R70" s="65">
        <f t="shared" si="43"/>
        <v>7.7962693080850364E-3</v>
      </c>
      <c r="S70" s="65">
        <f t="shared" si="43"/>
        <v>7.7962693080850364E-3</v>
      </c>
      <c r="T70" s="65">
        <f t="shared" si="43"/>
        <v>7.7962693080850364E-3</v>
      </c>
      <c r="U70" s="65">
        <f t="shared" si="43"/>
        <v>7.7962693080850364E-3</v>
      </c>
      <c r="V70" s="65">
        <f t="shared" si="43"/>
        <v>7.7962693080850364E-3</v>
      </c>
      <c r="W70" s="65">
        <f t="shared" si="43"/>
        <v>7.7962693080850364E-3</v>
      </c>
      <c r="X70" s="65">
        <f t="shared" si="43"/>
        <v>7.7962693080850364E-3</v>
      </c>
      <c r="Y70" s="65">
        <f t="shared" si="43"/>
        <v>7.7962693080850364E-3</v>
      </c>
      <c r="Z70" s="65">
        <f t="shared" si="43"/>
        <v>7.7962693080850364E-3</v>
      </c>
      <c r="AA70" s="65">
        <f t="shared" si="43"/>
        <v>7.7962693080850364E-3</v>
      </c>
      <c r="AB70" s="65">
        <f t="shared" si="43"/>
        <v>7.7962693080850364E-3</v>
      </c>
      <c r="AC70" s="65">
        <f t="shared" si="43"/>
        <v>7.7962693080850364E-3</v>
      </c>
    </row>
    <row r="71" spans="1:29" x14ac:dyDescent="0.3">
      <c r="A71" s="30" t="str">
        <f t="shared" si="42"/>
        <v>Residual value (vehicle)</v>
      </c>
      <c r="B71" s="68">
        <f>((1+B$34)^B$40)*B$34/(((1+B$34)^B$40)-1)*(B$31)/B$45/(B$42)</f>
        <v>-2.3388807924255108E-3</v>
      </c>
      <c r="C71" s="66">
        <f t="shared" ref="C71:AC71" si="44">((1+C$34)^C$40)*C$34/(((1+C$34)^C$40)-1)*(C$31)/C$45/(C$42)</f>
        <v>-2.3388807924255108E-3</v>
      </c>
      <c r="D71" s="66">
        <f t="shared" si="44"/>
        <v>-2.3388807924255108E-3</v>
      </c>
      <c r="E71" s="66">
        <f t="shared" si="44"/>
        <v>-2.3388807924255108E-3</v>
      </c>
      <c r="F71" s="66">
        <f t="shared" si="44"/>
        <v>-2.3388807924255108E-3</v>
      </c>
      <c r="G71" s="66">
        <f t="shared" si="44"/>
        <v>-2.3388807924255108E-3</v>
      </c>
      <c r="H71" s="66">
        <f t="shared" si="44"/>
        <v>-2.3388807924255108E-3</v>
      </c>
      <c r="I71" s="66">
        <f t="shared" si="44"/>
        <v>-2.3388807924255108E-3</v>
      </c>
      <c r="J71" s="66">
        <f t="shared" si="44"/>
        <v>-2.3388807924255108E-3</v>
      </c>
      <c r="K71" s="66">
        <f t="shared" si="44"/>
        <v>-2.3388807924255108E-3</v>
      </c>
      <c r="L71" s="66">
        <f t="shared" si="44"/>
        <v>-2.3388807924255108E-3</v>
      </c>
      <c r="M71" s="66">
        <f t="shared" si="44"/>
        <v>-2.3388807924255108E-3</v>
      </c>
      <c r="N71" s="66">
        <f t="shared" si="44"/>
        <v>-2.3388807924255108E-3</v>
      </c>
      <c r="O71" s="66">
        <f t="shared" si="44"/>
        <v>-2.3388807924255108E-3</v>
      </c>
      <c r="P71" s="66">
        <f t="shared" si="44"/>
        <v>-2.3388807924255108E-3</v>
      </c>
      <c r="Q71" s="66">
        <f t="shared" si="44"/>
        <v>-2.3388807924255108E-3</v>
      </c>
      <c r="R71" s="66">
        <f t="shared" si="44"/>
        <v>-2.3388807924255108E-3</v>
      </c>
      <c r="S71" s="66">
        <f t="shared" si="44"/>
        <v>-2.3388807924255108E-3</v>
      </c>
      <c r="T71" s="66">
        <f t="shared" si="44"/>
        <v>-2.3388807924255108E-3</v>
      </c>
      <c r="U71" s="66">
        <f t="shared" si="44"/>
        <v>-2.3388807924255108E-3</v>
      </c>
      <c r="V71" s="66">
        <f t="shared" si="44"/>
        <v>-2.3388807924255108E-3</v>
      </c>
      <c r="W71" s="66">
        <f t="shared" si="44"/>
        <v>-2.3388807924255108E-3</v>
      </c>
      <c r="X71" s="66">
        <f t="shared" si="44"/>
        <v>-2.3388807924255108E-3</v>
      </c>
      <c r="Y71" s="66">
        <f t="shared" si="44"/>
        <v>-2.3388807924255108E-3</v>
      </c>
      <c r="Z71" s="66">
        <f t="shared" si="44"/>
        <v>-2.3388807924255108E-3</v>
      </c>
      <c r="AA71" s="66">
        <f t="shared" si="44"/>
        <v>-2.3388807924255108E-3</v>
      </c>
      <c r="AB71" s="66">
        <f t="shared" si="44"/>
        <v>-2.3388807924255108E-3</v>
      </c>
      <c r="AC71" s="66">
        <f t="shared" si="44"/>
        <v>-2.3388807924255108E-3</v>
      </c>
    </row>
    <row r="72" spans="1:29" x14ac:dyDescent="0.3">
      <c r="A72" s="30" t="str">
        <f t="shared" si="42"/>
        <v>Capex costumization</v>
      </c>
      <c r="B72" s="66">
        <f>((1+B$34)^B$41)*B$34/(((1+B$34)^B$41)-1)*(B$32)/B$45/(B$42)</f>
        <v>1.9585719110125381E-3</v>
      </c>
      <c r="C72" s="66">
        <f t="shared" ref="C72:AC72" si="45">((1+C$34)^C$41)*C$34/(((1+C$34)^C$41)-1)*(C$32)/C$45/(C$42)</f>
        <v>1.9585719110125381E-3</v>
      </c>
      <c r="D72" s="66">
        <f t="shared" si="45"/>
        <v>1.9585719110125381E-3</v>
      </c>
      <c r="E72" s="66">
        <f t="shared" si="45"/>
        <v>1.9585719110125381E-3</v>
      </c>
      <c r="F72" s="66">
        <f t="shared" si="45"/>
        <v>1.9585719110125381E-3</v>
      </c>
      <c r="G72" s="66">
        <f t="shared" si="45"/>
        <v>1.9585719110125381E-3</v>
      </c>
      <c r="H72" s="66">
        <f t="shared" si="45"/>
        <v>1.9585719110125381E-3</v>
      </c>
      <c r="I72" s="66">
        <f t="shared" si="45"/>
        <v>1.9585719110125381E-3</v>
      </c>
      <c r="J72" s="66">
        <f t="shared" si="45"/>
        <v>1.9585719110125381E-3</v>
      </c>
      <c r="K72" s="66">
        <f t="shared" si="45"/>
        <v>1.9585719110125381E-3</v>
      </c>
      <c r="L72" s="66">
        <f t="shared" si="45"/>
        <v>1.9585719110125381E-3</v>
      </c>
      <c r="M72" s="66">
        <f t="shared" si="45"/>
        <v>1.9585719110125381E-3</v>
      </c>
      <c r="N72" s="66">
        <f t="shared" si="45"/>
        <v>1.9585719110125381E-3</v>
      </c>
      <c r="O72" s="66">
        <f t="shared" si="45"/>
        <v>1.9585719110125381E-3</v>
      </c>
      <c r="P72" s="66">
        <f t="shared" si="45"/>
        <v>1.9585719110125381E-3</v>
      </c>
      <c r="Q72" s="66">
        <f t="shared" si="45"/>
        <v>1.9585719110125381E-3</v>
      </c>
      <c r="R72" s="66">
        <f t="shared" si="45"/>
        <v>1.9585719110125381E-3</v>
      </c>
      <c r="S72" s="66">
        <f t="shared" si="45"/>
        <v>1.9585719110125381E-3</v>
      </c>
      <c r="T72" s="66">
        <f t="shared" si="45"/>
        <v>1.9585719110125381E-3</v>
      </c>
      <c r="U72" s="66">
        <f t="shared" si="45"/>
        <v>1.9585719110125381E-3</v>
      </c>
      <c r="V72" s="66">
        <f t="shared" si="45"/>
        <v>1.9585719110125381E-3</v>
      </c>
      <c r="W72" s="66">
        <f t="shared" si="45"/>
        <v>1.9585719110125381E-3</v>
      </c>
      <c r="X72" s="66">
        <f t="shared" si="45"/>
        <v>1.9585719110125381E-3</v>
      </c>
      <c r="Y72" s="66">
        <f t="shared" si="45"/>
        <v>1.9585719110125381E-3</v>
      </c>
      <c r="Z72" s="66">
        <f t="shared" si="45"/>
        <v>1.9585719110125381E-3</v>
      </c>
      <c r="AA72" s="66">
        <f t="shared" si="45"/>
        <v>1.9585719110125381E-3</v>
      </c>
      <c r="AB72" s="66">
        <f t="shared" si="45"/>
        <v>1.9585719110125381E-3</v>
      </c>
      <c r="AC72" s="66">
        <f t="shared" si="45"/>
        <v>1.9585719110125381E-3</v>
      </c>
    </row>
    <row r="73" spans="1:29" x14ac:dyDescent="0.3">
      <c r="A73" s="30" t="str">
        <f t="shared" si="42"/>
        <v>Residual value (costumization)</v>
      </c>
      <c r="B73" s="69">
        <f>((1+B$34)^B$41)*B$34/(((1+B$34)^B$41)-1)*(B$33)/B$45/(B$42)</f>
        <v>-1.9585719110125376E-4</v>
      </c>
      <c r="C73" s="66">
        <f t="shared" ref="C73:AC73" si="46">((1+C$34)^C$41)*C$34/(((1+C$34)^C$41)-1)*(C$33)/C$45/(C$42)</f>
        <v>-1.9585719110125376E-4</v>
      </c>
      <c r="D73" s="66">
        <f t="shared" si="46"/>
        <v>-1.9585719110125376E-4</v>
      </c>
      <c r="E73" s="66">
        <f t="shared" si="46"/>
        <v>-1.9585719110125376E-4</v>
      </c>
      <c r="F73" s="66">
        <f t="shared" si="46"/>
        <v>-1.9585719110125376E-4</v>
      </c>
      <c r="G73" s="66">
        <f t="shared" si="46"/>
        <v>-1.9585719110125376E-4</v>
      </c>
      <c r="H73" s="66">
        <f t="shared" si="46"/>
        <v>-1.9585719110125376E-4</v>
      </c>
      <c r="I73" s="66">
        <f t="shared" si="46"/>
        <v>-1.9585719110125376E-4</v>
      </c>
      <c r="J73" s="66">
        <f t="shared" si="46"/>
        <v>-1.9585719110125376E-4</v>
      </c>
      <c r="K73" s="66">
        <f t="shared" si="46"/>
        <v>-1.9585719110125376E-4</v>
      </c>
      <c r="L73" s="66">
        <f t="shared" si="46"/>
        <v>-1.9585719110125376E-4</v>
      </c>
      <c r="M73" s="66">
        <f t="shared" si="46"/>
        <v>-1.9585719110125376E-4</v>
      </c>
      <c r="N73" s="66">
        <f t="shared" si="46"/>
        <v>-1.9585719110125376E-4</v>
      </c>
      <c r="O73" s="66">
        <f t="shared" si="46"/>
        <v>-1.9585719110125376E-4</v>
      </c>
      <c r="P73" s="66">
        <f t="shared" si="46"/>
        <v>-1.9585719110125376E-4</v>
      </c>
      <c r="Q73" s="66">
        <f t="shared" si="46"/>
        <v>-1.9585719110125376E-4</v>
      </c>
      <c r="R73" s="66">
        <f t="shared" si="46"/>
        <v>-1.9585719110125376E-4</v>
      </c>
      <c r="S73" s="66">
        <f t="shared" si="46"/>
        <v>-1.9585719110125376E-4</v>
      </c>
      <c r="T73" s="66">
        <f t="shared" si="46"/>
        <v>-1.9585719110125376E-4</v>
      </c>
      <c r="U73" s="66">
        <f t="shared" si="46"/>
        <v>-1.9585719110125376E-4</v>
      </c>
      <c r="V73" s="66">
        <f t="shared" si="46"/>
        <v>-1.9585719110125376E-4</v>
      </c>
      <c r="W73" s="66">
        <f t="shared" si="46"/>
        <v>-1.9585719110125376E-4</v>
      </c>
      <c r="X73" s="66">
        <f t="shared" si="46"/>
        <v>-1.9585719110125376E-4</v>
      </c>
      <c r="Y73" s="66">
        <f t="shared" si="46"/>
        <v>-1.9585719110125376E-4</v>
      </c>
      <c r="Z73" s="66">
        <f t="shared" si="46"/>
        <v>-1.9585719110125376E-4</v>
      </c>
      <c r="AA73" s="66">
        <f t="shared" si="46"/>
        <v>-1.9585719110125376E-4</v>
      </c>
      <c r="AB73" s="66">
        <f t="shared" si="46"/>
        <v>-1.9585719110125376E-4</v>
      </c>
      <c r="AC73" s="66">
        <f t="shared" si="46"/>
        <v>-1.9585719110125376E-4</v>
      </c>
    </row>
    <row r="74" spans="1:29" x14ac:dyDescent="0.3">
      <c r="A74" s="30" t="str">
        <f t="shared" si="42"/>
        <v>Opex fix (admin, crew, insurance)</v>
      </c>
      <c r="B74" s="66">
        <f>B$35/B$45/(B$42)</f>
        <v>2.7914614121510674E-2</v>
      </c>
      <c r="C74" s="66">
        <f t="shared" ref="C74:AC74" si="47">C$35/C$45/(C$42)</f>
        <v>2.7914614121510674E-2</v>
      </c>
      <c r="D74" s="66">
        <f t="shared" si="47"/>
        <v>2.7914614121510674E-2</v>
      </c>
      <c r="E74" s="66">
        <f t="shared" si="47"/>
        <v>2.7914614121510674E-2</v>
      </c>
      <c r="F74" s="66">
        <f t="shared" si="47"/>
        <v>2.7914614121510674E-2</v>
      </c>
      <c r="G74" s="66">
        <f t="shared" si="47"/>
        <v>2.7914614121510674E-2</v>
      </c>
      <c r="H74" s="66">
        <f t="shared" si="47"/>
        <v>2.7914614121510674E-2</v>
      </c>
      <c r="I74" s="66">
        <f t="shared" si="47"/>
        <v>2.7914614121510674E-2</v>
      </c>
      <c r="J74" s="66">
        <f t="shared" si="47"/>
        <v>2.7914614121510674E-2</v>
      </c>
      <c r="K74" s="66">
        <f t="shared" si="47"/>
        <v>2.7914614121510674E-2</v>
      </c>
      <c r="L74" s="66">
        <f t="shared" si="47"/>
        <v>2.7914614121510674E-2</v>
      </c>
      <c r="M74" s="66">
        <f t="shared" si="47"/>
        <v>2.7914614121510674E-2</v>
      </c>
      <c r="N74" s="66">
        <f t="shared" si="47"/>
        <v>2.7914614121510674E-2</v>
      </c>
      <c r="O74" s="66">
        <f t="shared" si="47"/>
        <v>2.7914614121510674E-2</v>
      </c>
      <c r="P74" s="66">
        <f t="shared" si="47"/>
        <v>2.7914614121510674E-2</v>
      </c>
      <c r="Q74" s="66">
        <f t="shared" si="47"/>
        <v>2.7914614121510674E-2</v>
      </c>
      <c r="R74" s="66">
        <f t="shared" si="47"/>
        <v>2.7914614121510674E-2</v>
      </c>
      <c r="S74" s="66">
        <f t="shared" si="47"/>
        <v>2.7914614121510674E-2</v>
      </c>
      <c r="T74" s="66">
        <f t="shared" si="47"/>
        <v>2.7914614121510674E-2</v>
      </c>
      <c r="U74" s="66">
        <f t="shared" si="47"/>
        <v>2.7914614121510674E-2</v>
      </c>
      <c r="V74" s="66">
        <f t="shared" si="47"/>
        <v>2.7914614121510674E-2</v>
      </c>
      <c r="W74" s="66">
        <f t="shared" si="47"/>
        <v>2.7914614121510674E-2</v>
      </c>
      <c r="X74" s="66">
        <f t="shared" si="47"/>
        <v>2.7914614121510674E-2</v>
      </c>
      <c r="Y74" s="66">
        <f t="shared" si="47"/>
        <v>2.7914614121510674E-2</v>
      </c>
      <c r="Z74" s="66">
        <f t="shared" si="47"/>
        <v>2.7914614121510674E-2</v>
      </c>
      <c r="AA74" s="66">
        <f t="shared" si="47"/>
        <v>2.7914614121510674E-2</v>
      </c>
      <c r="AB74" s="66">
        <f t="shared" si="47"/>
        <v>2.7914614121510674E-2</v>
      </c>
      <c r="AC74" s="66">
        <f t="shared" si="47"/>
        <v>2.7914614121510674E-2</v>
      </c>
    </row>
    <row r="75" spans="1:29" x14ac:dyDescent="0.3">
      <c r="A75" s="30" t="str">
        <f t="shared" si="42"/>
        <v>Opex maintenance &amp; repair</v>
      </c>
      <c r="B75" s="66">
        <f>B$36/B$45/(B$42)</f>
        <v>6.5681444991789817E-3</v>
      </c>
      <c r="C75" s="66">
        <f t="shared" ref="C75:AC75" si="48">C$36/C$45/(C$42)</f>
        <v>6.5681444991789817E-3</v>
      </c>
      <c r="D75" s="66">
        <f t="shared" si="48"/>
        <v>6.5681444991789817E-3</v>
      </c>
      <c r="E75" s="66">
        <f t="shared" si="48"/>
        <v>6.5681444991789817E-3</v>
      </c>
      <c r="F75" s="66">
        <f t="shared" si="48"/>
        <v>6.5681444991789817E-3</v>
      </c>
      <c r="G75" s="66">
        <f t="shared" si="48"/>
        <v>6.5681444991789817E-3</v>
      </c>
      <c r="H75" s="66">
        <f t="shared" si="48"/>
        <v>6.5681444991789817E-3</v>
      </c>
      <c r="I75" s="66">
        <f t="shared" si="48"/>
        <v>6.5681444991789817E-3</v>
      </c>
      <c r="J75" s="66">
        <f t="shared" si="48"/>
        <v>6.5681444991789817E-3</v>
      </c>
      <c r="K75" s="66">
        <f t="shared" si="48"/>
        <v>6.5681444991789817E-3</v>
      </c>
      <c r="L75" s="66">
        <f t="shared" si="48"/>
        <v>6.5681444991789817E-3</v>
      </c>
      <c r="M75" s="66">
        <f t="shared" si="48"/>
        <v>6.5681444991789817E-3</v>
      </c>
      <c r="N75" s="66">
        <f t="shared" si="48"/>
        <v>6.5681444991789817E-3</v>
      </c>
      <c r="O75" s="66">
        <f t="shared" si="48"/>
        <v>6.5681444991789817E-3</v>
      </c>
      <c r="P75" s="66">
        <f t="shared" si="48"/>
        <v>6.5681444991789817E-3</v>
      </c>
      <c r="Q75" s="66">
        <f t="shared" si="48"/>
        <v>6.5681444991789817E-3</v>
      </c>
      <c r="R75" s="66">
        <f t="shared" si="48"/>
        <v>6.5681444991789817E-3</v>
      </c>
      <c r="S75" s="66">
        <f t="shared" si="48"/>
        <v>6.5681444991789817E-3</v>
      </c>
      <c r="T75" s="66">
        <f t="shared" si="48"/>
        <v>6.5681444991789817E-3</v>
      </c>
      <c r="U75" s="66">
        <f t="shared" si="48"/>
        <v>6.5681444991789817E-3</v>
      </c>
      <c r="V75" s="66">
        <f t="shared" si="48"/>
        <v>6.5681444991789817E-3</v>
      </c>
      <c r="W75" s="66">
        <f t="shared" si="48"/>
        <v>6.5681444991789817E-3</v>
      </c>
      <c r="X75" s="66">
        <f t="shared" si="48"/>
        <v>6.5681444991789817E-3</v>
      </c>
      <c r="Y75" s="66">
        <f t="shared" si="48"/>
        <v>6.5681444991789817E-3</v>
      </c>
      <c r="Z75" s="66">
        <f t="shared" si="48"/>
        <v>6.5681444991789817E-3</v>
      </c>
      <c r="AA75" s="66">
        <f t="shared" si="48"/>
        <v>6.5681444991789817E-3</v>
      </c>
      <c r="AB75" s="66">
        <f t="shared" si="48"/>
        <v>6.5681444991789817E-3</v>
      </c>
      <c r="AC75" s="66">
        <f t="shared" si="48"/>
        <v>6.5681444991789817E-3</v>
      </c>
    </row>
    <row r="76" spans="1:29" x14ac:dyDescent="0.3">
      <c r="A76" s="30" t="str">
        <f t="shared" si="42"/>
        <v>Opex var (mode-fees, cargo handling)</v>
      </c>
      <c r="B76" s="66">
        <f>B$37*B$45/B$45/(B$42)</f>
        <v>3.2840722495894911E-4</v>
      </c>
      <c r="C76" s="66">
        <f t="shared" ref="C76:AC76" si="49">C$37*C$45/C$45/(C$42)</f>
        <v>3.2840722495894911E-4</v>
      </c>
      <c r="D76" s="66">
        <f t="shared" si="49"/>
        <v>3.2840722495894911E-4</v>
      </c>
      <c r="E76" s="66">
        <f t="shared" si="49"/>
        <v>3.2840722495894911E-4</v>
      </c>
      <c r="F76" s="66">
        <f t="shared" si="49"/>
        <v>3.2840722495894911E-4</v>
      </c>
      <c r="G76" s="66">
        <f t="shared" si="49"/>
        <v>3.2840722495894911E-4</v>
      </c>
      <c r="H76" s="66">
        <f t="shared" si="49"/>
        <v>3.2840722495894911E-4</v>
      </c>
      <c r="I76" s="66">
        <f t="shared" si="49"/>
        <v>3.2840722495894911E-4</v>
      </c>
      <c r="J76" s="66">
        <f t="shared" si="49"/>
        <v>3.2840722495894911E-4</v>
      </c>
      <c r="K76" s="66">
        <f t="shared" si="49"/>
        <v>3.2840722495894911E-4</v>
      </c>
      <c r="L76" s="66">
        <f t="shared" si="49"/>
        <v>3.2840722495894911E-4</v>
      </c>
      <c r="M76" s="66">
        <f t="shared" si="49"/>
        <v>3.2840722495894911E-4</v>
      </c>
      <c r="N76" s="66">
        <f t="shared" si="49"/>
        <v>3.2840722495894911E-4</v>
      </c>
      <c r="O76" s="66">
        <f t="shared" si="49"/>
        <v>3.2840722495894911E-4</v>
      </c>
      <c r="P76" s="66">
        <f t="shared" si="49"/>
        <v>3.2840722495894911E-4</v>
      </c>
      <c r="Q76" s="66">
        <f t="shared" si="49"/>
        <v>3.2840722495894911E-4</v>
      </c>
      <c r="R76" s="66">
        <f t="shared" si="49"/>
        <v>3.2840722495894911E-4</v>
      </c>
      <c r="S76" s="66">
        <f t="shared" si="49"/>
        <v>3.2840722495894911E-4</v>
      </c>
      <c r="T76" s="66">
        <f t="shared" si="49"/>
        <v>3.2840722495894911E-4</v>
      </c>
      <c r="U76" s="66">
        <f t="shared" si="49"/>
        <v>3.2840722495894911E-4</v>
      </c>
      <c r="V76" s="66">
        <f t="shared" si="49"/>
        <v>3.2840722495894911E-4</v>
      </c>
      <c r="W76" s="66">
        <f t="shared" si="49"/>
        <v>3.2840722495894911E-4</v>
      </c>
      <c r="X76" s="66">
        <f t="shared" si="49"/>
        <v>3.2840722495894911E-4</v>
      </c>
      <c r="Y76" s="66">
        <f t="shared" si="49"/>
        <v>3.2840722495894911E-4</v>
      </c>
      <c r="Z76" s="66">
        <f t="shared" si="49"/>
        <v>3.2840722495894911E-4</v>
      </c>
      <c r="AA76" s="66">
        <f t="shared" si="49"/>
        <v>3.2840722495894911E-4</v>
      </c>
      <c r="AB76" s="66">
        <f t="shared" si="49"/>
        <v>3.2840722495894911E-4</v>
      </c>
      <c r="AC76" s="66">
        <f t="shared" si="49"/>
        <v>3.2840722495894911E-4</v>
      </c>
    </row>
    <row r="77" spans="1:29" x14ac:dyDescent="0.3">
      <c r="A77" s="30" t="str">
        <f t="shared" si="42"/>
        <v>Fuel Cost</v>
      </c>
      <c r="B77" s="66">
        <f>B$38*B$39*B$45/B$45/(B$42)</f>
        <v>1.4482758620689654E-2</v>
      </c>
      <c r="C77" s="66">
        <f t="shared" ref="C77:AC77" si="50">C$38*C$39*C$45/C$45/(C$42)</f>
        <v>1.4482758620689654E-2</v>
      </c>
      <c r="D77" s="66">
        <f t="shared" si="50"/>
        <v>1.4482758620689654E-2</v>
      </c>
      <c r="E77" s="66">
        <f t="shared" si="50"/>
        <v>1.4482758620689654E-2</v>
      </c>
      <c r="F77" s="66">
        <f t="shared" si="50"/>
        <v>1.4482758620689654E-2</v>
      </c>
      <c r="G77" s="66">
        <f t="shared" si="50"/>
        <v>1.4482758620689654E-2</v>
      </c>
      <c r="H77" s="66">
        <f t="shared" si="50"/>
        <v>1.4482758620689654E-2</v>
      </c>
      <c r="I77" s="66">
        <f t="shared" si="50"/>
        <v>1.4482758620689654E-2</v>
      </c>
      <c r="J77" s="66">
        <f t="shared" si="50"/>
        <v>1.4482758620689654E-2</v>
      </c>
      <c r="K77" s="66">
        <f t="shared" si="50"/>
        <v>1.4482758620689654E-2</v>
      </c>
      <c r="L77" s="66">
        <f t="shared" si="50"/>
        <v>1.4482758620689654E-2</v>
      </c>
      <c r="M77" s="66">
        <f t="shared" si="50"/>
        <v>1.4482758620689654E-2</v>
      </c>
      <c r="N77" s="66">
        <f t="shared" si="50"/>
        <v>1.4482758620689654E-2</v>
      </c>
      <c r="O77" s="66">
        <f t="shared" si="50"/>
        <v>1.4482758620689654E-2</v>
      </c>
      <c r="P77" s="66">
        <f t="shared" si="50"/>
        <v>1.4482758620689654E-2</v>
      </c>
      <c r="Q77" s="66">
        <f t="shared" si="50"/>
        <v>1.4482758620689654E-2</v>
      </c>
      <c r="R77" s="66">
        <f t="shared" si="50"/>
        <v>1.4482758620689654E-2</v>
      </c>
      <c r="S77" s="66">
        <f t="shared" si="50"/>
        <v>1.4482758620689654E-2</v>
      </c>
      <c r="T77" s="66">
        <f t="shared" si="50"/>
        <v>1.4482758620689654E-2</v>
      </c>
      <c r="U77" s="66">
        <f t="shared" si="50"/>
        <v>1.4482758620689654E-2</v>
      </c>
      <c r="V77" s="66">
        <f t="shared" si="50"/>
        <v>1.4482758620689654E-2</v>
      </c>
      <c r="W77" s="66">
        <f t="shared" si="50"/>
        <v>1.4482758620689654E-2</v>
      </c>
      <c r="X77" s="66">
        <f t="shared" si="50"/>
        <v>1.4482758620689654E-2</v>
      </c>
      <c r="Y77" s="66">
        <f t="shared" si="50"/>
        <v>1.4482758620689654E-2</v>
      </c>
      <c r="Z77" s="66">
        <f t="shared" si="50"/>
        <v>1.4482758620689654E-2</v>
      </c>
      <c r="AA77" s="66">
        <f t="shared" si="50"/>
        <v>1.4482758620689654E-2</v>
      </c>
      <c r="AB77" s="66">
        <f t="shared" si="50"/>
        <v>1.4482758620689654E-2</v>
      </c>
      <c r="AC77" s="66">
        <f t="shared" si="50"/>
        <v>1.4482758620689654E-2</v>
      </c>
    </row>
    <row r="78" spans="1:29" x14ac:dyDescent="0.3">
      <c r="A78" s="59" t="str">
        <f>A43</f>
        <v>Market failure (av. utilization)</v>
      </c>
      <c r="B78" s="66">
        <f t="shared" ref="B78:AC78" si="51">B67/B43-B67/B42</f>
        <v>6.6802392881348371E-2</v>
      </c>
      <c r="C78" s="66">
        <f t="shared" si="51"/>
        <v>6.6802392881348371E-2</v>
      </c>
      <c r="D78" s="66">
        <f t="shared" si="51"/>
        <v>6.6802392881348371E-2</v>
      </c>
      <c r="E78" s="66">
        <f t="shared" si="51"/>
        <v>6.6802392881348371E-2</v>
      </c>
      <c r="F78" s="66">
        <f t="shared" si="51"/>
        <v>6.6802392881348371E-2</v>
      </c>
      <c r="G78" s="66">
        <f t="shared" si="51"/>
        <v>6.6802392881348371E-2</v>
      </c>
      <c r="H78" s="66">
        <f t="shared" si="51"/>
        <v>6.6802392881348371E-2</v>
      </c>
      <c r="I78" s="66">
        <f t="shared" si="51"/>
        <v>6.6802392881348371E-2</v>
      </c>
      <c r="J78" s="66">
        <f t="shared" si="51"/>
        <v>6.6802392881348371E-2</v>
      </c>
      <c r="K78" s="66">
        <f t="shared" si="51"/>
        <v>6.6802392881348371E-2</v>
      </c>
      <c r="L78" s="66">
        <f t="shared" si="51"/>
        <v>6.6802392881348371E-2</v>
      </c>
      <c r="M78" s="66">
        <f t="shared" si="51"/>
        <v>6.6802392881348371E-2</v>
      </c>
      <c r="N78" s="66">
        <f t="shared" si="51"/>
        <v>6.6802392881348371E-2</v>
      </c>
      <c r="O78" s="66">
        <f t="shared" si="51"/>
        <v>6.6802392881348371E-2</v>
      </c>
      <c r="P78" s="66">
        <f t="shared" si="51"/>
        <v>6.6802392881348371E-2</v>
      </c>
      <c r="Q78" s="66">
        <f t="shared" si="51"/>
        <v>6.6802392881348371E-2</v>
      </c>
      <c r="R78" s="66">
        <f t="shared" si="51"/>
        <v>6.6802392881348371E-2</v>
      </c>
      <c r="S78" s="66">
        <f t="shared" si="51"/>
        <v>6.6802392881348371E-2</v>
      </c>
      <c r="T78" s="66">
        <f t="shared" si="51"/>
        <v>6.6802392881348371E-2</v>
      </c>
      <c r="U78" s="66">
        <f t="shared" si="51"/>
        <v>6.6802392881348371E-2</v>
      </c>
      <c r="V78" s="66">
        <f t="shared" si="51"/>
        <v>6.6802392881348371E-2</v>
      </c>
      <c r="W78" s="66">
        <f t="shared" si="51"/>
        <v>6.6802392881348371E-2</v>
      </c>
      <c r="X78" s="66">
        <f t="shared" si="51"/>
        <v>6.6802392881348371E-2</v>
      </c>
      <c r="Y78" s="66">
        <f t="shared" si="51"/>
        <v>6.6802392881348371E-2</v>
      </c>
      <c r="Z78" s="66">
        <f t="shared" si="51"/>
        <v>6.6802392881348371E-2</v>
      </c>
      <c r="AA78" s="66">
        <f t="shared" si="51"/>
        <v>6.6802392881348371E-2</v>
      </c>
      <c r="AB78" s="66">
        <f t="shared" si="51"/>
        <v>6.6802392881348371E-2</v>
      </c>
      <c r="AC78" s="66">
        <f t="shared" si="51"/>
        <v>6.6802392881348371E-2</v>
      </c>
    </row>
    <row r="79" spans="1:29" ht="15" thickBot="1" x14ac:dyDescent="0.35">
      <c r="A79" s="59" t="str">
        <f>A44</f>
        <v>Payload loss (fuel)</v>
      </c>
      <c r="B79" s="66">
        <f t="shared" ref="B79:AC79" si="52">B67/(B43-B44)-B67/B43</f>
        <v>1.5086357922617075E-2</v>
      </c>
      <c r="C79" s="66">
        <f t="shared" si="52"/>
        <v>1.5086357922617075E-2</v>
      </c>
      <c r="D79" s="66">
        <f t="shared" si="52"/>
        <v>1.5086357922617075E-2</v>
      </c>
      <c r="E79" s="66">
        <f t="shared" si="52"/>
        <v>1.5086357922617075E-2</v>
      </c>
      <c r="F79" s="66">
        <f t="shared" si="52"/>
        <v>1.5086357922617075E-2</v>
      </c>
      <c r="G79" s="66">
        <f t="shared" si="52"/>
        <v>1.5086357922617075E-2</v>
      </c>
      <c r="H79" s="66">
        <f t="shared" si="52"/>
        <v>1.5086357922617075E-2</v>
      </c>
      <c r="I79" s="66">
        <f t="shared" si="52"/>
        <v>1.5086357922617075E-2</v>
      </c>
      <c r="J79" s="66">
        <f t="shared" si="52"/>
        <v>1.5086357922617075E-2</v>
      </c>
      <c r="K79" s="66">
        <f t="shared" si="52"/>
        <v>1.5086357922617075E-2</v>
      </c>
      <c r="L79" s="66">
        <f t="shared" si="52"/>
        <v>1.5086357922617075E-2</v>
      </c>
      <c r="M79" s="66">
        <f t="shared" si="52"/>
        <v>1.5086357922617075E-2</v>
      </c>
      <c r="N79" s="66">
        <f t="shared" si="52"/>
        <v>1.5086357922617075E-2</v>
      </c>
      <c r="O79" s="66">
        <f t="shared" si="52"/>
        <v>1.5086357922617075E-2</v>
      </c>
      <c r="P79" s="66">
        <f t="shared" si="52"/>
        <v>1.5086357922617075E-2</v>
      </c>
      <c r="Q79" s="66">
        <f t="shared" si="52"/>
        <v>1.5086357922617075E-2</v>
      </c>
      <c r="R79" s="66">
        <f t="shared" si="52"/>
        <v>1.5086357922617075E-2</v>
      </c>
      <c r="S79" s="66">
        <f t="shared" si="52"/>
        <v>1.5086357922617075E-2</v>
      </c>
      <c r="T79" s="66">
        <f t="shared" si="52"/>
        <v>1.5086357922617075E-2</v>
      </c>
      <c r="U79" s="66">
        <f t="shared" si="52"/>
        <v>1.5086357922617075E-2</v>
      </c>
      <c r="V79" s="66">
        <f t="shared" si="52"/>
        <v>1.5086357922617075E-2</v>
      </c>
      <c r="W79" s="66">
        <f t="shared" si="52"/>
        <v>1.5086357922617075E-2</v>
      </c>
      <c r="X79" s="66">
        <f t="shared" si="52"/>
        <v>1.5086357922617075E-2</v>
      </c>
      <c r="Y79" s="66">
        <f t="shared" si="52"/>
        <v>1.5086357922617075E-2</v>
      </c>
      <c r="Z79" s="66">
        <f t="shared" si="52"/>
        <v>1.5086357922617075E-2</v>
      </c>
      <c r="AA79" s="66">
        <f t="shared" si="52"/>
        <v>1.5086357922617075E-2</v>
      </c>
      <c r="AB79" s="66">
        <f t="shared" si="52"/>
        <v>1.5086357922617075E-2</v>
      </c>
      <c r="AC79" s="66">
        <f t="shared" si="52"/>
        <v>1.5086357922617075E-2</v>
      </c>
    </row>
    <row r="80" spans="1:29" ht="15" thickBot="1" x14ac:dyDescent="0.35">
      <c r="A80" s="31" t="s">
        <v>210</v>
      </c>
      <c r="B80" s="67">
        <f>B70+B71+B72+B73+B74+B75+B76+B77+B78+B79</f>
        <v>0.13840277850587451</v>
      </c>
      <c r="C80" s="67">
        <f t="shared" ref="C80:D80" si="53">C70+C71+C72+C73+C74+C75+C76+C77+C78+C79</f>
        <v>0.13840277850587451</v>
      </c>
      <c r="D80" s="67">
        <f t="shared" si="53"/>
        <v>0.13840277850587451</v>
      </c>
      <c r="E80" s="67">
        <f t="shared" ref="E80:AC80" si="54">E70+E71+E72-E73+E74+E75+E76+E77+E78+E79</f>
        <v>0.13879449288807702</v>
      </c>
      <c r="F80" s="67">
        <f t="shared" si="54"/>
        <v>0.13879449288807702</v>
      </c>
      <c r="G80" s="67">
        <f t="shared" si="54"/>
        <v>0.13879449288807702</v>
      </c>
      <c r="H80" s="67">
        <f t="shared" si="54"/>
        <v>0.13879449288807702</v>
      </c>
      <c r="I80" s="67">
        <f t="shared" si="54"/>
        <v>0.13879449288807702</v>
      </c>
      <c r="J80" s="67">
        <f t="shared" si="54"/>
        <v>0.13879449288807702</v>
      </c>
      <c r="K80" s="67">
        <f t="shared" si="54"/>
        <v>0.13879449288807702</v>
      </c>
      <c r="L80" s="67">
        <f t="shared" si="54"/>
        <v>0.13879449288807702</v>
      </c>
      <c r="M80" s="67">
        <f t="shared" si="54"/>
        <v>0.13879449288807702</v>
      </c>
      <c r="N80" s="67">
        <f t="shared" si="54"/>
        <v>0.13879449288807702</v>
      </c>
      <c r="O80" s="67">
        <f t="shared" si="54"/>
        <v>0.13879449288807702</v>
      </c>
      <c r="P80" s="67">
        <f t="shared" si="54"/>
        <v>0.13879449288807702</v>
      </c>
      <c r="Q80" s="67">
        <f t="shared" si="54"/>
        <v>0.13879449288807702</v>
      </c>
      <c r="R80" s="67">
        <f t="shared" si="54"/>
        <v>0.13879449288807702</v>
      </c>
      <c r="S80" s="67">
        <f t="shared" si="54"/>
        <v>0.13879449288807702</v>
      </c>
      <c r="T80" s="67">
        <f t="shared" si="54"/>
        <v>0.13879449288807702</v>
      </c>
      <c r="U80" s="67">
        <f t="shared" si="54"/>
        <v>0.13879449288807702</v>
      </c>
      <c r="V80" s="67">
        <f t="shared" si="54"/>
        <v>0.13879449288807702</v>
      </c>
      <c r="W80" s="67">
        <f t="shared" si="54"/>
        <v>0.13879449288807702</v>
      </c>
      <c r="X80" s="67">
        <f t="shared" si="54"/>
        <v>0.13879449288807702</v>
      </c>
      <c r="Y80" s="67">
        <f t="shared" si="54"/>
        <v>0.13879449288807702</v>
      </c>
      <c r="Z80" s="67">
        <f t="shared" si="54"/>
        <v>0.13879449288807702</v>
      </c>
      <c r="AA80" s="67">
        <f t="shared" si="54"/>
        <v>0.13879449288807702</v>
      </c>
      <c r="AB80" s="67">
        <f t="shared" si="54"/>
        <v>0.13879449288807702</v>
      </c>
      <c r="AC80" s="67">
        <f t="shared" si="54"/>
        <v>0.13879449288807702</v>
      </c>
    </row>
    <row r="82" spans="2:2" x14ac:dyDescent="0.3">
      <c r="B82" s="40"/>
    </row>
  </sheetData>
  <conditionalFormatting sqref="Q11:AR26">
    <cfRule type="colorScale" priority="1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C901384D20D947869ADEC27FCC7639" ma:contentTypeVersion="3" ma:contentTypeDescription="Create a new document." ma:contentTypeScope="" ma:versionID="a93ca4031cfe9ed094df232b0f6d7afb">
  <xsd:schema xmlns:xsd="http://www.w3.org/2001/XMLSchema" xmlns:xs="http://www.w3.org/2001/XMLSchema" xmlns:p="http://schemas.microsoft.com/office/2006/metadata/properties" xmlns:ns2="604ca3ef-bd55-4483-a940-28967f5dfccd" targetNamespace="http://schemas.microsoft.com/office/2006/metadata/properties" ma:root="true" ma:fieldsID="7d6358c5e859a512014f7942802fd026" ns2:_="">
    <xsd:import namespace="604ca3ef-bd55-4483-a940-28967f5dfc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ca3ef-bd55-4483-a940-28967f5dfc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B386C5-F0F8-49F0-A26B-B7A25C6BCF28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604ca3ef-bd55-4483-a940-28967f5dfcc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7A531EF-0C1E-4EEC-A313-34223C5CC6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1C1C90-B83E-4C4C-9ECA-4DCC4D131B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4ca3ef-bd55-4483-a940-28967f5dfc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Legend</vt:lpstr>
      <vt:lpstr>Transfer costs</vt:lpstr>
      <vt:lpstr>Output emissions</vt:lpstr>
      <vt:lpstr>Output costs</vt:lpstr>
      <vt:lpstr>Comments Ruben (temp)</vt:lpstr>
      <vt:lpstr>Parameter Input</vt:lpstr>
      <vt:lpstr>Semi-trailer truck (Diesel)</vt:lpstr>
      <vt:lpstr>Semi-trailer truck (Battery)</vt:lpstr>
      <vt:lpstr>Semi-trailer truck (Hydrogen)</vt:lpstr>
      <vt:lpstr>Railway (Diesel)</vt:lpstr>
      <vt:lpstr>Railway (Catenary)</vt:lpstr>
      <vt:lpstr>Railway (Battery)</vt:lpstr>
      <vt:lpstr>Railway (Hydrogen)</vt:lpstr>
      <vt:lpstr>Short-sea (HFO)</vt:lpstr>
      <vt:lpstr>Short-sea (MGO)</vt:lpstr>
      <vt:lpstr>Short-sea (Hydrogen)</vt:lpstr>
      <vt:lpstr>Short-sea (Ammonia)</vt:lpstr>
      <vt:lpstr>Short-sea (Methanol)</vt:lpstr>
      <vt:lpstr>Template_Cost_Calculator</vt:lpstr>
    </vt:vector>
  </TitlesOfParts>
  <Manager/>
  <Company>NTNU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Martin</dc:creator>
  <cp:keywords/>
  <dc:description/>
  <cp:lastModifiedBy>Ruben van Beesten</cp:lastModifiedBy>
  <cp:revision/>
  <dcterms:created xsi:type="dcterms:W3CDTF">2023-05-11T14:18:46Z</dcterms:created>
  <dcterms:modified xsi:type="dcterms:W3CDTF">2023-10-31T14:43:33Z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0x01010036C901384D20D947869ADEC27FCC7639</vt:lpwstr>
  </property>
  <property fmtid="{D5CDD505-2E9C-101B-9397-08002B2CF9AE}" pid="3" name="MSIP_Label_8772ba27-cab8-4042-a351-a31f6e4eacdc_Enabled">
    <vt:lpwstr>true</vt:lpwstr>
  </property>
  <property fmtid="{D5CDD505-2E9C-101B-9397-08002B2CF9AE}" pid="4" name="MSIP_Label_8772ba27-cab8-4042-a351-a31f6e4eacdc_SetDate">
    <vt:lpwstr>2023-09-29T12:10:49Z</vt:lpwstr>
  </property>
  <property fmtid="{D5CDD505-2E9C-101B-9397-08002B2CF9AE}" pid="5" name="MSIP_Label_8772ba27-cab8-4042-a351-a31f6e4eacdc_Method">
    <vt:lpwstr>Standard</vt:lpwstr>
  </property>
  <property fmtid="{D5CDD505-2E9C-101B-9397-08002B2CF9AE}" pid="6" name="MSIP_Label_8772ba27-cab8-4042-a351-a31f6e4eacdc_Name">
    <vt:lpwstr>Internal</vt:lpwstr>
  </property>
  <property fmtid="{D5CDD505-2E9C-101B-9397-08002B2CF9AE}" pid="7" name="MSIP_Label_8772ba27-cab8-4042-a351-a31f6e4eacdc_SiteId">
    <vt:lpwstr>715902d6-f63e-4b8d-929b-4bb170bad492</vt:lpwstr>
  </property>
  <property fmtid="{D5CDD505-2E9C-101B-9397-08002B2CF9AE}" pid="8" name="MSIP_Label_8772ba27-cab8-4042-a351-a31f6e4eacdc_ActionId">
    <vt:lpwstr>92d43e29-5919-4f94-a135-6d6685b413ff</vt:lpwstr>
  </property>
  <property fmtid="{D5CDD505-2E9C-101B-9397-08002B2CF9AE}" pid="9" name="MSIP_Label_8772ba27-cab8-4042-a351-a31f6e4eacdc_ContentBits">
    <vt:lpwstr>0</vt:lpwstr>
  </property>
</Properties>
</file>